
<file path=[Content_Types].xml><?xml version="1.0" encoding="utf-8"?>
<Types xmlns="http://schemas.openxmlformats.org/package/2006/content-types">
  <Default Extension="bin" ContentType="application/vnd.openxmlformats-officedocument.spreadsheetml.printerSettings"/>
  <Default Extension="vsd" ContentType="application/vnd.visio"/>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9.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8.xml" ContentType="application/vnd.openxmlformats-officedocument.drawing+xml"/>
  <Override PartName="/xl/charts/chart32.xml" ContentType="application/vnd.openxmlformats-officedocument.drawingml.chart+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5"/>
  <workbookPr showInkAnnotation="0" codeName="ThisWorkbook" autoCompressPictures="0"/>
  <mc:AlternateContent xmlns:mc="http://schemas.openxmlformats.org/markup-compatibility/2006">
    <mc:Choice Requires="x15">
      <x15ac:absPath xmlns:x15ac="http://schemas.microsoft.com/office/spreadsheetml/2010/11/ac" url="C:\MyWork\LM518x Family\Updated Calculators\"/>
    </mc:Choice>
  </mc:AlternateContent>
  <xr:revisionPtr revIDLastSave="0" documentId="13_ncr:1_{335F0B78-8296-4486-8661-9A28A89B33A4}" xr6:coauthVersionLast="36" xr6:coauthVersionMax="36" xr10:uidLastSave="{00000000-0000-0000-0000-000000000000}"/>
  <workbookProtection workbookAlgorithmName="SHA-512" workbookHashValue="Ym8ms4fRP2i3qbjX7hU2+dTV9m8aQPwGL8H2cp7GSPd3my2pocoAcBoMqsacXewuirL9th/8EqqWSG86D0wifA==" workbookSaltValue="d6xDbEOZ+ayl3gdvThzt6w==" workbookSpinCount="100000" lockStructure="1"/>
  <bookViews>
    <workbookView xWindow="0" yWindow="0" windowWidth="25600" windowHeight="9830" tabRatio="468" xr2:uid="{00000000-000D-0000-FFFF-FFFF00000000}"/>
  </bookViews>
  <sheets>
    <sheet name="Design Converter" sheetId="1" r:id="rId1"/>
    <sheet name="Stability Calculations" sheetId="29" state="hidden" r:id="rId2"/>
    <sheet name="Variable Mgmt" sheetId="2" state="hidden" r:id="rId3"/>
    <sheet name="Parameters" sheetId="19" state="hidden" r:id="rId4"/>
    <sheet name="Calculations - Single" sheetId="24" state="hidden" r:id="rId5"/>
    <sheet name="Calculations - Dual" sheetId="25" state="hidden" r:id="rId6"/>
    <sheet name="Fsw vs VIN" sheetId="23" state="hidden" r:id="rId7"/>
    <sheet name="BOM &amp; Schematic" sheetId="16" r:id="rId8"/>
    <sheet name="EVMs" sheetId="14"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Mgmt'!$B$82</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DserR">Parameters!$D$50</definedName>
    <definedName name="BODE_TYPE">'Variable Mgmt'!$Q$20</definedName>
    <definedName name="Cb">'Variable Mgmt'!$B$186</definedName>
    <definedName name="Ccomp">'Stability Calculations'!$D$38</definedName>
    <definedName name="Chf">'Stability Calculations'!$D$39</definedName>
    <definedName name="Cin" localSheetId="3">Parameters!$D$30</definedName>
    <definedName name="Cin">'Variable Mgmt'!$B$152</definedName>
    <definedName name="CinEsrMax">'Variable Mgmt'!$B$154</definedName>
    <definedName name="Cinmin">'Variable Mgmt'!$B$150</definedName>
    <definedName name="CONFIG">'Variable Mgmt'!$C$74</definedName>
    <definedName name="Coss">Parameters!$D$45</definedName>
    <definedName name="Cout" localSheetId="3">Parameters!$D$32</definedName>
    <definedName name="Cout">'Variable Mgmt'!$B$127</definedName>
    <definedName name="Cout_pri">'Stability Calculations'!$B$27</definedName>
    <definedName name="Cout_sec">'Stability Calculations'!$B$25</definedName>
    <definedName name="Cout_Voltage_Rating">'Variable Mgmt'!$S$76</definedName>
    <definedName name="Cout2">'Variable Mgmt'!$B$137</definedName>
    <definedName name="CoutEsr">'Variable Mgmt'!$B$129</definedName>
    <definedName name="CoutEsr2">'Variable Mgmt'!$B$139</definedName>
    <definedName name="Css">'Variable Mgmt'!$B$166</definedName>
    <definedName name="Css_u">'Variable Mgmt'!$B$167</definedName>
    <definedName name="Csw">Parameters!$D$46</definedName>
    <definedName name="Diode_TC">'Variable Mgmt'!$B$197</definedName>
    <definedName name="Don_Vinmax">'Variable Mgmt'!$B$86</definedName>
    <definedName name="Don_Vinmin">'Variable Mgmt'!$B$83</definedName>
    <definedName name="Don_Vinnom">'Variable Mgmt'!$B$85</definedName>
    <definedName name="EFF_DUAL">'Efficiency Plots'!$B$7</definedName>
    <definedName name="EFF_SINGLE">'Efficiency Plots'!$B$5</definedName>
    <definedName name="Efficiency">'Variable Mgmt'!$B$39</definedName>
    <definedName name="Fco_desire">'Design Converter'!$E$58</definedName>
    <definedName name="Fsw" localSheetId="3">Parameters!$D$20</definedName>
    <definedName name="Fsw_DCM">'Variable Mgmt'!$B$61</definedName>
    <definedName name="Fsw_DUAL">'Fsw Plots'!$B$7</definedName>
    <definedName name="Fsw_max">Parameters!$D$21</definedName>
    <definedName name="Fsw_SINGLE">'Fsw Plots'!$B$5</definedName>
    <definedName name="gmEA">'Stability Calculations'!$D$31</definedName>
    <definedName name="Icinrms">'Variable Mgmt'!$B$149</definedName>
    <definedName name="Icoutrms">'Variable Mgmt'!$B$121</definedName>
    <definedName name="Iin_Vinmax">'Variable Mgmt'!$B$47</definedName>
    <definedName name="Iin_Vinmin">'Variable Mgmt'!$B$43</definedName>
    <definedName name="Iin_Vinnom">'Variable Mgmt'!$B$45</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5">'Calculations - Dual'!$Q$216</definedName>
    <definedName name="Ioutmax_Vinmax">'Calculations - Single'!$P$216</definedName>
    <definedName name="Ioutmax_Vinmin" localSheetId="5">'Calculations - Dual'!$Q$110</definedName>
    <definedName name="Ioutmax_Vinmin">'Calculations - Single'!$P$110</definedName>
    <definedName name="Ioutmax_Vinnom" localSheetId="5">'Calculations - Dual'!$Q$5</definedName>
    <definedName name="Ioutmax_Vinnom">'Calculations - Single'!$P$5</definedName>
    <definedName name="IpkCAL">'Variable Mgmt'!$B$117</definedName>
    <definedName name="IQ">Parameters!$D$39</definedName>
    <definedName name="Iripple">Parameters!$D$19</definedName>
    <definedName name="Iripple_Vinmax" localSheetId="5">'Variable Mgmt'!#REF!</definedName>
    <definedName name="Iripple_Vinmax" localSheetId="10">'Variable Mgmt'!#REF!</definedName>
    <definedName name="Iripple_Vinmin" localSheetId="5">'Variable Mgmt'!#REF!</definedName>
    <definedName name="Iripple_Vinmin" localSheetId="10">'Variable Mgmt'!#REF!</definedName>
    <definedName name="Iripple_Vinnom" localSheetId="5">'Variable Mgmt'!#REF!</definedName>
    <definedName name="Iripple_Vinnom" localSheetId="10">'Variable Mgmt'!#REF!</definedName>
    <definedName name="Iripple1" localSheetId="5">'Variable Mgmt'!#REF!</definedName>
    <definedName name="Iripple1" localSheetId="10">'Variable Mgmt'!#REF!</definedName>
    <definedName name="Iss">'Variable Mgmt'!$B$165</definedName>
    <definedName name="Isw_max">Parameters!$D$35</definedName>
    <definedName name="Isw_min">Parameters!$D$36</definedName>
    <definedName name="Iuvlo_hys">'Variable Mgmt'!$B$176</definedName>
    <definedName name="Iuvlo1">'Variable Mgmt'!$B$174</definedName>
    <definedName name="Iuvlo2">'Variable Mgmt'!$B$175</definedName>
    <definedName name="k_core">Parameters!$D$29</definedName>
    <definedName name="ktr_rcmd">'Variable Mgmt'!$B$88</definedName>
    <definedName name="L">Parameters!$D$26</definedName>
    <definedName name="Lleak">'Variable Mgmt'!$B$97</definedName>
    <definedName name="Lmag">'Variable Mgmt'!$B$96</definedName>
    <definedName name="Lmin">'Variable Mgmt'!$B$110</definedName>
    <definedName name="Lmin_abs">'Variable Mgmt'!$B$111</definedName>
    <definedName name="Ls1_">'Variable Mgmt'!$B$98</definedName>
    <definedName name="Ls2_">'Variable Mgmt'!$B$99</definedName>
    <definedName name="Ltc">'Variable Mgmt'!$B$208</definedName>
    <definedName name="M">'Stability Calculations'!$B$18</definedName>
    <definedName name="max_I">Parameters!$H$109</definedName>
    <definedName name="min_I">Parameters!$H$108</definedName>
    <definedName name="MODE">'Variable Mgmt'!$C$73</definedName>
    <definedName name="MODE_SS">'Variable Mgmt'!$J$78</definedName>
    <definedName name="MODE_TC">'Variable Mgmt'!$G$72</definedName>
    <definedName name="MODE_TOP">'Variable Mgmt'!$B$73</definedName>
    <definedName name="MODE_UVLO">'Variable Mgmt'!$G$78</definedName>
    <definedName name="Npri_sec">'Stability Calculations'!$B$13</definedName>
    <definedName name="Npri_sec1">'Variable Mgmt'!$R$64</definedName>
    <definedName name="Npri_sec2">'Variable Mgmt'!$R$66</definedName>
    <definedName name="Nps">'Variable Mgmt'!$R$63</definedName>
    <definedName name="Nsec1sec2">'Variable Mgmt'!$R$65</definedName>
    <definedName name="OffTime">Parameters!$D$18</definedName>
    <definedName name="OnTime">Parameters!$D$17</definedName>
    <definedName name="Pi">'Variable Mgmt'!$B$189</definedName>
    <definedName name="PICTURE1">INDIRECT('Schematic Mgmt'!$A$2)</definedName>
    <definedName name="PICTURE2">INDIRECT('Fsw Plots'!$A$2)</definedName>
    <definedName name="PICTURE3">INDIRECT('Efficiency Plots'!$A$2)</definedName>
    <definedName name="Pin">'Variable Mgmt'!$B$41</definedName>
    <definedName name="PLOT_TYPE">'Variable Mgmt'!$M$78</definedName>
    <definedName name="pole1">'Stability Calculations'!$Q$4</definedName>
    <definedName name="Pole2">'Stability Calculations'!$I$5</definedName>
    <definedName name="pole3">'Stability Calculations'!$T$3</definedName>
    <definedName name="pole4">'Stability Calculations'!$I$7</definedName>
    <definedName name="Pomax_allowed">'Variable Mgmt'!$B$48</definedName>
    <definedName name="Pout">'Variable Mgmt'!$B$14</definedName>
    <definedName name="Pout_total">'Variable Mgmt'!$B$22</definedName>
    <definedName name="Pout2">'Variable Mgmt'!$B$21</definedName>
    <definedName name="_xlnm.Print_Area" localSheetId="7">'BOM &amp; Schematic'!$A$1:$I$59</definedName>
    <definedName name="_xlnm.Print_Area" localSheetId="0">'Design Converter'!$A$1:$R$87</definedName>
    <definedName name="pterm1">'Stability Calculations'!$T$4</definedName>
    <definedName name="pterm2">'Stability Calculations'!$T$5</definedName>
    <definedName name="Qg">Parameters!$D$44</definedName>
    <definedName name="radconv">'Stability Calculations'!$W$6</definedName>
    <definedName name="RCinEsr" localSheetId="3">Parameters!$D$31</definedName>
    <definedName name="RCinEsr">'Variable Mgmt'!$B$155</definedName>
    <definedName name="Rcomp">'Stability Calculations'!$D$37</definedName>
    <definedName name="RCoutEsr" localSheetId="3">Parameters!$D$33</definedName>
    <definedName name="RCoutEsr">'Variable Mgmt'!$B$129</definedName>
    <definedName name="RCS">'Design Converter'!$E$17</definedName>
    <definedName name="Rcs_gain">'Stability Calculations'!$B$34</definedName>
    <definedName name="RCSmin">'Variable Mgmt'!$B$118</definedName>
    <definedName name="Rdcr_pri">'Variable Mgmt'!$B$101</definedName>
    <definedName name="Rdcr_sec">'Variable Mgmt'!$B$102</definedName>
    <definedName name="Rdcr_sec2">'Variable Mgmt'!$B$103</definedName>
    <definedName name="Rdson">Parameters!$D$41</definedName>
    <definedName name="RdsonTC">Parameters!$D$42</definedName>
    <definedName name="REAout">'Stability Calculations'!$D$32</definedName>
    <definedName name="Rfb">'Variable Mgmt'!$B$63</definedName>
    <definedName name="Rfb_recommend">'Variable Mgmt'!$B$193</definedName>
    <definedName name="Rfb2_u">'Variable Mgmt'!$B$195</definedName>
    <definedName name="Rload_pri">'Stability Calculations'!$B$22</definedName>
    <definedName name="Rload_sec">'Stability Calculations'!$B$21</definedName>
    <definedName name="RON">'Design Converter'!$L$22</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Mgmt'!$B$199</definedName>
    <definedName name="RTC_1">'Variable Mgmt'!$B$198</definedName>
    <definedName name="Ruvlo1">'Variable Mgmt'!$B$181</definedName>
    <definedName name="Ruvlo2">'Variable Mgmt'!$B$182</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3">Parameters!$D$12</definedName>
    <definedName name="Ta">'Variable Mgmt'!$B$206</definedName>
    <definedName name="TC">'Variable Mgmt'!$G$72</definedName>
    <definedName name="Tfall">Parameters!$D$23</definedName>
    <definedName name="ThetaCa">'Variable Mgmt'!$B$209</definedName>
    <definedName name="ThetaJA">Parameters!$D$54</definedName>
    <definedName name="TL">'Variable Mgmt'!$B$117</definedName>
    <definedName name="toff_max">'Variable Mgmt'!$B$109</definedName>
    <definedName name="Toff_Vinmax">'Variable Mgmt'!$B$190</definedName>
    <definedName name="Ton_Vinmin">'Variable Mgmt'!$B$191</definedName>
    <definedName name="Trise">Parameters!$D$22</definedName>
    <definedName name="TrrBot">Parameters!$D$52</definedName>
    <definedName name="Tss">'Variable Mgmt'!$B$164</definedName>
    <definedName name="Tsw">'Stability Calculations'!$B$19</definedName>
    <definedName name="Turns_Ratio">'Variable Mgmt'!$S$61</definedName>
    <definedName name="Turns_Ratio2">'Variable Mgmt'!$W$61</definedName>
    <definedName name="Vdd">Parameters!$D$13</definedName>
    <definedName name="Vds_req">'Design Converter'!$E$24</definedName>
    <definedName name="Vfwd1">Parameters!$D$48</definedName>
    <definedName name="Vfwd2">Parameters!$D$49</definedName>
    <definedName name="Vfwd22">'Variable Mgmt'!$L$106</definedName>
    <definedName name="Vin">'Design Converter'!$E$7</definedName>
    <definedName name="Vin_eff">'Stability Calculations'!$B$16</definedName>
    <definedName name="VIN_max">'Variable Mgmt'!$B$9</definedName>
    <definedName name="VIN_min">'Variable Mgmt'!$B$7</definedName>
    <definedName name="VIN_nom">'Variable Mgmt'!$B$8</definedName>
    <definedName name="Vinripple1">'Variable Mgmt'!$B$147</definedName>
    <definedName name="Vinripple2">'Variable Mgmt'!$B$160</definedName>
    <definedName name="VINuvlo_off">'Variable Mgmt'!$B$179</definedName>
    <definedName name="VINuvlo_on">'Variable Mgmt'!$B$178</definedName>
    <definedName name="Vout">'Variable Mgmt'!$B$11</definedName>
    <definedName name="Vout_eff">'Stability Calculations'!$B$14</definedName>
    <definedName name="Vout_ripple">'Variable Mgmt'!$B$35</definedName>
    <definedName name="Vout_ripple2">'Variable Mgmt'!$B$36</definedName>
    <definedName name="Vout2">'Variable Mgmt'!$B$16</definedName>
    <definedName name="Vout2_actual">'Variable Mgmt'!$B$17</definedName>
    <definedName name="Vref">'Variable Mgmt'!$B$62</definedName>
    <definedName name="Vripple1_actual">'Variable Mgmt'!$B$131</definedName>
    <definedName name="Vripple1_spec">'Variable Mgmt'!$B$125</definedName>
    <definedName name="Vripple2_actual">'Variable Mgmt'!$B$141</definedName>
    <definedName name="Vripple2_spec">'Variable Mgmt'!$B$135</definedName>
    <definedName name="VRRM_DIODE">'Variable Mgmt'!$B$28</definedName>
    <definedName name="Vuvlo_hys">'Variable Mgmt'!$B$173</definedName>
    <definedName name="Vuvlo_off">'Variable Mgmt'!$B$172</definedName>
    <definedName name="Vuvlo_on">'Variable Mgmt'!$B$171</definedName>
    <definedName name="z_RHP">'Stability Calculations'!$Q$5</definedName>
    <definedName name="Zero1">'Stability Calculations'!$Q$3</definedName>
    <definedName name="Zero2">'Stability Calculations'!$I$4</definedName>
  </definedNames>
  <calcPr calcId="191029"/>
</workbook>
</file>

<file path=xl/calcChain.xml><?xml version="1.0" encoding="utf-8"?>
<calcChain xmlns="http://schemas.openxmlformats.org/spreadsheetml/2006/main">
  <c r="W63" i="2" l="1"/>
  <c r="V61" i="2" l="1"/>
  <c r="R64" i="2"/>
  <c r="R61" i="2"/>
  <c r="R63" i="2"/>
  <c r="T58" i="2"/>
  <c r="T55" i="2"/>
  <c r="T53" i="2"/>
  <c r="T50" i="2"/>
  <c r="T47" i="2"/>
  <c r="T44" i="2"/>
  <c r="T43" i="2"/>
  <c r="T42" i="2"/>
  <c r="V49" i="2"/>
  <c r="V50" i="2"/>
  <c r="V51" i="2"/>
  <c r="V52" i="2"/>
  <c r="V53" i="2"/>
  <c r="V54" i="2"/>
  <c r="V55" i="2"/>
  <c r="V56" i="2"/>
  <c r="V57" i="2"/>
  <c r="V58" i="2"/>
  <c r="V59" i="2"/>
  <c r="V60" i="2"/>
  <c r="V32" i="2"/>
  <c r="V31" i="2"/>
  <c r="V30" i="2"/>
  <c r="V29" i="2"/>
  <c r="V28" i="2"/>
  <c r="T60" i="2"/>
  <c r="T59" i="2"/>
  <c r="T57" i="2"/>
  <c r="R60" i="2"/>
  <c r="R59" i="2"/>
  <c r="R58" i="2"/>
  <c r="R57" i="2"/>
  <c r="T56" i="2"/>
  <c r="T54" i="2"/>
  <c r="T52" i="2"/>
  <c r="T51" i="2"/>
  <c r="R29" i="2"/>
  <c r="R28" i="2"/>
  <c r="R30" i="2"/>
  <c r="R31" i="2"/>
  <c r="R55" i="2"/>
  <c r="R56" i="2"/>
  <c r="R54" i="2"/>
  <c r="R53" i="2"/>
  <c r="R52" i="2"/>
  <c r="R51" i="2"/>
  <c r="R50" i="2"/>
  <c r="R32" i="2"/>
  <c r="E45" i="1"/>
  <c r="V33" i="2" l="1"/>
  <c r="R33" i="2"/>
  <c r="R49" i="2"/>
  <c r="I6" i="29" l="1"/>
  <c r="B29" i="19" l="1"/>
  <c r="U96" i="2" l="1"/>
  <c r="U95" i="2"/>
  <c r="K55" i="16"/>
  <c r="K54" i="16"/>
  <c r="J54" i="16"/>
  <c r="K51" i="16" l="1"/>
  <c r="J51" i="16"/>
  <c r="K53" i="16"/>
  <c r="K52" i="16"/>
  <c r="J53" i="16"/>
  <c r="J52" i="16"/>
  <c r="K38" i="16"/>
  <c r="K37" i="16"/>
  <c r="K36" i="16"/>
  <c r="K35" i="16"/>
  <c r="J38" i="16"/>
  <c r="J37" i="16"/>
  <c r="J35" i="16"/>
  <c r="J36" i="16"/>
  <c r="I38" i="16"/>
  <c r="H38" i="16"/>
  <c r="I36" i="16"/>
  <c r="H36" i="16"/>
  <c r="I35" i="16"/>
  <c r="H35" i="16"/>
  <c r="K44" i="16"/>
  <c r="J44" i="16"/>
  <c r="I44" i="16"/>
  <c r="H44" i="16"/>
  <c r="A44" i="16"/>
  <c r="K43" i="16"/>
  <c r="K46" i="16"/>
  <c r="K42" i="16"/>
  <c r="J43" i="16"/>
  <c r="J41" i="16"/>
  <c r="J42" i="16"/>
  <c r="C54" i="16" l="1"/>
  <c r="C52" i="16"/>
  <c r="D52" i="16" s="1"/>
  <c r="C36" i="16"/>
  <c r="D36" i="16" s="1"/>
  <c r="C35" i="16"/>
  <c r="D35" i="16" s="1"/>
  <c r="K31" i="1" l="1"/>
  <c r="M322" i="25" l="1"/>
  <c r="F322" i="25"/>
  <c r="M77" i="1"/>
  <c r="M74" i="1"/>
  <c r="M73" i="1"/>
  <c r="K77" i="1"/>
  <c r="K75" i="1"/>
  <c r="K74" i="1"/>
  <c r="K73" i="1"/>
  <c r="O325" i="25"/>
  <c r="H325" i="25"/>
  <c r="F322" i="24"/>
  <c r="H325" i="24"/>
  <c r="D75" i="1" l="1"/>
  <c r="D74" i="1"/>
  <c r="D73" i="1"/>
  <c r="D69" i="1"/>
  <c r="D67" i="1"/>
  <c r="N321" i="24" l="1"/>
  <c r="B44" i="19" l="1"/>
  <c r="B23" i="19" s="1"/>
  <c r="B46" i="19"/>
  <c r="L30" i="1"/>
  <c r="S30" i="1"/>
  <c r="L106" i="2"/>
  <c r="E81" i="1"/>
  <c r="K30" i="1"/>
  <c r="K29" i="1"/>
  <c r="B22" i="19" l="1"/>
  <c r="FM5" i="25"/>
  <c r="D48" i="1" l="1"/>
  <c r="D315" i="2" l="1"/>
  <c r="C53" i="16" s="1"/>
  <c r="D53" i="16" s="1"/>
  <c r="B313" i="2"/>
  <c r="D313" i="2" s="1"/>
  <c r="C51" i="16" s="1"/>
  <c r="B311" i="2"/>
  <c r="D311" i="2" s="1"/>
  <c r="B310" i="2"/>
  <c r="D310" i="2" s="1"/>
  <c r="B309" i="2"/>
  <c r="D309" i="2" s="1"/>
  <c r="B137" i="2"/>
  <c r="L23" i="1" l="1"/>
  <c r="E24" i="1"/>
  <c r="C45" i="16" s="1"/>
  <c r="T48" i="2" l="1"/>
  <c r="T46" i="2"/>
  <c r="T45" i="2"/>
  <c r="K14" i="1" l="1"/>
  <c r="CN5" i="25" l="1"/>
  <c r="DP216" i="25"/>
  <c r="DP110" i="25"/>
  <c r="CN105" i="25"/>
  <c r="EM105" i="25" s="1"/>
  <c r="CN104" i="25"/>
  <c r="CN103" i="25"/>
  <c r="CN102" i="25"/>
  <c r="EM102" i="25" s="1"/>
  <c r="CN101" i="25"/>
  <c r="EM101" i="25" s="1"/>
  <c r="CN100" i="25"/>
  <c r="CN99" i="25"/>
  <c r="EM99" i="25" s="1"/>
  <c r="CN98" i="25"/>
  <c r="EM98" i="25" s="1"/>
  <c r="CN97" i="25"/>
  <c r="EM97" i="25" s="1"/>
  <c r="CN96" i="25"/>
  <c r="EM96" i="25" s="1"/>
  <c r="CN95" i="25"/>
  <c r="CN94" i="25"/>
  <c r="CN93" i="25"/>
  <c r="EM93" i="25" s="1"/>
  <c r="CN92" i="25"/>
  <c r="EM92" i="25" s="1"/>
  <c r="CN91" i="25"/>
  <c r="CN90" i="25"/>
  <c r="CN89" i="25"/>
  <c r="EM89" i="25" s="1"/>
  <c r="CN88" i="25"/>
  <c r="EM88" i="25" s="1"/>
  <c r="CN87" i="25"/>
  <c r="CN86" i="25"/>
  <c r="CN85" i="25"/>
  <c r="EM85" i="25" s="1"/>
  <c r="CN84" i="25"/>
  <c r="EM84" i="25" s="1"/>
  <c r="CN83" i="25"/>
  <c r="CN82" i="25"/>
  <c r="EM82" i="25" s="1"/>
  <c r="CN81" i="25"/>
  <c r="EM81" i="25" s="1"/>
  <c r="CN80" i="25"/>
  <c r="EM80" i="25" s="1"/>
  <c r="CN79" i="25"/>
  <c r="CN78" i="25"/>
  <c r="EM78" i="25" s="1"/>
  <c r="CN77" i="25"/>
  <c r="CN76" i="25"/>
  <c r="EM76" i="25" s="1"/>
  <c r="CN75" i="25"/>
  <c r="EM75" i="25" s="1"/>
  <c r="CN74" i="25"/>
  <c r="CN73" i="25"/>
  <c r="EM73" i="25" s="1"/>
  <c r="CN72" i="25"/>
  <c r="EM72" i="25" s="1"/>
  <c r="CN71" i="25"/>
  <c r="EM71" i="25" s="1"/>
  <c r="CN70" i="25"/>
  <c r="EM70" i="25" s="1"/>
  <c r="CN69" i="25"/>
  <c r="EM69" i="25" s="1"/>
  <c r="CN68" i="25"/>
  <c r="EM68" i="25" s="1"/>
  <c r="CN67" i="25"/>
  <c r="EM67" i="25" s="1"/>
  <c r="CN66" i="25"/>
  <c r="EM66" i="25" s="1"/>
  <c r="CN65" i="25"/>
  <c r="EM65" i="25" s="1"/>
  <c r="CN64" i="25"/>
  <c r="EM64" i="25" s="1"/>
  <c r="CN63" i="25"/>
  <c r="EM63" i="25" s="1"/>
  <c r="CN62" i="25"/>
  <c r="CN61" i="25"/>
  <c r="EM61" i="25" s="1"/>
  <c r="CN60" i="25"/>
  <c r="EM60" i="25" s="1"/>
  <c r="CN59" i="25"/>
  <c r="EM59" i="25" s="1"/>
  <c r="CN58" i="25"/>
  <c r="CN57" i="25"/>
  <c r="EM57" i="25" s="1"/>
  <c r="CN56" i="25"/>
  <c r="EM56" i="25" s="1"/>
  <c r="CN55" i="25"/>
  <c r="EM55" i="25" s="1"/>
  <c r="CN54" i="25"/>
  <c r="CN53" i="25"/>
  <c r="EM53" i="25" s="1"/>
  <c r="CN52" i="25"/>
  <c r="CN51" i="25"/>
  <c r="EM51" i="25" s="1"/>
  <c r="CN50" i="25"/>
  <c r="CN49" i="25"/>
  <c r="EM49" i="25" s="1"/>
  <c r="CN48" i="25"/>
  <c r="CN47" i="25"/>
  <c r="EM47" i="25" s="1"/>
  <c r="CN46" i="25"/>
  <c r="CN45" i="25"/>
  <c r="EM45" i="25" s="1"/>
  <c r="CN44" i="25"/>
  <c r="CN43" i="25"/>
  <c r="EM43" i="25" s="1"/>
  <c r="CN42" i="25"/>
  <c r="CN41" i="25"/>
  <c r="EM41" i="25" s="1"/>
  <c r="CN40" i="25"/>
  <c r="CN39" i="25"/>
  <c r="EM39" i="25" s="1"/>
  <c r="CN38" i="25"/>
  <c r="CN37" i="25"/>
  <c r="EM37" i="25" s="1"/>
  <c r="CN36" i="25"/>
  <c r="CN35" i="25"/>
  <c r="EM35" i="25" s="1"/>
  <c r="CN34" i="25"/>
  <c r="CN33" i="25"/>
  <c r="EM33" i="25" s="1"/>
  <c r="CN32" i="25"/>
  <c r="CN31" i="25"/>
  <c r="EM31" i="25" s="1"/>
  <c r="CN30" i="25"/>
  <c r="CN29" i="25"/>
  <c r="EM29" i="25" s="1"/>
  <c r="CN28" i="25"/>
  <c r="CN27" i="25"/>
  <c r="EM27" i="25" s="1"/>
  <c r="CN26" i="25"/>
  <c r="CN25" i="25"/>
  <c r="EM25" i="25" s="1"/>
  <c r="CN24" i="25"/>
  <c r="CN23" i="25"/>
  <c r="EM23" i="25" s="1"/>
  <c r="CN22" i="25"/>
  <c r="CN21" i="25"/>
  <c r="EM21" i="25" s="1"/>
  <c r="CN20" i="25"/>
  <c r="CN19" i="25"/>
  <c r="EM19" i="25" s="1"/>
  <c r="CN18" i="25"/>
  <c r="EM18" i="25" s="1"/>
  <c r="CN17" i="25"/>
  <c r="EM17" i="25" s="1"/>
  <c r="CN16" i="25"/>
  <c r="CN15" i="25"/>
  <c r="EM15" i="25" s="1"/>
  <c r="CN14" i="25"/>
  <c r="EM14" i="25" s="1"/>
  <c r="CN13" i="25"/>
  <c r="EM13" i="25" s="1"/>
  <c r="CN12" i="25"/>
  <c r="CN11" i="25"/>
  <c r="EM11" i="25" s="1"/>
  <c r="CN10" i="25"/>
  <c r="EM10" i="25" s="1"/>
  <c r="CN9" i="25"/>
  <c r="EM9" i="25" s="1"/>
  <c r="CN8" i="25"/>
  <c r="CN7" i="25"/>
  <c r="EM7" i="25" s="1"/>
  <c r="CN6" i="25"/>
  <c r="EM6" i="25" s="1"/>
  <c r="DP5" i="25"/>
  <c r="EM12" i="25" l="1"/>
  <c r="EM16" i="25"/>
  <c r="EM28" i="25"/>
  <c r="EM32" i="25"/>
  <c r="EM36" i="25"/>
  <c r="EM48" i="25"/>
  <c r="EM20" i="25"/>
  <c r="EM24" i="25"/>
  <c r="EM8" i="25"/>
  <c r="EM40" i="25"/>
  <c r="EM44" i="25"/>
  <c r="EM22" i="25"/>
  <c r="EM26" i="25"/>
  <c r="EM30" i="25"/>
  <c r="EM34" i="25"/>
  <c r="EM38" i="25"/>
  <c r="EM52" i="25"/>
  <c r="EM42" i="25"/>
  <c r="EM46" i="25"/>
  <c r="EM103" i="25"/>
  <c r="EM77" i="25"/>
  <c r="EM74" i="25"/>
  <c r="EM90" i="25"/>
  <c r="EM50" i="25"/>
  <c r="EM54" i="25"/>
  <c r="EM58" i="25"/>
  <c r="EM62" i="25"/>
  <c r="EM86" i="25"/>
  <c r="EM94" i="25"/>
  <c r="EM100" i="25"/>
  <c r="EM104" i="25"/>
  <c r="EM79" i="25"/>
  <c r="EM83" i="25"/>
  <c r="EM87" i="25"/>
  <c r="EM91" i="25"/>
  <c r="EM95" i="25"/>
  <c r="DQ216" i="24" l="1"/>
  <c r="DQ110" i="24"/>
  <c r="CR108" i="24"/>
  <c r="CM105" i="24"/>
  <c r="CM104" i="24"/>
  <c r="EO104" i="24" s="1"/>
  <c r="CM103" i="24"/>
  <c r="CM102" i="24"/>
  <c r="EO102" i="24" s="1"/>
  <c r="CM101" i="24"/>
  <c r="EO101" i="24" s="1"/>
  <c r="CM100" i="24"/>
  <c r="EO100" i="24" s="1"/>
  <c r="CM99" i="24"/>
  <c r="CM98" i="24"/>
  <c r="CM97" i="24"/>
  <c r="CM96" i="24"/>
  <c r="EO96" i="24" s="1"/>
  <c r="CM95" i="24"/>
  <c r="CM94" i="24"/>
  <c r="EO94" i="24" s="1"/>
  <c r="CM93" i="24"/>
  <c r="EO93" i="24" s="1"/>
  <c r="CM92" i="24"/>
  <c r="EO92" i="24" s="1"/>
  <c r="CM91" i="24"/>
  <c r="CM90" i="24"/>
  <c r="CM89" i="24"/>
  <c r="CM88" i="24"/>
  <c r="CM87" i="24"/>
  <c r="CM86" i="24"/>
  <c r="CM85" i="24"/>
  <c r="CM84" i="24"/>
  <c r="CM83" i="24"/>
  <c r="CM82" i="24"/>
  <c r="CM81" i="24"/>
  <c r="CM80" i="24"/>
  <c r="EO80" i="24" s="1"/>
  <c r="CM79" i="24"/>
  <c r="EO79" i="24" s="1"/>
  <c r="CM78" i="24"/>
  <c r="CM77" i="24"/>
  <c r="EO77" i="24" s="1"/>
  <c r="CM76" i="24"/>
  <c r="CM75" i="24"/>
  <c r="CM74" i="24"/>
  <c r="EO74" i="24" s="1"/>
  <c r="CM73" i="24"/>
  <c r="EO73" i="24" s="1"/>
  <c r="CM72" i="24"/>
  <c r="CM71" i="24"/>
  <c r="CM70" i="24"/>
  <c r="EO70" i="24" s="1"/>
  <c r="CM69" i="24"/>
  <c r="EO69" i="24" s="1"/>
  <c r="CM68" i="24"/>
  <c r="CM67" i="24"/>
  <c r="CM66" i="24"/>
  <c r="CM65" i="24"/>
  <c r="CM64" i="24"/>
  <c r="EO64" i="24" s="1"/>
  <c r="CM63" i="24"/>
  <c r="CM62" i="24"/>
  <c r="CM61" i="24"/>
  <c r="CM60" i="24"/>
  <c r="CM59" i="24"/>
  <c r="CM58" i="24"/>
  <c r="CM57" i="24"/>
  <c r="CM56" i="24"/>
  <c r="CM55" i="24"/>
  <c r="CM54" i="24"/>
  <c r="CM53" i="24"/>
  <c r="EO53" i="24" s="1"/>
  <c r="CM52" i="24"/>
  <c r="EO52" i="24" s="1"/>
  <c r="CM51" i="24"/>
  <c r="CM50" i="24"/>
  <c r="EO50" i="24" s="1"/>
  <c r="CM49" i="24"/>
  <c r="CM48" i="24"/>
  <c r="CM47" i="24"/>
  <c r="CM46" i="24"/>
  <c r="CM45" i="24"/>
  <c r="CM44" i="24"/>
  <c r="EO44" i="24" s="1"/>
  <c r="CM43" i="24"/>
  <c r="CM42" i="24"/>
  <c r="EO42" i="24" s="1"/>
  <c r="CM41" i="24"/>
  <c r="CM40" i="24"/>
  <c r="CM39" i="24"/>
  <c r="CM38" i="24"/>
  <c r="EO38" i="24" s="1"/>
  <c r="CM37" i="24"/>
  <c r="CM36" i="24"/>
  <c r="CM35" i="24"/>
  <c r="CM34" i="24"/>
  <c r="CM33" i="24"/>
  <c r="CM32" i="24"/>
  <c r="CM31" i="24"/>
  <c r="CM30" i="24"/>
  <c r="EO30" i="24" s="1"/>
  <c r="CM29" i="24"/>
  <c r="CM28" i="24"/>
  <c r="CM27" i="24"/>
  <c r="CM26" i="24"/>
  <c r="CM25" i="24"/>
  <c r="CM24" i="24"/>
  <c r="CM23" i="24"/>
  <c r="CM22" i="24"/>
  <c r="CM21" i="24"/>
  <c r="EO21" i="24" s="1"/>
  <c r="CM20" i="24"/>
  <c r="CM19" i="24"/>
  <c r="EO19" i="24" s="1"/>
  <c r="CM18" i="24"/>
  <c r="EO18" i="24" s="1"/>
  <c r="CM17" i="24"/>
  <c r="CM16" i="24"/>
  <c r="CM15" i="24"/>
  <c r="CM14" i="24"/>
  <c r="CM13" i="24"/>
  <c r="CM12" i="24"/>
  <c r="CM11" i="24"/>
  <c r="CM10" i="24"/>
  <c r="EO10" i="24" s="1"/>
  <c r="CM9" i="24"/>
  <c r="CM8" i="24"/>
  <c r="CM7" i="24"/>
  <c r="EO7" i="24" s="1"/>
  <c r="CM6" i="24"/>
  <c r="DQ5" i="24"/>
  <c r="CM5" i="24"/>
  <c r="EO5" i="24" s="1"/>
  <c r="EO88" i="24" l="1"/>
  <c r="EO86" i="24"/>
  <c r="EO45" i="24"/>
  <c r="EO35" i="24"/>
  <c r="EO27" i="24"/>
  <c r="EO40" i="24"/>
  <c r="EO56" i="24"/>
  <c r="EO48" i="24"/>
  <c r="EO37" i="24"/>
  <c r="EO68" i="24"/>
  <c r="EO20" i="24"/>
  <c r="EO11" i="24"/>
  <c r="EO29" i="24"/>
  <c r="EO72" i="24"/>
  <c r="EO78" i="24"/>
  <c r="EO54" i="24"/>
  <c r="EO62" i="24"/>
  <c r="EO36" i="24"/>
  <c r="EO13" i="24"/>
  <c r="EO12" i="24"/>
  <c r="EO28" i="24"/>
  <c r="EO60" i="24"/>
  <c r="EO90" i="24"/>
  <c r="EO55" i="24"/>
  <c r="EO15" i="24"/>
  <c r="EO33" i="24"/>
  <c r="EO34" i="24"/>
  <c r="EO25" i="24"/>
  <c r="EO8" i="24"/>
  <c r="EO9" i="24"/>
  <c r="EO17" i="24"/>
  <c r="EO23" i="24"/>
  <c r="EO26" i="24"/>
  <c r="EO6" i="24"/>
  <c r="EO14" i="24"/>
  <c r="EO22" i="24"/>
  <c r="EO49" i="24"/>
  <c r="EO31" i="24"/>
  <c r="EO16" i="24"/>
  <c r="EO24" i="24"/>
  <c r="EO32" i="24"/>
  <c r="EO57" i="24"/>
  <c r="EO39" i="24"/>
  <c r="EO46" i="24"/>
  <c r="EO61" i="24"/>
  <c r="EO65" i="24"/>
  <c r="EO47" i="24"/>
  <c r="EO71" i="24"/>
  <c r="EO41" i="24"/>
  <c r="EO58" i="24"/>
  <c r="EO82" i="24"/>
  <c r="EO43" i="24"/>
  <c r="EO51" i="24"/>
  <c r="EO59" i="24"/>
  <c r="EO83" i="24"/>
  <c r="EO87" i="24"/>
  <c r="EO67" i="24"/>
  <c r="EO75" i="24"/>
  <c r="EO66" i="24"/>
  <c r="EO76" i="24"/>
  <c r="EO85" i="24"/>
  <c r="EO99" i="24"/>
  <c r="EO63" i="24"/>
  <c r="EO91" i="24"/>
  <c r="EO81" i="24"/>
  <c r="EO89" i="24"/>
  <c r="EO84" i="24"/>
  <c r="EO105" i="24"/>
  <c r="EO97" i="24"/>
  <c r="EO98" i="24"/>
  <c r="EO95" i="24"/>
  <c r="EO103" i="24"/>
  <c r="W63" i="1"/>
  <c r="B39" i="29"/>
  <c r="B38" i="29"/>
  <c r="B37" i="29"/>
  <c r="D49" i="29"/>
  <c r="D13" i="1" l="1"/>
  <c r="F13" i="1"/>
  <c r="B35" i="19"/>
  <c r="B33" i="29" l="1"/>
  <c r="B34" i="29" s="1"/>
  <c r="B30" i="29"/>
  <c r="R48" i="2" l="1"/>
  <c r="V48" i="2" s="1"/>
  <c r="V47" i="2"/>
  <c r="V46" i="2"/>
  <c r="V45" i="2"/>
  <c r="V44" i="2"/>
  <c r="V43" i="2"/>
  <c r="V41" i="2"/>
  <c r="V39" i="2"/>
  <c r="V38" i="2"/>
  <c r="V37" i="2"/>
  <c r="V36" i="2"/>
  <c r="V35" i="2"/>
  <c r="V34" i="2"/>
  <c r="Q105" i="2"/>
  <c r="R46" i="2"/>
  <c r="R44" i="2"/>
  <c r="R42" i="2"/>
  <c r="R40" i="2"/>
  <c r="R38" i="2"/>
  <c r="D37" i="29" l="1"/>
  <c r="C43" i="29" l="1"/>
  <c r="C42" i="29"/>
  <c r="C41" i="29"/>
  <c r="A43" i="29"/>
  <c r="A42" i="29"/>
  <c r="A41" i="29"/>
  <c r="R36" i="2" l="1"/>
  <c r="B13" i="29"/>
  <c r="R37" i="2"/>
  <c r="R39" i="2"/>
  <c r="R41" i="2"/>
  <c r="R43" i="2"/>
  <c r="R45" i="2"/>
  <c r="R47" i="2"/>
  <c r="B45" i="19"/>
  <c r="B41" i="19"/>
  <c r="D12" i="1"/>
  <c r="F12" i="1"/>
  <c r="B36" i="19"/>
  <c r="L3" i="29" l="1"/>
  <c r="D39" i="29"/>
  <c r="D38" i="29"/>
  <c r="D32" i="29"/>
  <c r="D31" i="29"/>
  <c r="O3" i="29" s="1"/>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I7" i="29" l="1"/>
  <c r="S452" i="29" s="1"/>
  <c r="I4" i="29"/>
  <c r="R18" i="29" s="1"/>
  <c r="I5" i="29"/>
  <c r="O4" i="29"/>
  <c r="G626" i="29"/>
  <c r="I636" i="29"/>
  <c r="P14" i="29" l="1"/>
  <c r="P22" i="29"/>
  <c r="O297" i="29"/>
  <c r="P408" i="29"/>
  <c r="O382" i="29"/>
  <c r="O158" i="29"/>
  <c r="P21" i="29"/>
  <c r="P94" i="29"/>
  <c r="P162" i="29"/>
  <c r="O159" i="29"/>
  <c r="P235" i="29"/>
  <c r="Q90" i="29"/>
  <c r="R38" i="29"/>
  <c r="Q283" i="29"/>
  <c r="Q334" i="29"/>
  <c r="R73" i="29"/>
  <c r="R30" i="29"/>
  <c r="R26" i="29"/>
  <c r="Q525" i="29"/>
  <c r="Q59" i="29"/>
  <c r="R22" i="29"/>
  <c r="Q50" i="29"/>
  <c r="R34" i="29"/>
  <c r="Q394" i="29"/>
  <c r="Q627" i="29"/>
  <c r="R46" i="29"/>
  <c r="Q101" i="29"/>
  <c r="Q103" i="29"/>
  <c r="R42" i="29"/>
  <c r="R186" i="29"/>
  <c r="Q88" i="29"/>
  <c r="R85" i="29"/>
  <c r="R217" i="29"/>
  <c r="P150" i="29"/>
  <c r="O193" i="29"/>
  <c r="P261" i="29"/>
  <c r="O453" i="29"/>
  <c r="P107" i="29"/>
  <c r="P201" i="29"/>
  <c r="P230" i="29"/>
  <c r="P465" i="29"/>
  <c r="P76" i="29"/>
  <c r="O202" i="29"/>
  <c r="O295" i="29"/>
  <c r="P511" i="29"/>
  <c r="O162" i="29"/>
  <c r="P226" i="29"/>
  <c r="O359" i="29"/>
  <c r="O574" i="29"/>
  <c r="O125" i="29"/>
  <c r="O223" i="29"/>
  <c r="P314" i="29"/>
  <c r="P43" i="29"/>
  <c r="P97" i="29"/>
  <c r="P125" i="29"/>
  <c r="P223" i="29"/>
  <c r="O329" i="29"/>
  <c r="P19" i="29"/>
  <c r="P69" i="29"/>
  <c r="O110" i="29"/>
  <c r="P79" i="29"/>
  <c r="O140" i="29"/>
  <c r="P156" i="29"/>
  <c r="P161" i="29"/>
  <c r="O238" i="29"/>
  <c r="P27" i="29"/>
  <c r="P73" i="29"/>
  <c r="P135" i="29"/>
  <c r="O114" i="29"/>
  <c r="O156" i="29"/>
  <c r="P83" i="29"/>
  <c r="P147" i="29"/>
  <c r="P116" i="29"/>
  <c r="P160" i="29"/>
  <c r="O165" i="29"/>
  <c r="P165" i="29"/>
  <c r="O135" i="29"/>
  <c r="P196" i="29"/>
  <c r="P177" i="29"/>
  <c r="O178" i="29"/>
  <c r="P202" i="29"/>
  <c r="O199" i="29"/>
  <c r="P199" i="29"/>
  <c r="O228" i="29"/>
  <c r="P252" i="29"/>
  <c r="P233" i="29"/>
  <c r="P289" i="29"/>
  <c r="O255" i="29"/>
  <c r="P284" i="29"/>
  <c r="O298" i="29"/>
  <c r="P320" i="29"/>
  <c r="P374" i="29"/>
  <c r="P401" i="29"/>
  <c r="P435" i="29"/>
  <c r="O475" i="29"/>
  <c r="O560" i="29"/>
  <c r="P561" i="29"/>
  <c r="P41" i="29"/>
  <c r="P33" i="29"/>
  <c r="O18" i="29"/>
  <c r="O64" i="29"/>
  <c r="O66" i="29"/>
  <c r="O39" i="29"/>
  <c r="O608" i="29"/>
  <c r="O603" i="29"/>
  <c r="P586" i="29"/>
  <c r="O582" i="29"/>
  <c r="O598" i="29"/>
  <c r="P562" i="29"/>
  <c r="P581" i="29"/>
  <c r="O562" i="29"/>
  <c r="P559" i="29"/>
  <c r="O580" i="29"/>
  <c r="P567" i="29"/>
  <c r="O539" i="29"/>
  <c r="O530" i="29"/>
  <c r="P525" i="29"/>
  <c r="P555" i="29"/>
  <c r="P535" i="29"/>
  <c r="O513" i="29"/>
  <c r="P512" i="29"/>
  <c r="O512" i="29"/>
  <c r="P507" i="29"/>
  <c r="P534" i="29"/>
  <c r="P498" i="29"/>
  <c r="P497" i="29"/>
  <c r="O493" i="29"/>
  <c r="P496" i="29"/>
  <c r="O496" i="29"/>
  <c r="P474" i="29"/>
  <c r="P483" i="29"/>
  <c r="P538" i="29"/>
  <c r="O473" i="29"/>
  <c r="P491" i="29"/>
  <c r="P475" i="29"/>
  <c r="O463" i="29"/>
  <c r="O459" i="29"/>
  <c r="O427" i="29"/>
  <c r="P458" i="29"/>
  <c r="O458" i="29"/>
  <c r="O426" i="29"/>
  <c r="P441" i="29"/>
  <c r="P409" i="29"/>
  <c r="O441" i="29"/>
  <c r="O409" i="29"/>
  <c r="P428" i="29"/>
  <c r="O391" i="29"/>
  <c r="O428" i="29"/>
  <c r="P394" i="29"/>
  <c r="O420" i="29"/>
  <c r="O386" i="29"/>
  <c r="P397" i="29"/>
  <c r="P440" i="29"/>
  <c r="O414" i="29"/>
  <c r="O444" i="29"/>
  <c r="P388" i="29"/>
  <c r="P426" i="29"/>
  <c r="O376" i="29"/>
  <c r="P387" i="29"/>
  <c r="P358" i="29"/>
  <c r="O358" i="29"/>
  <c r="O326" i="29"/>
  <c r="P349" i="29"/>
  <c r="O357" i="29"/>
  <c r="O325" i="29"/>
  <c r="P356" i="29"/>
  <c r="P324" i="29"/>
  <c r="P355" i="29"/>
  <c r="P323" i="29"/>
  <c r="O331" i="29"/>
  <c r="P302" i="29"/>
  <c r="P338" i="29"/>
  <c r="O302" i="29"/>
  <c r="O373" i="29"/>
  <c r="P305" i="29"/>
  <c r="O344" i="29"/>
  <c r="O339" i="29"/>
  <c r="O288" i="29"/>
  <c r="O335" i="29"/>
  <c r="P283" i="29"/>
  <c r="P277" i="29"/>
  <c r="O252" i="29"/>
  <c r="P37" i="29"/>
  <c r="O22" i="29"/>
  <c r="O95" i="29"/>
  <c r="P30" i="29"/>
  <c r="O99" i="29"/>
  <c r="O43" i="29"/>
  <c r="O604" i="29"/>
  <c r="O599" i="29"/>
  <c r="P582" i="29"/>
  <c r="P604" i="29"/>
  <c r="O597" i="29"/>
  <c r="P558" i="29"/>
  <c r="O578" i="29"/>
  <c r="O558" i="29"/>
  <c r="P571" i="29"/>
  <c r="O571" i="29"/>
  <c r="O563" i="29"/>
  <c r="O535" i="29"/>
  <c r="O526" i="29"/>
  <c r="O591" i="29"/>
  <c r="O544" i="29"/>
  <c r="P531" i="29"/>
  <c r="O509" i="29"/>
  <c r="P508" i="29"/>
  <c r="O508" i="29"/>
  <c r="O556" i="29"/>
  <c r="O523" i="29"/>
  <c r="P494" i="29"/>
  <c r="P493" i="29"/>
  <c r="O489" i="29"/>
  <c r="P492" i="29"/>
  <c r="O492" i="29"/>
  <c r="P470" i="29"/>
  <c r="O482" i="29"/>
  <c r="P504" i="29"/>
  <c r="O469" i="29"/>
  <c r="O481" i="29"/>
  <c r="P471" i="29"/>
  <c r="O499" i="29"/>
  <c r="O455" i="29"/>
  <c r="O423" i="29"/>
  <c r="P454" i="29"/>
  <c r="O454" i="29"/>
  <c r="O422" i="29"/>
  <c r="P437" i="29"/>
  <c r="P405" i="29"/>
  <c r="P60" i="29"/>
  <c r="O26" i="29"/>
  <c r="O112" i="29"/>
  <c r="P34" i="29"/>
  <c r="O36" i="29"/>
  <c r="O600" i="29"/>
  <c r="P606" i="29"/>
  <c r="P578" i="29"/>
  <c r="P596" i="29"/>
  <c r="P592" i="29"/>
  <c r="P600" i="29"/>
  <c r="O581" i="29"/>
  <c r="P556" i="29"/>
  <c r="O570" i="29"/>
  <c r="P568" i="29"/>
  <c r="P560" i="29"/>
  <c r="O531" i="29"/>
  <c r="P552" i="29"/>
  <c r="P551" i="29"/>
  <c r="O540" i="29"/>
  <c r="P527" i="29"/>
  <c r="O505" i="29"/>
  <c r="P573" i="29"/>
  <c r="O579" i="29"/>
  <c r="P540" i="29"/>
  <c r="P522" i="29"/>
  <c r="P490" i="29"/>
  <c r="P489" i="29"/>
  <c r="O485" i="29"/>
  <c r="P488" i="29"/>
  <c r="O488" i="29"/>
  <c r="P466" i="29"/>
  <c r="P479" i="29"/>
  <c r="P499" i="29"/>
  <c r="O465" i="29"/>
  <c r="O476" i="29"/>
  <c r="P467" i="29"/>
  <c r="P459" i="29"/>
  <c r="O451" i="29"/>
  <c r="O419" i="29"/>
  <c r="P450" i="29"/>
  <c r="O450" i="29"/>
  <c r="P464" i="29"/>
  <c r="P433" i="29"/>
  <c r="P495" i="29"/>
  <c r="O433" i="29"/>
  <c r="P472" i="29"/>
  <c r="P416" i="29"/>
  <c r="O383" i="29"/>
  <c r="O416" i="29"/>
  <c r="P386" i="29"/>
  <c r="P410" i="29"/>
  <c r="O378" i="29"/>
  <c r="P389" i="29"/>
  <c r="P432" i="29"/>
  <c r="O397" i="29"/>
  <c r="O432" i="29"/>
  <c r="P380" i="29"/>
  <c r="O400" i="29"/>
  <c r="P412" i="29"/>
  <c r="P379" i="29"/>
  <c r="P350" i="29"/>
  <c r="O350" i="29"/>
  <c r="O318" i="29"/>
  <c r="P341" i="29"/>
  <c r="O349" i="29"/>
  <c r="O317" i="29"/>
  <c r="P348" i="29"/>
  <c r="P316" i="29"/>
  <c r="P347" i="29"/>
  <c r="P315" i="29"/>
  <c r="O323" i="29"/>
  <c r="P294" i="29"/>
  <c r="P333" i="29"/>
  <c r="O294" i="29"/>
  <c r="O356" i="29"/>
  <c r="P326" i="29"/>
  <c r="O327" i="29"/>
  <c r="P321" i="29"/>
  <c r="O280" i="29"/>
  <c r="P307" i="29"/>
  <c r="P275" i="29"/>
  <c r="O273" i="29"/>
  <c r="O244" i="29"/>
  <c r="O62" i="29"/>
  <c r="O30" i="29"/>
  <c r="O120" i="29"/>
  <c r="P38" i="29"/>
  <c r="P18" i="29"/>
  <c r="O59" i="29"/>
  <c r="O596" i="29"/>
  <c r="P602" i="29"/>
  <c r="O610" i="29"/>
  <c r="O589" i="29"/>
  <c r="P591" i="29"/>
  <c r="P587" i="29"/>
  <c r="P579" i="29"/>
  <c r="O552" i="29"/>
  <c r="P569" i="29"/>
  <c r="P563" i="29"/>
  <c r="O553" i="29"/>
  <c r="O527" i="29"/>
  <c r="P547" i="29"/>
  <c r="O541" i="29"/>
  <c r="O536" i="29"/>
  <c r="P523" i="29"/>
  <c r="O567" i="29"/>
  <c r="P536" i="29"/>
  <c r="P530" i="29"/>
  <c r="O519" i="29"/>
  <c r="P518" i="29"/>
  <c r="P486" i="29"/>
  <c r="P485" i="29"/>
  <c r="P546" i="29"/>
  <c r="P484" i="29"/>
  <c r="O484" i="29"/>
  <c r="O494" i="29"/>
  <c r="O478" i="29"/>
  <c r="O486" i="29"/>
  <c r="O518" i="29"/>
  <c r="O472" i="29"/>
  <c r="P463" i="29"/>
  <c r="P455" i="29"/>
  <c r="O447" i="29"/>
  <c r="O415" i="29"/>
  <c r="P446" i="29"/>
  <c r="O446" i="29"/>
  <c r="P461" i="29"/>
  <c r="P429" i="29"/>
  <c r="O461" i="29"/>
  <c r="O429" i="29"/>
  <c r="P460" i="29"/>
  <c r="O412" i="29"/>
  <c r="O379" i="29"/>
  <c r="P407" i="29"/>
  <c r="P382" i="29"/>
  <c r="O406" i="29"/>
  <c r="O460" i="29"/>
  <c r="P385" i="29"/>
  <c r="P431" i="29"/>
  <c r="O393" i="29"/>
  <c r="O424" i="29"/>
  <c r="P376" i="29"/>
  <c r="O396" i="29"/>
  <c r="O408" i="29"/>
  <c r="P375" i="29"/>
  <c r="P346" i="29"/>
  <c r="O346" i="29"/>
  <c r="P369" i="29"/>
  <c r="P337" i="29"/>
  <c r="O345" i="29"/>
  <c r="O313" i="29"/>
  <c r="P344" i="29"/>
  <c r="P312" i="29"/>
  <c r="P343" i="29"/>
  <c r="O368" i="29"/>
  <c r="O316" i="29"/>
  <c r="P290" i="29"/>
  <c r="P325" i="29"/>
  <c r="O290" i="29"/>
  <c r="O351" i="29"/>
  <c r="P318" i="29"/>
  <c r="O320" i="29"/>
  <c r="O308" i="29"/>
  <c r="O276" i="29"/>
  <c r="P303" i="29"/>
  <c r="O307" i="29"/>
  <c r="O272" i="29"/>
  <c r="O240" i="29"/>
  <c r="O69" i="29"/>
  <c r="O46" i="29"/>
  <c r="P130" i="29"/>
  <c r="P48" i="29"/>
  <c r="P26" i="29"/>
  <c r="P66" i="29"/>
  <c r="P611" i="29"/>
  <c r="P598" i="29"/>
  <c r="O594" i="29"/>
  <c r="O585" i="29"/>
  <c r="P588" i="29"/>
  <c r="P577" i="29"/>
  <c r="O576" i="29"/>
  <c r="O547" i="29"/>
  <c r="P564" i="29"/>
  <c r="P557" i="29"/>
  <c r="O549" i="29"/>
  <c r="O546" i="29"/>
  <c r="P541" i="29"/>
  <c r="O537" i="29"/>
  <c r="O532" i="29"/>
  <c r="O575" i="29"/>
  <c r="P548" i="29"/>
  <c r="P526" i="29"/>
  <c r="O524" i="29"/>
  <c r="O515" i="29"/>
  <c r="P514" i="29"/>
  <c r="P482" i="29"/>
  <c r="O522" i="29"/>
  <c r="P528" i="29"/>
  <c r="P521" i="29"/>
  <c r="P544" i="29"/>
  <c r="O474" i="29"/>
  <c r="P477" i="29"/>
  <c r="O483" i="29"/>
  <c r="P513" i="29"/>
  <c r="O468" i="29"/>
  <c r="O487" i="29"/>
  <c r="P451" i="29"/>
  <c r="O443" i="29"/>
  <c r="O411" i="29"/>
  <c r="P442" i="29"/>
  <c r="O442" i="29"/>
  <c r="P457" i="29"/>
  <c r="P425" i="29"/>
  <c r="O457" i="29"/>
  <c r="O425" i="29"/>
  <c r="P456" i="29"/>
  <c r="P404" i="29"/>
  <c r="O375" i="29"/>
  <c r="P406" i="29"/>
  <c r="P378" i="29"/>
  <c r="O402" i="29"/>
  <c r="P415" i="29"/>
  <c r="P381" i="29"/>
  <c r="P424" i="29"/>
  <c r="O389" i="29"/>
  <c r="O418" i="29"/>
  <c r="P372" i="29"/>
  <c r="O392" i="29"/>
  <c r="P403" i="29"/>
  <c r="P371" i="29"/>
  <c r="P342" i="29"/>
  <c r="O342" i="29"/>
  <c r="P365" i="29"/>
  <c r="P370" i="29"/>
  <c r="O341" i="29"/>
  <c r="O370" i="29"/>
  <c r="P340" i="29"/>
  <c r="O372" i="29"/>
  <c r="P339" i="29"/>
  <c r="O363" i="29"/>
  <c r="O315" i="29"/>
  <c r="P286" i="29"/>
  <c r="P317" i="29"/>
  <c r="O286" i="29"/>
  <c r="O340" i="29"/>
  <c r="O309" i="29"/>
  <c r="O319" i="29"/>
  <c r="O304" i="29"/>
  <c r="O364" i="29"/>
  <c r="P299" i="29"/>
  <c r="P293" i="29"/>
  <c r="O268" i="29"/>
  <c r="O236" i="29"/>
  <c r="P25" i="29"/>
  <c r="O89" i="29"/>
  <c r="O55" i="29"/>
  <c r="O57" i="29"/>
  <c r="O31" i="29"/>
  <c r="O611" i="29"/>
  <c r="G624" i="29"/>
  <c r="R624" i="29" s="1"/>
  <c r="O590" i="29"/>
  <c r="O606" i="29"/>
  <c r="P584" i="29"/>
  <c r="O557" i="29"/>
  <c r="O568" i="29"/>
  <c r="P565" i="29"/>
  <c r="O554" i="29"/>
  <c r="P549" i="29"/>
  <c r="O566" i="29"/>
  <c r="O538" i="29"/>
  <c r="P533" i="29"/>
  <c r="O529" i="29"/>
  <c r="P543" i="29"/>
  <c r="O521" i="29"/>
  <c r="P520" i="29"/>
  <c r="O520" i="29"/>
  <c r="P515" i="29"/>
  <c r="O507" i="29"/>
  <c r="P506" i="29"/>
  <c r="O502" i="29"/>
  <c r="O501" i="29"/>
  <c r="P503" i="29"/>
  <c r="O503" i="29"/>
  <c r="P502" i="29"/>
  <c r="O466" i="29"/>
  <c r="P469" i="29"/>
  <c r="O479" i="29"/>
  <c r="O514" i="29"/>
  <c r="O491" i="29"/>
  <c r="O471" i="29"/>
  <c r="P443" i="29"/>
  <c r="O435" i="29"/>
  <c r="O480" i="29"/>
  <c r="P476" i="29"/>
  <c r="O434" i="29"/>
  <c r="P449" i="29"/>
  <c r="P417" i="29"/>
  <c r="O449" i="29"/>
  <c r="O417" i="29"/>
  <c r="P436" i="29"/>
  <c r="O399" i="29"/>
  <c r="O452" i="29"/>
  <c r="P402" i="29"/>
  <c r="P430" i="29"/>
  <c r="O394" i="29"/>
  <c r="O410" i="29"/>
  <c r="P373" i="29"/>
  <c r="P419" i="29"/>
  <c r="O381" i="29"/>
  <c r="P396" i="29"/>
  <c r="P448" i="29"/>
  <c r="O384" i="29"/>
  <c r="P395" i="29"/>
  <c r="P366" i="29"/>
  <c r="O366" i="29"/>
  <c r="O334" i="29"/>
  <c r="P357" i="29"/>
  <c r="O365" i="29"/>
  <c r="O333" i="29"/>
  <c r="P364" i="29"/>
  <c r="P332" i="29"/>
  <c r="P363" i="29"/>
  <c r="P331" i="29"/>
  <c r="O347" i="29"/>
  <c r="P310" i="29"/>
  <c r="P278" i="29"/>
  <c r="O310" i="29"/>
  <c r="O278" i="29"/>
  <c r="O312" i="29"/>
  <c r="O360" i="29"/>
  <c r="P304" i="29"/>
  <c r="O296" i="29"/>
  <c r="O348" i="29"/>
  <c r="P291" i="29"/>
  <c r="P285" i="29"/>
  <c r="O260" i="29"/>
  <c r="P330" i="29"/>
  <c r="O14" i="29"/>
  <c r="O15" i="29"/>
  <c r="P594" i="29"/>
  <c r="O561" i="29"/>
  <c r="P553" i="29"/>
  <c r="O533" i="29"/>
  <c r="P524" i="29"/>
  <c r="P478" i="29"/>
  <c r="O506" i="29"/>
  <c r="P509" i="29"/>
  <c r="O439" i="29"/>
  <c r="P453" i="29"/>
  <c r="O413" i="29"/>
  <c r="O371" i="29"/>
  <c r="P411" i="29"/>
  <c r="P444" i="29"/>
  <c r="P400" i="29"/>
  <c r="O362" i="29"/>
  <c r="P352" i="29"/>
  <c r="P327" i="29"/>
  <c r="P282" i="29"/>
  <c r="O367" i="29"/>
  <c r="P300" i="29"/>
  <c r="O248" i="29"/>
  <c r="O267" i="29"/>
  <c r="P242" i="29"/>
  <c r="P297" i="29"/>
  <c r="O48" i="29"/>
  <c r="O35" i="29"/>
  <c r="P590" i="29"/>
  <c r="O587" i="29"/>
  <c r="P545" i="29"/>
  <c r="O525" i="29"/>
  <c r="O516" i="29"/>
  <c r="P501" i="29"/>
  <c r="O498" i="29"/>
  <c r="O495" i="29"/>
  <c r="O431" i="29"/>
  <c r="P445" i="29"/>
  <c r="O405" i="29"/>
  <c r="O436" i="29"/>
  <c r="O398" i="29"/>
  <c r="P439" i="29"/>
  <c r="P392" i="29"/>
  <c r="P399" i="29"/>
  <c r="O354" i="29"/>
  <c r="O361" i="29"/>
  <c r="P336" i="29"/>
  <c r="P319" i="29"/>
  <c r="P274" i="29"/>
  <c r="O314" i="29"/>
  <c r="P329" i="29"/>
  <c r="P287" i="29"/>
  <c r="O232" i="29"/>
  <c r="P255" i="29"/>
  <c r="O263" i="29"/>
  <c r="P270" i="29"/>
  <c r="P238" i="29"/>
  <c r="O270" i="29"/>
  <c r="O289" i="29"/>
  <c r="P245" i="29"/>
  <c r="O291" i="29"/>
  <c r="O249" i="29"/>
  <c r="P260" i="29"/>
  <c r="O233" i="29"/>
  <c r="P200" i="29"/>
  <c r="O212" i="29"/>
  <c r="O180" i="29"/>
  <c r="P207" i="29"/>
  <c r="P175" i="29"/>
  <c r="O207" i="29"/>
  <c r="O175" i="29"/>
  <c r="P210" i="29"/>
  <c r="O218" i="29"/>
  <c r="O186" i="29"/>
  <c r="P217" i="29"/>
  <c r="P185" i="29"/>
  <c r="O209" i="29"/>
  <c r="O177" i="29"/>
  <c r="P184" i="29"/>
  <c r="O143" i="29"/>
  <c r="P178" i="29"/>
  <c r="P171" i="29"/>
  <c r="P141" i="29"/>
  <c r="P176" i="29"/>
  <c r="O141" i="29"/>
  <c r="P168" i="29"/>
  <c r="P136" i="29"/>
  <c r="O130" i="29"/>
  <c r="P92" i="29"/>
  <c r="P155" i="29"/>
  <c r="P123" i="29"/>
  <c r="P91" i="29"/>
  <c r="P59" i="29"/>
  <c r="O115" i="29"/>
  <c r="P110" i="29"/>
  <c r="P159" i="29"/>
  <c r="O90" i="29"/>
  <c r="P143" i="29"/>
  <c r="P113" i="29"/>
  <c r="P81" i="29"/>
  <c r="P49" i="29"/>
  <c r="O70" i="29"/>
  <c r="O105" i="29"/>
  <c r="O68" i="29"/>
  <c r="O586" i="29"/>
  <c r="O543" i="29"/>
  <c r="P62" i="29"/>
  <c r="P593" i="29"/>
  <c r="O572" i="29"/>
  <c r="O545" i="29"/>
  <c r="O528" i="29"/>
  <c r="P519" i="29"/>
  <c r="P517" i="29"/>
  <c r="O470" i="29"/>
  <c r="O464" i="29"/>
  <c r="O407" i="29"/>
  <c r="P421" i="29"/>
  <c r="P452" i="29"/>
  <c r="P420" i="29"/>
  <c r="O390" i="29"/>
  <c r="P423" i="29"/>
  <c r="P384" i="29"/>
  <c r="P391" i="29"/>
  <c r="O338" i="29"/>
  <c r="O353" i="29"/>
  <c r="P328" i="29"/>
  <c r="O352" i="29"/>
  <c r="O336" i="29"/>
  <c r="P309" i="29"/>
  <c r="O300" i="29"/>
  <c r="P279" i="29"/>
  <c r="O293" i="29"/>
  <c r="P251" i="29"/>
  <c r="O259" i="29"/>
  <c r="P266" i="29"/>
  <c r="P234" i="29"/>
  <c r="O266" i="29"/>
  <c r="O281" i="29"/>
  <c r="P241" i="29"/>
  <c r="O283" i="29"/>
  <c r="O245" i="29"/>
  <c r="P256" i="29"/>
  <c r="P228" i="29"/>
  <c r="P239" i="29"/>
  <c r="O208" i="29"/>
  <c r="O176" i="29"/>
  <c r="P203" i="29"/>
  <c r="O246" i="29"/>
  <c r="O203" i="29"/>
  <c r="O171" i="29"/>
  <c r="P206" i="29"/>
  <c r="O214" i="29"/>
  <c r="O182" i="29"/>
  <c r="P213" i="29"/>
  <c r="P181" i="29"/>
  <c r="O205" i="29"/>
  <c r="O173" i="29"/>
  <c r="P172" i="29"/>
  <c r="O139" i="29"/>
  <c r="O172" i="29"/>
  <c r="P169" i="29"/>
  <c r="P137" i="29"/>
  <c r="O169" i="29"/>
  <c r="O137" i="29"/>
  <c r="P164" i="29"/>
  <c r="P132" i="29"/>
  <c r="O122" i="29"/>
  <c r="P88" i="29"/>
  <c r="O148" i="29"/>
  <c r="P119" i="29"/>
  <c r="P87" i="29"/>
  <c r="P55" i="29"/>
  <c r="O170" i="29"/>
  <c r="P106" i="29"/>
  <c r="P118" i="29"/>
  <c r="O86" i="29"/>
  <c r="O136" i="29"/>
  <c r="P109" i="29"/>
  <c r="P77" i="29"/>
  <c r="P15" i="29"/>
  <c r="P31" i="29"/>
  <c r="O107" i="29"/>
  <c r="P146" i="29"/>
  <c r="P29" i="29"/>
  <c r="O50" i="29"/>
  <c r="P595" i="29"/>
  <c r="P585" i="29"/>
  <c r="O559" i="29"/>
  <c r="P537" i="29"/>
  <c r="P542" i="29"/>
  <c r="P510" i="29"/>
  <c r="O510" i="29"/>
  <c r="P480" i="29"/>
  <c r="P447" i="29"/>
  <c r="O438" i="29"/>
  <c r="O437" i="29"/>
  <c r="O395" i="29"/>
  <c r="P438" i="29"/>
  <c r="P393" i="29"/>
  <c r="O377" i="29"/>
  <c r="O388" i="29"/>
  <c r="P354" i="29"/>
  <c r="P353" i="29"/>
  <c r="P368" i="29"/>
  <c r="P351" i="29"/>
  <c r="P306" i="29"/>
  <c r="O282" i="29"/>
  <c r="O328" i="29"/>
  <c r="O343" i="29"/>
  <c r="O264" i="29"/>
  <c r="P267" i="29"/>
  <c r="O279" i="29"/>
  <c r="O243" i="29"/>
  <c r="P250" i="29"/>
  <c r="P288" i="29"/>
  <c r="O250" i="29"/>
  <c r="P257" i="29"/>
  <c r="O301" i="29"/>
  <c r="O261" i="29"/>
  <c r="P272" i="29"/>
  <c r="P240" i="29"/>
  <c r="P212" i="29"/>
  <c r="O224" i="29"/>
  <c r="O192" i="29"/>
  <c r="P219" i="29"/>
  <c r="P187" i="29"/>
  <c r="O219" i="29"/>
  <c r="O187" i="29"/>
  <c r="P222" i="29"/>
  <c r="O230" i="29"/>
  <c r="O198" i="29"/>
  <c r="P229" i="29"/>
  <c r="P197" i="29"/>
  <c r="O221" i="29"/>
  <c r="O189" i="29"/>
  <c r="O164" i="29"/>
  <c r="O155" i="29"/>
  <c r="O123" i="29"/>
  <c r="P158" i="29"/>
  <c r="P153" i="29"/>
  <c r="P121" i="29"/>
  <c r="O153" i="29"/>
  <c r="O121" i="29"/>
  <c r="P148" i="29"/>
  <c r="O154" i="29"/>
  <c r="P104" i="29"/>
  <c r="P167" i="29"/>
  <c r="O132" i="29"/>
  <c r="P103" i="29"/>
  <c r="P71" i="29"/>
  <c r="P142" i="29"/>
  <c r="O134" i="29"/>
  <c r="P90" i="29"/>
  <c r="O102" i="29"/>
  <c r="O152" i="29"/>
  <c r="P120" i="29"/>
  <c r="P93" i="29"/>
  <c r="P61" i="29"/>
  <c r="P23" i="29"/>
  <c r="P39" i="29"/>
  <c r="O61" i="29"/>
  <c r="O369" i="29"/>
  <c r="P301" i="29"/>
  <c r="P264" i="29"/>
  <c r="P204" i="29"/>
  <c r="O184" i="29"/>
  <c r="O75" i="29"/>
  <c r="P64" i="29"/>
  <c r="O607" i="29"/>
  <c r="P583" i="29"/>
  <c r="O550" i="29"/>
  <c r="P529" i="29"/>
  <c r="P516" i="29"/>
  <c r="O504" i="29"/>
  <c r="O500" i="29"/>
  <c r="O477" i="29"/>
  <c r="P468" i="29"/>
  <c r="O430" i="29"/>
  <c r="O421" i="29"/>
  <c r="O387" i="29"/>
  <c r="P422" i="29"/>
  <c r="P377" i="29"/>
  <c r="O440" i="29"/>
  <c r="O380" i="29"/>
  <c r="O374" i="29"/>
  <c r="P345" i="29"/>
  <c r="P360" i="29"/>
  <c r="P335" i="29"/>
  <c r="P298" i="29"/>
  <c r="O274" i="29"/>
  <c r="P308" i="29"/>
  <c r="P313" i="29"/>
  <c r="O256" i="29"/>
  <c r="P263" i="29"/>
  <c r="O271" i="29"/>
  <c r="O239" i="29"/>
  <c r="P246" i="29"/>
  <c r="P281" i="29"/>
  <c r="P311" i="29"/>
  <c r="P253" i="29"/>
  <c r="O299" i="29"/>
  <c r="O257" i="29"/>
  <c r="P268" i="29"/>
  <c r="P236" i="29"/>
  <c r="P208" i="29"/>
  <c r="O220" i="29"/>
  <c r="O188" i="29"/>
  <c r="P215" i="29"/>
  <c r="P183" i="29"/>
  <c r="O215" i="29"/>
  <c r="O183" i="29"/>
  <c r="P218" i="29"/>
  <c r="O226" i="29"/>
  <c r="O194" i="29"/>
  <c r="P225" i="29"/>
  <c r="P193" i="29"/>
  <c r="O217" i="29"/>
  <c r="O185" i="29"/>
  <c r="O160" i="29"/>
  <c r="O151" i="29"/>
  <c r="O119" i="29"/>
  <c r="P188" i="29"/>
  <c r="P149" i="29"/>
  <c r="P198" i="29"/>
  <c r="O149" i="29"/>
  <c r="P186" i="29"/>
  <c r="P144" i="29"/>
  <c r="O146" i="29"/>
  <c r="P100" i="29"/>
  <c r="O116" i="29"/>
  <c r="P131" i="29"/>
  <c r="P99" i="29"/>
  <c r="P67" i="29"/>
  <c r="P134" i="29"/>
  <c r="O126" i="29"/>
  <c r="P86" i="29"/>
  <c r="O98" i="29"/>
  <c r="P151" i="29"/>
  <c r="O118" i="29"/>
  <c r="P89" i="29"/>
  <c r="P57" i="29"/>
  <c r="O92" i="29"/>
  <c r="O448" i="29"/>
  <c r="P295" i="29"/>
  <c r="P259" i="29"/>
  <c r="O303" i="29"/>
  <c r="P280" i="29"/>
  <c r="P249" i="29"/>
  <c r="O253" i="29"/>
  <c r="P232" i="29"/>
  <c r="O216" i="29"/>
  <c r="P105" i="29"/>
  <c r="P115" i="29"/>
  <c r="P52" i="29"/>
  <c r="O128" i="29"/>
  <c r="O79" i="29"/>
  <c r="P85" i="29"/>
  <c r="O144" i="29"/>
  <c r="P82" i="29"/>
  <c r="P126" i="29"/>
  <c r="P95" i="29"/>
  <c r="O166" i="29"/>
  <c r="O138" i="29"/>
  <c r="P174" i="29"/>
  <c r="P192" i="29"/>
  <c r="P182" i="29"/>
  <c r="O147" i="29"/>
  <c r="O181" i="29"/>
  <c r="P189" i="29"/>
  <c r="O190" i="29"/>
  <c r="P214" i="29"/>
  <c r="O211" i="29"/>
  <c r="P211" i="29"/>
  <c r="O234" i="29"/>
  <c r="P273" i="29"/>
  <c r="P237" i="29"/>
  <c r="P296" i="29"/>
  <c r="O287" i="29"/>
  <c r="P292" i="29"/>
  <c r="O306" i="29"/>
  <c r="O321" i="29"/>
  <c r="P383" i="29"/>
  <c r="P414" i="29"/>
  <c r="O445" i="29"/>
  <c r="P487" i="29"/>
  <c r="O511" i="29"/>
  <c r="O583" i="29"/>
  <c r="P627" i="29"/>
  <c r="P68" i="29"/>
  <c r="P101" i="29"/>
  <c r="O78" i="29"/>
  <c r="P98" i="29"/>
  <c r="P173" i="29"/>
  <c r="P111" i="29"/>
  <c r="P80" i="29"/>
  <c r="P124" i="29"/>
  <c r="O129" i="29"/>
  <c r="P129" i="29"/>
  <c r="P166" i="29"/>
  <c r="O163" i="29"/>
  <c r="O197" i="29"/>
  <c r="P205" i="29"/>
  <c r="O206" i="29"/>
  <c r="O237" i="29"/>
  <c r="O227" i="29"/>
  <c r="P227" i="29"/>
  <c r="P216" i="29"/>
  <c r="O241" i="29"/>
  <c r="P265" i="29"/>
  <c r="P254" i="29"/>
  <c r="P247" i="29"/>
  <c r="O284" i="29"/>
  <c r="O311" i="29"/>
  <c r="O337" i="29"/>
  <c r="P434" i="29"/>
  <c r="P390" i="29"/>
  <c r="P413" i="29"/>
  <c r="P473" i="29"/>
  <c r="O517" i="29"/>
  <c r="O605" i="29"/>
  <c r="P51" i="29"/>
  <c r="O133" i="29"/>
  <c r="O167" i="29"/>
  <c r="P209" i="29"/>
  <c r="O242" i="29"/>
  <c r="P243" i="29"/>
  <c r="O235" i="29"/>
  <c r="O265" i="29"/>
  <c r="P269" i="29"/>
  <c r="P258" i="29"/>
  <c r="P271" i="29"/>
  <c r="O292" i="29"/>
  <c r="O324" i="29"/>
  <c r="P361" i="29"/>
  <c r="O456" i="29"/>
  <c r="P398" i="29"/>
  <c r="O462" i="29"/>
  <c r="O490" i="29"/>
  <c r="P532" i="29"/>
  <c r="P613" i="29"/>
  <c r="O82" i="29"/>
  <c r="P84" i="29"/>
  <c r="P133" i="29"/>
  <c r="P170" i="29"/>
  <c r="O201" i="29"/>
  <c r="O210" i="29"/>
  <c r="P220" i="29"/>
  <c r="P35" i="29"/>
  <c r="P53" i="29"/>
  <c r="P117" i="29"/>
  <c r="O94" i="29"/>
  <c r="P114" i="29"/>
  <c r="P63" i="29"/>
  <c r="O124" i="29"/>
  <c r="P96" i="29"/>
  <c r="P140" i="29"/>
  <c r="O145" i="29"/>
  <c r="P145" i="29"/>
  <c r="P194" i="29"/>
  <c r="P190" i="29"/>
  <c r="O213" i="29"/>
  <c r="P221" i="29"/>
  <c r="O222" i="29"/>
  <c r="O179" i="29"/>
  <c r="P179" i="29"/>
  <c r="O196" i="29"/>
  <c r="P224" i="29"/>
  <c r="O269" i="29"/>
  <c r="O254" i="29"/>
  <c r="P262" i="29"/>
  <c r="O277" i="29"/>
  <c r="O355" i="29"/>
  <c r="O332" i="29"/>
  <c r="O322" i="29"/>
  <c r="O385" i="29"/>
  <c r="O404" i="29"/>
  <c r="P481" i="29"/>
  <c r="P500" i="29"/>
  <c r="P539" i="29"/>
  <c r="O88" i="29"/>
  <c r="P128" i="29"/>
  <c r="O54" i="29"/>
  <c r="P65" i="29"/>
  <c r="P127" i="29"/>
  <c r="O106" i="29"/>
  <c r="O142" i="29"/>
  <c r="P75" i="29"/>
  <c r="P139" i="29"/>
  <c r="P108" i="29"/>
  <c r="P152" i="29"/>
  <c r="O157" i="29"/>
  <c r="P157" i="29"/>
  <c r="O127" i="29"/>
  <c r="O168" i="29"/>
  <c r="O225" i="29"/>
  <c r="O231" i="29"/>
  <c r="P231" i="29"/>
  <c r="O191" i="29"/>
  <c r="P191" i="29"/>
  <c r="O200" i="29"/>
  <c r="P244" i="29"/>
  <c r="O275" i="29"/>
  <c r="O258" i="29"/>
  <c r="O247" i="29"/>
  <c r="O285" i="29"/>
  <c r="O305" i="29"/>
  <c r="P359" i="29"/>
  <c r="O330" i="29"/>
  <c r="O401" i="29"/>
  <c r="O403" i="29"/>
  <c r="P462" i="29"/>
  <c r="P505" i="29"/>
  <c r="O534" i="29"/>
  <c r="O627" i="29"/>
  <c r="P102" i="29"/>
  <c r="O150" i="29"/>
  <c r="P112" i="29"/>
  <c r="O161" i="29"/>
  <c r="O131" i="29"/>
  <c r="P180" i="29"/>
  <c r="O229" i="29"/>
  <c r="O174" i="29"/>
  <c r="O195" i="29"/>
  <c r="P195" i="29"/>
  <c r="O204" i="29"/>
  <c r="P248" i="29"/>
  <c r="P322" i="29"/>
  <c r="O262" i="29"/>
  <c r="O251" i="29"/>
  <c r="P276" i="29"/>
  <c r="P334" i="29"/>
  <c r="P367" i="29"/>
  <c r="P362" i="29"/>
  <c r="P418" i="29"/>
  <c r="P427" i="29"/>
  <c r="O467" i="29"/>
  <c r="O497" i="29"/>
  <c r="O542" i="29"/>
  <c r="P580" i="29"/>
  <c r="O551" i="29"/>
  <c r="P575" i="29"/>
  <c r="P572" i="29"/>
  <c r="O565" i="29"/>
  <c r="P566" i="29"/>
  <c r="P608" i="29"/>
  <c r="O613" i="29"/>
  <c r="P612" i="29"/>
  <c r="O601" i="29"/>
  <c r="P601" i="29"/>
  <c r="P610" i="29"/>
  <c r="P599" i="29"/>
  <c r="O612" i="29"/>
  <c r="O52" i="29"/>
  <c r="O27" i="29"/>
  <c r="O97" i="29"/>
  <c r="O47" i="29"/>
  <c r="O44" i="29"/>
  <c r="O93" i="29"/>
  <c r="O42" i="29"/>
  <c r="P163" i="29"/>
  <c r="O53" i="29"/>
  <c r="P17" i="29"/>
  <c r="P550" i="29"/>
  <c r="O555" i="29"/>
  <c r="O592" i="29"/>
  <c r="P576" i="29"/>
  <c r="O569" i="29"/>
  <c r="P570" i="29"/>
  <c r="O584" i="29"/>
  <c r="P597" i="29"/>
  <c r="P589" i="29"/>
  <c r="O602" i="29"/>
  <c r="P609" i="29"/>
  <c r="I634" i="29"/>
  <c r="P603" i="29"/>
  <c r="O103" i="29"/>
  <c r="P50" i="29"/>
  <c r="O23" i="29"/>
  <c r="O84" i="29"/>
  <c r="P46" i="29"/>
  <c r="O24" i="29"/>
  <c r="O80" i="29"/>
  <c r="O38" i="29"/>
  <c r="O108" i="29"/>
  <c r="P45" i="29"/>
  <c r="P13" i="29"/>
  <c r="P554" i="29"/>
  <c r="O548" i="29"/>
  <c r="O564" i="29"/>
  <c r="O577" i="29"/>
  <c r="O573" i="29"/>
  <c r="P574" i="29"/>
  <c r="O588" i="29"/>
  <c r="P605" i="29"/>
  <c r="O593" i="29"/>
  <c r="O609" i="29"/>
  <c r="AC624" i="29"/>
  <c r="O595" i="29"/>
  <c r="P607" i="29"/>
  <c r="O101" i="29"/>
  <c r="P47" i="29"/>
  <c r="O19" i="29"/>
  <c r="O73" i="29"/>
  <c r="P42" i="29"/>
  <c r="O71" i="29"/>
  <c r="O34" i="29"/>
  <c r="O91" i="29"/>
  <c r="T35" i="29"/>
  <c r="S109" i="29"/>
  <c r="Q416" i="29"/>
  <c r="Q559" i="29"/>
  <c r="R627" i="29"/>
  <c r="Q66" i="29"/>
  <c r="R57" i="29"/>
  <c r="Q47" i="29"/>
  <c r="R159" i="29"/>
  <c r="R291" i="29"/>
  <c r="Q333" i="29"/>
  <c r="Q468" i="29"/>
  <c r="R161" i="29"/>
  <c r="Q261" i="29"/>
  <c r="Q383" i="29"/>
  <c r="Q492" i="29"/>
  <c r="Q145" i="29"/>
  <c r="Q30" i="29"/>
  <c r="R67" i="29"/>
  <c r="R149" i="29"/>
  <c r="R185" i="29"/>
  <c r="R214" i="29"/>
  <c r="R296" i="29"/>
  <c r="R318" i="29"/>
  <c r="R375" i="29"/>
  <c r="R453" i="29"/>
  <c r="Q518" i="29"/>
  <c r="Q582" i="29"/>
  <c r="R609" i="29"/>
  <c r="R84" i="29"/>
  <c r="R131" i="29"/>
  <c r="Q228" i="29"/>
  <c r="R316" i="29"/>
  <c r="Q323" i="29"/>
  <c r="R346" i="29"/>
  <c r="Q381" i="29"/>
  <c r="R474" i="29"/>
  <c r="R523" i="29"/>
  <c r="I635" i="29"/>
  <c r="S96" i="29"/>
  <c r="S186" i="29"/>
  <c r="S114" i="29"/>
  <c r="S270" i="29"/>
  <c r="T147" i="29"/>
  <c r="T344" i="29"/>
  <c r="T215" i="29"/>
  <c r="T25" i="29"/>
  <c r="T145" i="29"/>
  <c r="T86" i="29"/>
  <c r="S125" i="29"/>
  <c r="S212" i="29"/>
  <c r="T270" i="29"/>
  <c r="S302" i="29"/>
  <c r="T433" i="29"/>
  <c r="T116" i="29"/>
  <c r="T138" i="29"/>
  <c r="S158" i="29"/>
  <c r="S231" i="29"/>
  <c r="S297" i="29"/>
  <c r="S284" i="29"/>
  <c r="S461" i="29"/>
  <c r="T75" i="29"/>
  <c r="T61" i="29"/>
  <c r="S139" i="29"/>
  <c r="S211" i="29"/>
  <c r="T177" i="29"/>
  <c r="S289" i="29"/>
  <c r="T345" i="29"/>
  <c r="T91" i="29"/>
  <c r="S112" i="29"/>
  <c r="S154" i="29"/>
  <c r="T144" i="29"/>
  <c r="T77" i="29"/>
  <c r="S132" i="29"/>
  <c r="T102" i="29"/>
  <c r="T154" i="29"/>
  <c r="S155" i="29"/>
  <c r="T163" i="29"/>
  <c r="S141" i="29"/>
  <c r="T172" i="29"/>
  <c r="S227" i="29"/>
  <c r="S232" i="29"/>
  <c r="S228" i="29"/>
  <c r="S185" i="29"/>
  <c r="T193" i="29"/>
  <c r="S218" i="29"/>
  <c r="S333" i="29"/>
  <c r="S268" i="29"/>
  <c r="S265" i="29"/>
  <c r="T289" i="29"/>
  <c r="T306" i="29"/>
  <c r="S326" i="29"/>
  <c r="T350" i="29"/>
  <c r="S406" i="29"/>
  <c r="T396" i="29"/>
  <c r="T520" i="29"/>
  <c r="T13" i="29"/>
  <c r="T107" i="29"/>
  <c r="S122" i="29"/>
  <c r="T84" i="29"/>
  <c r="S118" i="29"/>
  <c r="T93" i="29"/>
  <c r="T141" i="29"/>
  <c r="T124" i="29"/>
  <c r="T170" i="29"/>
  <c r="T186" i="29"/>
  <c r="T192" i="29"/>
  <c r="S157" i="29"/>
  <c r="S179" i="29"/>
  <c r="T183" i="29"/>
  <c r="S180" i="29"/>
  <c r="T204" i="29"/>
  <c r="S201" i="29"/>
  <c r="T209" i="29"/>
  <c r="T210" i="29"/>
  <c r="S267" i="29"/>
  <c r="S325" i="29"/>
  <c r="T265" i="29"/>
  <c r="T316" i="29"/>
  <c r="S321" i="29"/>
  <c r="T300" i="29"/>
  <c r="S347" i="29"/>
  <c r="S398" i="29"/>
  <c r="S423" i="29"/>
  <c r="T583" i="29"/>
  <c r="S99" i="29"/>
  <c r="S86" i="29"/>
  <c r="S71" i="29"/>
  <c r="S64" i="29"/>
  <c r="T41" i="29"/>
  <c r="T59" i="29"/>
  <c r="S80" i="29"/>
  <c r="S136" i="29"/>
  <c r="T100" i="29"/>
  <c r="T174" i="29"/>
  <c r="T109" i="29"/>
  <c r="S150" i="29"/>
  <c r="T122" i="29"/>
  <c r="S123" i="29"/>
  <c r="T131" i="29"/>
  <c r="T164" i="29"/>
  <c r="T171" i="29"/>
  <c r="S195" i="29"/>
  <c r="T199" i="29"/>
  <c r="S196" i="29"/>
  <c r="T220" i="29"/>
  <c r="S217" i="29"/>
  <c r="T225" i="29"/>
  <c r="T238" i="29"/>
  <c r="T255" i="29"/>
  <c r="T256" i="29"/>
  <c r="S238" i="29"/>
  <c r="S369" i="29"/>
  <c r="T327" i="29"/>
  <c r="S362" i="29"/>
  <c r="S370" i="29"/>
  <c r="T402" i="29"/>
  <c r="S27" i="29"/>
  <c r="S28" i="29"/>
  <c r="S87" i="29"/>
  <c r="S106" i="29"/>
  <c r="T36" i="29"/>
  <c r="S51" i="29"/>
  <c r="S91" i="29"/>
  <c r="S110" i="29"/>
  <c r="S62" i="29"/>
  <c r="S82" i="29"/>
  <c r="S598" i="29"/>
  <c r="T605" i="29"/>
  <c r="S609" i="29"/>
  <c r="S593" i="29"/>
  <c r="T600" i="29"/>
  <c r="S612" i="29"/>
  <c r="S603" i="29"/>
  <c r="T594" i="29"/>
  <c r="S588" i="29"/>
  <c r="T591" i="29"/>
  <c r="S591" i="29"/>
  <c r="T606" i="29"/>
  <c r="T590" i="29"/>
  <c r="S582" i="29"/>
  <c r="T576" i="29"/>
  <c r="T560" i="29"/>
  <c r="S575" i="29"/>
  <c r="S559" i="29"/>
  <c r="S574" i="29"/>
  <c r="S585" i="29"/>
  <c r="T565" i="29"/>
  <c r="S550" i="29"/>
  <c r="T557" i="29"/>
  <c r="S577" i="29"/>
  <c r="S557" i="29"/>
  <c r="T573" i="29"/>
  <c r="T558" i="29"/>
  <c r="S578" i="29"/>
  <c r="T555" i="29"/>
  <c r="T566" i="29"/>
  <c r="S547" i="29"/>
  <c r="S541" i="29"/>
  <c r="S525" i="29"/>
  <c r="S540" i="29"/>
  <c r="S524" i="29"/>
  <c r="T539" i="29"/>
  <c r="T575" i="29"/>
  <c r="S535" i="29"/>
  <c r="T554" i="29"/>
  <c r="S530" i="29"/>
  <c r="T545" i="29"/>
  <c r="T529" i="29"/>
  <c r="T526" i="29"/>
  <c r="S507" i="29"/>
  <c r="T524" i="29"/>
  <c r="T514" i="29"/>
  <c r="S522" i="29"/>
  <c r="T540" i="29"/>
  <c r="T509" i="29"/>
  <c r="S513" i="29"/>
  <c r="T516" i="29"/>
  <c r="S512" i="29"/>
  <c r="T488" i="29"/>
  <c r="S505" i="29"/>
  <c r="T487" i="29"/>
  <c r="S491" i="29"/>
  <c r="S520" i="29"/>
  <c r="T486" i="29"/>
  <c r="T506" i="29"/>
  <c r="S494" i="29"/>
  <c r="T507" i="29"/>
  <c r="T472" i="29"/>
  <c r="T505" i="29"/>
  <c r="T481" i="29"/>
  <c r="S464" i="29"/>
  <c r="S481" i="29"/>
  <c r="T463" i="29"/>
  <c r="S475" i="29"/>
  <c r="T532" i="29"/>
  <c r="S474" i="29"/>
  <c r="T519" i="29"/>
  <c r="T478" i="29"/>
  <c r="T465" i="29"/>
  <c r="S56" i="29"/>
  <c r="T70" i="29"/>
  <c r="S20" i="29"/>
  <c r="S74" i="29"/>
  <c r="S89" i="29"/>
  <c r="S93" i="29"/>
  <c r="S25" i="29"/>
  <c r="S610" i="29"/>
  <c r="S594" i="29"/>
  <c r="T601" i="29"/>
  <c r="S605" i="29"/>
  <c r="T612" i="29"/>
  <c r="T596" i="29"/>
  <c r="S611" i="29"/>
  <c r="T602" i="29"/>
  <c r="T588" i="29"/>
  <c r="S584" i="29"/>
  <c r="T587" i="29"/>
  <c r="S587" i="29"/>
  <c r="S600" i="29"/>
  <c r="S627" i="29"/>
  <c r="T595" i="29"/>
  <c r="T572" i="29"/>
  <c r="T556" i="29"/>
  <c r="S571" i="29"/>
  <c r="T574" i="29"/>
  <c r="S570" i="29"/>
  <c r="T581" i="29"/>
  <c r="T561" i="29"/>
  <c r="S546" i="29"/>
  <c r="S553" i="29"/>
  <c r="T571" i="29"/>
  <c r="T552" i="29"/>
  <c r="S572" i="29"/>
  <c r="S552" i="29"/>
  <c r="S573" i="29"/>
  <c r="T551" i="29"/>
  <c r="S556" i="29"/>
  <c r="T603" i="29"/>
  <c r="S537" i="29"/>
  <c r="T593" i="29"/>
  <c r="S536" i="29"/>
  <c r="S583" i="29"/>
  <c r="T535" i="29"/>
  <c r="T550" i="29"/>
  <c r="S531" i="29"/>
  <c r="S542" i="29"/>
  <c r="S565" i="29"/>
  <c r="T541" i="29"/>
  <c r="T525" i="29"/>
  <c r="S519" i="29"/>
  <c r="S503" i="29"/>
  <c r="T523" i="29"/>
  <c r="T510" i="29"/>
  <c r="S518" i="29"/>
  <c r="T521" i="29"/>
  <c r="T534" i="29"/>
  <c r="S509" i="29"/>
  <c r="T512" i="29"/>
  <c r="T500" i="29"/>
  <c r="T484" i="29"/>
  <c r="T499" i="29"/>
  <c r="T511" i="29"/>
  <c r="S487" i="29"/>
  <c r="T498" i="29"/>
  <c r="T482" i="29"/>
  <c r="S504" i="29"/>
  <c r="S490" i="29"/>
  <c r="S496" i="29"/>
  <c r="T468" i="29"/>
  <c r="T501" i="29"/>
  <c r="S476" i="29"/>
  <c r="S501" i="29"/>
  <c r="T475" i="29"/>
  <c r="S497" i="29"/>
  <c r="S471" i="29"/>
  <c r="T503" i="29"/>
  <c r="S470" i="29"/>
  <c r="S502" i="29"/>
  <c r="T43" i="29"/>
  <c r="S44" i="29"/>
  <c r="T56" i="29"/>
  <c r="S65" i="29"/>
  <c r="T76" i="29"/>
  <c r="S60" i="29"/>
  <c r="T74" i="29"/>
  <c r="S17" i="29"/>
  <c r="S37" i="29"/>
  <c r="S45" i="29"/>
  <c r="S53" i="29"/>
  <c r="S97" i="29"/>
  <c r="S606" i="29"/>
  <c r="T613" i="29"/>
  <c r="T597" i="29"/>
  <c r="S601" i="29"/>
  <c r="T608" i="29"/>
  <c r="T592" i="29"/>
  <c r="T610" i="29"/>
  <c r="S596" i="29"/>
  <c r="T584" i="29"/>
  <c r="S580" i="29"/>
  <c r="T607" i="29"/>
  <c r="S608" i="29"/>
  <c r="S599" i="29"/>
  <c r="S590" i="29"/>
  <c r="T578" i="29"/>
  <c r="T568" i="29"/>
  <c r="S589" i="29"/>
  <c r="S567" i="29"/>
  <c r="T570" i="29"/>
  <c r="S566" i="29"/>
  <c r="S579" i="29"/>
  <c r="T559" i="29"/>
  <c r="S569" i="29"/>
  <c r="S549" i="29"/>
  <c r="S568" i="29"/>
  <c r="T548" i="29"/>
  <c r="T567" i="29"/>
  <c r="S548" i="29"/>
  <c r="T562" i="29"/>
  <c r="T547" i="29"/>
  <c r="S555" i="29"/>
  <c r="T585" i="29"/>
  <c r="S533" i="29"/>
  <c r="T569" i="29"/>
  <c r="S532" i="29"/>
  <c r="S544" i="29"/>
  <c r="T531" i="29"/>
  <c r="S543" i="29"/>
  <c r="S527" i="29"/>
  <c r="S538" i="29"/>
  <c r="T549" i="29"/>
  <c r="T537" i="29"/>
  <c r="S561" i="29"/>
  <c r="S515" i="29"/>
  <c r="T536" i="29"/>
  <c r="T522" i="29"/>
  <c r="T530" i="29"/>
  <c r="S514" i="29"/>
  <c r="T517" i="29"/>
  <c r="S521" i="29"/>
  <c r="T528" i="29"/>
  <c r="T508" i="29"/>
  <c r="T496" i="29"/>
  <c r="T480" i="29"/>
  <c r="T495" i="29"/>
  <c r="S499" i="29"/>
  <c r="S483" i="29"/>
  <c r="T494" i="29"/>
  <c r="T538" i="29"/>
  <c r="T502" i="29"/>
  <c r="S486" i="29"/>
  <c r="S480" i="29"/>
  <c r="T464" i="29"/>
  <c r="S492" i="29"/>
  <c r="S472" i="29"/>
  <c r="T497" i="29"/>
  <c r="T471" i="29"/>
  <c r="T493" i="29"/>
  <c r="S467" i="29"/>
  <c r="S489" i="29"/>
  <c r="S466" i="29"/>
  <c r="S485" i="29"/>
  <c r="T473" i="29"/>
  <c r="S58" i="29"/>
  <c r="S597" i="29"/>
  <c r="S595" i="29"/>
  <c r="S607" i="29"/>
  <c r="T564" i="29"/>
  <c r="S562" i="29"/>
  <c r="S545" i="29"/>
  <c r="T582" i="29"/>
  <c r="T579" i="29"/>
  <c r="T543" i="29"/>
  <c r="S534" i="29"/>
  <c r="S511" i="29"/>
  <c r="S510" i="29"/>
  <c r="T504" i="29"/>
  <c r="S495" i="29"/>
  <c r="S498" i="29"/>
  <c r="T483" i="29"/>
  <c r="S484" i="29"/>
  <c r="T479" i="29"/>
  <c r="S500" i="29"/>
  <c r="S473" i="29"/>
  <c r="S493" i="29"/>
  <c r="T449" i="29"/>
  <c r="T461" i="29"/>
  <c r="S445" i="29"/>
  <c r="S429" i="29"/>
  <c r="S413" i="29"/>
  <c r="T456" i="29"/>
  <c r="T470" i="29"/>
  <c r="S448" i="29"/>
  <c r="S432" i="29"/>
  <c r="T459" i="29"/>
  <c r="T443" i="29"/>
  <c r="T427" i="29"/>
  <c r="T411" i="29"/>
  <c r="S451" i="29"/>
  <c r="S435" i="29"/>
  <c r="S419" i="29"/>
  <c r="T466" i="29"/>
  <c r="S458" i="29"/>
  <c r="S430" i="29"/>
  <c r="S420" i="29"/>
  <c r="S397" i="29"/>
  <c r="S381" i="29"/>
  <c r="T418" i="29"/>
  <c r="T392" i="29"/>
  <c r="T376" i="29"/>
  <c r="S396" i="29"/>
  <c r="S380" i="29"/>
  <c r="T434" i="29"/>
  <c r="T409" i="29"/>
  <c r="T391" i="29"/>
  <c r="T375" i="29"/>
  <c r="S426" i="29"/>
  <c r="S403" i="29"/>
  <c r="S387" i="29"/>
  <c r="T417" i="29"/>
  <c r="T398" i="29"/>
  <c r="T382" i="29"/>
  <c r="S450" i="29"/>
  <c r="T406" i="29"/>
  <c r="S394" i="29"/>
  <c r="S378" i="29"/>
  <c r="T436" i="29"/>
  <c r="T420" i="29"/>
  <c r="S404" i="29"/>
  <c r="T389" i="29"/>
  <c r="T373" i="29"/>
  <c r="T356" i="29"/>
  <c r="T340" i="29"/>
  <c r="S356" i="29"/>
  <c r="S340" i="29"/>
  <c r="S324" i="29"/>
  <c r="T367" i="29"/>
  <c r="T351" i="29"/>
  <c r="T335" i="29"/>
  <c r="S359" i="29"/>
  <c r="S343" i="29"/>
  <c r="S327" i="29"/>
  <c r="S311" i="29"/>
  <c r="T362" i="29"/>
  <c r="T346" i="29"/>
  <c r="T330" i="29"/>
  <c r="T314" i="29"/>
  <c r="T357" i="29"/>
  <c r="T44" i="29"/>
  <c r="S602" i="29"/>
  <c r="T604" i="29"/>
  <c r="T580" i="29"/>
  <c r="T598" i="29"/>
  <c r="S581" i="29"/>
  <c r="S576" i="29"/>
  <c r="T563" i="29"/>
  <c r="S558" i="29"/>
  <c r="S529" i="29"/>
  <c r="T527" i="29"/>
  <c r="T546" i="29"/>
  <c r="S526" i="29"/>
  <c r="T513" i="29"/>
  <c r="T492" i="29"/>
  <c r="T553" i="29"/>
  <c r="S482" i="29"/>
  <c r="S468" i="29"/>
  <c r="S463" i="29"/>
  <c r="T477" i="29"/>
  <c r="S479" i="29"/>
  <c r="S469" i="29"/>
  <c r="T474" i="29"/>
  <c r="T445" i="29"/>
  <c r="S457" i="29"/>
  <c r="S441" i="29"/>
  <c r="S425" i="29"/>
  <c r="S409" i="29"/>
  <c r="T452" i="29"/>
  <c r="S460" i="29"/>
  <c r="S444" i="29"/>
  <c r="S428" i="29"/>
  <c r="T455" i="29"/>
  <c r="T439" i="29"/>
  <c r="T423" i="29"/>
  <c r="T407" i="29"/>
  <c r="S447" i="29"/>
  <c r="S431" i="29"/>
  <c r="S415" i="29"/>
  <c r="T458" i="29"/>
  <c r="T446" i="29"/>
  <c r="T429" i="29"/>
  <c r="T414" i="29"/>
  <c r="S393" i="29"/>
  <c r="S377" i="29"/>
  <c r="S414" i="29"/>
  <c r="T388" i="29"/>
  <c r="S418" i="29"/>
  <c r="S392" i="29"/>
  <c r="S376" i="29"/>
  <c r="T432" i="29"/>
  <c r="T403" i="29"/>
  <c r="T387" i="29"/>
  <c r="T371" i="29"/>
  <c r="S36" i="29"/>
  <c r="T609" i="29"/>
  <c r="T627" i="29"/>
  <c r="S592" i="29"/>
  <c r="S586" i="29"/>
  <c r="S563" i="29"/>
  <c r="S554" i="29"/>
  <c r="T589" i="29"/>
  <c r="T586" i="29"/>
  <c r="T544" i="29"/>
  <c r="S539" i="29"/>
  <c r="T533" i="29"/>
  <c r="T518" i="29"/>
  <c r="S517" i="29"/>
  <c r="S516" i="29"/>
  <c r="T490" i="29"/>
  <c r="T476" i="29"/>
  <c r="S488" i="29"/>
  <c r="T485" i="29"/>
  <c r="T469" i="29"/>
  <c r="S478" i="29"/>
  <c r="S465" i="29"/>
  <c r="T457" i="29"/>
  <c r="T441" i="29"/>
  <c r="S453" i="29"/>
  <c r="S437" i="29"/>
  <c r="S421" i="29"/>
  <c r="S405" i="29"/>
  <c r="T448" i="29"/>
  <c r="S456" i="29"/>
  <c r="S440" i="29"/>
  <c r="S424" i="29"/>
  <c r="T451" i="29"/>
  <c r="T435" i="29"/>
  <c r="T419" i="29"/>
  <c r="S459" i="29"/>
  <c r="S443" i="29"/>
  <c r="S427" i="29"/>
  <c r="S411" i="29"/>
  <c r="T454" i="29"/>
  <c r="S438" i="29"/>
  <c r="S422" i="29"/>
  <c r="S410" i="29"/>
  <c r="S389" i="29"/>
  <c r="S373" i="29"/>
  <c r="T400" i="29"/>
  <c r="T384" i="29"/>
  <c r="T405" i="29"/>
  <c r="S388" i="29"/>
  <c r="S454" i="29"/>
  <c r="T426" i="29"/>
  <c r="T399" i="29"/>
  <c r="T383" i="29"/>
  <c r="S434" i="29"/>
  <c r="T413" i="29"/>
  <c r="S395" i="29"/>
  <c r="S379" i="29"/>
  <c r="S408" i="29"/>
  <c r="T390" i="29"/>
  <c r="T374" i="29"/>
  <c r="T416" i="29"/>
  <c r="S402" i="29"/>
  <c r="S386" i="29"/>
  <c r="S442" i="29"/>
  <c r="T428" i="29"/>
  <c r="T410" i="29"/>
  <c r="T397" i="29"/>
  <c r="T381" i="29"/>
  <c r="T364" i="29"/>
  <c r="T348" i="29"/>
  <c r="S364" i="29"/>
  <c r="S348" i="29"/>
  <c r="S332" i="29"/>
  <c r="S316" i="29"/>
  <c r="T359" i="29"/>
  <c r="T343" i="29"/>
  <c r="S367" i="29"/>
  <c r="S351" i="29"/>
  <c r="S335" i="29"/>
  <c r="S319" i="29"/>
  <c r="S371" i="29"/>
  <c r="T354" i="29"/>
  <c r="T338" i="29"/>
  <c r="T322" i="29"/>
  <c r="T365" i="29"/>
  <c r="T349" i="29"/>
  <c r="T24" i="29"/>
  <c r="T599" i="29"/>
  <c r="S560" i="29"/>
  <c r="T542" i="29"/>
  <c r="T515" i="29"/>
  <c r="S506" i="29"/>
  <c r="T462" i="29"/>
  <c r="T460" i="29"/>
  <c r="T489" i="29"/>
  <c r="S455" i="29"/>
  <c r="T450" i="29"/>
  <c r="S385" i="29"/>
  <c r="S400" i="29"/>
  <c r="T395" i="29"/>
  <c r="T408" i="29"/>
  <c r="S375" i="29"/>
  <c r="T386" i="29"/>
  <c r="S412" i="29"/>
  <c r="S382" i="29"/>
  <c r="T422" i="29"/>
  <c r="T393" i="29"/>
  <c r="T360" i="29"/>
  <c r="S360" i="29"/>
  <c r="S328" i="29"/>
  <c r="T355" i="29"/>
  <c r="S363" i="29"/>
  <c r="S331" i="29"/>
  <c r="T366" i="29"/>
  <c r="T334" i="29"/>
  <c r="T361" i="29"/>
  <c r="T337" i="29"/>
  <c r="T321" i="29"/>
  <c r="S346" i="29"/>
  <c r="T308" i="29"/>
  <c r="T292" i="29"/>
  <c r="T276" i="29"/>
  <c r="S308" i="29"/>
  <c r="S292" i="29"/>
  <c r="S276" i="29"/>
  <c r="S345" i="29"/>
  <c r="T319" i="29"/>
  <c r="S337" i="29"/>
  <c r="S307" i="29"/>
  <c r="S349" i="29"/>
  <c r="T298" i="29"/>
  <c r="S310" i="29"/>
  <c r="S294" i="29"/>
  <c r="S278" i="29"/>
  <c r="S353" i="29"/>
  <c r="T324" i="29"/>
  <c r="S314" i="29"/>
  <c r="T297" i="29"/>
  <c r="T281" i="29"/>
  <c r="S287" i="29"/>
  <c r="S262" i="29"/>
  <c r="S246" i="29"/>
  <c r="S230" i="29"/>
  <c r="T278" i="29"/>
  <c r="T257" i="29"/>
  <c r="S309" i="29"/>
  <c r="S257" i="29"/>
  <c r="S241" i="29"/>
  <c r="S281" i="29"/>
  <c r="T264" i="29"/>
  <c r="T248" i="29"/>
  <c r="T232" i="29"/>
  <c r="T299" i="29"/>
  <c r="S273" i="29"/>
  <c r="S260" i="29"/>
  <c r="S305" i="29"/>
  <c r="T282" i="29"/>
  <c r="T263" i="29"/>
  <c r="T247" i="29"/>
  <c r="T231" i="29"/>
  <c r="S259" i="29"/>
  <c r="S243" i="29"/>
  <c r="T295" i="29"/>
  <c r="T279" i="29"/>
  <c r="T262" i="29"/>
  <c r="T246" i="29"/>
  <c r="T230" i="29"/>
  <c r="T218" i="29"/>
  <c r="T202" i="29"/>
  <c r="S226" i="29"/>
  <c r="S210" i="29"/>
  <c r="S194" i="29"/>
  <c r="S178" i="29"/>
  <c r="T577" i="29"/>
  <c r="S551" i="29"/>
  <c r="S523" i="29"/>
  <c r="S508" i="29"/>
  <c r="S477" i="29"/>
  <c r="S449" i="29"/>
  <c r="T444" i="29"/>
  <c r="T447" i="29"/>
  <c r="S439" i="29"/>
  <c r="T437" i="29"/>
  <c r="S446" i="29"/>
  <c r="S384" i="29"/>
  <c r="T379" i="29"/>
  <c r="S399" i="29"/>
  <c r="T412" i="29"/>
  <c r="T378" i="29"/>
  <c r="T404" i="29"/>
  <c r="S374" i="29"/>
  <c r="S416" i="29"/>
  <c r="T385" i="29"/>
  <c r="T352" i="29"/>
  <c r="S352" i="29"/>
  <c r="S320" i="29"/>
  <c r="T347" i="29"/>
  <c r="S355" i="29"/>
  <c r="S323" i="29"/>
  <c r="T358" i="29"/>
  <c r="T326" i="29"/>
  <c r="T353" i="29"/>
  <c r="T333" i="29"/>
  <c r="T317" i="29"/>
  <c r="S341" i="29"/>
  <c r="T304" i="29"/>
  <c r="T288" i="29"/>
  <c r="S334" i="29"/>
  <c r="S304" i="29"/>
  <c r="S288" i="29"/>
  <c r="S366" i="29"/>
  <c r="T328" i="29"/>
  <c r="T313" i="29"/>
  <c r="S329" i="29"/>
  <c r="S303" i="29"/>
  <c r="T310" i="29"/>
  <c r="S330" i="29"/>
  <c r="S306" i="29"/>
  <c r="S290" i="29"/>
  <c r="S274" i="29"/>
  <c r="S342" i="29"/>
  <c r="T323" i="29"/>
  <c r="T309" i="29"/>
  <c r="T293" i="29"/>
  <c r="T277" i="29"/>
  <c r="S279" i="29"/>
  <c r="S258" i="29"/>
  <c r="S242" i="29"/>
  <c r="S317" i="29"/>
  <c r="T269" i="29"/>
  <c r="T253" i="29"/>
  <c r="S269" i="29"/>
  <c r="S253" i="29"/>
  <c r="T291" i="29"/>
  <c r="T275" i="29"/>
  <c r="T260" i="29"/>
  <c r="T244" i="29"/>
  <c r="S338" i="29"/>
  <c r="S291" i="29"/>
  <c r="S272" i="29"/>
  <c r="S256" i="29"/>
  <c r="S299" i="29"/>
  <c r="T274" i="29"/>
  <c r="T259" i="29"/>
  <c r="T243" i="29"/>
  <c r="S271" i="29"/>
  <c r="S255" i="29"/>
  <c r="S239" i="29"/>
  <c r="S293" i="29"/>
  <c r="S277" i="29"/>
  <c r="T258" i="29"/>
  <c r="T242" i="29"/>
  <c r="S235" i="29"/>
  <c r="T214" i="29"/>
  <c r="T198" i="29"/>
  <c r="S222" i="29"/>
  <c r="S206" i="29"/>
  <c r="S190" i="29"/>
  <c r="T63" i="29"/>
  <c r="T111" i="29"/>
  <c r="S100" i="29"/>
  <c r="S128" i="29"/>
  <c r="S146" i="29"/>
  <c r="S164" i="29"/>
  <c r="T88" i="29"/>
  <c r="T104" i="29"/>
  <c r="T120" i="29"/>
  <c r="S156" i="29"/>
  <c r="T49" i="29"/>
  <c r="T65" i="29"/>
  <c r="T81" i="29"/>
  <c r="T97" i="29"/>
  <c r="T113" i="29"/>
  <c r="S124" i="29"/>
  <c r="T133" i="29"/>
  <c r="S142" i="29"/>
  <c r="T161" i="29"/>
  <c r="T90" i="29"/>
  <c r="T106" i="29"/>
  <c r="T132" i="29"/>
  <c r="T126" i="29"/>
  <c r="T142" i="29"/>
  <c r="T158" i="29"/>
  <c r="T173" i="29"/>
  <c r="S127" i="29"/>
  <c r="S143" i="29"/>
  <c r="S159" i="29"/>
  <c r="T119" i="29"/>
  <c r="T135" i="29"/>
  <c r="T151" i="29"/>
  <c r="T167" i="29"/>
  <c r="T182" i="29"/>
  <c r="S145" i="29"/>
  <c r="T178" i="29"/>
  <c r="S162" i="29"/>
  <c r="T190" i="29"/>
  <c r="S215" i="29"/>
  <c r="T187" i="29"/>
  <c r="T219" i="29"/>
  <c r="T233" i="29"/>
  <c r="S173" i="29"/>
  <c r="S221" i="29"/>
  <c r="T197" i="29"/>
  <c r="S236" i="29"/>
  <c r="T237" i="29"/>
  <c r="T250" i="29"/>
  <c r="S247" i="29"/>
  <c r="T267" i="29"/>
  <c r="T236" i="29"/>
  <c r="S245" i="29"/>
  <c r="S250" i="29"/>
  <c r="T301" i="29"/>
  <c r="S282" i="29"/>
  <c r="S354" i="29"/>
  <c r="S350" i="29"/>
  <c r="T280" i="29"/>
  <c r="T325" i="29"/>
  <c r="T369" i="29"/>
  <c r="T372" i="29"/>
  <c r="S336" i="29"/>
  <c r="T368" i="29"/>
  <c r="T442" i="29"/>
  <c r="S383" i="29"/>
  <c r="T424" i="29"/>
  <c r="S401" i="29"/>
  <c r="T415" i="29"/>
  <c r="S417" i="29"/>
  <c r="S462" i="29"/>
  <c r="S604" i="29"/>
  <c r="S199" i="29"/>
  <c r="S240" i="29"/>
  <c r="S184" i="29"/>
  <c r="T430" i="29"/>
  <c r="S55" i="29"/>
  <c r="S48" i="29"/>
  <c r="T33" i="29"/>
  <c r="T17" i="29"/>
  <c r="T51" i="29"/>
  <c r="T67" i="29"/>
  <c r="T83" i="29"/>
  <c r="T99" i="29"/>
  <c r="T115" i="29"/>
  <c r="S88" i="29"/>
  <c r="S104" i="29"/>
  <c r="S120" i="29"/>
  <c r="T129" i="29"/>
  <c r="S138" i="29"/>
  <c r="S152" i="29"/>
  <c r="T169" i="29"/>
  <c r="T92" i="29"/>
  <c r="T108" i="29"/>
  <c r="T128" i="29"/>
  <c r="S113" i="29"/>
  <c r="S160" i="29"/>
  <c r="T53" i="29"/>
  <c r="T69" i="29"/>
  <c r="T85" i="29"/>
  <c r="T101" i="29"/>
  <c r="T117" i="29"/>
  <c r="T125" i="29"/>
  <c r="S134" i="29"/>
  <c r="S148" i="29"/>
  <c r="T78" i="29"/>
  <c r="T94" i="29"/>
  <c r="T110" i="29"/>
  <c r="T140" i="29"/>
  <c r="T130" i="29"/>
  <c r="T146" i="29"/>
  <c r="T162" i="29"/>
  <c r="T180" i="29"/>
  <c r="S131" i="29"/>
  <c r="S147" i="29"/>
  <c r="S163" i="29"/>
  <c r="T123" i="29"/>
  <c r="T139" i="29"/>
  <c r="T155" i="29"/>
  <c r="S174" i="29"/>
  <c r="T156" i="29"/>
  <c r="T188" i="29"/>
  <c r="S133" i="29"/>
  <c r="S149" i="29"/>
  <c r="S165" i="29"/>
  <c r="T194" i="29"/>
  <c r="S166" i="29"/>
  <c r="S171" i="29"/>
  <c r="S187" i="29"/>
  <c r="S203" i="29"/>
  <c r="S219" i="29"/>
  <c r="T175" i="29"/>
  <c r="T191" i="29"/>
  <c r="T207" i="29"/>
  <c r="T223" i="29"/>
  <c r="S172" i="29"/>
  <c r="S188" i="29"/>
  <c r="S204" i="29"/>
  <c r="S220" i="29"/>
  <c r="T241" i="29"/>
  <c r="T212" i="29"/>
  <c r="T228" i="29"/>
  <c r="S177" i="29"/>
  <c r="S193" i="29"/>
  <c r="S209" i="29"/>
  <c r="S225" i="29"/>
  <c r="T185" i="29"/>
  <c r="T201" i="29"/>
  <c r="T217" i="29"/>
  <c r="S237" i="29"/>
  <c r="S202" i="29"/>
  <c r="S244" i="29"/>
  <c r="T226" i="29"/>
  <c r="T254" i="29"/>
  <c r="T287" i="29"/>
  <c r="S251" i="29"/>
  <c r="T239" i="29"/>
  <c r="T271" i="29"/>
  <c r="S252" i="29"/>
  <c r="S283" i="29"/>
  <c r="T240" i="29"/>
  <c r="T272" i="29"/>
  <c r="S249" i="29"/>
  <c r="T249" i="29"/>
  <c r="T294" i="29"/>
  <c r="S254" i="29"/>
  <c r="T273" i="29"/>
  <c r="T305" i="29"/>
  <c r="T332" i="29"/>
  <c r="S286" i="29"/>
  <c r="S322" i="29"/>
  <c r="S365" i="29"/>
  <c r="T307" i="29"/>
  <c r="S361" i="29"/>
  <c r="S300" i="29"/>
  <c r="T284" i="29"/>
  <c r="T336" i="29"/>
  <c r="T329" i="29"/>
  <c r="T318" i="29"/>
  <c r="S315" i="29"/>
  <c r="T339" i="29"/>
  <c r="S344" i="29"/>
  <c r="T377" i="29"/>
  <c r="T438" i="29"/>
  <c r="T370" i="29"/>
  <c r="S391" i="29"/>
  <c r="T440" i="29"/>
  <c r="T421" i="29"/>
  <c r="T431" i="29"/>
  <c r="S433" i="29"/>
  <c r="T467" i="29"/>
  <c r="S528" i="29"/>
  <c r="S613" i="29"/>
  <c r="T62" i="29"/>
  <c r="T45" i="29"/>
  <c r="T29" i="29"/>
  <c r="T47" i="29"/>
  <c r="T79" i="29"/>
  <c r="T95" i="29"/>
  <c r="S84" i="29"/>
  <c r="S116" i="29"/>
  <c r="T137" i="29"/>
  <c r="T152" i="29"/>
  <c r="T168" i="29"/>
  <c r="S129" i="29"/>
  <c r="S161" i="29"/>
  <c r="S183" i="29"/>
  <c r="T203" i="29"/>
  <c r="S233" i="29"/>
  <c r="S200" i="29"/>
  <c r="S216" i="29"/>
  <c r="T208" i="29"/>
  <c r="T224" i="29"/>
  <c r="S189" i="29"/>
  <c r="S205" i="29"/>
  <c r="T181" i="29"/>
  <c r="T213" i="29"/>
  <c r="S198" i="29"/>
  <c r="T222" i="29"/>
  <c r="S285" i="29"/>
  <c r="T235" i="29"/>
  <c r="S248" i="29"/>
  <c r="S275" i="29"/>
  <c r="T268" i="29"/>
  <c r="T245" i="29"/>
  <c r="T286" i="29"/>
  <c r="S295" i="29"/>
  <c r="T331" i="29"/>
  <c r="T311" i="29"/>
  <c r="T303" i="29"/>
  <c r="S296" i="29"/>
  <c r="S312" i="29"/>
  <c r="S372" i="29"/>
  <c r="T611" i="29"/>
  <c r="S101" i="29"/>
  <c r="T37" i="29"/>
  <c r="T21" i="29"/>
  <c r="T55" i="29"/>
  <c r="T71" i="29"/>
  <c r="T87" i="29"/>
  <c r="T103" i="29"/>
  <c r="S76" i="29"/>
  <c r="S92" i="29"/>
  <c r="S108" i="29"/>
  <c r="T121" i="29"/>
  <c r="S130" i="29"/>
  <c r="S144" i="29"/>
  <c r="T153" i="29"/>
  <c r="T80" i="29"/>
  <c r="T96" i="29"/>
  <c r="T112" i="29"/>
  <c r="T136" i="29"/>
  <c r="S117" i="29"/>
  <c r="T165" i="29"/>
  <c r="T57" i="29"/>
  <c r="T73" i="29"/>
  <c r="T89" i="29"/>
  <c r="T105" i="29"/>
  <c r="T118" i="29"/>
  <c r="S126" i="29"/>
  <c r="S140" i="29"/>
  <c r="T149" i="29"/>
  <c r="T82" i="29"/>
  <c r="T98" i="29"/>
  <c r="T114" i="29"/>
  <c r="T148" i="29"/>
  <c r="T134" i="29"/>
  <c r="T150" i="29"/>
  <c r="T166" i="29"/>
  <c r="T196" i="29"/>
  <c r="S135" i="29"/>
  <c r="S151" i="29"/>
  <c r="S167" i="29"/>
  <c r="T127" i="29"/>
  <c r="T143" i="29"/>
  <c r="T159" i="29"/>
  <c r="T176" i="29"/>
  <c r="T160" i="29"/>
  <c r="S121" i="29"/>
  <c r="S137" i="29"/>
  <c r="S153" i="29"/>
  <c r="S169" i="29"/>
  <c r="T184" i="29"/>
  <c r="S170" i="29"/>
  <c r="S175" i="29"/>
  <c r="S191" i="29"/>
  <c r="S207" i="29"/>
  <c r="S223" i="29"/>
  <c r="T179" i="29"/>
  <c r="T195" i="29"/>
  <c r="T211" i="29"/>
  <c r="T227" i="29"/>
  <c r="S176" i="29"/>
  <c r="S192" i="29"/>
  <c r="S208" i="29"/>
  <c r="S224" i="29"/>
  <c r="T200" i="29"/>
  <c r="T216" i="29"/>
  <c r="S229" i="29"/>
  <c r="S181" i="29"/>
  <c r="S197" i="29"/>
  <c r="S213" i="29"/>
  <c r="T229" i="29"/>
  <c r="T189" i="29"/>
  <c r="T205" i="29"/>
  <c r="T221" i="29"/>
  <c r="S182" i="29"/>
  <c r="S214" i="29"/>
  <c r="T206" i="29"/>
  <c r="T234" i="29"/>
  <c r="T266" i="29"/>
  <c r="T312" i="29"/>
  <c r="S263" i="29"/>
  <c r="T251" i="29"/>
  <c r="T290" i="29"/>
  <c r="S264" i="29"/>
  <c r="S301" i="29"/>
  <c r="T252" i="29"/>
  <c r="T283" i="29"/>
  <c r="S261" i="29"/>
  <c r="T261" i="29"/>
  <c r="S234" i="29"/>
  <c r="S266" i="29"/>
  <c r="T285" i="29"/>
  <c r="T315" i="29"/>
  <c r="S358" i="29"/>
  <c r="S298" i="29"/>
  <c r="T302" i="29"/>
  <c r="S313" i="29"/>
  <c r="T320" i="29"/>
  <c r="S280" i="29"/>
  <c r="S318" i="29"/>
  <c r="T296" i="29"/>
  <c r="S357" i="29"/>
  <c r="T341" i="29"/>
  <c r="T342" i="29"/>
  <c r="S339" i="29"/>
  <c r="T363" i="29"/>
  <c r="S368" i="29"/>
  <c r="T401" i="29"/>
  <c r="S390" i="29"/>
  <c r="T394" i="29"/>
  <c r="T425" i="29"/>
  <c r="T380" i="29"/>
  <c r="S407" i="29"/>
  <c r="S436" i="29"/>
  <c r="T453" i="29"/>
  <c r="T491" i="29"/>
  <c r="S564" i="29"/>
  <c r="S95" i="29"/>
  <c r="S69" i="29"/>
  <c r="T60" i="29"/>
  <c r="S29" i="29"/>
  <c r="S21" i="29"/>
  <c r="S13" i="29"/>
  <c r="S67" i="29"/>
  <c r="T58" i="29"/>
  <c r="T20" i="29"/>
  <c r="T72" i="29"/>
  <c r="S83" i="29"/>
  <c r="S63" i="29"/>
  <c r="T54" i="29"/>
  <c r="T19" i="29"/>
  <c r="T68" i="29"/>
  <c r="S119" i="29"/>
  <c r="S41" i="29"/>
  <c r="S33" i="29"/>
  <c r="T28" i="29"/>
  <c r="T16" i="29"/>
  <c r="S75" i="29"/>
  <c r="T40" i="29"/>
  <c r="T32" i="29"/>
  <c r="S168" i="29"/>
  <c r="S115" i="29"/>
  <c r="S77" i="29"/>
  <c r="S40" i="29"/>
  <c r="S32" i="29"/>
  <c r="S24" i="29"/>
  <c r="S16" i="29"/>
  <c r="S102" i="29"/>
  <c r="T27" i="29"/>
  <c r="R55" i="29"/>
  <c r="Q71" i="29"/>
  <c r="Q76" i="29"/>
  <c r="Q81" i="29"/>
  <c r="R75" i="29"/>
  <c r="R179" i="29"/>
  <c r="Q236" i="29"/>
  <c r="Q290" i="29"/>
  <c r="Q251" i="29"/>
  <c r="R289" i="29"/>
  <c r="R374" i="29"/>
  <c r="R422" i="29"/>
  <c r="Q474" i="29"/>
  <c r="R485" i="29"/>
  <c r="Q577" i="29"/>
  <c r="R21" i="29"/>
  <c r="Q114" i="29"/>
  <c r="Q140" i="29"/>
  <c r="R188" i="29"/>
  <c r="Q219" i="29"/>
  <c r="Q363" i="29"/>
  <c r="Q299" i="29"/>
  <c r="R355" i="29"/>
  <c r="R395" i="29"/>
  <c r="Q460" i="29"/>
  <c r="R512" i="29"/>
  <c r="R519" i="29"/>
  <c r="AC625" i="29"/>
  <c r="Q98" i="29"/>
  <c r="Q14" i="29"/>
  <c r="R54" i="29"/>
  <c r="R128" i="29"/>
  <c r="R224" i="29"/>
  <c r="R207" i="29"/>
  <c r="Q298" i="29"/>
  <c r="Q359" i="29"/>
  <c r="Q324" i="29"/>
  <c r="R372" i="29"/>
  <c r="R428" i="29"/>
  <c r="R465" i="29"/>
  <c r="Q531" i="29"/>
  <c r="Q604" i="29"/>
  <c r="R39" i="29"/>
  <c r="Q112" i="29"/>
  <c r="Q62" i="29"/>
  <c r="R17" i="29"/>
  <c r="R51" i="29"/>
  <c r="R28" i="29"/>
  <c r="R60" i="29"/>
  <c r="R78" i="29"/>
  <c r="R164" i="29"/>
  <c r="Q205" i="29"/>
  <c r="R247" i="29"/>
  <c r="Q258" i="29"/>
  <c r="Q350" i="29"/>
  <c r="Q356" i="29"/>
  <c r="R400" i="29"/>
  <c r="Q461" i="29"/>
  <c r="R482" i="29"/>
  <c r="R524"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R533" i="29"/>
  <c r="R481" i="29"/>
  <c r="R484" i="29"/>
  <c r="Q484" i="29"/>
  <c r="R525" i="29"/>
  <c r="R490" i="29"/>
  <c r="Q490" i="29"/>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Q341" i="29"/>
  <c r="R348" i="29"/>
  <c r="Q328" i="29"/>
  <c r="R335" i="29"/>
  <c r="R350" i="29"/>
  <c r="R317" i="29"/>
  <c r="R373" i="29"/>
  <c r="Q289" i="29"/>
  <c r="Q355" i="29"/>
  <c r="R329" i="29"/>
  <c r="Q303" i="29"/>
  <c r="Q311" i="29"/>
  <c r="R274" i="29"/>
  <c r="Q231" i="29"/>
  <c r="R258" i="29"/>
  <c r="Q286" i="29"/>
  <c r="R314" i="29"/>
  <c r="R249" i="29"/>
  <c r="Q265" i="29"/>
  <c r="R268" i="29"/>
  <c r="R292" i="29"/>
  <c r="Q260" i="29"/>
  <c r="R267" i="29"/>
  <c r="Q234" i="29"/>
  <c r="Q223" i="29"/>
  <c r="Q245" i="29"/>
  <c r="R190" i="29"/>
  <c r="Q222" i="29"/>
  <c r="Q174" i="29"/>
  <c r="Q229" i="29"/>
  <c r="Q189" i="29"/>
  <c r="R204" i="29"/>
  <c r="Q232" i="29"/>
  <c r="Q192" i="29"/>
  <c r="R195" i="29"/>
  <c r="Q142" i="29"/>
  <c r="R165" i="29"/>
  <c r="R144" i="29"/>
  <c r="Q168" i="29"/>
  <c r="Q128" i="29"/>
  <c r="R135" i="29"/>
  <c r="R99" i="29"/>
  <c r="Q139" i="29"/>
  <c r="R126" i="29"/>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R260" i="29"/>
  <c r="R284" i="29"/>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R546" i="29"/>
  <c r="R536" i="29"/>
  <c r="Q535" i="29"/>
  <c r="Q504" i="29"/>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R499" i="29"/>
  <c r="R508" i="29"/>
  <c r="R450" i="29"/>
  <c r="Q433" i="29"/>
  <c r="Q412" i="29"/>
  <c r="Q459" i="29"/>
  <c r="Q384" i="29"/>
  <c r="Q375" i="29"/>
  <c r="R368" i="29"/>
  <c r="R331" i="29"/>
  <c r="R285" i="29"/>
  <c r="Q308" i="29"/>
  <c r="R310" i="29"/>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Q499" i="29"/>
  <c r="Q476" i="29"/>
  <c r="Q442" i="29"/>
  <c r="R452" i="29"/>
  <c r="Q398" i="29"/>
  <c r="Q397" i="29"/>
  <c r="R433" i="29"/>
  <c r="R386" i="29"/>
  <c r="R336" i="29"/>
  <c r="R366" i="29"/>
  <c r="R312" i="29"/>
  <c r="R321" i="29"/>
  <c r="R286" i="29"/>
  <c r="Q300" i="29"/>
  <c r="R245" i="29"/>
  <c r="R248" i="29"/>
  <c r="R251" i="29"/>
  <c r="R226" i="29"/>
  <c r="Q194" i="29"/>
  <c r="R228" i="29"/>
  <c r="Q188" i="29"/>
  <c r="R183" i="29"/>
  <c r="Q144" i="29"/>
  <c r="R95" i="29"/>
  <c r="R102" i="29"/>
  <c r="R89" i="29"/>
  <c r="R122" i="29"/>
  <c r="Q21" i="29"/>
  <c r="Q107" i="29"/>
  <c r="R43" i="29"/>
  <c r="Q137" i="29"/>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R200" i="29"/>
  <c r="R175" i="29"/>
  <c r="R168" i="29"/>
  <c r="Q124" i="29"/>
  <c r="R166" i="29"/>
  <c r="R58" i="29"/>
  <c r="Q127" i="29"/>
  <c r="R108" i="29"/>
  <c r="Q69" i="29"/>
  <c r="R69" i="29"/>
  <c r="Q38" i="29"/>
  <c r="Q46" i="29"/>
  <c r="Q57" i="29"/>
  <c r="Q129" i="29"/>
  <c r="Q73" i="29"/>
  <c r="R40" i="29"/>
  <c r="R112" i="29"/>
  <c r="Q131" i="29"/>
  <c r="Q162" i="29"/>
  <c r="Q238" i="29"/>
  <c r="Q272" i="29"/>
  <c r="R295" i="29"/>
  <c r="Q309" i="29"/>
  <c r="Q365" i="29"/>
  <c r="R389" i="29"/>
  <c r="Q422" i="29"/>
  <c r="R488" i="29"/>
  <c r="R572" i="29"/>
  <c r="S49" i="29"/>
  <c r="S72" i="29"/>
  <c r="O113" i="29"/>
  <c r="O74" i="29"/>
  <c r="S85" i="29"/>
  <c r="T39" i="29"/>
  <c r="T31" i="29"/>
  <c r="T23" i="29"/>
  <c r="T15" i="29"/>
  <c r="O76" i="29"/>
  <c r="S43" i="29"/>
  <c r="T66" i="29"/>
  <c r="P54" i="29"/>
  <c r="O100" i="29"/>
  <c r="O28" i="29"/>
  <c r="P70" i="29"/>
  <c r="S19" i="29"/>
  <c r="S59" i="29"/>
  <c r="T14" i="29"/>
  <c r="S50" i="29"/>
  <c r="S46" i="29"/>
  <c r="T30" i="29"/>
  <c r="S35" i="29"/>
  <c r="T157" i="29"/>
  <c r="T26" i="29"/>
  <c r="S38" i="29"/>
  <c r="S54" i="29"/>
  <c r="T46" i="29"/>
  <c r="S34" i="29"/>
  <c r="S14" i="29"/>
  <c r="P58" i="29"/>
  <c r="O21" i="29"/>
  <c r="O33" i="29"/>
  <c r="O45" i="29"/>
  <c r="O13" i="29"/>
  <c r="O81" i="29"/>
  <c r="O41" i="29"/>
  <c r="O16" i="29"/>
  <c r="O56" i="29"/>
  <c r="O87" i="29"/>
  <c r="O117" i="29"/>
  <c r="P138" i="29"/>
  <c r="O29" i="29"/>
  <c r="O17" i="29"/>
  <c r="O58" i="29"/>
  <c r="P122" i="29"/>
  <c r="P74" i="29"/>
  <c r="O37" i="29"/>
  <c r="O25" i="29"/>
  <c r="O109" i="29"/>
  <c r="S111" i="29"/>
  <c r="S81" i="29"/>
  <c r="T34" i="29"/>
  <c r="S105" i="29"/>
  <c r="S103" i="29"/>
  <c r="S73" i="29"/>
  <c r="S78" i="29"/>
  <c r="T52" i="29"/>
  <c r="S94" i="29"/>
  <c r="S68" i="29"/>
  <c r="T22" i="29"/>
  <c r="S30" i="29"/>
  <c r="S66" i="29"/>
  <c r="T64" i="29"/>
  <c r="S61" i="29"/>
  <c r="S39" i="29"/>
  <c r="S31" i="29"/>
  <c r="S23" i="29"/>
  <c r="S15" i="29"/>
  <c r="S52" i="29"/>
  <c r="T42" i="29"/>
  <c r="S57" i="29"/>
  <c r="S90" i="29"/>
  <c r="T48" i="29"/>
  <c r="S98" i="29"/>
  <c r="S107" i="29"/>
  <c r="S79" i="29"/>
  <c r="T50" i="29"/>
  <c r="T18" i="29"/>
  <c r="AE18" i="29" s="1"/>
  <c r="S42" i="29"/>
  <c r="S26" i="29"/>
  <c r="S18" i="29"/>
  <c r="S70" i="29"/>
  <c r="S47" i="29"/>
  <c r="T38" i="29"/>
  <c r="S22" i="29"/>
  <c r="O40" i="29"/>
  <c r="O104" i="29"/>
  <c r="O60" i="29"/>
  <c r="O65" i="29"/>
  <c r="P44" i="29"/>
  <c r="P36" i="29"/>
  <c r="P28" i="29"/>
  <c r="P20" i="29"/>
  <c r="P78" i="29"/>
  <c r="O67" i="29"/>
  <c r="O72" i="29"/>
  <c r="O83" i="29"/>
  <c r="P72" i="29"/>
  <c r="O32" i="29"/>
  <c r="O77" i="29"/>
  <c r="O63" i="29"/>
  <c r="O49" i="29"/>
  <c r="P40" i="29"/>
  <c r="P32" i="29"/>
  <c r="P24" i="29"/>
  <c r="P16" i="29"/>
  <c r="P154" i="29"/>
  <c r="O96" i="29"/>
  <c r="O85" i="29"/>
  <c r="O51" i="29"/>
  <c r="O20" i="29"/>
  <c r="P56" i="29"/>
  <c r="O111" i="29"/>
  <c r="P626" i="29"/>
  <c r="O626" i="29"/>
  <c r="V626" i="29"/>
  <c r="U626" i="29"/>
  <c r="R626" i="29"/>
  <c r="T626" i="29"/>
  <c r="S626" i="29"/>
  <c r="Q626" i="29"/>
  <c r="AD452" i="29" l="1"/>
  <c r="AD283" i="29"/>
  <c r="AE46" i="29"/>
  <c r="AE183" i="29"/>
  <c r="AE557" i="29"/>
  <c r="AE457" i="29"/>
  <c r="AD547" i="29"/>
  <c r="AE57" i="29"/>
  <c r="P624" i="29"/>
  <c r="S624" i="29"/>
  <c r="AD306" i="29"/>
  <c r="AD408" i="29"/>
  <c r="AE542" i="29"/>
  <c r="AD489" i="29"/>
  <c r="AE250" i="29"/>
  <c r="AD437" i="29"/>
  <c r="AE564" i="29"/>
  <c r="T624" i="29"/>
  <c r="O624" i="29"/>
  <c r="U624" i="29"/>
  <c r="AE297" i="29"/>
  <c r="Q624" i="29"/>
  <c r="V624" i="29"/>
  <c r="AE38" i="29"/>
  <c r="AE22" i="29"/>
  <c r="AE42" i="29"/>
  <c r="AD334" i="29"/>
  <c r="AE186" i="29"/>
  <c r="AE254" i="29"/>
  <c r="AD203" i="29"/>
  <c r="AD210" i="29"/>
  <c r="AD609" i="29"/>
  <c r="AD257" i="29"/>
  <c r="AD114" i="29"/>
  <c r="AD70" i="29"/>
  <c r="AD304" i="29"/>
  <c r="AE277" i="29"/>
  <c r="AE476" i="29"/>
  <c r="AD268" i="29"/>
  <c r="AD371" i="29"/>
  <c r="AD610" i="29"/>
  <c r="AE492" i="29"/>
  <c r="AE521" i="29"/>
  <c r="AE145" i="29"/>
  <c r="AE571" i="29"/>
  <c r="AE451" i="29"/>
  <c r="AD487" i="29"/>
  <c r="AD557" i="29"/>
  <c r="AE98" i="29"/>
  <c r="AE558" i="29"/>
  <c r="AD591" i="29"/>
  <c r="AD193" i="29"/>
  <c r="AD144" i="29"/>
  <c r="AD166" i="29"/>
  <c r="AE132" i="29"/>
  <c r="AE479" i="29"/>
  <c r="AE513" i="29"/>
  <c r="AE396" i="29"/>
  <c r="AE567" i="29"/>
  <c r="AE25" i="29"/>
  <c r="AE73" i="29"/>
  <c r="AE34" i="29"/>
  <c r="AD194" i="29"/>
  <c r="AE328" i="29"/>
  <c r="AD514" i="29"/>
  <c r="AD432" i="29"/>
  <c r="AE134" i="29"/>
  <c r="AE152" i="29"/>
  <c r="AD297" i="29"/>
  <c r="AE424" i="29"/>
  <c r="AE606" i="29"/>
  <c r="AE512" i="29"/>
  <c r="AE527" i="29"/>
  <c r="AE37" i="29"/>
  <c r="AE76" i="29"/>
  <c r="AD170" i="29"/>
  <c r="AD458" i="29"/>
  <c r="AE507" i="29"/>
  <c r="AE244" i="29"/>
  <c r="AD318" i="29"/>
  <c r="AD425" i="29"/>
  <c r="AD102" i="29"/>
  <c r="AE26" i="29"/>
  <c r="AE389" i="29"/>
  <c r="AE217" i="29"/>
  <c r="AE425" i="29"/>
  <c r="AD424" i="29"/>
  <c r="AD414" i="29"/>
  <c r="AE589" i="29"/>
  <c r="AD566" i="29"/>
  <c r="AE428" i="29"/>
  <c r="AD440" i="29"/>
  <c r="AE30" i="29"/>
  <c r="AE241" i="29"/>
  <c r="AE459" i="29"/>
  <c r="AD519" i="29"/>
  <c r="AD593" i="29"/>
  <c r="AD480" i="29"/>
  <c r="AD590" i="29"/>
  <c r="AD129" i="29"/>
  <c r="AE263" i="29"/>
  <c r="AD445" i="29"/>
  <c r="AD155" i="29"/>
  <c r="AD517" i="29"/>
  <c r="AE65" i="29"/>
  <c r="AE483" i="29"/>
  <c r="AE27" i="29"/>
  <c r="AD128" i="29"/>
  <c r="AE294" i="29"/>
  <c r="AE443" i="29"/>
  <c r="AD402" i="29"/>
  <c r="AD427" i="29"/>
  <c r="AD86" i="29"/>
  <c r="AE35" i="29"/>
  <c r="AE305" i="29"/>
  <c r="AE88" i="29"/>
  <c r="AD525" i="29"/>
  <c r="AE230" i="29"/>
  <c r="AD429" i="29"/>
  <c r="AD377" i="29"/>
  <c r="AD88" i="29"/>
  <c r="AD550" i="29"/>
  <c r="AE546" i="29"/>
  <c r="AE146" i="29"/>
  <c r="AD185" i="29"/>
  <c r="AE29" i="29"/>
  <c r="AD284" i="29"/>
  <c r="AE262" i="29"/>
  <c r="AD589" i="29"/>
  <c r="AD342" i="29"/>
  <c r="AE549" i="29"/>
  <c r="AE270" i="29"/>
  <c r="AE243" i="29"/>
  <c r="AD143" i="29"/>
  <c r="AD351" i="29"/>
  <c r="AD521" i="29"/>
  <c r="AD302" i="29"/>
  <c r="AE472" i="29"/>
  <c r="AD55" i="29"/>
  <c r="AD301" i="29"/>
  <c r="AE550" i="29"/>
  <c r="AE116" i="29"/>
  <c r="AD229" i="29"/>
  <c r="AE317" i="29"/>
  <c r="AE462" i="29"/>
  <c r="AE257" i="29"/>
  <c r="AE423" i="29"/>
  <c r="AE509" i="29"/>
  <c r="AD438" i="29"/>
  <c r="AE373" i="29"/>
  <c r="AE612" i="29"/>
  <c r="AD576" i="29"/>
  <c r="AD498" i="29"/>
  <c r="AD565" i="29"/>
  <c r="AD568" i="29"/>
  <c r="AE85" i="29"/>
  <c r="AD50" i="29"/>
  <c r="AD366" i="29"/>
  <c r="AE220" i="29"/>
  <c r="AE515" i="29"/>
  <c r="AE167" i="29"/>
  <c r="AE274" i="29"/>
  <c r="AE359" i="29"/>
  <c r="AD24" i="29"/>
  <c r="AD394" i="29"/>
  <c r="AE522" i="29"/>
  <c r="AD160" i="29"/>
  <c r="AD148" i="29"/>
  <c r="AE238" i="29"/>
  <c r="AE406" i="29"/>
  <c r="AE561" i="29"/>
  <c r="AE422" i="29"/>
  <c r="AE375" i="29"/>
  <c r="AE336" i="29"/>
  <c r="AE592" i="29"/>
  <c r="AD277" i="29"/>
  <c r="AD59" i="29"/>
  <c r="AD157" i="29"/>
  <c r="AD244" i="29"/>
  <c r="AD139" i="29"/>
  <c r="AE202" i="29"/>
  <c r="AD312" i="29"/>
  <c r="AE545" i="29"/>
  <c r="AE301" i="29"/>
  <c r="AD534" i="29"/>
  <c r="AD90" i="29"/>
  <c r="AE413" i="29"/>
  <c r="AE487" i="29"/>
  <c r="AD522" i="29"/>
  <c r="AE247" i="29"/>
  <c r="AD416" i="29"/>
  <c r="AD100" i="29"/>
  <c r="AD272" i="29"/>
  <c r="AD442" i="29"/>
  <c r="AD164" i="29"/>
  <c r="AE502" i="29"/>
  <c r="AE218" i="29"/>
  <c r="AD462" i="29"/>
  <c r="AD413" i="29"/>
  <c r="AE602" i="29"/>
  <c r="AD239" i="29"/>
  <c r="AD348" i="29"/>
  <c r="AE371" i="29"/>
  <c r="AD541" i="29"/>
  <c r="AE599" i="29"/>
  <c r="AD207" i="29"/>
  <c r="AD296" i="29"/>
  <c r="AD183" i="29"/>
  <c r="AE273" i="29"/>
  <c r="AE136" i="29"/>
  <c r="AE430" i="29"/>
  <c r="AD430" i="29"/>
  <c r="AE477" i="29"/>
  <c r="AE417" i="29"/>
  <c r="AE609" i="29"/>
  <c r="AD361" i="29"/>
  <c r="AE510" i="29"/>
  <c r="AD386" i="29"/>
  <c r="AE437" i="29"/>
  <c r="AE165" i="29"/>
  <c r="AD248" i="29"/>
  <c r="AD374" i="29"/>
  <c r="AD479" i="29"/>
  <c r="AE607" i="29"/>
  <c r="AE528" i="29"/>
  <c r="AD597" i="29"/>
  <c r="AD531" i="29"/>
  <c r="AE75" i="29"/>
  <c r="AD197" i="29"/>
  <c r="AE339" i="29"/>
  <c r="AD71" i="29"/>
  <c r="AE296" i="29"/>
  <c r="AD98" i="29"/>
  <c r="AD101" i="29"/>
  <c r="AD103" i="29"/>
  <c r="AD108" i="29"/>
  <c r="AD27" i="29"/>
  <c r="AD518" i="29"/>
  <c r="AD333" i="29"/>
  <c r="AE112" i="29"/>
  <c r="AD280" i="29"/>
  <c r="AD495" i="29"/>
  <c r="AD217" i="29"/>
  <c r="AD182" i="29"/>
  <c r="AD242" i="29"/>
  <c r="AE360" i="29"/>
  <c r="AD570" i="29"/>
  <c r="AD309" i="29"/>
  <c r="AD188" i="29"/>
  <c r="AD226" i="29"/>
  <c r="AE80" i="29"/>
  <c r="AD209" i="29"/>
  <c r="AE552" i="29"/>
  <c r="AD613" i="29"/>
  <c r="AE276" i="29"/>
  <c r="AD369" i="29"/>
  <c r="AE553" i="29"/>
  <c r="AD571" i="29"/>
  <c r="AE529" i="29"/>
  <c r="AD153" i="29"/>
  <c r="AD359" i="29"/>
  <c r="AD381" i="29"/>
  <c r="AD85" i="29"/>
  <c r="AE464" i="29"/>
  <c r="AD138" i="29"/>
  <c r="AE63" i="29"/>
  <c r="AE53" i="29"/>
  <c r="AD449" i="29"/>
  <c r="AD232" i="29"/>
  <c r="AE393" i="29"/>
  <c r="AE506" i="29"/>
  <c r="AE340" i="29"/>
  <c r="AD527" i="29"/>
  <c r="AD323" i="29"/>
  <c r="AE196" i="29"/>
  <c r="AD109" i="29"/>
  <c r="AE215" i="29"/>
  <c r="AE303" i="29"/>
  <c r="AD448" i="29"/>
  <c r="AE171" i="29"/>
  <c r="AD125" i="29"/>
  <c r="AE329" i="29"/>
  <c r="AE139" i="29"/>
  <c r="AD516" i="29"/>
  <c r="AD436" i="29"/>
  <c r="AE67" i="29"/>
  <c r="AD383" i="29"/>
  <c r="AE131" i="29"/>
  <c r="AD387" i="29"/>
  <c r="AE144" i="29"/>
  <c r="AD163" i="29"/>
  <c r="AE518" i="29"/>
  <c r="AD588" i="29"/>
  <c r="AE318" i="29"/>
  <c r="AD468" i="29"/>
  <c r="AD492" i="29"/>
  <c r="AD228" i="29"/>
  <c r="AD47" i="29"/>
  <c r="AD256" i="29"/>
  <c r="AE147" i="29"/>
  <c r="AE169" i="29"/>
  <c r="AD134" i="29"/>
  <c r="AE345" i="29"/>
  <c r="AD223" i="29"/>
  <c r="AE49" i="29"/>
  <c r="AE313" i="29"/>
  <c r="AD500" i="29"/>
  <c r="AD598" i="29"/>
  <c r="AD508" i="29"/>
  <c r="AE149" i="29"/>
  <c r="AD559" i="29"/>
  <c r="AD582" i="29"/>
  <c r="AE156" i="29"/>
  <c r="AD179" i="29"/>
  <c r="AE353" i="29"/>
  <c r="AD186" i="29"/>
  <c r="AE159" i="29"/>
  <c r="AD145" i="29"/>
  <c r="AE161" i="29"/>
  <c r="AE185" i="29"/>
  <c r="AE316" i="29"/>
  <c r="AE70" i="29"/>
  <c r="AD66" i="29"/>
  <c r="AE214" i="29"/>
  <c r="AE291" i="29"/>
  <c r="AE523" i="29"/>
  <c r="AD261" i="29"/>
  <c r="AE84" i="29"/>
  <c r="AD30" i="29"/>
  <c r="AE453" i="29"/>
  <c r="AE474" i="29"/>
  <c r="AD69" i="29"/>
  <c r="AE377" i="29"/>
  <c r="AE223" i="29"/>
  <c r="AD184" i="29"/>
  <c r="AD236" i="29"/>
  <c r="AE260" i="29"/>
  <c r="AE278" i="29"/>
  <c r="AD337" i="29"/>
  <c r="AE405" i="29"/>
  <c r="AD405" i="29"/>
  <c r="AD460" i="29"/>
  <c r="AD469" i="29"/>
  <c r="AE376" i="29"/>
  <c r="AE466" i="29"/>
  <c r="AD485" i="29"/>
  <c r="AD538" i="29"/>
  <c r="AD542" i="29"/>
  <c r="AD553" i="29"/>
  <c r="AE539" i="29"/>
  <c r="AD362" i="29"/>
  <c r="AD123" i="29"/>
  <c r="AE346" i="29"/>
  <c r="AE58" i="29"/>
  <c r="AE143" i="29"/>
  <c r="AE40" i="29"/>
  <c r="AE572" i="29"/>
  <c r="AE210" i="29"/>
  <c r="AE280" i="29"/>
  <c r="AE322" i="29"/>
  <c r="AD431" i="29"/>
  <c r="AD300" i="29"/>
  <c r="AD397" i="29"/>
  <c r="AD82" i="29"/>
  <c r="AD195" i="29"/>
  <c r="AE287" i="29"/>
  <c r="AD459" i="29"/>
  <c r="AE508" i="29"/>
  <c r="AE71" i="29"/>
  <c r="AE184" i="29"/>
  <c r="AD287" i="29"/>
  <c r="AD608" i="29"/>
  <c r="AE232" i="29"/>
  <c r="AE444" i="29"/>
  <c r="AE283" i="29"/>
  <c r="AD305" i="29"/>
  <c r="AE351" i="29"/>
  <c r="AE409" i="29"/>
  <c r="AD596" i="29"/>
  <c r="AD220" i="29"/>
  <c r="AD327" i="29"/>
  <c r="AE330" i="29"/>
  <c r="AE467" i="29"/>
  <c r="AE478" i="29"/>
  <c r="AD506" i="29"/>
  <c r="AE306" i="29"/>
  <c r="AD515" i="29"/>
  <c r="AD494" i="29"/>
  <c r="AD529" i="29"/>
  <c r="AD141" i="29"/>
  <c r="AD180" i="29"/>
  <c r="AD177" i="29"/>
  <c r="AD270" i="29"/>
  <c r="AE399" i="29"/>
  <c r="AD548" i="29"/>
  <c r="AD602" i="29"/>
  <c r="AD252" i="29"/>
  <c r="AE382" i="29"/>
  <c r="AD523" i="29"/>
  <c r="AE439" i="29"/>
  <c r="AD446" i="29"/>
  <c r="AE490" i="29"/>
  <c r="AE481" i="29"/>
  <c r="AD581" i="29"/>
  <c r="AD544" i="29"/>
  <c r="AD549" i="29"/>
  <c r="AE594" i="29"/>
  <c r="AD363" i="29"/>
  <c r="AE69" i="29"/>
  <c r="AE102" i="29"/>
  <c r="AD398" i="29"/>
  <c r="AD499" i="29"/>
  <c r="AE33" i="29"/>
  <c r="AE290" i="29"/>
  <c r="AE125" i="29"/>
  <c r="AD208" i="29"/>
  <c r="AE310" i="29"/>
  <c r="AD412" i="29"/>
  <c r="AE155" i="29"/>
  <c r="AD403" i="29"/>
  <c r="AD497" i="29"/>
  <c r="AE141" i="29"/>
  <c r="AE231" i="29"/>
  <c r="AD322" i="29"/>
  <c r="AE45" i="29"/>
  <c r="AE118" i="29"/>
  <c r="AE173" i="29"/>
  <c r="AD292" i="29"/>
  <c r="AD310" i="29"/>
  <c r="AE266" i="29"/>
  <c r="AE192" i="29"/>
  <c r="AD202" i="29"/>
  <c r="AE256" i="29"/>
  <c r="AE341" i="29"/>
  <c r="AD376" i="29"/>
  <c r="AE429" i="29"/>
  <c r="AD587" i="29"/>
  <c r="AE97" i="29"/>
  <c r="AE182" i="29"/>
  <c r="AE259" i="29"/>
  <c r="AD249" i="29"/>
  <c r="AD295" i="29"/>
  <c r="AD320" i="29"/>
  <c r="AE411" i="29"/>
  <c r="AE449" i="29"/>
  <c r="AD545" i="29"/>
  <c r="AD512" i="29"/>
  <c r="AE568" i="29"/>
  <c r="AD135" i="29"/>
  <c r="AD142" i="29"/>
  <c r="AD222" i="29"/>
  <c r="AD289" i="29"/>
  <c r="AE361" i="29"/>
  <c r="AD378" i="29"/>
  <c r="AD592" i="29"/>
  <c r="AE59" i="29"/>
  <c r="AD122" i="29"/>
  <c r="AD212" i="29"/>
  <c r="AD274" i="29"/>
  <c r="AD319" i="29"/>
  <c r="AE293" i="29"/>
  <c r="AD475" i="29"/>
  <c r="AE61" i="29"/>
  <c r="AE242" i="29"/>
  <c r="AE324" i="29"/>
  <c r="AE343" i="29"/>
  <c r="AD455" i="29"/>
  <c r="AD507" i="29"/>
  <c r="AE560" i="29"/>
  <c r="AD601" i="29"/>
  <c r="AD441" i="29"/>
  <c r="AE454" i="29"/>
  <c r="AE533" i="29"/>
  <c r="AD605" i="29"/>
  <c r="AD595" i="29"/>
  <c r="AD530" i="29"/>
  <c r="AD578" i="29"/>
  <c r="AD585" i="29"/>
  <c r="AD356" i="29"/>
  <c r="AD140" i="29"/>
  <c r="AE142" i="29"/>
  <c r="AE404" i="29"/>
  <c r="AD246" i="29"/>
  <c r="AE349" i="29"/>
  <c r="AD465" i="29"/>
  <c r="AD563" i="29"/>
  <c r="AE573" i="29"/>
  <c r="AD150" i="29"/>
  <c r="AD265" i="29"/>
  <c r="AD461" i="29"/>
  <c r="AE469" i="29"/>
  <c r="AD20" i="29"/>
  <c r="AD18" i="29"/>
  <c r="AD61" i="29"/>
  <c r="AD78" i="29"/>
  <c r="AD87" i="29"/>
  <c r="AE412" i="29"/>
  <c r="AE95" i="29"/>
  <c r="AD502" i="29"/>
  <c r="AE119" i="29"/>
  <c r="AD97" i="29"/>
  <c r="AD147" i="29"/>
  <c r="AE174" i="29"/>
  <c r="AD269" i="29"/>
  <c r="AD336" i="29"/>
  <c r="AE585" i="29"/>
  <c r="AD156" i="29"/>
  <c r="AD241" i="29"/>
  <c r="AE441" i="29"/>
  <c r="AD504" i="29"/>
  <c r="AD133" i="29"/>
  <c r="AE222" i="29"/>
  <c r="AD368" i="29"/>
  <c r="AD389" i="29"/>
  <c r="AE501" i="29"/>
  <c r="AE190" i="29"/>
  <c r="AE267" i="29"/>
  <c r="AE94" i="29"/>
  <c r="AE111" i="29"/>
  <c r="AD154" i="29"/>
  <c r="AD275" i="29"/>
  <c r="AE308" i="29"/>
  <c r="AE493" i="29"/>
  <c r="AE540" i="29"/>
  <c r="AE19" i="29"/>
  <c r="AE279" i="29"/>
  <c r="AD395" i="29"/>
  <c r="AE381" i="29"/>
  <c r="AD491" i="29"/>
  <c r="AE511" i="29"/>
  <c r="AE603" i="29"/>
  <c r="AE358" i="29"/>
  <c r="AD583" i="29"/>
  <c r="AD92" i="29"/>
  <c r="AD552" i="29"/>
  <c r="AD298" i="29"/>
  <c r="AD577" i="29"/>
  <c r="AE374" i="29"/>
  <c r="AE402" i="29"/>
  <c r="AD201" i="29"/>
  <c r="AD481" i="29"/>
  <c r="AE77" i="29"/>
  <c r="AE91" i="29"/>
  <c r="AD221" i="29"/>
  <c r="AE240" i="29"/>
  <c r="AD158" i="29"/>
  <c r="AD279" i="29"/>
  <c r="AD338" i="29"/>
  <c r="AE13" i="29"/>
  <c r="AE445" i="29"/>
  <c r="AE164" i="29"/>
  <c r="AD64" i="29"/>
  <c r="AE170" i="29"/>
  <c r="AD196" i="29"/>
  <c r="AE300" i="29"/>
  <c r="AD118" i="29"/>
  <c r="AE86" i="29"/>
  <c r="AD227" i="29"/>
  <c r="AD136" i="29"/>
  <c r="AD325" i="29"/>
  <c r="AE323" i="29"/>
  <c r="AD380" i="29"/>
  <c r="AE350" i="29"/>
  <c r="AE193" i="29"/>
  <c r="AD211" i="29"/>
  <c r="AE344" i="29"/>
  <c r="AE583" i="29"/>
  <c r="AD324" i="29"/>
  <c r="AD474" i="29"/>
  <c r="AE221" i="29"/>
  <c r="AE127" i="29"/>
  <c r="AE55" i="29"/>
  <c r="AE137" i="29"/>
  <c r="AD344" i="29"/>
  <c r="AE272" i="29"/>
  <c r="AE271" i="29"/>
  <c r="AE130" i="29"/>
  <c r="AE372" i="29"/>
  <c r="AD159" i="29"/>
  <c r="AE133" i="29"/>
  <c r="AD258" i="29"/>
  <c r="AD260" i="29"/>
  <c r="AD353" i="29"/>
  <c r="AE334" i="29"/>
  <c r="AE338" i="29"/>
  <c r="AD364" i="29"/>
  <c r="AE390" i="29"/>
  <c r="AE426" i="29"/>
  <c r="AD421" i="29"/>
  <c r="AE485" i="29"/>
  <c r="AE387" i="29"/>
  <c r="AD482" i="29"/>
  <c r="AD526" i="29"/>
  <c r="AD404" i="29"/>
  <c r="AE398" i="29"/>
  <c r="AE504" i="29"/>
  <c r="AD466" i="29"/>
  <c r="AE578" i="29"/>
  <c r="AE74" i="29"/>
  <c r="AD470" i="29"/>
  <c r="AE554" i="29"/>
  <c r="AD347" i="29"/>
  <c r="AE289" i="29"/>
  <c r="AD112" i="29"/>
  <c r="AE177" i="29"/>
  <c r="AD231" i="29"/>
  <c r="AE56" i="29"/>
  <c r="AD96" i="29"/>
  <c r="AE16" i="29"/>
  <c r="AD77" i="29"/>
  <c r="AD39" i="29"/>
  <c r="AD73" i="29"/>
  <c r="AD117" i="29"/>
  <c r="AD13" i="29"/>
  <c r="AD162" i="29"/>
  <c r="AD255" i="29"/>
  <c r="AD352" i="29"/>
  <c r="AD554" i="29"/>
  <c r="AE251" i="29"/>
  <c r="AE286" i="29"/>
  <c r="AD555" i="29"/>
  <c r="AE106" i="29"/>
  <c r="AD204" i="29"/>
  <c r="AD447" i="29"/>
  <c r="AD99" i="29"/>
  <c r="AE499" i="29"/>
  <c r="AD556" i="29"/>
  <c r="AD48" i="29"/>
  <c r="AE64" i="29"/>
  <c r="AD225" i="29"/>
  <c r="AE598" i="29"/>
  <c r="AD132" i="29"/>
  <c r="AD146" i="29"/>
  <c r="AE216" i="29"/>
  <c r="AE275" i="29"/>
  <c r="AE288" i="29"/>
  <c r="AE543" i="29"/>
  <c r="AD562" i="29"/>
  <c r="AE96" i="29"/>
  <c r="AE198" i="29"/>
  <c r="AD343" i="29"/>
  <c r="AE281" i="29"/>
  <c r="AE36" i="29"/>
  <c r="AD15" i="29"/>
  <c r="AD16" i="29"/>
  <c r="AE31" i="29"/>
  <c r="AE295" i="29"/>
  <c r="AD131" i="29"/>
  <c r="AE228" i="29"/>
  <c r="AE248" i="29"/>
  <c r="AE386" i="29"/>
  <c r="AE452" i="29"/>
  <c r="AE252" i="29"/>
  <c r="AE611" i="29"/>
  <c r="AE41" i="29"/>
  <c r="AD308" i="29"/>
  <c r="AD433" i="29"/>
  <c r="AE601" i="29"/>
  <c r="AD237" i="29"/>
  <c r="AD254" i="29"/>
  <c r="AE309" i="29"/>
  <c r="AD524" i="29"/>
  <c r="AE117" i="29"/>
  <c r="AE194" i="29"/>
  <c r="AD335" i="29"/>
  <c r="AE455" i="29"/>
  <c r="AD406" i="29"/>
  <c r="AE530" i="29"/>
  <c r="AD569" i="29"/>
  <c r="AE107" i="29"/>
  <c r="AE160" i="29"/>
  <c r="AD200" i="29"/>
  <c r="AD191" i="29"/>
  <c r="AD247" i="29"/>
  <c r="AD611" i="29"/>
  <c r="AE93" i="29"/>
  <c r="AD161" i="29"/>
  <c r="AE255" i="29"/>
  <c r="AD291" i="29"/>
  <c r="AD346" i="29"/>
  <c r="AE367" i="29"/>
  <c r="AE384" i="29"/>
  <c r="AD75" i="29"/>
  <c r="AD399" i="29"/>
  <c r="AD539" i="29"/>
  <c r="AD551" i="29"/>
  <c r="AE105" i="29"/>
  <c r="AE195" i="29"/>
  <c r="AE44" i="29"/>
  <c r="AD33" i="29"/>
  <c r="AE157" i="29"/>
  <c r="AE108" i="29"/>
  <c r="AD358" i="29"/>
  <c r="AE433" i="29"/>
  <c r="AD198" i="29"/>
  <c r="AE434" i="29"/>
  <c r="AE446" i="29"/>
  <c r="AD218" i="29"/>
  <c r="AD95" i="29"/>
  <c r="AE363" i="29"/>
  <c r="AE587" i="29"/>
  <c r="AE253" i="29"/>
  <c r="AD410" i="29"/>
  <c r="AE597" i="29"/>
  <c r="AE163" i="29"/>
  <c r="AD130" i="29"/>
  <c r="AE219" i="29"/>
  <c r="AE319" i="29"/>
  <c r="AE471" i="29"/>
  <c r="AD115" i="29"/>
  <c r="AE394" i="29"/>
  <c r="AE516" i="29"/>
  <c r="AD234" i="29"/>
  <c r="AD286" i="29"/>
  <c r="AD392" i="29"/>
  <c r="AE574" i="29"/>
  <c r="AE62" i="29"/>
  <c r="AE79" i="29"/>
  <c r="AD417" i="29"/>
  <c r="AD426" i="29"/>
  <c r="AD532" i="29"/>
  <c r="AD213" i="29"/>
  <c r="AE298" i="29"/>
  <c r="AE320" i="29"/>
  <c r="AD493" i="29"/>
  <c r="AD536" i="29"/>
  <c r="AD603" i="29"/>
  <c r="AE397" i="29"/>
  <c r="AD420" i="29"/>
  <c r="AE525" i="29"/>
  <c r="AD558" i="29"/>
  <c r="AE538" i="29"/>
  <c r="AD290" i="29"/>
  <c r="AD189" i="29"/>
  <c r="AE258" i="29"/>
  <c r="AD303" i="29"/>
  <c r="AE463" i="29"/>
  <c r="AE468" i="29"/>
  <c r="AE526" i="29"/>
  <c r="AE100" i="29"/>
  <c r="AE158" i="29"/>
  <c r="AE197" i="29"/>
  <c r="AE209" i="29"/>
  <c r="AE333" i="29"/>
  <c r="AD391" i="29"/>
  <c r="AD400" i="29"/>
  <c r="AD572" i="29"/>
  <c r="AE81" i="29"/>
  <c r="AE120" i="29"/>
  <c r="AE265" i="29"/>
  <c r="AE475" i="29"/>
  <c r="AD509" i="29"/>
  <c r="AD419" i="29"/>
  <c r="AD484" i="29"/>
  <c r="AE595" i="29"/>
  <c r="AD561" i="29"/>
  <c r="AE482" i="29"/>
  <c r="AD350" i="29"/>
  <c r="AD62" i="29"/>
  <c r="AE519" i="29"/>
  <c r="AE355" i="29"/>
  <c r="AE188" i="29"/>
  <c r="AE491" i="29"/>
  <c r="AD214" i="29"/>
  <c r="AD181" i="29"/>
  <c r="AD528" i="29"/>
  <c r="AD365" i="29"/>
  <c r="AE249" i="29"/>
  <c r="AD251" i="29"/>
  <c r="AD149" i="29"/>
  <c r="AE162" i="29"/>
  <c r="AD120" i="29"/>
  <c r="AD604" i="29"/>
  <c r="AD282" i="29"/>
  <c r="AD215" i="29"/>
  <c r="AE135" i="29"/>
  <c r="AD206" i="29"/>
  <c r="AD253" i="29"/>
  <c r="AD341" i="29"/>
  <c r="AD384" i="29"/>
  <c r="AD178" i="29"/>
  <c r="AD259" i="29"/>
  <c r="AD314" i="29"/>
  <c r="AD307" i="29"/>
  <c r="AE408" i="29"/>
  <c r="AD367" i="29"/>
  <c r="AE416" i="29"/>
  <c r="AE383" i="29"/>
  <c r="AD388" i="29"/>
  <c r="AD443" i="29"/>
  <c r="AE448" i="29"/>
  <c r="AD478" i="29"/>
  <c r="AE586" i="29"/>
  <c r="AD586" i="29"/>
  <c r="AD444" i="29"/>
  <c r="AD463" i="29"/>
  <c r="AE314" i="29"/>
  <c r="AD450" i="29"/>
  <c r="AE391" i="29"/>
  <c r="AD451" i="29"/>
  <c r="AE461" i="29"/>
  <c r="AD483" i="29"/>
  <c r="AE517" i="29"/>
  <c r="AE536" i="29"/>
  <c r="AE562" i="29"/>
  <c r="AD606" i="29"/>
  <c r="AE43" i="29"/>
  <c r="AD490" i="29"/>
  <c r="AD503" i="29"/>
  <c r="AD537" i="29"/>
  <c r="AD573" i="29"/>
  <c r="AE556" i="29"/>
  <c r="AE575" i="29"/>
  <c r="AE590" i="29"/>
  <c r="AE600" i="29"/>
  <c r="AD370" i="29"/>
  <c r="AE225" i="29"/>
  <c r="AD267" i="29"/>
  <c r="AE427" i="29"/>
  <c r="AE419" i="29"/>
  <c r="AE505" i="29"/>
  <c r="AE610" i="29"/>
  <c r="AD93" i="29"/>
  <c r="AE234" i="29"/>
  <c r="AD250" i="29"/>
  <c r="AD357" i="29"/>
  <c r="AD240" i="29"/>
  <c r="AE489" i="29"/>
  <c r="AE570" i="29"/>
  <c r="AD53" i="29"/>
  <c r="AD169" i="29"/>
  <c r="AD230" i="29"/>
  <c r="AD574" i="29"/>
  <c r="AD192" i="29"/>
  <c r="AE148" i="29"/>
  <c r="AE392" i="29"/>
  <c r="AD411" i="29"/>
  <c r="AD457" i="29"/>
  <c r="AE495" i="29"/>
  <c r="AD546" i="29"/>
  <c r="AE327" i="29"/>
  <c r="AE576" i="29"/>
  <c r="AE207" i="29"/>
  <c r="AD14" i="29"/>
  <c r="AD19" i="29"/>
  <c r="AE54" i="29"/>
  <c r="AD285" i="29"/>
  <c r="AD137" i="29"/>
  <c r="AE312" i="29"/>
  <c r="AE531" i="29"/>
  <c r="AD36" i="29"/>
  <c r="AE153" i="29"/>
  <c r="AE124" i="29"/>
  <c r="AD264" i="29"/>
  <c r="AD401" i="29"/>
  <c r="AE28" i="29"/>
  <c r="AD60" i="29"/>
  <c r="AD28" i="29"/>
  <c r="AE203" i="29"/>
  <c r="AE421" i="29"/>
  <c r="AE325" i="29"/>
  <c r="AD84" i="29"/>
  <c r="AE199" i="29"/>
  <c r="AE236" i="29"/>
  <c r="AE282" i="29"/>
  <c r="AD600" i="29"/>
  <c r="AE87" i="29"/>
  <c r="AD172" i="29"/>
  <c r="AE237" i="29"/>
  <c r="AE299" i="29"/>
  <c r="AD360" i="29"/>
  <c r="AD224" i="29"/>
  <c r="AE284" i="29"/>
  <c r="AE385" i="29"/>
  <c r="AD171" i="29"/>
  <c r="AE99" i="29"/>
  <c r="AE584" i="29"/>
  <c r="AE109" i="29"/>
  <c r="AE208" i="29"/>
  <c r="AD331" i="29"/>
  <c r="AD235" i="29"/>
  <c r="AD293" i="29"/>
  <c r="AD453" i="29"/>
  <c r="AD486" i="29"/>
  <c r="AE113" i="29"/>
  <c r="AD276" i="29"/>
  <c r="AE342" i="29"/>
  <c r="AD520" i="29"/>
  <c r="AE285" i="29"/>
  <c r="AE450" i="29"/>
  <c r="AE172" i="29"/>
  <c r="AE201" i="29"/>
  <c r="AE337" i="29"/>
  <c r="AE154" i="29"/>
  <c r="AE50" i="29"/>
  <c r="AD35" i="29"/>
  <c r="AD238" i="29"/>
  <c r="AD127" i="29"/>
  <c r="AE168" i="29"/>
  <c r="AD467" i="29"/>
  <c r="AE532" i="29"/>
  <c r="AD476" i="29"/>
  <c r="AE331" i="29"/>
  <c r="AD91" i="29"/>
  <c r="AE150" i="29"/>
  <c r="AD80" i="29"/>
  <c r="AE401" i="29"/>
  <c r="AE565" i="29"/>
  <c r="AD151" i="29"/>
  <c r="AD294" i="29"/>
  <c r="AD330" i="29"/>
  <c r="AD464" i="29"/>
  <c r="AD266" i="29"/>
  <c r="AD281" i="29"/>
  <c r="AE608" i="29"/>
  <c r="AE82" i="29"/>
  <c r="AD174" i="29"/>
  <c r="AE292" i="29"/>
  <c r="AE432" i="29"/>
  <c r="AE488" i="29"/>
  <c r="AE175" i="29"/>
  <c r="AE227" i="29"/>
  <c r="AE438" i="29"/>
  <c r="AE364" i="29"/>
  <c r="AE520" i="29"/>
  <c r="AD579" i="29"/>
  <c r="AE368" i="29"/>
  <c r="AD315" i="29"/>
  <c r="AD326" i="29"/>
  <c r="AE347" i="29"/>
  <c r="AE365" i="29"/>
  <c r="AD396" i="29"/>
  <c r="AD382" i="29"/>
  <c r="AE582" i="29"/>
  <c r="AE181" i="29"/>
  <c r="AD340" i="29"/>
  <c r="AE447" i="29"/>
  <c r="AD423" i="29"/>
  <c r="AE110" i="29"/>
  <c r="AD262" i="29"/>
  <c r="AE302" i="29"/>
  <c r="AD511" i="29"/>
  <c r="AE189" i="29"/>
  <c r="AD173" i="29"/>
  <c r="AE388" i="29"/>
  <c r="AE604" i="29"/>
  <c r="AE126" i="29"/>
  <c r="AE204" i="29"/>
  <c r="AE268" i="29"/>
  <c r="AD311" i="29"/>
  <c r="AE335" i="29"/>
  <c r="AD471" i="29"/>
  <c r="AE555" i="29"/>
  <c r="AE68" i="29"/>
  <c r="AE211" i="29"/>
  <c r="AE229" i="29"/>
  <c r="AD317" i="29"/>
  <c r="AE414" i="29"/>
  <c r="AE436" i="29"/>
  <c r="AD373" i="29"/>
  <c r="AE378" i="29"/>
  <c r="AD379" i="29"/>
  <c r="AE456" i="29"/>
  <c r="AD472" i="29"/>
  <c r="AD560" i="29"/>
  <c r="AD121" i="29"/>
  <c r="AE60" i="29"/>
  <c r="AE473" i="29"/>
  <c r="AE496" i="29"/>
  <c r="AE535" i="29"/>
  <c r="AD575" i="29"/>
  <c r="AD599" i="29"/>
  <c r="AE72" i="29"/>
  <c r="AE66" i="29"/>
  <c r="AE83" i="29"/>
  <c r="AD152" i="29"/>
  <c r="AD126" i="29"/>
  <c r="AD216" i="29"/>
  <c r="AE233" i="29"/>
  <c r="AD321" i="29"/>
  <c r="AD415" i="29"/>
  <c r="AE440" i="29"/>
  <c r="AE500" i="29"/>
  <c r="AE588" i="29"/>
  <c r="AE326" i="29"/>
  <c r="AD332" i="29"/>
  <c r="AE380" i="29"/>
  <c r="AD533" i="29"/>
  <c r="AE581" i="29"/>
  <c r="AD607" i="29"/>
  <c r="AE524" i="29"/>
  <c r="AD205" i="29"/>
  <c r="AE17" i="29"/>
  <c r="AE465" i="29"/>
  <c r="AE128" i="29"/>
  <c r="AE395" i="29"/>
  <c r="AD219" i="29"/>
  <c r="AD119" i="29"/>
  <c r="AD564" i="29"/>
  <c r="AD407" i="29"/>
  <c r="AD390" i="29"/>
  <c r="AE179" i="29"/>
  <c r="AD175" i="29"/>
  <c r="AE176" i="29"/>
  <c r="AE114" i="29"/>
  <c r="AD372" i="29"/>
  <c r="AE311" i="29"/>
  <c r="AE213" i="29"/>
  <c r="AE224" i="29"/>
  <c r="AD116" i="29"/>
  <c r="AE115" i="29"/>
  <c r="AD354" i="29"/>
  <c r="AD245" i="29"/>
  <c r="AE187" i="29"/>
  <c r="AE90" i="29"/>
  <c r="AD190" i="29"/>
  <c r="AD271" i="29"/>
  <c r="AD355" i="29"/>
  <c r="AE352" i="29"/>
  <c r="AE577" i="29"/>
  <c r="AE246" i="29"/>
  <c r="AD278" i="29"/>
  <c r="AD328" i="29"/>
  <c r="AD375" i="29"/>
  <c r="AE354" i="29"/>
  <c r="AE348" i="29"/>
  <c r="AD434" i="29"/>
  <c r="AE400" i="29"/>
  <c r="AD488" i="29"/>
  <c r="AE544" i="29"/>
  <c r="AE403" i="29"/>
  <c r="AD393" i="29"/>
  <c r="AD428" i="29"/>
  <c r="AE563" i="29"/>
  <c r="AE362" i="29"/>
  <c r="AE356" i="29"/>
  <c r="AD435" i="29"/>
  <c r="AE470" i="29"/>
  <c r="AD473" i="29"/>
  <c r="AD510" i="29"/>
  <c r="AE579" i="29"/>
  <c r="AD543" i="29"/>
  <c r="AE569" i="29"/>
  <c r="AD501" i="29"/>
  <c r="AD496" i="29"/>
  <c r="AE498" i="29"/>
  <c r="AE541" i="29"/>
  <c r="AE593" i="29"/>
  <c r="AD584" i="29"/>
  <c r="AE486" i="29"/>
  <c r="AD540" i="29"/>
  <c r="AE605" i="29"/>
  <c r="AD422" i="29"/>
  <c r="AE166" i="29"/>
  <c r="AE200" i="29"/>
  <c r="AD273" i="29"/>
  <c r="AE357" i="29"/>
  <c r="AE591" i="29"/>
  <c r="AE321" i="29"/>
  <c r="AD612" i="29"/>
  <c r="AE460" i="29"/>
  <c r="AE264" i="29"/>
  <c r="AE140" i="29"/>
  <c r="AE92" i="29"/>
  <c r="AD167" i="29"/>
  <c r="AE418" i="29"/>
  <c r="AE503" i="29"/>
  <c r="AE205" i="29"/>
  <c r="AD339" i="29"/>
  <c r="AE435" i="29"/>
  <c r="AD456" i="29"/>
  <c r="AE442" i="29"/>
  <c r="AE178" i="29"/>
  <c r="AE332" i="29"/>
  <c r="AD505" i="29"/>
  <c r="AE121" i="29"/>
  <c r="AD176" i="29"/>
  <c r="AE407" i="29"/>
  <c r="AE239" i="29"/>
  <c r="AE261" i="29"/>
  <c r="AD349" i="29"/>
  <c r="AE596" i="29"/>
  <c r="AE104" i="29"/>
  <c r="AE180" i="29"/>
  <c r="AE206" i="29"/>
  <c r="AD316" i="29"/>
  <c r="AE497" i="29"/>
  <c r="AE551" i="29"/>
  <c r="AD44" i="29"/>
  <c r="AE369" i="29"/>
  <c r="AE534" i="29"/>
  <c r="AE613" i="29"/>
  <c r="AE47" i="29"/>
  <c r="AE559" i="29"/>
  <c r="AD580" i="29"/>
  <c r="AE21" i="29"/>
  <c r="AD56" i="29"/>
  <c r="AD124" i="29"/>
  <c r="AE379" i="29"/>
  <c r="AD418" i="29"/>
  <c r="AE245" i="29"/>
  <c r="AE269" i="29"/>
  <c r="AE537" i="29"/>
  <c r="AD477" i="29"/>
  <c r="AD110" i="29"/>
  <c r="AE103" i="29"/>
  <c r="AD187" i="29"/>
  <c r="AD243" i="29"/>
  <c r="AD454" i="29"/>
  <c r="AD567" i="29"/>
  <c r="AE151" i="29"/>
  <c r="AE304" i="29"/>
  <c r="AE410" i="29"/>
  <c r="AE514" i="29"/>
  <c r="AD385" i="29"/>
  <c r="AD535" i="29"/>
  <c r="AD594" i="29"/>
  <c r="AD263" i="29"/>
  <c r="AD329" i="29"/>
  <c r="AE420" i="29"/>
  <c r="AE129" i="29"/>
  <c r="AE480" i="29"/>
  <c r="AD513" i="29"/>
  <c r="AE547" i="29"/>
  <c r="AE580" i="29"/>
  <c r="AD106" i="29"/>
  <c r="AE212" i="29"/>
  <c r="AD313" i="29"/>
  <c r="AE415" i="29"/>
  <c r="AE484" i="29"/>
  <c r="AE548" i="29"/>
  <c r="AE51" i="29"/>
  <c r="AD299" i="29"/>
  <c r="AE89" i="29"/>
  <c r="AE226" i="29"/>
  <c r="AE366" i="29"/>
  <c r="AE101" i="29"/>
  <c r="AE315" i="29"/>
  <c r="AE431" i="29"/>
  <c r="AD165" i="29"/>
  <c r="AD199" i="29"/>
  <c r="AD89" i="29"/>
  <c r="AD233" i="29"/>
  <c r="AD345" i="29"/>
  <c r="AE494" i="29"/>
  <c r="AE235" i="29"/>
  <c r="AE370" i="29"/>
  <c r="AE123" i="29"/>
  <c r="AD288" i="29"/>
  <c r="AE458" i="29"/>
  <c r="AD409" i="29"/>
  <c r="AE191" i="29"/>
  <c r="AE307" i="29"/>
  <c r="AD439" i="29"/>
  <c r="AE566" i="29"/>
  <c r="AD168" i="29"/>
  <c r="AD63" i="29"/>
  <c r="AE32" i="29"/>
  <c r="AD26" i="29"/>
  <c r="AD67" i="29"/>
  <c r="AD22" i="29"/>
  <c r="AD79" i="29"/>
  <c r="AE23" i="29"/>
  <c r="AD107" i="29"/>
  <c r="AD68" i="29"/>
  <c r="AD25" i="29"/>
  <c r="AD105" i="29"/>
  <c r="AD74" i="29"/>
  <c r="AD65" i="29"/>
  <c r="AD41" i="29"/>
  <c r="AE39" i="29"/>
  <c r="AE20" i="29"/>
  <c r="AD40" i="29"/>
  <c r="AD21" i="29"/>
  <c r="AD37" i="29"/>
  <c r="AD83" i="29"/>
  <c r="AD46" i="29"/>
  <c r="AE122" i="29"/>
  <c r="AD32" i="29"/>
  <c r="AE78" i="29"/>
  <c r="AD111" i="29"/>
  <c r="AD81" i="29"/>
  <c r="AD72" i="29"/>
  <c r="AD52" i="29"/>
  <c r="AD17" i="29"/>
  <c r="AE138" i="29"/>
  <c r="AD76" i="29"/>
  <c r="AD42" i="29"/>
  <c r="AD45" i="29"/>
  <c r="AD51" i="29"/>
  <c r="AD54" i="29"/>
  <c r="AD94" i="29"/>
  <c r="Q625" i="29"/>
  <c r="AD49" i="29"/>
  <c r="AD43" i="29"/>
  <c r="AD57" i="29"/>
  <c r="AD29" i="29"/>
  <c r="U625" i="29"/>
  <c r="AE24" i="29"/>
  <c r="AE15" i="29"/>
  <c r="AD34" i="29"/>
  <c r="AD58" i="29"/>
  <c r="AD113" i="29"/>
  <c r="AD104" i="29"/>
  <c r="AE48" i="29"/>
  <c r="AD23" i="29"/>
  <c r="AE14" i="29"/>
  <c r="T625" i="29"/>
  <c r="P625" i="29"/>
  <c r="V625" i="29"/>
  <c r="AD31" i="29"/>
  <c r="R625" i="29"/>
  <c r="O625" i="29"/>
  <c r="S625" i="29"/>
  <c r="AD38" i="29"/>
  <c r="AE52" i="29"/>
  <c r="AE626" i="29"/>
  <c r="AD626" i="29"/>
  <c r="AE624" i="29" l="1"/>
  <c r="AD624" i="29"/>
  <c r="AE625" i="29"/>
  <c r="AD625" i="29"/>
  <c r="D37" i="19" l="1"/>
  <c r="N108" i="24" l="1"/>
  <c r="B54" i="19" l="1"/>
  <c r="D54" i="19" s="1"/>
  <c r="D42" i="19"/>
  <c r="B206" i="2"/>
  <c r="EX1" i="24" s="1"/>
  <c r="BT1" i="24" l="1"/>
  <c r="B97" i="2" l="1"/>
  <c r="M10" i="1"/>
  <c r="K10" i="1"/>
  <c r="B18" i="2" l="1"/>
  <c r="CK212" i="25" s="1"/>
  <c r="B28" i="19"/>
  <c r="D28" i="19" s="1"/>
  <c r="B49" i="19"/>
  <c r="D49" i="19" s="1"/>
  <c r="EQ216" i="25" l="1"/>
  <c r="ES216" i="24"/>
  <c r="EV216" i="24" s="1"/>
  <c r="BO216" i="24"/>
  <c r="BR216" i="24" s="1"/>
  <c r="CK112" i="25"/>
  <c r="L105" i="2"/>
  <c r="G83" i="2"/>
  <c r="EQ110" i="25"/>
  <c r="ES110" i="24"/>
  <c r="EV110" i="24" s="1"/>
  <c r="CQ1" i="24"/>
  <c r="CK287" i="25"/>
  <c r="CK201" i="25"/>
  <c r="CK186" i="25"/>
  <c r="CK172" i="25"/>
  <c r="CK147" i="25"/>
  <c r="CK143" i="25"/>
  <c r="CK118" i="25"/>
  <c r="CK94" i="25"/>
  <c r="CK54" i="25"/>
  <c r="CK46" i="25"/>
  <c r="CK302" i="25"/>
  <c r="CK297" i="25"/>
  <c r="CK292" i="25"/>
  <c r="CK289" i="25"/>
  <c r="CK280" i="25"/>
  <c r="CK261" i="25"/>
  <c r="CK249" i="25"/>
  <c r="CK228" i="25"/>
  <c r="CK225" i="25"/>
  <c r="CK222" i="25"/>
  <c r="CK219" i="25"/>
  <c r="CK199" i="25"/>
  <c r="CK197" i="25"/>
  <c r="CK194" i="25"/>
  <c r="CK191" i="25"/>
  <c r="CK161" i="25"/>
  <c r="CK157" i="25"/>
  <c r="CK139" i="25"/>
  <c r="CK127" i="25"/>
  <c r="CK124" i="25"/>
  <c r="CK113" i="25"/>
  <c r="CK104" i="25"/>
  <c r="CK98" i="25"/>
  <c r="CK96" i="25"/>
  <c r="CK92" i="25"/>
  <c r="CK83" i="25"/>
  <c r="CK81" i="25"/>
  <c r="CK79" i="25"/>
  <c r="CK65" i="25"/>
  <c r="CK23" i="25"/>
  <c r="CK17" i="25"/>
  <c r="CK13" i="25"/>
  <c r="CK314" i="25"/>
  <c r="CK282" i="25"/>
  <c r="CK278" i="25"/>
  <c r="CK272" i="25"/>
  <c r="CK267" i="25"/>
  <c r="CK265" i="25"/>
  <c r="CK263" i="25"/>
  <c r="CK253" i="25"/>
  <c r="CK242" i="25"/>
  <c r="CK233" i="25"/>
  <c r="CK206" i="25"/>
  <c r="CK183" i="25"/>
  <c r="CK179" i="25"/>
  <c r="CK177" i="25"/>
  <c r="CK170" i="25"/>
  <c r="CK150" i="25"/>
  <c r="CK137" i="25"/>
  <c r="CK119" i="25"/>
  <c r="CK87" i="25"/>
  <c r="CK85" i="25"/>
  <c r="CK76" i="25"/>
  <c r="CK72" i="25"/>
  <c r="CK269" i="25"/>
  <c r="CK251" i="25"/>
  <c r="CK230" i="25"/>
  <c r="CK181" i="25"/>
  <c r="CK168" i="25"/>
  <c r="CK164" i="25"/>
  <c r="CK130" i="25"/>
  <c r="CK116" i="25"/>
  <c r="CK74" i="25"/>
  <c r="CK316" i="25"/>
  <c r="CK311" i="25"/>
  <c r="CK309" i="25"/>
  <c r="CK301" i="25"/>
  <c r="CK299" i="25"/>
  <c r="CK294" i="25"/>
  <c r="CK291" i="25"/>
  <c r="CK288" i="25"/>
  <c r="CK286" i="25"/>
  <c r="CK284" i="25"/>
  <c r="CK275" i="25"/>
  <c r="CK258" i="25"/>
  <c r="CK256" i="25"/>
  <c r="CK246" i="25"/>
  <c r="CK244" i="25"/>
  <c r="CK237" i="25"/>
  <c r="CK235" i="25"/>
  <c r="CK224" i="25"/>
  <c r="CK216" i="25"/>
  <c r="CK208" i="25"/>
  <c r="CK204" i="25"/>
  <c r="CK195" i="25"/>
  <c r="CK189" i="25"/>
  <c r="CK185" i="25"/>
  <c r="CK175" i="25"/>
  <c r="CK166" i="25"/>
  <c r="CK160" i="25"/>
  <c r="CK156" i="25"/>
  <c r="CK153" i="25"/>
  <c r="CK122" i="25"/>
  <c r="CK111" i="25"/>
  <c r="CK110" i="25"/>
  <c r="CK89" i="25"/>
  <c r="CK38" i="25"/>
  <c r="CK31" i="25"/>
  <c r="CK27" i="25"/>
  <c r="CK25" i="25"/>
  <c r="CK12" i="25"/>
  <c r="CK10" i="25"/>
  <c r="CK290" i="25"/>
  <c r="CK277" i="25"/>
  <c r="CK254" i="25"/>
  <c r="CK227" i="25"/>
  <c r="CK200" i="25"/>
  <c r="CK196" i="25"/>
  <c r="CK159" i="25"/>
  <c r="CK138" i="25"/>
  <c r="CK120" i="25"/>
  <c r="CK97" i="25"/>
  <c r="CK93" i="25"/>
  <c r="CK80" i="25"/>
  <c r="CK62" i="25"/>
  <c r="CK53" i="25"/>
  <c r="CK42" i="25"/>
  <c r="CK33" i="25"/>
  <c r="CK24" i="25"/>
  <c r="CK313" i="25"/>
  <c r="CK306" i="25"/>
  <c r="CK304" i="25"/>
  <c r="CK296" i="25"/>
  <c r="CK248" i="25"/>
  <c r="CK239" i="25"/>
  <c r="CK232" i="25"/>
  <c r="CK221" i="25"/>
  <c r="CK218" i="25"/>
  <c r="CK202" i="25"/>
  <c r="CK192" i="25"/>
  <c r="CK187" i="25"/>
  <c r="CK173" i="25"/>
  <c r="CK163" i="25"/>
  <c r="CK148" i="25"/>
  <c r="CK146" i="25"/>
  <c r="CK144" i="25"/>
  <c r="CK142" i="25"/>
  <c r="CK140" i="25"/>
  <c r="CK135" i="25"/>
  <c r="CK133" i="25"/>
  <c r="CK128" i="25"/>
  <c r="CK125" i="25"/>
  <c r="CK114" i="25"/>
  <c r="CK103" i="25"/>
  <c r="CK101" i="25"/>
  <c r="CK95" i="25"/>
  <c r="CK91" i="25"/>
  <c r="CK68" i="25"/>
  <c r="CK66" i="25"/>
  <c r="CK55" i="25"/>
  <c r="CK51" i="25"/>
  <c r="CK49" i="25"/>
  <c r="CK45" i="25"/>
  <c r="CK40" i="25"/>
  <c r="CK29" i="25"/>
  <c r="CK22" i="25"/>
  <c r="CK20" i="25"/>
  <c r="CK18" i="25"/>
  <c r="CK16" i="25"/>
  <c r="CK14" i="25"/>
  <c r="CK6" i="25"/>
  <c r="CK308" i="25"/>
  <c r="CK279" i="25"/>
  <c r="CK274" i="25"/>
  <c r="CK260" i="25"/>
  <c r="CK250" i="25"/>
  <c r="CK210" i="25"/>
  <c r="CK198" i="25"/>
  <c r="CK171" i="25"/>
  <c r="CK152" i="25"/>
  <c r="CK131" i="25"/>
  <c r="CK117" i="25"/>
  <c r="CK99" i="25"/>
  <c r="CK82" i="25"/>
  <c r="CK78" i="25"/>
  <c r="CK58" i="25"/>
  <c r="CK47" i="25"/>
  <c r="CK35" i="25"/>
  <c r="CK271" i="25"/>
  <c r="CK71" i="25"/>
  <c r="CK298" i="25"/>
  <c r="CK293" i="25"/>
  <c r="CK281" i="25"/>
  <c r="CK268" i="25"/>
  <c r="CK266" i="25"/>
  <c r="CK264" i="25"/>
  <c r="CK252" i="25"/>
  <c r="CK241" i="25"/>
  <c r="CK234" i="25"/>
  <c r="CK229" i="25"/>
  <c r="CK207" i="25"/>
  <c r="CK193" i="25"/>
  <c r="CK190" i="25"/>
  <c r="CK182" i="25"/>
  <c r="CK180" i="25"/>
  <c r="CK178" i="25"/>
  <c r="CK176" i="25"/>
  <c r="CK162" i="25"/>
  <c r="CK315" i="25"/>
  <c r="CK312" i="25"/>
  <c r="CK310" i="25"/>
  <c r="CK303" i="25"/>
  <c r="CK300" i="25"/>
  <c r="CK295" i="25"/>
  <c r="CK283" i="25"/>
  <c r="CK270" i="25"/>
  <c r="CK262" i="25"/>
  <c r="CK259" i="25"/>
  <c r="CK257" i="25"/>
  <c r="CK245" i="25"/>
  <c r="CK243" i="25"/>
  <c r="CK238" i="25"/>
  <c r="CK236" i="25"/>
  <c r="CK226" i="25"/>
  <c r="CK223" i="25"/>
  <c r="CK220" i="25"/>
  <c r="CK217" i="25"/>
  <c r="CK205" i="25"/>
  <c r="CK184" i="25"/>
  <c r="CK165" i="25"/>
  <c r="CK158" i="25"/>
  <c r="CK151" i="25"/>
  <c r="CK136" i="25"/>
  <c r="CK132" i="25"/>
  <c r="CK129" i="25"/>
  <c r="CK126" i="25"/>
  <c r="CK115" i="25"/>
  <c r="CK105" i="25"/>
  <c r="CK100" i="25"/>
  <c r="CK90" i="25"/>
  <c r="CK88" i="25"/>
  <c r="CK77" i="25"/>
  <c r="CK69" i="25"/>
  <c r="CK67" i="25"/>
  <c r="CK60" i="25"/>
  <c r="CK56" i="25"/>
  <c r="CK50" i="25"/>
  <c r="CK32" i="25"/>
  <c r="CK30" i="25"/>
  <c r="CK28" i="25"/>
  <c r="CK11" i="25"/>
  <c r="CK307" i="25"/>
  <c r="CK305" i="25"/>
  <c r="CK285" i="25"/>
  <c r="CK276" i="25"/>
  <c r="CK273" i="25"/>
  <c r="CK255" i="25"/>
  <c r="CK247" i="25"/>
  <c r="CK240" i="25"/>
  <c r="CK231" i="25"/>
  <c r="CK209" i="25"/>
  <c r="CK203" i="25"/>
  <c r="CK188" i="25"/>
  <c r="CK174" i="25"/>
  <c r="CK154" i="25"/>
  <c r="CK149" i="25"/>
  <c r="CK145" i="25"/>
  <c r="CK141" i="25"/>
  <c r="CK134" i="25"/>
  <c r="CK121" i="25"/>
  <c r="CK102" i="25"/>
  <c r="CK52" i="25"/>
  <c r="CK48" i="25"/>
  <c r="CK70" i="25"/>
  <c r="CK61" i="25"/>
  <c r="CK36" i="25"/>
  <c r="CK44" i="25"/>
  <c r="CK9" i="25"/>
  <c r="CK167" i="25"/>
  <c r="CK169" i="25"/>
  <c r="CK155" i="25"/>
  <c r="CK84" i="25"/>
  <c r="CK41" i="25"/>
  <c r="CK21" i="25"/>
  <c r="CK7" i="25"/>
  <c r="CK39" i="25"/>
  <c r="CK19" i="25"/>
  <c r="CK43" i="25"/>
  <c r="CK26" i="25"/>
  <c r="CK15" i="25"/>
  <c r="CK123" i="25"/>
  <c r="CK34" i="25"/>
  <c r="CK63" i="25"/>
  <c r="CK8" i="25"/>
  <c r="CK86" i="25"/>
  <c r="CK73" i="25"/>
  <c r="CK64" i="25"/>
  <c r="CK57" i="25"/>
  <c r="CK37" i="25"/>
  <c r="CK59" i="25"/>
  <c r="CK75" i="25"/>
  <c r="BO110" i="24"/>
  <c r="BR110" i="24" s="1"/>
  <c r="M1" i="24"/>
  <c r="K41" i="16" l="1"/>
  <c r="K40" i="16"/>
  <c r="K39" i="16"/>
  <c r="K33" i="16"/>
  <c r="J33" i="16"/>
  <c r="I33" i="16"/>
  <c r="H33" i="16"/>
  <c r="I34" i="16"/>
  <c r="H34" i="16"/>
  <c r="C41" i="16"/>
  <c r="D40" i="16"/>
  <c r="D39" i="16"/>
  <c r="J40" i="16"/>
  <c r="H40" i="16"/>
  <c r="J39" i="16"/>
  <c r="J50" i="16"/>
  <c r="I50" i="16"/>
  <c r="H50" i="16"/>
  <c r="A50" i="16"/>
  <c r="D42" i="16"/>
  <c r="D41" i="16"/>
  <c r="F245" i="2"/>
  <c r="K47" i="16"/>
  <c r="J47" i="16"/>
  <c r="I40" i="16"/>
  <c r="C40" i="16"/>
  <c r="B34" i="16"/>
  <c r="A40" i="16"/>
  <c r="B251" i="2"/>
  <c r="A33" i="16"/>
  <c r="K50" i="16"/>
  <c r="M14" i="1" l="1"/>
  <c r="A2" i="28"/>
  <c r="A2" i="22"/>
  <c r="B17" i="2"/>
  <c r="B16" i="2"/>
  <c r="C44" i="16" l="1"/>
  <c r="D44" i="16"/>
  <c r="CM212" i="25"/>
  <c r="N322" i="25"/>
  <c r="CM112" i="25"/>
  <c r="CM5" i="25"/>
  <c r="CM273" i="25"/>
  <c r="CM261" i="25"/>
  <c r="CM298" i="25"/>
  <c r="CM305" i="25"/>
  <c r="CM301" i="25"/>
  <c r="CM307" i="25"/>
  <c r="CM309" i="25"/>
  <c r="CM240" i="25"/>
  <c r="CM284" i="25"/>
  <c r="CM220" i="25"/>
  <c r="CM286" i="25"/>
  <c r="CM223" i="25"/>
  <c r="CM269" i="25"/>
  <c r="CM198" i="25"/>
  <c r="CM162" i="25"/>
  <c r="CM102" i="25"/>
  <c r="CM158" i="25"/>
  <c r="CM66" i="25"/>
  <c r="CM159" i="25"/>
  <c r="CM151" i="25"/>
  <c r="CM7" i="25"/>
  <c r="CM71" i="25"/>
  <c r="CM25" i="25"/>
  <c r="CM85" i="25"/>
  <c r="CM34" i="25"/>
  <c r="CM135" i="25"/>
  <c r="CM202" i="25"/>
  <c r="CM35" i="25"/>
  <c r="CM140" i="25"/>
  <c r="CM160" i="25"/>
  <c r="CM97" i="25"/>
  <c r="CM11" i="25"/>
  <c r="CM77" i="25"/>
  <c r="CM30" i="25"/>
  <c r="CM170" i="25"/>
  <c r="CM26" i="25"/>
  <c r="CM218" i="25"/>
  <c r="CM226" i="25"/>
  <c r="CM285" i="25"/>
  <c r="CM260" i="25"/>
  <c r="CM243" i="25"/>
  <c r="CM278" i="25"/>
  <c r="CM245" i="25"/>
  <c r="CM233" i="25"/>
  <c r="CM217" i="25"/>
  <c r="CM311" i="25"/>
  <c r="CM259" i="25"/>
  <c r="CM316" i="25"/>
  <c r="CM262" i="25"/>
  <c r="CM263" i="25"/>
  <c r="CM116" i="25"/>
  <c r="CM130" i="25"/>
  <c r="CM113" i="25"/>
  <c r="CM6" i="25"/>
  <c r="CM72" i="25"/>
  <c r="CM56" i="25"/>
  <c r="CM133" i="25"/>
  <c r="CM199" i="25"/>
  <c r="CM171" i="25"/>
  <c r="CM32" i="25"/>
  <c r="CM177" i="25"/>
  <c r="CM209" i="25"/>
  <c r="CM180" i="25"/>
  <c r="CM27" i="25"/>
  <c r="CM87" i="25"/>
  <c r="CM147" i="25"/>
  <c r="CM144" i="25"/>
  <c r="CM123" i="25"/>
  <c r="CM67" i="25"/>
  <c r="CM83" i="25"/>
  <c r="CM101" i="25"/>
  <c r="CM92" i="25"/>
  <c r="CM45" i="25"/>
  <c r="CM13" i="25"/>
  <c r="CM43" i="25"/>
  <c r="CM78" i="25"/>
  <c r="CM114" i="25"/>
  <c r="CM139" i="25"/>
  <c r="CM146" i="25"/>
  <c r="CM294" i="25"/>
  <c r="CM52" i="25"/>
  <c r="CM194" i="25"/>
  <c r="CM81" i="25"/>
  <c r="CM279" i="25"/>
  <c r="CM118" i="25"/>
  <c r="CM53" i="25"/>
  <c r="CM75" i="25"/>
  <c r="CM208" i="25"/>
  <c r="CM186" i="25"/>
  <c r="CM48" i="25"/>
  <c r="CM191" i="25"/>
  <c r="CM293" i="25"/>
  <c r="CM270" i="25"/>
  <c r="CM239" i="25"/>
  <c r="CM300" i="25"/>
  <c r="CM219" i="25"/>
  <c r="CM303" i="25"/>
  <c r="CM282" i="25"/>
  <c r="CM257" i="25"/>
  <c r="CM230" i="25"/>
  <c r="CM312" i="25"/>
  <c r="CM251" i="25"/>
  <c r="CM315" i="25"/>
  <c r="CM249" i="25"/>
  <c r="CM188" i="25"/>
  <c r="CM76" i="25"/>
  <c r="CM197" i="25"/>
  <c r="CM9" i="25"/>
  <c r="CM105" i="25"/>
  <c r="CM117" i="25"/>
  <c r="CM153" i="25"/>
  <c r="CM183" i="25"/>
  <c r="CM70" i="25"/>
  <c r="CM82" i="25"/>
  <c r="CM187" i="25"/>
  <c r="CM206" i="25"/>
  <c r="CM189" i="25"/>
  <c r="CM152" i="25"/>
  <c r="CM192" i="25"/>
  <c r="CM216" i="25"/>
  <c r="CM38" i="25"/>
  <c r="CM157" i="25"/>
  <c r="CM89" i="25"/>
  <c r="CM190" i="25"/>
  <c r="CM103" i="25"/>
  <c r="CM161" i="25"/>
  <c r="CM155" i="25"/>
  <c r="CM88" i="25"/>
  <c r="CM110" i="25"/>
  <c r="CM17" i="25"/>
  <c r="CM271" i="25"/>
  <c r="CM228" i="25"/>
  <c r="CM39" i="25"/>
  <c r="CM163" i="25"/>
  <c r="CM62" i="25"/>
  <c r="CM80" i="25"/>
  <c r="CM172" i="25"/>
  <c r="CM236" i="25"/>
  <c r="CM304" i="25"/>
  <c r="CM225" i="25"/>
  <c r="CM121" i="25"/>
  <c r="CM166" i="25"/>
  <c r="CM16" i="25"/>
  <c r="CM250" i="25"/>
  <c r="CM229" i="25"/>
  <c r="CM246" i="25"/>
  <c r="CM252" i="25"/>
  <c r="CM292" i="25"/>
  <c r="CM264" i="25"/>
  <c r="CM222" i="25"/>
  <c r="CM310" i="25"/>
  <c r="CM242" i="25"/>
  <c r="CM268" i="25"/>
  <c r="CM253" i="25"/>
  <c r="CM281" i="25"/>
  <c r="CM287" i="25"/>
  <c r="CM86" i="25"/>
  <c r="CM55" i="25"/>
  <c r="CM8" i="25"/>
  <c r="CM176" i="25"/>
  <c r="CM128" i="25"/>
  <c r="CM12" i="25"/>
  <c r="CM14" i="25"/>
  <c r="CM18" i="25"/>
  <c r="CM23" i="25"/>
  <c r="CM173" i="25"/>
  <c r="CM143" i="25"/>
  <c r="CM94" i="25"/>
  <c r="CM21" i="25"/>
  <c r="CM60" i="25"/>
  <c r="CM131" i="25"/>
  <c r="CM156" i="25"/>
  <c r="CM145" i="25"/>
  <c r="CM41" i="25"/>
  <c r="CM126" i="25"/>
  <c r="CM248" i="25"/>
  <c r="CM93" i="25"/>
  <c r="CM204" i="25"/>
  <c r="CM29" i="25"/>
  <c r="CM104" i="25"/>
  <c r="CM205" i="25"/>
  <c r="CM142" i="25"/>
  <c r="CM185" i="25"/>
  <c r="CM244" i="25"/>
  <c r="CM238" i="25"/>
  <c r="CM241" i="25"/>
  <c r="CM148" i="25"/>
  <c r="CM125" i="25"/>
  <c r="CM115" i="25"/>
  <c r="CM28" i="25"/>
  <c r="CM36" i="25"/>
  <c r="CM181" i="25"/>
  <c r="CM132" i="25"/>
  <c r="CM136" i="25"/>
  <c r="CM74" i="25"/>
  <c r="CM79" i="25"/>
  <c r="CM96" i="25"/>
  <c r="CM299" i="25"/>
  <c r="CM99" i="25"/>
  <c r="CM49" i="25"/>
  <c r="CM46" i="25"/>
  <c r="CM291" i="25"/>
  <c r="CM283" i="25"/>
  <c r="CM280" i="25"/>
  <c r="CM296" i="25"/>
  <c r="CM289" i="25"/>
  <c r="CM227" i="25"/>
  <c r="CM274" i="25"/>
  <c r="CM254" i="25"/>
  <c r="CM302" i="25"/>
  <c r="CM277" i="25"/>
  <c r="CM272" i="25"/>
  <c r="CM237" i="25"/>
  <c r="CM90" i="25"/>
  <c r="CM111" i="25"/>
  <c r="CM195" i="25"/>
  <c r="CM65" i="25"/>
  <c r="CM84" i="25"/>
  <c r="CM203" i="25"/>
  <c r="CM178" i="25"/>
  <c r="CM68" i="25"/>
  <c r="CM196" i="25"/>
  <c r="CM164" i="25"/>
  <c r="CM124" i="25"/>
  <c r="CM69" i="25"/>
  <c r="CM193" i="25"/>
  <c r="CM182" i="25"/>
  <c r="CM95" i="25"/>
  <c r="CM61" i="25"/>
  <c r="CM57" i="25"/>
  <c r="CM58" i="25"/>
  <c r="CM73" i="25"/>
  <c r="CM54" i="25"/>
  <c r="CM210" i="25"/>
  <c r="CM98" i="25"/>
  <c r="CM232" i="25"/>
  <c r="CM313" i="25"/>
  <c r="CM165" i="25"/>
  <c r="CM44" i="25"/>
  <c r="CM40" i="25"/>
  <c r="CM265" i="25"/>
  <c r="CM234" i="25"/>
  <c r="CM295" i="25"/>
  <c r="CM258" i="25"/>
  <c r="CM231" i="25"/>
  <c r="CM275" i="25"/>
  <c r="CM256" i="25"/>
  <c r="CM224" i="25"/>
  <c r="CM247" i="25"/>
  <c r="CM235" i="25"/>
  <c r="CM255" i="25"/>
  <c r="CM288" i="25"/>
  <c r="CM149" i="25"/>
  <c r="CM167" i="25"/>
  <c r="CM100" i="25"/>
  <c r="CM20" i="25"/>
  <c r="CM42" i="25"/>
  <c r="CM174" i="25"/>
  <c r="CM10" i="25"/>
  <c r="CM63" i="25"/>
  <c r="CM169" i="25"/>
  <c r="CM138" i="25"/>
  <c r="CM59" i="25"/>
  <c r="CM134" i="25"/>
  <c r="CM184" i="25"/>
  <c r="CM91" i="25"/>
  <c r="CM200" i="25"/>
  <c r="CM168" i="25"/>
  <c r="CM127" i="25"/>
  <c r="CM47" i="25"/>
  <c r="CM37" i="25"/>
  <c r="CM141" i="25"/>
  <c r="CM31" i="25"/>
  <c r="CM119" i="25"/>
  <c r="CM137" i="25"/>
  <c r="CM201" i="25"/>
  <c r="CM64" i="25"/>
  <c r="CM150" i="25"/>
  <c r="CM154" i="25"/>
  <c r="CM207" i="25"/>
  <c r="CM51" i="25"/>
  <c r="CM120" i="25"/>
  <c r="CM276" i="25"/>
  <c r="CM308" i="25"/>
  <c r="CM297" i="25"/>
  <c r="CM266" i="25"/>
  <c r="CM314" i="25"/>
  <c r="CM221" i="25"/>
  <c r="CM122" i="25"/>
  <c r="CM15" i="25"/>
  <c r="CM129" i="25"/>
  <c r="CM267" i="25"/>
  <c r="CM306" i="25"/>
  <c r="CM290" i="25"/>
  <c r="CM33" i="25"/>
  <c r="CM50" i="25"/>
  <c r="CM179" i="25"/>
  <c r="CM19" i="25"/>
  <c r="CM22" i="25"/>
  <c r="CM175" i="25"/>
  <c r="CM24" i="25"/>
  <c r="I5" i="25"/>
  <c r="B73" i="2"/>
  <c r="D245" i="2" s="1"/>
  <c r="B19" i="2"/>
  <c r="BP6" i="19"/>
  <c r="BQ6" i="19"/>
  <c r="BU6" i="19"/>
  <c r="CA6" i="19" s="1"/>
  <c r="BV6" i="19"/>
  <c r="CB6" i="19" s="1"/>
  <c r="BW6" i="19"/>
  <c r="CC6" i="19" s="1"/>
  <c r="BP7" i="19"/>
  <c r="BQ7" i="19"/>
  <c r="BU7" i="19"/>
  <c r="BV7" i="19"/>
  <c r="CB7" i="19" s="1"/>
  <c r="BW7" i="19"/>
  <c r="CA7" i="19"/>
  <c r="CC7" i="19"/>
  <c r="BP8" i="19"/>
  <c r="BQ8" i="19"/>
  <c r="BU8" i="19"/>
  <c r="BV8" i="19"/>
  <c r="CB8" i="19" s="1"/>
  <c r="BW8" i="19"/>
  <c r="CA8" i="19"/>
  <c r="CC8" i="19"/>
  <c r="BP9" i="19"/>
  <c r="BQ9" i="19"/>
  <c r="BU9" i="19"/>
  <c r="BV9" i="19"/>
  <c r="CB9" i="19" s="1"/>
  <c r="BW9" i="19"/>
  <c r="CA9" i="19"/>
  <c r="CC9" i="19"/>
  <c r="D24" i="2"/>
  <c r="A24" i="2"/>
  <c r="AL216" i="25"/>
  <c r="AL110" i="25"/>
  <c r="AL5" i="25"/>
  <c r="K13" i="1"/>
  <c r="K9" i="1"/>
  <c r="B297" i="2" l="1"/>
  <c r="R35" i="2"/>
  <c r="R34" i="2"/>
  <c r="B139" i="2" l="1"/>
  <c r="C33" i="16"/>
  <c r="B103" i="2"/>
  <c r="B108" i="2" l="1"/>
  <c r="K36" i="1"/>
  <c r="K33" i="1"/>
  <c r="D10" i="1"/>
  <c r="D11" i="1"/>
  <c r="D36" i="1"/>
  <c r="D33" i="1"/>
  <c r="D49" i="1"/>
  <c r="B197" i="2" l="1"/>
  <c r="ER212" i="25" s="1"/>
  <c r="BN5" i="25" l="1"/>
  <c r="BM110" i="25"/>
  <c r="BM216" i="25"/>
  <c r="ER237" i="25"/>
  <c r="ER270" i="25"/>
  <c r="ER261" i="25"/>
  <c r="ER246" i="25"/>
  <c r="ER274" i="25"/>
  <c r="ER300" i="25"/>
  <c r="ER219" i="25"/>
  <c r="ER304" i="25"/>
  <c r="ER297" i="25"/>
  <c r="ER224" i="25"/>
  <c r="ER247" i="25"/>
  <c r="ER235" i="25"/>
  <c r="ER238" i="25"/>
  <c r="ER303" i="25"/>
  <c r="ER255" i="25"/>
  <c r="ER288" i="25"/>
  <c r="ER229" i="25"/>
  <c r="ER276" i="25"/>
  <c r="ER294" i="25"/>
  <c r="ER248" i="25"/>
  <c r="ER252" i="25"/>
  <c r="ER292" i="25"/>
  <c r="ER227" i="25"/>
  <c r="ER240" i="25"/>
  <c r="ER284" i="25"/>
  <c r="ER220" i="25"/>
  <c r="ER286" i="25"/>
  <c r="ER298" i="25"/>
  <c r="ER233" i="25"/>
  <c r="ER223" i="25"/>
  <c r="ER269" i="25"/>
  <c r="ER293" i="25"/>
  <c r="ER236" i="25"/>
  <c r="ER267" i="25"/>
  <c r="ER256" i="25"/>
  <c r="ER271" i="25"/>
  <c r="ER231" i="25"/>
  <c r="ER216" i="25"/>
  <c r="EU216" i="25" s="1"/>
  <c r="ER217" i="25"/>
  <c r="ER311" i="25"/>
  <c r="ER259" i="25"/>
  <c r="ER316" i="25"/>
  <c r="ER262" i="25"/>
  <c r="ER263" i="25"/>
  <c r="ER250" i="25"/>
  <c r="ER283" i="25"/>
  <c r="ER280" i="25"/>
  <c r="ER299" i="25"/>
  <c r="ER279" i="25"/>
  <c r="ER307" i="25"/>
  <c r="ER275" i="25"/>
  <c r="ER257" i="25"/>
  <c r="ER230" i="25"/>
  <c r="ER312" i="25"/>
  <c r="ER251" i="25"/>
  <c r="ER281" i="25"/>
  <c r="ER314" i="25"/>
  <c r="ER315" i="25"/>
  <c r="ER249" i="25"/>
  <c r="ER232" i="25"/>
  <c r="ER234" i="25"/>
  <c r="ER285" i="25"/>
  <c r="ER272" i="25"/>
  <c r="ER296" i="25"/>
  <c r="ER245" i="25"/>
  <c r="ER309" i="25"/>
  <c r="ER310" i="25"/>
  <c r="ER242" i="25"/>
  <c r="ER268" i="25"/>
  <c r="ER253" i="25"/>
  <c r="ER287" i="25"/>
  <c r="ER266" i="25"/>
  <c r="ER221" i="25"/>
  <c r="ER273" i="25"/>
  <c r="ER291" i="25"/>
  <c r="ER260" i="25"/>
  <c r="ER295" i="25"/>
  <c r="ER305" i="25"/>
  <c r="ER301" i="25"/>
  <c r="ER264" i="25"/>
  <c r="ER282" i="25"/>
  <c r="ER306" i="25"/>
  <c r="ER225" i="25"/>
  <c r="ER313" i="25"/>
  <c r="ER244" i="25"/>
  <c r="ER218" i="25"/>
  <c r="ER290" i="25"/>
  <c r="ER226" i="25"/>
  <c r="ER265" i="25"/>
  <c r="ER239" i="25"/>
  <c r="ER241" i="25"/>
  <c r="ER243" i="25"/>
  <c r="ER278" i="25"/>
  <c r="ER308" i="25"/>
  <c r="ER222" i="25"/>
  <c r="ER254" i="25"/>
  <c r="ER302" i="25"/>
  <c r="ER277" i="25"/>
  <c r="ER289" i="25"/>
  <c r="ER258" i="25"/>
  <c r="ER228" i="25"/>
  <c r="ER5" i="25"/>
  <c r="ER73" i="25"/>
  <c r="ER162" i="25"/>
  <c r="ER10" i="25"/>
  <c r="ER194" i="25"/>
  <c r="ER100" i="25"/>
  <c r="ER42" i="25"/>
  <c r="ER65" i="25"/>
  <c r="ER203" i="25"/>
  <c r="ER68" i="25"/>
  <c r="ER164" i="25"/>
  <c r="ER63" i="25"/>
  <c r="ER180" i="25"/>
  <c r="ER27" i="25"/>
  <c r="ER147" i="25"/>
  <c r="ER205" i="25"/>
  <c r="ER80" i="25"/>
  <c r="ER37" i="25"/>
  <c r="ER190" i="25"/>
  <c r="ER93" i="25"/>
  <c r="ER15" i="25"/>
  <c r="ER58" i="25"/>
  <c r="ER175" i="25"/>
  <c r="ER26" i="25"/>
  <c r="ER78" i="25"/>
  <c r="ER110" i="25"/>
  <c r="EU110" i="25" s="1"/>
  <c r="ER16" i="25"/>
  <c r="ER43" i="25"/>
  <c r="ER82" i="25"/>
  <c r="ER111" i="25"/>
  <c r="ER94" i="25"/>
  <c r="ER158" i="25"/>
  <c r="ER159" i="25"/>
  <c r="ER113" i="25"/>
  <c r="ER56" i="25"/>
  <c r="ER133" i="25"/>
  <c r="ER85" i="25"/>
  <c r="ER7" i="25"/>
  <c r="ER131" i="25"/>
  <c r="ER156" i="25"/>
  <c r="ER59" i="25"/>
  <c r="ER182" i="25"/>
  <c r="ER31" i="25"/>
  <c r="ER123" i="25"/>
  <c r="ER47" i="25"/>
  <c r="ER38" i="25"/>
  <c r="ER84" i="25"/>
  <c r="ER198" i="25"/>
  <c r="ER150" i="25"/>
  <c r="ER155" i="25"/>
  <c r="ER210" i="25"/>
  <c r="ER185" i="25"/>
  <c r="ER169" i="25"/>
  <c r="ER18" i="25"/>
  <c r="ER189" i="25"/>
  <c r="ER86" i="25"/>
  <c r="ER176" i="25"/>
  <c r="ER12" i="25"/>
  <c r="ER197" i="25"/>
  <c r="ER105" i="25"/>
  <c r="ER173" i="25"/>
  <c r="ER183" i="25"/>
  <c r="ER44" i="25"/>
  <c r="ER29" i="25"/>
  <c r="ER208" i="25"/>
  <c r="ER34" i="25"/>
  <c r="ER35" i="25"/>
  <c r="ER160" i="25"/>
  <c r="ER41" i="25"/>
  <c r="ER171" i="25"/>
  <c r="ER166" i="25"/>
  <c r="ER70" i="25"/>
  <c r="ER14" i="25"/>
  <c r="ER13" i="25"/>
  <c r="ER52" i="25"/>
  <c r="ER55" i="25"/>
  <c r="ER116" i="25"/>
  <c r="ER19" i="25"/>
  <c r="ER99" i="25"/>
  <c r="ER122" i="25"/>
  <c r="ER118" i="25"/>
  <c r="ER165" i="25"/>
  <c r="ER53" i="25"/>
  <c r="ER79" i="25"/>
  <c r="ER134" i="25"/>
  <c r="ER91" i="25"/>
  <c r="ER168" i="25"/>
  <c r="ER21" i="25"/>
  <c r="ER152" i="25"/>
  <c r="ER181" i="25"/>
  <c r="ER61" i="25"/>
  <c r="ER6" i="25"/>
  <c r="ER137" i="25"/>
  <c r="ER149" i="25"/>
  <c r="ER49" i="25"/>
  <c r="ER96" i="25"/>
  <c r="ER154" i="25"/>
  <c r="ER174" i="25"/>
  <c r="ER125" i="25"/>
  <c r="ER72" i="25"/>
  <c r="ER167" i="25"/>
  <c r="ER20" i="25"/>
  <c r="ER195" i="25"/>
  <c r="ER8" i="25"/>
  <c r="ER178" i="25"/>
  <c r="ER196" i="25"/>
  <c r="ER124" i="25"/>
  <c r="ER209" i="25"/>
  <c r="ER135" i="25"/>
  <c r="ER87" i="25"/>
  <c r="ER36" i="25"/>
  <c r="ER40" i="25"/>
  <c r="ER119" i="25"/>
  <c r="ER145" i="25"/>
  <c r="ER45" i="25"/>
  <c r="ER92" i="25"/>
  <c r="ER28" i="25"/>
  <c r="ER103" i="25"/>
  <c r="ER161" i="25"/>
  <c r="ER30" i="25"/>
  <c r="ER114" i="25"/>
  <c r="ER17" i="25"/>
  <c r="ER51" i="25"/>
  <c r="ER32" i="25"/>
  <c r="ER148" i="25"/>
  <c r="ER177" i="25"/>
  <c r="ER102" i="25"/>
  <c r="ER66" i="25"/>
  <c r="ER130" i="25"/>
  <c r="ER39" i="25"/>
  <c r="ER71" i="25"/>
  <c r="ER25" i="25"/>
  <c r="ER199" i="25"/>
  <c r="ER60" i="25"/>
  <c r="ER187" i="25"/>
  <c r="ER206" i="25"/>
  <c r="ER141" i="25"/>
  <c r="ER95" i="25"/>
  <c r="ER83" i="25"/>
  <c r="ER11" i="25"/>
  <c r="ER101" i="25"/>
  <c r="ER157" i="25"/>
  <c r="ER77" i="25"/>
  <c r="ER144" i="25"/>
  <c r="ER46" i="25"/>
  <c r="ER88" i="25"/>
  <c r="ER146" i="25"/>
  <c r="ER98" i="25"/>
  <c r="ER74" i="25"/>
  <c r="ER170" i="25"/>
  <c r="ER90" i="25"/>
  <c r="ER33" i="25"/>
  <c r="ER23" i="25"/>
  <c r="ER188" i="25"/>
  <c r="ER128" i="25"/>
  <c r="ER76" i="25"/>
  <c r="ER9" i="25"/>
  <c r="ER117" i="25"/>
  <c r="ER153" i="25"/>
  <c r="ER143" i="25"/>
  <c r="ER115" i="25"/>
  <c r="ER62" i="25"/>
  <c r="ER81" i="25"/>
  <c r="ER67" i="25"/>
  <c r="ER140" i="25"/>
  <c r="ER139" i="25"/>
  <c r="ER69" i="25"/>
  <c r="ER142" i="25"/>
  <c r="ER186" i="25"/>
  <c r="ER132" i="25"/>
  <c r="ER97" i="25"/>
  <c r="ER201" i="25"/>
  <c r="ER136" i="25"/>
  <c r="ER24" i="25"/>
  <c r="ER191" i="25"/>
  <c r="ER112" i="25"/>
  <c r="ER151" i="25"/>
  <c r="ER138" i="25"/>
  <c r="ER104" i="25"/>
  <c r="ER50" i="25"/>
  <c r="ER163" i="25"/>
  <c r="ER179" i="25"/>
  <c r="ER121" i="25"/>
  <c r="ER22" i="25"/>
  <c r="ER204" i="25"/>
  <c r="ER75" i="25"/>
  <c r="ER184" i="25"/>
  <c r="ER200" i="25"/>
  <c r="ER127" i="25"/>
  <c r="ER126" i="25"/>
  <c r="ER192" i="25"/>
  <c r="ER172" i="25"/>
  <c r="ER129" i="25"/>
  <c r="ER202" i="25"/>
  <c r="ER57" i="25"/>
  <c r="ER193" i="25"/>
  <c r="ER89" i="25"/>
  <c r="ER64" i="25"/>
  <c r="ER207" i="25"/>
  <c r="ER120" i="25"/>
  <c r="ER54" i="25"/>
  <c r="ER48" i="25"/>
  <c r="BO5" i="24"/>
  <c r="EQ5" i="25"/>
  <c r="ES5" i="24"/>
  <c r="EV5" i="24" s="1"/>
  <c r="BM5" i="25"/>
  <c r="I78" i="2"/>
  <c r="B295" i="2"/>
  <c r="B12" i="2"/>
  <c r="CC216" i="25" l="1"/>
  <c r="FG216" i="25"/>
  <c r="EU5" i="25"/>
  <c r="FG110" i="25"/>
  <c r="CJ7" i="25"/>
  <c r="CJ6" i="25"/>
  <c r="CC110" i="25"/>
  <c r="B280" i="2"/>
  <c r="EQ6" i="25" l="1"/>
  <c r="EU6" i="25" s="1"/>
  <c r="DP6" i="25"/>
  <c r="FG6" i="25"/>
  <c r="EQ7" i="25"/>
  <c r="EU7" i="25" s="1"/>
  <c r="DP7" i="25"/>
  <c r="FG7" i="25"/>
  <c r="B244" i="2"/>
  <c r="A242" i="2"/>
  <c r="B74" i="2"/>
  <c r="D241" i="2" l="1"/>
  <c r="A241" i="2"/>
  <c r="D240" i="2" l="1"/>
  <c r="D296" i="2"/>
  <c r="C259" i="2"/>
  <c r="C268" i="2"/>
  <c r="D268" i="2"/>
  <c r="B48" i="19"/>
  <c r="B36" i="2" l="1"/>
  <c r="B20" i="2"/>
  <c r="B21" i="2"/>
  <c r="B24" i="2"/>
  <c r="C245" i="2"/>
  <c r="C74" i="2"/>
  <c r="B102" i="2"/>
  <c r="B107" i="2" l="1"/>
  <c r="B135" i="2"/>
  <c r="B80" i="2"/>
  <c r="C80" i="2"/>
  <c r="B296" i="2"/>
  <c r="C244" i="2"/>
  <c r="F244" i="2"/>
  <c r="D244" i="2"/>
  <c r="B241" i="2"/>
  <c r="B242" i="2"/>
  <c r="B156" i="2"/>
  <c r="B152" i="2"/>
  <c r="B252" i="2" s="1"/>
  <c r="B129" i="2"/>
  <c r="B127" i="2"/>
  <c r="C32" i="16" s="1"/>
  <c r="D45" i="1"/>
  <c r="AM5" i="24"/>
  <c r="AM216" i="24"/>
  <c r="AM110" i="24"/>
  <c r="B247" i="2" l="1"/>
  <c r="B248" i="2"/>
  <c r="B250" i="2"/>
  <c r="C31" i="16"/>
  <c r="D21" i="19"/>
  <c r="D36" i="19"/>
  <c r="F12" i="19"/>
  <c r="D38" i="19"/>
  <c r="D35" i="19"/>
  <c r="B63" i="2"/>
  <c r="C47" i="16" s="1"/>
  <c r="D47" i="16" s="1"/>
  <c r="B33" i="19"/>
  <c r="F78" i="2"/>
  <c r="F72" i="2"/>
  <c r="D42" i="1"/>
  <c r="G269" i="2"/>
  <c r="C264" i="2"/>
  <c r="C265" i="2"/>
  <c r="A273" i="2"/>
  <c r="G73" i="2"/>
  <c r="A231" i="2"/>
  <c r="C277" i="2"/>
  <c r="E18" i="1" l="1"/>
  <c r="CY2" i="24"/>
  <c r="D93" i="2"/>
  <c r="U2" i="24"/>
  <c r="B194" i="2"/>
  <c r="I10" i="8"/>
  <c r="B179" i="2"/>
  <c r="B176" i="2"/>
  <c r="B198" i="2" l="1"/>
  <c r="I9" i="8" s="1"/>
  <c r="B78" i="2"/>
  <c r="K66" i="2"/>
  <c r="K34" i="16" l="1"/>
  <c r="J34" i="16"/>
  <c r="K49" i="16"/>
  <c r="K48" i="16"/>
  <c r="J49" i="16"/>
  <c r="J48" i="16"/>
  <c r="I49" i="16" l="1"/>
  <c r="I48" i="16"/>
  <c r="H49" i="16"/>
  <c r="H48" i="16"/>
  <c r="J46" i="16"/>
  <c r="K32" i="16"/>
  <c r="J32" i="16"/>
  <c r="K31" i="16"/>
  <c r="J31" i="16" l="1"/>
  <c r="T83" i="2"/>
  <c r="R85" i="2"/>
  <c r="B11" i="2" l="1"/>
  <c r="B26" i="19"/>
  <c r="D26" i="19" s="1"/>
  <c r="D20" i="19"/>
  <c r="B27" i="19"/>
  <c r="D27" i="19" s="1"/>
  <c r="B8" i="2"/>
  <c r="B101" i="2"/>
  <c r="B96" i="2"/>
  <c r="B155" i="2"/>
  <c r="BP106" i="19"/>
  <c r="D46" i="19"/>
  <c r="A34" i="16"/>
  <c r="A49" i="16"/>
  <c r="A48" i="16"/>
  <c r="C278" i="2"/>
  <c r="B293" i="2"/>
  <c r="B268" i="2"/>
  <c r="B264" i="2"/>
  <c r="J72" i="2"/>
  <c r="C261" i="2"/>
  <c r="B261" i="2"/>
  <c r="B32" i="19"/>
  <c r="D32" i="19" s="1"/>
  <c r="B31" i="19"/>
  <c r="D31" i="19" s="1"/>
  <c r="B30" i="19"/>
  <c r="D30" i="19" s="1"/>
  <c r="B8" i="19"/>
  <c r="D8" i="19" s="1"/>
  <c r="F91" i="19"/>
  <c r="F90" i="19"/>
  <c r="F89" i="19"/>
  <c r="D53" i="19"/>
  <c r="D52" i="19"/>
  <c r="D51" i="19"/>
  <c r="D50" i="19"/>
  <c r="D48" i="19"/>
  <c r="D45" i="19"/>
  <c r="D44" i="19"/>
  <c r="D41" i="19"/>
  <c r="D39" i="19"/>
  <c r="D33" i="19"/>
  <c r="D29" i="19"/>
  <c r="D23" i="19"/>
  <c r="D22" i="19"/>
  <c r="D13" i="19"/>
  <c r="B213" i="2" s="1"/>
  <c r="D12" i="19"/>
  <c r="A31" i="16"/>
  <c r="B246" i="2"/>
  <c r="A245" i="2"/>
  <c r="B9" i="2"/>
  <c r="I6" i="8"/>
  <c r="J6" i="8" s="1"/>
  <c r="D46" i="16"/>
  <c r="B178" i="2"/>
  <c r="B181" i="2" s="1"/>
  <c r="B173" i="2"/>
  <c r="B231" i="2"/>
  <c r="B245" i="2"/>
  <c r="B7" i="2"/>
  <c r="B164" i="2"/>
  <c r="B166" i="2" s="1"/>
  <c r="B208" i="2"/>
  <c r="A34" i="8"/>
  <c r="A35" i="8"/>
  <c r="A36" i="8"/>
  <c r="A37" i="8"/>
  <c r="A38" i="8"/>
  <c r="A50" i="8" s="1"/>
  <c r="A62" i="8" s="1"/>
  <c r="A74" i="8" s="1"/>
  <c r="A86" i="8" s="1"/>
  <c r="A98" i="8" s="1"/>
  <c r="A110" i="8" s="1"/>
  <c r="A122" i="8" s="1"/>
  <c r="A134" i="8" s="1"/>
  <c r="A146" i="8" s="1"/>
  <c r="A158" i="8" s="1"/>
  <c r="A39" i="8"/>
  <c r="A51" i="8" s="1"/>
  <c r="A63" i="8" s="1"/>
  <c r="A75" i="8" s="1"/>
  <c r="A87" i="8" s="1"/>
  <c r="A99" i="8" s="1"/>
  <c r="A111" i="8" s="1"/>
  <c r="A123" i="8" s="1"/>
  <c r="A135" i="8" s="1"/>
  <c r="A147" i="8" s="1"/>
  <c r="A159" i="8" s="1"/>
  <c r="A40" i="8"/>
  <c r="A52" i="8" s="1"/>
  <c r="A64" i="8" s="1"/>
  <c r="A76" i="8" s="1"/>
  <c r="A88" i="8" s="1"/>
  <c r="A100" i="8" s="1"/>
  <c r="A112" i="8" s="1"/>
  <c r="A124" i="8" s="1"/>
  <c r="A136" i="8" s="1"/>
  <c r="A148" i="8" s="1"/>
  <c r="A41" i="8"/>
  <c r="A53" i="8" s="1"/>
  <c r="A65" i="8" s="1"/>
  <c r="A77" i="8" s="1"/>
  <c r="A89" i="8" s="1"/>
  <c r="A101" i="8" s="1"/>
  <c r="A113" i="8" s="1"/>
  <c r="A125" i="8" s="1"/>
  <c r="A137" i="8" s="1"/>
  <c r="A149" i="8" s="1"/>
  <c r="A42" i="8"/>
  <c r="A43" i="8"/>
  <c r="A44" i="8"/>
  <c r="A45" i="8"/>
  <c r="A46" i="8"/>
  <c r="A58" i="8" s="1"/>
  <c r="A70" i="8" s="1"/>
  <c r="A82" i="8" s="1"/>
  <c r="A94" i="8" s="1"/>
  <c r="A106" i="8" s="1"/>
  <c r="A118" i="8" s="1"/>
  <c r="A130" i="8" s="1"/>
  <c r="A142" i="8" s="1"/>
  <c r="A154" i="8" s="1"/>
  <c r="A47" i="8"/>
  <c r="A48" i="8"/>
  <c r="A60" i="8" s="1"/>
  <c r="A72" i="8" s="1"/>
  <c r="A84" i="8" s="1"/>
  <c r="A96" i="8" s="1"/>
  <c r="A108" i="8" s="1"/>
  <c r="A120" i="8" s="1"/>
  <c r="A132" i="8" s="1"/>
  <c r="A144" i="8" s="1"/>
  <c r="A156" i="8" s="1"/>
  <c r="A49" i="8"/>
  <c r="A54" i="8"/>
  <c r="A66" i="8" s="1"/>
  <c r="A78" i="8" s="1"/>
  <c r="A90" i="8" s="1"/>
  <c r="A102" i="8" s="1"/>
  <c r="A114" i="8" s="1"/>
  <c r="A126" i="8" s="1"/>
  <c r="A138" i="8" s="1"/>
  <c r="A150" i="8" s="1"/>
  <c r="A55" i="8"/>
  <c r="A56" i="8"/>
  <c r="A68" i="8" s="1"/>
  <c r="A80" i="8" s="1"/>
  <c r="A92" i="8" s="1"/>
  <c r="A104" i="8" s="1"/>
  <c r="A116" i="8" s="1"/>
  <c r="A128" i="8" s="1"/>
  <c r="A140" i="8" s="1"/>
  <c r="A152" i="8" s="1"/>
  <c r="A57" i="8"/>
  <c r="A69" i="8" s="1"/>
  <c r="A81" i="8" s="1"/>
  <c r="A93" i="8" s="1"/>
  <c r="A105" i="8" s="1"/>
  <c r="A117" i="8" s="1"/>
  <c r="A129" i="8" s="1"/>
  <c r="A141" i="8" s="1"/>
  <c r="A153" i="8" s="1"/>
  <c r="A59" i="8"/>
  <c r="A71" i="8" s="1"/>
  <c r="A83" i="8" s="1"/>
  <c r="A95" i="8" s="1"/>
  <c r="A107" i="8" s="1"/>
  <c r="A119" i="8" s="1"/>
  <c r="A131" i="8" s="1"/>
  <c r="A143" i="8" s="1"/>
  <c r="A155" i="8" s="1"/>
  <c r="A61" i="8"/>
  <c r="A73" i="8" s="1"/>
  <c r="A85" i="8" s="1"/>
  <c r="A97" i="8" s="1"/>
  <c r="A109" i="8" s="1"/>
  <c r="A121" i="8" s="1"/>
  <c r="A133" i="8" s="1"/>
  <c r="A145" i="8" s="1"/>
  <c r="A157" i="8" s="1"/>
  <c r="A67" i="8"/>
  <c r="A79" i="8" s="1"/>
  <c r="A91" i="8" s="1"/>
  <c r="A103" i="8" s="1"/>
  <c r="A115" i="8" s="1"/>
  <c r="A127" i="8" s="1"/>
  <c r="A139" i="8" s="1"/>
  <c r="A151" i="8" s="1"/>
  <c r="E3" i="8"/>
  <c r="A240" i="2"/>
  <c r="B240" i="2"/>
  <c r="I14" i="8"/>
  <c r="J13" i="8"/>
  <c r="J7" i="8"/>
  <c r="J14" i="8"/>
  <c r="BB1" i="24" l="1"/>
  <c r="EF1" i="24"/>
  <c r="B111" i="2"/>
  <c r="L29" i="1"/>
  <c r="B88" i="2"/>
  <c r="L12" i="1" s="1"/>
  <c r="CN212" i="25"/>
  <c r="CR212" i="25" s="1"/>
  <c r="CM212" i="24"/>
  <c r="EO212" i="24" s="1"/>
  <c r="L104" i="2"/>
  <c r="G325" i="25"/>
  <c r="G325" i="24"/>
  <c r="N325" i="25"/>
  <c r="E68" i="1"/>
  <c r="E70" i="1" s="1"/>
  <c r="G322" i="25"/>
  <c r="G322" i="24"/>
  <c r="I325" i="24"/>
  <c r="I325" i="25"/>
  <c r="P325" i="25"/>
  <c r="E26" i="1"/>
  <c r="CN112" i="25"/>
  <c r="CP112" i="25" s="1"/>
  <c r="CP12" i="25"/>
  <c r="CP20" i="25"/>
  <c r="CP28" i="25"/>
  <c r="CP36" i="25"/>
  <c r="CP44" i="25"/>
  <c r="CP52" i="25"/>
  <c r="CP60" i="25"/>
  <c r="CP68" i="25"/>
  <c r="CP76" i="25"/>
  <c r="CP84" i="25"/>
  <c r="CP92" i="25"/>
  <c r="CP100" i="25"/>
  <c r="CP19" i="25"/>
  <c r="CP75" i="25"/>
  <c r="CP13" i="25"/>
  <c r="CP21" i="25"/>
  <c r="CP29" i="25"/>
  <c r="CP37" i="25"/>
  <c r="CP45" i="25"/>
  <c r="CP53" i="25"/>
  <c r="CP61" i="25"/>
  <c r="CP69" i="25"/>
  <c r="CP77" i="25"/>
  <c r="CP85" i="25"/>
  <c r="CP93" i="25"/>
  <c r="CP101" i="25"/>
  <c r="CP11" i="25"/>
  <c r="CP59" i="25"/>
  <c r="CP5" i="25"/>
  <c r="CP6" i="25"/>
  <c r="CP14" i="25"/>
  <c r="CP22" i="25"/>
  <c r="CP30" i="25"/>
  <c r="CP38" i="25"/>
  <c r="CP46" i="25"/>
  <c r="CP54" i="25"/>
  <c r="CP62" i="25"/>
  <c r="CP70" i="25"/>
  <c r="CP78" i="25"/>
  <c r="CP86" i="25"/>
  <c r="CP94" i="25"/>
  <c r="CP102" i="25"/>
  <c r="CP35" i="25"/>
  <c r="CP83" i="25"/>
  <c r="CP7" i="25"/>
  <c r="CP15" i="25"/>
  <c r="CP23" i="25"/>
  <c r="CP31" i="25"/>
  <c r="CP39" i="25"/>
  <c r="CP47" i="25"/>
  <c r="CP55" i="25"/>
  <c r="CP63" i="25"/>
  <c r="CP71" i="25"/>
  <c r="CP79" i="25"/>
  <c r="CP87" i="25"/>
  <c r="CP95" i="25"/>
  <c r="CP103" i="25"/>
  <c r="CP51" i="25"/>
  <c r="CP8" i="25"/>
  <c r="CP16" i="25"/>
  <c r="CP24" i="25"/>
  <c r="CP32" i="25"/>
  <c r="CP40" i="25"/>
  <c r="CP48" i="25"/>
  <c r="CP56" i="25"/>
  <c r="CP64" i="25"/>
  <c r="CP72" i="25"/>
  <c r="CP80" i="25"/>
  <c r="CP88" i="25"/>
  <c r="CP96" i="25"/>
  <c r="CP104" i="25"/>
  <c r="CP43" i="25"/>
  <c r="CP99" i="25"/>
  <c r="CP9" i="25"/>
  <c r="CP17" i="25"/>
  <c r="CP25" i="25"/>
  <c r="CP33" i="25"/>
  <c r="CP41" i="25"/>
  <c r="CP49" i="25"/>
  <c r="CP57" i="25"/>
  <c r="CP65" i="25"/>
  <c r="CP73" i="25"/>
  <c r="CP81" i="25"/>
  <c r="CP89" i="25"/>
  <c r="CP97" i="25"/>
  <c r="CP105" i="25"/>
  <c r="CP27" i="25"/>
  <c r="CP91" i="25"/>
  <c r="CP10" i="25"/>
  <c r="CP18" i="25"/>
  <c r="CP26" i="25"/>
  <c r="CP34" i="25"/>
  <c r="CP42" i="25"/>
  <c r="CP50" i="25"/>
  <c r="CP58" i="25"/>
  <c r="CP66" i="25"/>
  <c r="CP74" i="25"/>
  <c r="CP82" i="25"/>
  <c r="CP90" i="25"/>
  <c r="CP98" i="25"/>
  <c r="CR5" i="25"/>
  <c r="CP67" i="25"/>
  <c r="R65" i="2"/>
  <c r="B92" i="2"/>
  <c r="B115" i="2"/>
  <c r="B85" i="2"/>
  <c r="CQ2" i="24"/>
  <c r="CW5" i="24"/>
  <c r="CX5" i="24" s="1"/>
  <c r="FL106" i="24"/>
  <c r="FL107" i="24"/>
  <c r="FL108" i="24"/>
  <c r="Y13" i="2"/>
  <c r="B98" i="2"/>
  <c r="CN207" i="25"/>
  <c r="EM207" i="25" s="1"/>
  <c r="CN203" i="25"/>
  <c r="EM203" i="25" s="1"/>
  <c r="CN199" i="25"/>
  <c r="EM199" i="25" s="1"/>
  <c r="CN195" i="25"/>
  <c r="EM195" i="25" s="1"/>
  <c r="CN191" i="25"/>
  <c r="EM191" i="25" s="1"/>
  <c r="CN187" i="25"/>
  <c r="EM187" i="25" s="1"/>
  <c r="CN179" i="25"/>
  <c r="EM179" i="25" s="1"/>
  <c r="CN171" i="25"/>
  <c r="EM171" i="25" s="1"/>
  <c r="CN164" i="25"/>
  <c r="EM164" i="25" s="1"/>
  <c r="CN156" i="25"/>
  <c r="EM156" i="25" s="1"/>
  <c r="CN144" i="25"/>
  <c r="EM144" i="25" s="1"/>
  <c r="CN136" i="25"/>
  <c r="EM136" i="25" s="1"/>
  <c r="CN130" i="25"/>
  <c r="EM130" i="25" s="1"/>
  <c r="CN126" i="25"/>
  <c r="EM126" i="25" s="1"/>
  <c r="CN122" i="25"/>
  <c r="EM122" i="25" s="1"/>
  <c r="CN118" i="25"/>
  <c r="EM118" i="25" s="1"/>
  <c r="CN114" i="25"/>
  <c r="EM114" i="25" s="1"/>
  <c r="CN186" i="25"/>
  <c r="EM186" i="25" s="1"/>
  <c r="CN178" i="25"/>
  <c r="EM178" i="25" s="1"/>
  <c r="CN170" i="25"/>
  <c r="EM170" i="25" s="1"/>
  <c r="CN163" i="25"/>
  <c r="EM163" i="25" s="1"/>
  <c r="CN150" i="25"/>
  <c r="EM150" i="25" s="1"/>
  <c r="CN143" i="25"/>
  <c r="EM143" i="25" s="1"/>
  <c r="CN135" i="25"/>
  <c r="EM135" i="25" s="1"/>
  <c r="CN210" i="25"/>
  <c r="EM210" i="25" s="1"/>
  <c r="CN206" i="25"/>
  <c r="EM206" i="25" s="1"/>
  <c r="CN202" i="25"/>
  <c r="EM202" i="25" s="1"/>
  <c r="CN198" i="25"/>
  <c r="EM198" i="25" s="1"/>
  <c r="CN194" i="25"/>
  <c r="EM194" i="25" s="1"/>
  <c r="CN190" i="25"/>
  <c r="EM190" i="25" s="1"/>
  <c r="CN185" i="25"/>
  <c r="EM185" i="25" s="1"/>
  <c r="CN177" i="25"/>
  <c r="EM177" i="25" s="1"/>
  <c r="CN169" i="25"/>
  <c r="EM169" i="25" s="1"/>
  <c r="CN162" i="25"/>
  <c r="EM162" i="25" s="1"/>
  <c r="CN155" i="25"/>
  <c r="EM155" i="25" s="1"/>
  <c r="CN142" i="25"/>
  <c r="EM142" i="25" s="1"/>
  <c r="CN134" i="25"/>
  <c r="EM134" i="25" s="1"/>
  <c r="CN129" i="25"/>
  <c r="EM129" i="25" s="1"/>
  <c r="CN125" i="25"/>
  <c r="EM125" i="25" s="1"/>
  <c r="CN121" i="25"/>
  <c r="EM121" i="25" s="1"/>
  <c r="CN117" i="25"/>
  <c r="EM117" i="25" s="1"/>
  <c r="CN113" i="25"/>
  <c r="EM113" i="25" s="1"/>
  <c r="CN110" i="25"/>
  <c r="EM110" i="25" s="1"/>
  <c r="CN184" i="25"/>
  <c r="EM184" i="25" s="1"/>
  <c r="CN176" i="25"/>
  <c r="EM176" i="25" s="1"/>
  <c r="CN168" i="25"/>
  <c r="EM168" i="25" s="1"/>
  <c r="CN161" i="25"/>
  <c r="EM161" i="25" s="1"/>
  <c r="CN154" i="25"/>
  <c r="EM154" i="25" s="1"/>
  <c r="CN149" i="25"/>
  <c r="EM149" i="25" s="1"/>
  <c r="CN141" i="25"/>
  <c r="EM141" i="25" s="1"/>
  <c r="CN133" i="25"/>
  <c r="EM133" i="25" s="1"/>
  <c r="CN209" i="25"/>
  <c r="EM209" i="25" s="1"/>
  <c r="CN205" i="25"/>
  <c r="EM205" i="25" s="1"/>
  <c r="CN201" i="25"/>
  <c r="EM201" i="25" s="1"/>
  <c r="CN197" i="25"/>
  <c r="EM197" i="25" s="1"/>
  <c r="CN193" i="25"/>
  <c r="EM193" i="25" s="1"/>
  <c r="CN189" i="25"/>
  <c r="EM189" i="25" s="1"/>
  <c r="CN183" i="25"/>
  <c r="EM183" i="25" s="1"/>
  <c r="CN175" i="25"/>
  <c r="EM175" i="25" s="1"/>
  <c r="CN167" i="25"/>
  <c r="EM167" i="25" s="1"/>
  <c r="CN160" i="25"/>
  <c r="EM160" i="25" s="1"/>
  <c r="CN148" i="25"/>
  <c r="EM148" i="25" s="1"/>
  <c r="CN140" i="25"/>
  <c r="EM140" i="25" s="1"/>
  <c r="CN132" i="25"/>
  <c r="EM132" i="25" s="1"/>
  <c r="CN128" i="25"/>
  <c r="EM128" i="25" s="1"/>
  <c r="CN124" i="25"/>
  <c r="EM124" i="25" s="1"/>
  <c r="CN120" i="25"/>
  <c r="EM120" i="25" s="1"/>
  <c r="CN116" i="25"/>
  <c r="EM116" i="25" s="1"/>
  <c r="CN182" i="25"/>
  <c r="EM182" i="25" s="1"/>
  <c r="CN174" i="25"/>
  <c r="EM174" i="25" s="1"/>
  <c r="CN166" i="25"/>
  <c r="EM166" i="25" s="1"/>
  <c r="CN159" i="25"/>
  <c r="EM159" i="25" s="1"/>
  <c r="CN153" i="25"/>
  <c r="EM153" i="25" s="1"/>
  <c r="CN147" i="25"/>
  <c r="EM147" i="25" s="1"/>
  <c r="CN139" i="25"/>
  <c r="EM139" i="25" s="1"/>
  <c r="CN208" i="25"/>
  <c r="EM208" i="25" s="1"/>
  <c r="CN204" i="25"/>
  <c r="EM204" i="25" s="1"/>
  <c r="CN200" i="25"/>
  <c r="EM200" i="25" s="1"/>
  <c r="CN196" i="25"/>
  <c r="EM196" i="25" s="1"/>
  <c r="CN192" i="25"/>
  <c r="EM192" i="25" s="1"/>
  <c r="CN188" i="25"/>
  <c r="EM188" i="25" s="1"/>
  <c r="CN181" i="25"/>
  <c r="EM181" i="25" s="1"/>
  <c r="CN173" i="25"/>
  <c r="EM173" i="25" s="1"/>
  <c r="CN165" i="25"/>
  <c r="EM165" i="25" s="1"/>
  <c r="CN158" i="25"/>
  <c r="EM158" i="25" s="1"/>
  <c r="CN152" i="25"/>
  <c r="EM152" i="25" s="1"/>
  <c r="CN146" i="25"/>
  <c r="EM146" i="25" s="1"/>
  <c r="CN138" i="25"/>
  <c r="EM138" i="25" s="1"/>
  <c r="CN131" i="25"/>
  <c r="EM131" i="25" s="1"/>
  <c r="CN127" i="25"/>
  <c r="EM127" i="25" s="1"/>
  <c r="CN123" i="25"/>
  <c r="EM123" i="25" s="1"/>
  <c r="CN119" i="25"/>
  <c r="EM119" i="25" s="1"/>
  <c r="CN115" i="25"/>
  <c r="EM115" i="25" s="1"/>
  <c r="CN111" i="25"/>
  <c r="EM111" i="25" s="1"/>
  <c r="CN180" i="25"/>
  <c r="EM180" i="25" s="1"/>
  <c r="CN172" i="25"/>
  <c r="EM172" i="25" s="1"/>
  <c r="CN157" i="25"/>
  <c r="EM157" i="25" s="1"/>
  <c r="CN151" i="25"/>
  <c r="EM151" i="25" s="1"/>
  <c r="CN145" i="25"/>
  <c r="EM145" i="25" s="1"/>
  <c r="CN137" i="25"/>
  <c r="EM137" i="25" s="1"/>
  <c r="CM209" i="24"/>
  <c r="EO209" i="24" s="1"/>
  <c r="CM204" i="24"/>
  <c r="EO204" i="24" s="1"/>
  <c r="CM197" i="24"/>
  <c r="EO197" i="24" s="1"/>
  <c r="CM192" i="24"/>
  <c r="EO192" i="24" s="1"/>
  <c r="CM181" i="24"/>
  <c r="EO181" i="24" s="1"/>
  <c r="CM176" i="24"/>
  <c r="EO176" i="24" s="1"/>
  <c r="CM170" i="24"/>
  <c r="EO170" i="24" s="1"/>
  <c r="CM159" i="24"/>
  <c r="EO159" i="24" s="1"/>
  <c r="CM154" i="24"/>
  <c r="EO154" i="24" s="1"/>
  <c r="CM149" i="24"/>
  <c r="EO149" i="24" s="1"/>
  <c r="CM144" i="24"/>
  <c r="EO144" i="24" s="1"/>
  <c r="CM138" i="24"/>
  <c r="EO138" i="24" s="1"/>
  <c r="CM121" i="24"/>
  <c r="EO121" i="24" s="1"/>
  <c r="CM115" i="24"/>
  <c r="EO115" i="24" s="1"/>
  <c r="CM208" i="24"/>
  <c r="EO208" i="24" s="1"/>
  <c r="CM203" i="24"/>
  <c r="EO203" i="24" s="1"/>
  <c r="CM187" i="24"/>
  <c r="EO187" i="24" s="1"/>
  <c r="CM175" i="24"/>
  <c r="EO175" i="24" s="1"/>
  <c r="CM169" i="24"/>
  <c r="EO169" i="24" s="1"/>
  <c r="CM164" i="24"/>
  <c r="EO164" i="24" s="1"/>
  <c r="CM158" i="24"/>
  <c r="EO158" i="24" s="1"/>
  <c r="CM153" i="24"/>
  <c r="EO153" i="24" s="1"/>
  <c r="CM148" i="24"/>
  <c r="EO148" i="24" s="1"/>
  <c r="CM143" i="24"/>
  <c r="EO143" i="24" s="1"/>
  <c r="CM137" i="24"/>
  <c r="EO137" i="24" s="1"/>
  <c r="CM131" i="24"/>
  <c r="EO131" i="24" s="1"/>
  <c r="CM126" i="24"/>
  <c r="EO126" i="24" s="1"/>
  <c r="CM120" i="24"/>
  <c r="EO120" i="24" s="1"/>
  <c r="CM202" i="24"/>
  <c r="EO202" i="24" s="1"/>
  <c r="CM196" i="24"/>
  <c r="EO196" i="24" s="1"/>
  <c r="CM191" i="24"/>
  <c r="EO191" i="24" s="1"/>
  <c r="CM186" i="24"/>
  <c r="EO186" i="24" s="1"/>
  <c r="CM180" i="24"/>
  <c r="EO180" i="24" s="1"/>
  <c r="CM174" i="24"/>
  <c r="EO174" i="24" s="1"/>
  <c r="CM163" i="24"/>
  <c r="EO163" i="24" s="1"/>
  <c r="CM142" i="24"/>
  <c r="EO142" i="24" s="1"/>
  <c r="CM125" i="24"/>
  <c r="EO125" i="24" s="1"/>
  <c r="CM119" i="24"/>
  <c r="EO119" i="24" s="1"/>
  <c r="CM114" i="24"/>
  <c r="EO114" i="24" s="1"/>
  <c r="CM207" i="24"/>
  <c r="EO207" i="24" s="1"/>
  <c r="CM201" i="24"/>
  <c r="EO201" i="24" s="1"/>
  <c r="CM185" i="24"/>
  <c r="EO185" i="24" s="1"/>
  <c r="CM179" i="24"/>
  <c r="EO179" i="24" s="1"/>
  <c r="CM173" i="24"/>
  <c r="EO173" i="24" s="1"/>
  <c r="CM168" i="24"/>
  <c r="EO168" i="24" s="1"/>
  <c r="CM157" i="24"/>
  <c r="EO157" i="24" s="1"/>
  <c r="CM152" i="24"/>
  <c r="EO152" i="24" s="1"/>
  <c r="CM147" i="24"/>
  <c r="EO147" i="24" s="1"/>
  <c r="CM141" i="24"/>
  <c r="EO141" i="24" s="1"/>
  <c r="CM136" i="24"/>
  <c r="EO136" i="24" s="1"/>
  <c r="CM130" i="24"/>
  <c r="EO130" i="24" s="1"/>
  <c r="CM124" i="24"/>
  <c r="EO124" i="24" s="1"/>
  <c r="CM110" i="24"/>
  <c r="CO110" i="24" s="1"/>
  <c r="CM206" i="24"/>
  <c r="EO206" i="24" s="1"/>
  <c r="CM195" i="24"/>
  <c r="EO195" i="24" s="1"/>
  <c r="CM190" i="24"/>
  <c r="EO190" i="24" s="1"/>
  <c r="CM162" i="24"/>
  <c r="EO162" i="24" s="1"/>
  <c r="CM140" i="24"/>
  <c r="EO140" i="24" s="1"/>
  <c r="CM135" i="24"/>
  <c r="EO135" i="24" s="1"/>
  <c r="CM129" i="24"/>
  <c r="EO129" i="24" s="1"/>
  <c r="CM118" i="24"/>
  <c r="EO118" i="24" s="1"/>
  <c r="CM113" i="24"/>
  <c r="EO113" i="24" s="1"/>
  <c r="CM200" i="24"/>
  <c r="EO200" i="24" s="1"/>
  <c r="CM184" i="24"/>
  <c r="EO184" i="24" s="1"/>
  <c r="CM178" i="24"/>
  <c r="EO178" i="24" s="1"/>
  <c r="CM172" i="24"/>
  <c r="EO172" i="24" s="1"/>
  <c r="CM167" i="24"/>
  <c r="EO167" i="24" s="1"/>
  <c r="CM161" i="24"/>
  <c r="EO161" i="24" s="1"/>
  <c r="CM156" i="24"/>
  <c r="EO156" i="24" s="1"/>
  <c r="CM151" i="24"/>
  <c r="EO151" i="24" s="1"/>
  <c r="CM146" i="24"/>
  <c r="EO146" i="24" s="1"/>
  <c r="CM134" i="24"/>
  <c r="EO134" i="24" s="1"/>
  <c r="CM128" i="24"/>
  <c r="EO128" i="24" s="1"/>
  <c r="CM123" i="24"/>
  <c r="EO123" i="24" s="1"/>
  <c r="CM117" i="24"/>
  <c r="EO117" i="24" s="1"/>
  <c r="CM205" i="24"/>
  <c r="EO205" i="24" s="1"/>
  <c r="CM199" i="24"/>
  <c r="EO199" i="24" s="1"/>
  <c r="CM194" i="24"/>
  <c r="EO194" i="24" s="1"/>
  <c r="CM189" i="24"/>
  <c r="EO189" i="24" s="1"/>
  <c r="CM183" i="24"/>
  <c r="EO183" i="24" s="1"/>
  <c r="CM177" i="24"/>
  <c r="EO177" i="24" s="1"/>
  <c r="CM171" i="24"/>
  <c r="EO171" i="24" s="1"/>
  <c r="CM166" i="24"/>
  <c r="EO166" i="24" s="1"/>
  <c r="CM155" i="24"/>
  <c r="EO155" i="24" s="1"/>
  <c r="CM150" i="24"/>
  <c r="EO150" i="24" s="1"/>
  <c r="CM145" i="24"/>
  <c r="EO145" i="24" s="1"/>
  <c r="CM139" i="24"/>
  <c r="EO139" i="24" s="1"/>
  <c r="CM133" i="24"/>
  <c r="EO133" i="24" s="1"/>
  <c r="CM122" i="24"/>
  <c r="EO122" i="24" s="1"/>
  <c r="CM116" i="24"/>
  <c r="EO116" i="24" s="1"/>
  <c r="CM112" i="24"/>
  <c r="EO112" i="24" s="1"/>
  <c r="CM210" i="24"/>
  <c r="EO210" i="24" s="1"/>
  <c r="CM198" i="24"/>
  <c r="EO198" i="24" s="1"/>
  <c r="CM193" i="24"/>
  <c r="EO193" i="24" s="1"/>
  <c r="CM188" i="24"/>
  <c r="EO188" i="24" s="1"/>
  <c r="CM182" i="24"/>
  <c r="EO182" i="24" s="1"/>
  <c r="CM165" i="24"/>
  <c r="EO165" i="24" s="1"/>
  <c r="CM160" i="24"/>
  <c r="EO160" i="24" s="1"/>
  <c r="CM132" i="24"/>
  <c r="EO132" i="24" s="1"/>
  <c r="CM127" i="24"/>
  <c r="EO127" i="24" s="1"/>
  <c r="CM111" i="24"/>
  <c r="EO111" i="24" s="1"/>
  <c r="CL216" i="25"/>
  <c r="DL216" i="25" s="1"/>
  <c r="CL110" i="25"/>
  <c r="DL110" i="25" s="1"/>
  <c r="CL5" i="25"/>
  <c r="DL5" i="25" s="1"/>
  <c r="CL5" i="24"/>
  <c r="CL216" i="24"/>
  <c r="CL110" i="24"/>
  <c r="CR81" i="25"/>
  <c r="CR16" i="25"/>
  <c r="CR84" i="25"/>
  <c r="CR13" i="25"/>
  <c r="CR34" i="25"/>
  <c r="CR46" i="25"/>
  <c r="CR54" i="25"/>
  <c r="CR122" i="25"/>
  <c r="CR53" i="25"/>
  <c r="CR15" i="25"/>
  <c r="CR19" i="25"/>
  <c r="CR77" i="25"/>
  <c r="CR27" i="25"/>
  <c r="CR40" i="25"/>
  <c r="CR100" i="25"/>
  <c r="CO37" i="24"/>
  <c r="CQ78" i="24"/>
  <c r="CR78" i="24" s="1"/>
  <c r="CT78" i="24" s="1"/>
  <c r="CQ62" i="24"/>
  <c r="CR62" i="24" s="1"/>
  <c r="CT62" i="24" s="1"/>
  <c r="CQ38" i="24"/>
  <c r="CR38" i="24" s="1"/>
  <c r="CT38" i="24" s="1"/>
  <c r="CQ12" i="24"/>
  <c r="CR12" i="24" s="1"/>
  <c r="CT12" i="24" s="1"/>
  <c r="CO79" i="24"/>
  <c r="CQ87" i="24"/>
  <c r="CR87" i="24" s="1"/>
  <c r="CT87" i="24" s="1"/>
  <c r="CO23" i="24"/>
  <c r="CQ57" i="24"/>
  <c r="CR57" i="24" s="1"/>
  <c r="CT57" i="24" s="1"/>
  <c r="CQ33" i="24"/>
  <c r="CR33" i="24" s="1"/>
  <c r="CT33" i="24" s="1"/>
  <c r="CO52" i="24"/>
  <c r="CO25" i="24"/>
  <c r="CR66" i="25"/>
  <c r="CR10" i="25"/>
  <c r="CR21" i="25"/>
  <c r="CR26" i="25"/>
  <c r="CR44" i="25"/>
  <c r="CR79" i="25"/>
  <c r="CR85" i="25"/>
  <c r="CR91" i="25"/>
  <c r="CR52" i="25"/>
  <c r="CR31" i="25"/>
  <c r="CR51" i="25"/>
  <c r="CR48" i="25"/>
  <c r="CO24" i="24"/>
  <c r="CO5" i="24"/>
  <c r="CQ20" i="24"/>
  <c r="CR20" i="24" s="1"/>
  <c r="CT20" i="24" s="1"/>
  <c r="CQ46" i="24"/>
  <c r="CR46" i="24" s="1"/>
  <c r="CT46" i="24" s="1"/>
  <c r="CQ92" i="24"/>
  <c r="CR92" i="24" s="1"/>
  <c r="CT92" i="24" s="1"/>
  <c r="CQ85" i="24"/>
  <c r="CR85" i="24" s="1"/>
  <c r="CT85" i="24" s="1"/>
  <c r="CO28" i="24"/>
  <c r="CO51" i="24"/>
  <c r="CQ70" i="24"/>
  <c r="CR70" i="24" s="1"/>
  <c r="CT70" i="24" s="1"/>
  <c r="CQ71" i="24"/>
  <c r="CR71" i="24" s="1"/>
  <c r="CT71" i="24" s="1"/>
  <c r="CQ65" i="24"/>
  <c r="CR65" i="24" s="1"/>
  <c r="CT65" i="24" s="1"/>
  <c r="CQ49" i="24"/>
  <c r="CR49" i="24" s="1"/>
  <c r="CT49" i="24" s="1"/>
  <c r="CQ35" i="24"/>
  <c r="CR35" i="24" s="1"/>
  <c r="CT35" i="24" s="1"/>
  <c r="CQ22" i="24"/>
  <c r="CR22" i="24" s="1"/>
  <c r="CT22" i="24" s="1"/>
  <c r="CO39" i="24"/>
  <c r="CO93" i="24"/>
  <c r="CR64" i="25"/>
  <c r="CR96" i="25"/>
  <c r="CR18" i="25"/>
  <c r="CR80" i="25"/>
  <c r="CR65" i="25"/>
  <c r="CR73" i="25"/>
  <c r="CR30" i="25"/>
  <c r="CR62" i="25"/>
  <c r="CR75" i="25"/>
  <c r="CR17" i="25"/>
  <c r="CR76" i="25"/>
  <c r="CR67" i="25"/>
  <c r="CR23" i="25"/>
  <c r="CR43" i="25"/>
  <c r="CR11" i="25"/>
  <c r="CQ103" i="24"/>
  <c r="CR103" i="24" s="1"/>
  <c r="CT103" i="24" s="1"/>
  <c r="CQ14" i="24"/>
  <c r="CR14" i="24" s="1"/>
  <c r="CT14" i="24" s="1"/>
  <c r="CO77" i="24"/>
  <c r="CO34" i="24"/>
  <c r="CQ91" i="24"/>
  <c r="CR91" i="24" s="1"/>
  <c r="CT91" i="24" s="1"/>
  <c r="CO68" i="24"/>
  <c r="CO102" i="24"/>
  <c r="CO67" i="24"/>
  <c r="CO14" i="24"/>
  <c r="CO59" i="24"/>
  <c r="CO21" i="24"/>
  <c r="CO71" i="24"/>
  <c r="CQ17" i="24"/>
  <c r="CR17" i="24" s="1"/>
  <c r="CT17" i="24" s="1"/>
  <c r="CO41" i="24"/>
  <c r="CO94" i="24"/>
  <c r="CO10" i="24"/>
  <c r="CR49" i="25"/>
  <c r="CR102" i="25"/>
  <c r="CR70" i="25"/>
  <c r="CR9" i="25"/>
  <c r="CR72" i="25"/>
  <c r="CR14" i="25"/>
  <c r="CR63" i="25"/>
  <c r="CR45" i="25"/>
  <c r="CR28" i="25"/>
  <c r="CR37" i="25"/>
  <c r="CO96" i="24"/>
  <c r="CO81" i="24"/>
  <c r="CQ42" i="24"/>
  <c r="CR42" i="24" s="1"/>
  <c r="CT42" i="24" s="1"/>
  <c r="CQ27" i="24"/>
  <c r="CR27" i="24" s="1"/>
  <c r="CT27" i="24" s="1"/>
  <c r="CO62" i="24"/>
  <c r="CO55" i="24"/>
  <c r="CO84" i="24"/>
  <c r="CQ86" i="24"/>
  <c r="CR86" i="24" s="1"/>
  <c r="CT86" i="24" s="1"/>
  <c r="CO60" i="24"/>
  <c r="CQ73" i="24"/>
  <c r="CR73" i="24" s="1"/>
  <c r="CT73" i="24" s="1"/>
  <c r="CQ82" i="24"/>
  <c r="CR82" i="24" s="1"/>
  <c r="CT82" i="24" s="1"/>
  <c r="CR42" i="25"/>
  <c r="CR38" i="25"/>
  <c r="CR61" i="25"/>
  <c r="CR105" i="25"/>
  <c r="CR68" i="25"/>
  <c r="CR6" i="25"/>
  <c r="CX6" i="25" s="1"/>
  <c r="CY6" i="25" s="1"/>
  <c r="CR41" i="25"/>
  <c r="CR59" i="25"/>
  <c r="CR94" i="25"/>
  <c r="CR78" i="25"/>
  <c r="CR47" i="25"/>
  <c r="CR83" i="25"/>
  <c r="CO89" i="24"/>
  <c r="CQ5" i="24"/>
  <c r="CY5" i="24" s="1"/>
  <c r="CO15" i="24"/>
  <c r="CO88" i="24"/>
  <c r="CQ45" i="24"/>
  <c r="CR45" i="24" s="1"/>
  <c r="CT45" i="24" s="1"/>
  <c r="CQ105" i="24"/>
  <c r="CR105" i="24" s="1"/>
  <c r="CT105" i="24" s="1"/>
  <c r="CQ40" i="24"/>
  <c r="CR40" i="24" s="1"/>
  <c r="CT40" i="24" s="1"/>
  <c r="CQ68" i="24"/>
  <c r="CR68" i="24" s="1"/>
  <c r="CT68" i="24" s="1"/>
  <c r="CO33" i="24"/>
  <c r="CR35" i="25"/>
  <c r="CR101" i="25"/>
  <c r="CR57" i="25"/>
  <c r="CR60" i="25"/>
  <c r="CR97" i="25"/>
  <c r="CR92" i="25"/>
  <c r="CR25" i="25"/>
  <c r="CR88" i="25"/>
  <c r="CR58" i="25"/>
  <c r="CR56" i="25"/>
  <c r="CR32" i="25"/>
  <c r="CR12" i="25"/>
  <c r="CR71" i="25"/>
  <c r="CR87" i="25"/>
  <c r="CR36" i="25"/>
  <c r="CR24" i="25"/>
  <c r="CR39" i="25"/>
  <c r="CR95" i="25"/>
  <c r="CR55" i="25"/>
  <c r="CQ74" i="24"/>
  <c r="CR74" i="24" s="1"/>
  <c r="CT74" i="24" s="1"/>
  <c r="CO30" i="24"/>
  <c r="CQ37" i="24"/>
  <c r="CR37" i="24" s="1"/>
  <c r="CT37" i="24" s="1"/>
  <c r="CO100" i="24"/>
  <c r="CO58" i="24"/>
  <c r="CO29" i="24"/>
  <c r="CO19" i="24"/>
  <c r="CO17" i="24"/>
  <c r="CQ96" i="24"/>
  <c r="CR96" i="24" s="1"/>
  <c r="CT96" i="24" s="1"/>
  <c r="CQ48" i="24"/>
  <c r="CR48" i="24" s="1"/>
  <c r="CT48" i="24" s="1"/>
  <c r="CO80" i="24"/>
  <c r="CO104" i="24"/>
  <c r="CO99" i="24"/>
  <c r="CO54" i="24"/>
  <c r="CQ81" i="24"/>
  <c r="CR81" i="24" s="1"/>
  <c r="CT81" i="24" s="1"/>
  <c r="CO50" i="24"/>
  <c r="CO87" i="24"/>
  <c r="CR50" i="25"/>
  <c r="CR69" i="25"/>
  <c r="CQ11" i="24"/>
  <c r="CR11" i="24" s="1"/>
  <c r="CT11" i="24" s="1"/>
  <c r="CO82" i="24"/>
  <c r="CQ39" i="24"/>
  <c r="CR39" i="24" s="1"/>
  <c r="CT39" i="24" s="1"/>
  <c r="CQ60" i="24"/>
  <c r="CR60" i="24" s="1"/>
  <c r="CT60" i="24" s="1"/>
  <c r="CO11" i="24"/>
  <c r="CQ56" i="24"/>
  <c r="CR56" i="24" s="1"/>
  <c r="CT56" i="24" s="1"/>
  <c r="CQ13" i="24"/>
  <c r="CR13" i="24" s="1"/>
  <c r="CT13" i="24" s="1"/>
  <c r="CO66" i="24"/>
  <c r="CO91" i="24"/>
  <c r="CQ94" i="24"/>
  <c r="CR94" i="24" s="1"/>
  <c r="CT94" i="24" s="1"/>
  <c r="CQ10" i="24"/>
  <c r="CR10" i="24" s="1"/>
  <c r="CT10" i="24" s="1"/>
  <c r="CO78" i="24"/>
  <c r="CQ30" i="24"/>
  <c r="CR30" i="24" s="1"/>
  <c r="CT30" i="24" s="1"/>
  <c r="CQ26" i="24"/>
  <c r="CR26" i="24" s="1"/>
  <c r="CT26" i="24" s="1"/>
  <c r="CO98" i="24"/>
  <c r="CQ34" i="24"/>
  <c r="CR34" i="24" s="1"/>
  <c r="CT34" i="24" s="1"/>
  <c r="CO76" i="24"/>
  <c r="CO13" i="24"/>
  <c r="CR89" i="25"/>
  <c r="CO6" i="24"/>
  <c r="CO43" i="24"/>
  <c r="CQ51" i="24"/>
  <c r="CR51" i="24" s="1"/>
  <c r="CT51" i="24" s="1"/>
  <c r="CO72" i="24"/>
  <c r="CQ24" i="24"/>
  <c r="CR24" i="24" s="1"/>
  <c r="CT24" i="24" s="1"/>
  <c r="CQ61" i="24"/>
  <c r="CR61" i="24" s="1"/>
  <c r="CT61" i="24" s="1"/>
  <c r="CO9" i="24"/>
  <c r="CR20" i="25"/>
  <c r="CQ104" i="24"/>
  <c r="CR104" i="24" s="1"/>
  <c r="CT104" i="24" s="1"/>
  <c r="CO44" i="24"/>
  <c r="CQ23" i="24"/>
  <c r="CR23" i="24" s="1"/>
  <c r="CT23" i="24" s="1"/>
  <c r="CQ53" i="24"/>
  <c r="CR53" i="24" s="1"/>
  <c r="CT53" i="24" s="1"/>
  <c r="CO69" i="24"/>
  <c r="CQ44" i="24"/>
  <c r="CR44" i="24" s="1"/>
  <c r="CT44" i="24" s="1"/>
  <c r="CO26" i="24"/>
  <c r="CQ31" i="24"/>
  <c r="CR31" i="24" s="1"/>
  <c r="CT31" i="24" s="1"/>
  <c r="CQ7" i="24"/>
  <c r="CR7" i="24" s="1"/>
  <c r="CT7" i="24" s="1"/>
  <c r="CR22" i="25"/>
  <c r="CR82" i="25"/>
  <c r="CR33" i="25"/>
  <c r="CR98" i="25"/>
  <c r="CO57" i="24"/>
  <c r="CO40" i="24"/>
  <c r="CO45" i="24"/>
  <c r="CQ76" i="24"/>
  <c r="CR76" i="24" s="1"/>
  <c r="CT76" i="24" s="1"/>
  <c r="CQ66" i="24"/>
  <c r="CR66" i="24" s="1"/>
  <c r="CT66" i="24" s="1"/>
  <c r="CQ88" i="24"/>
  <c r="CR88" i="24" s="1"/>
  <c r="CT88" i="24" s="1"/>
  <c r="CO42" i="24"/>
  <c r="CO16" i="24"/>
  <c r="CQ90" i="24"/>
  <c r="CR90" i="24" s="1"/>
  <c r="CT90" i="24" s="1"/>
  <c r="CO65" i="24"/>
  <c r="CO64" i="24"/>
  <c r="CQ47" i="24"/>
  <c r="CR47" i="24" s="1"/>
  <c r="CT47" i="24" s="1"/>
  <c r="CO8" i="24"/>
  <c r="CQ95" i="24"/>
  <c r="CR95" i="24" s="1"/>
  <c r="CT95" i="24" s="1"/>
  <c r="CQ32" i="24"/>
  <c r="CR32" i="24" s="1"/>
  <c r="CT32" i="24" s="1"/>
  <c r="CR7" i="25"/>
  <c r="CX7" i="25" s="1"/>
  <c r="CY7" i="25" s="1"/>
  <c r="CQ25" i="24"/>
  <c r="CR25" i="24" s="1"/>
  <c r="CT25" i="24" s="1"/>
  <c r="CO31" i="24"/>
  <c r="CQ15" i="24"/>
  <c r="CR15" i="24" s="1"/>
  <c r="CT15" i="24" s="1"/>
  <c r="CQ99" i="24"/>
  <c r="CR99" i="24" s="1"/>
  <c r="CT99" i="24" s="1"/>
  <c r="CQ100" i="24"/>
  <c r="CR100" i="24" s="1"/>
  <c r="CT100" i="24" s="1"/>
  <c r="CO12" i="24"/>
  <c r="CO85" i="24"/>
  <c r="CO7" i="24"/>
  <c r="CO105" i="24"/>
  <c r="CR104" i="25"/>
  <c r="CQ75" i="24"/>
  <c r="CR75" i="24" s="1"/>
  <c r="CT75" i="24" s="1"/>
  <c r="CQ16" i="24"/>
  <c r="CR16" i="24" s="1"/>
  <c r="CT16" i="24" s="1"/>
  <c r="CO74" i="24"/>
  <c r="CO97" i="24"/>
  <c r="CQ102" i="24"/>
  <c r="CR102" i="24" s="1"/>
  <c r="CT102" i="24" s="1"/>
  <c r="CR99" i="25"/>
  <c r="CR103" i="25"/>
  <c r="CO32" i="24"/>
  <c r="CQ36" i="24"/>
  <c r="CR36" i="24" s="1"/>
  <c r="CT36" i="24" s="1"/>
  <c r="CQ19" i="24"/>
  <c r="CR19" i="24" s="1"/>
  <c r="CT19" i="24" s="1"/>
  <c r="CO27" i="24"/>
  <c r="CQ55" i="24"/>
  <c r="CR55" i="24" s="1"/>
  <c r="CT55" i="24" s="1"/>
  <c r="CO95" i="24"/>
  <c r="CQ54" i="24"/>
  <c r="CR54" i="24" s="1"/>
  <c r="CT54" i="24" s="1"/>
  <c r="CO75" i="24"/>
  <c r="CO103" i="24"/>
  <c r="CQ64" i="24"/>
  <c r="CR64" i="24" s="1"/>
  <c r="CT64" i="24" s="1"/>
  <c r="CQ77" i="24"/>
  <c r="CR77" i="24" s="1"/>
  <c r="CT77" i="24" s="1"/>
  <c r="CO86" i="24"/>
  <c r="CO70" i="24"/>
  <c r="CO46" i="24"/>
  <c r="CQ97" i="24"/>
  <c r="CR97" i="24" s="1"/>
  <c r="CT97" i="24" s="1"/>
  <c r="CQ21" i="24"/>
  <c r="CR21" i="24" s="1"/>
  <c r="CT21" i="24" s="1"/>
  <c r="CO83" i="24"/>
  <c r="CQ89" i="24"/>
  <c r="CR89" i="24" s="1"/>
  <c r="CT89" i="24" s="1"/>
  <c r="CO22" i="24"/>
  <c r="CQ50" i="24"/>
  <c r="CR50" i="24" s="1"/>
  <c r="CT50" i="24" s="1"/>
  <c r="CO36" i="24"/>
  <c r="CO47" i="24"/>
  <c r="CR93" i="25"/>
  <c r="CR74" i="25"/>
  <c r="CQ6" i="24"/>
  <c r="CR6" i="24" s="1"/>
  <c r="CT6" i="24" s="1"/>
  <c r="CQ83" i="24"/>
  <c r="CR83" i="24" s="1"/>
  <c r="CT83" i="24" s="1"/>
  <c r="CQ80" i="24"/>
  <c r="CR80" i="24" s="1"/>
  <c r="CT80" i="24" s="1"/>
  <c r="CQ52" i="24"/>
  <c r="CR52" i="24" s="1"/>
  <c r="CT52" i="24" s="1"/>
  <c r="CQ98" i="24"/>
  <c r="CR98" i="24" s="1"/>
  <c r="CT98" i="24" s="1"/>
  <c r="CQ59" i="24"/>
  <c r="CR59" i="24" s="1"/>
  <c r="CT59" i="24" s="1"/>
  <c r="CO38" i="24"/>
  <c r="CO90" i="24"/>
  <c r="CO53" i="24"/>
  <c r="CR8" i="25"/>
  <c r="CR86" i="25"/>
  <c r="CQ58" i="24"/>
  <c r="CR58" i="24" s="1"/>
  <c r="CT58" i="24" s="1"/>
  <c r="CO61" i="24"/>
  <c r="CQ43" i="24"/>
  <c r="CR43" i="24" s="1"/>
  <c r="CT43" i="24" s="1"/>
  <c r="CQ84" i="24"/>
  <c r="CR84" i="24" s="1"/>
  <c r="CT84" i="24" s="1"/>
  <c r="CO35" i="24"/>
  <c r="CQ41" i="24"/>
  <c r="CR41" i="24" s="1"/>
  <c r="CT41" i="24" s="1"/>
  <c r="CQ29" i="24"/>
  <c r="CR29" i="24" s="1"/>
  <c r="CT29" i="24" s="1"/>
  <c r="CO48" i="24"/>
  <c r="CQ93" i="24"/>
  <c r="CR93" i="24" s="1"/>
  <c r="CT93" i="24" s="1"/>
  <c r="CO56" i="24"/>
  <c r="CQ18" i="24"/>
  <c r="CR18" i="24" s="1"/>
  <c r="CT18" i="24" s="1"/>
  <c r="CO101" i="24"/>
  <c r="CO20" i="24"/>
  <c r="CO18" i="24"/>
  <c r="CQ67" i="24"/>
  <c r="CR67" i="24" s="1"/>
  <c r="CT67" i="24" s="1"/>
  <c r="CR29" i="25"/>
  <c r="CR90" i="25"/>
  <c r="CQ101" i="24"/>
  <c r="CR101" i="24" s="1"/>
  <c r="CT101" i="24" s="1"/>
  <c r="CQ69" i="24"/>
  <c r="CR69" i="24" s="1"/>
  <c r="CT69" i="24" s="1"/>
  <c r="CQ9" i="24"/>
  <c r="CR9" i="24" s="1"/>
  <c r="CT9" i="24" s="1"/>
  <c r="CO73" i="24"/>
  <c r="CO63" i="24"/>
  <c r="CQ8" i="24"/>
  <c r="CR8" i="24" s="1"/>
  <c r="CT8" i="24" s="1"/>
  <c r="CQ63" i="24"/>
  <c r="CR63" i="24" s="1"/>
  <c r="CT63" i="24" s="1"/>
  <c r="CQ72" i="24"/>
  <c r="CR72" i="24" s="1"/>
  <c r="CT72" i="24" s="1"/>
  <c r="CQ28" i="24"/>
  <c r="CR28" i="24" s="1"/>
  <c r="CT28" i="24" s="1"/>
  <c r="CO92" i="24"/>
  <c r="CO49" i="24"/>
  <c r="CQ79" i="24"/>
  <c r="CR79" i="24" s="1"/>
  <c r="CT79" i="24" s="1"/>
  <c r="CL6" i="25"/>
  <c r="DL6" i="25" s="1"/>
  <c r="CL7" i="25"/>
  <c r="DL7" i="25" s="1"/>
  <c r="CN309" i="25"/>
  <c r="CN301" i="25"/>
  <c r="CN293" i="25"/>
  <c r="CN285" i="25"/>
  <c r="CN277" i="25"/>
  <c r="CN269" i="25"/>
  <c r="CN261" i="25"/>
  <c r="CN253" i="25"/>
  <c r="CN245" i="25"/>
  <c r="CN237" i="25"/>
  <c r="CN229" i="25"/>
  <c r="CN221" i="25"/>
  <c r="CN262" i="25"/>
  <c r="CN246" i="25"/>
  <c r="CN222" i="25"/>
  <c r="CN316" i="25"/>
  <c r="CN308" i="25"/>
  <c r="CN300" i="25"/>
  <c r="CN292" i="25"/>
  <c r="CN284" i="25"/>
  <c r="CN276" i="25"/>
  <c r="CN268" i="25"/>
  <c r="CN260" i="25"/>
  <c r="CN252" i="25"/>
  <c r="CN244" i="25"/>
  <c r="CN236" i="25"/>
  <c r="CN228" i="25"/>
  <c r="CN220" i="25"/>
  <c r="CN278" i="25"/>
  <c r="CN254" i="25"/>
  <c r="CN315" i="25"/>
  <c r="CN307" i="25"/>
  <c r="CN299" i="25"/>
  <c r="CN291" i="25"/>
  <c r="CN283" i="25"/>
  <c r="CN275" i="25"/>
  <c r="CN267" i="25"/>
  <c r="CN259" i="25"/>
  <c r="CN251" i="25"/>
  <c r="CN243" i="25"/>
  <c r="CN235" i="25"/>
  <c r="CN227" i="25"/>
  <c r="CN219" i="25"/>
  <c r="CN270" i="25"/>
  <c r="CN238" i="25"/>
  <c r="CN314" i="25"/>
  <c r="CN306" i="25"/>
  <c r="CN298" i="25"/>
  <c r="CN290" i="25"/>
  <c r="CN282" i="25"/>
  <c r="CN274" i="25"/>
  <c r="CN266" i="25"/>
  <c r="CN258" i="25"/>
  <c r="CN250" i="25"/>
  <c r="CN242" i="25"/>
  <c r="CN234" i="25"/>
  <c r="CN226" i="25"/>
  <c r="CN218" i="25"/>
  <c r="CN294" i="25"/>
  <c r="CN313" i="25"/>
  <c r="CN305" i="25"/>
  <c r="CN297" i="25"/>
  <c r="CN289" i="25"/>
  <c r="CN281" i="25"/>
  <c r="CN273" i="25"/>
  <c r="CN265" i="25"/>
  <c r="CN257" i="25"/>
  <c r="CN249" i="25"/>
  <c r="CN241" i="25"/>
  <c r="CN233" i="25"/>
  <c r="CN225" i="25"/>
  <c r="CN217" i="25"/>
  <c r="CN286" i="25"/>
  <c r="CN312" i="25"/>
  <c r="CN304" i="25"/>
  <c r="CN296" i="25"/>
  <c r="CN288" i="25"/>
  <c r="CN280" i="25"/>
  <c r="CN272" i="25"/>
  <c r="CN264" i="25"/>
  <c r="CN256" i="25"/>
  <c r="CN248" i="25"/>
  <c r="CN240" i="25"/>
  <c r="CN232" i="25"/>
  <c r="CN224" i="25"/>
  <c r="CN302" i="25"/>
  <c r="CN230" i="25"/>
  <c r="CN311" i="25"/>
  <c r="CN303" i="25"/>
  <c r="CN295" i="25"/>
  <c r="CN287" i="25"/>
  <c r="CN279" i="25"/>
  <c r="CN271" i="25"/>
  <c r="CN263" i="25"/>
  <c r="CN255" i="25"/>
  <c r="CN247" i="25"/>
  <c r="CN239" i="25"/>
  <c r="CN231" i="25"/>
  <c r="CN223" i="25"/>
  <c r="CN216" i="25"/>
  <c r="CN310" i="25"/>
  <c r="CM312" i="24"/>
  <c r="EO312" i="24" s="1"/>
  <c r="CM304" i="24"/>
  <c r="EO304" i="24" s="1"/>
  <c r="CM296" i="24"/>
  <c r="EO296" i="24" s="1"/>
  <c r="CM288" i="24"/>
  <c r="EO288" i="24" s="1"/>
  <c r="CM280" i="24"/>
  <c r="EO280" i="24" s="1"/>
  <c r="CM272" i="24"/>
  <c r="EO272" i="24" s="1"/>
  <c r="CM264" i="24"/>
  <c r="EO264" i="24" s="1"/>
  <c r="CM256" i="24"/>
  <c r="EO256" i="24" s="1"/>
  <c r="CM248" i="24"/>
  <c r="EO248" i="24" s="1"/>
  <c r="CM240" i="24"/>
  <c r="EO240" i="24" s="1"/>
  <c r="CM232" i="24"/>
  <c r="EO232" i="24" s="1"/>
  <c r="CM224" i="24"/>
  <c r="EO224" i="24" s="1"/>
  <c r="CM281" i="24"/>
  <c r="EO281" i="24" s="1"/>
  <c r="CM311" i="24"/>
  <c r="EO311" i="24" s="1"/>
  <c r="CM303" i="24"/>
  <c r="EO303" i="24" s="1"/>
  <c r="CM295" i="24"/>
  <c r="EO295" i="24" s="1"/>
  <c r="CM287" i="24"/>
  <c r="EO287" i="24" s="1"/>
  <c r="CM279" i="24"/>
  <c r="EO279" i="24" s="1"/>
  <c r="CM271" i="24"/>
  <c r="EO271" i="24" s="1"/>
  <c r="CM263" i="24"/>
  <c r="EO263" i="24" s="1"/>
  <c r="CM255" i="24"/>
  <c r="EO255" i="24" s="1"/>
  <c r="CM247" i="24"/>
  <c r="EO247" i="24" s="1"/>
  <c r="CM239" i="24"/>
  <c r="EO239" i="24" s="1"/>
  <c r="CM231" i="24"/>
  <c r="EO231" i="24" s="1"/>
  <c r="CM223" i="24"/>
  <c r="EO223" i="24" s="1"/>
  <c r="CM216" i="24"/>
  <c r="EO216" i="24" s="1"/>
  <c r="CM305" i="24"/>
  <c r="EO305" i="24" s="1"/>
  <c r="CM241" i="24"/>
  <c r="EO241" i="24" s="1"/>
  <c r="CM310" i="24"/>
  <c r="EO310" i="24" s="1"/>
  <c r="CM302" i="24"/>
  <c r="EO302" i="24" s="1"/>
  <c r="CM294" i="24"/>
  <c r="EO294" i="24" s="1"/>
  <c r="CM286" i="24"/>
  <c r="EO286" i="24" s="1"/>
  <c r="CM278" i="24"/>
  <c r="EO278" i="24" s="1"/>
  <c r="CM270" i="24"/>
  <c r="EO270" i="24" s="1"/>
  <c r="CM262" i="24"/>
  <c r="EO262" i="24" s="1"/>
  <c r="CM254" i="24"/>
  <c r="EO254" i="24" s="1"/>
  <c r="CM246" i="24"/>
  <c r="EO246" i="24" s="1"/>
  <c r="CM238" i="24"/>
  <c r="EO238" i="24" s="1"/>
  <c r="CM230" i="24"/>
  <c r="EO230" i="24" s="1"/>
  <c r="CM222" i="24"/>
  <c r="EO222" i="24" s="1"/>
  <c r="CM313" i="24"/>
  <c r="EO313" i="24" s="1"/>
  <c r="CM233" i="24"/>
  <c r="EO233" i="24" s="1"/>
  <c r="CM309" i="24"/>
  <c r="EO309" i="24" s="1"/>
  <c r="CM301" i="24"/>
  <c r="EO301" i="24" s="1"/>
  <c r="CM293" i="24"/>
  <c r="EO293" i="24" s="1"/>
  <c r="CM285" i="24"/>
  <c r="EO285" i="24" s="1"/>
  <c r="CM277" i="24"/>
  <c r="EO277" i="24" s="1"/>
  <c r="CM269" i="24"/>
  <c r="EO269" i="24" s="1"/>
  <c r="CM261" i="24"/>
  <c r="EO261" i="24" s="1"/>
  <c r="CM253" i="24"/>
  <c r="EO253" i="24" s="1"/>
  <c r="CM245" i="24"/>
  <c r="EO245" i="24" s="1"/>
  <c r="CM237" i="24"/>
  <c r="EO237" i="24" s="1"/>
  <c r="CM229" i="24"/>
  <c r="EO229" i="24" s="1"/>
  <c r="CM221" i="24"/>
  <c r="EO221" i="24" s="1"/>
  <c r="CM289" i="24"/>
  <c r="EO289" i="24" s="1"/>
  <c r="CM249" i="24"/>
  <c r="EO249" i="24" s="1"/>
  <c r="CM316" i="24"/>
  <c r="EO316" i="24" s="1"/>
  <c r="CM308" i="24"/>
  <c r="EO308" i="24" s="1"/>
  <c r="CM300" i="24"/>
  <c r="EO300" i="24" s="1"/>
  <c r="CM292" i="24"/>
  <c r="EO292" i="24" s="1"/>
  <c r="CM284" i="24"/>
  <c r="EO284" i="24" s="1"/>
  <c r="CM276" i="24"/>
  <c r="EO276" i="24" s="1"/>
  <c r="CM268" i="24"/>
  <c r="EO268" i="24" s="1"/>
  <c r="CM260" i="24"/>
  <c r="EO260" i="24" s="1"/>
  <c r="CM252" i="24"/>
  <c r="EO252" i="24" s="1"/>
  <c r="CM244" i="24"/>
  <c r="EO244" i="24" s="1"/>
  <c r="CM236" i="24"/>
  <c r="EO236" i="24" s="1"/>
  <c r="CM228" i="24"/>
  <c r="EO228" i="24" s="1"/>
  <c r="CM220" i="24"/>
  <c r="EO220" i="24" s="1"/>
  <c r="CM226" i="24"/>
  <c r="EO226" i="24" s="1"/>
  <c r="CM297" i="24"/>
  <c r="EO297" i="24" s="1"/>
  <c r="CM265" i="24"/>
  <c r="EO265" i="24" s="1"/>
  <c r="CM225" i="24"/>
  <c r="EO225" i="24" s="1"/>
  <c r="CM315" i="24"/>
  <c r="EO315" i="24" s="1"/>
  <c r="CM307" i="24"/>
  <c r="EO307" i="24" s="1"/>
  <c r="CM299" i="24"/>
  <c r="EO299" i="24" s="1"/>
  <c r="CM291" i="24"/>
  <c r="EO291" i="24" s="1"/>
  <c r="CM283" i="24"/>
  <c r="EO283" i="24" s="1"/>
  <c r="CM275" i="24"/>
  <c r="EO275" i="24" s="1"/>
  <c r="CM267" i="24"/>
  <c r="EO267" i="24" s="1"/>
  <c r="CM259" i="24"/>
  <c r="EO259" i="24" s="1"/>
  <c r="CM251" i="24"/>
  <c r="EO251" i="24" s="1"/>
  <c r="CM243" i="24"/>
  <c r="EO243" i="24" s="1"/>
  <c r="CM235" i="24"/>
  <c r="EO235" i="24" s="1"/>
  <c r="CM227" i="24"/>
  <c r="EO227" i="24" s="1"/>
  <c r="CM219" i="24"/>
  <c r="EO219" i="24" s="1"/>
  <c r="CM234" i="24"/>
  <c r="EO234" i="24" s="1"/>
  <c r="CM257" i="24"/>
  <c r="EO257" i="24" s="1"/>
  <c r="CM314" i="24"/>
  <c r="EO314" i="24" s="1"/>
  <c r="CM306" i="24"/>
  <c r="EO306" i="24" s="1"/>
  <c r="CM298" i="24"/>
  <c r="EO298" i="24" s="1"/>
  <c r="CM290" i="24"/>
  <c r="EO290" i="24" s="1"/>
  <c r="CM282" i="24"/>
  <c r="EO282" i="24" s="1"/>
  <c r="CM274" i="24"/>
  <c r="EO274" i="24" s="1"/>
  <c r="CM266" i="24"/>
  <c r="EO266" i="24" s="1"/>
  <c r="CM258" i="24"/>
  <c r="EO258" i="24" s="1"/>
  <c r="CM250" i="24"/>
  <c r="EO250" i="24" s="1"/>
  <c r="CM242" i="24"/>
  <c r="EO242" i="24" s="1"/>
  <c r="CM218" i="24"/>
  <c r="EO218" i="24" s="1"/>
  <c r="CM273" i="24"/>
  <c r="EO273" i="24" s="1"/>
  <c r="CM217" i="24"/>
  <c r="EO217" i="24" s="1"/>
  <c r="B16" i="29"/>
  <c r="B106" i="2"/>
  <c r="G11" i="2"/>
  <c r="Y14" i="2" s="1"/>
  <c r="Y19" i="2"/>
  <c r="B14" i="29"/>
  <c r="B147" i="2"/>
  <c r="M2" i="24"/>
  <c r="D43" i="16"/>
  <c r="K12" i="2"/>
  <c r="K11" i="2"/>
  <c r="BR5" i="24"/>
  <c r="B28" i="2"/>
  <c r="C43" i="16"/>
  <c r="B14" i="2"/>
  <c r="H110" i="25"/>
  <c r="H5" i="25"/>
  <c r="AH5" i="25" s="1"/>
  <c r="H216" i="25"/>
  <c r="B193" i="2"/>
  <c r="E39" i="1" s="1"/>
  <c r="B214" i="2"/>
  <c r="B210" i="2"/>
  <c r="B35" i="2"/>
  <c r="B157" i="2"/>
  <c r="H216" i="24"/>
  <c r="H110" i="24"/>
  <c r="E15" i="23"/>
  <c r="R15" i="23" s="1"/>
  <c r="E23" i="23"/>
  <c r="R23" i="23" s="1"/>
  <c r="E31" i="23"/>
  <c r="R31" i="23" s="1"/>
  <c r="E39" i="23"/>
  <c r="R39" i="23" s="1"/>
  <c r="E47" i="23"/>
  <c r="R47" i="23" s="1"/>
  <c r="E55" i="23"/>
  <c r="R55" i="23" s="1"/>
  <c r="E63" i="23"/>
  <c r="R63" i="23" s="1"/>
  <c r="E71" i="23"/>
  <c r="R71" i="23" s="1"/>
  <c r="E79" i="23"/>
  <c r="R79" i="23" s="1"/>
  <c r="E87" i="23"/>
  <c r="R87" i="23" s="1"/>
  <c r="E95" i="23"/>
  <c r="R95" i="23" s="1"/>
  <c r="E103" i="23"/>
  <c r="R103" i="23" s="1"/>
  <c r="E20" i="23"/>
  <c r="R20" i="23" s="1"/>
  <c r="E44" i="23"/>
  <c r="R44" i="23" s="1"/>
  <c r="E68" i="23"/>
  <c r="R68" i="23" s="1"/>
  <c r="E84" i="23"/>
  <c r="R84" i="23" s="1"/>
  <c r="E7" i="23"/>
  <c r="R7" i="23" s="1"/>
  <c r="E16" i="23"/>
  <c r="R16" i="23" s="1"/>
  <c r="E24" i="23"/>
  <c r="R24" i="23" s="1"/>
  <c r="E32" i="23"/>
  <c r="R32" i="23" s="1"/>
  <c r="E40" i="23"/>
  <c r="R40" i="23" s="1"/>
  <c r="E48" i="23"/>
  <c r="R48" i="23" s="1"/>
  <c r="E56" i="23"/>
  <c r="R56" i="23" s="1"/>
  <c r="E64" i="23"/>
  <c r="R64" i="23" s="1"/>
  <c r="E72" i="23"/>
  <c r="R72" i="23" s="1"/>
  <c r="E80" i="23"/>
  <c r="R80" i="23" s="1"/>
  <c r="E88" i="23"/>
  <c r="R88" i="23" s="1"/>
  <c r="E96" i="23"/>
  <c r="R96" i="23" s="1"/>
  <c r="E104" i="23"/>
  <c r="R104" i="23" s="1"/>
  <c r="E28" i="23"/>
  <c r="R28" i="23" s="1"/>
  <c r="E60" i="23"/>
  <c r="R60" i="23" s="1"/>
  <c r="E92" i="23"/>
  <c r="R92" i="23" s="1"/>
  <c r="E11" i="23"/>
  <c r="R11" i="23" s="1"/>
  <c r="E19" i="23"/>
  <c r="R19" i="23" s="1"/>
  <c r="E27" i="23"/>
  <c r="R27" i="23" s="1"/>
  <c r="E35" i="23"/>
  <c r="R35" i="23" s="1"/>
  <c r="E43" i="23"/>
  <c r="R43" i="23" s="1"/>
  <c r="E51" i="23"/>
  <c r="R51" i="23" s="1"/>
  <c r="E59" i="23"/>
  <c r="R59" i="23" s="1"/>
  <c r="E67" i="23"/>
  <c r="R67" i="23" s="1"/>
  <c r="E75" i="23"/>
  <c r="R75" i="23" s="1"/>
  <c r="E83" i="23"/>
  <c r="R83" i="23" s="1"/>
  <c r="E91" i="23"/>
  <c r="R91" i="23" s="1"/>
  <c r="E99" i="23"/>
  <c r="R99" i="23" s="1"/>
  <c r="E6" i="23"/>
  <c r="R6" i="23" s="1"/>
  <c r="E12" i="23"/>
  <c r="R12" i="23" s="1"/>
  <c r="E36" i="23"/>
  <c r="R36" i="23" s="1"/>
  <c r="E52" i="23"/>
  <c r="R52" i="23" s="1"/>
  <c r="E76" i="23"/>
  <c r="R76" i="23" s="1"/>
  <c r="E100" i="23"/>
  <c r="R100" i="23" s="1"/>
  <c r="E94" i="23"/>
  <c r="R94" i="23" s="1"/>
  <c r="E78" i="23"/>
  <c r="R78" i="23" s="1"/>
  <c r="E62" i="23"/>
  <c r="R62" i="23" s="1"/>
  <c r="E46" i="23"/>
  <c r="R46" i="23" s="1"/>
  <c r="E30" i="23"/>
  <c r="R30" i="23" s="1"/>
  <c r="E14" i="23"/>
  <c r="R14" i="23" s="1"/>
  <c r="E106" i="23"/>
  <c r="R106" i="23" s="1"/>
  <c r="E90" i="23"/>
  <c r="R90" i="23" s="1"/>
  <c r="E74" i="23"/>
  <c r="R74" i="23" s="1"/>
  <c r="E58" i="23"/>
  <c r="R58" i="23" s="1"/>
  <c r="E42" i="23"/>
  <c r="R42" i="23" s="1"/>
  <c r="E26" i="23"/>
  <c r="R26" i="23" s="1"/>
  <c r="E9" i="23"/>
  <c r="R9" i="23" s="1"/>
  <c r="E102" i="23"/>
  <c r="R102" i="23" s="1"/>
  <c r="E70" i="23"/>
  <c r="R70" i="23" s="1"/>
  <c r="E38" i="23"/>
  <c r="R38" i="23" s="1"/>
  <c r="E101" i="23"/>
  <c r="R101" i="23" s="1"/>
  <c r="E85" i="23"/>
  <c r="R85" i="23" s="1"/>
  <c r="E69" i="23"/>
  <c r="R69" i="23" s="1"/>
  <c r="E53" i="23"/>
  <c r="R53" i="23" s="1"/>
  <c r="E37" i="23"/>
  <c r="R37" i="23" s="1"/>
  <c r="E21" i="23"/>
  <c r="R21" i="23" s="1"/>
  <c r="E86" i="23"/>
  <c r="R86" i="23" s="1"/>
  <c r="E22" i="23"/>
  <c r="R22" i="23" s="1"/>
  <c r="E93" i="23"/>
  <c r="R93" i="23" s="1"/>
  <c r="E77" i="23"/>
  <c r="R77" i="23" s="1"/>
  <c r="E45" i="23"/>
  <c r="R45" i="23" s="1"/>
  <c r="E13" i="23"/>
  <c r="R13" i="23" s="1"/>
  <c r="E82" i="23"/>
  <c r="R82" i="23" s="1"/>
  <c r="E50" i="23"/>
  <c r="R50" i="23" s="1"/>
  <c r="E89" i="23"/>
  <c r="R89" i="23" s="1"/>
  <c r="E57" i="23"/>
  <c r="R57" i="23" s="1"/>
  <c r="E25" i="23"/>
  <c r="R25" i="23" s="1"/>
  <c r="E98" i="23"/>
  <c r="R98" i="23" s="1"/>
  <c r="E66" i="23"/>
  <c r="R66" i="23" s="1"/>
  <c r="E34" i="23"/>
  <c r="R34" i="23" s="1"/>
  <c r="E97" i="23"/>
  <c r="R97" i="23" s="1"/>
  <c r="E81" i="23"/>
  <c r="R81" i="23" s="1"/>
  <c r="E65" i="23"/>
  <c r="R65" i="23" s="1"/>
  <c r="E49" i="23"/>
  <c r="R49" i="23" s="1"/>
  <c r="E33" i="23"/>
  <c r="R33" i="23" s="1"/>
  <c r="E17" i="23"/>
  <c r="R17" i="23" s="1"/>
  <c r="E54" i="23"/>
  <c r="R54" i="23" s="1"/>
  <c r="E10" i="23"/>
  <c r="R10" i="23" s="1"/>
  <c r="E61" i="23"/>
  <c r="R61" i="23" s="1"/>
  <c r="E29" i="23"/>
  <c r="R29" i="23" s="1"/>
  <c r="E18" i="23"/>
  <c r="R18" i="23" s="1"/>
  <c r="E105" i="23"/>
  <c r="R105" i="23" s="1"/>
  <c r="E73" i="23"/>
  <c r="R73" i="23" s="1"/>
  <c r="E41" i="23"/>
  <c r="R41" i="23" s="1"/>
  <c r="E8" i="23"/>
  <c r="R8" i="23" s="1"/>
  <c r="D9" i="23"/>
  <c r="F9" i="23" s="1"/>
  <c r="D13" i="23"/>
  <c r="I13" i="23" s="1"/>
  <c r="D17" i="23"/>
  <c r="I17" i="23" s="1"/>
  <c r="D21" i="23"/>
  <c r="D25" i="23"/>
  <c r="I25" i="23" s="1"/>
  <c r="D29" i="23"/>
  <c r="D33" i="23"/>
  <c r="F33" i="23" s="1"/>
  <c r="D37" i="23"/>
  <c r="D41" i="23"/>
  <c r="F41" i="23" s="1"/>
  <c r="D45" i="23"/>
  <c r="D49" i="23"/>
  <c r="I49" i="23" s="1"/>
  <c r="D10" i="23"/>
  <c r="I10" i="23" s="1"/>
  <c r="D14" i="23"/>
  <c r="I14" i="23" s="1"/>
  <c r="D18" i="23"/>
  <c r="D22" i="23"/>
  <c r="I22" i="23" s="1"/>
  <c r="D26" i="23"/>
  <c r="D30" i="23"/>
  <c r="I30" i="23" s="1"/>
  <c r="D34" i="23"/>
  <c r="D38" i="23"/>
  <c r="F38" i="23" s="1"/>
  <c r="D42" i="23"/>
  <c r="D46" i="23"/>
  <c r="I46" i="23" s="1"/>
  <c r="D50" i="23"/>
  <c r="D54" i="23"/>
  <c r="I54" i="23" s="1"/>
  <c r="D58" i="23"/>
  <c r="D62" i="23"/>
  <c r="F62" i="23" s="1"/>
  <c r="D66" i="23"/>
  <c r="D70" i="23"/>
  <c r="F70" i="23" s="1"/>
  <c r="D74" i="23"/>
  <c r="D78" i="23"/>
  <c r="F78" i="23" s="1"/>
  <c r="D82" i="23"/>
  <c r="D86" i="23"/>
  <c r="F86" i="23" s="1"/>
  <c r="D90" i="23"/>
  <c r="D94" i="23"/>
  <c r="I94" i="23" s="1"/>
  <c r="D98" i="23"/>
  <c r="F98" i="23" s="1"/>
  <c r="D102" i="23"/>
  <c r="I102" i="23" s="1"/>
  <c r="D106" i="23"/>
  <c r="F106" i="23" s="1"/>
  <c r="D16" i="23"/>
  <c r="F16" i="23" s="1"/>
  <c r="D24" i="23"/>
  <c r="D32" i="23"/>
  <c r="I32" i="23" s="1"/>
  <c r="D40" i="23"/>
  <c r="D48" i="23"/>
  <c r="F48" i="23" s="1"/>
  <c r="D55" i="23"/>
  <c r="D60" i="23"/>
  <c r="I60" i="23" s="1"/>
  <c r="D65" i="23"/>
  <c r="I65" i="23" s="1"/>
  <c r="D71" i="23"/>
  <c r="I71" i="23" s="1"/>
  <c r="D76" i="23"/>
  <c r="F76" i="23" s="1"/>
  <c r="D81" i="23"/>
  <c r="I81" i="23" s="1"/>
  <c r="D87" i="23"/>
  <c r="D92" i="23"/>
  <c r="I92" i="23" s="1"/>
  <c r="D97" i="23"/>
  <c r="D103" i="23"/>
  <c r="I103" i="23" s="1"/>
  <c r="D7" i="23"/>
  <c r="F7" i="23" s="1"/>
  <c r="D23" i="23"/>
  <c r="F23" i="23" s="1"/>
  <c r="D39" i="23"/>
  <c r="F39" i="23" s="1"/>
  <c r="D53" i="23"/>
  <c r="I53" i="23" s="1"/>
  <c r="D64" i="23"/>
  <c r="D75" i="23"/>
  <c r="F75" i="23" s="1"/>
  <c r="D85" i="23"/>
  <c r="D96" i="23"/>
  <c r="F96" i="23" s="1"/>
  <c r="D8" i="23"/>
  <c r="D11" i="23"/>
  <c r="F11" i="23" s="1"/>
  <c r="D19" i="23"/>
  <c r="D27" i="23"/>
  <c r="F27" i="23" s="1"/>
  <c r="D35" i="23"/>
  <c r="D43" i="23"/>
  <c r="F43" i="23" s="1"/>
  <c r="D51" i="23"/>
  <c r="D56" i="23"/>
  <c r="F56" i="23" s="1"/>
  <c r="D61" i="23"/>
  <c r="I61" i="23" s="1"/>
  <c r="D67" i="23"/>
  <c r="I67" i="23" s="1"/>
  <c r="D72" i="23"/>
  <c r="D77" i="23"/>
  <c r="I77" i="23" s="1"/>
  <c r="D83" i="23"/>
  <c r="D88" i="23"/>
  <c r="I88" i="23" s="1"/>
  <c r="D93" i="23"/>
  <c r="D99" i="23"/>
  <c r="F99" i="23" s="1"/>
  <c r="D104" i="23"/>
  <c r="D6" i="23"/>
  <c r="I6" i="23" s="1"/>
  <c r="D12" i="23"/>
  <c r="I12" i="23" s="1"/>
  <c r="D20" i="23"/>
  <c r="I20" i="23" s="1"/>
  <c r="D28" i="23"/>
  <c r="D36" i="23"/>
  <c r="F36" i="23" s="1"/>
  <c r="D44" i="23"/>
  <c r="F44" i="23" s="1"/>
  <c r="D52" i="23"/>
  <c r="I52" i="23" s="1"/>
  <c r="D57" i="23"/>
  <c r="D63" i="23"/>
  <c r="I63" i="23" s="1"/>
  <c r="D68" i="23"/>
  <c r="D73" i="23"/>
  <c r="I73" i="23" s="1"/>
  <c r="D79" i="23"/>
  <c r="F79" i="23" s="1"/>
  <c r="D84" i="23"/>
  <c r="I84" i="23" s="1"/>
  <c r="D89" i="23"/>
  <c r="F89" i="23" s="1"/>
  <c r="D95" i="23"/>
  <c r="I95" i="23" s="1"/>
  <c r="D100" i="23"/>
  <c r="D105" i="23"/>
  <c r="I105" i="23" s="1"/>
  <c r="D15" i="23"/>
  <c r="D31" i="23"/>
  <c r="F31" i="23" s="1"/>
  <c r="D47" i="23"/>
  <c r="D59" i="23"/>
  <c r="F59" i="23" s="1"/>
  <c r="D69" i="23"/>
  <c r="F69" i="23" s="1"/>
  <c r="D80" i="23"/>
  <c r="I80" i="23" s="1"/>
  <c r="D91" i="23"/>
  <c r="D101" i="23"/>
  <c r="I101" i="23" s="1"/>
  <c r="B10" i="19"/>
  <c r="D10" i="19" s="1"/>
  <c r="CJ212" i="25" s="1"/>
  <c r="I16" i="8"/>
  <c r="J16" i="8" s="1"/>
  <c r="D181" i="2" s="1"/>
  <c r="B182" i="2" s="1"/>
  <c r="B11" i="19"/>
  <c r="D11" i="19" s="1"/>
  <c r="I4" i="8" s="1"/>
  <c r="J4" i="8" s="1"/>
  <c r="B237" i="2"/>
  <c r="B3" i="8"/>
  <c r="B159" i="8" s="1"/>
  <c r="B158" i="8" s="1"/>
  <c r="B157" i="8" s="1"/>
  <c r="B156" i="8" s="1"/>
  <c r="B155" i="8" s="1"/>
  <c r="B154" i="8" s="1"/>
  <c r="B153" i="8" s="1"/>
  <c r="B152" i="8" s="1"/>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31" i="16"/>
  <c r="D3" i="8"/>
  <c r="D159" i="8" s="1"/>
  <c r="D158" i="8" s="1"/>
  <c r="D157" i="8" s="1"/>
  <c r="D156" i="8" s="1"/>
  <c r="D155" i="8" s="1"/>
  <c r="D154" i="8" s="1"/>
  <c r="D153" i="8" s="1"/>
  <c r="D152" i="8" s="1"/>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9" i="8"/>
  <c r="E158" i="8" s="1"/>
  <c r="E157" i="8" s="1"/>
  <c r="E156" i="8" s="1"/>
  <c r="E155" i="8" s="1"/>
  <c r="E154" i="8" s="1"/>
  <c r="E153" i="8" s="1"/>
  <c r="E152" i="8" s="1"/>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B238" i="2"/>
  <c r="S76" i="2"/>
  <c r="B232" i="2"/>
  <c r="I72" i="2"/>
  <c r="C3" i="8"/>
  <c r="C159" i="8" s="1"/>
  <c r="C158" i="8" s="1"/>
  <c r="A232" i="2"/>
  <c r="F40" i="1"/>
  <c r="B9" i="19"/>
  <c r="D9" i="19" s="1"/>
  <c r="B17" i="19"/>
  <c r="D17" i="19" s="1"/>
  <c r="B221" i="2"/>
  <c r="B13" i="2"/>
  <c r="CR195" i="25" l="1"/>
  <c r="CS195" i="25" s="1"/>
  <c r="Q104" i="2"/>
  <c r="CQ136" i="24"/>
  <c r="CR136" i="24" s="1"/>
  <c r="CT136" i="24" s="1"/>
  <c r="CQ204" i="24"/>
  <c r="CR204" i="24" s="1"/>
  <c r="CT204" i="24" s="1"/>
  <c r="CQ140" i="24"/>
  <c r="CR140" i="24" s="1"/>
  <c r="CT140" i="24" s="1"/>
  <c r="CQ149" i="24"/>
  <c r="CR149" i="24" s="1"/>
  <c r="CT149" i="24" s="1"/>
  <c r="CO140" i="24"/>
  <c r="CR197" i="25"/>
  <c r="CS197" i="25" s="1"/>
  <c r="CR111" i="25"/>
  <c r="CS111" i="25" s="1"/>
  <c r="CQ175" i="24"/>
  <c r="CR175" i="24" s="1"/>
  <c r="CT175" i="24" s="1"/>
  <c r="CR200" i="25"/>
  <c r="CS200" i="25" s="1"/>
  <c r="CO136" i="24"/>
  <c r="CO174" i="24"/>
  <c r="CQ131" i="24"/>
  <c r="CR131" i="24" s="1"/>
  <c r="CT131" i="24" s="1"/>
  <c r="CQ185" i="24"/>
  <c r="CR185" i="24" s="1"/>
  <c r="CT185" i="24" s="1"/>
  <c r="CQ174" i="24"/>
  <c r="CR174" i="24" s="1"/>
  <c r="CT174" i="24" s="1"/>
  <c r="CO185" i="24"/>
  <c r="CO175" i="24"/>
  <c r="CR152" i="25"/>
  <c r="CS152" i="25" s="1"/>
  <c r="CR126" i="25"/>
  <c r="CS126" i="25" s="1"/>
  <c r="CO204" i="24"/>
  <c r="CR116" i="25"/>
  <c r="CS116" i="25" s="1"/>
  <c r="CR185" i="25"/>
  <c r="CS185" i="25" s="1"/>
  <c r="CR143" i="25"/>
  <c r="CS143" i="25" s="1"/>
  <c r="CR125" i="25"/>
  <c r="CS125" i="25" s="1"/>
  <c r="CR179" i="25"/>
  <c r="CS179" i="25" s="1"/>
  <c r="CR140" i="25"/>
  <c r="CS140" i="25" s="1"/>
  <c r="CQ212" i="24"/>
  <c r="CR212" i="24" s="1"/>
  <c r="CT212" i="24" s="1"/>
  <c r="CO212" i="24"/>
  <c r="CR205" i="25"/>
  <c r="CS205" i="25" s="1"/>
  <c r="D33" i="16"/>
  <c r="D32" i="16"/>
  <c r="CQ114" i="24"/>
  <c r="CR114" i="24" s="1"/>
  <c r="CT114" i="24" s="1"/>
  <c r="CO177" i="24"/>
  <c r="CO165" i="24"/>
  <c r="CQ177" i="24"/>
  <c r="CR177" i="24" s="1"/>
  <c r="CT177" i="24" s="1"/>
  <c r="G327" i="24"/>
  <c r="I27" i="8" s="1"/>
  <c r="CQ128" i="24"/>
  <c r="CR128" i="24" s="1"/>
  <c r="CT128" i="24" s="1"/>
  <c r="CQ178" i="24"/>
  <c r="CR178" i="24" s="1"/>
  <c r="CT178" i="24" s="1"/>
  <c r="CR123" i="25"/>
  <c r="CS123" i="25" s="1"/>
  <c r="CQ122" i="24"/>
  <c r="CR122" i="24" s="1"/>
  <c r="CT122" i="24" s="1"/>
  <c r="CO178" i="24"/>
  <c r="CO128" i="24"/>
  <c r="FG212" i="25"/>
  <c r="CL212" i="25"/>
  <c r="DL212" i="25" s="1"/>
  <c r="DP212" i="25"/>
  <c r="EQ212" i="25"/>
  <c r="EU212" i="25" s="1"/>
  <c r="CP212" i="25"/>
  <c r="EM212" i="25"/>
  <c r="B18" i="29"/>
  <c r="CX212" i="25"/>
  <c r="CS212" i="25"/>
  <c r="L68" i="1"/>
  <c r="L70" i="1" s="1"/>
  <c r="E22" i="1"/>
  <c r="CJ212" i="24"/>
  <c r="N327" i="25"/>
  <c r="I29" i="8" s="1"/>
  <c r="CP223" i="25"/>
  <c r="EM223" i="25"/>
  <c r="CP287" i="25"/>
  <c r="EM287" i="25"/>
  <c r="CP240" i="25"/>
  <c r="EM240" i="25"/>
  <c r="CP304" i="25"/>
  <c r="EM304" i="25"/>
  <c r="CP257" i="25"/>
  <c r="EM257" i="25"/>
  <c r="CP294" i="25"/>
  <c r="EM294" i="25"/>
  <c r="CP274" i="25"/>
  <c r="EM274" i="25"/>
  <c r="CP219" i="25"/>
  <c r="EM219" i="25"/>
  <c r="CP283" i="25"/>
  <c r="EM283" i="25"/>
  <c r="CP228" i="25"/>
  <c r="EM228" i="25"/>
  <c r="CP292" i="25"/>
  <c r="EM292" i="25"/>
  <c r="CP229" i="25"/>
  <c r="EM229" i="25"/>
  <c r="CP293" i="25"/>
  <c r="EM293" i="25"/>
  <c r="CP231" i="25"/>
  <c r="EM231" i="25"/>
  <c r="CP295" i="25"/>
  <c r="EM295" i="25"/>
  <c r="CP248" i="25"/>
  <c r="EM248" i="25"/>
  <c r="CP312" i="25"/>
  <c r="EM312" i="25"/>
  <c r="CP265" i="25"/>
  <c r="EM265" i="25"/>
  <c r="CP218" i="25"/>
  <c r="EM218" i="25"/>
  <c r="CP282" i="25"/>
  <c r="EM282" i="25"/>
  <c r="CP227" i="25"/>
  <c r="EM227" i="25"/>
  <c r="CP291" i="25"/>
  <c r="EM291" i="25"/>
  <c r="CP236" i="25"/>
  <c r="EM236" i="25"/>
  <c r="CP300" i="25"/>
  <c r="EM300" i="25"/>
  <c r="CP237" i="25"/>
  <c r="EM237" i="25"/>
  <c r="CP301" i="25"/>
  <c r="EM301" i="25"/>
  <c r="CP239" i="25"/>
  <c r="EM239" i="25"/>
  <c r="CP303" i="25"/>
  <c r="EM303" i="25"/>
  <c r="CP256" i="25"/>
  <c r="EM256" i="25"/>
  <c r="CP286" i="25"/>
  <c r="EM286" i="25"/>
  <c r="CP273" i="25"/>
  <c r="EM273" i="25"/>
  <c r="CP226" i="25"/>
  <c r="EM226" i="25"/>
  <c r="CP290" i="25"/>
  <c r="EM290" i="25"/>
  <c r="CP235" i="25"/>
  <c r="EM235" i="25"/>
  <c r="CP299" i="25"/>
  <c r="EM299" i="25"/>
  <c r="CP244" i="25"/>
  <c r="EM244" i="25"/>
  <c r="CP308" i="25"/>
  <c r="EM308" i="25"/>
  <c r="CP245" i="25"/>
  <c r="EM245" i="25"/>
  <c r="CP309" i="25"/>
  <c r="EM309" i="25"/>
  <c r="CP247" i="25"/>
  <c r="EM247" i="25"/>
  <c r="CP311" i="25"/>
  <c r="EM311" i="25"/>
  <c r="CP264" i="25"/>
  <c r="EM264" i="25"/>
  <c r="CP217" i="25"/>
  <c r="EM217" i="25"/>
  <c r="CP281" i="25"/>
  <c r="EM281" i="25"/>
  <c r="CP234" i="25"/>
  <c r="EM234" i="25"/>
  <c r="CP298" i="25"/>
  <c r="EM298" i="25"/>
  <c r="CP243" i="25"/>
  <c r="EM243" i="25"/>
  <c r="CP307" i="25"/>
  <c r="EM307" i="25"/>
  <c r="CP252" i="25"/>
  <c r="EM252" i="25"/>
  <c r="CP316" i="25"/>
  <c r="EM316" i="25"/>
  <c r="CP253" i="25"/>
  <c r="EM253" i="25"/>
  <c r="CP255" i="25"/>
  <c r="EM255" i="25"/>
  <c r="CP230" i="25"/>
  <c r="EM230" i="25"/>
  <c r="CP272" i="25"/>
  <c r="EM272" i="25"/>
  <c r="CP225" i="25"/>
  <c r="EM225" i="25"/>
  <c r="CP289" i="25"/>
  <c r="EM289" i="25"/>
  <c r="CP242" i="25"/>
  <c r="EM242" i="25"/>
  <c r="CP306" i="25"/>
  <c r="EM306" i="25"/>
  <c r="CP251" i="25"/>
  <c r="EM251" i="25"/>
  <c r="CP315" i="25"/>
  <c r="EM315" i="25"/>
  <c r="CP260" i="25"/>
  <c r="EM260" i="25"/>
  <c r="CP222" i="25"/>
  <c r="EM222" i="25"/>
  <c r="CP261" i="25"/>
  <c r="EM261" i="25"/>
  <c r="CP263" i="25"/>
  <c r="EM263" i="25"/>
  <c r="CP302" i="25"/>
  <c r="EM302" i="25"/>
  <c r="CP280" i="25"/>
  <c r="EM280" i="25"/>
  <c r="CP233" i="25"/>
  <c r="EM233" i="25"/>
  <c r="CP297" i="25"/>
  <c r="EM297" i="25"/>
  <c r="CP250" i="25"/>
  <c r="EM250" i="25"/>
  <c r="CP314" i="25"/>
  <c r="EM314" i="25"/>
  <c r="CP259" i="25"/>
  <c r="EM259" i="25"/>
  <c r="CP254" i="25"/>
  <c r="EM254" i="25"/>
  <c r="CP268" i="25"/>
  <c r="EM268" i="25"/>
  <c r="CP246" i="25"/>
  <c r="EM246" i="25"/>
  <c r="CP269" i="25"/>
  <c r="EM269" i="25"/>
  <c r="CP310" i="25"/>
  <c r="EM310" i="25"/>
  <c r="CP271" i="25"/>
  <c r="EM271" i="25"/>
  <c r="CP224" i="25"/>
  <c r="EM224" i="25"/>
  <c r="CP288" i="25"/>
  <c r="EM288" i="25"/>
  <c r="CP241" i="25"/>
  <c r="EM241" i="25"/>
  <c r="CP305" i="25"/>
  <c r="EM305" i="25"/>
  <c r="CP258" i="25"/>
  <c r="EM258" i="25"/>
  <c r="CP238" i="25"/>
  <c r="EM238" i="25"/>
  <c r="CP267" i="25"/>
  <c r="EM267" i="25"/>
  <c r="CP278" i="25"/>
  <c r="EM278" i="25"/>
  <c r="CP276" i="25"/>
  <c r="EM276" i="25"/>
  <c r="CP262" i="25"/>
  <c r="EM262" i="25"/>
  <c r="CP277" i="25"/>
  <c r="EM277" i="25"/>
  <c r="CP216" i="25"/>
  <c r="EM216" i="25"/>
  <c r="CP279" i="25"/>
  <c r="EM279" i="25"/>
  <c r="CP232" i="25"/>
  <c r="EM232" i="25"/>
  <c r="CP296" i="25"/>
  <c r="EM296" i="25"/>
  <c r="CP249" i="25"/>
  <c r="EM249" i="25"/>
  <c r="CP313" i="25"/>
  <c r="EM313" i="25"/>
  <c r="CP266" i="25"/>
  <c r="EM266" i="25"/>
  <c r="CP270" i="25"/>
  <c r="EM270" i="25"/>
  <c r="CP275" i="25"/>
  <c r="EM275" i="25"/>
  <c r="CP220" i="25"/>
  <c r="EM220" i="25"/>
  <c r="CP284" i="25"/>
  <c r="EM284" i="25"/>
  <c r="CP221" i="25"/>
  <c r="EM221" i="25"/>
  <c r="CP285" i="25"/>
  <c r="EM285" i="25"/>
  <c r="G327" i="25"/>
  <c r="H329" i="25" s="1"/>
  <c r="I24" i="8" s="1"/>
  <c r="J24" i="8" s="1"/>
  <c r="CP113" i="25"/>
  <c r="CP170" i="25"/>
  <c r="CP139" i="25"/>
  <c r="CP203" i="25"/>
  <c r="CP121" i="25"/>
  <c r="CP172" i="25"/>
  <c r="CP165" i="25"/>
  <c r="CP142" i="25"/>
  <c r="CP206" i="25"/>
  <c r="CP167" i="25"/>
  <c r="CP136" i="25"/>
  <c r="CP200" i="25"/>
  <c r="CP169" i="25"/>
  <c r="CP114" i="25"/>
  <c r="CP178" i="25"/>
  <c r="CP147" i="25"/>
  <c r="CP177" i="25"/>
  <c r="CP116" i="25"/>
  <c r="CP180" i="25"/>
  <c r="CP173" i="25"/>
  <c r="CP150" i="25"/>
  <c r="CP161" i="25"/>
  <c r="CP110" i="25"/>
  <c r="CP175" i="25"/>
  <c r="CP144" i="25"/>
  <c r="CP208" i="25"/>
  <c r="CP122" i="25"/>
  <c r="CP186" i="25"/>
  <c r="CP155" i="25"/>
  <c r="CP124" i="25"/>
  <c r="CP188" i="25"/>
  <c r="CP117" i="25"/>
  <c r="CP181" i="25"/>
  <c r="CP158" i="25"/>
  <c r="CP201" i="25"/>
  <c r="CP119" i="25"/>
  <c r="CP183" i="25"/>
  <c r="CP152" i="25"/>
  <c r="CP130" i="25"/>
  <c r="CP194" i="25"/>
  <c r="CP163" i="25"/>
  <c r="CP132" i="25"/>
  <c r="CP196" i="25"/>
  <c r="CP153" i="25"/>
  <c r="CP125" i="25"/>
  <c r="CP189" i="25"/>
  <c r="CP166" i="25"/>
  <c r="CP127" i="25"/>
  <c r="CP191" i="25"/>
  <c r="CP160" i="25"/>
  <c r="CP138" i="25"/>
  <c r="CP202" i="25"/>
  <c r="CP137" i="25"/>
  <c r="CP171" i="25"/>
  <c r="CP140" i="25"/>
  <c r="CP204" i="25"/>
  <c r="CP133" i="25"/>
  <c r="CP197" i="25"/>
  <c r="CP174" i="25"/>
  <c r="CP135" i="25"/>
  <c r="CP199" i="25"/>
  <c r="CP168" i="25"/>
  <c r="CP146" i="25"/>
  <c r="CP210" i="25"/>
  <c r="CP185" i="25"/>
  <c r="CP115" i="25"/>
  <c r="CP179" i="25"/>
  <c r="CP148" i="25"/>
  <c r="CP141" i="25"/>
  <c r="CP205" i="25"/>
  <c r="CP129" i="25"/>
  <c r="CP118" i="25"/>
  <c r="CP182" i="25"/>
  <c r="CP143" i="25"/>
  <c r="CP207" i="25"/>
  <c r="CP145" i="25"/>
  <c r="CP111" i="25"/>
  <c r="CP176" i="25"/>
  <c r="CP154" i="25"/>
  <c r="CP123" i="25"/>
  <c r="CP187" i="25"/>
  <c r="CP156" i="25"/>
  <c r="CP149" i="25"/>
  <c r="CP193" i="25"/>
  <c r="CP126" i="25"/>
  <c r="CP190" i="25"/>
  <c r="CP151" i="25"/>
  <c r="CP209" i="25"/>
  <c r="CP120" i="25"/>
  <c r="CP184" i="25"/>
  <c r="CR112" i="25"/>
  <c r="CS112" i="25" s="1"/>
  <c r="EM112" i="25"/>
  <c r="CP162" i="25"/>
  <c r="CP131" i="25"/>
  <c r="CP195" i="25"/>
  <c r="CP164" i="25"/>
  <c r="CP157" i="25"/>
  <c r="CP134" i="25"/>
  <c r="CP198" i="25"/>
  <c r="CP159" i="25"/>
  <c r="CP128" i="25"/>
  <c r="CP192" i="25"/>
  <c r="CJ112" i="25"/>
  <c r="CR174" i="25"/>
  <c r="CS174" i="25" s="1"/>
  <c r="CO131" i="24"/>
  <c r="CO149" i="24"/>
  <c r="CQ165" i="24"/>
  <c r="CR165" i="24" s="1"/>
  <c r="CT165" i="24" s="1"/>
  <c r="CR161" i="25"/>
  <c r="CS161" i="25" s="1"/>
  <c r="CQ163" i="24"/>
  <c r="CR163" i="24" s="1"/>
  <c r="CT163" i="24" s="1"/>
  <c r="CO122" i="24"/>
  <c r="CO164" i="24"/>
  <c r="CO132" i="24"/>
  <c r="CO129" i="24"/>
  <c r="CQ167" i="24"/>
  <c r="CR167" i="24" s="1"/>
  <c r="CT167" i="24" s="1"/>
  <c r="CQ164" i="24"/>
  <c r="CR164" i="24" s="1"/>
  <c r="CT164" i="24" s="1"/>
  <c r="CQ192" i="24"/>
  <c r="CR192" i="24" s="1"/>
  <c r="CT192" i="24" s="1"/>
  <c r="CO112" i="24"/>
  <c r="CO124" i="24"/>
  <c r="CR169" i="25"/>
  <c r="CS169" i="25" s="1"/>
  <c r="CR138" i="25"/>
  <c r="CS138" i="25" s="1"/>
  <c r="CR189" i="25"/>
  <c r="CS189" i="25" s="1"/>
  <c r="CR207" i="25"/>
  <c r="CS207" i="25" s="1"/>
  <c r="CO117" i="24"/>
  <c r="CQ142" i="24"/>
  <c r="CR142" i="24" s="1"/>
  <c r="CT142" i="24" s="1"/>
  <c r="CO142" i="24"/>
  <c r="CQ120" i="24"/>
  <c r="CR120" i="24" s="1"/>
  <c r="CT120" i="24" s="1"/>
  <c r="CO138" i="24"/>
  <c r="CO192" i="24"/>
  <c r="CQ129" i="24"/>
  <c r="CR129" i="24" s="1"/>
  <c r="CT129" i="24" s="1"/>
  <c r="CQ132" i="24"/>
  <c r="CR132" i="24" s="1"/>
  <c r="CT132" i="24" s="1"/>
  <c r="CO166" i="24"/>
  <c r="CR164" i="25"/>
  <c r="CS164" i="25" s="1"/>
  <c r="CQ173" i="24"/>
  <c r="CR173" i="24" s="1"/>
  <c r="CT173" i="24" s="1"/>
  <c r="CQ112" i="24"/>
  <c r="CR112" i="24" s="1"/>
  <c r="CT112" i="24" s="1"/>
  <c r="CQ116" i="24"/>
  <c r="CR116" i="24" s="1"/>
  <c r="CT116" i="24" s="1"/>
  <c r="CQ124" i="24"/>
  <c r="CR124" i="24" s="1"/>
  <c r="CT124" i="24" s="1"/>
  <c r="CQ117" i="24"/>
  <c r="CR117" i="24" s="1"/>
  <c r="CT117" i="24" s="1"/>
  <c r="CR132" i="25"/>
  <c r="CS132" i="25" s="1"/>
  <c r="CR192" i="25"/>
  <c r="CS192" i="25" s="1"/>
  <c r="CO167" i="24"/>
  <c r="CR128" i="25"/>
  <c r="CS128" i="25" s="1"/>
  <c r="CQ166" i="24"/>
  <c r="CR166" i="24" s="1"/>
  <c r="CT166" i="24" s="1"/>
  <c r="CR114" i="25"/>
  <c r="CS114" i="25" s="1"/>
  <c r="CO171" i="24"/>
  <c r="CO173" i="24"/>
  <c r="CR172" i="25"/>
  <c r="CS172" i="25" s="1"/>
  <c r="CR159" i="25"/>
  <c r="CS159" i="25" s="1"/>
  <c r="CR201" i="25"/>
  <c r="CS201" i="25" s="1"/>
  <c r="CR115" i="25"/>
  <c r="CS115" i="25" s="1"/>
  <c r="CQ138" i="24"/>
  <c r="CR138" i="24" s="1"/>
  <c r="CT138" i="24" s="1"/>
  <c r="CO116" i="24"/>
  <c r="CQ115" i="24"/>
  <c r="CR115" i="24" s="1"/>
  <c r="CT115" i="24" s="1"/>
  <c r="CO176" i="24"/>
  <c r="CR141" i="25"/>
  <c r="CS141" i="25" s="1"/>
  <c r="CR131" i="25"/>
  <c r="CS131" i="25" s="1"/>
  <c r="CO125" i="24"/>
  <c r="CQ155" i="24"/>
  <c r="CR155" i="24" s="1"/>
  <c r="CT155" i="24" s="1"/>
  <c r="CR183" i="25"/>
  <c r="CS183" i="25" s="1"/>
  <c r="CQ118" i="24"/>
  <c r="CR118" i="24" s="1"/>
  <c r="CT118" i="24" s="1"/>
  <c r="CO118" i="24"/>
  <c r="CO111" i="24"/>
  <c r="CQ113" i="24"/>
  <c r="CR113" i="24" s="1"/>
  <c r="CT113" i="24" s="1"/>
  <c r="CQ119" i="24"/>
  <c r="CR119" i="24" s="1"/>
  <c r="CT119" i="24" s="1"/>
  <c r="CQ156" i="24"/>
  <c r="CR156" i="24" s="1"/>
  <c r="CT156" i="24" s="1"/>
  <c r="CO199" i="24"/>
  <c r="CR147" i="25"/>
  <c r="CS147" i="25" s="1"/>
  <c r="CR199" i="25"/>
  <c r="CS199" i="25" s="1"/>
  <c r="CQ176" i="24"/>
  <c r="CR176" i="24" s="1"/>
  <c r="CT176" i="24" s="1"/>
  <c r="CQ196" i="24"/>
  <c r="CR196" i="24" s="1"/>
  <c r="CT196" i="24" s="1"/>
  <c r="CQ153" i="24"/>
  <c r="CR153" i="24" s="1"/>
  <c r="CT153" i="24" s="1"/>
  <c r="CQ206" i="24"/>
  <c r="CR206" i="24" s="1"/>
  <c r="CT206" i="24" s="1"/>
  <c r="CR110" i="25"/>
  <c r="CX110" i="25" s="1"/>
  <c r="CY110" i="25" s="1"/>
  <c r="CO113" i="24"/>
  <c r="CO150" i="24"/>
  <c r="CQ111" i="24"/>
  <c r="CR111" i="24" s="1"/>
  <c r="CT111" i="24" s="1"/>
  <c r="CO119" i="24"/>
  <c r="CO196" i="24"/>
  <c r="CO198" i="24"/>
  <c r="CQ199" i="24"/>
  <c r="CR199" i="24" s="1"/>
  <c r="CT199" i="24" s="1"/>
  <c r="CR181" i="25"/>
  <c r="CS181" i="25" s="1"/>
  <c r="CO115" i="24"/>
  <c r="CR133" i="25"/>
  <c r="CS133" i="25" s="1"/>
  <c r="CR127" i="25"/>
  <c r="CS127" i="25" s="1"/>
  <c r="CO156" i="24"/>
  <c r="CO157" i="24"/>
  <c r="CQ198" i="24"/>
  <c r="CR198" i="24" s="1"/>
  <c r="CT198" i="24" s="1"/>
  <c r="CR155" i="25"/>
  <c r="CS155" i="25" s="1"/>
  <c r="CR120" i="25"/>
  <c r="CS120" i="25" s="1"/>
  <c r="CQ157" i="24"/>
  <c r="CR157" i="24" s="1"/>
  <c r="CT157" i="24" s="1"/>
  <c r="CR178" i="25"/>
  <c r="CS178" i="25" s="1"/>
  <c r="CR144" i="25"/>
  <c r="CS144" i="25" s="1"/>
  <c r="CQ158" i="24"/>
  <c r="CR158" i="24" s="1"/>
  <c r="CT158" i="24" s="1"/>
  <c r="CO168" i="24"/>
  <c r="CR153" i="25"/>
  <c r="CS153" i="25" s="1"/>
  <c r="CQ181" i="24"/>
  <c r="CR181" i="24" s="1"/>
  <c r="CT181" i="24" s="1"/>
  <c r="CQ110" i="24"/>
  <c r="CR110" i="24" s="1"/>
  <c r="DT110" i="24" s="1"/>
  <c r="CQ127" i="24"/>
  <c r="CR127" i="24" s="1"/>
  <c r="CT127" i="24" s="1"/>
  <c r="CQ205" i="24"/>
  <c r="CR205" i="24" s="1"/>
  <c r="CT205" i="24" s="1"/>
  <c r="CR124" i="25"/>
  <c r="CS124" i="25" s="1"/>
  <c r="CR156" i="25"/>
  <c r="CS156" i="25" s="1"/>
  <c r="CR162" i="25"/>
  <c r="CS162" i="25" s="1"/>
  <c r="CQ125" i="24"/>
  <c r="CR125" i="24" s="1"/>
  <c r="CT125" i="24" s="1"/>
  <c r="CO161" i="24"/>
  <c r="CO210" i="24"/>
  <c r="CR186" i="25"/>
  <c r="CS186" i="25" s="1"/>
  <c r="CR206" i="25"/>
  <c r="CS206" i="25" s="1"/>
  <c r="CO121" i="24"/>
  <c r="CO158" i="24"/>
  <c r="CR113" i="25"/>
  <c r="CS113" i="25" s="1"/>
  <c r="CQ161" i="24"/>
  <c r="CR161" i="24" s="1"/>
  <c r="CT161" i="24" s="1"/>
  <c r="CQ121" i="24"/>
  <c r="CR121" i="24" s="1"/>
  <c r="CT121" i="24" s="1"/>
  <c r="CR157" i="25"/>
  <c r="CS157" i="25" s="1"/>
  <c r="CO154" i="24"/>
  <c r="CQ210" i="24"/>
  <c r="CR210" i="24" s="1"/>
  <c r="CT210" i="24" s="1"/>
  <c r="CO127" i="24"/>
  <c r="CQ195" i="24"/>
  <c r="CR195" i="24" s="1"/>
  <c r="CT195" i="24" s="1"/>
  <c r="CO152" i="24"/>
  <c r="CQ170" i="24"/>
  <c r="CR170" i="24" s="1"/>
  <c r="CT170" i="24" s="1"/>
  <c r="CQ194" i="24"/>
  <c r="CR194" i="24" s="1"/>
  <c r="CT194" i="24" s="1"/>
  <c r="CR145" i="25"/>
  <c r="CS145" i="25" s="1"/>
  <c r="CR170" i="25"/>
  <c r="CS170" i="25" s="1"/>
  <c r="CO194" i="24"/>
  <c r="CR167" i="25"/>
  <c r="CS167" i="25" s="1"/>
  <c r="CR210" i="25"/>
  <c r="CS210" i="25" s="1"/>
  <c r="CR139" i="25"/>
  <c r="CS139" i="25" s="1"/>
  <c r="CQ151" i="24"/>
  <c r="CR151" i="24" s="1"/>
  <c r="CT151" i="24" s="1"/>
  <c r="CO191" i="24"/>
  <c r="CO170" i="24"/>
  <c r="CO151" i="24"/>
  <c r="CO195" i="24"/>
  <c r="CR142" i="25"/>
  <c r="CS142" i="25" s="1"/>
  <c r="CO208" i="24"/>
  <c r="CR173" i="25"/>
  <c r="CS173" i="25" s="1"/>
  <c r="CQ193" i="24"/>
  <c r="CR193" i="24" s="1"/>
  <c r="CT193" i="24" s="1"/>
  <c r="CR184" i="25"/>
  <c r="CS184" i="25" s="1"/>
  <c r="CO145" i="24"/>
  <c r="CQ208" i="24"/>
  <c r="CR208" i="24" s="1"/>
  <c r="CT208" i="24" s="1"/>
  <c r="CQ145" i="24"/>
  <c r="CR145" i="24" s="1"/>
  <c r="CT145" i="24" s="1"/>
  <c r="CR209" i="25"/>
  <c r="CS209" i="25" s="1"/>
  <c r="CO114" i="24"/>
  <c r="CO193" i="24"/>
  <c r="CQ191" i="24"/>
  <c r="CR191" i="24" s="1"/>
  <c r="CT191" i="24" s="1"/>
  <c r="CR136" i="25"/>
  <c r="CS136" i="25" s="1"/>
  <c r="CR117" i="25"/>
  <c r="CS117" i="25" s="1"/>
  <c r="CO148" i="24"/>
  <c r="CO120" i="24"/>
  <c r="CQ148" i="24"/>
  <c r="CR148" i="24" s="1"/>
  <c r="CT148" i="24" s="1"/>
  <c r="CQ152" i="24"/>
  <c r="CR152" i="24" s="1"/>
  <c r="CT152" i="24" s="1"/>
  <c r="CR198" i="25"/>
  <c r="CS198" i="25" s="1"/>
  <c r="CO155" i="24"/>
  <c r="CR188" i="25"/>
  <c r="CS188" i="25" s="1"/>
  <c r="CO205" i="24"/>
  <c r="CO202" i="24"/>
  <c r="CR203" i="25"/>
  <c r="CS203" i="25" s="1"/>
  <c r="CQ202" i="24"/>
  <c r="CR202" i="24" s="1"/>
  <c r="CT202" i="24" s="1"/>
  <c r="CO181" i="24"/>
  <c r="CQ168" i="24"/>
  <c r="CR168" i="24" s="1"/>
  <c r="CT168" i="24" s="1"/>
  <c r="CQ143" i="24"/>
  <c r="CR143" i="24" s="1"/>
  <c r="CT143" i="24" s="1"/>
  <c r="CQ146" i="24"/>
  <c r="CR146" i="24" s="1"/>
  <c r="CT146" i="24" s="1"/>
  <c r="CR191" i="25"/>
  <c r="CS191" i="25" s="1"/>
  <c r="CQ189" i="24"/>
  <c r="CR189" i="24" s="1"/>
  <c r="CT189" i="24" s="1"/>
  <c r="CR151" i="25"/>
  <c r="CS151" i="25" s="1"/>
  <c r="CR175" i="25"/>
  <c r="CS175" i="25" s="1"/>
  <c r="CO206" i="24"/>
  <c r="CQ150" i="24"/>
  <c r="CR150" i="24" s="1"/>
  <c r="CT150" i="24" s="1"/>
  <c r="CR202" i="25"/>
  <c r="CS202" i="25" s="1"/>
  <c r="CO153" i="24"/>
  <c r="CO209" i="24"/>
  <c r="CR204" i="25"/>
  <c r="CS204" i="25" s="1"/>
  <c r="CQ201" i="24"/>
  <c r="CR201" i="24" s="1"/>
  <c r="CT201" i="24" s="1"/>
  <c r="CO133" i="24"/>
  <c r="CR150" i="25"/>
  <c r="CS150" i="25" s="1"/>
  <c r="CO137" i="24"/>
  <c r="CQ137" i="24"/>
  <c r="CR137" i="24" s="1"/>
  <c r="CT137" i="24" s="1"/>
  <c r="CQ180" i="24"/>
  <c r="CR180" i="24" s="1"/>
  <c r="CT180" i="24" s="1"/>
  <c r="CQ141" i="24"/>
  <c r="CR141" i="24" s="1"/>
  <c r="CT141" i="24" s="1"/>
  <c r="CR148" i="25"/>
  <c r="CS148" i="25" s="1"/>
  <c r="CO201" i="24"/>
  <c r="CO182" i="24"/>
  <c r="CR187" i="25"/>
  <c r="CS187" i="25" s="1"/>
  <c r="CR190" i="25"/>
  <c r="CS190" i="25" s="1"/>
  <c r="CO183" i="24"/>
  <c r="CQ154" i="24"/>
  <c r="CR154" i="24" s="1"/>
  <c r="CT154" i="24" s="1"/>
  <c r="CQ182" i="24"/>
  <c r="CR182" i="24" s="1"/>
  <c r="CT182" i="24" s="1"/>
  <c r="CR129" i="25"/>
  <c r="CS129" i="25" s="1"/>
  <c r="CR182" i="25"/>
  <c r="CS182" i="25" s="1"/>
  <c r="CO187" i="24"/>
  <c r="CO141" i="24"/>
  <c r="CO180" i="24"/>
  <c r="CQ133" i="24"/>
  <c r="CR133" i="24" s="1"/>
  <c r="CT133" i="24" s="1"/>
  <c r="CQ187" i="24"/>
  <c r="CR187" i="24" s="1"/>
  <c r="CT187" i="24" s="1"/>
  <c r="CR158" i="25"/>
  <c r="CS158" i="25" s="1"/>
  <c r="CO184" i="24"/>
  <c r="CO162" i="24"/>
  <c r="CQ209" i="24"/>
  <c r="CR209" i="24" s="1"/>
  <c r="CT209" i="24" s="1"/>
  <c r="CQ162" i="24"/>
  <c r="CR162" i="24" s="1"/>
  <c r="CT162" i="24" s="1"/>
  <c r="CR168" i="25"/>
  <c r="CS168" i="25" s="1"/>
  <c r="CO134" i="24"/>
  <c r="CQ183" i="24"/>
  <c r="CR183" i="24" s="1"/>
  <c r="CT183" i="24" s="1"/>
  <c r="CQ134" i="24"/>
  <c r="CR134" i="24" s="1"/>
  <c r="CT134" i="24" s="1"/>
  <c r="CQ184" i="24"/>
  <c r="CR184" i="24" s="1"/>
  <c r="CT184" i="24" s="1"/>
  <c r="CO163" i="24"/>
  <c r="CQ197" i="24"/>
  <c r="CR197" i="24" s="1"/>
  <c r="CT197" i="24" s="1"/>
  <c r="CR146" i="25"/>
  <c r="CS146" i="25" s="1"/>
  <c r="CO130" i="24"/>
  <c r="CR5" i="24"/>
  <c r="DT5" i="24" s="1"/>
  <c r="CO179" i="24"/>
  <c r="CR171" i="25"/>
  <c r="CS171" i="25" s="1"/>
  <c r="CQ172" i="24"/>
  <c r="CR172" i="24" s="1"/>
  <c r="CT172" i="24" s="1"/>
  <c r="CR193" i="25"/>
  <c r="CS193" i="25" s="1"/>
  <c r="CR118" i="25"/>
  <c r="CS118" i="25" s="1"/>
  <c r="CR177" i="25"/>
  <c r="CS177" i="25" s="1"/>
  <c r="CQ171" i="24"/>
  <c r="CR171" i="24" s="1"/>
  <c r="CT171" i="24" s="1"/>
  <c r="CQ126" i="24"/>
  <c r="CR126" i="24" s="1"/>
  <c r="CT126" i="24" s="1"/>
  <c r="CO126" i="24"/>
  <c r="CO160" i="24"/>
  <c r="CO169" i="24"/>
  <c r="CQ160" i="24"/>
  <c r="CR160" i="24" s="1"/>
  <c r="CT160" i="24" s="1"/>
  <c r="CR196" i="25"/>
  <c r="CS196" i="25" s="1"/>
  <c r="CR121" i="25"/>
  <c r="CS121" i="25" s="1"/>
  <c r="CO123" i="24"/>
  <c r="CO197" i="24"/>
  <c r="CR135" i="25"/>
  <c r="CS135" i="25" s="1"/>
  <c r="CQ130" i="24"/>
  <c r="CR130" i="24" s="1"/>
  <c r="CT130" i="24" s="1"/>
  <c r="CR149" i="25"/>
  <c r="CS149" i="25" s="1"/>
  <c r="CO135" i="24"/>
  <c r="CO172" i="24"/>
  <c r="CQ169" i="24"/>
  <c r="CR169" i="24" s="1"/>
  <c r="CT169" i="24" s="1"/>
  <c r="CR166" i="25"/>
  <c r="CS166" i="25" s="1"/>
  <c r="CQ179" i="24"/>
  <c r="CR179" i="24" s="1"/>
  <c r="CT179" i="24" s="1"/>
  <c r="CQ144" i="24"/>
  <c r="CR144" i="24" s="1"/>
  <c r="CT144" i="24" s="1"/>
  <c r="CQ135" i="24"/>
  <c r="CR135" i="24" s="1"/>
  <c r="CT135" i="24" s="1"/>
  <c r="CR180" i="25"/>
  <c r="CS180" i="25" s="1"/>
  <c r="CO144" i="24"/>
  <c r="CQ123" i="24"/>
  <c r="CR123" i="24" s="1"/>
  <c r="CT123" i="24" s="1"/>
  <c r="CR154" i="25"/>
  <c r="CS154" i="25" s="1"/>
  <c r="L14" i="1"/>
  <c r="B99" i="2"/>
  <c r="CO139" i="24"/>
  <c r="CO203" i="24"/>
  <c r="CO190" i="24"/>
  <c r="CO159" i="24"/>
  <c r="CR208" i="25"/>
  <c r="CS208" i="25" s="1"/>
  <c r="CR119" i="25"/>
  <c r="CS119" i="25" s="1"/>
  <c r="CQ188" i="24"/>
  <c r="CR188" i="24" s="1"/>
  <c r="CT188" i="24" s="1"/>
  <c r="CR134" i="25"/>
  <c r="CS134" i="25" s="1"/>
  <c r="CR194" i="25"/>
  <c r="CS194" i="25" s="1"/>
  <c r="CO143" i="24"/>
  <c r="CR160" i="25"/>
  <c r="CS160" i="25" s="1"/>
  <c r="CO189" i="24"/>
  <c r="CQ207" i="24"/>
  <c r="CR207" i="24" s="1"/>
  <c r="CT207" i="24" s="1"/>
  <c r="CR130" i="25"/>
  <c r="CS130" i="25" s="1"/>
  <c r="CO200" i="24"/>
  <c r="CQ203" i="24"/>
  <c r="CR203" i="24" s="1"/>
  <c r="CT203" i="24" s="1"/>
  <c r="CO188" i="24"/>
  <c r="CR176" i="25"/>
  <c r="CS176" i="25" s="1"/>
  <c r="CQ147" i="24"/>
  <c r="CR147" i="24" s="1"/>
  <c r="CT147" i="24" s="1"/>
  <c r="CR165" i="25"/>
  <c r="CS165" i="25" s="1"/>
  <c r="CO146" i="24"/>
  <c r="CO186" i="24"/>
  <c r="CQ190" i="24"/>
  <c r="CR190" i="24" s="1"/>
  <c r="CT190" i="24" s="1"/>
  <c r="CO207" i="24"/>
  <c r="CQ139" i="24"/>
  <c r="CR139" i="24" s="1"/>
  <c r="CT139" i="24" s="1"/>
  <c r="CR163" i="25"/>
  <c r="CS163" i="25" s="1"/>
  <c r="CO147" i="24"/>
  <c r="CQ159" i="24"/>
  <c r="CR159" i="24" s="1"/>
  <c r="CT159" i="24" s="1"/>
  <c r="CR137" i="25"/>
  <c r="CS137" i="25" s="1"/>
  <c r="CQ186" i="24"/>
  <c r="CR186" i="24" s="1"/>
  <c r="CT186" i="24" s="1"/>
  <c r="CQ200" i="24"/>
  <c r="CR200" i="24" s="1"/>
  <c r="CT200" i="24" s="1"/>
  <c r="EO110" i="24"/>
  <c r="CW110" i="24"/>
  <c r="CX110" i="24" s="1"/>
  <c r="CN110" i="24" s="1"/>
  <c r="CN5" i="24"/>
  <c r="DA5" i="24" s="1"/>
  <c r="CS5" i="24"/>
  <c r="FD5" i="24" s="1"/>
  <c r="AW2" i="25"/>
  <c r="EA2" i="25"/>
  <c r="CZ5" i="24"/>
  <c r="CQ298" i="24"/>
  <c r="CR298" i="24" s="1"/>
  <c r="CT298" i="24" s="1"/>
  <c r="CO298" i="24"/>
  <c r="CO307" i="24"/>
  <c r="CQ307" i="24"/>
  <c r="CR307" i="24" s="1"/>
  <c r="CT307" i="24" s="1"/>
  <c r="CO236" i="24"/>
  <c r="CQ236" i="24"/>
  <c r="CR236" i="24" s="1"/>
  <c r="CT236" i="24" s="1"/>
  <c r="CO300" i="24"/>
  <c r="CQ300" i="24"/>
  <c r="CR300" i="24" s="1"/>
  <c r="CT300" i="24" s="1"/>
  <c r="CO309" i="24"/>
  <c r="CQ309" i="24"/>
  <c r="CR309" i="24" s="1"/>
  <c r="CT309" i="24" s="1"/>
  <c r="CQ262" i="24"/>
  <c r="CR262" i="24" s="1"/>
  <c r="CT262" i="24" s="1"/>
  <c r="CO262" i="24"/>
  <c r="CQ232" i="24"/>
  <c r="CR232" i="24" s="1"/>
  <c r="CT232" i="24" s="1"/>
  <c r="CO232" i="24"/>
  <c r="CO296" i="24"/>
  <c r="CQ296" i="24"/>
  <c r="CR296" i="24" s="1"/>
  <c r="CT296" i="24" s="1"/>
  <c r="CR247" i="25"/>
  <c r="CS247" i="25" s="1"/>
  <c r="CR311" i="25"/>
  <c r="CS311" i="25" s="1"/>
  <c r="CR264" i="25"/>
  <c r="CS264" i="25" s="1"/>
  <c r="CR217" i="25"/>
  <c r="CS217" i="25" s="1"/>
  <c r="CR281" i="25"/>
  <c r="CS281" i="25" s="1"/>
  <c r="CR234" i="25"/>
  <c r="CS234" i="25" s="1"/>
  <c r="CR298" i="25"/>
  <c r="CS298" i="25" s="1"/>
  <c r="CR243" i="25"/>
  <c r="CS243" i="25" s="1"/>
  <c r="CR307" i="25"/>
  <c r="CS307" i="25" s="1"/>
  <c r="CR252" i="25"/>
  <c r="CS252" i="25" s="1"/>
  <c r="CR316" i="25"/>
  <c r="CS316" i="25" s="1"/>
  <c r="CR253" i="25"/>
  <c r="CS253" i="25" s="1"/>
  <c r="CQ242" i="24"/>
  <c r="CR242" i="24" s="1"/>
  <c r="CT242" i="24" s="1"/>
  <c r="CO242" i="24"/>
  <c r="CO306" i="24"/>
  <c r="CQ306" i="24"/>
  <c r="CR306" i="24" s="1"/>
  <c r="CT306" i="24" s="1"/>
  <c r="CO251" i="24"/>
  <c r="CQ251" i="24"/>
  <c r="CR251" i="24" s="1"/>
  <c r="CT251" i="24" s="1"/>
  <c r="CO315" i="24"/>
  <c r="CQ315" i="24"/>
  <c r="CR315" i="24" s="1"/>
  <c r="CT315" i="24" s="1"/>
  <c r="CO244" i="24"/>
  <c r="CQ244" i="24"/>
  <c r="CR244" i="24" s="1"/>
  <c r="CT244" i="24" s="1"/>
  <c r="CQ308" i="24"/>
  <c r="CR308" i="24" s="1"/>
  <c r="CT308" i="24" s="1"/>
  <c r="CO308" i="24"/>
  <c r="CQ253" i="24"/>
  <c r="CR253" i="24" s="1"/>
  <c r="CT253" i="24" s="1"/>
  <c r="CO253" i="24"/>
  <c r="CO233" i="24"/>
  <c r="CQ233" i="24"/>
  <c r="CR233" i="24" s="1"/>
  <c r="CT233" i="24" s="1"/>
  <c r="CQ270" i="24"/>
  <c r="CR270" i="24" s="1"/>
  <c r="CT270" i="24" s="1"/>
  <c r="CO270" i="24"/>
  <c r="CW216" i="24"/>
  <c r="CX216" i="24" s="1"/>
  <c r="CO216" i="24"/>
  <c r="CQ216" i="24"/>
  <c r="CR216" i="24" s="1"/>
  <c r="CO279" i="24"/>
  <c r="CQ279" i="24"/>
  <c r="CR279" i="24" s="1"/>
  <c r="CT279" i="24" s="1"/>
  <c r="CQ240" i="24"/>
  <c r="CR240" i="24" s="1"/>
  <c r="CT240" i="24" s="1"/>
  <c r="CO240" i="24"/>
  <c r="CO304" i="24"/>
  <c r="CQ304" i="24"/>
  <c r="CR304" i="24" s="1"/>
  <c r="CT304" i="24" s="1"/>
  <c r="CR255" i="25"/>
  <c r="CS255" i="25" s="1"/>
  <c r="CR230" i="25"/>
  <c r="CS230" i="25" s="1"/>
  <c r="CR272" i="25"/>
  <c r="CS272" i="25" s="1"/>
  <c r="CR225" i="25"/>
  <c r="CS225" i="25" s="1"/>
  <c r="CR289" i="25"/>
  <c r="CS289" i="25" s="1"/>
  <c r="CR242" i="25"/>
  <c r="CS242" i="25" s="1"/>
  <c r="CR306" i="25"/>
  <c r="CS306" i="25" s="1"/>
  <c r="CR251" i="25"/>
  <c r="CS251" i="25" s="1"/>
  <c r="CR315" i="25"/>
  <c r="CS315" i="25" s="1"/>
  <c r="CR260" i="25"/>
  <c r="CS260" i="25" s="1"/>
  <c r="CR222" i="25"/>
  <c r="CS222" i="25" s="1"/>
  <c r="CR261" i="25"/>
  <c r="CS261" i="25" s="1"/>
  <c r="CQ218" i="24"/>
  <c r="CR218" i="24" s="1"/>
  <c r="CT218" i="24" s="1"/>
  <c r="CO218" i="24"/>
  <c r="CQ250" i="24"/>
  <c r="CR250" i="24" s="1"/>
  <c r="CT250" i="24" s="1"/>
  <c r="CO250" i="24"/>
  <c r="CO314" i="24"/>
  <c r="CQ314" i="24"/>
  <c r="CR314" i="24" s="1"/>
  <c r="CT314" i="24" s="1"/>
  <c r="CQ259" i="24"/>
  <c r="CR259" i="24" s="1"/>
  <c r="CT259" i="24" s="1"/>
  <c r="CO259" i="24"/>
  <c r="CO225" i="24"/>
  <c r="CQ225" i="24"/>
  <c r="CR225" i="24" s="1"/>
  <c r="CT225" i="24" s="1"/>
  <c r="CQ252" i="24"/>
  <c r="CR252" i="24" s="1"/>
  <c r="CT252" i="24" s="1"/>
  <c r="CO252" i="24"/>
  <c r="CO316" i="24"/>
  <c r="CQ316" i="24"/>
  <c r="CR316" i="24" s="1"/>
  <c r="CT316" i="24" s="1"/>
  <c r="CQ261" i="24"/>
  <c r="CR261" i="24" s="1"/>
  <c r="CT261" i="24" s="1"/>
  <c r="CO261" i="24"/>
  <c r="CO313" i="24"/>
  <c r="CQ313" i="24"/>
  <c r="CR313" i="24" s="1"/>
  <c r="CT313" i="24" s="1"/>
  <c r="CQ278" i="24"/>
  <c r="CR278" i="24" s="1"/>
  <c r="CT278" i="24" s="1"/>
  <c r="CO278" i="24"/>
  <c r="CQ223" i="24"/>
  <c r="CR223" i="24" s="1"/>
  <c r="CT223" i="24" s="1"/>
  <c r="CO223" i="24"/>
  <c r="CQ287" i="24"/>
  <c r="CR287" i="24" s="1"/>
  <c r="CT287" i="24" s="1"/>
  <c r="CO287" i="24"/>
  <c r="CQ248" i="24"/>
  <c r="CR248" i="24" s="1"/>
  <c r="CT248" i="24" s="1"/>
  <c r="CO248" i="24"/>
  <c r="CO312" i="24"/>
  <c r="CQ312" i="24"/>
  <c r="CR312" i="24" s="1"/>
  <c r="CT312" i="24" s="1"/>
  <c r="CR263" i="25"/>
  <c r="CS263" i="25" s="1"/>
  <c r="CR302" i="25"/>
  <c r="CS302" i="25" s="1"/>
  <c r="CR280" i="25"/>
  <c r="CS280" i="25" s="1"/>
  <c r="CR233" i="25"/>
  <c r="CS233" i="25" s="1"/>
  <c r="CR297" i="25"/>
  <c r="CS297" i="25" s="1"/>
  <c r="CR250" i="25"/>
  <c r="CS250" i="25" s="1"/>
  <c r="CR314" i="25"/>
  <c r="CS314" i="25" s="1"/>
  <c r="CR259" i="25"/>
  <c r="CS259" i="25" s="1"/>
  <c r="CR254" i="25"/>
  <c r="CS254" i="25" s="1"/>
  <c r="CR268" i="25"/>
  <c r="CS268" i="25" s="1"/>
  <c r="CR246" i="25"/>
  <c r="CS246" i="25" s="1"/>
  <c r="CR269" i="25"/>
  <c r="CS269" i="25" s="1"/>
  <c r="CO243" i="24"/>
  <c r="CQ243" i="24"/>
  <c r="CR243" i="24" s="1"/>
  <c r="CT243" i="24" s="1"/>
  <c r="CQ258" i="24"/>
  <c r="CR258" i="24" s="1"/>
  <c r="CT258" i="24" s="1"/>
  <c r="CO258" i="24"/>
  <c r="CO257" i="24"/>
  <c r="CQ257" i="24"/>
  <c r="CR257" i="24" s="1"/>
  <c r="CT257" i="24" s="1"/>
  <c r="CO267" i="24"/>
  <c r="CQ267" i="24"/>
  <c r="CR267" i="24" s="1"/>
  <c r="CT267" i="24" s="1"/>
  <c r="CO265" i="24"/>
  <c r="CQ265" i="24"/>
  <c r="CR265" i="24" s="1"/>
  <c r="CT265" i="24" s="1"/>
  <c r="CO260" i="24"/>
  <c r="CQ260" i="24"/>
  <c r="CR260" i="24" s="1"/>
  <c r="CT260" i="24" s="1"/>
  <c r="CQ249" i="24"/>
  <c r="CR249" i="24" s="1"/>
  <c r="CT249" i="24" s="1"/>
  <c r="CO249" i="24"/>
  <c r="CO269" i="24"/>
  <c r="CQ269" i="24"/>
  <c r="CR269" i="24" s="1"/>
  <c r="CT269" i="24" s="1"/>
  <c r="CO222" i="24"/>
  <c r="CQ222" i="24"/>
  <c r="CR222" i="24" s="1"/>
  <c r="CT222" i="24" s="1"/>
  <c r="CO286" i="24"/>
  <c r="CQ286" i="24"/>
  <c r="CR286" i="24" s="1"/>
  <c r="CT286" i="24" s="1"/>
  <c r="CQ231" i="24"/>
  <c r="CR231" i="24" s="1"/>
  <c r="CT231" i="24" s="1"/>
  <c r="CO231" i="24"/>
  <c r="CQ295" i="24"/>
  <c r="CR295" i="24" s="1"/>
  <c r="CT295" i="24" s="1"/>
  <c r="CO295" i="24"/>
  <c r="CO256" i="24"/>
  <c r="CQ256" i="24"/>
  <c r="CR256" i="24" s="1"/>
  <c r="CT256" i="24" s="1"/>
  <c r="CR310" i="25"/>
  <c r="CS310" i="25" s="1"/>
  <c r="CR271" i="25"/>
  <c r="CS271" i="25" s="1"/>
  <c r="CR224" i="25"/>
  <c r="CS224" i="25" s="1"/>
  <c r="CR288" i="25"/>
  <c r="CS288" i="25" s="1"/>
  <c r="CR241" i="25"/>
  <c r="CS241" i="25" s="1"/>
  <c r="CR305" i="25"/>
  <c r="CS305" i="25" s="1"/>
  <c r="CR258" i="25"/>
  <c r="CS258" i="25" s="1"/>
  <c r="CR238" i="25"/>
  <c r="CS238" i="25" s="1"/>
  <c r="CR267" i="25"/>
  <c r="CS267" i="25" s="1"/>
  <c r="CR278" i="25"/>
  <c r="CS278" i="25" s="1"/>
  <c r="CR276" i="25"/>
  <c r="CS276" i="25" s="1"/>
  <c r="CR262" i="25"/>
  <c r="CS262" i="25" s="1"/>
  <c r="CR277" i="25"/>
  <c r="CS277" i="25" s="1"/>
  <c r="CO245" i="24"/>
  <c r="CQ245" i="24"/>
  <c r="CR245" i="24" s="1"/>
  <c r="CT245" i="24" s="1"/>
  <c r="CO266" i="24"/>
  <c r="CQ266" i="24"/>
  <c r="CR266" i="24" s="1"/>
  <c r="CT266" i="24" s="1"/>
  <c r="CQ234" i="24"/>
  <c r="CR234" i="24" s="1"/>
  <c r="CT234" i="24" s="1"/>
  <c r="CO234" i="24"/>
  <c r="CQ275" i="24"/>
  <c r="CR275" i="24" s="1"/>
  <c r="CT275" i="24" s="1"/>
  <c r="CO275" i="24"/>
  <c r="CQ297" i="24"/>
  <c r="CR297" i="24" s="1"/>
  <c r="CT297" i="24" s="1"/>
  <c r="CO297" i="24"/>
  <c r="CO268" i="24"/>
  <c r="CQ268" i="24"/>
  <c r="CR268" i="24" s="1"/>
  <c r="CT268" i="24" s="1"/>
  <c r="CQ289" i="24"/>
  <c r="CR289" i="24" s="1"/>
  <c r="CT289" i="24" s="1"/>
  <c r="CO289" i="24"/>
  <c r="CQ277" i="24"/>
  <c r="CR277" i="24" s="1"/>
  <c r="CT277" i="24" s="1"/>
  <c r="CO277" i="24"/>
  <c r="CQ230" i="24"/>
  <c r="CR230" i="24" s="1"/>
  <c r="CT230" i="24" s="1"/>
  <c r="CO230" i="24"/>
  <c r="CQ294" i="24"/>
  <c r="CR294" i="24" s="1"/>
  <c r="CT294" i="24" s="1"/>
  <c r="CO294" i="24"/>
  <c r="CO239" i="24"/>
  <c r="CQ239" i="24"/>
  <c r="CR239" i="24" s="1"/>
  <c r="CT239" i="24" s="1"/>
  <c r="CQ303" i="24"/>
  <c r="CR303" i="24" s="1"/>
  <c r="CT303" i="24" s="1"/>
  <c r="CO303" i="24"/>
  <c r="CQ264" i="24"/>
  <c r="CR264" i="24" s="1"/>
  <c r="CT264" i="24" s="1"/>
  <c r="CO264" i="24"/>
  <c r="CR216" i="25"/>
  <c r="CX216" i="25" s="1"/>
  <c r="CY216" i="25" s="1"/>
  <c r="CR279" i="25"/>
  <c r="CS279" i="25" s="1"/>
  <c r="CR232" i="25"/>
  <c r="CS232" i="25" s="1"/>
  <c r="CR296" i="25"/>
  <c r="CS296" i="25" s="1"/>
  <c r="CR249" i="25"/>
  <c r="CS249" i="25" s="1"/>
  <c r="CR313" i="25"/>
  <c r="CS313" i="25" s="1"/>
  <c r="CR266" i="25"/>
  <c r="CS266" i="25" s="1"/>
  <c r="CR270" i="25"/>
  <c r="CS270" i="25" s="1"/>
  <c r="CR275" i="25"/>
  <c r="CS275" i="25" s="1"/>
  <c r="CR220" i="25"/>
  <c r="CS220" i="25" s="1"/>
  <c r="CR284" i="25"/>
  <c r="CS284" i="25" s="1"/>
  <c r="CR221" i="25"/>
  <c r="CS221" i="25" s="1"/>
  <c r="CR285" i="25"/>
  <c r="CS285" i="25" s="1"/>
  <c r="CQ305" i="24"/>
  <c r="CR305" i="24" s="1"/>
  <c r="CT305" i="24" s="1"/>
  <c r="CO305" i="24"/>
  <c r="CQ274" i="24"/>
  <c r="CR274" i="24" s="1"/>
  <c r="CT274" i="24" s="1"/>
  <c r="CO274" i="24"/>
  <c r="CO219" i="24"/>
  <c r="CQ219" i="24"/>
  <c r="CR219" i="24" s="1"/>
  <c r="CT219" i="24" s="1"/>
  <c r="CO283" i="24"/>
  <c r="CQ283" i="24"/>
  <c r="CR283" i="24" s="1"/>
  <c r="CT283" i="24" s="1"/>
  <c r="CQ226" i="24"/>
  <c r="CR226" i="24" s="1"/>
  <c r="CT226" i="24" s="1"/>
  <c r="CO226" i="24"/>
  <c r="CQ276" i="24"/>
  <c r="CR276" i="24" s="1"/>
  <c r="CT276" i="24" s="1"/>
  <c r="CO276" i="24"/>
  <c r="CQ221" i="24"/>
  <c r="CR221" i="24" s="1"/>
  <c r="CT221" i="24" s="1"/>
  <c r="CO221" i="24"/>
  <c r="CO285" i="24"/>
  <c r="CQ285" i="24"/>
  <c r="CR285" i="24" s="1"/>
  <c r="CT285" i="24" s="1"/>
  <c r="CO238" i="24"/>
  <c r="CQ238" i="24"/>
  <c r="CR238" i="24" s="1"/>
  <c r="CT238" i="24" s="1"/>
  <c r="CQ302" i="24"/>
  <c r="CR302" i="24" s="1"/>
  <c r="CT302" i="24" s="1"/>
  <c r="CO302" i="24"/>
  <c r="CQ247" i="24"/>
  <c r="CR247" i="24" s="1"/>
  <c r="CT247" i="24" s="1"/>
  <c r="CO247" i="24"/>
  <c r="CQ311" i="24"/>
  <c r="CR311" i="24" s="1"/>
  <c r="CT311" i="24" s="1"/>
  <c r="CO311" i="24"/>
  <c r="CQ272" i="24"/>
  <c r="CR272" i="24" s="1"/>
  <c r="CT272" i="24" s="1"/>
  <c r="CO272" i="24"/>
  <c r="CR223" i="25"/>
  <c r="CS223" i="25" s="1"/>
  <c r="CR287" i="25"/>
  <c r="CS287" i="25" s="1"/>
  <c r="CR240" i="25"/>
  <c r="CS240" i="25" s="1"/>
  <c r="CR304" i="25"/>
  <c r="CS304" i="25" s="1"/>
  <c r="CR257" i="25"/>
  <c r="CS257" i="25" s="1"/>
  <c r="CR294" i="25"/>
  <c r="CS294" i="25" s="1"/>
  <c r="CR274" i="25"/>
  <c r="CS274" i="25" s="1"/>
  <c r="CR219" i="25"/>
  <c r="CS219" i="25" s="1"/>
  <c r="CR283" i="25"/>
  <c r="CS283" i="25" s="1"/>
  <c r="CR228" i="25"/>
  <c r="CS228" i="25" s="1"/>
  <c r="CR292" i="25"/>
  <c r="CS292" i="25" s="1"/>
  <c r="CR229" i="25"/>
  <c r="CS229" i="25" s="1"/>
  <c r="CR293" i="25"/>
  <c r="CS293" i="25" s="1"/>
  <c r="CO217" i="24"/>
  <c r="CQ217" i="24"/>
  <c r="CR217" i="24" s="1"/>
  <c r="CT217" i="24" s="1"/>
  <c r="CQ282" i="24"/>
  <c r="CR282" i="24" s="1"/>
  <c r="CT282" i="24" s="1"/>
  <c r="CO282" i="24"/>
  <c r="CO227" i="24"/>
  <c r="CQ227" i="24"/>
  <c r="CR227" i="24" s="1"/>
  <c r="CT227" i="24" s="1"/>
  <c r="CQ291" i="24"/>
  <c r="CR291" i="24" s="1"/>
  <c r="CT291" i="24" s="1"/>
  <c r="CO291" i="24"/>
  <c r="CO220" i="24"/>
  <c r="CQ220" i="24"/>
  <c r="CR220" i="24" s="1"/>
  <c r="CT220" i="24" s="1"/>
  <c r="CQ284" i="24"/>
  <c r="CR284" i="24" s="1"/>
  <c r="CT284" i="24" s="1"/>
  <c r="CO284" i="24"/>
  <c r="CQ229" i="24"/>
  <c r="CR229" i="24" s="1"/>
  <c r="CT229" i="24" s="1"/>
  <c r="CO229" i="24"/>
  <c r="CO293" i="24"/>
  <c r="CQ293" i="24"/>
  <c r="CR293" i="24" s="1"/>
  <c r="CT293" i="24" s="1"/>
  <c r="CQ246" i="24"/>
  <c r="CR246" i="24" s="1"/>
  <c r="CT246" i="24" s="1"/>
  <c r="CO246" i="24"/>
  <c r="CO310" i="24"/>
  <c r="CQ310" i="24"/>
  <c r="CR310" i="24" s="1"/>
  <c r="CT310" i="24" s="1"/>
  <c r="CQ255" i="24"/>
  <c r="CR255" i="24" s="1"/>
  <c r="CT255" i="24" s="1"/>
  <c r="CO255" i="24"/>
  <c r="CO281" i="24"/>
  <c r="CQ281" i="24"/>
  <c r="CR281" i="24" s="1"/>
  <c r="CT281" i="24" s="1"/>
  <c r="CO280" i="24"/>
  <c r="CQ280" i="24"/>
  <c r="CR280" i="24" s="1"/>
  <c r="CT280" i="24" s="1"/>
  <c r="CR231" i="25"/>
  <c r="CS231" i="25" s="1"/>
  <c r="CR295" i="25"/>
  <c r="CS295" i="25" s="1"/>
  <c r="CR248" i="25"/>
  <c r="CS248" i="25" s="1"/>
  <c r="CR312" i="25"/>
  <c r="CS312" i="25" s="1"/>
  <c r="CR265" i="25"/>
  <c r="CS265" i="25" s="1"/>
  <c r="CR218" i="25"/>
  <c r="CS218" i="25" s="1"/>
  <c r="CR282" i="25"/>
  <c r="CS282" i="25" s="1"/>
  <c r="CR227" i="25"/>
  <c r="CS227" i="25" s="1"/>
  <c r="CR291" i="25"/>
  <c r="CS291" i="25" s="1"/>
  <c r="CR236" i="25"/>
  <c r="CS236" i="25" s="1"/>
  <c r="CR300" i="25"/>
  <c r="CS300" i="25" s="1"/>
  <c r="CR237" i="25"/>
  <c r="CS237" i="25" s="1"/>
  <c r="CR301" i="25"/>
  <c r="CS301" i="25" s="1"/>
  <c r="CQ271" i="24"/>
  <c r="CR271" i="24" s="1"/>
  <c r="CT271" i="24" s="1"/>
  <c r="CO271" i="24"/>
  <c r="CQ273" i="24"/>
  <c r="CR273" i="24" s="1"/>
  <c r="CT273" i="24" s="1"/>
  <c r="CO273" i="24"/>
  <c r="CQ290" i="24"/>
  <c r="CR290" i="24" s="1"/>
  <c r="CT290" i="24" s="1"/>
  <c r="CO290" i="24"/>
  <c r="CQ235" i="24"/>
  <c r="CR235" i="24" s="1"/>
  <c r="CT235" i="24" s="1"/>
  <c r="CO235" i="24"/>
  <c r="CQ299" i="24"/>
  <c r="CR299" i="24" s="1"/>
  <c r="CT299" i="24" s="1"/>
  <c r="CO299" i="24"/>
  <c r="CO228" i="24"/>
  <c r="CQ228" i="24"/>
  <c r="CR228" i="24" s="1"/>
  <c r="CT228" i="24" s="1"/>
  <c r="CO292" i="24"/>
  <c r="CQ292" i="24"/>
  <c r="CR292" i="24" s="1"/>
  <c r="CT292" i="24" s="1"/>
  <c r="CQ237" i="24"/>
  <c r="CR237" i="24" s="1"/>
  <c r="CT237" i="24" s="1"/>
  <c r="CO237" i="24"/>
  <c r="CO301" i="24"/>
  <c r="CQ301" i="24"/>
  <c r="CR301" i="24" s="1"/>
  <c r="CT301" i="24" s="1"/>
  <c r="CO254" i="24"/>
  <c r="CQ254" i="24"/>
  <c r="CR254" i="24" s="1"/>
  <c r="CT254" i="24" s="1"/>
  <c r="CO241" i="24"/>
  <c r="CQ241" i="24"/>
  <c r="CR241" i="24" s="1"/>
  <c r="CT241" i="24" s="1"/>
  <c r="CQ263" i="24"/>
  <c r="CR263" i="24" s="1"/>
  <c r="CT263" i="24" s="1"/>
  <c r="CO263" i="24"/>
  <c r="CO224" i="24"/>
  <c r="CQ224" i="24"/>
  <c r="CR224" i="24" s="1"/>
  <c r="CT224" i="24" s="1"/>
  <c r="CQ288" i="24"/>
  <c r="CR288" i="24" s="1"/>
  <c r="CT288" i="24" s="1"/>
  <c r="CO288" i="24"/>
  <c r="CR239" i="25"/>
  <c r="CS239" i="25" s="1"/>
  <c r="CR303" i="25"/>
  <c r="CS303" i="25" s="1"/>
  <c r="CR256" i="25"/>
  <c r="CS256" i="25" s="1"/>
  <c r="CR286" i="25"/>
  <c r="CS286" i="25" s="1"/>
  <c r="CR273" i="25"/>
  <c r="CS273" i="25" s="1"/>
  <c r="CR226" i="25"/>
  <c r="CS226" i="25" s="1"/>
  <c r="CR290" i="25"/>
  <c r="CS290" i="25" s="1"/>
  <c r="CR235" i="25"/>
  <c r="CS235" i="25" s="1"/>
  <c r="CR299" i="25"/>
  <c r="CS299" i="25" s="1"/>
  <c r="CR244" i="25"/>
  <c r="CS244" i="25" s="1"/>
  <c r="CR308" i="25"/>
  <c r="CS308" i="25" s="1"/>
  <c r="CR245" i="25"/>
  <c r="CS245" i="25" s="1"/>
  <c r="CR309" i="25"/>
  <c r="CS309" i="25" s="1"/>
  <c r="CS96" i="25"/>
  <c r="CS49" i="25"/>
  <c r="CS30" i="25"/>
  <c r="CS83" i="25"/>
  <c r="CS60" i="25"/>
  <c r="CS84" i="25"/>
  <c r="CS38" i="25"/>
  <c r="CS69" i="25"/>
  <c r="CS65" i="25"/>
  <c r="CS57" i="25"/>
  <c r="CS102" i="25"/>
  <c r="CS64" i="25"/>
  <c r="CS56" i="25"/>
  <c r="CS53" i="25"/>
  <c r="CS75" i="25"/>
  <c r="CS22" i="25"/>
  <c r="CS101" i="25"/>
  <c r="CS73" i="25"/>
  <c r="CS122" i="25"/>
  <c r="CS34" i="25"/>
  <c r="CS26" i="25"/>
  <c r="CS18" i="25"/>
  <c r="CS61" i="25"/>
  <c r="CS105" i="25"/>
  <c r="CS14" i="25"/>
  <c r="CS6" i="25"/>
  <c r="CS13" i="25"/>
  <c r="CS97" i="25"/>
  <c r="CS72" i="25"/>
  <c r="CS21" i="25"/>
  <c r="CS87" i="25"/>
  <c r="CS10" i="25"/>
  <c r="CS46" i="25"/>
  <c r="CS54" i="25"/>
  <c r="CS62" i="25"/>
  <c r="CS70" i="25"/>
  <c r="CS80" i="25"/>
  <c r="CS81" i="25"/>
  <c r="CS25" i="25"/>
  <c r="CS17" i="25"/>
  <c r="CS95" i="25"/>
  <c r="CS91" i="25"/>
  <c r="CS92" i="25"/>
  <c r="CS68" i="25"/>
  <c r="CS88" i="25"/>
  <c r="CS98" i="25"/>
  <c r="CS16" i="25"/>
  <c r="CS9" i="25"/>
  <c r="CS50" i="25"/>
  <c r="CS35" i="25"/>
  <c r="CS42" i="25"/>
  <c r="CS29" i="25"/>
  <c r="CS66" i="25"/>
  <c r="CS58" i="25"/>
  <c r="CS79" i="25"/>
  <c r="CS32" i="25"/>
  <c r="CS15" i="25"/>
  <c r="CS103" i="25"/>
  <c r="CS7" i="25"/>
  <c r="CS48" i="25"/>
  <c r="CS55" i="25"/>
  <c r="CS86" i="25"/>
  <c r="CS20" i="25"/>
  <c r="CS33" i="25"/>
  <c r="CS89" i="25"/>
  <c r="CS90" i="25"/>
  <c r="CS74" i="25"/>
  <c r="CS76" i="25"/>
  <c r="CS51" i="25"/>
  <c r="CS28" i="25"/>
  <c r="CS41" i="25"/>
  <c r="CS44" i="25"/>
  <c r="CS27" i="25"/>
  <c r="CS11" i="25"/>
  <c r="CS36" i="25"/>
  <c r="CS67" i="25"/>
  <c r="CS31" i="25"/>
  <c r="CS47" i="25"/>
  <c r="CS59" i="25"/>
  <c r="CS71" i="25"/>
  <c r="CS94" i="25"/>
  <c r="CS45" i="25"/>
  <c r="CS40" i="25"/>
  <c r="CS43" i="25"/>
  <c r="CS78" i="25"/>
  <c r="CS85" i="25"/>
  <c r="CS77" i="25"/>
  <c r="CS63" i="25"/>
  <c r="CS23" i="25"/>
  <c r="CS37" i="25"/>
  <c r="CS104" i="25"/>
  <c r="CS82" i="25"/>
  <c r="CS8" i="25"/>
  <c r="CS99" i="25"/>
  <c r="CS93" i="25"/>
  <c r="CS39" i="25"/>
  <c r="CS12" i="25"/>
  <c r="CS100" i="25"/>
  <c r="CS24" i="25"/>
  <c r="CS19" i="25"/>
  <c r="CS52" i="25"/>
  <c r="CJ306" i="25"/>
  <c r="CJ300" i="25"/>
  <c r="CJ299" i="25"/>
  <c r="CJ278" i="25"/>
  <c r="CJ263" i="25"/>
  <c r="CJ259" i="25"/>
  <c r="CJ256" i="25"/>
  <c r="CJ250" i="25"/>
  <c r="CJ235" i="25"/>
  <c r="CJ225" i="25"/>
  <c r="CJ220" i="25"/>
  <c r="CJ210" i="25"/>
  <c r="CJ207" i="25"/>
  <c r="CJ200" i="25"/>
  <c r="CJ197" i="25"/>
  <c r="CJ195" i="25"/>
  <c r="CJ194" i="25"/>
  <c r="CJ192" i="25"/>
  <c r="CJ186" i="25"/>
  <c r="CJ178" i="25"/>
  <c r="CJ167" i="25"/>
  <c r="CJ147" i="25"/>
  <c r="CJ309" i="25"/>
  <c r="CJ307" i="25"/>
  <c r="CJ275" i="25"/>
  <c r="CJ272" i="25"/>
  <c r="CJ271" i="25"/>
  <c r="CJ267" i="25"/>
  <c r="CJ255" i="25"/>
  <c r="CJ254" i="25"/>
  <c r="CJ251" i="25"/>
  <c r="CJ242" i="25"/>
  <c r="CJ241" i="25"/>
  <c r="CJ236" i="25"/>
  <c r="CJ231" i="25"/>
  <c r="CJ218" i="25"/>
  <c r="CJ205" i="25"/>
  <c r="CJ198" i="25"/>
  <c r="CJ182" i="25"/>
  <c r="CJ181" i="25"/>
  <c r="CJ180" i="25"/>
  <c r="CJ179" i="25"/>
  <c r="CJ166" i="25"/>
  <c r="CJ158" i="25"/>
  <c r="CJ155" i="25"/>
  <c r="CJ149" i="25"/>
  <c r="CJ314" i="25"/>
  <c r="CJ295" i="25"/>
  <c r="CJ294" i="25"/>
  <c r="CJ289" i="25"/>
  <c r="CJ279" i="25"/>
  <c r="CJ268" i="25"/>
  <c r="CJ260" i="25"/>
  <c r="CJ253" i="25"/>
  <c r="CJ252" i="25"/>
  <c r="CJ244" i="25"/>
  <c r="CJ237" i="25"/>
  <c r="CJ228" i="25"/>
  <c r="CJ204" i="25"/>
  <c r="CJ203" i="25"/>
  <c r="CJ187" i="25"/>
  <c r="CJ183" i="25"/>
  <c r="CJ168" i="25"/>
  <c r="CJ164" i="25"/>
  <c r="CJ161" i="25"/>
  <c r="CJ152" i="25"/>
  <c r="CJ310" i="25"/>
  <c r="CJ303" i="25"/>
  <c r="CJ301" i="25"/>
  <c r="CJ246" i="25"/>
  <c r="CJ245" i="25"/>
  <c r="CJ243" i="25"/>
  <c r="CJ238" i="25"/>
  <c r="CJ232" i="25"/>
  <c r="CJ223" i="25"/>
  <c r="CJ221" i="25"/>
  <c r="CJ191" i="25"/>
  <c r="CJ170" i="25"/>
  <c r="CJ169" i="25"/>
  <c r="CJ156" i="25"/>
  <c r="CJ146" i="25"/>
  <c r="CJ315" i="25"/>
  <c r="CJ311" i="25"/>
  <c r="CJ297" i="25"/>
  <c r="CJ296" i="25"/>
  <c r="CJ292" i="25"/>
  <c r="CJ290" i="25"/>
  <c r="CJ280" i="25"/>
  <c r="CJ276" i="25"/>
  <c r="CJ269" i="25"/>
  <c r="CJ261" i="25"/>
  <c r="CJ248" i="25"/>
  <c r="CJ229" i="25"/>
  <c r="CJ190" i="25"/>
  <c r="CJ189" i="25"/>
  <c r="CJ188" i="25"/>
  <c r="CJ185" i="25"/>
  <c r="CJ184" i="25"/>
  <c r="CJ165" i="25"/>
  <c r="CJ162" i="25"/>
  <c r="CJ159" i="25"/>
  <c r="CJ308" i="25"/>
  <c r="CJ287" i="25"/>
  <c r="CJ285" i="25"/>
  <c r="CJ283" i="25"/>
  <c r="CJ281" i="25"/>
  <c r="CJ274" i="25"/>
  <c r="CJ273" i="25"/>
  <c r="CJ270" i="25"/>
  <c r="CJ247" i="25"/>
  <c r="CJ239" i="25"/>
  <c r="CJ233" i="25"/>
  <c r="CJ226" i="25"/>
  <c r="CJ219" i="25"/>
  <c r="CJ217" i="25"/>
  <c r="CJ206" i="25"/>
  <c r="CJ202" i="25"/>
  <c r="CJ172" i="25"/>
  <c r="CJ171" i="25"/>
  <c r="CJ153" i="25"/>
  <c r="CJ148" i="25"/>
  <c r="CJ302" i="25"/>
  <c r="CJ291" i="25"/>
  <c r="CJ249" i="25"/>
  <c r="CJ222" i="25"/>
  <c r="CJ193" i="25"/>
  <c r="CJ173" i="25"/>
  <c r="CJ151" i="25"/>
  <c r="CJ143" i="25"/>
  <c r="CJ288" i="25"/>
  <c r="CJ282" i="25"/>
  <c r="CJ264" i="25"/>
  <c r="CJ224" i="25"/>
  <c r="CJ209" i="25"/>
  <c r="CJ140" i="25"/>
  <c r="CJ130" i="25"/>
  <c r="CJ129" i="25"/>
  <c r="CJ128" i="25"/>
  <c r="CJ124" i="25"/>
  <c r="CJ120" i="25"/>
  <c r="CJ118" i="25"/>
  <c r="CJ78" i="25"/>
  <c r="CJ69" i="25"/>
  <c r="CJ65" i="25"/>
  <c r="CJ57" i="25"/>
  <c r="CJ44" i="25"/>
  <c r="CJ32" i="25"/>
  <c r="CJ304" i="25"/>
  <c r="CJ293" i="25"/>
  <c r="CJ257" i="25"/>
  <c r="CJ227" i="25"/>
  <c r="CJ177" i="25"/>
  <c r="CJ145" i="25"/>
  <c r="CJ137" i="25"/>
  <c r="CJ134" i="25"/>
  <c r="CJ127" i="25"/>
  <c r="CJ123" i="25"/>
  <c r="CJ122" i="25"/>
  <c r="CJ121" i="25"/>
  <c r="CJ100" i="25"/>
  <c r="CJ85" i="25"/>
  <c r="CJ39" i="25"/>
  <c r="CJ312" i="25"/>
  <c r="CJ201" i="25"/>
  <c r="CJ174" i="25"/>
  <c r="CJ142" i="25"/>
  <c r="CJ139" i="25"/>
  <c r="CJ126" i="25"/>
  <c r="CJ125" i="25"/>
  <c r="CJ102" i="25"/>
  <c r="CJ101" i="25"/>
  <c r="CJ99" i="25"/>
  <c r="CJ94" i="25"/>
  <c r="CJ93" i="25"/>
  <c r="CJ88" i="25"/>
  <c r="CJ86" i="25"/>
  <c r="CJ79" i="25"/>
  <c r="CJ64" i="25"/>
  <c r="CJ56" i="25"/>
  <c r="CJ54" i="25"/>
  <c r="CJ50" i="25"/>
  <c r="CJ45" i="25"/>
  <c r="CJ40" i="25"/>
  <c r="CJ34" i="25"/>
  <c r="CJ33" i="25"/>
  <c r="CJ316" i="25"/>
  <c r="CJ286" i="25"/>
  <c r="CJ265" i="25"/>
  <c r="CJ150" i="25"/>
  <c r="CJ136" i="25"/>
  <c r="CJ95" i="25"/>
  <c r="CJ87" i="25"/>
  <c r="CJ74" i="25"/>
  <c r="CJ73" i="25"/>
  <c r="CJ63" i="25"/>
  <c r="CJ62" i="25"/>
  <c r="CJ52" i="25"/>
  <c r="CJ46" i="25"/>
  <c r="CJ298" i="25"/>
  <c r="CJ277" i="25"/>
  <c r="CJ262" i="25"/>
  <c r="CJ234" i="25"/>
  <c r="CJ196" i="25"/>
  <c r="CJ144" i="25"/>
  <c r="CJ138" i="25"/>
  <c r="CJ104" i="25"/>
  <c r="CJ96" i="25"/>
  <c r="CJ90" i="25"/>
  <c r="CJ89" i="25"/>
  <c r="CJ68" i="25"/>
  <c r="CJ67" i="25"/>
  <c r="CJ53" i="25"/>
  <c r="CJ51" i="25"/>
  <c r="CJ313" i="25"/>
  <c r="CJ284" i="25"/>
  <c r="CJ266" i="25"/>
  <c r="CJ119" i="25"/>
  <c r="CJ91" i="25"/>
  <c r="CJ84" i="25"/>
  <c r="CJ80" i="25"/>
  <c r="CJ75" i="25"/>
  <c r="CJ70" i="25"/>
  <c r="CJ48" i="25"/>
  <c r="CJ47" i="25"/>
  <c r="CJ22" i="25"/>
  <c r="CJ12" i="25"/>
  <c r="CJ11" i="25"/>
  <c r="CJ10" i="25"/>
  <c r="CJ258" i="25"/>
  <c r="CJ115" i="25"/>
  <c r="CJ71" i="25"/>
  <c r="CJ55" i="25"/>
  <c r="CJ43" i="25"/>
  <c r="CJ305" i="25"/>
  <c r="CJ135" i="25"/>
  <c r="CJ116" i="25"/>
  <c r="CJ111" i="25"/>
  <c r="CJ105" i="25"/>
  <c r="CJ92" i="25"/>
  <c r="CJ82" i="25"/>
  <c r="CJ59" i="25"/>
  <c r="CJ49" i="25"/>
  <c r="CJ36" i="25"/>
  <c r="CJ35" i="25"/>
  <c r="CJ41" i="25"/>
  <c r="CJ30" i="25"/>
  <c r="CJ28" i="25"/>
  <c r="CJ27" i="25"/>
  <c r="CJ25" i="25"/>
  <c r="CJ16" i="25"/>
  <c r="CJ61" i="25"/>
  <c r="CJ31" i="25"/>
  <c r="CJ141" i="25"/>
  <c r="CJ13" i="25"/>
  <c r="CJ9" i="25"/>
  <c r="CJ175" i="25"/>
  <c r="CJ117" i="25"/>
  <c r="CJ103" i="25"/>
  <c r="CJ97" i="25"/>
  <c r="CJ77" i="25"/>
  <c r="CJ21" i="25"/>
  <c r="CJ42" i="25"/>
  <c r="CJ17" i="25"/>
  <c r="CJ15" i="25"/>
  <c r="CJ230" i="25"/>
  <c r="CJ131" i="25"/>
  <c r="CJ83" i="25"/>
  <c r="CJ72" i="25"/>
  <c r="CJ66" i="25"/>
  <c r="CJ81" i="25"/>
  <c r="CJ176" i="25"/>
  <c r="CJ157" i="25"/>
  <c r="CJ154" i="25"/>
  <c r="CJ132" i="25"/>
  <c r="CJ113" i="25"/>
  <c r="CJ98" i="25"/>
  <c r="CJ60" i="25"/>
  <c r="CJ29" i="25"/>
  <c r="CJ14" i="25"/>
  <c r="CJ208" i="25"/>
  <c r="CJ199" i="25"/>
  <c r="CJ163" i="25"/>
  <c r="CJ160" i="25"/>
  <c r="CJ133" i="25"/>
  <c r="CJ114" i="25"/>
  <c r="CJ58" i="25"/>
  <c r="CJ37" i="25"/>
  <c r="CJ8" i="25"/>
  <c r="CJ240" i="25"/>
  <c r="CJ76" i="25"/>
  <c r="CJ26" i="25"/>
  <c r="CJ19" i="25"/>
  <c r="CJ23" i="25"/>
  <c r="CJ24" i="25"/>
  <c r="CJ38" i="25"/>
  <c r="CJ20" i="25"/>
  <c r="CJ18" i="25"/>
  <c r="CJ300" i="24"/>
  <c r="ES300" i="24" s="1"/>
  <c r="EV300" i="24" s="1"/>
  <c r="CJ296" i="24"/>
  <c r="ES296" i="24" s="1"/>
  <c r="EV296" i="24" s="1"/>
  <c r="CJ289" i="24"/>
  <c r="ES289" i="24" s="1"/>
  <c r="EV289" i="24" s="1"/>
  <c r="CJ280" i="24"/>
  <c r="ES280" i="24" s="1"/>
  <c r="EV280" i="24" s="1"/>
  <c r="CJ274" i="24"/>
  <c r="ES274" i="24" s="1"/>
  <c r="EV274" i="24" s="1"/>
  <c r="CJ269" i="24"/>
  <c r="ES269" i="24" s="1"/>
  <c r="EV269" i="24" s="1"/>
  <c r="CJ316" i="24"/>
  <c r="ES316" i="24" s="1"/>
  <c r="EV316" i="24" s="1"/>
  <c r="CJ313" i="24"/>
  <c r="ES313" i="24" s="1"/>
  <c r="EV313" i="24" s="1"/>
  <c r="CJ302" i="24"/>
  <c r="ES302" i="24" s="1"/>
  <c r="EV302" i="24" s="1"/>
  <c r="CJ283" i="24"/>
  <c r="ES283" i="24" s="1"/>
  <c r="EV283" i="24" s="1"/>
  <c r="CJ281" i="24"/>
  <c r="ES281" i="24" s="1"/>
  <c r="EV281" i="24" s="1"/>
  <c r="CJ278" i="24"/>
  <c r="ES278" i="24" s="1"/>
  <c r="EV278" i="24" s="1"/>
  <c r="CJ254" i="24"/>
  <c r="ES254" i="24" s="1"/>
  <c r="EV254" i="24" s="1"/>
  <c r="CJ252" i="24"/>
  <c r="ES252" i="24" s="1"/>
  <c r="EV252" i="24" s="1"/>
  <c r="CJ251" i="24"/>
  <c r="ES251" i="24" s="1"/>
  <c r="EV251" i="24" s="1"/>
  <c r="CJ246" i="24"/>
  <c r="ES246" i="24" s="1"/>
  <c r="EV246" i="24" s="1"/>
  <c r="CJ238" i="24"/>
  <c r="ES238" i="24" s="1"/>
  <c r="EV238" i="24" s="1"/>
  <c r="CJ236" i="24"/>
  <c r="ES236" i="24" s="1"/>
  <c r="EV236" i="24" s="1"/>
  <c r="CJ205" i="24"/>
  <c r="CJ204" i="24"/>
  <c r="CJ202" i="24"/>
  <c r="CJ199" i="24"/>
  <c r="CJ198" i="24"/>
  <c r="CJ196" i="24"/>
  <c r="CJ190" i="24"/>
  <c r="CJ189" i="24"/>
  <c r="CJ314" i="24"/>
  <c r="ES314" i="24" s="1"/>
  <c r="EV314" i="24" s="1"/>
  <c r="CJ311" i="24"/>
  <c r="ES311" i="24" s="1"/>
  <c r="EV311" i="24" s="1"/>
  <c r="CJ308" i="24"/>
  <c r="ES308" i="24" s="1"/>
  <c r="EV308" i="24" s="1"/>
  <c r="CJ304" i="24"/>
  <c r="ES304" i="24" s="1"/>
  <c r="EV304" i="24" s="1"/>
  <c r="CJ295" i="24"/>
  <c r="ES295" i="24" s="1"/>
  <c r="EV295" i="24" s="1"/>
  <c r="CJ290" i="24"/>
  <c r="ES290" i="24" s="1"/>
  <c r="EV290" i="24" s="1"/>
  <c r="CJ287" i="24"/>
  <c r="ES287" i="24" s="1"/>
  <c r="EV287" i="24" s="1"/>
  <c r="CJ284" i="24"/>
  <c r="ES284" i="24" s="1"/>
  <c r="EV284" i="24" s="1"/>
  <c r="CJ282" i="24"/>
  <c r="ES282" i="24" s="1"/>
  <c r="EV282" i="24" s="1"/>
  <c r="CJ262" i="24"/>
  <c r="ES262" i="24" s="1"/>
  <c r="EV262" i="24" s="1"/>
  <c r="CJ248" i="24"/>
  <c r="ES248" i="24" s="1"/>
  <c r="EV248" i="24" s="1"/>
  <c r="CJ247" i="24"/>
  <c r="ES247" i="24" s="1"/>
  <c r="EV247" i="24" s="1"/>
  <c r="CJ227" i="24"/>
  <c r="ES227" i="24" s="1"/>
  <c r="EV227" i="24" s="1"/>
  <c r="CJ223" i="24"/>
  <c r="ES223" i="24" s="1"/>
  <c r="EV223" i="24" s="1"/>
  <c r="CJ219" i="24"/>
  <c r="ES219" i="24" s="1"/>
  <c r="EV219" i="24" s="1"/>
  <c r="CJ206" i="24"/>
  <c r="CJ200" i="24"/>
  <c r="CJ293" i="24"/>
  <c r="ES293" i="24" s="1"/>
  <c r="EV293" i="24" s="1"/>
  <c r="CJ292" i="24"/>
  <c r="ES292" i="24" s="1"/>
  <c r="EV292" i="24" s="1"/>
  <c r="CJ273" i="24"/>
  <c r="ES273" i="24" s="1"/>
  <c r="EV273" i="24" s="1"/>
  <c r="CJ268" i="24"/>
  <c r="ES268" i="24" s="1"/>
  <c r="EV268" i="24" s="1"/>
  <c r="CJ260" i="24"/>
  <c r="ES260" i="24" s="1"/>
  <c r="EV260" i="24" s="1"/>
  <c r="CJ259" i="24"/>
  <c r="ES259" i="24" s="1"/>
  <c r="EV259" i="24" s="1"/>
  <c r="CJ255" i="24"/>
  <c r="ES255" i="24" s="1"/>
  <c r="EV255" i="24" s="1"/>
  <c r="CJ253" i="24"/>
  <c r="ES253" i="24" s="1"/>
  <c r="EV253" i="24" s="1"/>
  <c r="CJ245" i="24"/>
  <c r="ES245" i="24" s="1"/>
  <c r="EV245" i="24" s="1"/>
  <c r="CJ241" i="24"/>
  <c r="ES241" i="24" s="1"/>
  <c r="EV241" i="24" s="1"/>
  <c r="CJ231" i="24"/>
  <c r="ES231" i="24" s="1"/>
  <c r="EV231" i="24" s="1"/>
  <c r="CJ229" i="24"/>
  <c r="ES229" i="24" s="1"/>
  <c r="EV229" i="24" s="1"/>
  <c r="CJ225" i="24"/>
  <c r="ES225" i="24" s="1"/>
  <c r="EV225" i="24" s="1"/>
  <c r="CJ208" i="24"/>
  <c r="CJ203" i="24"/>
  <c r="CJ187" i="24"/>
  <c r="CJ185" i="24"/>
  <c r="CJ305" i="24"/>
  <c r="ES305" i="24" s="1"/>
  <c r="EV305" i="24" s="1"/>
  <c r="CJ303" i="24"/>
  <c r="ES303" i="24" s="1"/>
  <c r="EV303" i="24" s="1"/>
  <c r="CJ301" i="24"/>
  <c r="ES301" i="24" s="1"/>
  <c r="EV301" i="24" s="1"/>
  <c r="CJ299" i="24"/>
  <c r="ES299" i="24" s="1"/>
  <c r="EV299" i="24" s="1"/>
  <c r="CJ297" i="24"/>
  <c r="ES297" i="24" s="1"/>
  <c r="EV297" i="24" s="1"/>
  <c r="CJ285" i="24"/>
  <c r="ES285" i="24" s="1"/>
  <c r="EV285" i="24" s="1"/>
  <c r="CJ277" i="24"/>
  <c r="ES277" i="24" s="1"/>
  <c r="EV277" i="24" s="1"/>
  <c r="CJ276" i="24"/>
  <c r="ES276" i="24" s="1"/>
  <c r="EV276" i="24" s="1"/>
  <c r="CJ265" i="24"/>
  <c r="ES265" i="24" s="1"/>
  <c r="EV265" i="24" s="1"/>
  <c r="CJ261" i="24"/>
  <c r="ES261" i="24" s="1"/>
  <c r="EV261" i="24" s="1"/>
  <c r="CJ257" i="24"/>
  <c r="ES257" i="24" s="1"/>
  <c r="EV257" i="24" s="1"/>
  <c r="CJ239" i="24"/>
  <c r="ES239" i="24" s="1"/>
  <c r="EV239" i="24" s="1"/>
  <c r="CJ232" i="24"/>
  <c r="ES232" i="24" s="1"/>
  <c r="EV232" i="24" s="1"/>
  <c r="CJ226" i="24"/>
  <c r="ES226" i="24" s="1"/>
  <c r="EV226" i="24" s="1"/>
  <c r="CJ224" i="24"/>
  <c r="ES224" i="24" s="1"/>
  <c r="EV224" i="24" s="1"/>
  <c r="CJ222" i="24"/>
  <c r="ES222" i="24" s="1"/>
  <c r="EV222" i="24" s="1"/>
  <c r="CJ210" i="24"/>
  <c r="CJ197" i="24"/>
  <c r="CJ195" i="24"/>
  <c r="CJ315" i="24"/>
  <c r="ES315" i="24" s="1"/>
  <c r="EV315" i="24" s="1"/>
  <c r="CJ309" i="24"/>
  <c r="ES309" i="24" s="1"/>
  <c r="EV309" i="24" s="1"/>
  <c r="CJ294" i="24"/>
  <c r="ES294" i="24" s="1"/>
  <c r="EV294" i="24" s="1"/>
  <c r="CJ286" i="24"/>
  <c r="ES286" i="24" s="1"/>
  <c r="EV286" i="24" s="1"/>
  <c r="CJ279" i="24"/>
  <c r="ES279" i="24" s="1"/>
  <c r="EV279" i="24" s="1"/>
  <c r="CJ275" i="24"/>
  <c r="ES275" i="24" s="1"/>
  <c r="EV275" i="24" s="1"/>
  <c r="CJ270" i="24"/>
  <c r="ES270" i="24" s="1"/>
  <c r="EV270" i="24" s="1"/>
  <c r="CJ249" i="24"/>
  <c r="ES249" i="24" s="1"/>
  <c r="EV249" i="24" s="1"/>
  <c r="CJ237" i="24"/>
  <c r="ES237" i="24" s="1"/>
  <c r="EV237" i="24" s="1"/>
  <c r="CJ233" i="24"/>
  <c r="ES233" i="24" s="1"/>
  <c r="EV233" i="24" s="1"/>
  <c r="CJ221" i="24"/>
  <c r="ES221" i="24" s="1"/>
  <c r="EV221" i="24" s="1"/>
  <c r="CJ192" i="24"/>
  <c r="CJ191" i="24"/>
  <c r="CJ312" i="24"/>
  <c r="ES312" i="24" s="1"/>
  <c r="EV312" i="24" s="1"/>
  <c r="CJ288" i="24"/>
  <c r="ES288" i="24" s="1"/>
  <c r="EV288" i="24" s="1"/>
  <c r="CJ272" i="24"/>
  <c r="ES272" i="24" s="1"/>
  <c r="EV272" i="24" s="1"/>
  <c r="CJ271" i="24"/>
  <c r="ES271" i="24" s="1"/>
  <c r="EV271" i="24" s="1"/>
  <c r="CJ267" i="24"/>
  <c r="ES267" i="24" s="1"/>
  <c r="EV267" i="24" s="1"/>
  <c r="CJ263" i="24"/>
  <c r="ES263" i="24" s="1"/>
  <c r="EV263" i="24" s="1"/>
  <c r="CJ240" i="24"/>
  <c r="ES240" i="24" s="1"/>
  <c r="EV240" i="24" s="1"/>
  <c r="CJ235" i="24"/>
  <c r="ES235" i="24" s="1"/>
  <c r="EV235" i="24" s="1"/>
  <c r="CJ230" i="24"/>
  <c r="ES230" i="24" s="1"/>
  <c r="EV230" i="24" s="1"/>
  <c r="CJ220" i="24"/>
  <c r="ES220" i="24" s="1"/>
  <c r="EV220" i="24" s="1"/>
  <c r="CJ207" i="24"/>
  <c r="CJ201" i="24"/>
  <c r="CJ306" i="24"/>
  <c r="ES306" i="24" s="1"/>
  <c r="EV306" i="24" s="1"/>
  <c r="CJ298" i="24"/>
  <c r="ES298" i="24" s="1"/>
  <c r="EV298" i="24" s="1"/>
  <c r="CJ291" i="24"/>
  <c r="ES291" i="24" s="1"/>
  <c r="EV291" i="24" s="1"/>
  <c r="CJ243" i="24"/>
  <c r="ES243" i="24" s="1"/>
  <c r="EV243" i="24" s="1"/>
  <c r="CJ183" i="24"/>
  <c r="CJ181" i="24"/>
  <c r="CJ180" i="24"/>
  <c r="CJ176" i="24"/>
  <c r="CJ171" i="24"/>
  <c r="CJ157" i="24"/>
  <c r="CJ150" i="24"/>
  <c r="CJ143" i="24"/>
  <c r="CJ134" i="24"/>
  <c r="CJ131" i="24"/>
  <c r="CJ125" i="24"/>
  <c r="CJ114" i="24"/>
  <c r="CJ98" i="24"/>
  <c r="CJ83" i="24"/>
  <c r="CJ250" i="24"/>
  <c r="ES250" i="24" s="1"/>
  <c r="EV250" i="24" s="1"/>
  <c r="CJ228" i="24"/>
  <c r="ES228" i="24" s="1"/>
  <c r="EV228" i="24" s="1"/>
  <c r="CJ186" i="24"/>
  <c r="CJ184" i="24"/>
  <c r="CJ178" i="24"/>
  <c r="CJ174" i="24"/>
  <c r="CJ161" i="24"/>
  <c r="CJ153" i="24"/>
  <c r="CJ115" i="24"/>
  <c r="CJ112" i="24"/>
  <c r="CJ105" i="24"/>
  <c r="CJ101" i="24"/>
  <c r="CJ95" i="24"/>
  <c r="CJ310" i="24"/>
  <c r="ES310" i="24" s="1"/>
  <c r="EV310" i="24" s="1"/>
  <c r="CJ307" i="24"/>
  <c r="ES307" i="24" s="1"/>
  <c r="EV307" i="24" s="1"/>
  <c r="CJ209" i="24"/>
  <c r="CJ194" i="24"/>
  <c r="CJ175" i="24"/>
  <c r="CJ169" i="24"/>
  <c r="CJ160" i="24"/>
  <c r="CJ141" i="24"/>
  <c r="CJ138" i="24"/>
  <c r="CJ132" i="24"/>
  <c r="CJ123" i="24"/>
  <c r="CJ116" i="24"/>
  <c r="CJ104" i="24"/>
  <c r="CJ102" i="24"/>
  <c r="CJ100" i="24"/>
  <c r="CJ256" i="24"/>
  <c r="ES256" i="24" s="1"/>
  <c r="EV256" i="24" s="1"/>
  <c r="CJ188" i="24"/>
  <c r="CJ179" i="24"/>
  <c r="CJ177" i="24"/>
  <c r="CJ164" i="24"/>
  <c r="CJ154" i="24"/>
  <c r="CJ147" i="24"/>
  <c r="CJ135" i="24"/>
  <c r="CJ128" i="24"/>
  <c r="CJ124" i="24"/>
  <c r="CJ81" i="24"/>
  <c r="CJ244" i="24"/>
  <c r="ES244" i="24" s="1"/>
  <c r="EV244" i="24" s="1"/>
  <c r="CJ242" i="24"/>
  <c r="ES242" i="24" s="1"/>
  <c r="EV242" i="24" s="1"/>
  <c r="CJ182" i="24"/>
  <c r="CJ173" i="24"/>
  <c r="CJ165" i="24"/>
  <c r="CJ158" i="24"/>
  <c r="CJ151" i="24"/>
  <c r="CJ148" i="24"/>
  <c r="CJ146" i="24"/>
  <c r="CJ133" i="24"/>
  <c r="CJ129" i="24"/>
  <c r="CJ126" i="24"/>
  <c r="CJ121" i="24"/>
  <c r="CJ117" i="24"/>
  <c r="CJ99" i="24"/>
  <c r="CJ264" i="24"/>
  <c r="ES264" i="24" s="1"/>
  <c r="EV264" i="24" s="1"/>
  <c r="CJ217" i="24"/>
  <c r="ES217" i="24" s="1"/>
  <c r="EV217" i="24" s="1"/>
  <c r="CJ172" i="24"/>
  <c r="CJ166" i="24"/>
  <c r="CJ155" i="24"/>
  <c r="CJ144" i="24"/>
  <c r="CJ142" i="24"/>
  <c r="CJ140" i="24"/>
  <c r="CJ139" i="24"/>
  <c r="CJ136" i="24"/>
  <c r="CJ111" i="24"/>
  <c r="CJ82" i="24"/>
  <c r="CJ80" i="24"/>
  <c r="CJ78" i="24"/>
  <c r="CJ74" i="24"/>
  <c r="CJ69" i="24"/>
  <c r="CJ47" i="24"/>
  <c r="CJ40" i="24"/>
  <c r="CJ38" i="24"/>
  <c r="CJ37" i="24"/>
  <c r="CJ33" i="24"/>
  <c r="CJ32" i="24"/>
  <c r="CJ31" i="24"/>
  <c r="CJ266" i="24"/>
  <c r="ES266" i="24" s="1"/>
  <c r="EV266" i="24" s="1"/>
  <c r="CJ258" i="24"/>
  <c r="ES258" i="24" s="1"/>
  <c r="EV258" i="24" s="1"/>
  <c r="CJ234" i="24"/>
  <c r="ES234" i="24" s="1"/>
  <c r="EV234" i="24" s="1"/>
  <c r="CJ193" i="24"/>
  <c r="CJ170" i="24"/>
  <c r="CJ163" i="24"/>
  <c r="CJ159" i="24"/>
  <c r="CJ145" i="24"/>
  <c r="CJ127" i="24"/>
  <c r="CJ120" i="24"/>
  <c r="CJ113" i="24"/>
  <c r="CJ89" i="24"/>
  <c r="CJ88" i="24"/>
  <c r="CJ76" i="24"/>
  <c r="CJ68" i="24"/>
  <c r="CJ218" i="24"/>
  <c r="ES218" i="24" s="1"/>
  <c r="EV218" i="24" s="1"/>
  <c r="CJ168" i="24"/>
  <c r="CJ167" i="24"/>
  <c r="CJ162" i="24"/>
  <c r="CJ156" i="24"/>
  <c r="CJ152" i="24"/>
  <c r="CJ149" i="24"/>
  <c r="CJ137" i="24"/>
  <c r="CJ130" i="24"/>
  <c r="CJ122" i="24"/>
  <c r="CJ119" i="24"/>
  <c r="CJ118" i="24"/>
  <c r="CJ103" i="24"/>
  <c r="CJ97" i="24"/>
  <c r="CJ93" i="24"/>
  <c r="CJ63" i="24"/>
  <c r="CJ44" i="24"/>
  <c r="CJ43" i="24"/>
  <c r="CJ41" i="24"/>
  <c r="CJ70" i="24"/>
  <c r="CJ20" i="24"/>
  <c r="CJ7" i="24"/>
  <c r="CJ90" i="24"/>
  <c r="CJ85" i="24"/>
  <c r="CJ79" i="24"/>
  <c r="CJ71" i="24"/>
  <c r="CJ66" i="24"/>
  <c r="CJ64" i="24"/>
  <c r="CJ60" i="24"/>
  <c r="CJ56" i="24"/>
  <c r="CJ54" i="24"/>
  <c r="CJ51" i="24"/>
  <c r="CJ49" i="24"/>
  <c r="CJ39" i="24"/>
  <c r="CJ36" i="24"/>
  <c r="CJ14" i="24"/>
  <c r="CJ29" i="24"/>
  <c r="CJ19" i="24"/>
  <c r="CJ8" i="24"/>
  <c r="CJ13" i="24"/>
  <c r="CJ96" i="24"/>
  <c r="CJ91" i="24"/>
  <c r="CJ75" i="24"/>
  <c r="CJ73" i="24"/>
  <c r="CJ62" i="24"/>
  <c r="CJ55" i="24"/>
  <c r="CJ25" i="24"/>
  <c r="CJ23" i="24"/>
  <c r="CJ12" i="24"/>
  <c r="CJ11" i="24"/>
  <c r="CJ9" i="24"/>
  <c r="CJ6" i="24"/>
  <c r="CJ58" i="24"/>
  <c r="CJ27" i="24"/>
  <c r="CJ24" i="24"/>
  <c r="CJ35" i="24"/>
  <c r="CJ77" i="24"/>
  <c r="CJ42" i="24"/>
  <c r="CJ21" i="24"/>
  <c r="CJ52" i="24"/>
  <c r="CJ84" i="24"/>
  <c r="CJ67" i="24"/>
  <c r="CJ65" i="24"/>
  <c r="CJ61" i="24"/>
  <c r="CJ59" i="24"/>
  <c r="CJ53" i="24"/>
  <c r="CJ45" i="24"/>
  <c r="CJ18" i="24"/>
  <c r="CJ10" i="24"/>
  <c r="CJ48" i="24"/>
  <c r="CJ16" i="24"/>
  <c r="CJ94" i="24"/>
  <c r="CJ92" i="24"/>
  <c r="CJ87" i="24"/>
  <c r="CJ86" i="24"/>
  <c r="CJ72" i="24"/>
  <c r="CJ57" i="24"/>
  <c r="CJ50" i="24"/>
  <c r="CJ46" i="24"/>
  <c r="CJ28" i="24"/>
  <c r="CJ26" i="24"/>
  <c r="CJ34" i="24"/>
  <c r="CJ15" i="24"/>
  <c r="CJ30" i="24"/>
  <c r="CJ17" i="24"/>
  <c r="CJ22" i="24"/>
  <c r="I3" i="29"/>
  <c r="B222" i="2"/>
  <c r="B281" i="2"/>
  <c r="A28" i="16"/>
  <c r="BQ5" i="25"/>
  <c r="B277" i="2"/>
  <c r="D277" i="2" s="1"/>
  <c r="D34" i="16"/>
  <c r="W64" i="2"/>
  <c r="R66" i="2"/>
  <c r="S29" i="1" s="1"/>
  <c r="R67" i="2"/>
  <c r="B26" i="2"/>
  <c r="I9" i="19"/>
  <c r="I8" i="19"/>
  <c r="I7" i="19"/>
  <c r="I6" i="19"/>
  <c r="B125" i="2"/>
  <c r="B22" i="2"/>
  <c r="F17" i="23"/>
  <c r="J17" i="23" s="1"/>
  <c r="I33" i="23"/>
  <c r="F54" i="23"/>
  <c r="J54" i="23" s="1"/>
  <c r="I9" i="23"/>
  <c r="I70" i="23"/>
  <c r="F32" i="23"/>
  <c r="J32" i="23" s="1"/>
  <c r="F49" i="23"/>
  <c r="G49" i="23" s="1"/>
  <c r="H49" i="23" s="1"/>
  <c r="F103" i="23"/>
  <c r="G103" i="23" s="1"/>
  <c r="H103" i="23" s="1"/>
  <c r="F53" i="23"/>
  <c r="J53" i="23" s="1"/>
  <c r="I16" i="23"/>
  <c r="F46" i="23"/>
  <c r="J46" i="23" s="1"/>
  <c r="I43" i="23"/>
  <c r="I36" i="23"/>
  <c r="F67" i="23"/>
  <c r="G67" i="23" s="1"/>
  <c r="H67" i="23" s="1"/>
  <c r="I59" i="23"/>
  <c r="F30" i="23"/>
  <c r="J30" i="23" s="1"/>
  <c r="F88" i="23"/>
  <c r="G88" i="23" s="1"/>
  <c r="H88" i="23" s="1"/>
  <c r="I78" i="23"/>
  <c r="I27" i="23"/>
  <c r="I75" i="23"/>
  <c r="F73" i="23"/>
  <c r="J73" i="23" s="1"/>
  <c r="F71" i="23"/>
  <c r="J71" i="23" s="1"/>
  <c r="I48" i="23"/>
  <c r="F84" i="23"/>
  <c r="G84" i="23" s="1"/>
  <c r="H84" i="23" s="1"/>
  <c r="F6" i="23"/>
  <c r="J6" i="23" s="1"/>
  <c r="F25" i="23"/>
  <c r="J25" i="23" s="1"/>
  <c r="I23" i="23"/>
  <c r="F60" i="23"/>
  <c r="G60" i="23" s="1"/>
  <c r="H60" i="23" s="1"/>
  <c r="I38" i="23"/>
  <c r="I62" i="23"/>
  <c r="F105" i="23"/>
  <c r="J105" i="23" s="1"/>
  <c r="F94" i="23"/>
  <c r="J94" i="23" s="1"/>
  <c r="I41" i="23"/>
  <c r="F92" i="23"/>
  <c r="J92" i="23" s="1"/>
  <c r="A258" i="2"/>
  <c r="C258" i="2"/>
  <c r="I11" i="23"/>
  <c r="F101" i="23"/>
  <c r="J101" i="23" s="1"/>
  <c r="F20" i="23"/>
  <c r="G20" i="23" s="1"/>
  <c r="H20" i="23" s="1"/>
  <c r="F81" i="23"/>
  <c r="J81" i="23" s="1"/>
  <c r="F14" i="23"/>
  <c r="J14" i="23" s="1"/>
  <c r="F22" i="23"/>
  <c r="J22" i="23" s="1"/>
  <c r="F63" i="23"/>
  <c r="G63" i="23" s="1"/>
  <c r="H63" i="23" s="1"/>
  <c r="I99" i="23"/>
  <c r="F80" i="23"/>
  <c r="J80" i="23" s="1"/>
  <c r="I31" i="23"/>
  <c r="I96" i="23"/>
  <c r="F77" i="23"/>
  <c r="G77" i="23" s="1"/>
  <c r="H77" i="23" s="1"/>
  <c r="I56" i="23"/>
  <c r="I86" i="23"/>
  <c r="I98" i="23"/>
  <c r="H109" i="19"/>
  <c r="H110" i="19" s="1"/>
  <c r="F52" i="23"/>
  <c r="J52" i="23" s="1"/>
  <c r="F102" i="23"/>
  <c r="J102" i="23" s="1"/>
  <c r="J79" i="23"/>
  <c r="J7" i="23"/>
  <c r="J106" i="23"/>
  <c r="I87" i="23"/>
  <c r="I8" i="23"/>
  <c r="I106" i="23"/>
  <c r="J31" i="23"/>
  <c r="J99" i="23"/>
  <c r="J56" i="23"/>
  <c r="J27" i="23"/>
  <c r="J96" i="23"/>
  <c r="J86" i="23"/>
  <c r="J70" i="23"/>
  <c r="J38" i="23"/>
  <c r="J33" i="23"/>
  <c r="J69" i="23"/>
  <c r="J89" i="23"/>
  <c r="J44" i="23"/>
  <c r="F12" i="23"/>
  <c r="J12" i="23" s="1"/>
  <c r="J39" i="23"/>
  <c r="I76" i="23"/>
  <c r="J76" i="23"/>
  <c r="F24" i="23"/>
  <c r="G24" i="23" s="1"/>
  <c r="H24" i="23" s="1"/>
  <c r="J98" i="23"/>
  <c r="I50" i="23"/>
  <c r="F34" i="23"/>
  <c r="J34" i="23" s="1"/>
  <c r="F13" i="23"/>
  <c r="J13" i="23" s="1"/>
  <c r="F85" i="23"/>
  <c r="J85" i="23" s="1"/>
  <c r="F87" i="23"/>
  <c r="J87" i="23" s="1"/>
  <c r="I55" i="23"/>
  <c r="F26" i="23"/>
  <c r="J26" i="23" s="1"/>
  <c r="F61" i="23"/>
  <c r="J61" i="23" s="1"/>
  <c r="I90" i="23"/>
  <c r="J59" i="23"/>
  <c r="J36" i="23"/>
  <c r="J43" i="23"/>
  <c r="J11" i="23"/>
  <c r="J75" i="23"/>
  <c r="J23" i="23"/>
  <c r="J48" i="23"/>
  <c r="J16" i="23"/>
  <c r="J78" i="23"/>
  <c r="J62" i="23"/>
  <c r="J41" i="23"/>
  <c r="J9" i="23"/>
  <c r="N91" i="23"/>
  <c r="O91" i="23" s="1"/>
  <c r="P91" i="23" s="1"/>
  <c r="N47" i="23"/>
  <c r="O47" i="23" s="1"/>
  <c r="P47" i="23" s="1"/>
  <c r="N100" i="23"/>
  <c r="O100" i="23" s="1"/>
  <c r="P100" i="23" s="1"/>
  <c r="N79" i="23"/>
  <c r="O79" i="23" s="1"/>
  <c r="P79" i="23" s="1"/>
  <c r="N57" i="23"/>
  <c r="O57" i="23" s="1"/>
  <c r="P57" i="23" s="1"/>
  <c r="N28" i="23"/>
  <c r="O28" i="23" s="1"/>
  <c r="P28" i="23" s="1"/>
  <c r="N104" i="23"/>
  <c r="O104" i="23" s="1"/>
  <c r="P104" i="23" s="1"/>
  <c r="N83" i="23"/>
  <c r="O83" i="23" s="1"/>
  <c r="P83" i="23" s="1"/>
  <c r="N61" i="23"/>
  <c r="O61" i="23" s="1"/>
  <c r="P61" i="23" s="1"/>
  <c r="N35" i="23"/>
  <c r="O35" i="23" s="1"/>
  <c r="P35" i="23" s="1"/>
  <c r="N8" i="23"/>
  <c r="O8" i="23" s="1"/>
  <c r="P8" i="23" s="1"/>
  <c r="N64" i="23"/>
  <c r="O64" i="23" s="1"/>
  <c r="P64" i="23" s="1"/>
  <c r="N7" i="23"/>
  <c r="O7" i="23" s="1"/>
  <c r="P7" i="23" s="1"/>
  <c r="N87" i="23"/>
  <c r="O87" i="23" s="1"/>
  <c r="P87" i="23" s="1"/>
  <c r="N65" i="23"/>
  <c r="O65" i="23" s="1"/>
  <c r="P65" i="23" s="1"/>
  <c r="N40" i="23"/>
  <c r="O40" i="23" s="1"/>
  <c r="P40" i="23" s="1"/>
  <c r="N106" i="23"/>
  <c r="O106" i="23" s="1"/>
  <c r="P106" i="23" s="1"/>
  <c r="N90" i="23"/>
  <c r="O90" i="23" s="1"/>
  <c r="P90" i="23" s="1"/>
  <c r="N74" i="23"/>
  <c r="O74" i="23" s="1"/>
  <c r="P74" i="23" s="1"/>
  <c r="N58" i="23"/>
  <c r="O58" i="23" s="1"/>
  <c r="P58" i="23" s="1"/>
  <c r="N42" i="23"/>
  <c r="O42" i="23" s="1"/>
  <c r="P42" i="23" s="1"/>
  <c r="N26" i="23"/>
  <c r="O26" i="23" s="1"/>
  <c r="P26" i="23" s="1"/>
  <c r="N10" i="23"/>
  <c r="O10" i="23" s="1"/>
  <c r="P10" i="23" s="1"/>
  <c r="N37" i="23"/>
  <c r="O37" i="23" s="1"/>
  <c r="P37" i="23" s="1"/>
  <c r="N21" i="23"/>
  <c r="O21" i="23" s="1"/>
  <c r="P21" i="23" s="1"/>
  <c r="I57" i="23"/>
  <c r="F91" i="23"/>
  <c r="J91" i="23" s="1"/>
  <c r="I21" i="23"/>
  <c r="F21" i="23"/>
  <c r="J21" i="23" s="1"/>
  <c r="I40" i="23"/>
  <c r="I104" i="23"/>
  <c r="I42" i="23"/>
  <c r="N80" i="23"/>
  <c r="O80" i="23" s="1"/>
  <c r="P80" i="23" s="1"/>
  <c r="N31" i="23"/>
  <c r="O31" i="23" s="1"/>
  <c r="P31" i="23" s="1"/>
  <c r="N95" i="23"/>
  <c r="O95" i="23" s="1"/>
  <c r="P95" i="23" s="1"/>
  <c r="N73" i="23"/>
  <c r="O73" i="23" s="1"/>
  <c r="P73" i="23" s="1"/>
  <c r="N52" i="23"/>
  <c r="O52" i="23" s="1"/>
  <c r="P52" i="23" s="1"/>
  <c r="N20" i="23"/>
  <c r="O20" i="23" s="1"/>
  <c r="P20" i="23" s="1"/>
  <c r="N99" i="23"/>
  <c r="O99" i="23" s="1"/>
  <c r="P99" i="23" s="1"/>
  <c r="N77" i="23"/>
  <c r="O77" i="23" s="1"/>
  <c r="P77" i="23" s="1"/>
  <c r="N56" i="23"/>
  <c r="O56" i="23" s="1"/>
  <c r="P56" i="23" s="1"/>
  <c r="N27" i="23"/>
  <c r="O27" i="23" s="1"/>
  <c r="P27" i="23" s="1"/>
  <c r="N96" i="23"/>
  <c r="O96" i="23" s="1"/>
  <c r="P96" i="23" s="1"/>
  <c r="N53" i="23"/>
  <c r="O53" i="23" s="1"/>
  <c r="P53" i="23" s="1"/>
  <c r="N103" i="23"/>
  <c r="O103" i="23" s="1"/>
  <c r="P103" i="23" s="1"/>
  <c r="N81" i="23"/>
  <c r="O81" i="23" s="1"/>
  <c r="P81" i="23" s="1"/>
  <c r="N60" i="23"/>
  <c r="O60" i="23" s="1"/>
  <c r="P60" i="23" s="1"/>
  <c r="N32" i="23"/>
  <c r="O32" i="23" s="1"/>
  <c r="P32" i="23" s="1"/>
  <c r="N102" i="23"/>
  <c r="O102" i="23" s="1"/>
  <c r="P102" i="23" s="1"/>
  <c r="N86" i="23"/>
  <c r="O86" i="23" s="1"/>
  <c r="P86" i="23" s="1"/>
  <c r="N70" i="23"/>
  <c r="O70" i="23" s="1"/>
  <c r="P70" i="23" s="1"/>
  <c r="N54" i="23"/>
  <c r="O54" i="23" s="1"/>
  <c r="P54" i="23" s="1"/>
  <c r="N38" i="23"/>
  <c r="O38" i="23" s="1"/>
  <c r="P38" i="23" s="1"/>
  <c r="N22" i="23"/>
  <c r="O22" i="23" s="1"/>
  <c r="P22" i="23" s="1"/>
  <c r="N49" i="23"/>
  <c r="O49" i="23" s="1"/>
  <c r="P49" i="23" s="1"/>
  <c r="N33" i="23"/>
  <c r="O33" i="23" s="1"/>
  <c r="P33" i="23" s="1"/>
  <c r="N17" i="23"/>
  <c r="O17" i="23" s="1"/>
  <c r="P17" i="23" s="1"/>
  <c r="N69" i="23"/>
  <c r="O69" i="23" s="1"/>
  <c r="P69" i="23" s="1"/>
  <c r="N15" i="23"/>
  <c r="O15" i="23" s="1"/>
  <c r="P15" i="23" s="1"/>
  <c r="N89" i="23"/>
  <c r="O89" i="23" s="1"/>
  <c r="P89" i="23" s="1"/>
  <c r="N68" i="23"/>
  <c r="O68" i="23" s="1"/>
  <c r="P68" i="23" s="1"/>
  <c r="N44" i="23"/>
  <c r="O44" i="23" s="1"/>
  <c r="P44" i="23" s="1"/>
  <c r="N12" i="23"/>
  <c r="O12" i="23" s="1"/>
  <c r="P12" i="23" s="1"/>
  <c r="N93" i="23"/>
  <c r="O93" i="23" s="1"/>
  <c r="P93" i="23" s="1"/>
  <c r="N72" i="23"/>
  <c r="O72" i="23" s="1"/>
  <c r="P72" i="23" s="1"/>
  <c r="N51" i="23"/>
  <c r="O51" i="23" s="1"/>
  <c r="P51" i="23" s="1"/>
  <c r="N19" i="23"/>
  <c r="O19" i="23" s="1"/>
  <c r="P19" i="23" s="1"/>
  <c r="N85" i="23"/>
  <c r="O85" i="23" s="1"/>
  <c r="P85" i="23" s="1"/>
  <c r="N39" i="23"/>
  <c r="O39" i="23" s="1"/>
  <c r="P39" i="23" s="1"/>
  <c r="N97" i="23"/>
  <c r="O97" i="23" s="1"/>
  <c r="P97" i="23" s="1"/>
  <c r="N76" i="23"/>
  <c r="O76" i="23" s="1"/>
  <c r="P76" i="23" s="1"/>
  <c r="N55" i="23"/>
  <c r="O55" i="23" s="1"/>
  <c r="P55" i="23" s="1"/>
  <c r="N24" i="23"/>
  <c r="O24" i="23" s="1"/>
  <c r="P24" i="23" s="1"/>
  <c r="N98" i="23"/>
  <c r="O98" i="23" s="1"/>
  <c r="P98" i="23" s="1"/>
  <c r="N82" i="23"/>
  <c r="O82" i="23" s="1"/>
  <c r="P82" i="23" s="1"/>
  <c r="N66" i="23"/>
  <c r="O66" i="23" s="1"/>
  <c r="P66" i="23" s="1"/>
  <c r="N50" i="23"/>
  <c r="O50" i="23" s="1"/>
  <c r="P50" i="23" s="1"/>
  <c r="N34" i="23"/>
  <c r="O34" i="23" s="1"/>
  <c r="P34" i="23" s="1"/>
  <c r="N18" i="23"/>
  <c r="O18" i="23" s="1"/>
  <c r="P18" i="23" s="1"/>
  <c r="N45" i="23"/>
  <c r="O45" i="23" s="1"/>
  <c r="P45" i="23" s="1"/>
  <c r="N29" i="23"/>
  <c r="O29" i="23" s="1"/>
  <c r="P29" i="23" s="1"/>
  <c r="N13" i="23"/>
  <c r="O13" i="23" s="1"/>
  <c r="P13" i="23" s="1"/>
  <c r="I51" i="23"/>
  <c r="I83" i="23"/>
  <c r="I91" i="23"/>
  <c r="I44" i="23"/>
  <c r="F90" i="23"/>
  <c r="J90" i="23" s="1"/>
  <c r="F83" i="23"/>
  <c r="G83" i="23" s="1"/>
  <c r="H83" i="23" s="1"/>
  <c r="F42" i="23"/>
  <c r="G42" i="23" s="1"/>
  <c r="H42" i="23" s="1"/>
  <c r="F35" i="23"/>
  <c r="J35" i="23" s="1"/>
  <c r="I69" i="23"/>
  <c r="F50" i="23"/>
  <c r="J50" i="23" s="1"/>
  <c r="I72" i="23"/>
  <c r="I45" i="23"/>
  <c r="F65" i="23"/>
  <c r="G65" i="23" s="1"/>
  <c r="H65" i="23" s="1"/>
  <c r="F82" i="23"/>
  <c r="J82" i="23" s="1"/>
  <c r="N101" i="23"/>
  <c r="O101" i="23" s="1"/>
  <c r="P101" i="23" s="1"/>
  <c r="N59" i="23"/>
  <c r="O59" i="23" s="1"/>
  <c r="P59" i="23" s="1"/>
  <c r="N105" i="23"/>
  <c r="O105" i="23" s="1"/>
  <c r="P105" i="23" s="1"/>
  <c r="N84" i="23"/>
  <c r="O84" i="23" s="1"/>
  <c r="P84" i="23" s="1"/>
  <c r="N63" i="23"/>
  <c r="O63" i="23" s="1"/>
  <c r="P63" i="23" s="1"/>
  <c r="N36" i="23"/>
  <c r="O36" i="23" s="1"/>
  <c r="P36" i="23" s="1"/>
  <c r="N6" i="23"/>
  <c r="O6" i="23" s="1"/>
  <c r="P6" i="23" s="1"/>
  <c r="N88" i="23"/>
  <c r="O88" i="23" s="1"/>
  <c r="P88" i="23" s="1"/>
  <c r="N67" i="23"/>
  <c r="O67" i="23" s="1"/>
  <c r="P67" i="23" s="1"/>
  <c r="N43" i="23"/>
  <c r="O43" i="23" s="1"/>
  <c r="P43" i="23" s="1"/>
  <c r="N11" i="23"/>
  <c r="O11" i="23" s="1"/>
  <c r="P11" i="23" s="1"/>
  <c r="N75" i="23"/>
  <c r="O75" i="23" s="1"/>
  <c r="P75" i="23" s="1"/>
  <c r="N23" i="23"/>
  <c r="O23" i="23" s="1"/>
  <c r="P23" i="23" s="1"/>
  <c r="N92" i="23"/>
  <c r="O92" i="23" s="1"/>
  <c r="P92" i="23" s="1"/>
  <c r="N71" i="23"/>
  <c r="O71" i="23" s="1"/>
  <c r="P71" i="23" s="1"/>
  <c r="N48" i="23"/>
  <c r="O48" i="23" s="1"/>
  <c r="P48" i="23" s="1"/>
  <c r="N16" i="23"/>
  <c r="O16" i="23" s="1"/>
  <c r="P16" i="23" s="1"/>
  <c r="N94" i="23"/>
  <c r="O94" i="23" s="1"/>
  <c r="P94" i="23" s="1"/>
  <c r="N78" i="23"/>
  <c r="O78" i="23" s="1"/>
  <c r="P78" i="23" s="1"/>
  <c r="N62" i="23"/>
  <c r="O62" i="23" s="1"/>
  <c r="P62" i="23" s="1"/>
  <c r="N46" i="23"/>
  <c r="O46" i="23" s="1"/>
  <c r="P46" i="23" s="1"/>
  <c r="N30" i="23"/>
  <c r="O30" i="23" s="1"/>
  <c r="P30" i="23" s="1"/>
  <c r="N14" i="23"/>
  <c r="O14" i="23" s="1"/>
  <c r="P14" i="23" s="1"/>
  <c r="N41" i="23"/>
  <c r="O41" i="23" s="1"/>
  <c r="P41" i="23" s="1"/>
  <c r="N25" i="23"/>
  <c r="O25" i="23" s="1"/>
  <c r="P25" i="23" s="1"/>
  <c r="N9" i="23"/>
  <c r="O9" i="23" s="1"/>
  <c r="P9" i="23" s="1"/>
  <c r="I19" i="23"/>
  <c r="I28" i="23"/>
  <c r="I89" i="23"/>
  <c r="F64" i="23"/>
  <c r="J64" i="23" s="1"/>
  <c r="F37" i="23"/>
  <c r="J37" i="23" s="1"/>
  <c r="F74" i="23"/>
  <c r="G74" i="23" s="1"/>
  <c r="H74" i="23" s="1"/>
  <c r="F15" i="23"/>
  <c r="J15" i="23" s="1"/>
  <c r="I47" i="23"/>
  <c r="I97" i="23"/>
  <c r="F68" i="23"/>
  <c r="J68" i="23" s="1"/>
  <c r="F45" i="23"/>
  <c r="J45" i="23" s="1"/>
  <c r="F19" i="23"/>
  <c r="J19" i="23" s="1"/>
  <c r="F47" i="23"/>
  <c r="J47" i="23" s="1"/>
  <c r="I68" i="23"/>
  <c r="F40" i="23"/>
  <c r="J40" i="23" s="1"/>
  <c r="F104" i="23"/>
  <c r="J104" i="23" s="1"/>
  <c r="F18" i="23"/>
  <c r="J18" i="23" s="1"/>
  <c r="F57" i="23"/>
  <c r="G57" i="23" s="1"/>
  <c r="H57" i="23" s="1"/>
  <c r="I7" i="23"/>
  <c r="F28" i="23"/>
  <c r="J28" i="23" s="1"/>
  <c r="F97" i="23"/>
  <c r="G97" i="23" s="1"/>
  <c r="H97" i="23" s="1"/>
  <c r="F8" i="23"/>
  <c r="J8" i="23" s="1"/>
  <c r="I58" i="23"/>
  <c r="I82" i="23"/>
  <c r="I74" i="23"/>
  <c r="I37" i="23"/>
  <c r="I35" i="23"/>
  <c r="I85" i="23"/>
  <c r="I29" i="23"/>
  <c r="F58" i="23"/>
  <c r="G58" i="23" s="1"/>
  <c r="H58" i="23" s="1"/>
  <c r="F51" i="23"/>
  <c r="J51" i="23" s="1"/>
  <c r="I15" i="23"/>
  <c r="I79" i="23"/>
  <c r="I93" i="23"/>
  <c r="I64" i="23"/>
  <c r="F100" i="23"/>
  <c r="G100" i="23" s="1"/>
  <c r="H100" i="23" s="1"/>
  <c r="F10" i="23"/>
  <c r="J10" i="23" s="1"/>
  <c r="F66" i="23"/>
  <c r="G66" i="23" s="1"/>
  <c r="H66" i="23" s="1"/>
  <c r="F55" i="23"/>
  <c r="J55" i="23" s="1"/>
  <c r="I100" i="23"/>
  <c r="F72" i="23"/>
  <c r="G72" i="23" s="1"/>
  <c r="H72" i="23" s="1"/>
  <c r="I39" i="23"/>
  <c r="I24" i="23"/>
  <c r="F29" i="23"/>
  <c r="J29" i="23" s="1"/>
  <c r="F93" i="23"/>
  <c r="G93" i="23" s="1"/>
  <c r="H93" i="23" s="1"/>
  <c r="F95" i="23"/>
  <c r="G95" i="23" s="1"/>
  <c r="H95" i="23" s="1"/>
  <c r="I26" i="23"/>
  <c r="I66" i="23"/>
  <c r="I18" i="23"/>
  <c r="I34" i="23"/>
  <c r="G96" i="23"/>
  <c r="H96" i="23" s="1"/>
  <c r="G41" i="23"/>
  <c r="H41" i="23" s="1"/>
  <c r="G36" i="23"/>
  <c r="H36" i="23" s="1"/>
  <c r="G86" i="23"/>
  <c r="H86" i="23" s="1"/>
  <c r="G23" i="23"/>
  <c r="H23" i="23" s="1"/>
  <c r="G62" i="23"/>
  <c r="H62" i="23" s="1"/>
  <c r="G11" i="23"/>
  <c r="H11" i="23" s="1"/>
  <c r="G48" i="23"/>
  <c r="H48" i="23" s="1"/>
  <c r="G9" i="23"/>
  <c r="H9" i="23" s="1"/>
  <c r="G69" i="23"/>
  <c r="H69" i="23" s="1"/>
  <c r="G75" i="23"/>
  <c r="H75" i="23" s="1"/>
  <c r="G89" i="23"/>
  <c r="H89" i="23" s="1"/>
  <c r="G39" i="23"/>
  <c r="H39" i="23" s="1"/>
  <c r="G99" i="23"/>
  <c r="H99" i="23" s="1"/>
  <c r="G76" i="23"/>
  <c r="H76" i="23" s="1"/>
  <c r="G98" i="23"/>
  <c r="H98" i="23" s="1"/>
  <c r="G27" i="23"/>
  <c r="H27" i="23" s="1"/>
  <c r="G79" i="23"/>
  <c r="H79" i="23" s="1"/>
  <c r="G78" i="23"/>
  <c r="H78" i="23" s="1"/>
  <c r="G70" i="23"/>
  <c r="H70" i="23" s="1"/>
  <c r="G59" i="23"/>
  <c r="H59" i="23" s="1"/>
  <c r="G33" i="23"/>
  <c r="H33" i="23" s="1"/>
  <c r="G43" i="23"/>
  <c r="H43" i="23" s="1"/>
  <c r="G16" i="23"/>
  <c r="H16" i="23" s="1"/>
  <c r="G106" i="23"/>
  <c r="H106" i="23" s="1"/>
  <c r="G31" i="23"/>
  <c r="H31" i="23" s="1"/>
  <c r="G38" i="23"/>
  <c r="H38" i="23" s="1"/>
  <c r="G56" i="23"/>
  <c r="H56" i="23" s="1"/>
  <c r="G44" i="23"/>
  <c r="H44" i="23" s="1"/>
  <c r="G7" i="23"/>
  <c r="H7" i="23" s="1"/>
  <c r="B19" i="19"/>
  <c r="D19" i="19" s="1"/>
  <c r="I17" i="8"/>
  <c r="J17" i="8" s="1"/>
  <c r="D182" i="2" s="1"/>
  <c r="F270" i="2" s="1"/>
  <c r="G181" i="2"/>
  <c r="F181" i="2"/>
  <c r="E50" i="1" s="1"/>
  <c r="H269" i="2" s="1"/>
  <c r="C48" i="16" s="1"/>
  <c r="I18" i="8"/>
  <c r="J18" i="8" s="1"/>
  <c r="G273" i="2" s="1"/>
  <c r="A276" i="2"/>
  <c r="B276" i="2"/>
  <c r="B257" i="2"/>
  <c r="R76" i="2"/>
  <c r="C34" i="16"/>
  <c r="B167" i="2"/>
  <c r="K71" i="2"/>
  <c r="K72" i="2"/>
  <c r="D257" i="2"/>
  <c r="C157" i="8"/>
  <c r="C156" i="8" s="1"/>
  <c r="C155" i="8" s="1"/>
  <c r="C154" i="8" s="1"/>
  <c r="C153" i="8" s="1"/>
  <c r="C152" i="8" s="1"/>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256" i="2"/>
  <c r="C257" i="2"/>
  <c r="B258" i="2"/>
  <c r="A259" i="2"/>
  <c r="B262" i="2"/>
  <c r="I11" i="19"/>
  <c r="I15" i="19"/>
  <c r="I19" i="19"/>
  <c r="I23" i="19"/>
  <c r="I27" i="19"/>
  <c r="I31" i="19"/>
  <c r="I35" i="19"/>
  <c r="I39" i="19"/>
  <c r="I43" i="19"/>
  <c r="I47" i="19"/>
  <c r="I51" i="19"/>
  <c r="I55" i="19"/>
  <c r="I59" i="19"/>
  <c r="I63" i="19"/>
  <c r="I67" i="19"/>
  <c r="I71" i="19"/>
  <c r="I75" i="19"/>
  <c r="I79" i="19"/>
  <c r="I83" i="19"/>
  <c r="I87" i="19"/>
  <c r="I91" i="19"/>
  <c r="I95" i="19"/>
  <c r="I99" i="19"/>
  <c r="I103" i="19"/>
  <c r="I13" i="19"/>
  <c r="I17" i="19"/>
  <c r="I21" i="19"/>
  <c r="I25" i="19"/>
  <c r="I29" i="19"/>
  <c r="I33" i="19"/>
  <c r="I37" i="19"/>
  <c r="I41" i="19"/>
  <c r="I45" i="19"/>
  <c r="I49" i="19"/>
  <c r="I53" i="19"/>
  <c r="I57" i="19"/>
  <c r="I61" i="19"/>
  <c r="I65" i="19"/>
  <c r="I69" i="19"/>
  <c r="I73" i="19"/>
  <c r="I77" i="19"/>
  <c r="I81" i="19"/>
  <c r="I85" i="19"/>
  <c r="I89" i="19"/>
  <c r="I93" i="19"/>
  <c r="I97" i="19"/>
  <c r="I101" i="19"/>
  <c r="I105" i="19"/>
  <c r="I10" i="19"/>
  <c r="I18" i="19"/>
  <c r="I26" i="19"/>
  <c r="I34" i="19"/>
  <c r="I42" i="19"/>
  <c r="I50" i="19"/>
  <c r="I58" i="19"/>
  <c r="I66" i="19"/>
  <c r="I74" i="19"/>
  <c r="I82" i="19"/>
  <c r="I90" i="19"/>
  <c r="I98" i="19"/>
  <c r="I106" i="19"/>
  <c r="I14" i="19"/>
  <c r="I22" i="19"/>
  <c r="I30" i="19"/>
  <c r="I38" i="19"/>
  <c r="I46" i="19"/>
  <c r="I54" i="19"/>
  <c r="I62" i="19"/>
  <c r="I70" i="19"/>
  <c r="I78" i="19"/>
  <c r="I86" i="19"/>
  <c r="I94" i="19"/>
  <c r="I102" i="19"/>
  <c r="I20" i="19"/>
  <c r="I36" i="19"/>
  <c r="I52" i="19"/>
  <c r="I68" i="19"/>
  <c r="I84" i="19"/>
  <c r="I100" i="19"/>
  <c r="I24" i="19"/>
  <c r="I40" i="19"/>
  <c r="I56" i="19"/>
  <c r="I72" i="19"/>
  <c r="I88" i="19"/>
  <c r="I104" i="19"/>
  <c r="I12" i="19"/>
  <c r="I28" i="19"/>
  <c r="I44" i="19"/>
  <c r="I60" i="19"/>
  <c r="I76" i="19"/>
  <c r="I92" i="19"/>
  <c r="I16" i="19"/>
  <c r="I32" i="19"/>
  <c r="I48" i="19"/>
  <c r="I64" i="19"/>
  <c r="I80" i="19"/>
  <c r="I96" i="19"/>
  <c r="D18" i="19"/>
  <c r="W65" i="2" l="1"/>
  <c r="W66" i="2" s="1"/>
  <c r="D54" i="16" s="1"/>
  <c r="B25" i="29"/>
  <c r="B26" i="29" s="1"/>
  <c r="D26" i="29" s="1"/>
  <c r="DC5" i="24"/>
  <c r="N329" i="25"/>
  <c r="L75" i="1" s="1"/>
  <c r="K76" i="1" s="1"/>
  <c r="O329" i="25"/>
  <c r="I25" i="8" s="1"/>
  <c r="J25" i="8" s="1"/>
  <c r="G329" i="24"/>
  <c r="H329" i="24"/>
  <c r="I23" i="8" s="1"/>
  <c r="J23" i="8" s="1"/>
  <c r="CS110" i="25"/>
  <c r="DS110" i="25" s="1"/>
  <c r="B15" i="29"/>
  <c r="B21" i="29" s="1"/>
  <c r="B22" i="29" s="1"/>
  <c r="CU212" i="25"/>
  <c r="CW212" i="25"/>
  <c r="CO212" i="25" s="1"/>
  <c r="CZ212" i="25" s="1"/>
  <c r="CV212" i="25"/>
  <c r="DS212" i="25"/>
  <c r="CY212" i="25"/>
  <c r="CT212" i="25"/>
  <c r="FD212" i="25" s="1"/>
  <c r="G329" i="25"/>
  <c r="I28" i="8"/>
  <c r="EQ266" i="25"/>
  <c r="EU266" i="25" s="1"/>
  <c r="FG266" i="25"/>
  <c r="EQ277" i="25"/>
  <c r="EU277" i="25" s="1"/>
  <c r="FG277" i="25"/>
  <c r="FG233" i="25"/>
  <c r="EQ233" i="25"/>
  <c r="EU233" i="25" s="1"/>
  <c r="EQ285" i="25"/>
  <c r="EU285" i="25" s="1"/>
  <c r="FG285" i="25"/>
  <c r="FG280" i="25"/>
  <c r="EQ280" i="25"/>
  <c r="EU280" i="25" s="1"/>
  <c r="FG243" i="25"/>
  <c r="EQ243" i="25"/>
  <c r="EU243" i="25" s="1"/>
  <c r="EQ244" i="25"/>
  <c r="EU244" i="25" s="1"/>
  <c r="FG244" i="25"/>
  <c r="FG295" i="25"/>
  <c r="EQ295" i="25"/>
  <c r="EU295" i="25" s="1"/>
  <c r="FG242" i="25"/>
  <c r="EQ242" i="25"/>
  <c r="EU242" i="25" s="1"/>
  <c r="EQ307" i="25"/>
  <c r="EU307" i="25" s="1"/>
  <c r="FG307" i="25"/>
  <c r="EQ250" i="25"/>
  <c r="EU250" i="25" s="1"/>
  <c r="FG250" i="25"/>
  <c r="FG284" i="25"/>
  <c r="EQ284" i="25"/>
  <c r="EU284" i="25" s="1"/>
  <c r="EQ298" i="25"/>
  <c r="EU298" i="25" s="1"/>
  <c r="FG298" i="25"/>
  <c r="EQ227" i="25"/>
  <c r="EU227" i="25" s="1"/>
  <c r="FG227" i="25"/>
  <c r="EQ239" i="25"/>
  <c r="EU239" i="25" s="1"/>
  <c r="FG239" i="25"/>
  <c r="EQ287" i="25"/>
  <c r="EU287" i="25" s="1"/>
  <c r="FG287" i="25"/>
  <c r="FG290" i="25"/>
  <c r="EQ290" i="25"/>
  <c r="EU290" i="25" s="1"/>
  <c r="EQ245" i="25"/>
  <c r="EU245" i="25" s="1"/>
  <c r="FG245" i="25"/>
  <c r="EQ252" i="25"/>
  <c r="EU252" i="25" s="1"/>
  <c r="FG252" i="25"/>
  <c r="FG314" i="25"/>
  <c r="EQ314" i="25"/>
  <c r="EU314" i="25" s="1"/>
  <c r="EQ251" i="25"/>
  <c r="EU251" i="25" s="1"/>
  <c r="FG251" i="25"/>
  <c r="FG309" i="25"/>
  <c r="EQ309" i="25"/>
  <c r="EU309" i="25" s="1"/>
  <c r="EQ256" i="25"/>
  <c r="EU256" i="25" s="1"/>
  <c r="FG256" i="25"/>
  <c r="FG313" i="25"/>
  <c r="EQ313" i="25"/>
  <c r="EU313" i="25" s="1"/>
  <c r="FG257" i="25"/>
  <c r="EQ257" i="25"/>
  <c r="EU257" i="25" s="1"/>
  <c r="FG247" i="25"/>
  <c r="EQ247" i="25"/>
  <c r="EU247" i="25" s="1"/>
  <c r="FG308" i="25"/>
  <c r="EQ308" i="25"/>
  <c r="EU308" i="25" s="1"/>
  <c r="EQ292" i="25"/>
  <c r="EU292" i="25" s="1"/>
  <c r="FG292" i="25"/>
  <c r="EQ246" i="25"/>
  <c r="EU246" i="25" s="1"/>
  <c r="FG246" i="25"/>
  <c r="FG253" i="25"/>
  <c r="EQ253" i="25"/>
  <c r="EU253" i="25" s="1"/>
  <c r="EQ254" i="25"/>
  <c r="EU254" i="25" s="1"/>
  <c r="FG254" i="25"/>
  <c r="FG259" i="25"/>
  <c r="EQ259" i="25"/>
  <c r="EU259" i="25" s="1"/>
  <c r="FG258" i="25"/>
  <c r="EQ258" i="25"/>
  <c r="EU258" i="25" s="1"/>
  <c r="EQ293" i="25"/>
  <c r="EU293" i="25" s="1"/>
  <c r="FG293" i="25"/>
  <c r="EQ224" i="25"/>
  <c r="EU224" i="25" s="1"/>
  <c r="FG224" i="25"/>
  <c r="FG222" i="25"/>
  <c r="EQ222" i="25"/>
  <c r="EU222" i="25" s="1"/>
  <c r="EQ270" i="25"/>
  <c r="EU270" i="25" s="1"/>
  <c r="FG270" i="25"/>
  <c r="FG229" i="25"/>
  <c r="EQ229" i="25"/>
  <c r="EU229" i="25" s="1"/>
  <c r="EQ296" i="25"/>
  <c r="EU296" i="25" s="1"/>
  <c r="FG296" i="25"/>
  <c r="EQ301" i="25"/>
  <c r="EU301" i="25" s="1"/>
  <c r="FG301" i="25"/>
  <c r="EQ260" i="25"/>
  <c r="EU260" i="25" s="1"/>
  <c r="FG260" i="25"/>
  <c r="EQ255" i="25"/>
  <c r="EU255" i="25" s="1"/>
  <c r="FG255" i="25"/>
  <c r="EQ263" i="25"/>
  <c r="EU263" i="25" s="1"/>
  <c r="FG263" i="25"/>
  <c r="EQ265" i="25"/>
  <c r="EU265" i="25" s="1"/>
  <c r="FG265" i="25"/>
  <c r="FG304" i="25"/>
  <c r="EQ304" i="25"/>
  <c r="EU304" i="25" s="1"/>
  <c r="FG264" i="25"/>
  <c r="EQ264" i="25"/>
  <c r="EU264" i="25" s="1"/>
  <c r="EQ249" i="25"/>
  <c r="EU249" i="25" s="1"/>
  <c r="FG249" i="25"/>
  <c r="FG273" i="25"/>
  <c r="EQ273" i="25"/>
  <c r="EU273" i="25" s="1"/>
  <c r="FG248" i="25"/>
  <c r="EQ248" i="25"/>
  <c r="EU248" i="25" s="1"/>
  <c r="EQ297" i="25"/>
  <c r="EU297" i="25" s="1"/>
  <c r="FG297" i="25"/>
  <c r="EQ221" i="25"/>
  <c r="EU221" i="25" s="1"/>
  <c r="FG221" i="25"/>
  <c r="EQ303" i="25"/>
  <c r="EU303" i="25" s="1"/>
  <c r="FG303" i="25"/>
  <c r="EQ268" i="25"/>
  <c r="EU268" i="25" s="1"/>
  <c r="FG268" i="25"/>
  <c r="FG218" i="25"/>
  <c r="EQ218" i="25"/>
  <c r="EU218" i="25" s="1"/>
  <c r="EQ267" i="25"/>
  <c r="EU267" i="25" s="1"/>
  <c r="FG267" i="25"/>
  <c r="EQ278" i="25"/>
  <c r="EU278" i="25" s="1"/>
  <c r="FG278" i="25"/>
  <c r="EQ286" i="25"/>
  <c r="EU286" i="25" s="1"/>
  <c r="FG286" i="25"/>
  <c r="EQ312" i="25"/>
  <c r="EU312" i="25" s="1"/>
  <c r="FG312" i="25"/>
  <c r="EQ282" i="25"/>
  <c r="EU282" i="25" s="1"/>
  <c r="FG282" i="25"/>
  <c r="EQ291" i="25"/>
  <c r="EU291" i="25" s="1"/>
  <c r="FG291" i="25"/>
  <c r="EQ217" i="25"/>
  <c r="EU217" i="25" s="1"/>
  <c r="FG217" i="25"/>
  <c r="FG274" i="25"/>
  <c r="EQ274" i="25"/>
  <c r="EU274" i="25" s="1"/>
  <c r="EQ261" i="25"/>
  <c r="EU261" i="25" s="1"/>
  <c r="FG261" i="25"/>
  <c r="EQ311" i="25"/>
  <c r="EU311" i="25" s="1"/>
  <c r="FG311" i="25"/>
  <c r="FG223" i="25"/>
  <c r="EQ223" i="25"/>
  <c r="EU223" i="25" s="1"/>
  <c r="EQ310" i="25"/>
  <c r="EU310" i="25" s="1"/>
  <c r="FG310" i="25"/>
  <c r="FG279" i="25"/>
  <c r="EQ279" i="25"/>
  <c r="EU279" i="25" s="1"/>
  <c r="EQ231" i="25"/>
  <c r="EU231" i="25" s="1"/>
  <c r="FG231" i="25"/>
  <c r="EQ271" i="25"/>
  <c r="EU271" i="25" s="1"/>
  <c r="FG271" i="25"/>
  <c r="EQ220" i="25"/>
  <c r="EU220" i="25" s="1"/>
  <c r="FG220" i="25"/>
  <c r="FG299" i="25"/>
  <c r="EQ299" i="25"/>
  <c r="EU299" i="25" s="1"/>
  <c r="FG305" i="25"/>
  <c r="EQ305" i="25"/>
  <c r="EU305" i="25" s="1"/>
  <c r="EQ234" i="25"/>
  <c r="EU234" i="25" s="1"/>
  <c r="FG234" i="25"/>
  <c r="EQ316" i="25"/>
  <c r="EU316" i="25" s="1"/>
  <c r="FG316" i="25"/>
  <c r="EQ288" i="25"/>
  <c r="EU288" i="25" s="1"/>
  <c r="FG288" i="25"/>
  <c r="EQ302" i="25"/>
  <c r="EU302" i="25" s="1"/>
  <c r="FG302" i="25"/>
  <c r="FG219" i="25"/>
  <c r="EQ219" i="25"/>
  <c r="EU219" i="25" s="1"/>
  <c r="FG281" i="25"/>
  <c r="EQ281" i="25"/>
  <c r="EU281" i="25" s="1"/>
  <c r="FG269" i="25"/>
  <c r="EQ269" i="25"/>
  <c r="EU269" i="25" s="1"/>
  <c r="EQ315" i="25"/>
  <c r="EU315" i="25" s="1"/>
  <c r="FG315" i="25"/>
  <c r="EQ232" i="25"/>
  <c r="EU232" i="25" s="1"/>
  <c r="FG232" i="25"/>
  <c r="FG228" i="25"/>
  <c r="EQ228" i="25"/>
  <c r="EU228" i="25" s="1"/>
  <c r="FG289" i="25"/>
  <c r="EQ289" i="25"/>
  <c r="EU289" i="25" s="1"/>
  <c r="EQ236" i="25"/>
  <c r="EU236" i="25" s="1"/>
  <c r="FG236" i="25"/>
  <c r="EQ272" i="25"/>
  <c r="EU272" i="25" s="1"/>
  <c r="FG272" i="25"/>
  <c r="EQ225" i="25"/>
  <c r="EU225" i="25" s="1"/>
  <c r="FG225" i="25"/>
  <c r="FG300" i="25"/>
  <c r="EQ300" i="25"/>
  <c r="EU300" i="25" s="1"/>
  <c r="EQ240" i="25"/>
  <c r="EU240" i="25" s="1"/>
  <c r="FG240" i="25"/>
  <c r="EQ230" i="25"/>
  <c r="EU230" i="25" s="1"/>
  <c r="FG230" i="25"/>
  <c r="EQ262" i="25"/>
  <c r="EU262" i="25" s="1"/>
  <c r="FG262" i="25"/>
  <c r="EQ226" i="25"/>
  <c r="EU226" i="25" s="1"/>
  <c r="FG226" i="25"/>
  <c r="EQ283" i="25"/>
  <c r="EU283" i="25" s="1"/>
  <c r="FG283" i="25"/>
  <c r="EQ276" i="25"/>
  <c r="EU276" i="25" s="1"/>
  <c r="FG276" i="25"/>
  <c r="FG238" i="25"/>
  <c r="EQ238" i="25"/>
  <c r="EU238" i="25" s="1"/>
  <c r="FG237" i="25"/>
  <c r="EQ237" i="25"/>
  <c r="EU237" i="25" s="1"/>
  <c r="FG294" i="25"/>
  <c r="EQ294" i="25"/>
  <c r="EU294" i="25" s="1"/>
  <c r="EQ241" i="25"/>
  <c r="EU241" i="25" s="1"/>
  <c r="FG241" i="25"/>
  <c r="FG275" i="25"/>
  <c r="EQ275" i="25"/>
  <c r="EU275" i="25" s="1"/>
  <c r="EQ235" i="25"/>
  <c r="EU235" i="25" s="1"/>
  <c r="FG235" i="25"/>
  <c r="EQ306" i="25"/>
  <c r="EU306" i="25" s="1"/>
  <c r="FG306" i="25"/>
  <c r="CU112" i="25"/>
  <c r="CV112" i="25"/>
  <c r="CL112" i="25"/>
  <c r="DP112" i="25"/>
  <c r="EQ112" i="25"/>
  <c r="EU112" i="25" s="1"/>
  <c r="FG112" i="25"/>
  <c r="CX112" i="25"/>
  <c r="CW112" i="25"/>
  <c r="CO112" i="25" s="1"/>
  <c r="B41" i="2"/>
  <c r="B110" i="2" s="1"/>
  <c r="CT112" i="25"/>
  <c r="CY110" i="24"/>
  <c r="DA110" i="24" s="1"/>
  <c r="CT110" i="24"/>
  <c r="CU110" i="24"/>
  <c r="CU5" i="24"/>
  <c r="CV5" i="24" s="1"/>
  <c r="CT5" i="24"/>
  <c r="CS216" i="25"/>
  <c r="DS216" i="25" s="1"/>
  <c r="CS110" i="24"/>
  <c r="FD110" i="24" s="1"/>
  <c r="DM110" i="24"/>
  <c r="DB110" i="24"/>
  <c r="DE110" i="24" s="1"/>
  <c r="DF110" i="24" s="1"/>
  <c r="DG110" i="24" s="1"/>
  <c r="DI110" i="24"/>
  <c r="DB5" i="24"/>
  <c r="DE5" i="24" s="1"/>
  <c r="DF5" i="24" s="1"/>
  <c r="DG5" i="24" s="1"/>
  <c r="DM5" i="24"/>
  <c r="DI5" i="24"/>
  <c r="CY216" i="24"/>
  <c r="CT216" i="24"/>
  <c r="DT216" i="24"/>
  <c r="CU216" i="24"/>
  <c r="CS216" i="24"/>
  <c r="FD216" i="24" s="1"/>
  <c r="CN216" i="24"/>
  <c r="CW113" i="25"/>
  <c r="CO113" i="25" s="1"/>
  <c r="CU113" i="25"/>
  <c r="CV113" i="25"/>
  <c r="FG20" i="25"/>
  <c r="DP20" i="25"/>
  <c r="EQ20" i="25"/>
  <c r="EU20" i="25" s="1"/>
  <c r="CL20" i="25"/>
  <c r="CX20" i="25"/>
  <c r="EQ8" i="25"/>
  <c r="EU8" i="25" s="1"/>
  <c r="DP8" i="25"/>
  <c r="FG8" i="25"/>
  <c r="CX8" i="25"/>
  <c r="CL8" i="25"/>
  <c r="EQ208" i="25"/>
  <c r="EU208" i="25" s="1"/>
  <c r="CL208" i="25"/>
  <c r="CX208" i="25"/>
  <c r="DP208" i="25"/>
  <c r="FG208" i="25"/>
  <c r="FG157" i="25"/>
  <c r="CL157" i="25"/>
  <c r="EQ157" i="25"/>
  <c r="EU157" i="25" s="1"/>
  <c r="DP157" i="25"/>
  <c r="CX157" i="25"/>
  <c r="CY157" i="25" s="1"/>
  <c r="DP15" i="25"/>
  <c r="CL15" i="25"/>
  <c r="EQ15" i="25"/>
  <c r="EU15" i="25" s="1"/>
  <c r="FG15" i="25"/>
  <c r="CX15" i="25"/>
  <c r="EQ117" i="25"/>
  <c r="EU117" i="25" s="1"/>
  <c r="CX117" i="25"/>
  <c r="DP117" i="25"/>
  <c r="CL117" i="25"/>
  <c r="FG117" i="25"/>
  <c r="EQ25" i="25"/>
  <c r="EU25" i="25" s="1"/>
  <c r="CL25" i="25"/>
  <c r="CX25" i="25"/>
  <c r="FG25" i="25"/>
  <c r="DP25" i="25"/>
  <c r="EQ59" i="25"/>
  <c r="EU59" i="25" s="1"/>
  <c r="DP59" i="25"/>
  <c r="CL59" i="25"/>
  <c r="FG59" i="25"/>
  <c r="CX59" i="25"/>
  <c r="EQ43" i="25"/>
  <c r="EU43" i="25" s="1"/>
  <c r="CL43" i="25"/>
  <c r="FG43" i="25"/>
  <c r="DP43" i="25"/>
  <c r="CX43" i="25"/>
  <c r="FG22" i="25"/>
  <c r="CX22" i="25"/>
  <c r="DP22" i="25"/>
  <c r="EQ22" i="25"/>
  <c r="EU22" i="25" s="1"/>
  <c r="CL22" i="25"/>
  <c r="EQ119" i="25"/>
  <c r="EU119" i="25" s="1"/>
  <c r="FG119" i="25"/>
  <c r="CX119" i="25"/>
  <c r="DP119" i="25"/>
  <c r="CL119" i="25"/>
  <c r="CL89" i="25"/>
  <c r="FG89" i="25"/>
  <c r="EQ89" i="25"/>
  <c r="EU89" i="25" s="1"/>
  <c r="DP89" i="25"/>
  <c r="CX89" i="25"/>
  <c r="DP262" i="25"/>
  <c r="CL262" i="25"/>
  <c r="CX262" i="25"/>
  <c r="CL74" i="25"/>
  <c r="DP74" i="25"/>
  <c r="EQ74" i="25"/>
  <c r="EU74" i="25" s="1"/>
  <c r="FG74" i="25"/>
  <c r="CX74" i="25"/>
  <c r="CL33" i="25"/>
  <c r="EQ33" i="25"/>
  <c r="EU33" i="25" s="1"/>
  <c r="FG33" i="25"/>
  <c r="DP33" i="25"/>
  <c r="CX33" i="25"/>
  <c r="DP79" i="25"/>
  <c r="EQ79" i="25"/>
  <c r="EU79" i="25" s="1"/>
  <c r="CX79" i="25"/>
  <c r="FG79" i="25"/>
  <c r="CL79" i="25"/>
  <c r="CX125" i="25"/>
  <c r="DP125" i="25"/>
  <c r="CL125" i="25"/>
  <c r="EQ125" i="25"/>
  <c r="EU125" i="25" s="1"/>
  <c r="FG125" i="25"/>
  <c r="FG85" i="25"/>
  <c r="CL85" i="25"/>
  <c r="DP85" i="25"/>
  <c r="EQ85" i="25"/>
  <c r="EU85" i="25" s="1"/>
  <c r="CX85" i="25"/>
  <c r="EQ145" i="25"/>
  <c r="EU145" i="25" s="1"/>
  <c r="FG145" i="25"/>
  <c r="CL145" i="25"/>
  <c r="DP145" i="25"/>
  <c r="CX145" i="25"/>
  <c r="EQ57" i="25"/>
  <c r="EU57" i="25" s="1"/>
  <c r="DP57" i="25"/>
  <c r="CX57" i="25"/>
  <c r="CL57" i="25"/>
  <c r="FG57" i="25"/>
  <c r="EQ129" i="25"/>
  <c r="EU129" i="25" s="1"/>
  <c r="FG129" i="25"/>
  <c r="CL129" i="25"/>
  <c r="DP129" i="25"/>
  <c r="CX129" i="25"/>
  <c r="FG143" i="25"/>
  <c r="CL143" i="25"/>
  <c r="DP143" i="25"/>
  <c r="CX143" i="25"/>
  <c r="EQ143" i="25"/>
  <c r="EU143" i="25" s="1"/>
  <c r="EQ148" i="25"/>
  <c r="EU148" i="25" s="1"/>
  <c r="FG148" i="25"/>
  <c r="DP148" i="25"/>
  <c r="CL148" i="25"/>
  <c r="CX148" i="25"/>
  <c r="DP226" i="25"/>
  <c r="CL226" i="25"/>
  <c r="CX226" i="25"/>
  <c r="CY226" i="25" s="1"/>
  <c r="DP283" i="25"/>
  <c r="CL283" i="25"/>
  <c r="CX283" i="25"/>
  <c r="EQ185" i="25"/>
  <c r="EU185" i="25" s="1"/>
  <c r="FG185" i="25"/>
  <c r="CL185" i="25"/>
  <c r="DP185" i="25"/>
  <c r="CX185" i="25"/>
  <c r="CL276" i="25"/>
  <c r="CX276" i="25"/>
  <c r="DP276" i="25"/>
  <c r="EQ146" i="25"/>
  <c r="EU146" i="25" s="1"/>
  <c r="FG146" i="25"/>
  <c r="CL146" i="25"/>
  <c r="DP146" i="25"/>
  <c r="CX146" i="25"/>
  <c r="CL238" i="25"/>
  <c r="DP238" i="25"/>
  <c r="CX238" i="25"/>
  <c r="CY238" i="25" s="1"/>
  <c r="CL161" i="25"/>
  <c r="FG161" i="25"/>
  <c r="DP161" i="25"/>
  <c r="EQ161" i="25"/>
  <c r="EU161" i="25" s="1"/>
  <c r="CX161" i="25"/>
  <c r="CL237" i="25"/>
  <c r="CX237" i="25"/>
  <c r="DP237" i="25"/>
  <c r="DP294" i="25"/>
  <c r="CX294" i="25"/>
  <c r="CL294" i="25"/>
  <c r="EQ180" i="25"/>
  <c r="EU180" i="25" s="1"/>
  <c r="DP180" i="25"/>
  <c r="CX180" i="25"/>
  <c r="FG180" i="25"/>
  <c r="CL180" i="25"/>
  <c r="CL241" i="25"/>
  <c r="CX241" i="25"/>
  <c r="DP241" i="25"/>
  <c r="CL275" i="25"/>
  <c r="DP275" i="25"/>
  <c r="CX275" i="25"/>
  <c r="FG194" i="25"/>
  <c r="CX194" i="25"/>
  <c r="DP194" i="25"/>
  <c r="CL194" i="25"/>
  <c r="EQ194" i="25"/>
  <c r="EU194" i="25" s="1"/>
  <c r="CX235" i="25"/>
  <c r="CL235" i="25"/>
  <c r="DP235" i="25"/>
  <c r="DP306" i="25"/>
  <c r="CL306" i="25"/>
  <c r="CX306" i="25"/>
  <c r="CU12" i="25"/>
  <c r="CW12" i="25"/>
  <c r="CO12" i="25" s="1"/>
  <c r="CV12" i="25"/>
  <c r="CV8" i="25"/>
  <c r="CW8" i="25"/>
  <c r="CO8" i="25" s="1"/>
  <c r="CU8" i="25"/>
  <c r="CW63" i="25"/>
  <c r="CO63" i="25" s="1"/>
  <c r="CU63" i="25"/>
  <c r="CV63" i="25"/>
  <c r="CV225" i="25"/>
  <c r="CU225" i="25"/>
  <c r="CW225" i="25"/>
  <c r="CO225" i="25" s="1"/>
  <c r="CV230" i="25"/>
  <c r="CU230" i="25"/>
  <c r="CW230" i="25"/>
  <c r="CO230" i="25" s="1"/>
  <c r="CW222" i="25"/>
  <c r="CO222" i="25" s="1"/>
  <c r="CU222" i="25"/>
  <c r="CV222" i="25"/>
  <c r="CU261" i="25"/>
  <c r="CV261" i="25"/>
  <c r="CW261" i="25"/>
  <c r="CO261" i="25" s="1"/>
  <c r="CW74" i="25"/>
  <c r="CO74" i="25" s="1"/>
  <c r="CV74" i="25"/>
  <c r="CU74" i="25"/>
  <c r="CV33" i="25"/>
  <c r="CU33" i="25"/>
  <c r="CW33" i="25"/>
  <c r="CO33" i="25" s="1"/>
  <c r="CU291" i="25"/>
  <c r="CV291" i="25"/>
  <c r="CW291" i="25"/>
  <c r="CO291" i="25" s="1"/>
  <c r="CW238" i="25"/>
  <c r="CO238" i="25" s="1"/>
  <c r="CV238" i="25"/>
  <c r="CU238" i="25"/>
  <c r="CU285" i="25"/>
  <c r="CW285" i="25"/>
  <c r="CO285" i="25" s="1"/>
  <c r="CV285" i="25"/>
  <c r="CU309" i="25"/>
  <c r="CW309" i="25"/>
  <c r="CO309" i="25" s="1"/>
  <c r="CV309" i="25"/>
  <c r="CV273" i="25"/>
  <c r="CW273" i="25"/>
  <c r="CO273" i="25" s="1"/>
  <c r="CU273" i="25"/>
  <c r="CW253" i="25"/>
  <c r="CO253" i="25" s="1"/>
  <c r="CU253" i="25"/>
  <c r="CV253" i="25"/>
  <c r="CV223" i="25"/>
  <c r="CU223" i="25"/>
  <c r="CW223" i="25"/>
  <c r="CO223" i="25" s="1"/>
  <c r="CU197" i="25"/>
  <c r="CW197" i="25"/>
  <c r="CO197" i="25" s="1"/>
  <c r="CV197" i="25"/>
  <c r="CW189" i="25"/>
  <c r="CO189" i="25" s="1"/>
  <c r="CV189" i="25"/>
  <c r="CU189" i="25"/>
  <c r="CU297" i="25"/>
  <c r="CW297" i="25"/>
  <c r="CO297" i="25" s="1"/>
  <c r="CV297" i="25"/>
  <c r="CV296" i="25"/>
  <c r="CU296" i="25"/>
  <c r="CW296" i="25"/>
  <c r="CO296" i="25" s="1"/>
  <c r="CW219" i="25"/>
  <c r="CO219" i="25" s="1"/>
  <c r="CV219" i="25"/>
  <c r="CU219" i="25"/>
  <c r="CW140" i="25"/>
  <c r="CO140" i="25" s="1"/>
  <c r="CV140" i="25"/>
  <c r="CU140" i="25"/>
  <c r="CU54" i="25"/>
  <c r="CW54" i="25"/>
  <c r="CO54" i="25" s="1"/>
  <c r="CV54" i="25"/>
  <c r="CV245" i="25"/>
  <c r="CU245" i="25"/>
  <c r="CW245" i="25"/>
  <c r="CO245" i="25" s="1"/>
  <c r="CW133" i="25"/>
  <c r="CO133" i="25" s="1"/>
  <c r="CU133" i="25"/>
  <c r="CV133" i="25"/>
  <c r="CW123" i="25"/>
  <c r="CO123" i="25" s="1"/>
  <c r="CV123" i="25"/>
  <c r="CU123" i="25"/>
  <c r="CW73" i="25"/>
  <c r="CO73" i="25" s="1"/>
  <c r="CV73" i="25"/>
  <c r="CU73" i="25"/>
  <c r="CW125" i="25"/>
  <c r="CO125" i="25" s="1"/>
  <c r="CV125" i="25"/>
  <c r="CU125" i="25"/>
  <c r="CU118" i="25"/>
  <c r="CW118" i="25"/>
  <c r="CO118" i="25" s="1"/>
  <c r="CV118" i="25"/>
  <c r="CW115" i="25"/>
  <c r="CO115" i="25" s="1"/>
  <c r="CV115" i="25"/>
  <c r="CU115" i="25"/>
  <c r="CW49" i="25"/>
  <c r="CO49" i="25" s="1"/>
  <c r="CU49" i="25"/>
  <c r="CV49" i="25"/>
  <c r="CV204" i="25"/>
  <c r="CU204" i="25"/>
  <c r="CW204" i="25"/>
  <c r="CO204" i="25" s="1"/>
  <c r="CW182" i="25"/>
  <c r="CO182" i="25" s="1"/>
  <c r="CU182" i="25"/>
  <c r="CV182" i="25"/>
  <c r="CW178" i="25"/>
  <c r="CO178" i="25" s="1"/>
  <c r="CU178" i="25"/>
  <c r="CV178" i="25"/>
  <c r="CV192" i="25"/>
  <c r="CW192" i="25"/>
  <c r="CO192" i="25" s="1"/>
  <c r="CU192" i="25"/>
  <c r="CW258" i="25"/>
  <c r="CO258" i="25" s="1"/>
  <c r="CV258" i="25"/>
  <c r="CU258" i="25"/>
  <c r="FG154" i="25"/>
  <c r="CL154" i="25"/>
  <c r="EQ154" i="25"/>
  <c r="EU154" i="25" s="1"/>
  <c r="DP154" i="25"/>
  <c r="CX154" i="25"/>
  <c r="CY154" i="25" s="1"/>
  <c r="DP305" i="25"/>
  <c r="CX305" i="25"/>
  <c r="CL305" i="25"/>
  <c r="FG68" i="25"/>
  <c r="CL68" i="25"/>
  <c r="DP68" i="25"/>
  <c r="EQ68" i="25"/>
  <c r="EU68" i="25" s="1"/>
  <c r="CX68" i="25"/>
  <c r="DP64" i="25"/>
  <c r="EQ64" i="25"/>
  <c r="EU64" i="25" s="1"/>
  <c r="FG64" i="25"/>
  <c r="CL64" i="25"/>
  <c r="CX64" i="25"/>
  <c r="EQ128" i="25"/>
  <c r="EU128" i="25" s="1"/>
  <c r="FG128" i="25"/>
  <c r="CL128" i="25"/>
  <c r="DP128" i="25"/>
  <c r="CX128" i="25"/>
  <c r="CL232" i="25"/>
  <c r="DP232" i="25"/>
  <c r="CX232" i="25"/>
  <c r="EQ179" i="25"/>
  <c r="EU179" i="25" s="1"/>
  <c r="DP179" i="25"/>
  <c r="CX179" i="25"/>
  <c r="FG179" i="25"/>
  <c r="CL179" i="25"/>
  <c r="CU250" i="25"/>
  <c r="CW250" i="25"/>
  <c r="CO250" i="25" s="1"/>
  <c r="CV250" i="25"/>
  <c r="CU94" i="25"/>
  <c r="CW94" i="25"/>
  <c r="CO94" i="25" s="1"/>
  <c r="CV94" i="25"/>
  <c r="CW55" i="25"/>
  <c r="CO55" i="25" s="1"/>
  <c r="CV55" i="25"/>
  <c r="CU55" i="25"/>
  <c r="CU260" i="25"/>
  <c r="CV260" i="25"/>
  <c r="CW260" i="25"/>
  <c r="CO260" i="25" s="1"/>
  <c r="CU124" i="25"/>
  <c r="CW124" i="25"/>
  <c r="CO124" i="25" s="1"/>
  <c r="CV124" i="25"/>
  <c r="CW145" i="25"/>
  <c r="CO145" i="25" s="1"/>
  <c r="CV145" i="25"/>
  <c r="CU145" i="25"/>
  <c r="CW62" i="25"/>
  <c r="CO62" i="25" s="1"/>
  <c r="CU62" i="25"/>
  <c r="CV62" i="25"/>
  <c r="CW139" i="25"/>
  <c r="CO139" i="25" s="1"/>
  <c r="CV139" i="25"/>
  <c r="CU139" i="25"/>
  <c r="CU315" i="25"/>
  <c r="CV315" i="25"/>
  <c r="CW315" i="25"/>
  <c r="CO315" i="25" s="1"/>
  <c r="CW69" i="25"/>
  <c r="CO69" i="25" s="1"/>
  <c r="CV69" i="25"/>
  <c r="CU69" i="25"/>
  <c r="CW177" i="25"/>
  <c r="CO177" i="25" s="1"/>
  <c r="CU177" i="25"/>
  <c r="CV177" i="25"/>
  <c r="FG38" i="25"/>
  <c r="CX38" i="25"/>
  <c r="DP38" i="25"/>
  <c r="EQ38" i="25"/>
  <c r="EU38" i="25" s="1"/>
  <c r="CL38" i="25"/>
  <c r="EQ37" i="25"/>
  <c r="EU37" i="25" s="1"/>
  <c r="CL37" i="25"/>
  <c r="CX37" i="25"/>
  <c r="DP37" i="25"/>
  <c r="FG37" i="25"/>
  <c r="FG14" i="25"/>
  <c r="CX14" i="25"/>
  <c r="CL14" i="25"/>
  <c r="EQ14" i="25"/>
  <c r="EU14" i="25" s="1"/>
  <c r="DP14" i="25"/>
  <c r="EQ176" i="25"/>
  <c r="EU176" i="25" s="1"/>
  <c r="DP176" i="25"/>
  <c r="FG176" i="25"/>
  <c r="CX176" i="25"/>
  <c r="CL176" i="25"/>
  <c r="FG17" i="25"/>
  <c r="CL17" i="25"/>
  <c r="EQ17" i="25"/>
  <c r="EU17" i="25" s="1"/>
  <c r="CX17" i="25"/>
  <c r="DP17" i="25"/>
  <c r="FG175" i="25"/>
  <c r="CX175" i="25"/>
  <c r="DP175" i="25"/>
  <c r="CL175" i="25"/>
  <c r="EQ175" i="25"/>
  <c r="EU175" i="25" s="1"/>
  <c r="EQ27" i="25"/>
  <c r="EU27" i="25" s="1"/>
  <c r="DP27" i="25"/>
  <c r="CL27" i="25"/>
  <c r="FG27" i="25"/>
  <c r="CX27" i="25"/>
  <c r="DP82" i="25"/>
  <c r="CL82" i="25"/>
  <c r="FG82" i="25"/>
  <c r="EQ82" i="25"/>
  <c r="EU82" i="25" s="1"/>
  <c r="CX82" i="25"/>
  <c r="CY82" i="25" s="1"/>
  <c r="CL55" i="25"/>
  <c r="FG55" i="25"/>
  <c r="EQ55" i="25"/>
  <c r="EU55" i="25" s="1"/>
  <c r="DP55" i="25"/>
  <c r="CX55" i="25"/>
  <c r="DP47" i="25"/>
  <c r="FG47" i="25"/>
  <c r="EQ47" i="25"/>
  <c r="EU47" i="25" s="1"/>
  <c r="CL47" i="25"/>
  <c r="CX47" i="25"/>
  <c r="CX266" i="25"/>
  <c r="DP266" i="25"/>
  <c r="CL266" i="25"/>
  <c r="DP90" i="25"/>
  <c r="CL90" i="25"/>
  <c r="CX90" i="25"/>
  <c r="EQ90" i="25"/>
  <c r="EU90" i="25" s="1"/>
  <c r="FG90" i="25"/>
  <c r="CX277" i="25"/>
  <c r="CL277" i="25"/>
  <c r="DP277" i="25"/>
  <c r="CL87" i="25"/>
  <c r="EQ87" i="25"/>
  <c r="EU87" i="25" s="1"/>
  <c r="CX87" i="25"/>
  <c r="FG87" i="25"/>
  <c r="DP87" i="25"/>
  <c r="EQ34" i="25"/>
  <c r="EU34" i="25" s="1"/>
  <c r="CX34" i="25"/>
  <c r="DP34" i="25"/>
  <c r="CL34" i="25"/>
  <c r="FG34" i="25"/>
  <c r="CL86" i="25"/>
  <c r="DP86" i="25"/>
  <c r="CX86" i="25"/>
  <c r="FG86" i="25"/>
  <c r="EQ86" i="25"/>
  <c r="EU86" i="25" s="1"/>
  <c r="DP126" i="25"/>
  <c r="CL126" i="25"/>
  <c r="EQ126" i="25"/>
  <c r="EU126" i="25" s="1"/>
  <c r="FG126" i="25"/>
  <c r="CX126" i="25"/>
  <c r="EQ100" i="25"/>
  <c r="EU100" i="25" s="1"/>
  <c r="DP100" i="25"/>
  <c r="CL100" i="25"/>
  <c r="CX100" i="25"/>
  <c r="FG100" i="25"/>
  <c r="EQ177" i="25"/>
  <c r="EU177" i="25" s="1"/>
  <c r="CL177" i="25"/>
  <c r="CX177" i="25"/>
  <c r="FG177" i="25"/>
  <c r="DP177" i="25"/>
  <c r="EQ65" i="25"/>
  <c r="EU65" i="25" s="1"/>
  <c r="DP65" i="25"/>
  <c r="CL65" i="25"/>
  <c r="CX65" i="25"/>
  <c r="FG65" i="25"/>
  <c r="EQ130" i="25"/>
  <c r="EU130" i="25" s="1"/>
  <c r="DP130" i="25"/>
  <c r="CX130" i="25"/>
  <c r="FG130" i="25"/>
  <c r="CL130" i="25"/>
  <c r="FG151" i="25"/>
  <c r="CL151" i="25"/>
  <c r="CX151" i="25"/>
  <c r="DP151" i="25"/>
  <c r="EQ151" i="25"/>
  <c r="EU151" i="25" s="1"/>
  <c r="FG153" i="25"/>
  <c r="CL153" i="25"/>
  <c r="EQ153" i="25"/>
  <c r="EU153" i="25" s="1"/>
  <c r="DP153" i="25"/>
  <c r="CX153" i="25"/>
  <c r="CX233" i="25"/>
  <c r="DP233" i="25"/>
  <c r="CL233" i="25"/>
  <c r="CL285" i="25"/>
  <c r="CX285" i="25"/>
  <c r="DP285" i="25"/>
  <c r="FG188" i="25"/>
  <c r="DP188" i="25"/>
  <c r="EQ188" i="25"/>
  <c r="EU188" i="25" s="1"/>
  <c r="CL188" i="25"/>
  <c r="CX188" i="25"/>
  <c r="CL280" i="25"/>
  <c r="DP280" i="25"/>
  <c r="CX280" i="25"/>
  <c r="CL156" i="25"/>
  <c r="FG156" i="25"/>
  <c r="DP156" i="25"/>
  <c r="EQ156" i="25"/>
  <c r="EU156" i="25" s="1"/>
  <c r="CX156" i="25"/>
  <c r="CL243" i="25"/>
  <c r="DP243" i="25"/>
  <c r="CX243" i="25"/>
  <c r="FG164" i="25"/>
  <c r="CL164" i="25"/>
  <c r="EQ164" i="25"/>
  <c r="EU164" i="25" s="1"/>
  <c r="DP164" i="25"/>
  <c r="CX164" i="25"/>
  <c r="CY164" i="25" s="1"/>
  <c r="CL244" i="25"/>
  <c r="DP244" i="25"/>
  <c r="CX244" i="25"/>
  <c r="CL295" i="25"/>
  <c r="CX295" i="25"/>
  <c r="DP295" i="25"/>
  <c r="EQ181" i="25"/>
  <c r="EU181" i="25" s="1"/>
  <c r="DP181" i="25"/>
  <c r="CL181" i="25"/>
  <c r="CX181" i="25"/>
  <c r="FG181" i="25"/>
  <c r="DP242" i="25"/>
  <c r="CL242" i="25"/>
  <c r="CX242" i="25"/>
  <c r="CL307" i="25"/>
  <c r="DP307" i="25"/>
  <c r="CX307" i="25"/>
  <c r="DP195" i="25"/>
  <c r="CX195" i="25"/>
  <c r="CL195" i="25"/>
  <c r="EQ195" i="25"/>
  <c r="EU195" i="25" s="1"/>
  <c r="FG195" i="25"/>
  <c r="DP250" i="25"/>
  <c r="CL250" i="25"/>
  <c r="CX250" i="25"/>
  <c r="CU159" i="25"/>
  <c r="CW159" i="25"/>
  <c r="CO159" i="25" s="1"/>
  <c r="CV159" i="25"/>
  <c r="CV152" i="25"/>
  <c r="CW152" i="25"/>
  <c r="CO152" i="25" s="1"/>
  <c r="CU152" i="25"/>
  <c r="CW82" i="25"/>
  <c r="CO82" i="25" s="1"/>
  <c r="CU82" i="25"/>
  <c r="CV82" i="25"/>
  <c r="CV154" i="25"/>
  <c r="CW154" i="25"/>
  <c r="CO154" i="25" s="1"/>
  <c r="CU154" i="25"/>
  <c r="CU288" i="25"/>
  <c r="CW288" i="25"/>
  <c r="CO288" i="25" s="1"/>
  <c r="CV288" i="25"/>
  <c r="CU236" i="25"/>
  <c r="CW236" i="25"/>
  <c r="CO236" i="25" s="1"/>
  <c r="CV236" i="25"/>
  <c r="CU36" i="25"/>
  <c r="CW36" i="25"/>
  <c r="CO36" i="25" s="1"/>
  <c r="CV36" i="25"/>
  <c r="CU313" i="25"/>
  <c r="CW313" i="25"/>
  <c r="CO313" i="25" s="1"/>
  <c r="CV313" i="25"/>
  <c r="CV163" i="25"/>
  <c r="CW163" i="25"/>
  <c r="CO163" i="25" s="1"/>
  <c r="CU163" i="25"/>
  <c r="CU90" i="25"/>
  <c r="CW90" i="25"/>
  <c r="CO90" i="25" s="1"/>
  <c r="CV90" i="25"/>
  <c r="CW221" i="25"/>
  <c r="CO221" i="25" s="1"/>
  <c r="CU221" i="25"/>
  <c r="CV221" i="25"/>
  <c r="CV224" i="25"/>
  <c r="CU224" i="25"/>
  <c r="CW224" i="25"/>
  <c r="CO224" i="25" s="1"/>
  <c r="CW155" i="25"/>
  <c r="CO155" i="25" s="1"/>
  <c r="CU155" i="25"/>
  <c r="CV155" i="25"/>
  <c r="CW281" i="25"/>
  <c r="CO281" i="25" s="1"/>
  <c r="CU281" i="25"/>
  <c r="CV281" i="25"/>
  <c r="CW310" i="25"/>
  <c r="CO310" i="25" s="1"/>
  <c r="CU310" i="25"/>
  <c r="CV310" i="25"/>
  <c r="CV278" i="25"/>
  <c r="CU278" i="25"/>
  <c r="CW278" i="25"/>
  <c r="CO278" i="25" s="1"/>
  <c r="CU263" i="25"/>
  <c r="CV263" i="25"/>
  <c r="CW263" i="25"/>
  <c r="CO263" i="25" s="1"/>
  <c r="CV194" i="25"/>
  <c r="CW194" i="25"/>
  <c r="CO194" i="25" s="1"/>
  <c r="CU194" i="25"/>
  <c r="CW142" i="25"/>
  <c r="CO142" i="25" s="1"/>
  <c r="CV142" i="25"/>
  <c r="CU142" i="25"/>
  <c r="CV170" i="25"/>
  <c r="CU170" i="25"/>
  <c r="CW170" i="25"/>
  <c r="CO170" i="25" s="1"/>
  <c r="CW167" i="25"/>
  <c r="CO167" i="25" s="1"/>
  <c r="CU167" i="25"/>
  <c r="CV167" i="25"/>
  <c r="CV293" i="25"/>
  <c r="CW293" i="25"/>
  <c r="CO293" i="25" s="1"/>
  <c r="CU293" i="25"/>
  <c r="CW135" i="25"/>
  <c r="CO135" i="25" s="1"/>
  <c r="CV135" i="25"/>
  <c r="CU135" i="25"/>
  <c r="CU17" i="25"/>
  <c r="CV17" i="25"/>
  <c r="CW17" i="25"/>
  <c r="CO17" i="25" s="1"/>
  <c r="CV46" i="25"/>
  <c r="CU46" i="25"/>
  <c r="CW46" i="25"/>
  <c r="CO46" i="25" s="1"/>
  <c r="CU21" i="25"/>
  <c r="CW21" i="25"/>
  <c r="CO21" i="25" s="1"/>
  <c r="CV21" i="25"/>
  <c r="CU13" i="25"/>
  <c r="CW13" i="25"/>
  <c r="CO13" i="25" s="1"/>
  <c r="CV13" i="25"/>
  <c r="CW127" i="25"/>
  <c r="CO127" i="25" s="1"/>
  <c r="CV127" i="25"/>
  <c r="CU127" i="25"/>
  <c r="CU101" i="25"/>
  <c r="CW101" i="25"/>
  <c r="CO101" i="25" s="1"/>
  <c r="CV101" i="25"/>
  <c r="CW126" i="25"/>
  <c r="CO126" i="25" s="1"/>
  <c r="CU126" i="25"/>
  <c r="CV126" i="25"/>
  <c r="CW128" i="25"/>
  <c r="CO128" i="25" s="1"/>
  <c r="CU128" i="25"/>
  <c r="CV128" i="25"/>
  <c r="CW117" i="25"/>
  <c r="CO117" i="25" s="1"/>
  <c r="CV117" i="25"/>
  <c r="CU117" i="25"/>
  <c r="CU96" i="25"/>
  <c r="CW96" i="25"/>
  <c r="CO96" i="25" s="1"/>
  <c r="CV96" i="25"/>
  <c r="CU243" i="25"/>
  <c r="CV243" i="25"/>
  <c r="CW243" i="25"/>
  <c r="CO243" i="25" s="1"/>
  <c r="CW198" i="25"/>
  <c r="CO198" i="25" s="1"/>
  <c r="CU198" i="25"/>
  <c r="CV198" i="25"/>
  <c r="CV208" i="25"/>
  <c r="CU208" i="25"/>
  <c r="CW208" i="25"/>
  <c r="CO208" i="25" s="1"/>
  <c r="CU195" i="25"/>
  <c r="CV195" i="25"/>
  <c r="CW195" i="25"/>
  <c r="CO195" i="25" s="1"/>
  <c r="CW171" i="25"/>
  <c r="CO171" i="25" s="1"/>
  <c r="CU171" i="25"/>
  <c r="CV171" i="25"/>
  <c r="EQ12" i="25"/>
  <c r="EU12" i="25" s="1"/>
  <c r="DP12" i="25"/>
  <c r="FG12" i="25"/>
  <c r="CL12" i="25"/>
  <c r="CX12" i="25"/>
  <c r="CX269" i="25"/>
  <c r="CL269" i="25"/>
  <c r="DP269" i="25"/>
  <c r="CL225" i="25"/>
  <c r="DP225" i="25"/>
  <c r="CX225" i="25"/>
  <c r="CW185" i="25"/>
  <c r="CO185" i="25" s="1"/>
  <c r="CV185" i="25"/>
  <c r="CU185" i="25"/>
  <c r="CU176" i="25"/>
  <c r="CW176" i="25"/>
  <c r="CO176" i="25" s="1"/>
  <c r="CV176" i="25"/>
  <c r="CT176" i="25"/>
  <c r="CT175" i="25"/>
  <c r="CT173" i="25"/>
  <c r="CT286" i="25"/>
  <c r="CT284" i="25"/>
  <c r="CT282" i="25"/>
  <c r="CT277" i="25"/>
  <c r="CT264" i="25"/>
  <c r="CT249" i="25"/>
  <c r="CT201" i="25"/>
  <c r="CT177" i="25"/>
  <c r="CT174" i="25"/>
  <c r="CT256" i="25"/>
  <c r="CT235" i="25"/>
  <c r="CT208" i="25"/>
  <c r="CT199" i="25"/>
  <c r="CT178" i="25"/>
  <c r="CT251" i="25"/>
  <c r="CT241" i="25"/>
  <c r="CT209" i="25"/>
  <c r="CT205" i="25"/>
  <c r="CT198" i="25"/>
  <c r="CT182" i="25"/>
  <c r="CT181" i="25"/>
  <c r="CT180" i="25"/>
  <c r="CT179" i="25"/>
  <c r="CT271" i="25"/>
  <c r="CT252" i="25"/>
  <c r="CT243" i="25"/>
  <c r="FD243" i="25" s="1"/>
  <c r="CT231" i="25"/>
  <c r="CT207" i="25"/>
  <c r="CT204" i="25"/>
  <c r="CT203" i="25"/>
  <c r="CT197" i="25"/>
  <c r="CT146" i="25"/>
  <c r="CT295" i="25"/>
  <c r="CT294" i="25"/>
  <c r="CT245" i="25"/>
  <c r="CT183" i="25"/>
  <c r="CT169" i="25"/>
  <c r="CT168" i="25"/>
  <c r="CT165" i="25"/>
  <c r="CT184" i="25"/>
  <c r="CT141" i="25"/>
  <c r="CT202" i="25"/>
  <c r="CT172" i="25"/>
  <c r="CT143" i="25"/>
  <c r="CT97" i="25"/>
  <c r="CT83" i="25"/>
  <c r="CT140" i="25"/>
  <c r="CT132" i="25"/>
  <c r="CT131" i="25"/>
  <c r="CT115" i="25"/>
  <c r="CT113" i="25"/>
  <c r="CT111" i="25"/>
  <c r="CT137" i="25"/>
  <c r="CT130" i="25"/>
  <c r="CT129" i="25"/>
  <c r="CT128" i="25"/>
  <c r="CT118" i="25"/>
  <c r="CT69" i="25"/>
  <c r="CT65" i="25"/>
  <c r="CT57" i="25"/>
  <c r="CT296" i="25"/>
  <c r="CT145" i="25"/>
  <c r="CT139" i="25"/>
  <c r="CT134" i="25"/>
  <c r="CT127" i="25"/>
  <c r="CT123" i="25"/>
  <c r="CT122" i="25"/>
  <c r="CT120" i="25"/>
  <c r="CT229" i="25"/>
  <c r="CT148" i="25"/>
  <c r="CT110" i="25"/>
  <c r="CT297" i="25"/>
  <c r="CT233" i="25"/>
  <c r="CT73" i="25"/>
  <c r="CT29" i="25"/>
  <c r="CT144" i="25"/>
  <c r="CT133" i="25"/>
  <c r="CT269" i="25"/>
  <c r="CT247" i="25"/>
  <c r="CT171" i="25"/>
  <c r="CT125" i="25"/>
  <c r="CT13" i="25"/>
  <c r="CT17" i="25"/>
  <c r="CT206" i="25"/>
  <c r="CT136" i="25"/>
  <c r="CT135" i="25"/>
  <c r="CT53" i="25"/>
  <c r="CT142" i="25"/>
  <c r="CT126" i="25"/>
  <c r="CT49" i="25"/>
  <c r="CT35" i="25"/>
  <c r="CT25" i="25"/>
  <c r="CT21" i="25"/>
  <c r="CT138" i="25"/>
  <c r="CT87" i="25"/>
  <c r="CT61" i="25"/>
  <c r="CT75" i="25"/>
  <c r="CT170" i="25"/>
  <c r="CT14" i="25"/>
  <c r="CT84" i="25"/>
  <c r="CT119" i="25"/>
  <c r="CT192" i="25"/>
  <c r="CT6" i="25"/>
  <c r="CT46" i="25"/>
  <c r="CT62" i="25"/>
  <c r="CT70" i="25"/>
  <c r="CT81" i="25"/>
  <c r="CT88" i="25"/>
  <c r="CT18" i="25"/>
  <c r="CT10" i="25"/>
  <c r="CT22" i="25"/>
  <c r="CT79" i="25"/>
  <c r="CT92" i="25"/>
  <c r="CT60" i="25"/>
  <c r="CT188" i="25"/>
  <c r="CT195" i="25"/>
  <c r="CT217" i="25"/>
  <c r="CT292" i="25"/>
  <c r="CT42" i="25"/>
  <c r="CT56" i="25"/>
  <c r="CT54" i="25"/>
  <c r="CT101" i="25"/>
  <c r="CT117" i="25"/>
  <c r="CT223" i="25"/>
  <c r="CT299" i="25"/>
  <c r="CT262" i="25"/>
  <c r="CT9" i="25"/>
  <c r="CT105" i="25"/>
  <c r="CT26" i="25"/>
  <c r="CT64" i="25"/>
  <c r="CT72" i="25"/>
  <c r="CT289" i="25"/>
  <c r="CT279" i="25"/>
  <c r="CT191" i="25"/>
  <c r="CT166" i="25"/>
  <c r="CT258" i="25"/>
  <c r="CT316" i="25"/>
  <c r="CT283" i="25"/>
  <c r="CT34" i="25"/>
  <c r="CT287" i="25"/>
  <c r="CT66" i="25"/>
  <c r="CT16" i="25"/>
  <c r="CT124" i="25"/>
  <c r="CT116" i="25"/>
  <c r="CT80" i="25"/>
  <c r="CT266" i="25"/>
  <c r="CT285" i="25"/>
  <c r="CT98" i="25"/>
  <c r="CT147" i="25"/>
  <c r="CT38" i="25"/>
  <c r="CT30" i="25"/>
  <c r="CT200" i="25"/>
  <c r="CT102" i="25"/>
  <c r="CT303" i="25"/>
  <c r="CT95" i="25"/>
  <c r="CT312" i="25"/>
  <c r="CT190" i="25"/>
  <c r="CT114" i="25"/>
  <c r="CT315" i="25"/>
  <c r="CT167" i="25"/>
  <c r="CT196" i="25"/>
  <c r="CT278" i="25"/>
  <c r="CT227" i="25"/>
  <c r="CT121" i="25"/>
  <c r="CT68" i="25"/>
  <c r="CT50" i="25"/>
  <c r="CT306" i="25"/>
  <c r="CT265" i="25"/>
  <c r="CT263" i="25"/>
  <c r="CT253" i="25"/>
  <c r="CT58" i="25"/>
  <c r="CT189" i="25"/>
  <c r="CT237" i="25"/>
  <c r="CT300" i="25"/>
  <c r="CT193" i="25"/>
  <c r="CT257" i="25"/>
  <c r="CT293" i="25"/>
  <c r="CT310" i="25"/>
  <c r="CT254" i="25"/>
  <c r="CT219" i="25"/>
  <c r="CT280" i="25"/>
  <c r="CT305" i="25"/>
  <c r="CT309" i="25"/>
  <c r="CT311" i="25"/>
  <c r="CT239" i="25"/>
  <c r="CT268" i="25"/>
  <c r="CT194" i="25"/>
  <c r="CT255" i="25"/>
  <c r="CT91" i="25"/>
  <c r="CT149" i="25"/>
  <c r="CT260" i="25"/>
  <c r="CT273" i="25"/>
  <c r="CT275" i="25"/>
  <c r="CT304" i="25"/>
  <c r="CT96" i="25"/>
  <c r="CT276" i="25"/>
  <c r="CT281" i="25"/>
  <c r="CT41" i="25"/>
  <c r="CT298" i="25"/>
  <c r="CT224" i="25"/>
  <c r="CT240" i="25"/>
  <c r="CT155" i="25"/>
  <c r="CT55" i="25"/>
  <c r="CT47" i="25"/>
  <c r="CT225" i="25"/>
  <c r="FD225" i="25" s="1"/>
  <c r="CT59" i="25"/>
  <c r="CT44" i="25"/>
  <c r="CT154" i="25"/>
  <c r="CT267" i="25"/>
  <c r="CT238" i="25"/>
  <c r="CT33" i="25"/>
  <c r="CT15" i="25"/>
  <c r="CT291" i="25"/>
  <c r="CT77" i="25"/>
  <c r="CT7" i="25"/>
  <c r="FD7" i="25" s="1"/>
  <c r="CT36" i="25"/>
  <c r="CT301" i="25"/>
  <c r="CT19" i="25"/>
  <c r="CT162" i="25"/>
  <c r="CT187" i="25"/>
  <c r="CT100" i="25"/>
  <c r="CT156" i="25"/>
  <c r="CT220" i="25"/>
  <c r="CT27" i="25"/>
  <c r="CT185" i="25"/>
  <c r="CT288" i="25"/>
  <c r="CT157" i="25"/>
  <c r="CT163" i="25"/>
  <c r="CT222" i="25"/>
  <c r="CT259" i="25"/>
  <c r="CT218" i="25"/>
  <c r="CT232" i="25"/>
  <c r="CT32" i="25"/>
  <c r="CT103" i="25"/>
  <c r="CT290" i="25"/>
  <c r="CT270" i="25"/>
  <c r="CT20" i="25"/>
  <c r="CT76" i="25"/>
  <c r="CT28" i="25"/>
  <c r="CT242" i="25"/>
  <c r="CT313" i="25"/>
  <c r="CT86" i="25"/>
  <c r="CT48" i="25"/>
  <c r="CT67" i="25"/>
  <c r="CT159" i="25"/>
  <c r="CT99" i="25"/>
  <c r="CT37" i="25"/>
  <c r="CT8" i="25"/>
  <c r="CT228" i="25"/>
  <c r="CT11" i="25"/>
  <c r="CT307" i="25"/>
  <c r="CT161" i="25"/>
  <c r="CT248" i="25"/>
  <c r="CT31" i="25"/>
  <c r="CT90" i="25"/>
  <c r="CT160" i="25"/>
  <c r="CT158" i="25"/>
  <c r="CT82" i="25"/>
  <c r="CT226" i="25"/>
  <c r="CT150" i="25"/>
  <c r="CT71" i="25"/>
  <c r="CT230" i="25"/>
  <c r="CT94" i="25"/>
  <c r="CT164" i="25"/>
  <c r="CT216" i="25"/>
  <c r="CT74" i="25"/>
  <c r="CT78" i="25"/>
  <c r="CT85" i="25"/>
  <c r="CT186" i="25"/>
  <c r="CT274" i="25"/>
  <c r="CT236" i="25"/>
  <c r="CT89" i="25"/>
  <c r="CT151" i="25"/>
  <c r="CT45" i="25"/>
  <c r="CT244" i="25"/>
  <c r="CT210" i="25"/>
  <c r="CT153" i="25"/>
  <c r="CT234" i="25"/>
  <c r="CT152" i="25"/>
  <c r="CT246" i="25"/>
  <c r="CT51" i="25"/>
  <c r="CT43" i="25"/>
  <c r="CT12" i="25"/>
  <c r="CT63" i="25"/>
  <c r="CT314" i="25"/>
  <c r="CT93" i="25"/>
  <c r="CT104" i="25"/>
  <c r="CT23" i="25"/>
  <c r="CT308" i="25"/>
  <c r="CT261" i="25"/>
  <c r="CT302" i="25"/>
  <c r="CT272" i="25"/>
  <c r="CT24" i="25"/>
  <c r="CT40" i="25"/>
  <c r="CT250" i="25"/>
  <c r="CT39" i="25"/>
  <c r="CT221" i="25"/>
  <c r="CT52" i="25"/>
  <c r="FG24" i="25"/>
  <c r="DP24" i="25"/>
  <c r="CX24" i="25"/>
  <c r="CL24" i="25"/>
  <c r="EQ24" i="25"/>
  <c r="EU24" i="25" s="1"/>
  <c r="FG58" i="25"/>
  <c r="EQ58" i="25"/>
  <c r="EU58" i="25" s="1"/>
  <c r="DP58" i="25"/>
  <c r="CL58" i="25"/>
  <c r="CX58" i="25"/>
  <c r="CL29" i="25"/>
  <c r="EQ29" i="25"/>
  <c r="EU29" i="25" s="1"/>
  <c r="CX29" i="25"/>
  <c r="FG29" i="25"/>
  <c r="DP29" i="25"/>
  <c r="CL81" i="25"/>
  <c r="FG81" i="25"/>
  <c r="DP81" i="25"/>
  <c r="EQ81" i="25"/>
  <c r="EU81" i="25" s="1"/>
  <c r="CX81" i="25"/>
  <c r="DP42" i="25"/>
  <c r="FG42" i="25"/>
  <c r="CX42" i="25"/>
  <c r="EQ42" i="25"/>
  <c r="EU42" i="25" s="1"/>
  <c r="CL42" i="25"/>
  <c r="CL9" i="25"/>
  <c r="FG9" i="25"/>
  <c r="EQ9" i="25"/>
  <c r="EU9" i="25" s="1"/>
  <c r="DP9" i="25"/>
  <c r="CX9" i="25"/>
  <c r="DP28" i="25"/>
  <c r="FG28" i="25"/>
  <c r="CX28" i="25"/>
  <c r="CL28" i="25"/>
  <c r="EQ28" i="25"/>
  <c r="EU28" i="25" s="1"/>
  <c r="CX92" i="25"/>
  <c r="DP92" i="25"/>
  <c r="CL92" i="25"/>
  <c r="EQ92" i="25"/>
  <c r="EU92" i="25" s="1"/>
  <c r="FG92" i="25"/>
  <c r="FG71" i="25"/>
  <c r="EQ71" i="25"/>
  <c r="EU71" i="25" s="1"/>
  <c r="DP71" i="25"/>
  <c r="CL71" i="25"/>
  <c r="CX71" i="25"/>
  <c r="DP48" i="25"/>
  <c r="CX48" i="25"/>
  <c r="CL48" i="25"/>
  <c r="EQ48" i="25"/>
  <c r="EU48" i="25" s="1"/>
  <c r="FG48" i="25"/>
  <c r="CL284" i="25"/>
  <c r="DP284" i="25"/>
  <c r="CX284" i="25"/>
  <c r="EQ96" i="25"/>
  <c r="EU96" i="25" s="1"/>
  <c r="FG96" i="25"/>
  <c r="CX96" i="25"/>
  <c r="DP96" i="25"/>
  <c r="CL96" i="25"/>
  <c r="DP298" i="25"/>
  <c r="CL298" i="25"/>
  <c r="CX298" i="25"/>
  <c r="CL95" i="25"/>
  <c r="EQ95" i="25"/>
  <c r="EU95" i="25" s="1"/>
  <c r="CX95" i="25"/>
  <c r="FG95" i="25"/>
  <c r="DP95" i="25"/>
  <c r="FG40" i="25"/>
  <c r="DP40" i="25"/>
  <c r="CX40" i="25"/>
  <c r="CL40" i="25"/>
  <c r="EQ40" i="25"/>
  <c r="EU40" i="25" s="1"/>
  <c r="DP88" i="25"/>
  <c r="CL88" i="25"/>
  <c r="FG88" i="25"/>
  <c r="CX88" i="25"/>
  <c r="EQ88" i="25"/>
  <c r="EU88" i="25" s="1"/>
  <c r="FG139" i="25"/>
  <c r="CL139" i="25"/>
  <c r="DP139" i="25"/>
  <c r="EQ139" i="25"/>
  <c r="EU139" i="25" s="1"/>
  <c r="CX139" i="25"/>
  <c r="EQ121" i="25"/>
  <c r="EU121" i="25" s="1"/>
  <c r="CL121" i="25"/>
  <c r="FG121" i="25"/>
  <c r="CX121" i="25"/>
  <c r="DP121" i="25"/>
  <c r="DP227" i="25"/>
  <c r="CX227" i="25"/>
  <c r="CL227" i="25"/>
  <c r="EQ69" i="25"/>
  <c r="EU69" i="25" s="1"/>
  <c r="CX69" i="25"/>
  <c r="DP69" i="25"/>
  <c r="FG69" i="25"/>
  <c r="CL69" i="25"/>
  <c r="FG140" i="25"/>
  <c r="DP140" i="25"/>
  <c r="CL140" i="25"/>
  <c r="EQ140" i="25"/>
  <c r="EU140" i="25" s="1"/>
  <c r="CX140" i="25"/>
  <c r="EQ173" i="25"/>
  <c r="EU173" i="25" s="1"/>
  <c r="DP173" i="25"/>
  <c r="CX173" i="25"/>
  <c r="CL173" i="25"/>
  <c r="FG173" i="25"/>
  <c r="EQ171" i="25"/>
  <c r="EU171" i="25" s="1"/>
  <c r="CL171" i="25"/>
  <c r="CX171" i="25"/>
  <c r="DP171" i="25"/>
  <c r="FG171" i="25"/>
  <c r="CL239" i="25"/>
  <c r="CX239" i="25"/>
  <c r="DP239" i="25"/>
  <c r="CL287" i="25"/>
  <c r="CX287" i="25"/>
  <c r="DP287" i="25"/>
  <c r="EQ189" i="25"/>
  <c r="EU189" i="25" s="1"/>
  <c r="CL189" i="25"/>
  <c r="CX189" i="25"/>
  <c r="FG189" i="25"/>
  <c r="DP189" i="25"/>
  <c r="DP290" i="25"/>
  <c r="CL290" i="25"/>
  <c r="CX290" i="25"/>
  <c r="EQ169" i="25"/>
  <c r="EU169" i="25" s="1"/>
  <c r="CL169" i="25"/>
  <c r="FG169" i="25"/>
  <c r="CX169" i="25"/>
  <c r="DP169" i="25"/>
  <c r="CL245" i="25"/>
  <c r="CX245" i="25"/>
  <c r="DP245" i="25"/>
  <c r="DP168" i="25"/>
  <c r="EQ168" i="25"/>
  <c r="EU168" i="25" s="1"/>
  <c r="FG168" i="25"/>
  <c r="CX168" i="25"/>
  <c r="CL168" i="25"/>
  <c r="DP252" i="25"/>
  <c r="CX252" i="25"/>
  <c r="CL252" i="25"/>
  <c r="CL314" i="25"/>
  <c r="DP314" i="25"/>
  <c r="CX314" i="25"/>
  <c r="EQ182" i="25"/>
  <c r="EU182" i="25" s="1"/>
  <c r="CL182" i="25"/>
  <c r="FG182" i="25"/>
  <c r="DP182" i="25"/>
  <c r="CX182" i="25"/>
  <c r="DP251" i="25"/>
  <c r="CL251" i="25"/>
  <c r="CX251" i="25"/>
  <c r="DP309" i="25"/>
  <c r="CL309" i="25"/>
  <c r="CX309" i="25"/>
  <c r="FG197" i="25"/>
  <c r="DP197" i="25"/>
  <c r="EQ197" i="25"/>
  <c r="EU197" i="25" s="1"/>
  <c r="CL197" i="25"/>
  <c r="CX197" i="25"/>
  <c r="DP256" i="25"/>
  <c r="CL256" i="25"/>
  <c r="CX256" i="25"/>
  <c r="CU52" i="25"/>
  <c r="CV52" i="25"/>
  <c r="CW52" i="25"/>
  <c r="CO52" i="25" s="1"/>
  <c r="CW39" i="25"/>
  <c r="CO39" i="25" s="1"/>
  <c r="CU39" i="25"/>
  <c r="CV39" i="25"/>
  <c r="CU246" i="25"/>
  <c r="CW246" i="25"/>
  <c r="CO246" i="25" s="1"/>
  <c r="CV246" i="25"/>
  <c r="CW77" i="25"/>
  <c r="CO77" i="25" s="1"/>
  <c r="CU77" i="25"/>
  <c r="CV77" i="25"/>
  <c r="CV153" i="25"/>
  <c r="CW153" i="25"/>
  <c r="CO153" i="25" s="1"/>
  <c r="CU153" i="25"/>
  <c r="CV71" i="25"/>
  <c r="CU71" i="25"/>
  <c r="CW71" i="25"/>
  <c r="CO71" i="25" s="1"/>
  <c r="CV150" i="25"/>
  <c r="CU150" i="25"/>
  <c r="CW150" i="25"/>
  <c r="CO150" i="25" s="1"/>
  <c r="CV162" i="25"/>
  <c r="CU162" i="25"/>
  <c r="CW162" i="25"/>
  <c r="CO162" i="25" s="1"/>
  <c r="CU242" i="25"/>
  <c r="CW242" i="25"/>
  <c r="CO242" i="25" s="1"/>
  <c r="CV242" i="25"/>
  <c r="CV89" i="25"/>
  <c r="CU89" i="25"/>
  <c r="CW89" i="25"/>
  <c r="CO89" i="25" s="1"/>
  <c r="CU20" i="25"/>
  <c r="CW20" i="25"/>
  <c r="CO20" i="25" s="1"/>
  <c r="CV20" i="25"/>
  <c r="CU48" i="25"/>
  <c r="CW48" i="25"/>
  <c r="CO48" i="25" s="1"/>
  <c r="CV48" i="25"/>
  <c r="CW240" i="25"/>
  <c r="CO240" i="25" s="1"/>
  <c r="CV240" i="25"/>
  <c r="CU240" i="25"/>
  <c r="CW303" i="25"/>
  <c r="CO303" i="25" s="1"/>
  <c r="CU303" i="25"/>
  <c r="CV303" i="25"/>
  <c r="CV300" i="25"/>
  <c r="CW300" i="25"/>
  <c r="CO300" i="25" s="1"/>
  <c r="CU300" i="25"/>
  <c r="CV316" i="25"/>
  <c r="CW316" i="25"/>
  <c r="CO316" i="25" s="1"/>
  <c r="CU316" i="25"/>
  <c r="CV265" i="25"/>
  <c r="CW265" i="25"/>
  <c r="CO265" i="25" s="1"/>
  <c r="CU265" i="25"/>
  <c r="CV193" i="25"/>
  <c r="CW193" i="25"/>
  <c r="CO193" i="25" s="1"/>
  <c r="CU193" i="25"/>
  <c r="CV114" i="25"/>
  <c r="CW114" i="25"/>
  <c r="CO114" i="25" s="1"/>
  <c r="CU114" i="25"/>
  <c r="CW116" i="25"/>
  <c r="CO116" i="25" s="1"/>
  <c r="CV116" i="25"/>
  <c r="CU116" i="25"/>
  <c r="CV119" i="25"/>
  <c r="CW119" i="25"/>
  <c r="CO119" i="25" s="1"/>
  <c r="CU119" i="25"/>
  <c r="CW146" i="25"/>
  <c r="CO146" i="25" s="1"/>
  <c r="CU146" i="25"/>
  <c r="CV146" i="25"/>
  <c r="CW137" i="25"/>
  <c r="CO137" i="25" s="1"/>
  <c r="CV137" i="25"/>
  <c r="CU137" i="25"/>
  <c r="CU25" i="25"/>
  <c r="CV25" i="25"/>
  <c r="CW25" i="25"/>
  <c r="CO25" i="25" s="1"/>
  <c r="CW10" i="25"/>
  <c r="CO10" i="25" s="1"/>
  <c r="CU10" i="25"/>
  <c r="CV10" i="25"/>
  <c r="CV72" i="25"/>
  <c r="CW72" i="25"/>
  <c r="CO72" i="25" s="1"/>
  <c r="CU72" i="25"/>
  <c r="CW134" i="25"/>
  <c r="CO134" i="25" s="1"/>
  <c r="CV134" i="25"/>
  <c r="CU134" i="25"/>
  <c r="CW61" i="25"/>
  <c r="CO61" i="25" s="1"/>
  <c r="CU61" i="25"/>
  <c r="CV61" i="25"/>
  <c r="CW22" i="25"/>
  <c r="CO22" i="25" s="1"/>
  <c r="CV22" i="25"/>
  <c r="CU22" i="25"/>
  <c r="CW183" i="25"/>
  <c r="CO183" i="25" s="1"/>
  <c r="CU183" i="25"/>
  <c r="CV183" i="25"/>
  <c r="CW129" i="25"/>
  <c r="CO129" i="25" s="1"/>
  <c r="CU129" i="25"/>
  <c r="CV129" i="25"/>
  <c r="CW131" i="25"/>
  <c r="CO131" i="25" s="1"/>
  <c r="CV131" i="25"/>
  <c r="CU131" i="25"/>
  <c r="CU169" i="25"/>
  <c r="CW169" i="25"/>
  <c r="CO169" i="25" s="1"/>
  <c r="CV169" i="25"/>
  <c r="CU271" i="25"/>
  <c r="CW271" i="25"/>
  <c r="CO271" i="25" s="1"/>
  <c r="CV271" i="25"/>
  <c r="CU205" i="25"/>
  <c r="CV205" i="25"/>
  <c r="CW205" i="25"/>
  <c r="CO205" i="25" s="1"/>
  <c r="CV235" i="25"/>
  <c r="CU235" i="25"/>
  <c r="CW235" i="25"/>
  <c r="CO235" i="25" s="1"/>
  <c r="CU201" i="25"/>
  <c r="CW201" i="25"/>
  <c r="CO201" i="25" s="1"/>
  <c r="CV201" i="25"/>
  <c r="CW172" i="25"/>
  <c r="CO172" i="25" s="1"/>
  <c r="CV172" i="25"/>
  <c r="CU172" i="25"/>
  <c r="EQ199" i="25"/>
  <c r="EU199" i="25" s="1"/>
  <c r="CX199" i="25"/>
  <c r="CL199" i="25"/>
  <c r="DP199" i="25"/>
  <c r="FG199" i="25"/>
  <c r="CL49" i="25"/>
  <c r="EQ49" i="25"/>
  <c r="EU49" i="25" s="1"/>
  <c r="DP49" i="25"/>
  <c r="FG49" i="25"/>
  <c r="CX49" i="25"/>
  <c r="EQ73" i="25"/>
  <c r="EU73" i="25" s="1"/>
  <c r="CL73" i="25"/>
  <c r="DP73" i="25"/>
  <c r="CX73" i="25"/>
  <c r="FG73" i="25"/>
  <c r="EQ39" i="25"/>
  <c r="EU39" i="25" s="1"/>
  <c r="CL39" i="25"/>
  <c r="FG39" i="25"/>
  <c r="DP39" i="25"/>
  <c r="CX39" i="25"/>
  <c r="DP302" i="25"/>
  <c r="CL302" i="25"/>
  <c r="CX302" i="25"/>
  <c r="EQ184" i="25"/>
  <c r="EU184" i="25" s="1"/>
  <c r="CX184" i="25"/>
  <c r="FG184" i="25"/>
  <c r="DP184" i="25"/>
  <c r="CL184" i="25"/>
  <c r="CX289" i="25"/>
  <c r="CL289" i="25"/>
  <c r="DP289" i="25"/>
  <c r="CL272" i="25"/>
  <c r="DP272" i="25"/>
  <c r="CX272" i="25"/>
  <c r="CW43" i="25"/>
  <c r="CO43" i="25" s="1"/>
  <c r="CV43" i="25"/>
  <c r="CU43" i="25"/>
  <c r="CV160" i="25"/>
  <c r="CU160" i="25"/>
  <c r="CW160" i="25"/>
  <c r="CO160" i="25" s="1"/>
  <c r="CV268" i="25"/>
  <c r="CU268" i="25"/>
  <c r="CW268" i="25"/>
  <c r="CO268" i="25" s="1"/>
  <c r="CW88" i="25"/>
  <c r="CO88" i="25" s="1"/>
  <c r="CV88" i="25"/>
  <c r="CU88" i="25"/>
  <c r="CW181" i="25"/>
  <c r="CO181" i="25" s="1"/>
  <c r="CU181" i="25"/>
  <c r="CV181" i="25"/>
  <c r="CL23" i="25"/>
  <c r="EQ23" i="25"/>
  <c r="EU23" i="25" s="1"/>
  <c r="DP23" i="25"/>
  <c r="FG23" i="25"/>
  <c r="CX23" i="25"/>
  <c r="EQ114" i="25"/>
  <c r="EU114" i="25" s="1"/>
  <c r="CL114" i="25"/>
  <c r="FG114" i="25"/>
  <c r="CX114" i="25"/>
  <c r="DP114" i="25"/>
  <c r="DP60" i="25"/>
  <c r="FG60" i="25"/>
  <c r="EQ60" i="25"/>
  <c r="EU60" i="25" s="1"/>
  <c r="CX60" i="25"/>
  <c r="CL60" i="25"/>
  <c r="DP66" i="25"/>
  <c r="EQ66" i="25"/>
  <c r="EU66" i="25" s="1"/>
  <c r="FG66" i="25"/>
  <c r="CL66" i="25"/>
  <c r="CX66" i="25"/>
  <c r="CY66" i="25" s="1"/>
  <c r="EQ21" i="25"/>
  <c r="EU21" i="25" s="1"/>
  <c r="FG21" i="25"/>
  <c r="CL21" i="25"/>
  <c r="DP21" i="25"/>
  <c r="CX21" i="25"/>
  <c r="EQ13" i="25"/>
  <c r="EU13" i="25" s="1"/>
  <c r="FG13" i="25"/>
  <c r="CL13" i="25"/>
  <c r="DP13" i="25"/>
  <c r="CX13" i="25"/>
  <c r="FG30" i="25"/>
  <c r="CX30" i="25"/>
  <c r="DP30" i="25"/>
  <c r="EQ30" i="25"/>
  <c r="EU30" i="25" s="1"/>
  <c r="CL30" i="25"/>
  <c r="CL105" i="25"/>
  <c r="FG105" i="25"/>
  <c r="EQ105" i="25"/>
  <c r="EU105" i="25" s="1"/>
  <c r="CX105" i="25"/>
  <c r="DP105" i="25"/>
  <c r="CX115" i="25"/>
  <c r="DP115" i="25"/>
  <c r="CL115" i="25"/>
  <c r="FG115" i="25"/>
  <c r="EQ115" i="25"/>
  <c r="EU115" i="25" s="1"/>
  <c r="EQ70" i="25"/>
  <c r="EU70" i="25" s="1"/>
  <c r="DP70" i="25"/>
  <c r="FG70" i="25"/>
  <c r="CX70" i="25"/>
  <c r="CL70" i="25"/>
  <c r="DP313" i="25"/>
  <c r="CL313" i="25"/>
  <c r="CX313" i="25"/>
  <c r="DP104" i="25"/>
  <c r="CL104" i="25"/>
  <c r="EQ104" i="25"/>
  <c r="EU104" i="25" s="1"/>
  <c r="FG104" i="25"/>
  <c r="CX104" i="25"/>
  <c r="CL46" i="25"/>
  <c r="CX46" i="25"/>
  <c r="DP46" i="25"/>
  <c r="EQ46" i="25"/>
  <c r="EU46" i="25" s="1"/>
  <c r="FG46" i="25"/>
  <c r="FG136" i="25"/>
  <c r="CL136" i="25"/>
  <c r="DP136" i="25"/>
  <c r="CX136" i="25"/>
  <c r="EQ136" i="25"/>
  <c r="EU136" i="25" s="1"/>
  <c r="CL45" i="25"/>
  <c r="EQ45" i="25"/>
  <c r="EU45" i="25" s="1"/>
  <c r="FG45" i="25"/>
  <c r="DP45" i="25"/>
  <c r="CX45" i="25"/>
  <c r="CL93" i="25"/>
  <c r="FG93" i="25"/>
  <c r="EQ93" i="25"/>
  <c r="EU93" i="25" s="1"/>
  <c r="DP93" i="25"/>
  <c r="CX93" i="25"/>
  <c r="FG142" i="25"/>
  <c r="DP142" i="25"/>
  <c r="CL142" i="25"/>
  <c r="EQ142" i="25"/>
  <c r="EU142" i="25" s="1"/>
  <c r="CX142" i="25"/>
  <c r="EQ122" i="25"/>
  <c r="EU122" i="25" s="1"/>
  <c r="DP122" i="25"/>
  <c r="CL122" i="25"/>
  <c r="FG122" i="25"/>
  <c r="CX122" i="25"/>
  <c r="DP257" i="25"/>
  <c r="CL257" i="25"/>
  <c r="CX257" i="25"/>
  <c r="EQ78" i="25"/>
  <c r="EU78" i="25" s="1"/>
  <c r="DP78" i="25"/>
  <c r="CL78" i="25"/>
  <c r="FG78" i="25"/>
  <c r="CX78" i="25"/>
  <c r="EQ209" i="25"/>
  <c r="EU209" i="25" s="1"/>
  <c r="FG209" i="25"/>
  <c r="DP209" i="25"/>
  <c r="CX209" i="25"/>
  <c r="CL209" i="25"/>
  <c r="EQ193" i="25"/>
  <c r="EU193" i="25" s="1"/>
  <c r="CL193" i="25"/>
  <c r="DP193" i="25"/>
  <c r="CX193" i="25"/>
  <c r="FG193" i="25"/>
  <c r="EQ172" i="25"/>
  <c r="EU172" i="25" s="1"/>
  <c r="CL172" i="25"/>
  <c r="FG172" i="25"/>
  <c r="CX172" i="25"/>
  <c r="DP172" i="25"/>
  <c r="CL247" i="25"/>
  <c r="DP247" i="25"/>
  <c r="CX247" i="25"/>
  <c r="CL308" i="25"/>
  <c r="CX308" i="25"/>
  <c r="DP308" i="25"/>
  <c r="FG190" i="25"/>
  <c r="CL190" i="25"/>
  <c r="EQ190" i="25"/>
  <c r="EU190" i="25" s="1"/>
  <c r="CX190" i="25"/>
  <c r="DP190" i="25"/>
  <c r="CL292" i="25"/>
  <c r="CX292" i="25"/>
  <c r="DP292" i="25"/>
  <c r="CL170" i="25"/>
  <c r="EQ170" i="25"/>
  <c r="EU170" i="25" s="1"/>
  <c r="CX170" i="25"/>
  <c r="DP170" i="25"/>
  <c r="FG170" i="25"/>
  <c r="CL246" i="25"/>
  <c r="DP246" i="25"/>
  <c r="CX246" i="25"/>
  <c r="EQ183" i="25"/>
  <c r="EU183" i="25" s="1"/>
  <c r="DP183" i="25"/>
  <c r="CX183" i="25"/>
  <c r="CL183" i="25"/>
  <c r="FG183" i="25"/>
  <c r="CL253" i="25"/>
  <c r="DP253" i="25"/>
  <c r="CX253" i="25"/>
  <c r="DP149" i="25"/>
  <c r="CL149" i="25"/>
  <c r="FG149" i="25"/>
  <c r="CX149" i="25"/>
  <c r="EQ149" i="25"/>
  <c r="EU149" i="25" s="1"/>
  <c r="CL198" i="25"/>
  <c r="FG198" i="25"/>
  <c r="DP198" i="25"/>
  <c r="CX198" i="25"/>
  <c r="EQ198" i="25"/>
  <c r="EU198" i="25" s="1"/>
  <c r="DP254" i="25"/>
  <c r="CL254" i="25"/>
  <c r="CX254" i="25"/>
  <c r="EQ147" i="25"/>
  <c r="EU147" i="25" s="1"/>
  <c r="CL147" i="25"/>
  <c r="FG147" i="25"/>
  <c r="DP147" i="25"/>
  <c r="CX147" i="25"/>
  <c r="EQ200" i="25"/>
  <c r="EU200" i="25" s="1"/>
  <c r="DP200" i="25"/>
  <c r="CL200" i="25"/>
  <c r="FG200" i="25"/>
  <c r="CX200" i="25"/>
  <c r="DP259" i="25"/>
  <c r="CL259" i="25"/>
  <c r="CX259" i="25"/>
  <c r="CY259" i="25" s="1"/>
  <c r="CU19" i="25"/>
  <c r="CV19" i="25"/>
  <c r="CW19" i="25"/>
  <c r="CO19" i="25" s="1"/>
  <c r="CU272" i="25"/>
  <c r="CW272" i="25"/>
  <c r="CO272" i="25" s="1"/>
  <c r="CV272" i="25"/>
  <c r="CU307" i="25"/>
  <c r="CV307" i="25"/>
  <c r="CW307" i="25"/>
  <c r="CO307" i="25" s="1"/>
  <c r="CV186" i="25"/>
  <c r="CU186" i="25"/>
  <c r="CW186" i="25"/>
  <c r="CO186" i="25" s="1"/>
  <c r="CW218" i="25"/>
  <c r="CO218" i="25" s="1"/>
  <c r="CV218" i="25"/>
  <c r="CU218" i="25"/>
  <c r="CV274" i="25"/>
  <c r="CU274" i="25"/>
  <c r="CW274" i="25"/>
  <c r="CO274" i="25" s="1"/>
  <c r="CV161" i="25"/>
  <c r="CU161" i="25"/>
  <c r="CW161" i="25"/>
  <c r="CO161" i="25" s="1"/>
  <c r="CU301" i="25"/>
  <c r="CW301" i="25"/>
  <c r="CO301" i="25" s="1"/>
  <c r="CV301" i="25"/>
  <c r="CV28" i="25"/>
  <c r="CU28" i="25"/>
  <c r="CW28" i="25"/>
  <c r="CO28" i="25" s="1"/>
  <c r="CV270" i="25"/>
  <c r="CU270" i="25"/>
  <c r="CW270" i="25"/>
  <c r="CO270" i="25" s="1"/>
  <c r="CW86" i="25"/>
  <c r="CO86" i="25" s="1"/>
  <c r="CV86" i="25"/>
  <c r="CU86" i="25"/>
  <c r="CV151" i="25"/>
  <c r="CU151" i="25"/>
  <c r="CW151" i="25"/>
  <c r="CO151" i="25" s="1"/>
  <c r="CU298" i="25"/>
  <c r="CW298" i="25"/>
  <c r="CO298" i="25" s="1"/>
  <c r="CV298" i="25"/>
  <c r="CW305" i="25"/>
  <c r="CO305" i="25" s="1"/>
  <c r="CU305" i="25"/>
  <c r="CV305" i="25"/>
  <c r="CW255" i="25"/>
  <c r="CO255" i="25" s="1"/>
  <c r="CU255" i="25"/>
  <c r="CV255" i="25"/>
  <c r="CW312" i="25"/>
  <c r="CO312" i="25" s="1"/>
  <c r="CV312" i="25"/>
  <c r="CU312" i="25"/>
  <c r="CU287" i="25"/>
  <c r="CV287" i="25"/>
  <c r="CW287" i="25"/>
  <c r="CO287" i="25" s="1"/>
  <c r="CV66" i="25"/>
  <c r="CU66" i="25"/>
  <c r="CW66" i="25"/>
  <c r="CO66" i="25" s="1"/>
  <c r="CW121" i="25"/>
  <c r="CO121" i="25" s="1"/>
  <c r="CU121" i="25"/>
  <c r="CV121" i="25"/>
  <c r="CW16" i="25"/>
  <c r="CO16" i="25" s="1"/>
  <c r="CU16" i="25"/>
  <c r="CV16" i="25"/>
  <c r="CW68" i="25"/>
  <c r="CO68" i="25" s="1"/>
  <c r="CU68" i="25"/>
  <c r="CV68" i="25"/>
  <c r="CW141" i="25"/>
  <c r="CO141" i="25" s="1"/>
  <c r="CV141" i="25"/>
  <c r="CU141" i="25"/>
  <c r="CW136" i="25"/>
  <c r="CO136" i="25" s="1"/>
  <c r="CV136" i="25"/>
  <c r="CU136" i="25"/>
  <c r="CW149" i="25"/>
  <c r="CO149" i="25" s="1"/>
  <c r="CU149" i="25"/>
  <c r="CV149" i="25"/>
  <c r="CV229" i="25"/>
  <c r="CU229" i="25"/>
  <c r="CW229" i="25"/>
  <c r="CO229" i="25" s="1"/>
  <c r="CW148" i="25"/>
  <c r="CO148" i="25" s="1"/>
  <c r="CV148" i="25"/>
  <c r="CU148" i="25"/>
  <c r="CW6" i="25"/>
  <c r="CO6" i="25" s="1"/>
  <c r="CV6" i="25"/>
  <c r="CU6" i="25"/>
  <c r="FD6" i="25"/>
  <c r="DS6" i="25"/>
  <c r="CW18" i="25"/>
  <c r="CO18" i="25" s="1"/>
  <c r="CV18" i="25"/>
  <c r="CU18" i="25"/>
  <c r="CV75" i="25"/>
  <c r="CU75" i="25"/>
  <c r="CW75" i="25"/>
  <c r="CO75" i="25" s="1"/>
  <c r="CU247" i="25"/>
  <c r="CV247" i="25"/>
  <c r="CW247" i="25"/>
  <c r="CO247" i="25" s="1"/>
  <c r="CW130" i="25"/>
  <c r="CO130" i="25" s="1"/>
  <c r="CV130" i="25"/>
  <c r="CU130" i="25"/>
  <c r="CV165" i="25"/>
  <c r="CW165" i="25"/>
  <c r="CO165" i="25" s="1"/>
  <c r="CU165" i="25"/>
  <c r="CW184" i="25"/>
  <c r="CO184" i="25" s="1"/>
  <c r="CV184" i="25"/>
  <c r="CU184" i="25"/>
  <c r="CW279" i="25"/>
  <c r="CO279" i="25" s="1"/>
  <c r="CU279" i="25"/>
  <c r="CV279" i="25"/>
  <c r="CV209" i="25"/>
  <c r="CU209" i="25"/>
  <c r="CW209" i="25"/>
  <c r="CO209" i="25" s="1"/>
  <c r="CV256" i="25"/>
  <c r="CU256" i="25"/>
  <c r="CW256" i="25"/>
  <c r="CO256" i="25" s="1"/>
  <c r="CV264" i="25"/>
  <c r="CU264" i="25"/>
  <c r="CW264" i="25"/>
  <c r="CO264" i="25" s="1"/>
  <c r="CW196" i="25"/>
  <c r="CO196" i="25" s="1"/>
  <c r="CV196" i="25"/>
  <c r="CU196" i="25"/>
  <c r="DP230" i="25"/>
  <c r="CL230" i="25"/>
  <c r="CX230" i="25"/>
  <c r="FG137" i="25"/>
  <c r="CL137" i="25"/>
  <c r="DP137" i="25"/>
  <c r="EQ137" i="25"/>
  <c r="EU137" i="25" s="1"/>
  <c r="CX137" i="25"/>
  <c r="CL228" i="25"/>
  <c r="DP228" i="25"/>
  <c r="CX228" i="25"/>
  <c r="DP300" i="25"/>
  <c r="CL300" i="25"/>
  <c r="CX300" i="25"/>
  <c r="CY300" i="25" s="1"/>
  <c r="CW11" i="25"/>
  <c r="CO11" i="25" s="1"/>
  <c r="CV11" i="25"/>
  <c r="CU11" i="25"/>
  <c r="CV227" i="25"/>
  <c r="CU227" i="25"/>
  <c r="CW227" i="25"/>
  <c r="CO227" i="25" s="1"/>
  <c r="CV30" i="25"/>
  <c r="CW30" i="25"/>
  <c r="CO30" i="25" s="1"/>
  <c r="CU30" i="25"/>
  <c r="CL19" i="25"/>
  <c r="EQ19" i="25"/>
  <c r="EU19" i="25" s="1"/>
  <c r="DP19" i="25"/>
  <c r="FG19" i="25"/>
  <c r="CX19" i="25"/>
  <c r="CY19" i="25" s="1"/>
  <c r="FG133" i="25"/>
  <c r="DP133" i="25"/>
  <c r="CL133" i="25"/>
  <c r="EQ133" i="25"/>
  <c r="EU133" i="25" s="1"/>
  <c r="CX133" i="25"/>
  <c r="CX98" i="25"/>
  <c r="FG98" i="25"/>
  <c r="CL98" i="25"/>
  <c r="EQ98" i="25"/>
  <c r="EU98" i="25" s="1"/>
  <c r="DP98" i="25"/>
  <c r="DP72" i="25"/>
  <c r="CL72" i="25"/>
  <c r="EQ72" i="25"/>
  <c r="EU72" i="25" s="1"/>
  <c r="FG72" i="25"/>
  <c r="CX72" i="25"/>
  <c r="FG77" i="25"/>
  <c r="CL77" i="25"/>
  <c r="EQ77" i="25"/>
  <c r="EU77" i="25" s="1"/>
  <c r="DP77" i="25"/>
  <c r="CX77" i="25"/>
  <c r="FG141" i="25"/>
  <c r="DP141" i="25"/>
  <c r="CL141" i="25"/>
  <c r="EQ141" i="25"/>
  <c r="EU141" i="25" s="1"/>
  <c r="CX141" i="25"/>
  <c r="CL41" i="25"/>
  <c r="EQ41" i="25"/>
  <c r="EU41" i="25" s="1"/>
  <c r="FG41" i="25"/>
  <c r="DP41" i="25"/>
  <c r="CX41" i="25"/>
  <c r="EQ111" i="25"/>
  <c r="EU111" i="25" s="1"/>
  <c r="DP111" i="25"/>
  <c r="CL111" i="25"/>
  <c r="FG111" i="25"/>
  <c r="CX111" i="25"/>
  <c r="DP258" i="25"/>
  <c r="CL258" i="25"/>
  <c r="CX258" i="25"/>
  <c r="EQ75" i="25"/>
  <c r="EU75" i="25" s="1"/>
  <c r="FG75" i="25"/>
  <c r="CX75" i="25"/>
  <c r="CL75" i="25"/>
  <c r="DP75" i="25"/>
  <c r="DP51" i="25"/>
  <c r="CL51" i="25"/>
  <c r="FG51" i="25"/>
  <c r="EQ51" i="25"/>
  <c r="EU51" i="25" s="1"/>
  <c r="CX51" i="25"/>
  <c r="CY51" i="25" s="1"/>
  <c r="FG138" i="25"/>
  <c r="DP138" i="25"/>
  <c r="CL138" i="25"/>
  <c r="EQ138" i="25"/>
  <c r="EU138" i="25" s="1"/>
  <c r="CX138" i="25"/>
  <c r="DP52" i="25"/>
  <c r="CL52" i="25"/>
  <c r="EQ52" i="25"/>
  <c r="EU52" i="25" s="1"/>
  <c r="FG52" i="25"/>
  <c r="CX52" i="25"/>
  <c r="FG150" i="25"/>
  <c r="CL150" i="25"/>
  <c r="EQ150" i="25"/>
  <c r="EU150" i="25" s="1"/>
  <c r="DP150" i="25"/>
  <c r="CX150" i="25"/>
  <c r="FG50" i="25"/>
  <c r="CX50" i="25"/>
  <c r="DP50" i="25"/>
  <c r="EQ50" i="25"/>
  <c r="EU50" i="25" s="1"/>
  <c r="CL50" i="25"/>
  <c r="CL94" i="25"/>
  <c r="DP94" i="25"/>
  <c r="FG94" i="25"/>
  <c r="EQ94" i="25"/>
  <c r="EU94" i="25" s="1"/>
  <c r="CX94" i="25"/>
  <c r="EQ174" i="25"/>
  <c r="EU174" i="25" s="1"/>
  <c r="DP174" i="25"/>
  <c r="CX174" i="25"/>
  <c r="FG174" i="25"/>
  <c r="CL174" i="25"/>
  <c r="DP123" i="25"/>
  <c r="CL123" i="25"/>
  <c r="EQ123" i="25"/>
  <c r="EU123" i="25" s="1"/>
  <c r="CX123" i="25"/>
  <c r="FG123" i="25"/>
  <c r="CL293" i="25"/>
  <c r="CX293" i="25"/>
  <c r="DP293" i="25"/>
  <c r="EQ118" i="25"/>
  <c r="EU118" i="25" s="1"/>
  <c r="DP118" i="25"/>
  <c r="CX118" i="25"/>
  <c r="CL118" i="25"/>
  <c r="FG118" i="25"/>
  <c r="DP224" i="25"/>
  <c r="CL224" i="25"/>
  <c r="CX224" i="25"/>
  <c r="CL222" i="25"/>
  <c r="DP222" i="25"/>
  <c r="CX222" i="25"/>
  <c r="DP202" i="25"/>
  <c r="CL202" i="25"/>
  <c r="CX202" i="25"/>
  <c r="FG202" i="25"/>
  <c r="EQ202" i="25"/>
  <c r="EU202" i="25" s="1"/>
  <c r="CL270" i="25"/>
  <c r="DP270" i="25"/>
  <c r="CX270" i="25"/>
  <c r="CY270" i="25" s="1"/>
  <c r="FG159" i="25"/>
  <c r="CL159" i="25"/>
  <c r="DP159" i="25"/>
  <c r="EQ159" i="25"/>
  <c r="EU159" i="25" s="1"/>
  <c r="CX159" i="25"/>
  <c r="CL229" i="25"/>
  <c r="CX229" i="25"/>
  <c r="DP229" i="25"/>
  <c r="DP296" i="25"/>
  <c r="CX296" i="25"/>
  <c r="CL296" i="25"/>
  <c r="FG191" i="25"/>
  <c r="DP191" i="25"/>
  <c r="CX191" i="25"/>
  <c r="EQ191" i="25"/>
  <c r="EU191" i="25" s="1"/>
  <c r="CL191" i="25"/>
  <c r="CL301" i="25"/>
  <c r="DP301" i="25"/>
  <c r="CX301" i="25"/>
  <c r="DP187" i="25"/>
  <c r="FG187" i="25"/>
  <c r="EQ187" i="25"/>
  <c r="EU187" i="25" s="1"/>
  <c r="CL187" i="25"/>
  <c r="CX187" i="25"/>
  <c r="DP260" i="25"/>
  <c r="CX260" i="25"/>
  <c r="CL260" i="25"/>
  <c r="FG155" i="25"/>
  <c r="CL155" i="25"/>
  <c r="DP155" i="25"/>
  <c r="EQ155" i="25"/>
  <c r="EU155" i="25" s="1"/>
  <c r="CX155" i="25"/>
  <c r="CY155" i="25" s="1"/>
  <c r="DP205" i="25"/>
  <c r="CX205" i="25"/>
  <c r="FG205" i="25"/>
  <c r="CL205" i="25"/>
  <c r="EQ205" i="25"/>
  <c r="EU205" i="25" s="1"/>
  <c r="DP255" i="25"/>
  <c r="CX255" i="25"/>
  <c r="CL255" i="25"/>
  <c r="DP167" i="25"/>
  <c r="CL167" i="25"/>
  <c r="CX167" i="25"/>
  <c r="FG167" i="25"/>
  <c r="EQ167" i="25"/>
  <c r="EU167" i="25" s="1"/>
  <c r="EQ207" i="25"/>
  <c r="EU207" i="25" s="1"/>
  <c r="CX207" i="25"/>
  <c r="CY207" i="25" s="1"/>
  <c r="CL207" i="25"/>
  <c r="FG207" i="25"/>
  <c r="DP207" i="25"/>
  <c r="DP263" i="25"/>
  <c r="CX263" i="25"/>
  <c r="CL263" i="25"/>
  <c r="CV24" i="25"/>
  <c r="CU24" i="25"/>
  <c r="CW24" i="25"/>
  <c r="CO24" i="25" s="1"/>
  <c r="CW93" i="25"/>
  <c r="CO93" i="25" s="1"/>
  <c r="CV93" i="25"/>
  <c r="CU93" i="25"/>
  <c r="CV104" i="25"/>
  <c r="CU104" i="25"/>
  <c r="CW104" i="25"/>
  <c r="CO104" i="25" s="1"/>
  <c r="CV85" i="25"/>
  <c r="CU85" i="25"/>
  <c r="CW85" i="25"/>
  <c r="CO85" i="25" s="1"/>
  <c r="CU244" i="25"/>
  <c r="CW244" i="25"/>
  <c r="CO244" i="25" s="1"/>
  <c r="CV244" i="25"/>
  <c r="CW59" i="25"/>
  <c r="CO59" i="25" s="1"/>
  <c r="CV59" i="25"/>
  <c r="CU59" i="25"/>
  <c r="CV232" i="25"/>
  <c r="CU232" i="25"/>
  <c r="CW232" i="25"/>
  <c r="CO232" i="25" s="1"/>
  <c r="CU248" i="25"/>
  <c r="CW248" i="25"/>
  <c r="CO248" i="25" s="1"/>
  <c r="CV248" i="25"/>
  <c r="CV51" i="25"/>
  <c r="CU51" i="25"/>
  <c r="CW51" i="25"/>
  <c r="CO51" i="25" s="1"/>
  <c r="CW234" i="25"/>
  <c r="CO234" i="25" s="1"/>
  <c r="CV234" i="25"/>
  <c r="CU234" i="25"/>
  <c r="CU157" i="25"/>
  <c r="CV157" i="25"/>
  <c r="CW157" i="25"/>
  <c r="CO157" i="25" s="1"/>
  <c r="CU290" i="25"/>
  <c r="CW290" i="25"/>
  <c r="CO290" i="25" s="1"/>
  <c r="CV290" i="25"/>
  <c r="CV226" i="25"/>
  <c r="CU226" i="25"/>
  <c r="CW226" i="25"/>
  <c r="CO226" i="25" s="1"/>
  <c r="CV266" i="25"/>
  <c r="CW266" i="25"/>
  <c r="CO266" i="25" s="1"/>
  <c r="CU266" i="25"/>
  <c r="CV257" i="25"/>
  <c r="CU257" i="25"/>
  <c r="CW257" i="25"/>
  <c r="CO257" i="25" s="1"/>
  <c r="CW304" i="25"/>
  <c r="CO304" i="25" s="1"/>
  <c r="CV304" i="25"/>
  <c r="CU304" i="25"/>
  <c r="CU217" i="25"/>
  <c r="CV217" i="25"/>
  <c r="CW217" i="25"/>
  <c r="CO217" i="25" s="1"/>
  <c r="CU29" i="25"/>
  <c r="CW29" i="25"/>
  <c r="CO29" i="25" s="1"/>
  <c r="CV29" i="25"/>
  <c r="CW50" i="25"/>
  <c r="CO50" i="25" s="1"/>
  <c r="CU50" i="25"/>
  <c r="CV50" i="25"/>
  <c r="CW282" i="25"/>
  <c r="CO282" i="25" s="1"/>
  <c r="CU282" i="25"/>
  <c r="CV282" i="25"/>
  <c r="CV207" i="25"/>
  <c r="CU207" i="25"/>
  <c r="CW207" i="25"/>
  <c r="CO207" i="25" s="1"/>
  <c r="CW249" i="25"/>
  <c r="CO249" i="25" s="1"/>
  <c r="CU249" i="25"/>
  <c r="CV249" i="25"/>
  <c r="CV81" i="25"/>
  <c r="CW81" i="25"/>
  <c r="CO81" i="25" s="1"/>
  <c r="CU81" i="25"/>
  <c r="CW252" i="25"/>
  <c r="CO252" i="25" s="1"/>
  <c r="CV252" i="25"/>
  <c r="CU252" i="25"/>
  <c r="CW286" i="25"/>
  <c r="CO286" i="25" s="1"/>
  <c r="CU286" i="25"/>
  <c r="CV286" i="25"/>
  <c r="CV14" i="25"/>
  <c r="CW14" i="25"/>
  <c r="CO14" i="25" s="1"/>
  <c r="CU14" i="25"/>
  <c r="CW26" i="25"/>
  <c r="CO26" i="25" s="1"/>
  <c r="CV26" i="25"/>
  <c r="CU26" i="25"/>
  <c r="CW53" i="25"/>
  <c r="CO53" i="25" s="1"/>
  <c r="CU53" i="25"/>
  <c r="CV53" i="25"/>
  <c r="CW269" i="25"/>
  <c r="CO269" i="25" s="1"/>
  <c r="CU269" i="25"/>
  <c r="CV269" i="25"/>
  <c r="CV38" i="25"/>
  <c r="CU38" i="25"/>
  <c r="CW38" i="25"/>
  <c r="CO38" i="25" s="1"/>
  <c r="CU60" i="25"/>
  <c r="CV60" i="25"/>
  <c r="CW60" i="25"/>
  <c r="CO60" i="25" s="1"/>
  <c r="CW188" i="25"/>
  <c r="CO188" i="25" s="1"/>
  <c r="CV188" i="25"/>
  <c r="CU188" i="25"/>
  <c r="CW289" i="25"/>
  <c r="CO289" i="25" s="1"/>
  <c r="CV289" i="25"/>
  <c r="CU289" i="25"/>
  <c r="CV237" i="25"/>
  <c r="CU237" i="25"/>
  <c r="CW237" i="25"/>
  <c r="CO237" i="25" s="1"/>
  <c r="CV299" i="25"/>
  <c r="CU299" i="25"/>
  <c r="CW299" i="25"/>
  <c r="CO299" i="25" s="1"/>
  <c r="CU277" i="25"/>
  <c r="CW277" i="25"/>
  <c r="CO277" i="25" s="1"/>
  <c r="CV277" i="25"/>
  <c r="CW206" i="25"/>
  <c r="CO206" i="25" s="1"/>
  <c r="CV206" i="25"/>
  <c r="CU206" i="25"/>
  <c r="DP240" i="25"/>
  <c r="CL240" i="25"/>
  <c r="CX240" i="25"/>
  <c r="DP16" i="25"/>
  <c r="FG16" i="25"/>
  <c r="EQ16" i="25"/>
  <c r="EU16" i="25" s="1"/>
  <c r="CX16" i="25"/>
  <c r="CL16" i="25"/>
  <c r="EQ91" i="25"/>
  <c r="EU91" i="25" s="1"/>
  <c r="CL91" i="25"/>
  <c r="FG91" i="25"/>
  <c r="CX91" i="25"/>
  <c r="DP91" i="25"/>
  <c r="CL102" i="25"/>
  <c r="DP102" i="25"/>
  <c r="EQ102" i="25"/>
  <c r="EU102" i="25" s="1"/>
  <c r="FG102" i="25"/>
  <c r="CX102" i="25"/>
  <c r="DP288" i="25"/>
  <c r="CL288" i="25"/>
  <c r="CX288" i="25"/>
  <c r="CX219" i="25"/>
  <c r="DP219" i="25"/>
  <c r="CL219" i="25"/>
  <c r="CL152" i="25"/>
  <c r="FG152" i="25"/>
  <c r="EQ152" i="25"/>
  <c r="EU152" i="25" s="1"/>
  <c r="DP152" i="25"/>
  <c r="CX152" i="25"/>
  <c r="EQ192" i="25"/>
  <c r="EU192" i="25" s="1"/>
  <c r="FG192" i="25"/>
  <c r="CX192" i="25"/>
  <c r="CL192" i="25"/>
  <c r="DP192" i="25"/>
  <c r="CW23" i="25"/>
  <c r="CO23" i="25" s="1"/>
  <c r="CV23" i="25"/>
  <c r="CU23" i="25"/>
  <c r="CV41" i="25"/>
  <c r="CW41" i="25"/>
  <c r="CO41" i="25" s="1"/>
  <c r="CU41" i="25"/>
  <c r="CW15" i="25"/>
  <c r="CO15" i="25" s="1"/>
  <c r="CV15" i="25"/>
  <c r="CU15" i="25"/>
  <c r="CV58" i="25"/>
  <c r="CU58" i="25"/>
  <c r="CW58" i="25"/>
  <c r="CO58" i="25" s="1"/>
  <c r="CW91" i="25"/>
  <c r="CO91" i="25" s="1"/>
  <c r="CU91" i="25"/>
  <c r="CV91" i="25"/>
  <c r="CU95" i="25"/>
  <c r="CW95" i="25"/>
  <c r="CO95" i="25" s="1"/>
  <c r="CV95" i="25"/>
  <c r="CU132" i="25"/>
  <c r="CW132" i="25"/>
  <c r="CO132" i="25" s="1"/>
  <c r="CV132" i="25"/>
  <c r="CU105" i="25"/>
  <c r="CW105" i="25"/>
  <c r="CO105" i="25" s="1"/>
  <c r="CV105" i="25"/>
  <c r="CU102" i="25"/>
  <c r="CV102" i="25"/>
  <c r="CW102" i="25"/>
  <c r="CO102" i="25" s="1"/>
  <c r="CW166" i="25"/>
  <c r="CO166" i="25" s="1"/>
  <c r="CU166" i="25"/>
  <c r="CV166" i="25"/>
  <c r="FG26" i="25"/>
  <c r="CX26" i="25"/>
  <c r="DP26" i="25"/>
  <c r="CL26" i="25"/>
  <c r="EQ26" i="25"/>
  <c r="EU26" i="25" s="1"/>
  <c r="FG160" i="25"/>
  <c r="CL160" i="25"/>
  <c r="CX160" i="25"/>
  <c r="DP160" i="25"/>
  <c r="EQ160" i="25"/>
  <c r="EU160" i="25" s="1"/>
  <c r="EQ113" i="25"/>
  <c r="EU113" i="25" s="1"/>
  <c r="CL113" i="25"/>
  <c r="FG113" i="25"/>
  <c r="CX113" i="25"/>
  <c r="DP113" i="25"/>
  <c r="EQ83" i="25"/>
  <c r="EU83" i="25" s="1"/>
  <c r="CL83" i="25"/>
  <c r="DP83" i="25"/>
  <c r="FG83" i="25"/>
  <c r="CX83" i="25"/>
  <c r="CL97" i="25"/>
  <c r="DP97" i="25"/>
  <c r="EQ97" i="25"/>
  <c r="EU97" i="25" s="1"/>
  <c r="FG97" i="25"/>
  <c r="CX97" i="25"/>
  <c r="EQ31" i="25"/>
  <c r="EU31" i="25" s="1"/>
  <c r="CL31" i="25"/>
  <c r="FG31" i="25"/>
  <c r="DP31" i="25"/>
  <c r="CX31" i="25"/>
  <c r="EQ35" i="25"/>
  <c r="EU35" i="25" s="1"/>
  <c r="CL35" i="25"/>
  <c r="DP35" i="25"/>
  <c r="CX35" i="25"/>
  <c r="FG35" i="25"/>
  <c r="EQ116" i="25"/>
  <c r="EU116" i="25" s="1"/>
  <c r="DP116" i="25"/>
  <c r="CL116" i="25"/>
  <c r="FG116" i="25"/>
  <c r="CX116" i="25"/>
  <c r="DP10" i="25"/>
  <c r="FG10" i="25"/>
  <c r="CL10" i="25"/>
  <c r="CX10" i="25"/>
  <c r="EQ10" i="25"/>
  <c r="EU10" i="25" s="1"/>
  <c r="EQ80" i="25"/>
  <c r="EU80" i="25" s="1"/>
  <c r="DP80" i="25"/>
  <c r="CL80" i="25"/>
  <c r="FG80" i="25"/>
  <c r="CX80" i="25"/>
  <c r="EQ53" i="25"/>
  <c r="EU53" i="25" s="1"/>
  <c r="CL53" i="25"/>
  <c r="DP53" i="25"/>
  <c r="CX53" i="25"/>
  <c r="FG53" i="25"/>
  <c r="EQ144" i="25"/>
  <c r="EU144" i="25" s="1"/>
  <c r="FG144" i="25"/>
  <c r="DP144" i="25"/>
  <c r="CL144" i="25"/>
  <c r="CX144" i="25"/>
  <c r="EQ62" i="25"/>
  <c r="EU62" i="25" s="1"/>
  <c r="DP62" i="25"/>
  <c r="FG62" i="25"/>
  <c r="CX62" i="25"/>
  <c r="CL62" i="25"/>
  <c r="DP265" i="25"/>
  <c r="CL265" i="25"/>
  <c r="CX265" i="25"/>
  <c r="CY265" i="25" s="1"/>
  <c r="FG54" i="25"/>
  <c r="CX54" i="25"/>
  <c r="DP54" i="25"/>
  <c r="CL54" i="25"/>
  <c r="EQ54" i="25"/>
  <c r="EU54" i="25" s="1"/>
  <c r="CL99" i="25"/>
  <c r="DP99" i="25"/>
  <c r="FG99" i="25"/>
  <c r="EQ99" i="25"/>
  <c r="EU99" i="25" s="1"/>
  <c r="CX99" i="25"/>
  <c r="DP201" i="25"/>
  <c r="CL201" i="25"/>
  <c r="FG201" i="25"/>
  <c r="CX201" i="25"/>
  <c r="EQ201" i="25"/>
  <c r="EU201" i="25" s="1"/>
  <c r="EQ127" i="25"/>
  <c r="EU127" i="25" s="1"/>
  <c r="CL127" i="25"/>
  <c r="FG127" i="25"/>
  <c r="DP127" i="25"/>
  <c r="CX127" i="25"/>
  <c r="DP304" i="25"/>
  <c r="CL304" i="25"/>
  <c r="CX304" i="25"/>
  <c r="CX120" i="25"/>
  <c r="CL120" i="25"/>
  <c r="FG120" i="25"/>
  <c r="DP120" i="25"/>
  <c r="EQ120" i="25"/>
  <c r="EU120" i="25" s="1"/>
  <c r="CX264" i="25"/>
  <c r="DP264" i="25"/>
  <c r="CL264" i="25"/>
  <c r="CX249" i="25"/>
  <c r="CL249" i="25"/>
  <c r="DP249" i="25"/>
  <c r="FG206" i="25"/>
  <c r="DP206" i="25"/>
  <c r="CL206" i="25"/>
  <c r="EQ206" i="25"/>
  <c r="EU206" i="25" s="1"/>
  <c r="CX206" i="25"/>
  <c r="CL273" i="25"/>
  <c r="DP273" i="25"/>
  <c r="CX273" i="25"/>
  <c r="FG162" i="25"/>
  <c r="CL162" i="25"/>
  <c r="DP162" i="25"/>
  <c r="EQ162" i="25"/>
  <c r="EU162" i="25" s="1"/>
  <c r="CX162" i="25"/>
  <c r="CY162" i="25" s="1"/>
  <c r="CL248" i="25"/>
  <c r="DP248" i="25"/>
  <c r="CX248" i="25"/>
  <c r="CL297" i="25"/>
  <c r="CX297" i="25"/>
  <c r="DP297" i="25"/>
  <c r="DP221" i="25"/>
  <c r="CL221" i="25"/>
  <c r="CX221" i="25"/>
  <c r="CX303" i="25"/>
  <c r="DP303" i="25"/>
  <c r="CL303" i="25"/>
  <c r="CX203" i="25"/>
  <c r="FG203" i="25"/>
  <c r="CL203" i="25"/>
  <c r="EQ203" i="25"/>
  <c r="EU203" i="25" s="1"/>
  <c r="DP203" i="25"/>
  <c r="DP268" i="25"/>
  <c r="CX268" i="25"/>
  <c r="CL268" i="25"/>
  <c r="FG158" i="25"/>
  <c r="CL158" i="25"/>
  <c r="EQ158" i="25"/>
  <c r="EU158" i="25" s="1"/>
  <c r="DP158" i="25"/>
  <c r="CX158" i="25"/>
  <c r="CX218" i="25"/>
  <c r="DP218" i="25"/>
  <c r="CL218" i="25"/>
  <c r="DP267" i="25"/>
  <c r="CL267" i="25"/>
  <c r="CX267" i="25"/>
  <c r="EQ178" i="25"/>
  <c r="EU178" i="25" s="1"/>
  <c r="FG178" i="25"/>
  <c r="CL178" i="25"/>
  <c r="DP178" i="25"/>
  <c r="CX178" i="25"/>
  <c r="FG210" i="25"/>
  <c r="EQ210" i="25"/>
  <c r="EU210" i="25" s="1"/>
  <c r="DP210" i="25"/>
  <c r="CL210" i="25"/>
  <c r="CX210" i="25"/>
  <c r="CX278" i="25"/>
  <c r="DP278" i="25"/>
  <c r="CL278" i="25"/>
  <c r="CW302" i="25"/>
  <c r="CO302" i="25" s="1"/>
  <c r="CU302" i="25"/>
  <c r="CV302" i="25"/>
  <c r="CU228" i="25"/>
  <c r="CW228" i="25"/>
  <c r="CO228" i="25" s="1"/>
  <c r="CV228" i="25"/>
  <c r="CU314" i="25"/>
  <c r="CW314" i="25"/>
  <c r="CO314" i="25" s="1"/>
  <c r="CV314" i="25"/>
  <c r="CW78" i="25"/>
  <c r="CO78" i="25" s="1"/>
  <c r="CV78" i="25"/>
  <c r="CU78" i="25"/>
  <c r="CW40" i="25"/>
  <c r="CO40" i="25" s="1"/>
  <c r="CV40" i="25"/>
  <c r="CU40" i="25"/>
  <c r="CW47" i="25"/>
  <c r="CO47" i="25" s="1"/>
  <c r="CV47" i="25"/>
  <c r="CU47" i="25"/>
  <c r="CV308" i="25"/>
  <c r="CW308" i="25"/>
  <c r="CO308" i="25" s="1"/>
  <c r="CU308" i="25"/>
  <c r="CW27" i="25"/>
  <c r="CO27" i="25" s="1"/>
  <c r="CV27" i="25"/>
  <c r="CU27" i="25"/>
  <c r="CU210" i="25"/>
  <c r="CW210" i="25"/>
  <c r="CO210" i="25" s="1"/>
  <c r="CV210" i="25"/>
  <c r="CV220" i="25"/>
  <c r="CW220" i="25"/>
  <c r="CO220" i="25" s="1"/>
  <c r="CU220" i="25"/>
  <c r="CV267" i="25"/>
  <c r="CW267" i="25"/>
  <c r="CO267" i="25" s="1"/>
  <c r="CU267" i="25"/>
  <c r="CU7" i="25"/>
  <c r="CW7" i="25"/>
  <c r="CO7" i="25" s="1"/>
  <c r="CV7" i="25"/>
  <c r="DS7" i="25"/>
  <c r="CV32" i="25"/>
  <c r="CU32" i="25"/>
  <c r="CW32" i="25"/>
  <c r="CO32" i="25" s="1"/>
  <c r="CV254" i="25"/>
  <c r="CW254" i="25"/>
  <c r="CO254" i="25" s="1"/>
  <c r="CU254" i="25"/>
  <c r="CU79" i="25"/>
  <c r="CW79" i="25"/>
  <c r="CO79" i="25" s="1"/>
  <c r="CV79" i="25"/>
  <c r="CV276" i="25"/>
  <c r="CU276" i="25"/>
  <c r="CW276" i="25"/>
  <c r="CO276" i="25" s="1"/>
  <c r="CV200" i="25"/>
  <c r="CW200" i="25"/>
  <c r="CO200" i="25" s="1"/>
  <c r="CU200" i="25"/>
  <c r="CU42" i="25"/>
  <c r="CV42" i="25"/>
  <c r="CW42" i="25"/>
  <c r="CO42" i="25" s="1"/>
  <c r="CW147" i="25"/>
  <c r="CO147" i="25" s="1"/>
  <c r="CV147" i="25"/>
  <c r="CU147" i="25"/>
  <c r="CW138" i="25"/>
  <c r="CO138" i="25" s="1"/>
  <c r="CV138" i="25"/>
  <c r="CU138" i="25"/>
  <c r="CW120" i="25"/>
  <c r="CO120" i="25" s="1"/>
  <c r="CV120" i="25"/>
  <c r="CU120" i="25"/>
  <c r="CV294" i="25"/>
  <c r="CW294" i="25"/>
  <c r="CO294" i="25" s="1"/>
  <c r="CU294" i="25"/>
  <c r="CW199" i="25"/>
  <c r="CO199" i="25" s="1"/>
  <c r="CV199" i="25"/>
  <c r="CU199" i="25"/>
  <c r="CW80" i="25"/>
  <c r="CO80" i="25" s="1"/>
  <c r="CU80" i="25"/>
  <c r="CV80" i="25"/>
  <c r="CU87" i="25"/>
  <c r="CW87" i="25"/>
  <c r="CO87" i="25" s="1"/>
  <c r="CV87" i="25"/>
  <c r="CU231" i="25"/>
  <c r="CW231" i="25"/>
  <c r="CO231" i="25" s="1"/>
  <c r="CV231" i="25"/>
  <c r="CW190" i="25"/>
  <c r="CO190" i="25" s="1"/>
  <c r="CV190" i="25"/>
  <c r="CU190" i="25"/>
  <c r="CU34" i="25"/>
  <c r="CW34" i="25"/>
  <c r="CO34" i="25" s="1"/>
  <c r="CV34" i="25"/>
  <c r="CU56" i="25"/>
  <c r="CV56" i="25"/>
  <c r="CW56" i="25"/>
  <c r="CO56" i="25" s="1"/>
  <c r="CW57" i="25"/>
  <c r="CO57" i="25" s="1"/>
  <c r="CV57" i="25"/>
  <c r="CU57" i="25"/>
  <c r="CV84" i="25"/>
  <c r="CW84" i="25"/>
  <c r="CO84" i="25" s="1"/>
  <c r="CU84" i="25"/>
  <c r="CW83" i="25"/>
  <c r="CO83" i="25" s="1"/>
  <c r="CU83" i="25"/>
  <c r="CV83" i="25"/>
  <c r="CW262" i="25"/>
  <c r="CO262" i="25" s="1"/>
  <c r="CV262" i="25"/>
  <c r="CU262" i="25"/>
  <c r="CW179" i="25"/>
  <c r="CO179" i="25" s="1"/>
  <c r="CU179" i="25"/>
  <c r="CV179" i="25"/>
  <c r="CU241" i="25"/>
  <c r="CW241" i="25"/>
  <c r="CO241" i="25" s="1"/>
  <c r="CV241" i="25"/>
  <c r="CV306" i="25"/>
  <c r="CW306" i="25"/>
  <c r="CO306" i="25" s="1"/>
  <c r="CU306" i="25"/>
  <c r="CW173" i="25"/>
  <c r="CO173" i="25" s="1"/>
  <c r="CU173" i="25"/>
  <c r="CV173" i="25"/>
  <c r="CW233" i="25"/>
  <c r="CO233" i="25" s="1"/>
  <c r="CV233" i="25"/>
  <c r="CU233" i="25"/>
  <c r="FG18" i="25"/>
  <c r="CX18" i="25"/>
  <c r="DP18" i="25"/>
  <c r="CL18" i="25"/>
  <c r="EQ18" i="25"/>
  <c r="EU18" i="25" s="1"/>
  <c r="DP234" i="25"/>
  <c r="CL234" i="25"/>
  <c r="CX234" i="25"/>
  <c r="CX316" i="25"/>
  <c r="CL316" i="25"/>
  <c r="DP316" i="25"/>
  <c r="DP44" i="25"/>
  <c r="EQ44" i="25"/>
  <c r="EU44" i="25" s="1"/>
  <c r="FG44" i="25"/>
  <c r="CL44" i="25"/>
  <c r="CX44" i="25"/>
  <c r="DP281" i="25"/>
  <c r="CX281" i="25"/>
  <c r="CL281" i="25"/>
  <c r="DP315" i="25"/>
  <c r="CX315" i="25"/>
  <c r="CL315" i="25"/>
  <c r="DP236" i="25"/>
  <c r="CL236" i="25"/>
  <c r="CX236" i="25"/>
  <c r="CY236" i="25" s="1"/>
  <c r="CU259" i="25"/>
  <c r="CV259" i="25"/>
  <c r="CW259" i="25"/>
  <c r="CO259" i="25" s="1"/>
  <c r="CW67" i="25"/>
  <c r="CO67" i="25" s="1"/>
  <c r="CV67" i="25"/>
  <c r="CU67" i="25"/>
  <c r="CU311" i="25"/>
  <c r="CW311" i="25"/>
  <c r="CO311" i="25" s="1"/>
  <c r="CV311" i="25"/>
  <c r="CW9" i="25"/>
  <c r="CO9" i="25" s="1"/>
  <c r="CV9" i="25"/>
  <c r="CU9" i="25"/>
  <c r="CV203" i="25"/>
  <c r="CW203" i="25"/>
  <c r="CO203" i="25" s="1"/>
  <c r="CU203" i="25"/>
  <c r="EQ76" i="25"/>
  <c r="EU76" i="25" s="1"/>
  <c r="FG76" i="25"/>
  <c r="CX76" i="25"/>
  <c r="DP76" i="25"/>
  <c r="CL76" i="25"/>
  <c r="FG163" i="25"/>
  <c r="CL163" i="25"/>
  <c r="DP163" i="25"/>
  <c r="EQ163" i="25"/>
  <c r="EU163" i="25" s="1"/>
  <c r="CX163" i="25"/>
  <c r="FG132" i="25"/>
  <c r="DP132" i="25"/>
  <c r="CL132" i="25"/>
  <c r="CX132" i="25"/>
  <c r="EQ132" i="25"/>
  <c r="EU132" i="25" s="1"/>
  <c r="FG131" i="25"/>
  <c r="DP131" i="25"/>
  <c r="CX131" i="25"/>
  <c r="CL131" i="25"/>
  <c r="EQ131" i="25"/>
  <c r="EU131" i="25" s="1"/>
  <c r="CL103" i="25"/>
  <c r="DP103" i="25"/>
  <c r="CX103" i="25"/>
  <c r="EQ103" i="25"/>
  <c r="EU103" i="25" s="1"/>
  <c r="FG103" i="25"/>
  <c r="EQ61" i="25"/>
  <c r="EU61" i="25" s="1"/>
  <c r="DP61" i="25"/>
  <c r="CX61" i="25"/>
  <c r="FG61" i="25"/>
  <c r="CL61" i="25"/>
  <c r="DP36" i="25"/>
  <c r="FG36" i="25"/>
  <c r="CL36" i="25"/>
  <c r="CX36" i="25"/>
  <c r="EQ36" i="25"/>
  <c r="EU36" i="25" s="1"/>
  <c r="FG135" i="25"/>
  <c r="DP135" i="25"/>
  <c r="CL135" i="25"/>
  <c r="EQ135" i="25"/>
  <c r="EU135" i="25" s="1"/>
  <c r="CX135" i="25"/>
  <c r="DP11" i="25"/>
  <c r="EQ11" i="25"/>
  <c r="EU11" i="25" s="1"/>
  <c r="CL11" i="25"/>
  <c r="FG11" i="25"/>
  <c r="CX11" i="25"/>
  <c r="EQ84" i="25"/>
  <c r="EU84" i="25" s="1"/>
  <c r="FG84" i="25"/>
  <c r="CL84" i="25"/>
  <c r="CX84" i="25"/>
  <c r="DP84" i="25"/>
  <c r="DP67" i="25"/>
  <c r="CL67" i="25"/>
  <c r="FG67" i="25"/>
  <c r="EQ67" i="25"/>
  <c r="EU67" i="25" s="1"/>
  <c r="CX67" i="25"/>
  <c r="FG196" i="25"/>
  <c r="EQ196" i="25"/>
  <c r="EU196" i="25" s="1"/>
  <c r="DP196" i="25"/>
  <c r="CL196" i="25"/>
  <c r="CX196" i="25"/>
  <c r="CL63" i="25"/>
  <c r="FG63" i="25"/>
  <c r="EQ63" i="25"/>
  <c r="EU63" i="25" s="1"/>
  <c r="DP63" i="25"/>
  <c r="CX63" i="25"/>
  <c r="CY63" i="25" s="1"/>
  <c r="CX286" i="25"/>
  <c r="CL286" i="25"/>
  <c r="DP286" i="25"/>
  <c r="DP56" i="25"/>
  <c r="EQ56" i="25"/>
  <c r="EU56" i="25" s="1"/>
  <c r="CX56" i="25"/>
  <c r="CL56" i="25"/>
  <c r="FG56" i="25"/>
  <c r="CL101" i="25"/>
  <c r="FG101" i="25"/>
  <c r="DP101" i="25"/>
  <c r="EQ101" i="25"/>
  <c r="EU101" i="25" s="1"/>
  <c r="CX101" i="25"/>
  <c r="DP312" i="25"/>
  <c r="CL312" i="25"/>
  <c r="CX312" i="25"/>
  <c r="FG134" i="25"/>
  <c r="DP134" i="25"/>
  <c r="CL134" i="25"/>
  <c r="CX134" i="25"/>
  <c r="EQ134" i="25"/>
  <c r="EU134" i="25" s="1"/>
  <c r="FG32" i="25"/>
  <c r="DP32" i="25"/>
  <c r="CL32" i="25"/>
  <c r="EQ32" i="25"/>
  <c r="EU32" i="25" s="1"/>
  <c r="CX32" i="25"/>
  <c r="DP124" i="25"/>
  <c r="CL124" i="25"/>
  <c r="EQ124" i="25"/>
  <c r="EU124" i="25" s="1"/>
  <c r="FG124" i="25"/>
  <c r="CX124" i="25"/>
  <c r="CL282" i="25"/>
  <c r="DP282" i="25"/>
  <c r="CX282" i="25"/>
  <c r="DP291" i="25"/>
  <c r="CX291" i="25"/>
  <c r="CL291" i="25"/>
  <c r="CL217" i="25"/>
  <c r="CX217" i="25"/>
  <c r="DP217" i="25"/>
  <c r="CL274" i="25"/>
  <c r="DP274" i="25"/>
  <c r="CX274" i="25"/>
  <c r="EQ165" i="25"/>
  <c r="EU165" i="25" s="1"/>
  <c r="DP165" i="25"/>
  <c r="CX165" i="25"/>
  <c r="CL165" i="25"/>
  <c r="FG165" i="25"/>
  <c r="CL261" i="25"/>
  <c r="DP261" i="25"/>
  <c r="CX261" i="25"/>
  <c r="CX311" i="25"/>
  <c r="DP311" i="25"/>
  <c r="CL311" i="25"/>
  <c r="CX223" i="25"/>
  <c r="CL223" i="25"/>
  <c r="DP223" i="25"/>
  <c r="CL310" i="25"/>
  <c r="DP310" i="25"/>
  <c r="CX310" i="25"/>
  <c r="DP204" i="25"/>
  <c r="CX204" i="25"/>
  <c r="CL204" i="25"/>
  <c r="FG204" i="25"/>
  <c r="EQ204" i="25"/>
  <c r="EU204" i="25" s="1"/>
  <c r="CL279" i="25"/>
  <c r="DP279" i="25"/>
  <c r="CX279" i="25"/>
  <c r="EQ166" i="25"/>
  <c r="EU166" i="25" s="1"/>
  <c r="DP166" i="25"/>
  <c r="CL166" i="25"/>
  <c r="CX166" i="25"/>
  <c r="FG166" i="25"/>
  <c r="DP231" i="25"/>
  <c r="CL231" i="25"/>
  <c r="CX231" i="25"/>
  <c r="DP271" i="25"/>
  <c r="CX271" i="25"/>
  <c r="CL271" i="25"/>
  <c r="FG186" i="25"/>
  <c r="EQ186" i="25"/>
  <c r="EU186" i="25" s="1"/>
  <c r="CX186" i="25"/>
  <c r="DP186" i="25"/>
  <c r="CL186" i="25"/>
  <c r="DP220" i="25"/>
  <c r="CL220" i="25"/>
  <c r="CX220" i="25"/>
  <c r="CY220" i="25" s="1"/>
  <c r="DP299" i="25"/>
  <c r="CX299" i="25"/>
  <c r="CL299" i="25"/>
  <c r="CW100" i="25"/>
  <c r="CO100" i="25" s="1"/>
  <c r="CV100" i="25"/>
  <c r="CU100" i="25"/>
  <c r="CW99" i="25"/>
  <c r="CO99" i="25" s="1"/>
  <c r="CV99" i="25"/>
  <c r="CU99" i="25"/>
  <c r="CV37" i="25"/>
  <c r="CU37" i="25"/>
  <c r="CW37" i="25"/>
  <c r="CO37" i="25" s="1"/>
  <c r="CV187" i="25"/>
  <c r="CU187" i="25"/>
  <c r="CW187" i="25"/>
  <c r="CO187" i="25" s="1"/>
  <c r="CU45" i="25"/>
  <c r="CW45" i="25"/>
  <c r="CO45" i="25" s="1"/>
  <c r="CV45" i="25"/>
  <c r="CV31" i="25"/>
  <c r="CU31" i="25"/>
  <c r="CW31" i="25"/>
  <c r="CO31" i="25" s="1"/>
  <c r="CU158" i="25"/>
  <c r="CW158" i="25"/>
  <c r="CO158" i="25" s="1"/>
  <c r="CV158" i="25"/>
  <c r="CU44" i="25"/>
  <c r="CV44" i="25"/>
  <c r="CW44" i="25"/>
  <c r="CO44" i="25" s="1"/>
  <c r="CV76" i="25"/>
  <c r="CW76" i="25"/>
  <c r="CO76" i="25" s="1"/>
  <c r="CU76" i="25"/>
  <c r="CV164" i="25"/>
  <c r="CU164" i="25"/>
  <c r="CW164" i="25"/>
  <c r="CO164" i="25" s="1"/>
  <c r="CV156" i="25"/>
  <c r="CU156" i="25"/>
  <c r="CW156" i="25"/>
  <c r="CO156" i="25" s="1"/>
  <c r="CV103" i="25"/>
  <c r="CW103" i="25"/>
  <c r="CO103" i="25" s="1"/>
  <c r="CU103" i="25"/>
  <c r="CW275" i="25"/>
  <c r="CO275" i="25" s="1"/>
  <c r="CV275" i="25"/>
  <c r="CU275" i="25"/>
  <c r="CU283" i="25"/>
  <c r="CV283" i="25"/>
  <c r="CW283" i="25"/>
  <c r="CO283" i="25" s="1"/>
  <c r="CW280" i="25"/>
  <c r="CO280" i="25" s="1"/>
  <c r="CU280" i="25"/>
  <c r="CV280" i="25"/>
  <c r="CW239" i="25"/>
  <c r="CO239" i="25" s="1"/>
  <c r="CV239" i="25"/>
  <c r="CU239" i="25"/>
  <c r="CW284" i="25"/>
  <c r="CO284" i="25" s="1"/>
  <c r="CU284" i="25"/>
  <c r="CV284" i="25"/>
  <c r="CW35" i="25"/>
  <c r="CO35" i="25" s="1"/>
  <c r="CV35" i="25"/>
  <c r="CU35" i="25"/>
  <c r="CU295" i="25"/>
  <c r="CW295" i="25"/>
  <c r="CO295" i="25" s="1"/>
  <c r="CV295" i="25"/>
  <c r="CV98" i="25"/>
  <c r="CU98" i="25"/>
  <c r="CW98" i="25"/>
  <c r="CO98" i="25" s="1"/>
  <c r="CU92" i="25"/>
  <c r="CW92" i="25"/>
  <c r="CO92" i="25" s="1"/>
  <c r="CV92" i="25"/>
  <c r="CV168" i="25"/>
  <c r="CW168" i="25"/>
  <c r="CO168" i="25" s="1"/>
  <c r="CU168" i="25"/>
  <c r="CW144" i="25"/>
  <c r="CO144" i="25" s="1"/>
  <c r="CV144" i="25"/>
  <c r="CU144" i="25"/>
  <c r="CV70" i="25"/>
  <c r="CU70" i="25"/>
  <c r="CW70" i="25"/>
  <c r="CO70" i="25" s="1"/>
  <c r="CW143" i="25"/>
  <c r="CO143" i="25" s="1"/>
  <c r="CU143" i="25"/>
  <c r="CV143" i="25"/>
  <c r="CW97" i="25"/>
  <c r="CO97" i="25" s="1"/>
  <c r="CV97" i="25"/>
  <c r="CU97" i="25"/>
  <c r="CV122" i="25"/>
  <c r="CU122" i="25"/>
  <c r="CW122" i="25"/>
  <c r="CO122" i="25" s="1"/>
  <c r="CU64" i="25"/>
  <c r="CV64" i="25"/>
  <c r="CW64" i="25"/>
  <c r="CO64" i="25" s="1"/>
  <c r="CW65" i="25"/>
  <c r="CO65" i="25" s="1"/>
  <c r="CV65" i="25"/>
  <c r="CU65" i="25"/>
  <c r="CV111" i="25"/>
  <c r="CU111" i="25"/>
  <c r="CW111" i="25"/>
  <c r="CO111" i="25" s="1"/>
  <c r="CV202" i="25"/>
  <c r="CU202" i="25"/>
  <c r="CW202" i="25"/>
  <c r="CO202" i="25" s="1"/>
  <c r="CV191" i="25"/>
  <c r="CW191" i="25"/>
  <c r="CO191" i="25" s="1"/>
  <c r="CU191" i="25"/>
  <c r="CW180" i="25"/>
  <c r="CO180" i="25" s="1"/>
  <c r="CV180" i="25"/>
  <c r="CU180" i="25"/>
  <c r="CU251" i="25"/>
  <c r="CW251" i="25"/>
  <c r="CO251" i="25" s="1"/>
  <c r="CV251" i="25"/>
  <c r="CU174" i="25"/>
  <c r="CW174" i="25"/>
  <c r="CO174" i="25" s="1"/>
  <c r="CV174" i="25"/>
  <c r="CU175" i="25"/>
  <c r="CV175" i="25"/>
  <c r="CW175" i="25"/>
  <c r="CO175" i="25" s="1"/>
  <c r="CW292" i="25"/>
  <c r="CO292" i="25" s="1"/>
  <c r="CU292" i="25"/>
  <c r="CV292" i="25"/>
  <c r="CL34" i="24"/>
  <c r="CW34" i="24"/>
  <c r="CX34" i="24" s="1"/>
  <c r="DQ34" i="24"/>
  <c r="ES34" i="24"/>
  <c r="EV34" i="24" s="1"/>
  <c r="CY34" i="24"/>
  <c r="CU34" i="24"/>
  <c r="CV34" i="24" s="1"/>
  <c r="CY87" i="24"/>
  <c r="CL87" i="24"/>
  <c r="ES87" i="24"/>
  <c r="EV87" i="24" s="1"/>
  <c r="CW87" i="24"/>
  <c r="CX87" i="24" s="1"/>
  <c r="DQ87" i="24"/>
  <c r="CU87" i="24"/>
  <c r="CV87" i="24" s="1"/>
  <c r="ES53" i="24"/>
  <c r="EV53" i="24" s="1"/>
  <c r="CL53" i="24"/>
  <c r="DQ53" i="24"/>
  <c r="CW53" i="24"/>
  <c r="CX53" i="24" s="1"/>
  <c r="CY53" i="24"/>
  <c r="CU53" i="24"/>
  <c r="CV53" i="24" s="1"/>
  <c r="ES42" i="24"/>
  <c r="EV42" i="24" s="1"/>
  <c r="CL42" i="24"/>
  <c r="CW42" i="24"/>
  <c r="CX42" i="24" s="1"/>
  <c r="CY42" i="24"/>
  <c r="DQ42" i="24"/>
  <c r="CU42" i="24"/>
  <c r="CV42" i="24" s="1"/>
  <c r="CU11" i="24"/>
  <c r="CV11" i="24" s="1"/>
  <c r="CL11" i="24"/>
  <c r="DQ11" i="24"/>
  <c r="ES11" i="24"/>
  <c r="EV11" i="24" s="1"/>
  <c r="CW11" i="24"/>
  <c r="CX11" i="24" s="1"/>
  <c r="CY11" i="24"/>
  <c r="CZ11" i="24" s="1"/>
  <c r="CL91" i="24"/>
  <c r="DQ91" i="24"/>
  <c r="ES91" i="24"/>
  <c r="EV91" i="24" s="1"/>
  <c r="CW91" i="24"/>
  <c r="CX91" i="24" s="1"/>
  <c r="CY91" i="24"/>
  <c r="CZ91" i="24" s="1"/>
  <c r="CU91" i="24"/>
  <c r="CV91" i="24" s="1"/>
  <c r="CL39" i="24"/>
  <c r="CU39" i="24"/>
  <c r="CV39" i="24" s="1"/>
  <c r="ES39" i="24"/>
  <c r="EV39" i="24" s="1"/>
  <c r="CY39" i="24"/>
  <c r="CW39" i="24"/>
  <c r="CX39" i="24" s="1"/>
  <c r="DQ39" i="24"/>
  <c r="CW71" i="24"/>
  <c r="CX71" i="24" s="1"/>
  <c r="DQ71" i="24"/>
  <c r="ES71" i="24"/>
  <c r="EV71" i="24" s="1"/>
  <c r="CL71" i="24"/>
  <c r="CY71" i="24"/>
  <c r="CU71" i="24"/>
  <c r="CV71" i="24" s="1"/>
  <c r="CW43" i="24"/>
  <c r="CX43" i="24" s="1"/>
  <c r="CL43" i="24"/>
  <c r="ES43" i="24"/>
  <c r="EV43" i="24" s="1"/>
  <c r="CU43" i="24"/>
  <c r="CV43" i="24" s="1"/>
  <c r="DQ43" i="24"/>
  <c r="CY43" i="24"/>
  <c r="DQ122" i="24"/>
  <c r="CY122" i="24"/>
  <c r="CZ122" i="24" s="1"/>
  <c r="CU122" i="24"/>
  <c r="ES122" i="24"/>
  <c r="EV122" i="24" s="1"/>
  <c r="CW122" i="24"/>
  <c r="CX122" i="24" s="1"/>
  <c r="CL122" i="24"/>
  <c r="ES168" i="24"/>
  <c r="EV168" i="24" s="1"/>
  <c r="CL168" i="24"/>
  <c r="CU168" i="24"/>
  <c r="CW168" i="24"/>
  <c r="CX168" i="24" s="1"/>
  <c r="DQ168" i="24"/>
  <c r="CY168" i="24"/>
  <c r="CZ168" i="24" s="1"/>
  <c r="ES127" i="24"/>
  <c r="EV127" i="24" s="1"/>
  <c r="DQ127" i="24"/>
  <c r="CW127" i="24"/>
  <c r="CX127" i="24" s="1"/>
  <c r="CL127" i="24"/>
  <c r="CY127" i="24"/>
  <c r="CU127" i="24"/>
  <c r="CW266" i="24"/>
  <c r="CX266" i="24" s="1"/>
  <c r="CU266" i="24"/>
  <c r="CL266" i="24"/>
  <c r="DQ266" i="24"/>
  <c r="CY266" i="24"/>
  <c r="ES69" i="24"/>
  <c r="EV69" i="24" s="1"/>
  <c r="CW69" i="24"/>
  <c r="CX69" i="24" s="1"/>
  <c r="CL69" i="24"/>
  <c r="DQ69" i="24"/>
  <c r="CU69" i="24"/>
  <c r="CV69" i="24" s="1"/>
  <c r="CY69" i="24"/>
  <c r="CL140" i="24"/>
  <c r="ES140" i="24"/>
  <c r="EV140" i="24" s="1"/>
  <c r="DQ140" i="24"/>
  <c r="CW140" i="24"/>
  <c r="CX140" i="24" s="1"/>
  <c r="CY140" i="24"/>
  <c r="CU140" i="24"/>
  <c r="ES99" i="24"/>
  <c r="EV99" i="24" s="1"/>
  <c r="CW99" i="24"/>
  <c r="CX99" i="24" s="1"/>
  <c r="CY99" i="24"/>
  <c r="DQ99" i="24"/>
  <c r="CL99" i="24"/>
  <c r="CU99" i="24"/>
  <c r="CV99" i="24" s="1"/>
  <c r="DQ151" i="24"/>
  <c r="CL151" i="24"/>
  <c r="CW151" i="24"/>
  <c r="CX151" i="24" s="1"/>
  <c r="ES151" i="24"/>
  <c r="EV151" i="24" s="1"/>
  <c r="CY151" i="24"/>
  <c r="CU151" i="24"/>
  <c r="CY124" i="24"/>
  <c r="DQ124" i="24"/>
  <c r="ES124" i="24"/>
  <c r="EV124" i="24" s="1"/>
  <c r="CL124" i="24"/>
  <c r="CW124" i="24"/>
  <c r="CX124" i="24" s="1"/>
  <c r="CU124" i="24"/>
  <c r="DQ188" i="24"/>
  <c r="CY188" i="24"/>
  <c r="ES188" i="24"/>
  <c r="EV188" i="24" s="1"/>
  <c r="CU188" i="24"/>
  <c r="CL188" i="24"/>
  <c r="CW188" i="24"/>
  <c r="CX188" i="24" s="1"/>
  <c r="ES138" i="24"/>
  <c r="EV138" i="24" s="1"/>
  <c r="CL138" i="24"/>
  <c r="DQ138" i="24"/>
  <c r="CY138" i="24"/>
  <c r="CW138" i="24"/>
  <c r="CX138" i="24" s="1"/>
  <c r="CU138" i="24"/>
  <c r="CL310" i="24"/>
  <c r="CW310" i="24"/>
  <c r="CX310" i="24" s="1"/>
  <c r="CU310" i="24"/>
  <c r="CY310" i="24"/>
  <c r="DQ310" i="24"/>
  <c r="CL174" i="24"/>
  <c r="ES174" i="24"/>
  <c r="EV174" i="24" s="1"/>
  <c r="DQ174" i="24"/>
  <c r="CU174" i="24"/>
  <c r="CW174" i="24"/>
  <c r="CX174" i="24" s="1"/>
  <c r="CY174" i="24"/>
  <c r="ES114" i="24"/>
  <c r="EV114" i="24" s="1"/>
  <c r="CW114" i="24"/>
  <c r="CX114" i="24" s="1"/>
  <c r="DQ114" i="24"/>
  <c r="CL114" i="24"/>
  <c r="CY114" i="24"/>
  <c r="CU114" i="24"/>
  <c r="CL176" i="24"/>
  <c r="CU176" i="24"/>
  <c r="ES176" i="24"/>
  <c r="EV176" i="24" s="1"/>
  <c r="CW176" i="24"/>
  <c r="CX176" i="24" s="1"/>
  <c r="DQ176" i="24"/>
  <c r="CY176" i="24"/>
  <c r="ES201" i="24"/>
  <c r="EV201" i="24" s="1"/>
  <c r="DQ201" i="24"/>
  <c r="CW201" i="24"/>
  <c r="CX201" i="24" s="1"/>
  <c r="CU201" i="24"/>
  <c r="CL201" i="24"/>
  <c r="CY201" i="24"/>
  <c r="CZ201" i="24" s="1"/>
  <c r="CW271" i="24"/>
  <c r="CX271" i="24" s="1"/>
  <c r="CL271" i="24"/>
  <c r="DQ271" i="24"/>
  <c r="CY271" i="24"/>
  <c r="CU271" i="24"/>
  <c r="DQ237" i="24"/>
  <c r="CL237" i="24"/>
  <c r="CW237" i="24"/>
  <c r="CX237" i="24" s="1"/>
  <c r="CU237" i="24"/>
  <c r="CY237" i="24"/>
  <c r="DQ315" i="24"/>
  <c r="CL315" i="24"/>
  <c r="CW315" i="24"/>
  <c r="CX315" i="24" s="1"/>
  <c r="CY315" i="24"/>
  <c r="CU315" i="24"/>
  <c r="DQ239" i="24"/>
  <c r="CW239" i="24"/>
  <c r="CX239" i="24" s="1"/>
  <c r="CL239" i="24"/>
  <c r="CY239" i="24"/>
  <c r="CU239" i="24"/>
  <c r="DQ299" i="24"/>
  <c r="CL299" i="24"/>
  <c r="CY299" i="24"/>
  <c r="CZ299" i="24" s="1"/>
  <c r="CW299" i="24"/>
  <c r="CX299" i="24" s="1"/>
  <c r="CU299" i="24"/>
  <c r="CY225" i="24"/>
  <c r="CW225" i="24"/>
  <c r="CX225" i="24" s="1"/>
  <c r="CU225" i="24"/>
  <c r="DQ225" i="24"/>
  <c r="CL225" i="24"/>
  <c r="CW260" i="24"/>
  <c r="CX260" i="24" s="1"/>
  <c r="CU260" i="24"/>
  <c r="CL260" i="24"/>
  <c r="DQ260" i="24"/>
  <c r="CY260" i="24"/>
  <c r="CU223" i="24"/>
  <c r="CW223" i="24"/>
  <c r="CX223" i="24" s="1"/>
  <c r="CY223" i="24"/>
  <c r="DQ223" i="24"/>
  <c r="CL223" i="24"/>
  <c r="DQ290" i="24"/>
  <c r="CL290" i="24"/>
  <c r="CW290" i="24"/>
  <c r="CX290" i="24" s="1"/>
  <c r="CY290" i="24"/>
  <c r="CU290" i="24"/>
  <c r="ES196" i="24"/>
  <c r="EV196" i="24" s="1"/>
  <c r="CU196" i="24"/>
  <c r="CY196" i="24"/>
  <c r="DQ196" i="24"/>
  <c r="CW196" i="24"/>
  <c r="CX196" i="24" s="1"/>
  <c r="CL196" i="24"/>
  <c r="DQ246" i="24"/>
  <c r="CU246" i="24"/>
  <c r="CL246" i="24"/>
  <c r="CW246" i="24"/>
  <c r="CX246" i="24" s="1"/>
  <c r="CY246" i="24"/>
  <c r="CL313" i="24"/>
  <c r="DQ313" i="24"/>
  <c r="CY313" i="24"/>
  <c r="CW313" i="24"/>
  <c r="CX313" i="24" s="1"/>
  <c r="CU313" i="24"/>
  <c r="CL26" i="24"/>
  <c r="CW26" i="24"/>
  <c r="CX26" i="24" s="1"/>
  <c r="CY26" i="24"/>
  <c r="ES26" i="24"/>
  <c r="EV26" i="24" s="1"/>
  <c r="DQ26" i="24"/>
  <c r="CU26" i="24"/>
  <c r="CV26" i="24" s="1"/>
  <c r="DQ92" i="24"/>
  <c r="CL92" i="24"/>
  <c r="CW92" i="24"/>
  <c r="CX92" i="24" s="1"/>
  <c r="CY92" i="24"/>
  <c r="CU92" i="24"/>
  <c r="CV92" i="24" s="1"/>
  <c r="ES92" i="24"/>
  <c r="EV92" i="24" s="1"/>
  <c r="DQ59" i="24"/>
  <c r="ES59" i="24"/>
  <c r="EV59" i="24" s="1"/>
  <c r="CL59" i="24"/>
  <c r="CW59" i="24"/>
  <c r="CX59" i="24" s="1"/>
  <c r="CY59" i="24"/>
  <c r="CU59" i="24"/>
  <c r="CV59" i="24" s="1"/>
  <c r="CW77" i="24"/>
  <c r="CX77" i="24" s="1"/>
  <c r="ES77" i="24"/>
  <c r="EV77" i="24" s="1"/>
  <c r="CL77" i="24"/>
  <c r="CY77" i="24"/>
  <c r="DQ77" i="24"/>
  <c r="CU77" i="24"/>
  <c r="CV77" i="24" s="1"/>
  <c r="CY12" i="24"/>
  <c r="ES12" i="24"/>
  <c r="EV12" i="24" s="1"/>
  <c r="CW12" i="24"/>
  <c r="CX12" i="24" s="1"/>
  <c r="CU12" i="24"/>
  <c r="CV12" i="24" s="1"/>
  <c r="DQ12" i="24"/>
  <c r="CL12" i="24"/>
  <c r="ES96" i="24"/>
  <c r="EV96" i="24" s="1"/>
  <c r="CL96" i="24"/>
  <c r="DQ96" i="24"/>
  <c r="CW96" i="24"/>
  <c r="CX96" i="24" s="1"/>
  <c r="CU96" i="24"/>
  <c r="CV96" i="24" s="1"/>
  <c r="CY96" i="24"/>
  <c r="ES49" i="24"/>
  <c r="EV49" i="24" s="1"/>
  <c r="CL49" i="24"/>
  <c r="CW49" i="24"/>
  <c r="CX49" i="24" s="1"/>
  <c r="CY49" i="24"/>
  <c r="DQ49" i="24"/>
  <c r="CU49" i="24"/>
  <c r="CV49" i="24" s="1"/>
  <c r="ES79" i="24"/>
  <c r="EV79" i="24" s="1"/>
  <c r="CW79" i="24"/>
  <c r="CX79" i="24" s="1"/>
  <c r="CY79" i="24"/>
  <c r="DQ79" i="24"/>
  <c r="CU79" i="24"/>
  <c r="CV79" i="24" s="1"/>
  <c r="CL79" i="24"/>
  <c r="CW44" i="24"/>
  <c r="CX44" i="24" s="1"/>
  <c r="CL44" i="24"/>
  <c r="DQ44" i="24"/>
  <c r="ES44" i="24"/>
  <c r="EV44" i="24" s="1"/>
  <c r="CY44" i="24"/>
  <c r="CU44" i="24"/>
  <c r="CV44" i="24" s="1"/>
  <c r="ES130" i="24"/>
  <c r="EV130" i="24" s="1"/>
  <c r="DQ130" i="24"/>
  <c r="CL130" i="24"/>
  <c r="CU130" i="24"/>
  <c r="CW130" i="24"/>
  <c r="CX130" i="24" s="1"/>
  <c r="CY130" i="24"/>
  <c r="CU218" i="24"/>
  <c r="CW218" i="24"/>
  <c r="CX218" i="24" s="1"/>
  <c r="CL218" i="24"/>
  <c r="CY218" i="24"/>
  <c r="DQ218" i="24"/>
  <c r="ES145" i="24"/>
  <c r="EV145" i="24" s="1"/>
  <c r="CW145" i="24"/>
  <c r="CX145" i="24" s="1"/>
  <c r="DQ145" i="24"/>
  <c r="CL145" i="24"/>
  <c r="CU145" i="24"/>
  <c r="CY145" i="24"/>
  <c r="ES31" i="24"/>
  <c r="EV31" i="24" s="1"/>
  <c r="DQ31" i="24"/>
  <c r="CY31" i="24"/>
  <c r="CW31" i="24"/>
  <c r="CX31" i="24" s="1"/>
  <c r="CU31" i="24"/>
  <c r="CV31" i="24" s="1"/>
  <c r="CL31" i="24"/>
  <c r="DQ74" i="24"/>
  <c r="ES74" i="24"/>
  <c r="EV74" i="24" s="1"/>
  <c r="CL74" i="24"/>
  <c r="CW74" i="24"/>
  <c r="CX74" i="24" s="1"/>
  <c r="CU74" i="24"/>
  <c r="CV74" i="24" s="1"/>
  <c r="CY74" i="24"/>
  <c r="DQ142" i="24"/>
  <c r="CW142" i="24"/>
  <c r="CX142" i="24" s="1"/>
  <c r="CL142" i="24"/>
  <c r="ES142" i="24"/>
  <c r="EV142" i="24" s="1"/>
  <c r="CU142" i="24"/>
  <c r="CY142" i="24"/>
  <c r="ES117" i="24"/>
  <c r="EV117" i="24" s="1"/>
  <c r="DQ117" i="24"/>
  <c r="CL117" i="24"/>
  <c r="CW117" i="24"/>
  <c r="CX117" i="24" s="1"/>
  <c r="CU117" i="24"/>
  <c r="CY117" i="24"/>
  <c r="DQ158" i="24"/>
  <c r="CL158" i="24"/>
  <c r="ES158" i="24"/>
  <c r="EV158" i="24" s="1"/>
  <c r="CY158" i="24"/>
  <c r="CW158" i="24"/>
  <c r="CX158" i="24" s="1"/>
  <c r="CU158" i="24"/>
  <c r="CW128" i="24"/>
  <c r="CX128" i="24" s="1"/>
  <c r="ES128" i="24"/>
  <c r="EV128" i="24" s="1"/>
  <c r="DQ128" i="24"/>
  <c r="CU128" i="24"/>
  <c r="CY128" i="24"/>
  <c r="CL128" i="24"/>
  <c r="CW256" i="24"/>
  <c r="CX256" i="24" s="1"/>
  <c r="CU256" i="24"/>
  <c r="CY256" i="24"/>
  <c r="DQ256" i="24"/>
  <c r="CL256" i="24"/>
  <c r="ES141" i="24"/>
  <c r="EV141" i="24" s="1"/>
  <c r="CL141" i="24"/>
  <c r="DQ141" i="24"/>
  <c r="CW141" i="24"/>
  <c r="CX141" i="24" s="1"/>
  <c r="CY141" i="24"/>
  <c r="CU141" i="24"/>
  <c r="ES95" i="24"/>
  <c r="EV95" i="24" s="1"/>
  <c r="DQ95" i="24"/>
  <c r="CL95" i="24"/>
  <c r="CU95" i="24"/>
  <c r="CV95" i="24" s="1"/>
  <c r="CW95" i="24"/>
  <c r="CX95" i="24" s="1"/>
  <c r="CY95" i="24"/>
  <c r="DQ178" i="24"/>
  <c r="CL178" i="24"/>
  <c r="CW178" i="24"/>
  <c r="CX178" i="24" s="1"/>
  <c r="CY178" i="24"/>
  <c r="ES178" i="24"/>
  <c r="EV178" i="24" s="1"/>
  <c r="CU178" i="24"/>
  <c r="ES125" i="24"/>
  <c r="EV125" i="24" s="1"/>
  <c r="DQ125" i="24"/>
  <c r="CL125" i="24"/>
  <c r="CW125" i="24"/>
  <c r="CX125" i="24" s="1"/>
  <c r="CY125" i="24"/>
  <c r="CU125" i="24"/>
  <c r="ES180" i="24"/>
  <c r="EV180" i="24" s="1"/>
  <c r="DQ180" i="24"/>
  <c r="CU180" i="24"/>
  <c r="CL180" i="24"/>
  <c r="CY180" i="24"/>
  <c r="CW180" i="24"/>
  <c r="CX180" i="24" s="1"/>
  <c r="ES207" i="24"/>
  <c r="EV207" i="24" s="1"/>
  <c r="CL207" i="24"/>
  <c r="DQ207" i="24"/>
  <c r="CY207" i="24"/>
  <c r="CW207" i="24"/>
  <c r="CX207" i="24" s="1"/>
  <c r="CU207" i="24"/>
  <c r="DQ272" i="24"/>
  <c r="CW272" i="24"/>
  <c r="CX272" i="24" s="1"/>
  <c r="CL272" i="24"/>
  <c r="CY272" i="24"/>
  <c r="CU272" i="24"/>
  <c r="DQ249" i="24"/>
  <c r="CL249" i="24"/>
  <c r="CW249" i="24"/>
  <c r="CX249" i="24" s="1"/>
  <c r="CU249" i="24"/>
  <c r="CY249" i="24"/>
  <c r="DQ195" i="24"/>
  <c r="CW195" i="24"/>
  <c r="CX195" i="24" s="1"/>
  <c r="ES195" i="24"/>
  <c r="EV195" i="24" s="1"/>
  <c r="CY195" i="24"/>
  <c r="CL195" i="24"/>
  <c r="CU195" i="24"/>
  <c r="DQ257" i="24"/>
  <c r="CL257" i="24"/>
  <c r="CW257" i="24"/>
  <c r="CX257" i="24" s="1"/>
  <c r="CY257" i="24"/>
  <c r="CU257" i="24"/>
  <c r="DQ301" i="24"/>
  <c r="CL301" i="24"/>
  <c r="CW301" i="24"/>
  <c r="CX301" i="24" s="1"/>
  <c r="CY301" i="24"/>
  <c r="CU301" i="24"/>
  <c r="DQ229" i="24"/>
  <c r="CY229" i="24"/>
  <c r="CZ229" i="24" s="1"/>
  <c r="CL229" i="24"/>
  <c r="CW229" i="24"/>
  <c r="CX229" i="24" s="1"/>
  <c r="CU229" i="24"/>
  <c r="DQ268" i="24"/>
  <c r="CL268" i="24"/>
  <c r="CW268" i="24"/>
  <c r="CX268" i="24" s="1"/>
  <c r="CY268" i="24"/>
  <c r="CU268" i="24"/>
  <c r="CY227" i="24"/>
  <c r="CZ227" i="24" s="1"/>
  <c r="CL227" i="24"/>
  <c r="DQ227" i="24"/>
  <c r="CW227" i="24"/>
  <c r="CX227" i="24" s="1"/>
  <c r="CU227" i="24"/>
  <c r="CY295" i="24"/>
  <c r="CW295" i="24"/>
  <c r="CX295" i="24" s="1"/>
  <c r="CL295" i="24"/>
  <c r="DQ295" i="24"/>
  <c r="CU295" i="24"/>
  <c r="ES198" i="24"/>
  <c r="EV198" i="24" s="1"/>
  <c r="CL198" i="24"/>
  <c r="CY198" i="24"/>
  <c r="DQ198" i="24"/>
  <c r="CW198" i="24"/>
  <c r="CX198" i="24" s="1"/>
  <c r="CU198" i="24"/>
  <c r="DQ251" i="24"/>
  <c r="CY251" i="24"/>
  <c r="CL251" i="24"/>
  <c r="CW251" i="24"/>
  <c r="CX251" i="24" s="1"/>
  <c r="CU251" i="24"/>
  <c r="DQ316" i="24"/>
  <c r="CY316" i="24"/>
  <c r="CL316" i="24"/>
  <c r="CW316" i="24"/>
  <c r="CX316" i="24" s="1"/>
  <c r="CU316" i="24"/>
  <c r="CL28" i="24"/>
  <c r="CU28" i="24"/>
  <c r="CV28" i="24" s="1"/>
  <c r="DQ28" i="24"/>
  <c r="CW28" i="24"/>
  <c r="CX28" i="24" s="1"/>
  <c r="CY28" i="24"/>
  <c r="CZ28" i="24" s="1"/>
  <c r="ES28" i="24"/>
  <c r="EV28" i="24" s="1"/>
  <c r="CL94" i="24"/>
  <c r="CY94" i="24"/>
  <c r="CW94" i="24"/>
  <c r="CX94" i="24" s="1"/>
  <c r="ES94" i="24"/>
  <c r="EV94" i="24" s="1"/>
  <c r="DQ94" i="24"/>
  <c r="CU94" i="24"/>
  <c r="CV94" i="24" s="1"/>
  <c r="CL61" i="24"/>
  <c r="CY61" i="24"/>
  <c r="CW61" i="24"/>
  <c r="CX61" i="24" s="1"/>
  <c r="DQ61" i="24"/>
  <c r="ES61" i="24"/>
  <c r="EV61" i="24" s="1"/>
  <c r="CU61" i="24"/>
  <c r="CV61" i="24" s="1"/>
  <c r="CL35" i="24"/>
  <c r="ES35" i="24"/>
  <c r="EV35" i="24" s="1"/>
  <c r="DQ35" i="24"/>
  <c r="CU35" i="24"/>
  <c r="CV35" i="24" s="1"/>
  <c r="CY35" i="24"/>
  <c r="CW35" i="24"/>
  <c r="CX35" i="24" s="1"/>
  <c r="ES23" i="24"/>
  <c r="EV23" i="24" s="1"/>
  <c r="DQ23" i="24"/>
  <c r="CY23" i="24"/>
  <c r="CW23" i="24"/>
  <c r="CX23" i="24" s="1"/>
  <c r="CL23" i="24"/>
  <c r="CU23" i="24"/>
  <c r="CV23" i="24" s="1"/>
  <c r="ES13" i="24"/>
  <c r="EV13" i="24" s="1"/>
  <c r="CL13" i="24"/>
  <c r="CW13" i="24"/>
  <c r="CX13" i="24" s="1"/>
  <c r="CY13" i="24"/>
  <c r="CU13" i="24"/>
  <c r="CV13" i="24" s="1"/>
  <c r="DQ13" i="24"/>
  <c r="CU51" i="24"/>
  <c r="CV51" i="24" s="1"/>
  <c r="CY51" i="24"/>
  <c r="CW51" i="24"/>
  <c r="CX51" i="24" s="1"/>
  <c r="CL51" i="24"/>
  <c r="ES51" i="24"/>
  <c r="EV51" i="24" s="1"/>
  <c r="DQ51" i="24"/>
  <c r="CL85" i="24"/>
  <c r="CW85" i="24"/>
  <c r="CX85" i="24" s="1"/>
  <c r="ES85" i="24"/>
  <c r="EV85" i="24" s="1"/>
  <c r="DQ85" i="24"/>
  <c r="CY85" i="24"/>
  <c r="CU85" i="24"/>
  <c r="CV85" i="24" s="1"/>
  <c r="CU63" i="24"/>
  <c r="CV63" i="24" s="1"/>
  <c r="DQ63" i="24"/>
  <c r="CW63" i="24"/>
  <c r="CX63" i="24" s="1"/>
  <c r="CL63" i="24"/>
  <c r="ES63" i="24"/>
  <c r="EV63" i="24" s="1"/>
  <c r="CY63" i="24"/>
  <c r="ES137" i="24"/>
  <c r="EV137" i="24" s="1"/>
  <c r="CW137" i="24"/>
  <c r="CX137" i="24" s="1"/>
  <c r="CL137" i="24"/>
  <c r="DQ137" i="24"/>
  <c r="CY137" i="24"/>
  <c r="CU137" i="24"/>
  <c r="DQ68" i="24"/>
  <c r="CL68" i="24"/>
  <c r="CW68" i="24"/>
  <c r="CX68" i="24" s="1"/>
  <c r="CU68" i="24"/>
  <c r="CV68" i="24" s="1"/>
  <c r="ES68" i="24"/>
  <c r="EV68" i="24" s="1"/>
  <c r="CY68" i="24"/>
  <c r="DQ159" i="24"/>
  <c r="CW159" i="24"/>
  <c r="CX159" i="24" s="1"/>
  <c r="CY159" i="24"/>
  <c r="CU159" i="24"/>
  <c r="ES159" i="24"/>
  <c r="EV159" i="24" s="1"/>
  <c r="CL159" i="24"/>
  <c r="ES32" i="24"/>
  <c r="EV32" i="24" s="1"/>
  <c r="CL32" i="24"/>
  <c r="DQ32" i="24"/>
  <c r="CW32" i="24"/>
  <c r="CX32" i="24" s="1"/>
  <c r="CY32" i="24"/>
  <c r="CU32" i="24"/>
  <c r="CV32" i="24" s="1"/>
  <c r="DQ78" i="24"/>
  <c r="CW78" i="24"/>
  <c r="CX78" i="24" s="1"/>
  <c r="CU78" i="24"/>
  <c r="CV78" i="24" s="1"/>
  <c r="CL78" i="24"/>
  <c r="ES78" i="24"/>
  <c r="EV78" i="24" s="1"/>
  <c r="CY78" i="24"/>
  <c r="ES144" i="24"/>
  <c r="EV144" i="24" s="1"/>
  <c r="CW144" i="24"/>
  <c r="CX144" i="24" s="1"/>
  <c r="CL144" i="24"/>
  <c r="CU144" i="24"/>
  <c r="DQ144" i="24"/>
  <c r="CY144" i="24"/>
  <c r="DQ121" i="24"/>
  <c r="ES121" i="24"/>
  <c r="EV121" i="24" s="1"/>
  <c r="CU121" i="24"/>
  <c r="CY121" i="24"/>
  <c r="CW121" i="24"/>
  <c r="CX121" i="24" s="1"/>
  <c r="CL121" i="24"/>
  <c r="ES165" i="24"/>
  <c r="EV165" i="24" s="1"/>
  <c r="CU165" i="24"/>
  <c r="CY165" i="24"/>
  <c r="CL165" i="24"/>
  <c r="CW165" i="24"/>
  <c r="CX165" i="24" s="1"/>
  <c r="DQ165" i="24"/>
  <c r="CL135" i="24"/>
  <c r="ES135" i="24"/>
  <c r="EV135" i="24" s="1"/>
  <c r="DQ135" i="24"/>
  <c r="CY135" i="24"/>
  <c r="CW135" i="24"/>
  <c r="CX135" i="24" s="1"/>
  <c r="CU135" i="24"/>
  <c r="DQ100" i="24"/>
  <c r="CL100" i="24"/>
  <c r="ES100" i="24"/>
  <c r="EV100" i="24" s="1"/>
  <c r="CU100" i="24"/>
  <c r="CV100" i="24" s="1"/>
  <c r="CY100" i="24"/>
  <c r="CW100" i="24"/>
  <c r="CX100" i="24" s="1"/>
  <c r="CL160" i="24"/>
  <c r="ES160" i="24"/>
  <c r="EV160" i="24" s="1"/>
  <c r="CU160" i="24"/>
  <c r="DQ160" i="24"/>
  <c r="CW160" i="24"/>
  <c r="CX160" i="24" s="1"/>
  <c r="CY160" i="24"/>
  <c r="CY101" i="24"/>
  <c r="CU101" i="24"/>
  <c r="CV101" i="24" s="1"/>
  <c r="DQ101" i="24"/>
  <c r="ES101" i="24"/>
  <c r="EV101" i="24" s="1"/>
  <c r="CL101" i="24"/>
  <c r="CW101" i="24"/>
  <c r="CX101" i="24" s="1"/>
  <c r="DQ184" i="24"/>
  <c r="ES184" i="24"/>
  <c r="EV184" i="24" s="1"/>
  <c r="CL184" i="24"/>
  <c r="CU184" i="24"/>
  <c r="CW184" i="24"/>
  <c r="CX184" i="24" s="1"/>
  <c r="CY184" i="24"/>
  <c r="CZ184" i="24" s="1"/>
  <c r="CU131" i="24"/>
  <c r="CL131" i="24"/>
  <c r="CY131" i="24"/>
  <c r="DQ131" i="24"/>
  <c r="ES131" i="24"/>
  <c r="EV131" i="24" s="1"/>
  <c r="CW131" i="24"/>
  <c r="CX131" i="24" s="1"/>
  <c r="DQ181" i="24"/>
  <c r="CW181" i="24"/>
  <c r="CX181" i="24" s="1"/>
  <c r="CY181" i="24"/>
  <c r="ES181" i="24"/>
  <c r="EV181" i="24" s="1"/>
  <c r="CL181" i="24"/>
  <c r="CU181" i="24"/>
  <c r="CL220" i="24"/>
  <c r="DQ220" i="24"/>
  <c r="CY220" i="24"/>
  <c r="CW220" i="24"/>
  <c r="CX220" i="24" s="1"/>
  <c r="CU220" i="24"/>
  <c r="DQ288" i="24"/>
  <c r="CY288" i="24"/>
  <c r="CL288" i="24"/>
  <c r="CU288" i="24"/>
  <c r="CW288" i="24"/>
  <c r="CX288" i="24" s="1"/>
  <c r="CY270" i="24"/>
  <c r="DQ270" i="24"/>
  <c r="CL270" i="24"/>
  <c r="CU270" i="24"/>
  <c r="CW270" i="24"/>
  <c r="CX270" i="24" s="1"/>
  <c r="CL197" i="24"/>
  <c r="CW197" i="24"/>
  <c r="CX197" i="24" s="1"/>
  <c r="ES197" i="24"/>
  <c r="EV197" i="24" s="1"/>
  <c r="DQ197" i="24"/>
  <c r="CY197" i="24"/>
  <c r="CU197" i="24"/>
  <c r="CW261" i="24"/>
  <c r="CX261" i="24" s="1"/>
  <c r="CY261" i="24"/>
  <c r="CZ261" i="24" s="1"/>
  <c r="DQ261" i="24"/>
  <c r="CL261" i="24"/>
  <c r="CU261" i="24"/>
  <c r="CW303" i="24"/>
  <c r="CX303" i="24" s="1"/>
  <c r="DQ303" i="24"/>
  <c r="CL303" i="24"/>
  <c r="CY303" i="24"/>
  <c r="CU303" i="24"/>
  <c r="CL231" i="24"/>
  <c r="CU231" i="24"/>
  <c r="CY231" i="24"/>
  <c r="DQ231" i="24"/>
  <c r="CW231" i="24"/>
  <c r="CX231" i="24" s="1"/>
  <c r="CL273" i="24"/>
  <c r="CW273" i="24"/>
  <c r="CX273" i="24" s="1"/>
  <c r="DQ273" i="24"/>
  <c r="CY273" i="24"/>
  <c r="CU273" i="24"/>
  <c r="CL247" i="24"/>
  <c r="DQ247" i="24"/>
  <c r="CW247" i="24"/>
  <c r="CX247" i="24" s="1"/>
  <c r="CY247" i="24"/>
  <c r="CU247" i="24"/>
  <c r="CL304" i="24"/>
  <c r="DQ304" i="24"/>
  <c r="CW304" i="24"/>
  <c r="CX304" i="24" s="1"/>
  <c r="CY304" i="24"/>
  <c r="CU304" i="24"/>
  <c r="DQ199" i="24"/>
  <c r="CW199" i="24"/>
  <c r="CX199" i="24" s="1"/>
  <c r="CL199" i="24"/>
  <c r="ES199" i="24"/>
  <c r="EV199" i="24" s="1"/>
  <c r="CY199" i="24"/>
  <c r="CU199" i="24"/>
  <c r="CW252" i="24"/>
  <c r="CX252" i="24" s="1"/>
  <c r="CL252" i="24"/>
  <c r="CU252" i="24"/>
  <c r="DQ252" i="24"/>
  <c r="CY252" i="24"/>
  <c r="CL269" i="24"/>
  <c r="DQ269" i="24"/>
  <c r="CW269" i="24"/>
  <c r="CX269" i="24" s="1"/>
  <c r="CU269" i="24"/>
  <c r="CY269" i="24"/>
  <c r="ES46" i="24"/>
  <c r="EV46" i="24" s="1"/>
  <c r="DQ46" i="24"/>
  <c r="CU46" i="24"/>
  <c r="CV46" i="24" s="1"/>
  <c r="CW46" i="24"/>
  <c r="CX46" i="24" s="1"/>
  <c r="CL46" i="24"/>
  <c r="CY46" i="24"/>
  <c r="CL16" i="24"/>
  <c r="ES16" i="24"/>
  <c r="EV16" i="24" s="1"/>
  <c r="DQ16" i="24"/>
  <c r="CW16" i="24"/>
  <c r="CX16" i="24" s="1"/>
  <c r="CY16" i="24"/>
  <c r="CU16" i="24"/>
  <c r="CV16" i="24" s="1"/>
  <c r="ES65" i="24"/>
  <c r="EV65" i="24" s="1"/>
  <c r="DQ65" i="24"/>
  <c r="CY65" i="24"/>
  <c r="CZ65" i="24" s="1"/>
  <c r="CL65" i="24"/>
  <c r="CW65" i="24"/>
  <c r="CX65" i="24" s="1"/>
  <c r="CU65" i="24"/>
  <c r="CV65" i="24" s="1"/>
  <c r="CL24" i="24"/>
  <c r="ES24" i="24"/>
  <c r="EV24" i="24" s="1"/>
  <c r="DQ24" i="24"/>
  <c r="CW24" i="24"/>
  <c r="CX24" i="24" s="1"/>
  <c r="CY24" i="24"/>
  <c r="CU24" i="24"/>
  <c r="CV24" i="24" s="1"/>
  <c r="DQ25" i="24"/>
  <c r="ES25" i="24"/>
  <c r="EV25" i="24" s="1"/>
  <c r="CW25" i="24"/>
  <c r="CX25" i="24" s="1"/>
  <c r="CL25" i="24"/>
  <c r="CY25" i="24"/>
  <c r="CU25" i="24"/>
  <c r="CV25" i="24" s="1"/>
  <c r="CL8" i="24"/>
  <c r="ES8" i="24"/>
  <c r="EV8" i="24" s="1"/>
  <c r="DQ8" i="24"/>
  <c r="CW8" i="24"/>
  <c r="CX8" i="24" s="1"/>
  <c r="CY8" i="24"/>
  <c r="CU8" i="24"/>
  <c r="CV8" i="24" s="1"/>
  <c r="DQ54" i="24"/>
  <c r="CY54" i="24"/>
  <c r="CL54" i="24"/>
  <c r="CU54" i="24"/>
  <c r="CV54" i="24" s="1"/>
  <c r="ES54" i="24"/>
  <c r="EV54" i="24" s="1"/>
  <c r="CW54" i="24"/>
  <c r="CX54" i="24" s="1"/>
  <c r="CL90" i="24"/>
  <c r="CW90" i="24"/>
  <c r="CX90" i="24" s="1"/>
  <c r="ES90" i="24"/>
  <c r="EV90" i="24" s="1"/>
  <c r="DQ90" i="24"/>
  <c r="CU90" i="24"/>
  <c r="CV90" i="24" s="1"/>
  <c r="CY90" i="24"/>
  <c r="DQ93" i="24"/>
  <c r="ES93" i="24"/>
  <c r="EV93" i="24" s="1"/>
  <c r="CY93" i="24"/>
  <c r="CL93" i="24"/>
  <c r="CW93" i="24"/>
  <c r="CX93" i="24" s="1"/>
  <c r="CU93" i="24"/>
  <c r="CV93" i="24" s="1"/>
  <c r="DQ149" i="24"/>
  <c r="CY149" i="24"/>
  <c r="CU149" i="24"/>
  <c r="CW149" i="24"/>
  <c r="CX149" i="24" s="1"/>
  <c r="ES149" i="24"/>
  <c r="EV149" i="24" s="1"/>
  <c r="CL149" i="24"/>
  <c r="CL76" i="24"/>
  <c r="ES76" i="24"/>
  <c r="EV76" i="24" s="1"/>
  <c r="CY76" i="24"/>
  <c r="CZ76" i="24" s="1"/>
  <c r="CW76" i="24"/>
  <c r="CX76" i="24" s="1"/>
  <c r="DQ76" i="24"/>
  <c r="CU76" i="24"/>
  <c r="CV76" i="24" s="1"/>
  <c r="DQ163" i="24"/>
  <c r="ES163" i="24"/>
  <c r="EV163" i="24" s="1"/>
  <c r="CL163" i="24"/>
  <c r="CW163" i="24"/>
  <c r="CX163" i="24" s="1"/>
  <c r="CY163" i="24"/>
  <c r="CZ163" i="24" s="1"/>
  <c r="CU163" i="24"/>
  <c r="ES33" i="24"/>
  <c r="EV33" i="24" s="1"/>
  <c r="DQ33" i="24"/>
  <c r="CY33" i="24"/>
  <c r="CL33" i="24"/>
  <c r="CW33" i="24"/>
  <c r="CX33" i="24" s="1"/>
  <c r="CU33" i="24"/>
  <c r="CV33" i="24" s="1"/>
  <c r="DQ80" i="24"/>
  <c r="CW80" i="24"/>
  <c r="CX80" i="24" s="1"/>
  <c r="ES80" i="24"/>
  <c r="EV80" i="24" s="1"/>
  <c r="CU80" i="24"/>
  <c r="CV80" i="24" s="1"/>
  <c r="CL80" i="24"/>
  <c r="CY80" i="24"/>
  <c r="ES155" i="24"/>
  <c r="EV155" i="24" s="1"/>
  <c r="DQ155" i="24"/>
  <c r="CL155" i="24"/>
  <c r="CW155" i="24"/>
  <c r="CX155" i="24" s="1"/>
  <c r="CY155" i="24"/>
  <c r="CU155" i="24"/>
  <c r="DQ126" i="24"/>
  <c r="CW126" i="24"/>
  <c r="CX126" i="24" s="1"/>
  <c r="CL126" i="24"/>
  <c r="ES126" i="24"/>
  <c r="EV126" i="24" s="1"/>
  <c r="CU126" i="24"/>
  <c r="CY126" i="24"/>
  <c r="CW173" i="24"/>
  <c r="CX173" i="24" s="1"/>
  <c r="CL173" i="24"/>
  <c r="ES173" i="24"/>
  <c r="EV173" i="24" s="1"/>
  <c r="DQ173" i="24"/>
  <c r="CY173" i="24"/>
  <c r="CU173" i="24"/>
  <c r="CY147" i="24"/>
  <c r="CU147" i="24"/>
  <c r="DQ147" i="24"/>
  <c r="CW147" i="24"/>
  <c r="CX147" i="24" s="1"/>
  <c r="ES147" i="24"/>
  <c r="EV147" i="24" s="1"/>
  <c r="CL147" i="24"/>
  <c r="ES102" i="24"/>
  <c r="EV102" i="24" s="1"/>
  <c r="CL102" i="24"/>
  <c r="DQ102" i="24"/>
  <c r="CW102" i="24"/>
  <c r="CX102" i="24" s="1"/>
  <c r="CY102" i="24"/>
  <c r="CU102" i="24"/>
  <c r="CV102" i="24" s="1"/>
  <c r="DQ169" i="24"/>
  <c r="CW169" i="24"/>
  <c r="CX169" i="24" s="1"/>
  <c r="CL169" i="24"/>
  <c r="ES169" i="24"/>
  <c r="EV169" i="24" s="1"/>
  <c r="CY169" i="24"/>
  <c r="CU169" i="24"/>
  <c r="CL105" i="24"/>
  <c r="ES105" i="24"/>
  <c r="EV105" i="24" s="1"/>
  <c r="DQ105" i="24"/>
  <c r="CW105" i="24"/>
  <c r="CX105" i="24" s="1"/>
  <c r="CY105" i="24"/>
  <c r="CU105" i="24"/>
  <c r="CV105" i="24" s="1"/>
  <c r="DQ186" i="24"/>
  <c r="CW186" i="24"/>
  <c r="CX186" i="24" s="1"/>
  <c r="CL186" i="24"/>
  <c r="ES186" i="24"/>
  <c r="EV186" i="24" s="1"/>
  <c r="CY186" i="24"/>
  <c r="CU186" i="24"/>
  <c r="DQ134" i="24"/>
  <c r="CL134" i="24"/>
  <c r="CW134" i="24"/>
  <c r="CX134" i="24" s="1"/>
  <c r="CY134" i="24"/>
  <c r="ES134" i="24"/>
  <c r="EV134" i="24" s="1"/>
  <c r="CU134" i="24"/>
  <c r="ES183" i="24"/>
  <c r="EV183" i="24" s="1"/>
  <c r="DQ183" i="24"/>
  <c r="CY183" i="24"/>
  <c r="CL183" i="24"/>
  <c r="CW183" i="24"/>
  <c r="CX183" i="24" s="1"/>
  <c r="CU183" i="24"/>
  <c r="DQ230" i="24"/>
  <c r="CW230" i="24"/>
  <c r="CX230" i="24" s="1"/>
  <c r="CL230" i="24"/>
  <c r="CY230" i="24"/>
  <c r="CU230" i="24"/>
  <c r="DQ312" i="24"/>
  <c r="CL312" i="24"/>
  <c r="CY312" i="24"/>
  <c r="CW312" i="24"/>
  <c r="CX312" i="24" s="1"/>
  <c r="CU312" i="24"/>
  <c r="CL275" i="24"/>
  <c r="DQ275" i="24"/>
  <c r="CW275" i="24"/>
  <c r="CX275" i="24" s="1"/>
  <c r="CU275" i="24"/>
  <c r="CY275" i="24"/>
  <c r="ES210" i="24"/>
  <c r="EV210" i="24" s="1"/>
  <c r="CW210" i="24"/>
  <c r="CX210" i="24" s="1"/>
  <c r="CY210" i="24"/>
  <c r="CU210" i="24"/>
  <c r="CL210" i="24"/>
  <c r="DQ210" i="24"/>
  <c r="DQ265" i="24"/>
  <c r="CL265" i="24"/>
  <c r="CU265" i="24"/>
  <c r="CW265" i="24"/>
  <c r="CX265" i="24" s="1"/>
  <c r="CY265" i="24"/>
  <c r="DQ305" i="24"/>
  <c r="CW305" i="24"/>
  <c r="CX305" i="24" s="1"/>
  <c r="CY305" i="24"/>
  <c r="CZ305" i="24" s="1"/>
  <c r="CL305" i="24"/>
  <c r="CU305" i="24"/>
  <c r="DQ241" i="24"/>
  <c r="CW241" i="24"/>
  <c r="CX241" i="24" s="1"/>
  <c r="CL241" i="24"/>
  <c r="CU241" i="24"/>
  <c r="CY241" i="24"/>
  <c r="CL292" i="24"/>
  <c r="DQ292" i="24"/>
  <c r="CY292" i="24"/>
  <c r="CW292" i="24"/>
  <c r="CX292" i="24" s="1"/>
  <c r="CU292" i="24"/>
  <c r="CY248" i="24"/>
  <c r="CZ248" i="24" s="1"/>
  <c r="DQ248" i="24"/>
  <c r="CU248" i="24"/>
  <c r="CW248" i="24"/>
  <c r="CX248" i="24" s="1"/>
  <c r="CL248" i="24"/>
  <c r="CL308" i="24"/>
  <c r="DQ308" i="24"/>
  <c r="CU308" i="24"/>
  <c r="CY308" i="24"/>
  <c r="CW308" i="24"/>
  <c r="CX308" i="24" s="1"/>
  <c r="ES202" i="24"/>
  <c r="EV202" i="24" s="1"/>
  <c r="DQ202" i="24"/>
  <c r="CW202" i="24"/>
  <c r="CX202" i="24" s="1"/>
  <c r="CL202" i="24"/>
  <c r="CU202" i="24"/>
  <c r="CY202" i="24"/>
  <c r="CZ202" i="24" s="1"/>
  <c r="DQ254" i="24"/>
  <c r="CW254" i="24"/>
  <c r="CX254" i="24" s="1"/>
  <c r="CL254" i="24"/>
  <c r="CY254" i="24"/>
  <c r="CU254" i="24"/>
  <c r="CU274" i="24"/>
  <c r="CL274" i="24"/>
  <c r="CW274" i="24"/>
  <c r="CX274" i="24" s="1"/>
  <c r="DQ274" i="24"/>
  <c r="CY274" i="24"/>
  <c r="ES22" i="24"/>
  <c r="EV22" i="24" s="1"/>
  <c r="DQ22" i="24"/>
  <c r="CW22" i="24"/>
  <c r="CX22" i="24" s="1"/>
  <c r="CY22" i="24"/>
  <c r="CU22" i="24"/>
  <c r="CV22" i="24" s="1"/>
  <c r="CL22" i="24"/>
  <c r="ES50" i="24"/>
  <c r="EV50" i="24" s="1"/>
  <c r="CL50" i="24"/>
  <c r="CU50" i="24"/>
  <c r="CV50" i="24" s="1"/>
  <c r="CW50" i="24"/>
  <c r="CX50" i="24" s="1"/>
  <c r="DQ50" i="24"/>
  <c r="CY50" i="24"/>
  <c r="CZ50" i="24" s="1"/>
  <c r="CW48" i="24"/>
  <c r="CX48" i="24" s="1"/>
  <c r="DQ48" i="24"/>
  <c r="ES48" i="24"/>
  <c r="EV48" i="24" s="1"/>
  <c r="CL48" i="24"/>
  <c r="CY48" i="24"/>
  <c r="CU48" i="24"/>
  <c r="CV48" i="24" s="1"/>
  <c r="DQ67" i="24"/>
  <c r="ES67" i="24"/>
  <c r="EV67" i="24" s="1"/>
  <c r="CL67" i="24"/>
  <c r="CW67" i="24"/>
  <c r="CX67" i="24" s="1"/>
  <c r="CY67" i="24"/>
  <c r="CU67" i="24"/>
  <c r="CV67" i="24" s="1"/>
  <c r="CL27" i="24"/>
  <c r="CU27" i="24"/>
  <c r="CV27" i="24" s="1"/>
  <c r="CW27" i="24"/>
  <c r="CX27" i="24" s="1"/>
  <c r="DQ27" i="24"/>
  <c r="ES27" i="24"/>
  <c r="EV27" i="24" s="1"/>
  <c r="CY27" i="24"/>
  <c r="CL55" i="24"/>
  <c r="CW55" i="24"/>
  <c r="CX55" i="24" s="1"/>
  <c r="ES55" i="24"/>
  <c r="EV55" i="24" s="1"/>
  <c r="CY55" i="24"/>
  <c r="DQ55" i="24"/>
  <c r="CU55" i="24"/>
  <c r="CV55" i="24" s="1"/>
  <c r="CU19" i="24"/>
  <c r="CV19" i="24" s="1"/>
  <c r="CL19" i="24"/>
  <c r="CY19" i="24"/>
  <c r="ES19" i="24"/>
  <c r="EV19" i="24" s="1"/>
  <c r="DQ19" i="24"/>
  <c r="CW19" i="24"/>
  <c r="CX19" i="24" s="1"/>
  <c r="CL56" i="24"/>
  <c r="ES56" i="24"/>
  <c r="EV56" i="24" s="1"/>
  <c r="CY56" i="24"/>
  <c r="CW56" i="24"/>
  <c r="CX56" i="24" s="1"/>
  <c r="DQ56" i="24"/>
  <c r="CU56" i="24"/>
  <c r="CV56" i="24" s="1"/>
  <c r="ES7" i="24"/>
  <c r="EV7" i="24" s="1"/>
  <c r="CL7" i="24"/>
  <c r="DQ7" i="24"/>
  <c r="CW7" i="24"/>
  <c r="CX7" i="24" s="1"/>
  <c r="CY7" i="24"/>
  <c r="CU7" i="24"/>
  <c r="CV7" i="24" s="1"/>
  <c r="DQ97" i="24"/>
  <c r="CL97" i="24"/>
  <c r="ES97" i="24"/>
  <c r="EV97" i="24" s="1"/>
  <c r="CW97" i="24"/>
  <c r="CX97" i="24" s="1"/>
  <c r="CY97" i="24"/>
  <c r="CU97" i="24"/>
  <c r="CV97" i="24" s="1"/>
  <c r="ES152" i="24"/>
  <c r="EV152" i="24" s="1"/>
  <c r="CU152" i="24"/>
  <c r="CY152" i="24"/>
  <c r="CW152" i="24"/>
  <c r="CX152" i="24" s="1"/>
  <c r="CL152" i="24"/>
  <c r="DQ152" i="24"/>
  <c r="ES88" i="24"/>
  <c r="EV88" i="24" s="1"/>
  <c r="CU88" i="24"/>
  <c r="CV88" i="24" s="1"/>
  <c r="CL88" i="24"/>
  <c r="CW88" i="24"/>
  <c r="CX88" i="24" s="1"/>
  <c r="DQ88" i="24"/>
  <c r="CY88" i="24"/>
  <c r="DQ170" i="24"/>
  <c r="CL170" i="24"/>
  <c r="CW170" i="24"/>
  <c r="CX170" i="24" s="1"/>
  <c r="CU170" i="24"/>
  <c r="ES170" i="24"/>
  <c r="EV170" i="24" s="1"/>
  <c r="CY170" i="24"/>
  <c r="ES37" i="24"/>
  <c r="EV37" i="24" s="1"/>
  <c r="CL37" i="24"/>
  <c r="CY37" i="24"/>
  <c r="CW37" i="24"/>
  <c r="CX37" i="24" s="1"/>
  <c r="DQ37" i="24"/>
  <c r="CU37" i="24"/>
  <c r="CV37" i="24" s="1"/>
  <c r="ES82" i="24"/>
  <c r="EV82" i="24" s="1"/>
  <c r="DQ82" i="24"/>
  <c r="CL82" i="24"/>
  <c r="CY82" i="24"/>
  <c r="CW82" i="24"/>
  <c r="CX82" i="24" s="1"/>
  <c r="CU82" i="24"/>
  <c r="CV82" i="24" s="1"/>
  <c r="ES166" i="24"/>
  <c r="EV166" i="24" s="1"/>
  <c r="DQ166" i="24"/>
  <c r="CL166" i="24"/>
  <c r="CW166" i="24"/>
  <c r="CX166" i="24" s="1"/>
  <c r="CY166" i="24"/>
  <c r="CU166" i="24"/>
  <c r="DQ129" i="24"/>
  <c r="CW129" i="24"/>
  <c r="CX129" i="24" s="1"/>
  <c r="CL129" i="24"/>
  <c r="ES129" i="24"/>
  <c r="EV129" i="24" s="1"/>
  <c r="CU129" i="24"/>
  <c r="CY129" i="24"/>
  <c r="ES182" i="24"/>
  <c r="EV182" i="24" s="1"/>
  <c r="DQ182" i="24"/>
  <c r="CL182" i="24"/>
  <c r="CW182" i="24"/>
  <c r="CX182" i="24" s="1"/>
  <c r="CU182" i="24"/>
  <c r="CY182" i="24"/>
  <c r="DQ154" i="24"/>
  <c r="CL154" i="24"/>
  <c r="CW154" i="24"/>
  <c r="CX154" i="24" s="1"/>
  <c r="CY154" i="24"/>
  <c r="ES154" i="24"/>
  <c r="EV154" i="24" s="1"/>
  <c r="CU154" i="24"/>
  <c r="ES104" i="24"/>
  <c r="EV104" i="24" s="1"/>
  <c r="DQ104" i="24"/>
  <c r="CW104" i="24"/>
  <c r="CX104" i="24" s="1"/>
  <c r="CY104" i="24"/>
  <c r="CL104" i="24"/>
  <c r="CU104" i="24"/>
  <c r="CV104" i="24" s="1"/>
  <c r="CY175" i="24"/>
  <c r="DQ175" i="24"/>
  <c r="CW175" i="24"/>
  <c r="CX175" i="24" s="1"/>
  <c r="ES175" i="24"/>
  <c r="EV175" i="24" s="1"/>
  <c r="CL175" i="24"/>
  <c r="CU175" i="24"/>
  <c r="DQ112" i="24"/>
  <c r="CW112" i="24"/>
  <c r="CX112" i="24" s="1"/>
  <c r="ES112" i="24"/>
  <c r="EV112" i="24" s="1"/>
  <c r="CL112" i="24"/>
  <c r="CY112" i="24"/>
  <c r="CU112" i="24"/>
  <c r="DQ228" i="24"/>
  <c r="CL228" i="24"/>
  <c r="CW228" i="24"/>
  <c r="CX228" i="24" s="1"/>
  <c r="CY228" i="24"/>
  <c r="CU228" i="24"/>
  <c r="DQ143" i="24"/>
  <c r="CL143" i="24"/>
  <c r="CW143" i="24"/>
  <c r="CX143" i="24" s="1"/>
  <c r="ES143" i="24"/>
  <c r="EV143" i="24" s="1"/>
  <c r="CU143" i="24"/>
  <c r="CY143" i="24"/>
  <c r="DQ243" i="24"/>
  <c r="CW243" i="24"/>
  <c r="CX243" i="24" s="1"/>
  <c r="CL243" i="24"/>
  <c r="CU243" i="24"/>
  <c r="CY243" i="24"/>
  <c r="DQ235" i="24"/>
  <c r="CL235" i="24"/>
  <c r="CY235" i="24"/>
  <c r="CW235" i="24"/>
  <c r="CX235" i="24" s="1"/>
  <c r="CU235" i="24"/>
  <c r="CL191" i="24"/>
  <c r="CU191" i="24"/>
  <c r="CY191" i="24"/>
  <c r="ES191" i="24"/>
  <c r="EV191" i="24" s="1"/>
  <c r="CW191" i="24"/>
  <c r="CX191" i="24" s="1"/>
  <c r="DQ191" i="24"/>
  <c r="DQ279" i="24"/>
  <c r="CL279" i="24"/>
  <c r="CW279" i="24"/>
  <c r="CX279" i="24" s="1"/>
  <c r="CU279" i="24"/>
  <c r="CY279" i="24"/>
  <c r="DQ222" i="24"/>
  <c r="CW222" i="24"/>
  <c r="CX222" i="24" s="1"/>
  <c r="CL222" i="24"/>
  <c r="CY222" i="24"/>
  <c r="CU222" i="24"/>
  <c r="CL276" i="24"/>
  <c r="CY276" i="24"/>
  <c r="CZ276" i="24" s="1"/>
  <c r="CW276" i="24"/>
  <c r="CX276" i="24" s="1"/>
  <c r="DQ276" i="24"/>
  <c r="CU276" i="24"/>
  <c r="ES185" i="24"/>
  <c r="EV185" i="24" s="1"/>
  <c r="CL185" i="24"/>
  <c r="CW185" i="24"/>
  <c r="CX185" i="24" s="1"/>
  <c r="DQ185" i="24"/>
  <c r="CU185" i="24"/>
  <c r="CY185" i="24"/>
  <c r="CL245" i="24"/>
  <c r="CY245" i="24"/>
  <c r="CZ245" i="24" s="1"/>
  <c r="DQ245" i="24"/>
  <c r="CW245" i="24"/>
  <c r="CX245" i="24" s="1"/>
  <c r="CU245" i="24"/>
  <c r="CU293" i="24"/>
  <c r="CW293" i="24"/>
  <c r="CX293" i="24" s="1"/>
  <c r="DQ293" i="24"/>
  <c r="CL293" i="24"/>
  <c r="CY293" i="24"/>
  <c r="CL262" i="24"/>
  <c r="DQ262" i="24"/>
  <c r="CW262" i="24"/>
  <c r="CX262" i="24" s="1"/>
  <c r="CU262" i="24"/>
  <c r="CY262" i="24"/>
  <c r="CL311" i="24"/>
  <c r="DQ311" i="24"/>
  <c r="CY311" i="24"/>
  <c r="CW311" i="24"/>
  <c r="CX311" i="24" s="1"/>
  <c r="CU311" i="24"/>
  <c r="ES204" i="24"/>
  <c r="EV204" i="24" s="1"/>
  <c r="CW204" i="24"/>
  <c r="CX204" i="24" s="1"/>
  <c r="CY204" i="24"/>
  <c r="CL204" i="24"/>
  <c r="DQ204" i="24"/>
  <c r="CU204" i="24"/>
  <c r="CL278" i="24"/>
  <c r="DQ278" i="24"/>
  <c r="CW278" i="24"/>
  <c r="CX278" i="24" s="1"/>
  <c r="CY278" i="24"/>
  <c r="CU278" i="24"/>
  <c r="CY280" i="24"/>
  <c r="CL280" i="24"/>
  <c r="CW280" i="24"/>
  <c r="CX280" i="24" s="1"/>
  <c r="CU280" i="24"/>
  <c r="DQ280" i="24"/>
  <c r="ES17" i="24"/>
  <c r="EV17" i="24" s="1"/>
  <c r="CW17" i="24"/>
  <c r="CX17" i="24" s="1"/>
  <c r="DQ17" i="24"/>
  <c r="CL17" i="24"/>
  <c r="CU17" i="24"/>
  <c r="CV17" i="24" s="1"/>
  <c r="CY17" i="24"/>
  <c r="ES57" i="24"/>
  <c r="EV57" i="24" s="1"/>
  <c r="DQ57" i="24"/>
  <c r="CW57" i="24"/>
  <c r="CX57" i="24" s="1"/>
  <c r="CL57" i="24"/>
  <c r="CY57" i="24"/>
  <c r="CU57" i="24"/>
  <c r="CV57" i="24" s="1"/>
  <c r="CL10" i="24"/>
  <c r="ES10" i="24"/>
  <c r="EV10" i="24" s="1"/>
  <c r="CW10" i="24"/>
  <c r="CX10" i="24" s="1"/>
  <c r="DQ10" i="24"/>
  <c r="CU10" i="24"/>
  <c r="CV10" i="24" s="1"/>
  <c r="CY10" i="24"/>
  <c r="DQ84" i="24"/>
  <c r="ES84" i="24"/>
  <c r="EV84" i="24" s="1"/>
  <c r="CU84" i="24"/>
  <c r="CV84" i="24" s="1"/>
  <c r="CW84" i="24"/>
  <c r="CX84" i="24" s="1"/>
  <c r="CL84" i="24"/>
  <c r="CY84" i="24"/>
  <c r="DQ58" i="24"/>
  <c r="ES58" i="24"/>
  <c r="EV58" i="24" s="1"/>
  <c r="CL58" i="24"/>
  <c r="CY58" i="24"/>
  <c r="CU58" i="24"/>
  <c r="CV58" i="24" s="1"/>
  <c r="CW58" i="24"/>
  <c r="CX58" i="24" s="1"/>
  <c r="ES62" i="24"/>
  <c r="EV62" i="24" s="1"/>
  <c r="CL62" i="24"/>
  <c r="CW62" i="24"/>
  <c r="CX62" i="24" s="1"/>
  <c r="CU62" i="24"/>
  <c r="CV62" i="24" s="1"/>
  <c r="CY62" i="24"/>
  <c r="DQ62" i="24"/>
  <c r="ES29" i="24"/>
  <c r="EV29" i="24" s="1"/>
  <c r="CL29" i="24"/>
  <c r="CW29" i="24"/>
  <c r="CX29" i="24" s="1"/>
  <c r="CY29" i="24"/>
  <c r="CU29" i="24"/>
  <c r="CV29" i="24" s="1"/>
  <c r="DQ29" i="24"/>
  <c r="CY60" i="24"/>
  <c r="CW60" i="24"/>
  <c r="CX60" i="24" s="1"/>
  <c r="ES60" i="24"/>
  <c r="EV60" i="24" s="1"/>
  <c r="DQ60" i="24"/>
  <c r="CL60" i="24"/>
  <c r="CU60" i="24"/>
  <c r="CV60" i="24" s="1"/>
  <c r="CY20" i="24"/>
  <c r="CU20" i="24"/>
  <c r="CV20" i="24" s="1"/>
  <c r="CL20" i="24"/>
  <c r="CW20" i="24"/>
  <c r="CX20" i="24" s="1"/>
  <c r="ES20" i="24"/>
  <c r="EV20" i="24" s="1"/>
  <c r="DQ20" i="24"/>
  <c r="DQ103" i="24"/>
  <c r="ES103" i="24"/>
  <c r="EV103" i="24" s="1"/>
  <c r="CL103" i="24"/>
  <c r="CW103" i="24"/>
  <c r="CX103" i="24" s="1"/>
  <c r="CY103" i="24"/>
  <c r="CU103" i="24"/>
  <c r="CV103" i="24" s="1"/>
  <c r="ES156" i="24"/>
  <c r="EV156" i="24" s="1"/>
  <c r="DQ156" i="24"/>
  <c r="CW156" i="24"/>
  <c r="CX156" i="24" s="1"/>
  <c r="CL156" i="24"/>
  <c r="CY156" i="24"/>
  <c r="CU156" i="24"/>
  <c r="CU89" i="24"/>
  <c r="CV89" i="24" s="1"/>
  <c r="DQ89" i="24"/>
  <c r="CL89" i="24"/>
  <c r="ES89" i="24"/>
  <c r="EV89" i="24" s="1"/>
  <c r="CW89" i="24"/>
  <c r="CX89" i="24" s="1"/>
  <c r="CY89" i="24"/>
  <c r="CZ89" i="24" s="1"/>
  <c r="ES193" i="24"/>
  <c r="EV193" i="24" s="1"/>
  <c r="DQ193" i="24"/>
  <c r="CW193" i="24"/>
  <c r="CX193" i="24" s="1"/>
  <c r="CL193" i="24"/>
  <c r="CY193" i="24"/>
  <c r="CU193" i="24"/>
  <c r="ES38" i="24"/>
  <c r="EV38" i="24" s="1"/>
  <c r="DQ38" i="24"/>
  <c r="CW38" i="24"/>
  <c r="CX38" i="24" s="1"/>
  <c r="CU38" i="24"/>
  <c r="CV38" i="24" s="1"/>
  <c r="CY38" i="24"/>
  <c r="CL38" i="24"/>
  <c r="DQ111" i="24"/>
  <c r="CW111" i="24"/>
  <c r="CX111" i="24" s="1"/>
  <c r="ES111" i="24"/>
  <c r="EV111" i="24" s="1"/>
  <c r="CY111" i="24"/>
  <c r="CL111" i="24"/>
  <c r="CU111" i="24"/>
  <c r="ES172" i="24"/>
  <c r="EV172" i="24" s="1"/>
  <c r="CW172" i="24"/>
  <c r="CX172" i="24" s="1"/>
  <c r="CU172" i="24"/>
  <c r="CL172" i="24"/>
  <c r="DQ172" i="24"/>
  <c r="CY172" i="24"/>
  <c r="ES133" i="24"/>
  <c r="EV133" i="24" s="1"/>
  <c r="DQ133" i="24"/>
  <c r="CL133" i="24"/>
  <c r="CW133" i="24"/>
  <c r="CX133" i="24" s="1"/>
  <c r="CY133" i="24"/>
  <c r="CU133" i="24"/>
  <c r="CW242" i="24"/>
  <c r="CX242" i="24" s="1"/>
  <c r="DQ242" i="24"/>
  <c r="CL242" i="24"/>
  <c r="CY242" i="24"/>
  <c r="CU242" i="24"/>
  <c r="ES164" i="24"/>
  <c r="EV164" i="24" s="1"/>
  <c r="CL164" i="24"/>
  <c r="DQ164" i="24"/>
  <c r="CW164" i="24"/>
  <c r="CX164" i="24" s="1"/>
  <c r="CU164" i="24"/>
  <c r="CY164" i="24"/>
  <c r="CL116" i="24"/>
  <c r="ES116" i="24"/>
  <c r="EV116" i="24" s="1"/>
  <c r="CW116" i="24"/>
  <c r="CX116" i="24" s="1"/>
  <c r="DQ116" i="24"/>
  <c r="CY116" i="24"/>
  <c r="CU116" i="24"/>
  <c r="CW194" i="24"/>
  <c r="CX194" i="24" s="1"/>
  <c r="CY194" i="24"/>
  <c r="CZ194" i="24" s="1"/>
  <c r="DQ194" i="24"/>
  <c r="CU194" i="24"/>
  <c r="ES194" i="24"/>
  <c r="EV194" i="24" s="1"/>
  <c r="CL194" i="24"/>
  <c r="CY115" i="24"/>
  <c r="CZ115" i="24" s="1"/>
  <c r="CW115" i="24"/>
  <c r="CX115" i="24" s="1"/>
  <c r="CU115" i="24"/>
  <c r="DQ115" i="24"/>
  <c r="ES115" i="24"/>
  <c r="EV115" i="24" s="1"/>
  <c r="CL115" i="24"/>
  <c r="DQ250" i="24"/>
  <c r="CY250" i="24"/>
  <c r="CZ250" i="24" s="1"/>
  <c r="CW250" i="24"/>
  <c r="CX250" i="24" s="1"/>
  <c r="CL250" i="24"/>
  <c r="CU250" i="24"/>
  <c r="ES150" i="24"/>
  <c r="EV150" i="24" s="1"/>
  <c r="CL150" i="24"/>
  <c r="DQ150" i="24"/>
  <c r="CU150" i="24"/>
  <c r="CW150" i="24"/>
  <c r="CX150" i="24" s="1"/>
  <c r="CY150" i="24"/>
  <c r="DQ291" i="24"/>
  <c r="CL291" i="24"/>
  <c r="CW291" i="24"/>
  <c r="CX291" i="24" s="1"/>
  <c r="CY291" i="24"/>
  <c r="CU291" i="24"/>
  <c r="CL240" i="24"/>
  <c r="CW240" i="24"/>
  <c r="CX240" i="24" s="1"/>
  <c r="DQ240" i="24"/>
  <c r="CY240" i="24"/>
  <c r="CU240" i="24"/>
  <c r="ES192" i="24"/>
  <c r="EV192" i="24" s="1"/>
  <c r="CW192" i="24"/>
  <c r="CX192" i="24" s="1"/>
  <c r="CL192" i="24"/>
  <c r="DQ192" i="24"/>
  <c r="CY192" i="24"/>
  <c r="CU192" i="24"/>
  <c r="DQ286" i="24"/>
  <c r="CY286" i="24"/>
  <c r="CL286" i="24"/>
  <c r="CW286" i="24"/>
  <c r="CX286" i="24" s="1"/>
  <c r="CU286" i="24"/>
  <c r="CL224" i="24"/>
  <c r="DQ224" i="24"/>
  <c r="CW224" i="24"/>
  <c r="CX224" i="24" s="1"/>
  <c r="CU224" i="24"/>
  <c r="CY224" i="24"/>
  <c r="DQ277" i="24"/>
  <c r="CY277" i="24"/>
  <c r="CL277" i="24"/>
  <c r="CW277" i="24"/>
  <c r="CX277" i="24" s="1"/>
  <c r="CU277" i="24"/>
  <c r="CL187" i="24"/>
  <c r="CY187" i="24"/>
  <c r="ES187" i="24"/>
  <c r="EV187" i="24" s="1"/>
  <c r="CU187" i="24"/>
  <c r="CW187" i="24"/>
  <c r="CX187" i="24" s="1"/>
  <c r="DQ187" i="24"/>
  <c r="CY253" i="24"/>
  <c r="DQ253" i="24"/>
  <c r="CW253" i="24"/>
  <c r="CX253" i="24" s="1"/>
  <c r="CL253" i="24"/>
  <c r="CU253" i="24"/>
  <c r="CL200" i="24"/>
  <c r="CW200" i="24"/>
  <c r="CX200" i="24" s="1"/>
  <c r="DQ200" i="24"/>
  <c r="ES200" i="24"/>
  <c r="EV200" i="24" s="1"/>
  <c r="CY200" i="24"/>
  <c r="CU200" i="24"/>
  <c r="CL282" i="24"/>
  <c r="CY282" i="24"/>
  <c r="CU282" i="24"/>
  <c r="CW282" i="24"/>
  <c r="CX282" i="24" s="1"/>
  <c r="DQ282" i="24"/>
  <c r="CW314" i="24"/>
  <c r="CX314" i="24" s="1"/>
  <c r="CU314" i="24"/>
  <c r="CL314" i="24"/>
  <c r="CY314" i="24"/>
  <c r="DQ314" i="24"/>
  <c r="CW205" i="24"/>
  <c r="CX205" i="24" s="1"/>
  <c r="CY205" i="24"/>
  <c r="DQ205" i="24"/>
  <c r="CU205" i="24"/>
  <c r="CL205" i="24"/>
  <c r="ES205" i="24"/>
  <c r="EV205" i="24" s="1"/>
  <c r="CL281" i="24"/>
  <c r="DQ281" i="24"/>
  <c r="CW281" i="24"/>
  <c r="CX281" i="24" s="1"/>
  <c r="CU281" i="24"/>
  <c r="CY281" i="24"/>
  <c r="CU289" i="24"/>
  <c r="CL289" i="24"/>
  <c r="CY289" i="24"/>
  <c r="DQ289" i="24"/>
  <c r="CW289" i="24"/>
  <c r="CX289" i="24" s="1"/>
  <c r="ES30" i="24"/>
  <c r="EV30" i="24" s="1"/>
  <c r="DQ30" i="24"/>
  <c r="CY30" i="24"/>
  <c r="CW30" i="24"/>
  <c r="CX30" i="24" s="1"/>
  <c r="CL30" i="24"/>
  <c r="CU30" i="24"/>
  <c r="CV30" i="24" s="1"/>
  <c r="CY72" i="24"/>
  <c r="ES72" i="24"/>
  <c r="EV72" i="24" s="1"/>
  <c r="DQ72" i="24"/>
  <c r="CW72" i="24"/>
  <c r="CX72" i="24" s="1"/>
  <c r="CL72" i="24"/>
  <c r="CU72" i="24"/>
  <c r="CV72" i="24" s="1"/>
  <c r="CL18" i="24"/>
  <c r="ES18" i="24"/>
  <c r="EV18" i="24" s="1"/>
  <c r="CW18" i="24"/>
  <c r="CX18" i="24" s="1"/>
  <c r="DQ18" i="24"/>
  <c r="CY18" i="24"/>
  <c r="CZ18" i="24" s="1"/>
  <c r="CU18" i="24"/>
  <c r="CV18" i="24" s="1"/>
  <c r="ES52" i="24"/>
  <c r="EV52" i="24" s="1"/>
  <c r="DQ52" i="24"/>
  <c r="CW52" i="24"/>
  <c r="CX52" i="24" s="1"/>
  <c r="CU52" i="24"/>
  <c r="CV52" i="24" s="1"/>
  <c r="CL52" i="24"/>
  <c r="CY52" i="24"/>
  <c r="CZ52" i="24" s="1"/>
  <c r="DQ6" i="24"/>
  <c r="CY6" i="24"/>
  <c r="CU6" i="24"/>
  <c r="CV6" i="24" s="1"/>
  <c r="CL6" i="24"/>
  <c r="CW6" i="24"/>
  <c r="CX6" i="24" s="1"/>
  <c r="ES6" i="24"/>
  <c r="EV6" i="24" s="1"/>
  <c r="ES73" i="24"/>
  <c r="EV73" i="24" s="1"/>
  <c r="DQ73" i="24"/>
  <c r="CU73" i="24"/>
  <c r="CV73" i="24" s="1"/>
  <c r="CW73" i="24"/>
  <c r="CX73" i="24" s="1"/>
  <c r="CY73" i="24"/>
  <c r="CL73" i="24"/>
  <c r="ES14" i="24"/>
  <c r="EV14" i="24" s="1"/>
  <c r="DQ14" i="24"/>
  <c r="CY14" i="24"/>
  <c r="CZ14" i="24" s="1"/>
  <c r="CW14" i="24"/>
  <c r="CX14" i="24" s="1"/>
  <c r="CL14" i="24"/>
  <c r="CU14" i="24"/>
  <c r="CV14" i="24" s="1"/>
  <c r="CL64" i="24"/>
  <c r="DQ64" i="24"/>
  <c r="CY64" i="24"/>
  <c r="CW64" i="24"/>
  <c r="CX64" i="24" s="1"/>
  <c r="ES64" i="24"/>
  <c r="EV64" i="24" s="1"/>
  <c r="CU64" i="24"/>
  <c r="CV64" i="24" s="1"/>
  <c r="CL70" i="24"/>
  <c r="DQ70" i="24"/>
  <c r="CY70" i="24"/>
  <c r="CZ70" i="24" s="1"/>
  <c r="CW70" i="24"/>
  <c r="CX70" i="24" s="1"/>
  <c r="CU70" i="24"/>
  <c r="CV70" i="24" s="1"/>
  <c r="ES70" i="24"/>
  <c r="EV70" i="24" s="1"/>
  <c r="DQ118" i="24"/>
  <c r="CU118" i="24"/>
  <c r="CL118" i="24"/>
  <c r="CY118" i="24"/>
  <c r="CW118" i="24"/>
  <c r="CX118" i="24" s="1"/>
  <c r="ES118" i="24"/>
  <c r="EV118" i="24" s="1"/>
  <c r="DQ162" i="24"/>
  <c r="CL162" i="24"/>
  <c r="CW162" i="24"/>
  <c r="CX162" i="24" s="1"/>
  <c r="CY162" i="24"/>
  <c r="CU162" i="24"/>
  <c r="ES162" i="24"/>
  <c r="EV162" i="24" s="1"/>
  <c r="ES113" i="24"/>
  <c r="EV113" i="24" s="1"/>
  <c r="CU113" i="24"/>
  <c r="CW113" i="24"/>
  <c r="CX113" i="24" s="1"/>
  <c r="DQ113" i="24"/>
  <c r="CL113" i="24"/>
  <c r="CY113" i="24"/>
  <c r="DQ234" i="24"/>
  <c r="CL234" i="24"/>
  <c r="CY234" i="24"/>
  <c r="CW234" i="24"/>
  <c r="CX234" i="24" s="1"/>
  <c r="CU234" i="24"/>
  <c r="ES40" i="24"/>
  <c r="EV40" i="24" s="1"/>
  <c r="DQ40" i="24"/>
  <c r="CY40" i="24"/>
  <c r="CU40" i="24"/>
  <c r="CV40" i="24" s="1"/>
  <c r="CL40" i="24"/>
  <c r="CW40" i="24"/>
  <c r="CX40" i="24" s="1"/>
  <c r="ES136" i="24"/>
  <c r="EV136" i="24" s="1"/>
  <c r="CU136" i="24"/>
  <c r="CL136" i="24"/>
  <c r="DQ136" i="24"/>
  <c r="CW136" i="24"/>
  <c r="CX136" i="24" s="1"/>
  <c r="CY136" i="24"/>
  <c r="CY217" i="24"/>
  <c r="CW217" i="24"/>
  <c r="CX217" i="24" s="1"/>
  <c r="CU217" i="24"/>
  <c r="CL217" i="24"/>
  <c r="DQ217" i="24"/>
  <c r="ES146" i="24"/>
  <c r="EV146" i="24" s="1"/>
  <c r="CL146" i="24"/>
  <c r="DQ146" i="24"/>
  <c r="CW146" i="24"/>
  <c r="CX146" i="24" s="1"/>
  <c r="CU146" i="24"/>
  <c r="CY146" i="24"/>
  <c r="DQ244" i="24"/>
  <c r="CY244" i="24"/>
  <c r="CW244" i="24"/>
  <c r="CX244" i="24" s="1"/>
  <c r="CU244" i="24"/>
  <c r="CL244" i="24"/>
  <c r="DQ177" i="24"/>
  <c r="CW177" i="24"/>
  <c r="CX177" i="24" s="1"/>
  <c r="CY177" i="24"/>
  <c r="CL177" i="24"/>
  <c r="ES177" i="24"/>
  <c r="EV177" i="24" s="1"/>
  <c r="CU177" i="24"/>
  <c r="CY123" i="24"/>
  <c r="CU123" i="24"/>
  <c r="CL123" i="24"/>
  <c r="DQ123" i="24"/>
  <c r="ES123" i="24"/>
  <c r="EV123" i="24" s="1"/>
  <c r="CW123" i="24"/>
  <c r="CX123" i="24" s="1"/>
  <c r="DQ209" i="24"/>
  <c r="CL209" i="24"/>
  <c r="ES209" i="24"/>
  <c r="EV209" i="24" s="1"/>
  <c r="CW209" i="24"/>
  <c r="CX209" i="24" s="1"/>
  <c r="CY209" i="24"/>
  <c r="CU209" i="24"/>
  <c r="CL153" i="24"/>
  <c r="ES153" i="24"/>
  <c r="EV153" i="24" s="1"/>
  <c r="DQ153" i="24"/>
  <c r="CW153" i="24"/>
  <c r="CX153" i="24" s="1"/>
  <c r="CU153" i="24"/>
  <c r="CY153" i="24"/>
  <c r="ES83" i="24"/>
  <c r="EV83" i="24" s="1"/>
  <c r="CL83" i="24"/>
  <c r="DQ83" i="24"/>
  <c r="CW83" i="24"/>
  <c r="CX83" i="24" s="1"/>
  <c r="CY83" i="24"/>
  <c r="CZ83" i="24" s="1"/>
  <c r="CU83" i="24"/>
  <c r="CV83" i="24" s="1"/>
  <c r="ES157" i="24"/>
  <c r="EV157" i="24" s="1"/>
  <c r="CY157" i="24"/>
  <c r="CW157" i="24"/>
  <c r="CX157" i="24" s="1"/>
  <c r="DQ157" i="24"/>
  <c r="CL157" i="24"/>
  <c r="CU157" i="24"/>
  <c r="DQ298" i="24"/>
  <c r="CW298" i="24"/>
  <c r="CX298" i="24" s="1"/>
  <c r="CL298" i="24"/>
  <c r="CU298" i="24"/>
  <c r="CY298" i="24"/>
  <c r="DQ263" i="24"/>
  <c r="CL263" i="24"/>
  <c r="CW263" i="24"/>
  <c r="CX263" i="24" s="1"/>
  <c r="CU263" i="24"/>
  <c r="CY263" i="24"/>
  <c r="CL221" i="24"/>
  <c r="CY221" i="24"/>
  <c r="CU221" i="24"/>
  <c r="CW221" i="24"/>
  <c r="CX221" i="24" s="1"/>
  <c r="DQ221" i="24"/>
  <c r="CW294" i="24"/>
  <c r="CX294" i="24" s="1"/>
  <c r="DQ294" i="24"/>
  <c r="CY294" i="24"/>
  <c r="CL294" i="24"/>
  <c r="CU294" i="24"/>
  <c r="CL226" i="24"/>
  <c r="CW226" i="24"/>
  <c r="CX226" i="24" s="1"/>
  <c r="DQ226" i="24"/>
  <c r="CU226" i="24"/>
  <c r="CY226" i="24"/>
  <c r="CL285" i="24"/>
  <c r="DQ285" i="24"/>
  <c r="CW285" i="24"/>
  <c r="CX285" i="24" s="1"/>
  <c r="CY285" i="24"/>
  <c r="CU285" i="24"/>
  <c r="ES203" i="24"/>
  <c r="EV203" i="24" s="1"/>
  <c r="DQ203" i="24"/>
  <c r="CL203" i="24"/>
  <c r="CW203" i="24"/>
  <c r="CX203" i="24" s="1"/>
  <c r="CY203" i="24"/>
  <c r="CU203" i="24"/>
  <c r="DQ255" i="24"/>
  <c r="CL255" i="24"/>
  <c r="CY255" i="24"/>
  <c r="CU255" i="24"/>
  <c r="CW255" i="24"/>
  <c r="CX255" i="24" s="1"/>
  <c r="ES206" i="24"/>
  <c r="EV206" i="24" s="1"/>
  <c r="CL206" i="24"/>
  <c r="DQ206" i="24"/>
  <c r="CW206" i="24"/>
  <c r="CX206" i="24" s="1"/>
  <c r="CY206" i="24"/>
  <c r="CU206" i="24"/>
  <c r="CL284" i="24"/>
  <c r="CW284" i="24"/>
  <c r="CX284" i="24" s="1"/>
  <c r="CY284" i="24"/>
  <c r="DQ284" i="24"/>
  <c r="CU284" i="24"/>
  <c r="DQ189" i="24"/>
  <c r="CU189" i="24"/>
  <c r="CL189" i="24"/>
  <c r="CY189" i="24"/>
  <c r="CZ189" i="24" s="1"/>
  <c r="CW189" i="24"/>
  <c r="CX189" i="24" s="1"/>
  <c r="ES189" i="24"/>
  <c r="EV189" i="24" s="1"/>
  <c r="DQ236" i="24"/>
  <c r="CL236" i="24"/>
  <c r="CW236" i="24"/>
  <c r="CX236" i="24" s="1"/>
  <c r="CY236" i="24"/>
  <c r="CU236" i="24"/>
  <c r="CL283" i="24"/>
  <c r="DQ283" i="24"/>
  <c r="CW283" i="24"/>
  <c r="CX283" i="24" s="1"/>
  <c r="CY283" i="24"/>
  <c r="CU283" i="24"/>
  <c r="DQ296" i="24"/>
  <c r="CL296" i="24"/>
  <c r="CY296" i="24"/>
  <c r="CW296" i="24"/>
  <c r="CX296" i="24" s="1"/>
  <c r="CU296" i="24"/>
  <c r="DQ15" i="24"/>
  <c r="ES15" i="24"/>
  <c r="EV15" i="24" s="1"/>
  <c r="CL15" i="24"/>
  <c r="CW15" i="24"/>
  <c r="CX15" i="24" s="1"/>
  <c r="CY15" i="24"/>
  <c r="CU15" i="24"/>
  <c r="CV15" i="24" s="1"/>
  <c r="CW86" i="24"/>
  <c r="CX86" i="24" s="1"/>
  <c r="ES86" i="24"/>
  <c r="EV86" i="24" s="1"/>
  <c r="DQ86" i="24"/>
  <c r="CL86" i="24"/>
  <c r="CU86" i="24"/>
  <c r="CV86" i="24" s="1"/>
  <c r="CY86" i="24"/>
  <c r="CW45" i="24"/>
  <c r="CX45" i="24" s="1"/>
  <c r="DQ45" i="24"/>
  <c r="CL45" i="24"/>
  <c r="ES45" i="24"/>
  <c r="EV45" i="24" s="1"/>
  <c r="CY45" i="24"/>
  <c r="CU45" i="24"/>
  <c r="CV45" i="24" s="1"/>
  <c r="ES21" i="24"/>
  <c r="EV21" i="24" s="1"/>
  <c r="CL21" i="24"/>
  <c r="CY21" i="24"/>
  <c r="CW21" i="24"/>
  <c r="CX21" i="24" s="1"/>
  <c r="CU21" i="24"/>
  <c r="CV21" i="24" s="1"/>
  <c r="DQ21" i="24"/>
  <c r="DQ9" i="24"/>
  <c r="CL9" i="24"/>
  <c r="CU9" i="24"/>
  <c r="CV9" i="24" s="1"/>
  <c r="CW9" i="24"/>
  <c r="CX9" i="24" s="1"/>
  <c r="ES9" i="24"/>
  <c r="EV9" i="24" s="1"/>
  <c r="CY9" i="24"/>
  <c r="ES75" i="24"/>
  <c r="EV75" i="24" s="1"/>
  <c r="CL75" i="24"/>
  <c r="DQ75" i="24"/>
  <c r="CW75" i="24"/>
  <c r="CX75" i="24" s="1"/>
  <c r="CY75" i="24"/>
  <c r="CU75" i="24"/>
  <c r="CV75" i="24" s="1"/>
  <c r="DQ36" i="24"/>
  <c r="CU36" i="24"/>
  <c r="CV36" i="24" s="1"/>
  <c r="ES36" i="24"/>
  <c r="EV36" i="24" s="1"/>
  <c r="CW36" i="24"/>
  <c r="CX36" i="24" s="1"/>
  <c r="CL36" i="24"/>
  <c r="CY36" i="24"/>
  <c r="CL66" i="24"/>
  <c r="ES66" i="24"/>
  <c r="EV66" i="24" s="1"/>
  <c r="DQ66" i="24"/>
  <c r="CW66" i="24"/>
  <c r="CX66" i="24" s="1"/>
  <c r="CY66" i="24"/>
  <c r="CU66" i="24"/>
  <c r="CV66" i="24" s="1"/>
  <c r="DQ41" i="24"/>
  <c r="ES41" i="24"/>
  <c r="EV41" i="24" s="1"/>
  <c r="CL41" i="24"/>
  <c r="CW41" i="24"/>
  <c r="CX41" i="24" s="1"/>
  <c r="CY41" i="24"/>
  <c r="CU41" i="24"/>
  <c r="CV41" i="24" s="1"/>
  <c r="DQ119" i="24"/>
  <c r="CY119" i="24"/>
  <c r="CU119" i="24"/>
  <c r="CL119" i="24"/>
  <c r="ES119" i="24"/>
  <c r="EV119" i="24" s="1"/>
  <c r="CW119" i="24"/>
  <c r="CX119" i="24" s="1"/>
  <c r="DQ167" i="24"/>
  <c r="CY167" i="24"/>
  <c r="CW167" i="24"/>
  <c r="CX167" i="24" s="1"/>
  <c r="CU167" i="24"/>
  <c r="ES167" i="24"/>
  <c r="EV167" i="24" s="1"/>
  <c r="CL167" i="24"/>
  <c r="DQ120" i="24"/>
  <c r="ES120" i="24"/>
  <c r="EV120" i="24" s="1"/>
  <c r="CW120" i="24"/>
  <c r="CX120" i="24" s="1"/>
  <c r="CL120" i="24"/>
  <c r="CY120" i="24"/>
  <c r="CU120" i="24"/>
  <c r="DQ258" i="24"/>
  <c r="CW258" i="24"/>
  <c r="CX258" i="24" s="1"/>
  <c r="CL258" i="24"/>
  <c r="CY258" i="24"/>
  <c r="CU258" i="24"/>
  <c r="CW47" i="24"/>
  <c r="CX47" i="24" s="1"/>
  <c r="DQ47" i="24"/>
  <c r="CL47" i="24"/>
  <c r="CY47" i="24"/>
  <c r="ES47" i="24"/>
  <c r="EV47" i="24" s="1"/>
  <c r="CU47" i="24"/>
  <c r="CV47" i="24" s="1"/>
  <c r="CU139" i="24"/>
  <c r="CL139" i="24"/>
  <c r="ES139" i="24"/>
  <c r="EV139" i="24" s="1"/>
  <c r="CY139" i="24"/>
  <c r="CW139" i="24"/>
  <c r="CX139" i="24" s="1"/>
  <c r="DQ139" i="24"/>
  <c r="CU264" i="24"/>
  <c r="CL264" i="24"/>
  <c r="CW264" i="24"/>
  <c r="CX264" i="24" s="1"/>
  <c r="CY264" i="24"/>
  <c r="DQ264" i="24"/>
  <c r="ES148" i="24"/>
  <c r="EV148" i="24" s="1"/>
  <c r="CL148" i="24"/>
  <c r="CW148" i="24"/>
  <c r="CX148" i="24" s="1"/>
  <c r="DQ148" i="24"/>
  <c r="CY148" i="24"/>
  <c r="CU148" i="24"/>
  <c r="DQ81" i="24"/>
  <c r="ES81" i="24"/>
  <c r="EV81" i="24" s="1"/>
  <c r="CY81" i="24"/>
  <c r="CZ81" i="24" s="1"/>
  <c r="CU81" i="24"/>
  <c r="CV81" i="24" s="1"/>
  <c r="CL81" i="24"/>
  <c r="CW81" i="24"/>
  <c r="CX81" i="24" s="1"/>
  <c r="ES179" i="24"/>
  <c r="EV179" i="24" s="1"/>
  <c r="CL179" i="24"/>
  <c r="CY179" i="24"/>
  <c r="DQ179" i="24"/>
  <c r="CW179" i="24"/>
  <c r="CX179" i="24" s="1"/>
  <c r="CU179" i="24"/>
  <c r="CL132" i="24"/>
  <c r="ES132" i="24"/>
  <c r="EV132" i="24" s="1"/>
  <c r="CW132" i="24"/>
  <c r="CX132" i="24" s="1"/>
  <c r="DQ132" i="24"/>
  <c r="CY132" i="24"/>
  <c r="CU132" i="24"/>
  <c r="DQ307" i="24"/>
  <c r="CW307" i="24"/>
  <c r="CX307" i="24" s="1"/>
  <c r="CL307" i="24"/>
  <c r="CY307" i="24"/>
  <c r="CU307" i="24"/>
  <c r="ES161" i="24"/>
  <c r="EV161" i="24" s="1"/>
  <c r="CY161" i="24"/>
  <c r="DQ161" i="24"/>
  <c r="CL161" i="24"/>
  <c r="CW161" i="24"/>
  <c r="CX161" i="24" s="1"/>
  <c r="CU161" i="24"/>
  <c r="ES98" i="24"/>
  <c r="EV98" i="24" s="1"/>
  <c r="CL98" i="24"/>
  <c r="DQ98" i="24"/>
  <c r="CW98" i="24"/>
  <c r="CX98" i="24" s="1"/>
  <c r="CY98" i="24"/>
  <c r="CU98" i="24"/>
  <c r="CV98" i="24" s="1"/>
  <c r="DQ171" i="24"/>
  <c r="CL171" i="24"/>
  <c r="ES171" i="24"/>
  <c r="EV171" i="24" s="1"/>
  <c r="CY171" i="24"/>
  <c r="CZ171" i="24" s="1"/>
  <c r="CW171" i="24"/>
  <c r="CX171" i="24" s="1"/>
  <c r="CU171" i="24"/>
  <c r="CW306" i="24"/>
  <c r="CX306" i="24" s="1"/>
  <c r="CL306" i="24"/>
  <c r="CU306" i="24"/>
  <c r="CY306" i="24"/>
  <c r="DQ306" i="24"/>
  <c r="DQ267" i="24"/>
  <c r="CL267" i="24"/>
  <c r="CY267" i="24"/>
  <c r="CU267" i="24"/>
  <c r="CW267" i="24"/>
  <c r="CX267" i="24" s="1"/>
  <c r="CW233" i="24"/>
  <c r="CX233" i="24" s="1"/>
  <c r="CU233" i="24"/>
  <c r="CL233" i="24"/>
  <c r="DQ233" i="24"/>
  <c r="CY233" i="24"/>
  <c r="DQ309" i="24"/>
  <c r="CY309" i="24"/>
  <c r="CL309" i="24"/>
  <c r="CW309" i="24"/>
  <c r="CX309" i="24" s="1"/>
  <c r="CU309" i="24"/>
  <c r="CL232" i="24"/>
  <c r="DQ232" i="24"/>
  <c r="CY232" i="24"/>
  <c r="CZ232" i="24" s="1"/>
  <c r="CW232" i="24"/>
  <c r="CX232" i="24" s="1"/>
  <c r="CU232" i="24"/>
  <c r="CL297" i="24"/>
  <c r="CU297" i="24"/>
  <c r="DQ297" i="24"/>
  <c r="CY297" i="24"/>
  <c r="CW297" i="24"/>
  <c r="CX297" i="24" s="1"/>
  <c r="CL208" i="24"/>
  <c r="CW208" i="24"/>
  <c r="CX208" i="24" s="1"/>
  <c r="DQ208" i="24"/>
  <c r="ES208" i="24"/>
  <c r="EV208" i="24" s="1"/>
  <c r="CY208" i="24"/>
  <c r="CU208" i="24"/>
  <c r="CL259" i="24"/>
  <c r="DQ259" i="24"/>
  <c r="CY259" i="24"/>
  <c r="CW259" i="24"/>
  <c r="CX259" i="24" s="1"/>
  <c r="CU259" i="24"/>
  <c r="DQ219" i="24"/>
  <c r="CU219" i="24"/>
  <c r="CL219" i="24"/>
  <c r="CW219" i="24"/>
  <c r="CX219" i="24" s="1"/>
  <c r="CY219" i="24"/>
  <c r="CL287" i="24"/>
  <c r="CW287" i="24"/>
  <c r="CX287" i="24" s="1"/>
  <c r="DQ287" i="24"/>
  <c r="CY287" i="24"/>
  <c r="CU287" i="24"/>
  <c r="CW190" i="24"/>
  <c r="CX190" i="24" s="1"/>
  <c r="CL190" i="24"/>
  <c r="DQ190" i="24"/>
  <c r="ES190" i="24"/>
  <c r="EV190" i="24" s="1"/>
  <c r="CU190" i="24"/>
  <c r="CY190" i="24"/>
  <c r="CW238" i="24"/>
  <c r="CX238" i="24" s="1"/>
  <c r="CL238" i="24"/>
  <c r="DQ238" i="24"/>
  <c r="CU238" i="24"/>
  <c r="CY238" i="24"/>
  <c r="CU302" i="24"/>
  <c r="DQ302" i="24"/>
  <c r="CW302" i="24"/>
  <c r="CX302" i="24" s="1"/>
  <c r="CL302" i="24"/>
  <c r="CY302" i="24"/>
  <c r="DQ300" i="24"/>
  <c r="CL300" i="24"/>
  <c r="CW300" i="24"/>
  <c r="CX300" i="24" s="1"/>
  <c r="CY300" i="24"/>
  <c r="CU300" i="24"/>
  <c r="J77" i="23"/>
  <c r="L77" i="23" s="1"/>
  <c r="B25" i="2"/>
  <c r="AY7" i="19"/>
  <c r="BD7" i="19" s="1"/>
  <c r="BN7" i="19"/>
  <c r="AY8" i="19"/>
  <c r="BC8" i="19" s="1"/>
  <c r="BN8" i="19"/>
  <c r="AY6" i="19"/>
  <c r="BJ6" i="19" s="1"/>
  <c r="BN6" i="19"/>
  <c r="AY9" i="19"/>
  <c r="BN9" i="19"/>
  <c r="J67" i="23"/>
  <c r="L67" i="23" s="1"/>
  <c r="G71" i="23"/>
  <c r="H71" i="23" s="1"/>
  <c r="G17" i="23"/>
  <c r="H17" i="23" s="1"/>
  <c r="G32" i="23"/>
  <c r="H32" i="23" s="1"/>
  <c r="G54" i="23"/>
  <c r="H54" i="23" s="1"/>
  <c r="G101" i="23"/>
  <c r="H101" i="23" s="1"/>
  <c r="G30" i="23"/>
  <c r="H30" i="23" s="1"/>
  <c r="G51" i="23"/>
  <c r="H51" i="23" s="1"/>
  <c r="J103" i="23"/>
  <c r="K103" i="23" s="1"/>
  <c r="G25" i="23"/>
  <c r="H25" i="23" s="1"/>
  <c r="G80" i="23"/>
  <c r="H80" i="23" s="1"/>
  <c r="G21" i="23"/>
  <c r="H21" i="23" s="1"/>
  <c r="G105" i="23"/>
  <c r="H105" i="23" s="1"/>
  <c r="J63" i="23"/>
  <c r="L63" i="23" s="1"/>
  <c r="J88" i="23"/>
  <c r="K88" i="23" s="1"/>
  <c r="J49" i="23"/>
  <c r="K49" i="23" s="1"/>
  <c r="G92" i="23"/>
  <c r="H92" i="23" s="1"/>
  <c r="G22" i="23"/>
  <c r="H22" i="23" s="1"/>
  <c r="J20" i="23"/>
  <c r="L20" i="23" s="1"/>
  <c r="G53" i="23"/>
  <c r="H53" i="23" s="1"/>
  <c r="G73" i="23"/>
  <c r="H73" i="23" s="1"/>
  <c r="G46" i="23"/>
  <c r="H46" i="23" s="1"/>
  <c r="G6" i="23"/>
  <c r="H6" i="23" s="1"/>
  <c r="G94" i="23"/>
  <c r="H94" i="23" s="1"/>
  <c r="G90" i="23"/>
  <c r="H90" i="23" s="1"/>
  <c r="G14" i="23"/>
  <c r="H14" i="23" s="1"/>
  <c r="J60" i="23"/>
  <c r="K60" i="23" s="1"/>
  <c r="J10" i="8"/>
  <c r="B195" i="2" s="1"/>
  <c r="B259" i="2" s="1"/>
  <c r="J84" i="23"/>
  <c r="L84" i="23" s="1"/>
  <c r="G81" i="23"/>
  <c r="H81" i="23" s="1"/>
  <c r="G52" i="23"/>
  <c r="H52" i="23" s="1"/>
  <c r="G87" i="23"/>
  <c r="H87" i="23" s="1"/>
  <c r="G47" i="23"/>
  <c r="H47" i="23" s="1"/>
  <c r="G15" i="23"/>
  <c r="H15" i="23" s="1"/>
  <c r="G34" i="23"/>
  <c r="H34" i="23" s="1"/>
  <c r="Q34" i="23"/>
  <c r="Q44" i="23"/>
  <c r="Q106" i="23"/>
  <c r="Q14" i="23"/>
  <c r="Q81" i="23"/>
  <c r="Q91" i="23"/>
  <c r="Q6" i="23"/>
  <c r="Q48" i="23"/>
  <c r="Q82" i="23"/>
  <c r="Q93" i="23"/>
  <c r="Q22" i="23"/>
  <c r="Q99" i="23"/>
  <c r="Q42" i="23"/>
  <c r="Q35" i="23"/>
  <c r="Q9" i="23"/>
  <c r="Q78" i="23"/>
  <c r="Q75" i="23"/>
  <c r="Q88" i="23"/>
  <c r="Q63" i="23"/>
  <c r="Q101" i="23"/>
  <c r="Q29" i="23"/>
  <c r="Q98" i="23"/>
  <c r="Q19" i="23"/>
  <c r="Q12" i="23"/>
  <c r="Q89" i="23"/>
  <c r="Q33" i="23"/>
  <c r="Q38" i="23"/>
  <c r="Q102" i="23"/>
  <c r="Q27" i="23"/>
  <c r="Q95" i="23"/>
  <c r="Q37" i="23"/>
  <c r="Q58" i="23"/>
  <c r="Q7" i="23"/>
  <c r="Q28" i="23"/>
  <c r="Q47" i="23"/>
  <c r="J24" i="23"/>
  <c r="K24" i="23" s="1"/>
  <c r="J97" i="23"/>
  <c r="K97" i="23" s="1"/>
  <c r="H5" i="24"/>
  <c r="Q23" i="23"/>
  <c r="Q59" i="23"/>
  <c r="Q13" i="23"/>
  <c r="Q76" i="23"/>
  <c r="Q17" i="23"/>
  <c r="Q96" i="23"/>
  <c r="Q21" i="23"/>
  <c r="Q87" i="23"/>
  <c r="Q94" i="23"/>
  <c r="Q71" i="23"/>
  <c r="Q84" i="23"/>
  <c r="Q24" i="23"/>
  <c r="Q97" i="23"/>
  <c r="Q54" i="23"/>
  <c r="Q103" i="23"/>
  <c r="Q20" i="23"/>
  <c r="Q31" i="23"/>
  <c r="Q10" i="23"/>
  <c r="Q40" i="23"/>
  <c r="Q64" i="23"/>
  <c r="Q61" i="23"/>
  <c r="Q57" i="23"/>
  <c r="Q62" i="23"/>
  <c r="Q67" i="23"/>
  <c r="Q36" i="23"/>
  <c r="Q85" i="23"/>
  <c r="Q68" i="23"/>
  <c r="Q86" i="23"/>
  <c r="Q73" i="23"/>
  <c r="Q104" i="23"/>
  <c r="Q100" i="23"/>
  <c r="Q25" i="23"/>
  <c r="Q30" i="23"/>
  <c r="Q11" i="23"/>
  <c r="Q45" i="23"/>
  <c r="Q50" i="23"/>
  <c r="Q51" i="23"/>
  <c r="Q15" i="23"/>
  <c r="Q49" i="23"/>
  <c r="Q32" i="23"/>
  <c r="Q56" i="23"/>
  <c r="Q74" i="23"/>
  <c r="G82" i="23"/>
  <c r="H82" i="23" s="1"/>
  <c r="G102" i="23"/>
  <c r="H102" i="23" s="1"/>
  <c r="G13" i="23"/>
  <c r="H13" i="23" s="1"/>
  <c r="G104" i="23"/>
  <c r="H104" i="23" s="1"/>
  <c r="Q41" i="23"/>
  <c r="Q46" i="23"/>
  <c r="Q16" i="23"/>
  <c r="Q92" i="23"/>
  <c r="Q43" i="23"/>
  <c r="Q105" i="23"/>
  <c r="Q18" i="23"/>
  <c r="Q66" i="23"/>
  <c r="Q55" i="23"/>
  <c r="Q39" i="23"/>
  <c r="Q72" i="23"/>
  <c r="Q69" i="23"/>
  <c r="Q70" i="23"/>
  <c r="Q60" i="23"/>
  <c r="Q53" i="23"/>
  <c r="Q77" i="23"/>
  <c r="Q52" i="23"/>
  <c r="Q80" i="23"/>
  <c r="Q26" i="23"/>
  <c r="Q90" i="23"/>
  <c r="Q65" i="23"/>
  <c r="Q8" i="23"/>
  <c r="Q83" i="23"/>
  <c r="Q79" i="23"/>
  <c r="G85" i="23"/>
  <c r="H85" i="23" s="1"/>
  <c r="J83" i="23"/>
  <c r="L83" i="23" s="1"/>
  <c r="G12" i="23"/>
  <c r="H12" i="23" s="1"/>
  <c r="J65" i="23"/>
  <c r="L65" i="23" s="1"/>
  <c r="G61" i="23"/>
  <c r="H61" i="23" s="1"/>
  <c r="J58" i="23"/>
  <c r="L58" i="23" s="1"/>
  <c r="J100" i="23"/>
  <c r="K100" i="23" s="1"/>
  <c r="G26" i="23"/>
  <c r="H26" i="23" s="1"/>
  <c r="G91" i="23"/>
  <c r="H91" i="23" s="1"/>
  <c r="G40" i="23"/>
  <c r="H40" i="23" s="1"/>
  <c r="G55" i="23"/>
  <c r="H55" i="23" s="1"/>
  <c r="J74" i="23"/>
  <c r="L74" i="23" s="1"/>
  <c r="G35" i="23"/>
  <c r="H35" i="23" s="1"/>
  <c r="G68" i="23"/>
  <c r="H68" i="23" s="1"/>
  <c r="G29" i="23"/>
  <c r="H29" i="23" s="1"/>
  <c r="J72" i="23"/>
  <c r="K72" i="23" s="1"/>
  <c r="G45" i="23"/>
  <c r="H45" i="23" s="1"/>
  <c r="J66" i="23"/>
  <c r="L66" i="23" s="1"/>
  <c r="J95" i="23"/>
  <c r="K95" i="23" s="1"/>
  <c r="J93" i="23"/>
  <c r="L93" i="23" s="1"/>
  <c r="J42" i="23"/>
  <c r="L42" i="23" s="1"/>
  <c r="J57" i="23"/>
  <c r="K57" i="23" s="1"/>
  <c r="G37" i="23"/>
  <c r="H37" i="23" s="1"/>
  <c r="G50" i="23"/>
  <c r="H50" i="23" s="1"/>
  <c r="G64" i="23"/>
  <c r="H64" i="23" s="1"/>
  <c r="G18" i="23"/>
  <c r="H18" i="23" s="1"/>
  <c r="G10" i="23"/>
  <c r="H10" i="23" s="1"/>
  <c r="G28" i="23"/>
  <c r="H28" i="23" s="1"/>
  <c r="G8" i="23"/>
  <c r="H8" i="23" s="1"/>
  <c r="G19" i="23"/>
  <c r="H19" i="23" s="1"/>
  <c r="K26" i="23"/>
  <c r="L26" i="23"/>
  <c r="K44" i="23"/>
  <c r="L44" i="23"/>
  <c r="K102" i="23"/>
  <c r="L102" i="23"/>
  <c r="L56" i="23"/>
  <c r="K56" i="23"/>
  <c r="L35" i="23"/>
  <c r="K35" i="23"/>
  <c r="K13" i="23"/>
  <c r="L13" i="23"/>
  <c r="K30" i="23"/>
  <c r="L30" i="23"/>
  <c r="K73" i="23"/>
  <c r="L73" i="23"/>
  <c r="L16" i="23"/>
  <c r="K16" i="23"/>
  <c r="L43" i="23"/>
  <c r="K43" i="23"/>
  <c r="K33" i="23"/>
  <c r="L33" i="23"/>
  <c r="K92" i="23"/>
  <c r="L92" i="23"/>
  <c r="L59" i="23"/>
  <c r="K59" i="23"/>
  <c r="L104" i="23"/>
  <c r="K104" i="23"/>
  <c r="L47" i="23"/>
  <c r="K47" i="23"/>
  <c r="K45" i="23"/>
  <c r="L45" i="23"/>
  <c r="K101" i="23"/>
  <c r="L101" i="23"/>
  <c r="K37" i="23"/>
  <c r="L37" i="23"/>
  <c r="L79" i="23"/>
  <c r="K79" i="23"/>
  <c r="K22" i="23"/>
  <c r="L22" i="23"/>
  <c r="L12" i="23"/>
  <c r="K12" i="23"/>
  <c r="L39" i="23"/>
  <c r="K39" i="23"/>
  <c r="K21" i="23"/>
  <c r="L21" i="23"/>
  <c r="L75" i="23"/>
  <c r="K75" i="23"/>
  <c r="K17" i="23"/>
  <c r="L17" i="23"/>
  <c r="L71" i="23"/>
  <c r="K71" i="23"/>
  <c r="K69" i="23"/>
  <c r="L69" i="23"/>
  <c r="K9" i="23"/>
  <c r="L9" i="23"/>
  <c r="K29" i="23"/>
  <c r="L29" i="23"/>
  <c r="K14" i="23"/>
  <c r="L14" i="23"/>
  <c r="K53" i="23"/>
  <c r="L53" i="23"/>
  <c r="L55" i="23"/>
  <c r="K55" i="23"/>
  <c r="L51" i="23"/>
  <c r="K51" i="23"/>
  <c r="K41" i="23"/>
  <c r="L41" i="23"/>
  <c r="L96" i="23"/>
  <c r="K96" i="23"/>
  <c r="K82" i="23"/>
  <c r="L82" i="23"/>
  <c r="K50" i="23"/>
  <c r="L50" i="23"/>
  <c r="L6" i="23"/>
  <c r="K6" i="23"/>
  <c r="K61" i="23"/>
  <c r="L61" i="23"/>
  <c r="L7" i="23"/>
  <c r="K7" i="23"/>
  <c r="L87" i="23"/>
  <c r="K87" i="23"/>
  <c r="K85" i="23"/>
  <c r="L85" i="23"/>
  <c r="K25" i="23"/>
  <c r="L25" i="23"/>
  <c r="L91" i="23"/>
  <c r="K91" i="23"/>
  <c r="K38" i="23"/>
  <c r="L38" i="23"/>
  <c r="K81" i="23"/>
  <c r="L81" i="23"/>
  <c r="L31" i="23"/>
  <c r="K31" i="23"/>
  <c r="K106" i="23"/>
  <c r="L106" i="23"/>
  <c r="L80" i="23"/>
  <c r="K80" i="23"/>
  <c r="L8" i="23"/>
  <c r="K8" i="23"/>
  <c r="K54" i="23"/>
  <c r="L54" i="23"/>
  <c r="K28" i="23"/>
  <c r="L28" i="23"/>
  <c r="K70" i="23"/>
  <c r="L70" i="23"/>
  <c r="L40" i="23"/>
  <c r="K40" i="23"/>
  <c r="L19" i="23"/>
  <c r="K19" i="23"/>
  <c r="K78" i="23"/>
  <c r="L78" i="23"/>
  <c r="K68" i="23"/>
  <c r="L68" i="23"/>
  <c r="L15" i="23"/>
  <c r="K15" i="23"/>
  <c r="L64" i="23"/>
  <c r="K64" i="23"/>
  <c r="L27" i="23"/>
  <c r="K27" i="23"/>
  <c r="K76" i="23"/>
  <c r="L76" i="23"/>
  <c r="L99" i="23"/>
  <c r="K99" i="23"/>
  <c r="K46" i="23"/>
  <c r="L46" i="23"/>
  <c r="K89" i="23"/>
  <c r="L89" i="23"/>
  <c r="K94" i="23"/>
  <c r="L94" i="23"/>
  <c r="K52" i="23"/>
  <c r="L52" i="23"/>
  <c r="L48" i="23"/>
  <c r="K48" i="23"/>
  <c r="L11" i="23"/>
  <c r="K11" i="23"/>
  <c r="K62" i="23"/>
  <c r="L62" i="23"/>
  <c r="L23" i="23"/>
  <c r="K23" i="23"/>
  <c r="K86" i="23"/>
  <c r="L86" i="23"/>
  <c r="K10" i="23"/>
  <c r="L10" i="23"/>
  <c r="K36" i="23"/>
  <c r="L36" i="23"/>
  <c r="K105" i="23"/>
  <c r="L105" i="23"/>
  <c r="L32" i="23"/>
  <c r="K32" i="23"/>
  <c r="K18" i="23"/>
  <c r="L18" i="23"/>
  <c r="K98" i="23"/>
  <c r="L98" i="23"/>
  <c r="K90" i="23"/>
  <c r="L90" i="23"/>
  <c r="K34" i="23"/>
  <c r="L34" i="23"/>
  <c r="C269" i="2"/>
  <c r="B269" i="2"/>
  <c r="B185" i="2"/>
  <c r="A228" i="2"/>
  <c r="F269" i="2"/>
  <c r="B270" i="2"/>
  <c r="H270" i="2"/>
  <c r="C49" i="16" s="1"/>
  <c r="F182" i="2"/>
  <c r="E51" i="1" s="1"/>
  <c r="A229" i="2" s="1"/>
  <c r="G182" i="2"/>
  <c r="G270" i="2"/>
  <c r="C270" i="2"/>
  <c r="A270" i="2" s="1"/>
  <c r="B184" i="2"/>
  <c r="AO2" i="19"/>
  <c r="H273" i="2"/>
  <c r="F273" i="2"/>
  <c r="K57" i="16"/>
  <c r="M57" i="16" s="1"/>
  <c r="B235" i="2"/>
  <c r="A235" i="2"/>
  <c r="E43" i="1"/>
  <c r="A2" i="21"/>
  <c r="K70" i="2"/>
  <c r="G89" i="19"/>
  <c r="G64" i="19"/>
  <c r="G65" i="19"/>
  <c r="G90" i="19"/>
  <c r="G91" i="19"/>
  <c r="AY106" i="19"/>
  <c r="G66" i="19"/>
  <c r="BN106" i="19"/>
  <c r="FD233" i="25" l="1"/>
  <c r="DB212" i="25"/>
  <c r="CV110" i="25"/>
  <c r="B47" i="2"/>
  <c r="CW110" i="25"/>
  <c r="CO110" i="25" s="1"/>
  <c r="DH110" i="25" s="1"/>
  <c r="CU110" i="25"/>
  <c r="FD110" i="25"/>
  <c r="B112" i="2"/>
  <c r="B113" i="2" s="1"/>
  <c r="L6" i="1"/>
  <c r="M76" i="1"/>
  <c r="L76" i="1"/>
  <c r="L77" i="1" s="1"/>
  <c r="E75" i="1"/>
  <c r="B43" i="2"/>
  <c r="D25" i="29"/>
  <c r="Q3" i="29" s="1"/>
  <c r="B27" i="29"/>
  <c r="D27" i="29" s="1"/>
  <c r="DH212" i="25"/>
  <c r="DA212" i="25"/>
  <c r="DD212" i="25" s="1"/>
  <c r="DE212" i="25" s="1"/>
  <c r="DF212" i="25" s="1"/>
  <c r="DM212" i="25" s="1"/>
  <c r="DW212" i="25" s="1"/>
  <c r="DS193" i="25"/>
  <c r="DS204" i="25"/>
  <c r="DS203" i="25"/>
  <c r="DS99" i="25"/>
  <c r="DS96" i="25"/>
  <c r="DS194" i="25"/>
  <c r="DS206" i="25"/>
  <c r="DS209" i="25"/>
  <c r="DS100" i="25"/>
  <c r="DS201" i="25"/>
  <c r="DS205" i="25"/>
  <c r="DS105" i="25"/>
  <c r="DS103" i="25"/>
  <c r="DS198" i="25"/>
  <c r="DS102" i="25"/>
  <c r="DS202" i="25"/>
  <c r="DS200" i="25"/>
  <c r="DS199" i="25"/>
  <c r="DS196" i="25"/>
  <c r="DS97" i="25"/>
  <c r="DS197" i="25"/>
  <c r="DS208" i="25"/>
  <c r="DS101" i="25"/>
  <c r="DS207" i="25"/>
  <c r="DS210" i="25"/>
  <c r="DS98" i="25"/>
  <c r="DS104" i="25"/>
  <c r="DS195" i="25"/>
  <c r="DS91" i="25"/>
  <c r="DS94" i="25"/>
  <c r="DS93" i="25"/>
  <c r="DS95" i="25"/>
  <c r="DS92" i="25"/>
  <c r="DT120" i="24"/>
  <c r="DT189" i="24"/>
  <c r="DT157" i="24"/>
  <c r="DT153" i="24"/>
  <c r="DT193" i="24"/>
  <c r="DT204" i="24"/>
  <c r="DT202" i="24"/>
  <c r="DT155" i="24"/>
  <c r="DT198" i="24"/>
  <c r="DT180" i="24"/>
  <c r="DT117" i="24"/>
  <c r="DT174" i="24"/>
  <c r="DT139" i="24"/>
  <c r="DT192" i="24"/>
  <c r="DT115" i="24"/>
  <c r="DT133" i="24"/>
  <c r="DT143" i="24"/>
  <c r="DT129" i="24"/>
  <c r="DT183" i="24"/>
  <c r="DT134" i="24"/>
  <c r="DT184" i="24"/>
  <c r="DT137" i="24"/>
  <c r="DT195" i="24"/>
  <c r="DT128" i="24"/>
  <c r="DT140" i="24"/>
  <c r="DT122" i="24"/>
  <c r="DT208" i="24"/>
  <c r="DT179" i="24"/>
  <c r="DT123" i="24"/>
  <c r="DT150" i="24"/>
  <c r="DT116" i="24"/>
  <c r="DT191" i="24"/>
  <c r="DT112" i="24"/>
  <c r="DT170" i="24"/>
  <c r="DT169" i="24"/>
  <c r="DT126" i="24"/>
  <c r="DT163" i="24"/>
  <c r="DT197" i="24"/>
  <c r="DT121" i="24"/>
  <c r="DT159" i="24"/>
  <c r="DT141" i="24"/>
  <c r="DT201" i="24"/>
  <c r="DT138" i="24"/>
  <c r="DT118" i="24"/>
  <c r="DT200" i="24"/>
  <c r="DT111" i="24"/>
  <c r="DT182" i="24"/>
  <c r="DT152" i="24"/>
  <c r="DT210" i="24"/>
  <c r="H83" i="2" s="1"/>
  <c r="DT147" i="24"/>
  <c r="DT149" i="24"/>
  <c r="DT181" i="24"/>
  <c r="DT135" i="24"/>
  <c r="DT144" i="24"/>
  <c r="DT158" i="24"/>
  <c r="DT130" i="24"/>
  <c r="DT190" i="24"/>
  <c r="DT167" i="24"/>
  <c r="DT119" i="24"/>
  <c r="DT206" i="24"/>
  <c r="DT146" i="24"/>
  <c r="DT156" i="24"/>
  <c r="DT185" i="24"/>
  <c r="DT199" i="24"/>
  <c r="DT131" i="24"/>
  <c r="DT207" i="24"/>
  <c r="DT176" i="24"/>
  <c r="DT124" i="24"/>
  <c r="DT151" i="24"/>
  <c r="DT171" i="24"/>
  <c r="DT132" i="24"/>
  <c r="DT209" i="24"/>
  <c r="DT113" i="24"/>
  <c r="DT173" i="24"/>
  <c r="DT188" i="24"/>
  <c r="DT148" i="24"/>
  <c r="DT203" i="24"/>
  <c r="DT136" i="24"/>
  <c r="DT162" i="24"/>
  <c r="DT187" i="24"/>
  <c r="DT172" i="24"/>
  <c r="DT154" i="24"/>
  <c r="DT186" i="24"/>
  <c r="DT165" i="24"/>
  <c r="DT178" i="24"/>
  <c r="DT142" i="24"/>
  <c r="DT196" i="24"/>
  <c r="DT161" i="24"/>
  <c r="DT177" i="24"/>
  <c r="DT205" i="24"/>
  <c r="DT194" i="24"/>
  <c r="DT164" i="24"/>
  <c r="DT175" i="24"/>
  <c r="DT166" i="24"/>
  <c r="DT160" i="24"/>
  <c r="DT125" i="24"/>
  <c r="DT145" i="24"/>
  <c r="DT114" i="24"/>
  <c r="DT127" i="24"/>
  <c r="DT168" i="24"/>
  <c r="FD266" i="25"/>
  <c r="FD232" i="25"/>
  <c r="FD305" i="25"/>
  <c r="FD235" i="25"/>
  <c r="FD216" i="25"/>
  <c r="FD241" i="25"/>
  <c r="FD269" i="25"/>
  <c r="FD277" i="25"/>
  <c r="FD237" i="25"/>
  <c r="FD276" i="25"/>
  <c r="FD307" i="25"/>
  <c r="FD238" i="25"/>
  <c r="FD242" i="25"/>
  <c r="FD226" i="25"/>
  <c r="FD294" i="25"/>
  <c r="FD275" i="25"/>
  <c r="FD295" i="25"/>
  <c r="FD154" i="25"/>
  <c r="FD250" i="25"/>
  <c r="FD306" i="25"/>
  <c r="FD262" i="25"/>
  <c r="FD280" i="25"/>
  <c r="FD244" i="25"/>
  <c r="FD285" i="25"/>
  <c r="FD283" i="25"/>
  <c r="FD234" i="25"/>
  <c r="FD274" i="25"/>
  <c r="FD230" i="25"/>
  <c r="FD259" i="25"/>
  <c r="FD300" i="25"/>
  <c r="FD292" i="25"/>
  <c r="FD249" i="25"/>
  <c r="FD314" i="25"/>
  <c r="FD248" i="25"/>
  <c r="FD222" i="25"/>
  <c r="FD291" i="25"/>
  <c r="FD281" i="25"/>
  <c r="FD279" i="25"/>
  <c r="FD299" i="25"/>
  <c r="FD217" i="25"/>
  <c r="FD229" i="25"/>
  <c r="FD296" i="25"/>
  <c r="FD264" i="25"/>
  <c r="FD272" i="25"/>
  <c r="FD270" i="25"/>
  <c r="FD255" i="25"/>
  <c r="FD219" i="25"/>
  <c r="FD312" i="25"/>
  <c r="FD287" i="25"/>
  <c r="FD289" i="25"/>
  <c r="FD223" i="25"/>
  <c r="FD302" i="25"/>
  <c r="FD290" i="25"/>
  <c r="FD254" i="25"/>
  <c r="FD227" i="25"/>
  <c r="FD245" i="25"/>
  <c r="FD231" i="25"/>
  <c r="FD282" i="25"/>
  <c r="FD261" i="25"/>
  <c r="FD288" i="25"/>
  <c r="FD304" i="25"/>
  <c r="FD268" i="25"/>
  <c r="FD310" i="25"/>
  <c r="FD253" i="25"/>
  <c r="FD278" i="25"/>
  <c r="FD303" i="25"/>
  <c r="FD256" i="25"/>
  <c r="FD284" i="25"/>
  <c r="FD221" i="25"/>
  <c r="FD308" i="25"/>
  <c r="FD228" i="25"/>
  <c r="FD313" i="25"/>
  <c r="FD301" i="25"/>
  <c r="FD267" i="25"/>
  <c r="FD240" i="25"/>
  <c r="FD239" i="25"/>
  <c r="FD293" i="25"/>
  <c r="FD263" i="25"/>
  <c r="FD316" i="25"/>
  <c r="FD252" i="25"/>
  <c r="FD286" i="25"/>
  <c r="FD246" i="25"/>
  <c r="FD224" i="25"/>
  <c r="FD273" i="25"/>
  <c r="FD311" i="25"/>
  <c r="FD257" i="25"/>
  <c r="FD265" i="25"/>
  <c r="FD258" i="25"/>
  <c r="FD297" i="25"/>
  <c r="FD271" i="25"/>
  <c r="FD236" i="25"/>
  <c r="FD218" i="25"/>
  <c r="FD220" i="25"/>
  <c r="FD298" i="25"/>
  <c r="FD260" i="25"/>
  <c r="FD309" i="25"/>
  <c r="FD315" i="25"/>
  <c r="FD247" i="25"/>
  <c r="FD251" i="25"/>
  <c r="B45" i="2"/>
  <c r="FD112" i="25"/>
  <c r="DL112" i="25"/>
  <c r="DS112" i="25"/>
  <c r="DA112" i="25"/>
  <c r="DD112" i="25" s="1"/>
  <c r="DE112" i="25" s="1"/>
  <c r="DF112" i="25" s="1"/>
  <c r="DH112" i="25"/>
  <c r="CY112" i="25"/>
  <c r="CZ112" i="25"/>
  <c r="CZ110" i="24"/>
  <c r="DC110" i="24" s="1"/>
  <c r="DN5" i="24"/>
  <c r="DZ5" i="24" s="1"/>
  <c r="FD27" i="25"/>
  <c r="CW216" i="25"/>
  <c r="FD51" i="25"/>
  <c r="DS24" i="25"/>
  <c r="FD31" i="25"/>
  <c r="CV216" i="25"/>
  <c r="CU216" i="25"/>
  <c r="DS87" i="25"/>
  <c r="DN110" i="24"/>
  <c r="DX110" i="24" s="1"/>
  <c r="DJ5" i="24"/>
  <c r="DK5" i="24"/>
  <c r="DJ110" i="24"/>
  <c r="DK110" i="24"/>
  <c r="DI216" i="24"/>
  <c r="DM216" i="24"/>
  <c r="DB216" i="24"/>
  <c r="DE216" i="24" s="1"/>
  <c r="DF216" i="24" s="1"/>
  <c r="DG216" i="24" s="1"/>
  <c r="DA216" i="24"/>
  <c r="CZ216" i="24"/>
  <c r="DT35" i="24"/>
  <c r="DT289" i="24"/>
  <c r="DT221" i="24"/>
  <c r="DT37" i="24"/>
  <c r="DT50" i="24"/>
  <c r="FD19" i="25"/>
  <c r="DS9" i="25"/>
  <c r="DS83" i="25"/>
  <c r="DS49" i="25"/>
  <c r="DS245" i="25"/>
  <c r="DA180" i="25"/>
  <c r="DD180" i="25" s="1"/>
  <c r="DE180" i="25" s="1"/>
  <c r="DF180" i="25" s="1"/>
  <c r="DH180" i="25"/>
  <c r="DA122" i="25"/>
  <c r="DD122" i="25" s="1"/>
  <c r="DE122" i="25" s="1"/>
  <c r="DF122" i="25" s="1"/>
  <c r="DH122" i="25"/>
  <c r="DL271" i="25"/>
  <c r="DS271" i="25"/>
  <c r="DL231" i="25"/>
  <c r="DS231" i="25"/>
  <c r="DS166" i="25"/>
  <c r="FD166" i="25"/>
  <c r="DL166" i="25"/>
  <c r="DS279" i="25"/>
  <c r="DL279" i="25"/>
  <c r="CY204" i="25"/>
  <c r="CZ204" i="25"/>
  <c r="CY165" i="25"/>
  <c r="CZ165" i="25"/>
  <c r="DL274" i="25"/>
  <c r="DS274" i="25"/>
  <c r="CY32" i="25"/>
  <c r="CZ32" i="25"/>
  <c r="CZ101" i="25"/>
  <c r="CY101" i="25"/>
  <c r="DL36" i="25"/>
  <c r="FD36" i="25"/>
  <c r="DS36" i="25"/>
  <c r="DA203" i="25"/>
  <c r="DD203" i="25" s="1"/>
  <c r="DE203" i="25" s="1"/>
  <c r="DF203" i="25" s="1"/>
  <c r="DH203" i="25"/>
  <c r="CY315" i="25"/>
  <c r="CZ315" i="25"/>
  <c r="DA233" i="25"/>
  <c r="DD233" i="25" s="1"/>
  <c r="DE233" i="25" s="1"/>
  <c r="DF233" i="25" s="1"/>
  <c r="DH233" i="25"/>
  <c r="DA241" i="25"/>
  <c r="DD241" i="25" s="1"/>
  <c r="DE241" i="25" s="1"/>
  <c r="DF241" i="25" s="1"/>
  <c r="DH241" i="25"/>
  <c r="DA57" i="25"/>
  <c r="DD57" i="25" s="1"/>
  <c r="DE57" i="25" s="1"/>
  <c r="DF57" i="25" s="1"/>
  <c r="DH57" i="25"/>
  <c r="DH276" i="25"/>
  <c r="DA276" i="25"/>
  <c r="DD276" i="25" s="1"/>
  <c r="DE276" i="25" s="1"/>
  <c r="DF276" i="25" s="1"/>
  <c r="CZ7" i="25"/>
  <c r="DB7" i="25" s="1"/>
  <c r="DH7" i="25"/>
  <c r="DA7" i="25"/>
  <c r="DD7" i="25" s="1"/>
  <c r="DE7" i="25" s="1"/>
  <c r="DF7" i="25" s="1"/>
  <c r="DM7" i="25" s="1"/>
  <c r="CZ278" i="25"/>
  <c r="CY278" i="25"/>
  <c r="CY221" i="25"/>
  <c r="CZ221" i="25"/>
  <c r="DL297" i="25"/>
  <c r="DS264" i="25"/>
  <c r="DL264" i="25"/>
  <c r="CY304" i="25"/>
  <c r="CZ304" i="25"/>
  <c r="DL127" i="25"/>
  <c r="FD127" i="25"/>
  <c r="DS127" i="25"/>
  <c r="CZ201" i="25"/>
  <c r="CY201" i="25"/>
  <c r="CY99" i="25"/>
  <c r="CZ99" i="25"/>
  <c r="DL62" i="25"/>
  <c r="DS62" i="25"/>
  <c r="FD62" i="25"/>
  <c r="CZ144" i="25"/>
  <c r="CY144" i="25"/>
  <c r="FD116" i="25"/>
  <c r="DS116" i="25"/>
  <c r="DL116" i="25"/>
  <c r="DS113" i="25"/>
  <c r="FD113" i="25"/>
  <c r="DL113" i="25"/>
  <c r="CY160" i="25"/>
  <c r="CZ160" i="25"/>
  <c r="FD26" i="25"/>
  <c r="DS26" i="25"/>
  <c r="DL26" i="25"/>
  <c r="DL240" i="25"/>
  <c r="DS240" i="25"/>
  <c r="DH206" i="25"/>
  <c r="DA206" i="25"/>
  <c r="DD206" i="25" s="1"/>
  <c r="DE206" i="25" s="1"/>
  <c r="DF206" i="25" s="1"/>
  <c r="DA60" i="25"/>
  <c r="DD60" i="25" s="1"/>
  <c r="DE60" i="25" s="1"/>
  <c r="DF60" i="25" s="1"/>
  <c r="DH60" i="25"/>
  <c r="DH269" i="25"/>
  <c r="DA269" i="25"/>
  <c r="DD269" i="25" s="1"/>
  <c r="DE269" i="25" s="1"/>
  <c r="DF269" i="25" s="1"/>
  <c r="DH14" i="25"/>
  <c r="DA14" i="25"/>
  <c r="DD14" i="25" s="1"/>
  <c r="DE14" i="25" s="1"/>
  <c r="DF14" i="25" s="1"/>
  <c r="FD50" i="25"/>
  <c r="DL50" i="25"/>
  <c r="DS50" i="25"/>
  <c r="DH174" i="25"/>
  <c r="DA174" i="25"/>
  <c r="DD174" i="25" s="1"/>
  <c r="DE174" i="25" s="1"/>
  <c r="DF174" i="25" s="1"/>
  <c r="DH92" i="25"/>
  <c r="DA92" i="25"/>
  <c r="DD92" i="25" s="1"/>
  <c r="DE92" i="25" s="1"/>
  <c r="DF92" i="25" s="1"/>
  <c r="DA239" i="25"/>
  <c r="DD239" i="25" s="1"/>
  <c r="DE239" i="25" s="1"/>
  <c r="DF239" i="25" s="1"/>
  <c r="DH239" i="25"/>
  <c r="CZ164" i="25"/>
  <c r="DB164" i="25" s="1"/>
  <c r="DH164" i="25"/>
  <c r="DA164" i="25"/>
  <c r="DD164" i="25" s="1"/>
  <c r="DE164" i="25" s="1"/>
  <c r="DF164" i="25" s="1"/>
  <c r="DL220" i="25"/>
  <c r="DS220" i="25"/>
  <c r="CY186" i="25"/>
  <c r="CZ186" i="25"/>
  <c r="CY271" i="25"/>
  <c r="CZ271" i="25"/>
  <c r="DS311" i="25"/>
  <c r="DL311" i="25"/>
  <c r="DL261" i="25"/>
  <c r="DS261" i="25"/>
  <c r="DS282" i="25"/>
  <c r="DL282" i="25"/>
  <c r="CZ134" i="25"/>
  <c r="CY134" i="25"/>
  <c r="CZ312" i="25"/>
  <c r="CY312" i="25"/>
  <c r="CZ196" i="25"/>
  <c r="CY196" i="25"/>
  <c r="CY61" i="25"/>
  <c r="CZ61" i="25"/>
  <c r="DH56" i="25"/>
  <c r="DA56" i="25"/>
  <c r="DD56" i="25" s="1"/>
  <c r="DE56" i="25" s="1"/>
  <c r="DF56" i="25" s="1"/>
  <c r="DA190" i="25"/>
  <c r="DD190" i="25" s="1"/>
  <c r="DE190" i="25" s="1"/>
  <c r="DF190" i="25" s="1"/>
  <c r="DH190" i="25"/>
  <c r="DH147" i="25"/>
  <c r="DA147" i="25"/>
  <c r="DD147" i="25" s="1"/>
  <c r="DE147" i="25" s="1"/>
  <c r="DF147" i="25" s="1"/>
  <c r="DA32" i="25"/>
  <c r="DD32" i="25" s="1"/>
  <c r="DE32" i="25" s="1"/>
  <c r="DF32" i="25" s="1"/>
  <c r="DH32" i="25"/>
  <c r="DA210" i="25"/>
  <c r="DD210" i="25" s="1"/>
  <c r="DE210" i="25" s="1"/>
  <c r="DF210" i="25" s="1"/>
  <c r="DH210" i="25"/>
  <c r="DA78" i="25"/>
  <c r="DD78" i="25" s="1"/>
  <c r="DE78" i="25" s="1"/>
  <c r="DF78" i="25" s="1"/>
  <c r="DH78" i="25"/>
  <c r="DL221" i="25"/>
  <c r="DS221" i="25"/>
  <c r="CZ206" i="25"/>
  <c r="CY206" i="25"/>
  <c r="DL304" i="25"/>
  <c r="DS304" i="25"/>
  <c r="CY62" i="25"/>
  <c r="CZ62" i="25"/>
  <c r="CY35" i="25"/>
  <c r="CZ35" i="25"/>
  <c r="CY31" i="25"/>
  <c r="CZ31" i="25"/>
  <c r="DL160" i="25"/>
  <c r="FD160" i="25"/>
  <c r="DS160" i="25"/>
  <c r="DH105" i="25"/>
  <c r="DA105" i="25"/>
  <c r="DD105" i="25" s="1"/>
  <c r="DE105" i="25" s="1"/>
  <c r="DF105" i="25" s="1"/>
  <c r="DH15" i="25"/>
  <c r="DA15" i="25"/>
  <c r="DD15" i="25" s="1"/>
  <c r="DE15" i="25" s="1"/>
  <c r="DF15" i="25" s="1"/>
  <c r="DL219" i="25"/>
  <c r="DS219" i="25"/>
  <c r="CY16" i="25"/>
  <c r="CZ16" i="25"/>
  <c r="CZ226" i="25"/>
  <c r="DB226" i="25" s="1"/>
  <c r="DH226" i="25"/>
  <c r="DA226" i="25"/>
  <c r="DD226" i="25" s="1"/>
  <c r="DE226" i="25" s="1"/>
  <c r="DF226" i="25" s="1"/>
  <c r="DH59" i="25"/>
  <c r="DA59" i="25"/>
  <c r="DD59" i="25" s="1"/>
  <c r="DE59" i="25" s="1"/>
  <c r="DF59" i="25" s="1"/>
  <c r="CY167" i="25"/>
  <c r="CZ167" i="25"/>
  <c r="CZ229" i="25"/>
  <c r="CY229" i="25"/>
  <c r="DL202" i="25"/>
  <c r="FD202" i="25"/>
  <c r="DL224" i="25"/>
  <c r="DS224" i="25"/>
  <c r="DS123" i="25"/>
  <c r="DL123" i="25"/>
  <c r="FD123" i="25"/>
  <c r="DL150" i="25"/>
  <c r="DS150" i="25"/>
  <c r="FD150" i="25"/>
  <c r="DL41" i="25"/>
  <c r="FD41" i="25"/>
  <c r="DS41" i="25"/>
  <c r="DH191" i="25"/>
  <c r="DA191" i="25"/>
  <c r="DD191" i="25" s="1"/>
  <c r="DE191" i="25" s="1"/>
  <c r="DF191" i="25" s="1"/>
  <c r="DA275" i="25"/>
  <c r="DD275" i="25" s="1"/>
  <c r="DE275" i="25" s="1"/>
  <c r="DF275" i="25" s="1"/>
  <c r="DH275" i="25"/>
  <c r="DH45" i="25"/>
  <c r="DA45" i="25"/>
  <c r="DD45" i="25" s="1"/>
  <c r="DE45" i="25" s="1"/>
  <c r="DF45" i="25" s="1"/>
  <c r="DS299" i="25"/>
  <c r="DL299" i="25"/>
  <c r="DL291" i="25"/>
  <c r="DS291" i="25"/>
  <c r="DS124" i="25"/>
  <c r="FD124" i="25"/>
  <c r="DL124" i="25"/>
  <c r="DL32" i="25"/>
  <c r="DS32" i="25"/>
  <c r="FD32" i="25"/>
  <c r="DS134" i="25"/>
  <c r="FD134" i="25"/>
  <c r="DL134" i="25"/>
  <c r="DL312" i="25"/>
  <c r="DS312" i="25"/>
  <c r="DL286" i="25"/>
  <c r="DS286" i="25"/>
  <c r="FD196" i="25"/>
  <c r="DL196" i="25"/>
  <c r="CZ67" i="25"/>
  <c r="CY67" i="25"/>
  <c r="CY103" i="25"/>
  <c r="CZ103" i="25"/>
  <c r="DL131" i="25"/>
  <c r="DS131" i="25"/>
  <c r="FD131" i="25"/>
  <c r="DH67" i="25"/>
  <c r="DA67" i="25"/>
  <c r="DD67" i="25" s="1"/>
  <c r="DE67" i="25" s="1"/>
  <c r="DF67" i="25" s="1"/>
  <c r="DL236" i="25"/>
  <c r="DS236" i="25"/>
  <c r="CY234" i="25"/>
  <c r="CZ234" i="25"/>
  <c r="DH83" i="25"/>
  <c r="DA83" i="25"/>
  <c r="DD83" i="25" s="1"/>
  <c r="DE83" i="25" s="1"/>
  <c r="DF83" i="25" s="1"/>
  <c r="DA80" i="25"/>
  <c r="DD80" i="25" s="1"/>
  <c r="DE80" i="25" s="1"/>
  <c r="DF80" i="25" s="1"/>
  <c r="DH80" i="25"/>
  <c r="DH42" i="25"/>
  <c r="DA42" i="25"/>
  <c r="DD42" i="25" s="1"/>
  <c r="DE42" i="25" s="1"/>
  <c r="DF42" i="25" s="1"/>
  <c r="DH302" i="25"/>
  <c r="DA302" i="25"/>
  <c r="DD302" i="25" s="1"/>
  <c r="DE302" i="25" s="1"/>
  <c r="DF302" i="25" s="1"/>
  <c r="DS303" i="25"/>
  <c r="DL303" i="25"/>
  <c r="CY264" i="25"/>
  <c r="CZ264" i="25"/>
  <c r="FD201" i="25"/>
  <c r="DL201" i="25"/>
  <c r="FD54" i="25"/>
  <c r="DS54" i="25"/>
  <c r="DL54" i="25"/>
  <c r="DL265" i="25"/>
  <c r="DS265" i="25"/>
  <c r="FD144" i="25"/>
  <c r="DS144" i="25"/>
  <c r="DL144" i="25"/>
  <c r="CY97" i="25"/>
  <c r="CZ97" i="25"/>
  <c r="CZ26" i="25"/>
  <c r="CY26" i="25"/>
  <c r="DH277" i="25"/>
  <c r="DA277" i="25"/>
  <c r="DD277" i="25" s="1"/>
  <c r="DE277" i="25" s="1"/>
  <c r="DF277" i="25" s="1"/>
  <c r="DH304" i="25"/>
  <c r="DA304" i="25"/>
  <c r="DD304" i="25" s="1"/>
  <c r="DE304" i="25" s="1"/>
  <c r="DF304" i="25" s="1"/>
  <c r="DA97" i="25"/>
  <c r="DD97" i="25" s="1"/>
  <c r="DE97" i="25" s="1"/>
  <c r="DF97" i="25" s="1"/>
  <c r="DH97" i="25"/>
  <c r="DH98" i="25"/>
  <c r="DA98" i="25"/>
  <c r="DD98" i="25" s="1"/>
  <c r="DE98" i="25" s="1"/>
  <c r="DF98" i="25" s="1"/>
  <c r="DH35" i="25"/>
  <c r="DA35" i="25"/>
  <c r="DD35" i="25" s="1"/>
  <c r="DE35" i="25" s="1"/>
  <c r="DF35" i="25" s="1"/>
  <c r="DH158" i="25"/>
  <c r="DA158" i="25"/>
  <c r="DD158" i="25" s="1"/>
  <c r="DE158" i="25" s="1"/>
  <c r="DF158" i="25" s="1"/>
  <c r="CZ299" i="25"/>
  <c r="CY299" i="25"/>
  <c r="CY311" i="25"/>
  <c r="CZ311" i="25"/>
  <c r="CY291" i="25"/>
  <c r="CZ291" i="25"/>
  <c r="DL56" i="25"/>
  <c r="DS56" i="25"/>
  <c r="FD56" i="25"/>
  <c r="CY286" i="25"/>
  <c r="CZ286" i="25"/>
  <c r="CZ131" i="25"/>
  <c r="CY131" i="25"/>
  <c r="CZ132" i="25"/>
  <c r="CY132" i="25"/>
  <c r="CY163" i="25"/>
  <c r="CZ163" i="25"/>
  <c r="CZ259" i="25"/>
  <c r="DB259" i="25" s="1"/>
  <c r="DH259" i="25"/>
  <c r="DA259" i="25"/>
  <c r="DD259" i="25" s="1"/>
  <c r="DE259" i="25" s="1"/>
  <c r="DF259" i="25" s="1"/>
  <c r="DL234" i="25"/>
  <c r="DS234" i="25"/>
  <c r="DL18" i="25"/>
  <c r="DS18" i="25"/>
  <c r="FD18" i="25"/>
  <c r="DH173" i="25"/>
  <c r="DA173" i="25"/>
  <c r="DD173" i="25" s="1"/>
  <c r="DE173" i="25" s="1"/>
  <c r="DF173" i="25" s="1"/>
  <c r="DH231" i="25"/>
  <c r="DA231" i="25"/>
  <c r="DD231" i="25" s="1"/>
  <c r="DE231" i="25" s="1"/>
  <c r="DF231" i="25" s="1"/>
  <c r="DA120" i="25"/>
  <c r="DD120" i="25" s="1"/>
  <c r="DE120" i="25" s="1"/>
  <c r="DF120" i="25" s="1"/>
  <c r="DH120" i="25"/>
  <c r="DH267" i="25"/>
  <c r="DA267" i="25"/>
  <c r="DD267" i="25" s="1"/>
  <c r="DE267" i="25" s="1"/>
  <c r="DF267" i="25" s="1"/>
  <c r="DH47" i="25"/>
  <c r="DA47" i="25"/>
  <c r="DD47" i="25" s="1"/>
  <c r="DE47" i="25" s="1"/>
  <c r="DF47" i="25" s="1"/>
  <c r="DH314" i="25"/>
  <c r="DA314" i="25"/>
  <c r="DD314" i="25" s="1"/>
  <c r="DE314" i="25" s="1"/>
  <c r="DF314" i="25" s="1"/>
  <c r="CZ158" i="25"/>
  <c r="CY158" i="25"/>
  <c r="DS268" i="25"/>
  <c r="DL268" i="25"/>
  <c r="CY273" i="25"/>
  <c r="CZ273" i="25"/>
  <c r="FD206" i="25"/>
  <c r="DL206" i="25"/>
  <c r="DL249" i="25"/>
  <c r="DS249" i="25"/>
  <c r="FD120" i="25"/>
  <c r="DS120" i="25"/>
  <c r="DL120" i="25"/>
  <c r="DS35" i="25"/>
  <c r="DL35" i="25"/>
  <c r="FD35" i="25"/>
  <c r="CZ83" i="25"/>
  <c r="CY83" i="25"/>
  <c r="DH91" i="25"/>
  <c r="DA91" i="25"/>
  <c r="DD91" i="25" s="1"/>
  <c r="DE91" i="25" s="1"/>
  <c r="DF91" i="25" s="1"/>
  <c r="DH41" i="25"/>
  <c r="DA41" i="25"/>
  <c r="DD41" i="25" s="1"/>
  <c r="DE41" i="25" s="1"/>
  <c r="DF41" i="25" s="1"/>
  <c r="CY152" i="25"/>
  <c r="CZ152" i="25"/>
  <c r="DA257" i="25"/>
  <c r="DD257" i="25" s="1"/>
  <c r="DE257" i="25" s="1"/>
  <c r="DF257" i="25" s="1"/>
  <c r="DH257" i="25"/>
  <c r="DH244" i="25"/>
  <c r="DA244" i="25"/>
  <c r="DD244" i="25" s="1"/>
  <c r="DE244" i="25" s="1"/>
  <c r="DF244" i="25" s="1"/>
  <c r="DH292" i="25"/>
  <c r="DA292" i="25"/>
  <c r="DD292" i="25" s="1"/>
  <c r="DE292" i="25" s="1"/>
  <c r="DF292" i="25" s="1"/>
  <c r="DH251" i="25"/>
  <c r="DA251" i="25"/>
  <c r="DD251" i="25" s="1"/>
  <c r="DE251" i="25" s="1"/>
  <c r="DF251" i="25" s="1"/>
  <c r="DH202" i="25"/>
  <c r="DA202" i="25"/>
  <c r="DD202" i="25" s="1"/>
  <c r="DE202" i="25" s="1"/>
  <c r="DF202" i="25" s="1"/>
  <c r="DA65" i="25"/>
  <c r="DD65" i="25" s="1"/>
  <c r="DE65" i="25" s="1"/>
  <c r="DF65" i="25" s="1"/>
  <c r="DH65" i="25"/>
  <c r="DH144" i="25"/>
  <c r="DA144" i="25"/>
  <c r="DD144" i="25" s="1"/>
  <c r="DE144" i="25" s="1"/>
  <c r="DF144" i="25" s="1"/>
  <c r="DA280" i="25"/>
  <c r="DD280" i="25" s="1"/>
  <c r="DE280" i="25" s="1"/>
  <c r="DF280" i="25" s="1"/>
  <c r="DH280" i="25"/>
  <c r="DH103" i="25"/>
  <c r="DA103" i="25"/>
  <c r="DD103" i="25" s="1"/>
  <c r="DE103" i="25" s="1"/>
  <c r="DF103" i="25" s="1"/>
  <c r="DA187" i="25"/>
  <c r="DD187" i="25" s="1"/>
  <c r="DE187" i="25" s="1"/>
  <c r="DF187" i="25" s="1"/>
  <c r="DH187" i="25"/>
  <c r="DH99" i="25"/>
  <c r="DA99" i="25"/>
  <c r="DD99" i="25" s="1"/>
  <c r="DE99" i="25" s="1"/>
  <c r="DF99" i="25" s="1"/>
  <c r="DL223" i="25"/>
  <c r="DS223" i="25"/>
  <c r="FD101" i="25"/>
  <c r="DL101" i="25"/>
  <c r="CY56" i="25"/>
  <c r="CZ56" i="25"/>
  <c r="DL63" i="25"/>
  <c r="DS63" i="25"/>
  <c r="FD63" i="25"/>
  <c r="CZ84" i="25"/>
  <c r="CY84" i="25"/>
  <c r="CY11" i="25"/>
  <c r="CZ11" i="25"/>
  <c r="CZ135" i="25"/>
  <c r="CY135" i="25"/>
  <c r="DL103" i="25"/>
  <c r="FD103" i="25"/>
  <c r="DS132" i="25"/>
  <c r="DL132" i="25"/>
  <c r="FD132" i="25"/>
  <c r="DS76" i="25"/>
  <c r="DL76" i="25"/>
  <c r="FD76" i="25"/>
  <c r="DH9" i="25"/>
  <c r="DA9" i="25"/>
  <c r="DD9" i="25" s="1"/>
  <c r="DE9" i="25" s="1"/>
  <c r="DF9" i="25" s="1"/>
  <c r="CY44" i="25"/>
  <c r="CZ44" i="25"/>
  <c r="DA179" i="25"/>
  <c r="DD179" i="25" s="1"/>
  <c r="DE179" i="25" s="1"/>
  <c r="DF179" i="25" s="1"/>
  <c r="DH179" i="25"/>
  <c r="DA84" i="25"/>
  <c r="DD84" i="25" s="1"/>
  <c r="DE84" i="25" s="1"/>
  <c r="DF84" i="25" s="1"/>
  <c r="DH84" i="25"/>
  <c r="DA79" i="25"/>
  <c r="DD79" i="25" s="1"/>
  <c r="DE79" i="25" s="1"/>
  <c r="DF79" i="25" s="1"/>
  <c r="DH79" i="25"/>
  <c r="DL218" i="25"/>
  <c r="DS218" i="25"/>
  <c r="CY268" i="25"/>
  <c r="CZ268" i="25"/>
  <c r="DL203" i="25"/>
  <c r="FD203" i="25"/>
  <c r="CY303" i="25"/>
  <c r="CZ303" i="25"/>
  <c r="CY248" i="25"/>
  <c r="CZ248" i="25"/>
  <c r="CY249" i="25"/>
  <c r="CZ249" i="25"/>
  <c r="CZ120" i="25"/>
  <c r="CY120" i="25"/>
  <c r="DL99" i="25"/>
  <c r="FD99" i="25"/>
  <c r="CY54" i="25"/>
  <c r="CZ54" i="25"/>
  <c r="CY53" i="25"/>
  <c r="CZ53" i="25"/>
  <c r="CY80" i="25"/>
  <c r="CZ80" i="25"/>
  <c r="DL31" i="25"/>
  <c r="DS31" i="25"/>
  <c r="DH166" i="25"/>
  <c r="DA166" i="25"/>
  <c r="DD166" i="25" s="1"/>
  <c r="DE166" i="25" s="1"/>
  <c r="DF166" i="25" s="1"/>
  <c r="DH132" i="25"/>
  <c r="DA132" i="25"/>
  <c r="DD132" i="25" s="1"/>
  <c r="DE132" i="25" s="1"/>
  <c r="DF132" i="25" s="1"/>
  <c r="DA58" i="25"/>
  <c r="DD58" i="25" s="1"/>
  <c r="DE58" i="25" s="1"/>
  <c r="DF58" i="25" s="1"/>
  <c r="DH58" i="25"/>
  <c r="DS192" i="25"/>
  <c r="FD192" i="25"/>
  <c r="DL192" i="25"/>
  <c r="DL91" i="25"/>
  <c r="DH299" i="25"/>
  <c r="DA299" i="25"/>
  <c r="DD299" i="25" s="1"/>
  <c r="DE299" i="25" s="1"/>
  <c r="DF299" i="25" s="1"/>
  <c r="DA289" i="25"/>
  <c r="DD289" i="25" s="1"/>
  <c r="DE289" i="25" s="1"/>
  <c r="DF289" i="25" s="1"/>
  <c r="DH289" i="25"/>
  <c r="DH286" i="25"/>
  <c r="DA286" i="25"/>
  <c r="DD286" i="25" s="1"/>
  <c r="DE286" i="25" s="1"/>
  <c r="DF286" i="25" s="1"/>
  <c r="DH234" i="25"/>
  <c r="DA234" i="25"/>
  <c r="DD234" i="25" s="1"/>
  <c r="DE234" i="25" s="1"/>
  <c r="DF234" i="25" s="1"/>
  <c r="DA232" i="25"/>
  <c r="DD232" i="25" s="1"/>
  <c r="DE232" i="25" s="1"/>
  <c r="DF232" i="25" s="1"/>
  <c r="DH232" i="25"/>
  <c r="DL270" i="25"/>
  <c r="DS270" i="25"/>
  <c r="DL293" i="25"/>
  <c r="DS138" i="25"/>
  <c r="DL138" i="25"/>
  <c r="FD138" i="25"/>
  <c r="DH175" i="25"/>
  <c r="DA175" i="25"/>
  <c r="DD175" i="25" s="1"/>
  <c r="DE175" i="25" s="1"/>
  <c r="DF175" i="25" s="1"/>
  <c r="DA64" i="25"/>
  <c r="DD64" i="25" s="1"/>
  <c r="DE64" i="25" s="1"/>
  <c r="DF64" i="25" s="1"/>
  <c r="DH64" i="25"/>
  <c r="DH283" i="25"/>
  <c r="DA283" i="25"/>
  <c r="DD283" i="25" s="1"/>
  <c r="DE283" i="25" s="1"/>
  <c r="DF283" i="25" s="1"/>
  <c r="DA76" i="25"/>
  <c r="DD76" i="25" s="1"/>
  <c r="DE76" i="25" s="1"/>
  <c r="DF76" i="25" s="1"/>
  <c r="DH76" i="25"/>
  <c r="DA31" i="25"/>
  <c r="DD31" i="25" s="1"/>
  <c r="DE31" i="25" s="1"/>
  <c r="DF31" i="25" s="1"/>
  <c r="DH31" i="25"/>
  <c r="CY310" i="25"/>
  <c r="CZ310" i="25"/>
  <c r="CZ223" i="25"/>
  <c r="CY223" i="25"/>
  <c r="CY217" i="25"/>
  <c r="CZ217" i="25"/>
  <c r="DL67" i="25"/>
  <c r="DS67" i="25"/>
  <c r="FD67" i="25"/>
  <c r="DS84" i="25"/>
  <c r="FD84" i="25"/>
  <c r="DL84" i="25"/>
  <c r="DS281" i="25"/>
  <c r="DL281" i="25"/>
  <c r="DL44" i="25"/>
  <c r="DS44" i="25"/>
  <c r="DS316" i="25"/>
  <c r="DL316" i="25"/>
  <c r="CZ18" i="25"/>
  <c r="CY18" i="25"/>
  <c r="DH306" i="25"/>
  <c r="DA306" i="25"/>
  <c r="DD306" i="25" s="1"/>
  <c r="DE306" i="25" s="1"/>
  <c r="DF306" i="25" s="1"/>
  <c r="DH34" i="25"/>
  <c r="DA34" i="25"/>
  <c r="DD34" i="25" s="1"/>
  <c r="DE34" i="25" s="1"/>
  <c r="DF34" i="25" s="1"/>
  <c r="DA199" i="25"/>
  <c r="DD199" i="25" s="1"/>
  <c r="DE199" i="25" s="1"/>
  <c r="DF199" i="25" s="1"/>
  <c r="DH199" i="25"/>
  <c r="DH27" i="25"/>
  <c r="DA27" i="25"/>
  <c r="DD27" i="25" s="1"/>
  <c r="DE27" i="25" s="1"/>
  <c r="DF27" i="25" s="1"/>
  <c r="CY210" i="25"/>
  <c r="CZ210" i="25"/>
  <c r="CY178" i="25"/>
  <c r="CZ178" i="25"/>
  <c r="DL273" i="25"/>
  <c r="DS273" i="25"/>
  <c r="CZ127" i="25"/>
  <c r="CY127" i="25"/>
  <c r="DH102" i="25"/>
  <c r="DA102" i="25"/>
  <c r="DD102" i="25" s="1"/>
  <c r="DE102" i="25" s="1"/>
  <c r="DF102" i="25" s="1"/>
  <c r="CZ192" i="25"/>
  <c r="CY192" i="25"/>
  <c r="DH249" i="25"/>
  <c r="DA249" i="25"/>
  <c r="DD249" i="25" s="1"/>
  <c r="DE249" i="25" s="1"/>
  <c r="DF249" i="25" s="1"/>
  <c r="DH217" i="25"/>
  <c r="DA217" i="25"/>
  <c r="DD217" i="25" s="1"/>
  <c r="DE217" i="25" s="1"/>
  <c r="DF217" i="25" s="1"/>
  <c r="CY205" i="25"/>
  <c r="CZ205" i="25"/>
  <c r="DH143" i="25"/>
  <c r="DA143" i="25"/>
  <c r="DD143" i="25" s="1"/>
  <c r="DE143" i="25" s="1"/>
  <c r="DF143" i="25" s="1"/>
  <c r="DA168" i="25"/>
  <c r="DD168" i="25" s="1"/>
  <c r="DE168" i="25" s="1"/>
  <c r="DF168" i="25" s="1"/>
  <c r="DH168" i="25"/>
  <c r="DH284" i="25"/>
  <c r="DA284" i="25"/>
  <c r="DD284" i="25" s="1"/>
  <c r="DE284" i="25" s="1"/>
  <c r="DF284" i="25" s="1"/>
  <c r="DH156" i="25"/>
  <c r="DA156" i="25"/>
  <c r="DD156" i="25" s="1"/>
  <c r="DE156" i="25" s="1"/>
  <c r="DF156" i="25" s="1"/>
  <c r="CY279" i="25"/>
  <c r="CZ279" i="25"/>
  <c r="CY274" i="25"/>
  <c r="CZ274" i="25"/>
  <c r="DL217" i="25"/>
  <c r="DS217" i="25"/>
  <c r="DL11" i="25"/>
  <c r="DS11" i="25"/>
  <c r="FD11" i="25"/>
  <c r="DL163" i="25"/>
  <c r="FD163" i="25"/>
  <c r="DS163" i="25"/>
  <c r="CY76" i="25"/>
  <c r="CZ76" i="25"/>
  <c r="DH311" i="25"/>
  <c r="DA311" i="25"/>
  <c r="DD311" i="25" s="1"/>
  <c r="DE311" i="25" s="1"/>
  <c r="DF311" i="25" s="1"/>
  <c r="CZ281" i="25"/>
  <c r="CY281" i="25"/>
  <c r="CY316" i="25"/>
  <c r="CZ316" i="25"/>
  <c r="DA87" i="25"/>
  <c r="DD87" i="25" s="1"/>
  <c r="DE87" i="25" s="1"/>
  <c r="DF87" i="25" s="1"/>
  <c r="DH87" i="25"/>
  <c r="DH138" i="25"/>
  <c r="DA138" i="25"/>
  <c r="DD138" i="25" s="1"/>
  <c r="DE138" i="25" s="1"/>
  <c r="DF138" i="25" s="1"/>
  <c r="DH200" i="25"/>
  <c r="DA200" i="25"/>
  <c r="DD200" i="25" s="1"/>
  <c r="DE200" i="25" s="1"/>
  <c r="DF200" i="25" s="1"/>
  <c r="CZ220" i="25"/>
  <c r="DB220" i="25" s="1"/>
  <c r="DH220" i="25"/>
  <c r="DA220" i="25"/>
  <c r="DD220" i="25" s="1"/>
  <c r="DE220" i="25" s="1"/>
  <c r="DF220" i="25" s="1"/>
  <c r="DH40" i="25"/>
  <c r="DA40" i="25"/>
  <c r="DD40" i="25" s="1"/>
  <c r="DE40" i="25" s="1"/>
  <c r="DF40" i="25" s="1"/>
  <c r="DH228" i="25"/>
  <c r="DA228" i="25"/>
  <c r="DD228" i="25" s="1"/>
  <c r="DE228" i="25" s="1"/>
  <c r="DF228" i="25" s="1"/>
  <c r="DL278" i="25"/>
  <c r="DS278" i="25"/>
  <c r="DL210" i="25"/>
  <c r="FD210" i="25"/>
  <c r="CY267" i="25"/>
  <c r="CZ267" i="25"/>
  <c r="CY218" i="25"/>
  <c r="CZ218" i="25"/>
  <c r="DL158" i="25"/>
  <c r="DS158" i="25"/>
  <c r="FD158" i="25"/>
  <c r="CZ203" i="25"/>
  <c r="CY203" i="25"/>
  <c r="DS297" i="25"/>
  <c r="DL248" i="25"/>
  <c r="DS248" i="25"/>
  <c r="DL162" i="25"/>
  <c r="DS162" i="25"/>
  <c r="FD162" i="25"/>
  <c r="DS53" i="25"/>
  <c r="FD53" i="25"/>
  <c r="DL53" i="25"/>
  <c r="DS80" i="25"/>
  <c r="FD80" i="25"/>
  <c r="DL80" i="25"/>
  <c r="CY10" i="25"/>
  <c r="CZ10" i="25"/>
  <c r="CY116" i="25"/>
  <c r="CZ116" i="25"/>
  <c r="DL97" i="25"/>
  <c r="FD97" i="25"/>
  <c r="DL83" i="25"/>
  <c r="FD83" i="25"/>
  <c r="CY113" i="25"/>
  <c r="CZ113" i="25"/>
  <c r="CY288" i="25"/>
  <c r="CZ288" i="25"/>
  <c r="DS191" i="25"/>
  <c r="FD191" i="25"/>
  <c r="DL191" i="25"/>
  <c r="CY118" i="25"/>
  <c r="CZ118" i="25"/>
  <c r="CZ174" i="25"/>
  <c r="CY174" i="25"/>
  <c r="CY133" i="25"/>
  <c r="CZ133" i="25"/>
  <c r="DA111" i="25"/>
  <c r="DD111" i="25" s="1"/>
  <c r="DE111" i="25" s="1"/>
  <c r="DF111" i="25" s="1"/>
  <c r="DH111" i="25"/>
  <c r="DH70" i="25"/>
  <c r="DA70" i="25"/>
  <c r="DD70" i="25" s="1"/>
  <c r="DE70" i="25" s="1"/>
  <c r="DF70" i="25" s="1"/>
  <c r="DA295" i="25"/>
  <c r="DD295" i="25" s="1"/>
  <c r="DE295" i="25" s="1"/>
  <c r="DF295" i="25" s="1"/>
  <c r="DH295" i="25"/>
  <c r="DH44" i="25"/>
  <c r="DA44" i="25"/>
  <c r="DD44" i="25" s="1"/>
  <c r="DE44" i="25" s="1"/>
  <c r="DF44" i="25" s="1"/>
  <c r="DH37" i="25"/>
  <c r="DA37" i="25"/>
  <c r="DD37" i="25" s="1"/>
  <c r="DE37" i="25" s="1"/>
  <c r="DF37" i="25" s="1"/>
  <c r="DH100" i="25"/>
  <c r="DA100" i="25"/>
  <c r="DD100" i="25" s="1"/>
  <c r="DE100" i="25" s="1"/>
  <c r="DF100" i="25" s="1"/>
  <c r="DL186" i="25"/>
  <c r="FD186" i="25"/>
  <c r="DS186" i="25"/>
  <c r="CZ231" i="25"/>
  <c r="CY231" i="25"/>
  <c r="CZ166" i="25"/>
  <c r="CY166" i="25"/>
  <c r="DL204" i="25"/>
  <c r="FD204" i="25"/>
  <c r="DL310" i="25"/>
  <c r="DS310" i="25"/>
  <c r="CY261" i="25"/>
  <c r="CZ261" i="25"/>
  <c r="DL165" i="25"/>
  <c r="DS165" i="25"/>
  <c r="FD165" i="25"/>
  <c r="CY282" i="25"/>
  <c r="CZ282" i="25"/>
  <c r="CZ124" i="25"/>
  <c r="CY124" i="25"/>
  <c r="DL135" i="25"/>
  <c r="FD135" i="25"/>
  <c r="DS135" i="25"/>
  <c r="CY36" i="25"/>
  <c r="CZ36" i="25"/>
  <c r="DS61" i="25"/>
  <c r="DL61" i="25"/>
  <c r="FD61" i="25"/>
  <c r="DL315" i="25"/>
  <c r="DS315" i="25"/>
  <c r="DH262" i="25"/>
  <c r="DA262" i="25"/>
  <c r="DD262" i="25" s="1"/>
  <c r="DE262" i="25" s="1"/>
  <c r="DF262" i="25" s="1"/>
  <c r="DA294" i="25"/>
  <c r="DD294" i="25" s="1"/>
  <c r="DE294" i="25" s="1"/>
  <c r="DF294" i="25" s="1"/>
  <c r="DH294" i="25"/>
  <c r="DA254" i="25"/>
  <c r="DD254" i="25" s="1"/>
  <c r="DE254" i="25" s="1"/>
  <c r="DF254" i="25" s="1"/>
  <c r="DH254" i="25"/>
  <c r="DH308" i="25"/>
  <c r="DA308" i="25"/>
  <c r="DD308" i="25" s="1"/>
  <c r="DE308" i="25" s="1"/>
  <c r="DF308" i="25" s="1"/>
  <c r="DS178" i="25"/>
  <c r="FD178" i="25"/>
  <c r="DL178" i="25"/>
  <c r="DL267" i="25"/>
  <c r="DS267" i="25"/>
  <c r="CY297" i="25"/>
  <c r="CZ297" i="25"/>
  <c r="FD10" i="25"/>
  <c r="DS10" i="25"/>
  <c r="DL10" i="25"/>
  <c r="DA95" i="25"/>
  <c r="DD95" i="25" s="1"/>
  <c r="DE95" i="25" s="1"/>
  <c r="DF95" i="25" s="1"/>
  <c r="DH95" i="25"/>
  <c r="DH23" i="25"/>
  <c r="DA23" i="25"/>
  <c r="DD23" i="25" s="1"/>
  <c r="DE23" i="25" s="1"/>
  <c r="DF23" i="25" s="1"/>
  <c r="DL152" i="25"/>
  <c r="FD152" i="25"/>
  <c r="DS152" i="25"/>
  <c r="DL288" i="25"/>
  <c r="DS288" i="25"/>
  <c r="FD102" i="25"/>
  <c r="DL102" i="25"/>
  <c r="DA266" i="25"/>
  <c r="DD266" i="25" s="1"/>
  <c r="DE266" i="25" s="1"/>
  <c r="DF266" i="25" s="1"/>
  <c r="DH266" i="25"/>
  <c r="CZ157" i="25"/>
  <c r="DB157" i="25" s="1"/>
  <c r="DH157" i="25"/>
  <c r="DA157" i="25"/>
  <c r="DD157" i="25" s="1"/>
  <c r="DE157" i="25" s="1"/>
  <c r="DF157" i="25" s="1"/>
  <c r="CZ91" i="25"/>
  <c r="CY91" i="25"/>
  <c r="DL16" i="25"/>
  <c r="DS16" i="25"/>
  <c r="FD16" i="25"/>
  <c r="CY240" i="25"/>
  <c r="CZ240" i="25"/>
  <c r="DH38" i="25"/>
  <c r="DA38" i="25"/>
  <c r="DD38" i="25" s="1"/>
  <c r="DE38" i="25" s="1"/>
  <c r="DF38" i="25" s="1"/>
  <c r="DA53" i="25"/>
  <c r="DD53" i="25" s="1"/>
  <c r="DE53" i="25" s="1"/>
  <c r="DF53" i="25" s="1"/>
  <c r="DH53" i="25"/>
  <c r="DH29" i="25"/>
  <c r="DA29" i="25"/>
  <c r="DD29" i="25" s="1"/>
  <c r="DE29" i="25" s="1"/>
  <c r="DF29" i="25" s="1"/>
  <c r="DA248" i="25"/>
  <c r="DD248" i="25" s="1"/>
  <c r="DE248" i="25" s="1"/>
  <c r="DF248" i="25" s="1"/>
  <c r="DH248" i="25"/>
  <c r="CY202" i="25"/>
  <c r="CZ202" i="25"/>
  <c r="DL222" i="25"/>
  <c r="DS222" i="25"/>
  <c r="DL94" i="25"/>
  <c r="FD94" i="25"/>
  <c r="CY50" i="25"/>
  <c r="CZ50" i="25"/>
  <c r="CZ111" i="25"/>
  <c r="CY111" i="25"/>
  <c r="DS133" i="25"/>
  <c r="DL133" i="25"/>
  <c r="FD133" i="25"/>
  <c r="DH141" i="25"/>
  <c r="DA141" i="25"/>
  <c r="DD141" i="25" s="1"/>
  <c r="DE141" i="25" s="1"/>
  <c r="DF141" i="25" s="1"/>
  <c r="DL147" i="25"/>
  <c r="DS147" i="25"/>
  <c r="FD198" i="25"/>
  <c r="DL198" i="25"/>
  <c r="FD149" i="25"/>
  <c r="DL149" i="25"/>
  <c r="DS149" i="25"/>
  <c r="DS247" i="25"/>
  <c r="CY193" i="25"/>
  <c r="CZ193" i="25"/>
  <c r="DL209" i="25"/>
  <c r="FD209" i="25"/>
  <c r="CY122" i="25"/>
  <c r="CZ122" i="25"/>
  <c r="CZ142" i="25"/>
  <c r="CY142" i="25"/>
  <c r="CY46" i="25"/>
  <c r="CZ46" i="25"/>
  <c r="DS115" i="25"/>
  <c r="DL115" i="25"/>
  <c r="FD115" i="25"/>
  <c r="CY105" i="25"/>
  <c r="CZ105" i="25"/>
  <c r="FD30" i="25"/>
  <c r="DL30" i="25"/>
  <c r="DS30" i="25"/>
  <c r="CY114" i="25"/>
  <c r="CZ114" i="25"/>
  <c r="CZ23" i="25"/>
  <c r="CY23" i="25"/>
  <c r="DH268" i="25"/>
  <c r="DA268" i="25"/>
  <c r="DD268" i="25" s="1"/>
  <c r="DE268" i="25" s="1"/>
  <c r="DF268" i="25" s="1"/>
  <c r="DH43" i="25"/>
  <c r="DA43" i="25"/>
  <c r="DD43" i="25" s="1"/>
  <c r="DE43" i="25" s="1"/>
  <c r="DF43" i="25" s="1"/>
  <c r="DH134" i="25"/>
  <c r="DA134" i="25"/>
  <c r="DD134" i="25" s="1"/>
  <c r="DE134" i="25" s="1"/>
  <c r="DF134" i="25" s="1"/>
  <c r="DA316" i="25"/>
  <c r="DD316" i="25" s="1"/>
  <c r="DE316" i="25" s="1"/>
  <c r="DF316" i="25" s="1"/>
  <c r="DH316" i="25"/>
  <c r="CZ251" i="25"/>
  <c r="CY251" i="25"/>
  <c r="CZ95" i="25"/>
  <c r="CY95" i="25"/>
  <c r="FD92" i="25"/>
  <c r="DL92" i="25"/>
  <c r="DL28" i="25"/>
  <c r="DS28" i="25"/>
  <c r="CZ9" i="25"/>
  <c r="CY9" i="25"/>
  <c r="DS29" i="25"/>
  <c r="FD29" i="25"/>
  <c r="DL29" i="25"/>
  <c r="CY24" i="25"/>
  <c r="CZ24" i="25"/>
  <c r="CZ269" i="25"/>
  <c r="CY269" i="25"/>
  <c r="DA208" i="25"/>
  <c r="DD208" i="25" s="1"/>
  <c r="DE208" i="25" s="1"/>
  <c r="DF208" i="25" s="1"/>
  <c r="DH208" i="25"/>
  <c r="DH170" i="25"/>
  <c r="DA170" i="25"/>
  <c r="DD170" i="25" s="1"/>
  <c r="DE170" i="25" s="1"/>
  <c r="DF170" i="25" s="1"/>
  <c r="DA224" i="25"/>
  <c r="DD224" i="25" s="1"/>
  <c r="DE224" i="25" s="1"/>
  <c r="DF224" i="25" s="1"/>
  <c r="DH224" i="25"/>
  <c r="DH90" i="25"/>
  <c r="DA90" i="25"/>
  <c r="DD90" i="25" s="1"/>
  <c r="DE90" i="25" s="1"/>
  <c r="DF90" i="25" s="1"/>
  <c r="CY307" i="25"/>
  <c r="CZ307" i="25"/>
  <c r="CZ188" i="25"/>
  <c r="CY188" i="25"/>
  <c r="CY14" i="25"/>
  <c r="CZ14" i="25"/>
  <c r="CY37" i="25"/>
  <c r="CZ37" i="25"/>
  <c r="DS128" i="25"/>
  <c r="DL128" i="25"/>
  <c r="FD128" i="25"/>
  <c r="DS64" i="25"/>
  <c r="DL64" i="25"/>
  <c r="FD64" i="25"/>
  <c r="CY68" i="25"/>
  <c r="CZ68" i="25"/>
  <c r="DS305" i="25"/>
  <c r="DL305" i="25"/>
  <c r="DA178" i="25"/>
  <c r="DD178" i="25" s="1"/>
  <c r="DE178" i="25" s="1"/>
  <c r="DF178" i="25" s="1"/>
  <c r="DH178" i="25"/>
  <c r="DH123" i="25"/>
  <c r="DA123" i="25"/>
  <c r="DD123" i="25" s="1"/>
  <c r="DE123" i="25" s="1"/>
  <c r="DF123" i="25" s="1"/>
  <c r="DH54" i="25"/>
  <c r="DA54" i="25"/>
  <c r="DD54" i="25" s="1"/>
  <c r="DE54" i="25" s="1"/>
  <c r="DF54" i="25" s="1"/>
  <c r="DA296" i="25"/>
  <c r="DD296" i="25" s="1"/>
  <c r="DE296" i="25" s="1"/>
  <c r="DF296" i="25" s="1"/>
  <c r="DH296" i="25"/>
  <c r="DA189" i="25"/>
  <c r="DD189" i="25" s="1"/>
  <c r="DE189" i="25" s="1"/>
  <c r="DF189" i="25" s="1"/>
  <c r="DH189" i="25"/>
  <c r="DH225" i="25"/>
  <c r="DA225" i="25"/>
  <c r="DD225" i="25" s="1"/>
  <c r="DE225" i="25" s="1"/>
  <c r="DF225" i="25" s="1"/>
  <c r="DS306" i="25"/>
  <c r="DL306" i="25"/>
  <c r="CY235" i="25"/>
  <c r="CZ235" i="25"/>
  <c r="CY194" i="25"/>
  <c r="CZ194" i="25"/>
  <c r="DS180" i="25"/>
  <c r="FD180" i="25"/>
  <c r="DL180" i="25"/>
  <c r="CY237" i="25"/>
  <c r="CZ237" i="25"/>
  <c r="DL238" i="25"/>
  <c r="DS238" i="25"/>
  <c r="CY148" i="25"/>
  <c r="CZ148" i="25"/>
  <c r="DL85" i="25"/>
  <c r="FD85" i="25"/>
  <c r="DS85" i="25"/>
  <c r="DS125" i="25"/>
  <c r="FD125" i="25"/>
  <c r="DL125" i="25"/>
  <c r="CY33" i="25"/>
  <c r="CZ33" i="25"/>
  <c r="DS119" i="25"/>
  <c r="FD119" i="25"/>
  <c r="DL119" i="25"/>
  <c r="CY117" i="25"/>
  <c r="CZ117" i="25"/>
  <c r="CY258" i="25"/>
  <c r="CZ258" i="25"/>
  <c r="CY41" i="25"/>
  <c r="CZ41" i="25"/>
  <c r="CY141" i="25"/>
  <c r="CZ141" i="25"/>
  <c r="CZ98" i="25"/>
  <c r="CY98" i="25"/>
  <c r="DA11" i="25"/>
  <c r="DD11" i="25" s="1"/>
  <c r="DE11" i="25" s="1"/>
  <c r="DF11" i="25" s="1"/>
  <c r="DH11" i="25"/>
  <c r="DA256" i="25"/>
  <c r="DD256" i="25" s="1"/>
  <c r="DE256" i="25" s="1"/>
  <c r="DF256" i="25" s="1"/>
  <c r="DH256" i="25"/>
  <c r="DH279" i="25"/>
  <c r="DA279" i="25"/>
  <c r="DD279" i="25" s="1"/>
  <c r="DE279" i="25" s="1"/>
  <c r="DF279" i="25" s="1"/>
  <c r="DA6" i="25"/>
  <c r="DD6" i="25" s="1"/>
  <c r="DE6" i="25" s="1"/>
  <c r="DF6" i="25" s="1"/>
  <c r="DM6" i="25" s="1"/>
  <c r="DH6" i="25"/>
  <c r="CZ6" i="25"/>
  <c r="DB6" i="25" s="1"/>
  <c r="DH121" i="25"/>
  <c r="DA121" i="25"/>
  <c r="DD121" i="25" s="1"/>
  <c r="DE121" i="25" s="1"/>
  <c r="DF121" i="25" s="1"/>
  <c r="DH305" i="25"/>
  <c r="DA305" i="25"/>
  <c r="DD305" i="25" s="1"/>
  <c r="DE305" i="25" s="1"/>
  <c r="DF305" i="25" s="1"/>
  <c r="DA307" i="25"/>
  <c r="DD307" i="25" s="1"/>
  <c r="DE307" i="25" s="1"/>
  <c r="DF307" i="25" s="1"/>
  <c r="DH307" i="25"/>
  <c r="DL247" i="25"/>
  <c r="DL172" i="25"/>
  <c r="DS172" i="25"/>
  <c r="FD172" i="25"/>
  <c r="CZ209" i="25"/>
  <c r="CY209" i="25"/>
  <c r="CY78" i="25"/>
  <c r="CZ78" i="25"/>
  <c r="CZ257" i="25"/>
  <c r="CY257" i="25"/>
  <c r="DS46" i="25"/>
  <c r="DL46" i="25"/>
  <c r="FD46" i="25"/>
  <c r="DL104" i="25"/>
  <c r="FD104" i="25"/>
  <c r="CY39" i="25"/>
  <c r="CZ39" i="25"/>
  <c r="DA201" i="25"/>
  <c r="DD201" i="25" s="1"/>
  <c r="DE201" i="25" s="1"/>
  <c r="DF201" i="25" s="1"/>
  <c r="DH201" i="25"/>
  <c r="DA131" i="25"/>
  <c r="DD131" i="25" s="1"/>
  <c r="DE131" i="25" s="1"/>
  <c r="DF131" i="25" s="1"/>
  <c r="DH131" i="25"/>
  <c r="DH119" i="25"/>
  <c r="DA119" i="25"/>
  <c r="DD119" i="25" s="1"/>
  <c r="DE119" i="25" s="1"/>
  <c r="DF119" i="25" s="1"/>
  <c r="DH89" i="25"/>
  <c r="DA89" i="25"/>
  <c r="DD89" i="25" s="1"/>
  <c r="DE89" i="25" s="1"/>
  <c r="DF89" i="25" s="1"/>
  <c r="DH153" i="25"/>
  <c r="DA153" i="25"/>
  <c r="DD153" i="25" s="1"/>
  <c r="DE153" i="25" s="1"/>
  <c r="DF153" i="25" s="1"/>
  <c r="CY197" i="25"/>
  <c r="CZ197" i="25"/>
  <c r="CZ309" i="25"/>
  <c r="CY309" i="25"/>
  <c r="DS251" i="25"/>
  <c r="DL251" i="25"/>
  <c r="DL314" i="25"/>
  <c r="DS314" i="25"/>
  <c r="CY140" i="25"/>
  <c r="CZ140" i="25"/>
  <c r="CY28" i="25"/>
  <c r="CZ28" i="25"/>
  <c r="DS42" i="25"/>
  <c r="FD42" i="25"/>
  <c r="DL42" i="25"/>
  <c r="DL225" i="25"/>
  <c r="DA128" i="25"/>
  <c r="DD128" i="25" s="1"/>
  <c r="DE128" i="25" s="1"/>
  <c r="DF128" i="25" s="1"/>
  <c r="DH128" i="25"/>
  <c r="DH46" i="25"/>
  <c r="DA46" i="25"/>
  <c r="DD46" i="25" s="1"/>
  <c r="DE46" i="25" s="1"/>
  <c r="DF46" i="25" s="1"/>
  <c r="DH135" i="25"/>
  <c r="DA135" i="25"/>
  <c r="DD135" i="25" s="1"/>
  <c r="DE135" i="25" s="1"/>
  <c r="DF135" i="25" s="1"/>
  <c r="DH263" i="25"/>
  <c r="DA263" i="25"/>
  <c r="DD263" i="25" s="1"/>
  <c r="DE263" i="25" s="1"/>
  <c r="DF263" i="25" s="1"/>
  <c r="DA310" i="25"/>
  <c r="DD310" i="25" s="1"/>
  <c r="DE310" i="25" s="1"/>
  <c r="DF310" i="25" s="1"/>
  <c r="DH310" i="25"/>
  <c r="DH36" i="25"/>
  <c r="DA36" i="25"/>
  <c r="DD36" i="25" s="1"/>
  <c r="DE36" i="25" s="1"/>
  <c r="DF36" i="25" s="1"/>
  <c r="DH152" i="25"/>
  <c r="DA152" i="25"/>
  <c r="DD152" i="25" s="1"/>
  <c r="DE152" i="25" s="1"/>
  <c r="DF152" i="25" s="1"/>
  <c r="CZ250" i="25"/>
  <c r="CY250" i="25"/>
  <c r="CY156" i="25"/>
  <c r="CZ156" i="25"/>
  <c r="CY280" i="25"/>
  <c r="CZ280" i="25"/>
  <c r="FD188" i="25"/>
  <c r="DS188" i="25"/>
  <c r="DL188" i="25"/>
  <c r="CY285" i="25"/>
  <c r="CZ285" i="25"/>
  <c r="CZ233" i="25"/>
  <c r="CY233" i="25"/>
  <c r="DL153" i="25"/>
  <c r="FD153" i="25"/>
  <c r="DS153" i="25"/>
  <c r="CY151" i="25"/>
  <c r="CZ151" i="25"/>
  <c r="DL86" i="25"/>
  <c r="DS86" i="25"/>
  <c r="FD86" i="25"/>
  <c r="CZ34" i="25"/>
  <c r="CY34" i="25"/>
  <c r="CY87" i="25"/>
  <c r="CZ87" i="25"/>
  <c r="DS277" i="25"/>
  <c r="DL277" i="25"/>
  <c r="CY90" i="25"/>
  <c r="CZ90" i="25"/>
  <c r="CY266" i="25"/>
  <c r="CZ266" i="25"/>
  <c r="CZ27" i="25"/>
  <c r="CY27" i="25"/>
  <c r="DL37" i="25"/>
  <c r="DS37" i="25"/>
  <c r="FD37" i="25"/>
  <c r="DH250" i="25"/>
  <c r="DA250" i="25"/>
  <c r="DD250" i="25" s="1"/>
  <c r="DE250" i="25" s="1"/>
  <c r="DF250" i="25" s="1"/>
  <c r="CZ179" i="25"/>
  <c r="CY179" i="25"/>
  <c r="DL232" i="25"/>
  <c r="DS232" i="25"/>
  <c r="CZ305" i="25"/>
  <c r="CY305" i="25"/>
  <c r="DA49" i="25"/>
  <c r="DD49" i="25" s="1"/>
  <c r="DE49" i="25" s="1"/>
  <c r="DF49" i="25" s="1"/>
  <c r="DH49" i="25"/>
  <c r="DH253" i="25"/>
  <c r="DA253" i="25"/>
  <c r="DD253" i="25" s="1"/>
  <c r="DE253" i="25" s="1"/>
  <c r="DF253" i="25" s="1"/>
  <c r="DA285" i="25"/>
  <c r="DD285" i="25" s="1"/>
  <c r="DE285" i="25" s="1"/>
  <c r="DF285" i="25" s="1"/>
  <c r="DH285" i="25"/>
  <c r="DH33" i="25"/>
  <c r="DA33" i="25"/>
  <c r="DD33" i="25" s="1"/>
  <c r="DE33" i="25" s="1"/>
  <c r="DF33" i="25" s="1"/>
  <c r="DH12" i="25"/>
  <c r="DA12" i="25"/>
  <c r="DD12" i="25" s="1"/>
  <c r="DE12" i="25" s="1"/>
  <c r="DF12" i="25" s="1"/>
  <c r="DL294" i="25"/>
  <c r="DS294" i="25"/>
  <c r="DL237" i="25"/>
  <c r="DS237" i="25"/>
  <c r="CY143" i="25"/>
  <c r="CZ143" i="25"/>
  <c r="CY79" i="25"/>
  <c r="CZ79" i="25"/>
  <c r="CY74" i="25"/>
  <c r="CZ74" i="25"/>
  <c r="DL262" i="25"/>
  <c r="DS262" i="25"/>
  <c r="DS22" i="25"/>
  <c r="DL22" i="25"/>
  <c r="FD22" i="25"/>
  <c r="DL15" i="25"/>
  <c r="FD15" i="25"/>
  <c r="DS15" i="25"/>
  <c r="DL8" i="25"/>
  <c r="FD8" i="25"/>
  <c r="DS8" i="25"/>
  <c r="CY187" i="25"/>
  <c r="CZ187" i="25"/>
  <c r="CZ301" i="25"/>
  <c r="CY301" i="25"/>
  <c r="DL296" i="25"/>
  <c r="DS296" i="25"/>
  <c r="DL229" i="25"/>
  <c r="DS229" i="25"/>
  <c r="DL159" i="25"/>
  <c r="DS159" i="25"/>
  <c r="FD159" i="25"/>
  <c r="DS293" i="25"/>
  <c r="DL52" i="25"/>
  <c r="DS52" i="25"/>
  <c r="FD52" i="25"/>
  <c r="FD75" i="25"/>
  <c r="DS75" i="25"/>
  <c r="DL75" i="25"/>
  <c r="DS258" i="25"/>
  <c r="DL258" i="25"/>
  <c r="DL111" i="25"/>
  <c r="DS111" i="25"/>
  <c r="FD111" i="25"/>
  <c r="DH30" i="25"/>
  <c r="DA30" i="25"/>
  <c r="DD30" i="25" s="1"/>
  <c r="DE30" i="25" s="1"/>
  <c r="DF30" i="25" s="1"/>
  <c r="CZ137" i="25"/>
  <c r="CY137" i="25"/>
  <c r="DA130" i="25"/>
  <c r="DD130" i="25" s="1"/>
  <c r="DE130" i="25" s="1"/>
  <c r="DF130" i="25" s="1"/>
  <c r="DH130" i="25"/>
  <c r="DH149" i="25"/>
  <c r="DA149" i="25"/>
  <c r="DD149" i="25" s="1"/>
  <c r="DE149" i="25" s="1"/>
  <c r="DF149" i="25" s="1"/>
  <c r="CZ66" i="25"/>
  <c r="DB66" i="25" s="1"/>
  <c r="DA66" i="25"/>
  <c r="DD66" i="25" s="1"/>
  <c r="DE66" i="25" s="1"/>
  <c r="DF66" i="25" s="1"/>
  <c r="DH66" i="25"/>
  <c r="DH312" i="25"/>
  <c r="DA312" i="25"/>
  <c r="DD312" i="25" s="1"/>
  <c r="DE312" i="25" s="1"/>
  <c r="DF312" i="25" s="1"/>
  <c r="DH86" i="25"/>
  <c r="DA86" i="25"/>
  <c r="DD86" i="25" s="1"/>
  <c r="DE86" i="25" s="1"/>
  <c r="DF86" i="25" s="1"/>
  <c r="DH301" i="25"/>
  <c r="DA301" i="25"/>
  <c r="DD301" i="25" s="1"/>
  <c r="DE301" i="25" s="1"/>
  <c r="DF301" i="25" s="1"/>
  <c r="CY190" i="25"/>
  <c r="CZ190" i="25"/>
  <c r="CY308" i="25"/>
  <c r="CZ308" i="25"/>
  <c r="FD193" i="25"/>
  <c r="DL193" i="25"/>
  <c r="DL257" i="25"/>
  <c r="DS257" i="25"/>
  <c r="DS122" i="25"/>
  <c r="FD122" i="25"/>
  <c r="DL122" i="25"/>
  <c r="CZ93" i="25"/>
  <c r="CY93" i="25"/>
  <c r="CY115" i="25"/>
  <c r="CZ115" i="25"/>
  <c r="CY13" i="25"/>
  <c r="CZ13" i="25"/>
  <c r="FD114" i="25"/>
  <c r="DS114" i="25"/>
  <c r="DL114" i="25"/>
  <c r="DS184" i="25"/>
  <c r="DL184" i="25"/>
  <c r="FD184" i="25"/>
  <c r="CY302" i="25"/>
  <c r="CZ302" i="25"/>
  <c r="CY73" i="25"/>
  <c r="CZ73" i="25"/>
  <c r="CY49" i="25"/>
  <c r="CZ49" i="25"/>
  <c r="DH271" i="25"/>
  <c r="DA271" i="25"/>
  <c r="DD271" i="25" s="1"/>
  <c r="DE271" i="25" s="1"/>
  <c r="DF271" i="25" s="1"/>
  <c r="DH22" i="25"/>
  <c r="DA22" i="25"/>
  <c r="DD22" i="25" s="1"/>
  <c r="DE22" i="25" s="1"/>
  <c r="DF22" i="25" s="1"/>
  <c r="DH72" i="25"/>
  <c r="DA72" i="25"/>
  <c r="DD72" i="25" s="1"/>
  <c r="DE72" i="25" s="1"/>
  <c r="DF72" i="25" s="1"/>
  <c r="DA193" i="25"/>
  <c r="DD193" i="25" s="1"/>
  <c r="DE193" i="25" s="1"/>
  <c r="DF193" i="25" s="1"/>
  <c r="DH193" i="25"/>
  <c r="DA240" i="25"/>
  <c r="DD240" i="25" s="1"/>
  <c r="DE240" i="25" s="1"/>
  <c r="DF240" i="25" s="1"/>
  <c r="DH240" i="25"/>
  <c r="DH150" i="25"/>
  <c r="DA150" i="25"/>
  <c r="DD150" i="25" s="1"/>
  <c r="DE150" i="25" s="1"/>
  <c r="DF150" i="25" s="1"/>
  <c r="CZ256" i="25"/>
  <c r="CY256" i="25"/>
  <c r="FD197" i="25"/>
  <c r="DL197" i="25"/>
  <c r="DL309" i="25"/>
  <c r="DS309" i="25"/>
  <c r="FD182" i="25"/>
  <c r="DL182" i="25"/>
  <c r="DS182" i="25"/>
  <c r="CZ239" i="25"/>
  <c r="CY239" i="25"/>
  <c r="CY171" i="25"/>
  <c r="CZ171" i="25"/>
  <c r="DS173" i="25"/>
  <c r="FD173" i="25"/>
  <c r="DL173" i="25"/>
  <c r="DS69" i="25"/>
  <c r="FD69" i="25"/>
  <c r="DL69" i="25"/>
  <c r="CZ139" i="25"/>
  <c r="CY139" i="25"/>
  <c r="DL95" i="25"/>
  <c r="CY92" i="25"/>
  <c r="CZ92" i="25"/>
  <c r="CY81" i="25"/>
  <c r="CZ81" i="25"/>
  <c r="DA96" i="25"/>
  <c r="DD96" i="25" s="1"/>
  <c r="DE96" i="25" s="1"/>
  <c r="DF96" i="25" s="1"/>
  <c r="DH96" i="25"/>
  <c r="DA127" i="25"/>
  <c r="DD127" i="25" s="1"/>
  <c r="DE127" i="25" s="1"/>
  <c r="DF127" i="25" s="1"/>
  <c r="DH127" i="25"/>
  <c r="CZ154" i="25"/>
  <c r="DB154" i="25" s="1"/>
  <c r="DH154" i="25"/>
  <c r="DA154" i="25"/>
  <c r="DD154" i="25" s="1"/>
  <c r="DE154" i="25" s="1"/>
  <c r="DF154" i="25" s="1"/>
  <c r="DL250" i="25"/>
  <c r="DS250" i="25"/>
  <c r="FD195" i="25"/>
  <c r="DL195" i="25"/>
  <c r="DL307" i="25"/>
  <c r="DS307" i="25"/>
  <c r="CZ243" i="25"/>
  <c r="CY243" i="25"/>
  <c r="DS285" i="25"/>
  <c r="DL285" i="25"/>
  <c r="DL151" i="25"/>
  <c r="DS151" i="25"/>
  <c r="FD151" i="25"/>
  <c r="CZ130" i="25"/>
  <c r="CY130" i="25"/>
  <c r="CY65" i="25"/>
  <c r="CZ65" i="25"/>
  <c r="CY277" i="25"/>
  <c r="CZ277" i="25"/>
  <c r="DL90" i="25"/>
  <c r="FD90" i="25"/>
  <c r="DS90" i="25"/>
  <c r="CZ38" i="25"/>
  <c r="CY38" i="25"/>
  <c r="DH145" i="25"/>
  <c r="DA145" i="25"/>
  <c r="DD145" i="25" s="1"/>
  <c r="DE145" i="25" s="1"/>
  <c r="DF145" i="25" s="1"/>
  <c r="DL154" i="25"/>
  <c r="DS154" i="25"/>
  <c r="DH258" i="25"/>
  <c r="DA258" i="25"/>
  <c r="DD258" i="25" s="1"/>
  <c r="DE258" i="25" s="1"/>
  <c r="DF258" i="25" s="1"/>
  <c r="DH125" i="25"/>
  <c r="DA125" i="25"/>
  <c r="DD125" i="25" s="1"/>
  <c r="DE125" i="25" s="1"/>
  <c r="DF125" i="25" s="1"/>
  <c r="DA197" i="25"/>
  <c r="DD197" i="25" s="1"/>
  <c r="DE197" i="25" s="1"/>
  <c r="DF197" i="25" s="1"/>
  <c r="DH197" i="25"/>
  <c r="CY180" i="25"/>
  <c r="CZ180" i="25"/>
  <c r="CZ294" i="25"/>
  <c r="CY294" i="25"/>
  <c r="DL161" i="25"/>
  <c r="DS161" i="25"/>
  <c r="FD161" i="25"/>
  <c r="DS148" i="25"/>
  <c r="DL148" i="25"/>
  <c r="FD148" i="25"/>
  <c r="CZ129" i="25"/>
  <c r="CY129" i="25"/>
  <c r="CZ125" i="25"/>
  <c r="CY125" i="25"/>
  <c r="CY119" i="25"/>
  <c r="CZ119" i="25"/>
  <c r="CZ43" i="25"/>
  <c r="CY43" i="25"/>
  <c r="DL157" i="25"/>
  <c r="DS157" i="25"/>
  <c r="FD157" i="25"/>
  <c r="CZ208" i="25"/>
  <c r="CY208" i="25"/>
  <c r="CY8" i="25"/>
  <c r="CZ8" i="25"/>
  <c r="CY20" i="25"/>
  <c r="CZ20" i="25"/>
  <c r="CZ219" i="25"/>
  <c r="CY219" i="25"/>
  <c r="DH26" i="25"/>
  <c r="DA26" i="25"/>
  <c r="DD26" i="25" s="1"/>
  <c r="DE26" i="25" s="1"/>
  <c r="DF26" i="25" s="1"/>
  <c r="DH282" i="25"/>
  <c r="DA282" i="25"/>
  <c r="DD282" i="25" s="1"/>
  <c r="DE282" i="25" s="1"/>
  <c r="DF282" i="25" s="1"/>
  <c r="DH290" i="25"/>
  <c r="DA290" i="25"/>
  <c r="DD290" i="25" s="1"/>
  <c r="DE290" i="25" s="1"/>
  <c r="DF290" i="25" s="1"/>
  <c r="CZ51" i="25"/>
  <c r="DB51" i="25" s="1"/>
  <c r="DA51" i="25"/>
  <c r="DD51" i="25" s="1"/>
  <c r="DE51" i="25" s="1"/>
  <c r="DF51" i="25" s="1"/>
  <c r="DH51" i="25"/>
  <c r="DH85" i="25"/>
  <c r="DA85" i="25"/>
  <c r="DD85" i="25" s="1"/>
  <c r="DE85" i="25" s="1"/>
  <c r="DF85" i="25" s="1"/>
  <c r="DH93" i="25"/>
  <c r="DA93" i="25"/>
  <c r="DD93" i="25" s="1"/>
  <c r="DE93" i="25" s="1"/>
  <c r="DF93" i="25" s="1"/>
  <c r="DL263" i="25"/>
  <c r="DS263" i="25"/>
  <c r="DL255" i="25"/>
  <c r="DL205" i="25"/>
  <c r="FD205" i="25"/>
  <c r="DS260" i="25"/>
  <c r="DL260" i="25"/>
  <c r="DL187" i="25"/>
  <c r="FD187" i="25"/>
  <c r="DS187" i="25"/>
  <c r="CY191" i="25"/>
  <c r="CZ191" i="25"/>
  <c r="CY296" i="25"/>
  <c r="CZ296" i="25"/>
  <c r="CZ293" i="25"/>
  <c r="CY293" i="25"/>
  <c r="CY123" i="25"/>
  <c r="CZ123" i="25"/>
  <c r="DL174" i="25"/>
  <c r="DS174" i="25"/>
  <c r="FD174" i="25"/>
  <c r="DL51" i="25"/>
  <c r="DS51" i="25"/>
  <c r="CZ75" i="25"/>
  <c r="CY75" i="25"/>
  <c r="DS141" i="25"/>
  <c r="FD141" i="25"/>
  <c r="DL141" i="25"/>
  <c r="CY77" i="25"/>
  <c r="CZ77" i="25"/>
  <c r="DL19" i="25"/>
  <c r="DS19" i="25"/>
  <c r="CY230" i="25"/>
  <c r="CZ230" i="25"/>
  <c r="DH247" i="25"/>
  <c r="DA247" i="25"/>
  <c r="DD247" i="25" s="1"/>
  <c r="DE247" i="25" s="1"/>
  <c r="DF247" i="25" s="1"/>
  <c r="DH18" i="25"/>
  <c r="DA18" i="25"/>
  <c r="DD18" i="25" s="1"/>
  <c r="DE18" i="25" s="1"/>
  <c r="DF18" i="25" s="1"/>
  <c r="DA68" i="25"/>
  <c r="DD68" i="25" s="1"/>
  <c r="DE68" i="25" s="1"/>
  <c r="DF68" i="25" s="1"/>
  <c r="DH68" i="25"/>
  <c r="DA298" i="25"/>
  <c r="DD298" i="25" s="1"/>
  <c r="DE298" i="25" s="1"/>
  <c r="DF298" i="25" s="1"/>
  <c r="DH298" i="25"/>
  <c r="CZ270" i="25"/>
  <c r="DB270" i="25" s="1"/>
  <c r="DA270" i="25"/>
  <c r="DD270" i="25" s="1"/>
  <c r="DE270" i="25" s="1"/>
  <c r="DF270" i="25" s="1"/>
  <c r="DH270" i="25"/>
  <c r="CY198" i="25"/>
  <c r="CZ198" i="25"/>
  <c r="CY246" i="25"/>
  <c r="CZ246" i="25"/>
  <c r="CZ292" i="25"/>
  <c r="CY292" i="25"/>
  <c r="DL308" i="25"/>
  <c r="DS308" i="25"/>
  <c r="DL78" i="25"/>
  <c r="FD78" i="25"/>
  <c r="DS78" i="25"/>
  <c r="DL142" i="25"/>
  <c r="DS142" i="25"/>
  <c r="FD142" i="25"/>
  <c r="CY45" i="25"/>
  <c r="CZ45" i="25"/>
  <c r="FD105" i="25"/>
  <c r="DL105" i="25"/>
  <c r="CZ30" i="25"/>
  <c r="CY30" i="25"/>
  <c r="DS13" i="25"/>
  <c r="CZ21" i="25"/>
  <c r="CY21" i="25"/>
  <c r="DH160" i="25"/>
  <c r="DA160" i="25"/>
  <c r="DD160" i="25" s="1"/>
  <c r="DE160" i="25" s="1"/>
  <c r="DF160" i="25" s="1"/>
  <c r="DL289" i="25"/>
  <c r="DS289" i="25"/>
  <c r="DL302" i="25"/>
  <c r="DS302" i="25"/>
  <c r="DA235" i="25"/>
  <c r="DD235" i="25" s="1"/>
  <c r="DE235" i="25" s="1"/>
  <c r="DF235" i="25" s="1"/>
  <c r="DH235" i="25"/>
  <c r="CZ300" i="25"/>
  <c r="DB300" i="25" s="1"/>
  <c r="DH300" i="25"/>
  <c r="DA300" i="25"/>
  <c r="DD300" i="25" s="1"/>
  <c r="DE300" i="25" s="1"/>
  <c r="DF300" i="25" s="1"/>
  <c r="DH39" i="25"/>
  <c r="DA39" i="25"/>
  <c r="DD39" i="25" s="1"/>
  <c r="DE39" i="25" s="1"/>
  <c r="DF39" i="25" s="1"/>
  <c r="DS256" i="25"/>
  <c r="DL256" i="25"/>
  <c r="DL239" i="25"/>
  <c r="DS239" i="25"/>
  <c r="DS171" i="25"/>
  <c r="DL171" i="25"/>
  <c r="FD171" i="25"/>
  <c r="CZ173" i="25"/>
  <c r="CY173" i="25"/>
  <c r="DL227" i="25"/>
  <c r="DS227" i="25"/>
  <c r="CY121" i="25"/>
  <c r="CZ121" i="25"/>
  <c r="CY42" i="25"/>
  <c r="CZ42" i="25"/>
  <c r="FD28" i="25"/>
  <c r="FD44" i="25"/>
  <c r="DA185" i="25"/>
  <c r="DD185" i="25" s="1"/>
  <c r="DE185" i="25" s="1"/>
  <c r="DF185" i="25" s="1"/>
  <c r="DH185" i="25"/>
  <c r="DH293" i="25"/>
  <c r="DA293" i="25"/>
  <c r="DD293" i="25" s="1"/>
  <c r="DE293" i="25" s="1"/>
  <c r="DF293" i="25" s="1"/>
  <c r="DH163" i="25"/>
  <c r="DA163" i="25"/>
  <c r="DD163" i="25" s="1"/>
  <c r="DE163" i="25" s="1"/>
  <c r="DF163" i="25" s="1"/>
  <c r="CY195" i="25"/>
  <c r="CZ195" i="25"/>
  <c r="CZ244" i="25"/>
  <c r="CY244" i="25"/>
  <c r="DS243" i="25"/>
  <c r="DL280" i="25"/>
  <c r="DS280" i="25"/>
  <c r="FD65" i="25"/>
  <c r="DL65" i="25"/>
  <c r="DS65" i="25"/>
  <c r="FD87" i="25"/>
  <c r="DL87" i="25"/>
  <c r="DL55" i="25"/>
  <c r="DS55" i="25"/>
  <c r="DL82" i="25"/>
  <c r="FD82" i="25"/>
  <c r="DS82" i="25"/>
  <c r="DL27" i="25"/>
  <c r="DS27" i="25"/>
  <c r="DS175" i="25"/>
  <c r="DL175" i="25"/>
  <c r="FD175" i="25"/>
  <c r="DS17" i="25"/>
  <c r="DA177" i="25"/>
  <c r="DD177" i="25" s="1"/>
  <c r="DE177" i="25" s="1"/>
  <c r="DF177" i="25" s="1"/>
  <c r="DH177" i="25"/>
  <c r="DH55" i="25"/>
  <c r="DA55" i="25"/>
  <c r="DD55" i="25" s="1"/>
  <c r="DE55" i="25" s="1"/>
  <c r="DF55" i="25" s="1"/>
  <c r="DL68" i="25"/>
  <c r="FD68" i="25"/>
  <c r="DS68" i="25"/>
  <c r="DH182" i="25"/>
  <c r="DA182" i="25"/>
  <c r="DD182" i="25" s="1"/>
  <c r="DE182" i="25" s="1"/>
  <c r="DF182" i="25" s="1"/>
  <c r="DH133" i="25"/>
  <c r="DA133" i="25"/>
  <c r="DD133" i="25" s="1"/>
  <c r="DE133" i="25" s="1"/>
  <c r="DF133" i="25" s="1"/>
  <c r="DH273" i="25"/>
  <c r="DA273" i="25"/>
  <c r="DD273" i="25" s="1"/>
  <c r="DE273" i="25" s="1"/>
  <c r="DF273" i="25" s="1"/>
  <c r="DS225" i="25"/>
  <c r="CZ63" i="25"/>
  <c r="DB63" i="25" s="1"/>
  <c r="DH63" i="25"/>
  <c r="DA63" i="25"/>
  <c r="DD63" i="25" s="1"/>
  <c r="DE63" i="25" s="1"/>
  <c r="DF63" i="25" s="1"/>
  <c r="DL226" i="25"/>
  <c r="DS226" i="25"/>
  <c r="FD143" i="25"/>
  <c r="DS143" i="25"/>
  <c r="DL143" i="25"/>
  <c r="DL89" i="25"/>
  <c r="DS89" i="25"/>
  <c r="FD89" i="25"/>
  <c r="CY59" i="25"/>
  <c r="CZ59" i="25"/>
  <c r="DL208" i="25"/>
  <c r="FD208" i="25"/>
  <c r="FD20" i="25"/>
  <c r="DL20" i="25"/>
  <c r="DS20" i="25"/>
  <c r="DA237" i="25"/>
  <c r="DD237" i="25" s="1"/>
  <c r="DE237" i="25" s="1"/>
  <c r="DF237" i="25" s="1"/>
  <c r="DH237" i="25"/>
  <c r="DH188" i="25"/>
  <c r="DA188" i="25"/>
  <c r="DD188" i="25" s="1"/>
  <c r="DE188" i="25" s="1"/>
  <c r="DF188" i="25" s="1"/>
  <c r="DH252" i="25"/>
  <c r="DA252" i="25"/>
  <c r="DD252" i="25" s="1"/>
  <c r="DE252" i="25" s="1"/>
  <c r="DF252" i="25" s="1"/>
  <c r="DH24" i="25"/>
  <c r="DA24" i="25"/>
  <c r="DD24" i="25" s="1"/>
  <c r="DE24" i="25" s="1"/>
  <c r="DF24" i="25" s="1"/>
  <c r="CY263" i="25"/>
  <c r="CZ263" i="25"/>
  <c r="DL207" i="25"/>
  <c r="FD207" i="25"/>
  <c r="CY255" i="25"/>
  <c r="CZ255" i="25"/>
  <c r="CZ260" i="25"/>
  <c r="CY260" i="25"/>
  <c r="DL301" i="25"/>
  <c r="DS301" i="25"/>
  <c r="CZ224" i="25"/>
  <c r="CY224" i="25"/>
  <c r="FD118" i="25"/>
  <c r="DS118" i="25"/>
  <c r="DL118" i="25"/>
  <c r="CZ94" i="25"/>
  <c r="CY94" i="25"/>
  <c r="CY72" i="25"/>
  <c r="CZ72" i="25"/>
  <c r="DH227" i="25"/>
  <c r="DA227" i="25"/>
  <c r="DD227" i="25" s="1"/>
  <c r="DE227" i="25" s="1"/>
  <c r="DF227" i="25" s="1"/>
  <c r="CY228" i="25"/>
  <c r="CZ228" i="25"/>
  <c r="DL230" i="25"/>
  <c r="DS230" i="25"/>
  <c r="DH209" i="25"/>
  <c r="DA209" i="25"/>
  <c r="DD209" i="25" s="1"/>
  <c r="DE209" i="25" s="1"/>
  <c r="DF209" i="25" s="1"/>
  <c r="DH184" i="25"/>
  <c r="DA184" i="25"/>
  <c r="DD184" i="25" s="1"/>
  <c r="DE184" i="25" s="1"/>
  <c r="DF184" i="25" s="1"/>
  <c r="DH148" i="25"/>
  <c r="DA148" i="25"/>
  <c r="DD148" i="25" s="1"/>
  <c r="DE148" i="25" s="1"/>
  <c r="DF148" i="25" s="1"/>
  <c r="DH161" i="25"/>
  <c r="DA161" i="25"/>
  <c r="DD161" i="25" s="1"/>
  <c r="DE161" i="25" s="1"/>
  <c r="DF161" i="25" s="1"/>
  <c r="DH218" i="25"/>
  <c r="DA218" i="25"/>
  <c r="DD218" i="25" s="1"/>
  <c r="DE218" i="25" s="1"/>
  <c r="DF218" i="25" s="1"/>
  <c r="DL183" i="25"/>
  <c r="FD183" i="25"/>
  <c r="DS183" i="25"/>
  <c r="CY170" i="25"/>
  <c r="CZ170" i="25"/>
  <c r="DS292" i="25"/>
  <c r="DL292" i="25"/>
  <c r="DL190" i="25"/>
  <c r="DS190" i="25"/>
  <c r="FD190" i="25"/>
  <c r="CY136" i="25"/>
  <c r="CZ136" i="25"/>
  <c r="DL13" i="25"/>
  <c r="FD13" i="25"/>
  <c r="DL23" i="25"/>
  <c r="FD23" i="25"/>
  <c r="DS23" i="25"/>
  <c r="DH181" i="25"/>
  <c r="DA181" i="25"/>
  <c r="DD181" i="25" s="1"/>
  <c r="DE181" i="25" s="1"/>
  <c r="DF181" i="25" s="1"/>
  <c r="CY272" i="25"/>
  <c r="CZ272" i="25"/>
  <c r="CZ289" i="25"/>
  <c r="CY289" i="25"/>
  <c r="DL39" i="25"/>
  <c r="FD39" i="25"/>
  <c r="DS39" i="25"/>
  <c r="DL73" i="25"/>
  <c r="DS73" i="25"/>
  <c r="FD73" i="25"/>
  <c r="DA129" i="25"/>
  <c r="DD129" i="25" s="1"/>
  <c r="DE129" i="25" s="1"/>
  <c r="DF129" i="25" s="1"/>
  <c r="DH129" i="25"/>
  <c r="DH137" i="25"/>
  <c r="DA137" i="25"/>
  <c r="DD137" i="25" s="1"/>
  <c r="DE137" i="25" s="1"/>
  <c r="DF137" i="25" s="1"/>
  <c r="DH48" i="25"/>
  <c r="DA48" i="25"/>
  <c r="DD48" i="25" s="1"/>
  <c r="DE48" i="25" s="1"/>
  <c r="DF48" i="25" s="1"/>
  <c r="DH52" i="25"/>
  <c r="DA52" i="25"/>
  <c r="DD52" i="25" s="1"/>
  <c r="DE52" i="25" s="1"/>
  <c r="DF52" i="25" s="1"/>
  <c r="CY290" i="25"/>
  <c r="CZ290" i="25"/>
  <c r="CY287" i="25"/>
  <c r="CZ287" i="25"/>
  <c r="FD140" i="25"/>
  <c r="DS140" i="25"/>
  <c r="DL140" i="25"/>
  <c r="CY227" i="25"/>
  <c r="CZ227" i="25"/>
  <c r="CY284" i="25"/>
  <c r="CZ284" i="25"/>
  <c r="FD9" i="25"/>
  <c r="DL9" i="25"/>
  <c r="DH171" i="25"/>
  <c r="DA171" i="25"/>
  <c r="DD171" i="25" s="1"/>
  <c r="DE171" i="25" s="1"/>
  <c r="DF171" i="25" s="1"/>
  <c r="DH126" i="25"/>
  <c r="DA126" i="25"/>
  <c r="DD126" i="25" s="1"/>
  <c r="DE126" i="25" s="1"/>
  <c r="DF126" i="25" s="1"/>
  <c r="DH13" i="25"/>
  <c r="DA13" i="25"/>
  <c r="DD13" i="25" s="1"/>
  <c r="DE13" i="25" s="1"/>
  <c r="DF13" i="25" s="1"/>
  <c r="DH17" i="25"/>
  <c r="DA17" i="25"/>
  <c r="DD17" i="25" s="1"/>
  <c r="DE17" i="25" s="1"/>
  <c r="DF17" i="25" s="1"/>
  <c r="DH278" i="25"/>
  <c r="DA278" i="25"/>
  <c r="DD278" i="25" s="1"/>
  <c r="DE278" i="25" s="1"/>
  <c r="DF278" i="25" s="1"/>
  <c r="DA281" i="25"/>
  <c r="DD281" i="25" s="1"/>
  <c r="DE281" i="25" s="1"/>
  <c r="DF281" i="25" s="1"/>
  <c r="DH281" i="25"/>
  <c r="CZ236" i="25"/>
  <c r="DB236" i="25" s="1"/>
  <c r="DH236" i="25"/>
  <c r="DA236" i="25"/>
  <c r="DD236" i="25" s="1"/>
  <c r="DE236" i="25" s="1"/>
  <c r="DF236" i="25" s="1"/>
  <c r="DH159" i="25"/>
  <c r="DA159" i="25"/>
  <c r="DD159" i="25" s="1"/>
  <c r="DE159" i="25" s="1"/>
  <c r="DF159" i="25" s="1"/>
  <c r="DL243" i="25"/>
  <c r="CY177" i="25"/>
  <c r="CZ177" i="25"/>
  <c r="CY100" i="25"/>
  <c r="CZ100" i="25"/>
  <c r="CY126" i="25"/>
  <c r="CZ126" i="25"/>
  <c r="CY17" i="25"/>
  <c r="CZ17" i="25"/>
  <c r="DS176" i="25"/>
  <c r="FD176" i="25"/>
  <c r="DL176" i="25"/>
  <c r="DH139" i="25"/>
  <c r="DA139" i="25"/>
  <c r="DD139" i="25" s="1"/>
  <c r="DE139" i="25" s="1"/>
  <c r="DF139" i="25" s="1"/>
  <c r="DH124" i="25"/>
  <c r="DA124" i="25"/>
  <c r="DD124" i="25" s="1"/>
  <c r="DE124" i="25" s="1"/>
  <c r="DF124" i="25" s="1"/>
  <c r="FD55" i="25"/>
  <c r="DA192" i="25"/>
  <c r="DD192" i="25" s="1"/>
  <c r="DE192" i="25" s="1"/>
  <c r="DF192" i="25" s="1"/>
  <c r="DH192" i="25"/>
  <c r="DA204" i="25"/>
  <c r="DD204" i="25" s="1"/>
  <c r="DE204" i="25" s="1"/>
  <c r="DF204" i="25" s="1"/>
  <c r="DH204" i="25"/>
  <c r="DH115" i="25"/>
  <c r="DA115" i="25"/>
  <c r="DD115" i="25" s="1"/>
  <c r="DE115" i="25" s="1"/>
  <c r="DF115" i="25" s="1"/>
  <c r="DH245" i="25"/>
  <c r="DA245" i="25"/>
  <c r="DD245" i="25" s="1"/>
  <c r="DE245" i="25" s="1"/>
  <c r="DF245" i="25" s="1"/>
  <c r="DH140" i="25"/>
  <c r="DA140" i="25"/>
  <c r="DD140" i="25" s="1"/>
  <c r="DE140" i="25" s="1"/>
  <c r="DF140" i="25" s="1"/>
  <c r="DH297" i="25"/>
  <c r="DA297" i="25"/>
  <c r="DD297" i="25" s="1"/>
  <c r="DE297" i="25" s="1"/>
  <c r="DF297" i="25" s="1"/>
  <c r="DH223" i="25"/>
  <c r="DA223" i="25"/>
  <c r="DD223" i="25" s="1"/>
  <c r="DE223" i="25" s="1"/>
  <c r="DF223" i="25" s="1"/>
  <c r="DH222" i="25"/>
  <c r="DA222" i="25"/>
  <c r="DD222" i="25" s="1"/>
  <c r="DE222" i="25" s="1"/>
  <c r="DF222" i="25" s="1"/>
  <c r="CZ241" i="25"/>
  <c r="CY241" i="25"/>
  <c r="CY146" i="25"/>
  <c r="CZ146" i="25"/>
  <c r="CY185" i="25"/>
  <c r="CZ185" i="25"/>
  <c r="CZ283" i="25"/>
  <c r="CY283" i="25"/>
  <c r="DS129" i="25"/>
  <c r="DL129" i="25"/>
  <c r="FD129" i="25"/>
  <c r="DL57" i="25"/>
  <c r="DS57" i="25"/>
  <c r="FD57" i="25"/>
  <c r="CZ145" i="25"/>
  <c r="CY145" i="25"/>
  <c r="DL33" i="25"/>
  <c r="FD33" i="25"/>
  <c r="DS33" i="25"/>
  <c r="CY22" i="25"/>
  <c r="CZ22" i="25"/>
  <c r="DS25" i="25"/>
  <c r="DA196" i="25"/>
  <c r="DD196" i="25" s="1"/>
  <c r="DE196" i="25" s="1"/>
  <c r="DF196" i="25" s="1"/>
  <c r="DH196" i="25"/>
  <c r="DA229" i="25"/>
  <c r="DD229" i="25" s="1"/>
  <c r="DE229" i="25" s="1"/>
  <c r="DF229" i="25" s="1"/>
  <c r="DH229" i="25"/>
  <c r="DH136" i="25"/>
  <c r="DA136" i="25"/>
  <c r="DD136" i="25" s="1"/>
  <c r="DE136" i="25" s="1"/>
  <c r="DF136" i="25" s="1"/>
  <c r="DA287" i="25"/>
  <c r="DD287" i="25" s="1"/>
  <c r="DE287" i="25" s="1"/>
  <c r="DF287" i="25" s="1"/>
  <c r="DH287" i="25"/>
  <c r="DA255" i="25"/>
  <c r="DD255" i="25" s="1"/>
  <c r="DE255" i="25" s="1"/>
  <c r="DF255" i="25" s="1"/>
  <c r="DH255" i="25"/>
  <c r="DH151" i="25"/>
  <c r="DA151" i="25"/>
  <c r="DD151" i="25" s="1"/>
  <c r="DE151" i="25" s="1"/>
  <c r="DF151" i="25" s="1"/>
  <c r="DA186" i="25"/>
  <c r="DD186" i="25" s="1"/>
  <c r="DE186" i="25" s="1"/>
  <c r="DF186" i="25" s="1"/>
  <c r="DH186" i="25"/>
  <c r="DH272" i="25"/>
  <c r="DA272" i="25"/>
  <c r="DD272" i="25" s="1"/>
  <c r="DE272" i="25" s="1"/>
  <c r="DF272" i="25" s="1"/>
  <c r="CY200" i="25"/>
  <c r="CZ200" i="25"/>
  <c r="CY147" i="25"/>
  <c r="CZ147" i="25"/>
  <c r="CY254" i="25"/>
  <c r="CZ254" i="25"/>
  <c r="CY253" i="25"/>
  <c r="CZ253" i="25"/>
  <c r="CZ183" i="25"/>
  <c r="CY183" i="25"/>
  <c r="DL246" i="25"/>
  <c r="DS246" i="25"/>
  <c r="FD70" i="25"/>
  <c r="DS70" i="25"/>
  <c r="DL70" i="25"/>
  <c r="DL21" i="25"/>
  <c r="FD21" i="25"/>
  <c r="DS21" i="25"/>
  <c r="DS66" i="25"/>
  <c r="DL66" i="25"/>
  <c r="FD66" i="25"/>
  <c r="CZ184" i="25"/>
  <c r="CY184" i="25"/>
  <c r="FD199" i="25"/>
  <c r="DL199" i="25"/>
  <c r="DH169" i="25"/>
  <c r="DA169" i="25"/>
  <c r="DD169" i="25" s="1"/>
  <c r="DE169" i="25" s="1"/>
  <c r="DF169" i="25" s="1"/>
  <c r="DA61" i="25"/>
  <c r="DD61" i="25" s="1"/>
  <c r="DE61" i="25" s="1"/>
  <c r="DF61" i="25" s="1"/>
  <c r="DH61" i="25"/>
  <c r="DH116" i="25"/>
  <c r="DA116" i="25"/>
  <c r="DD116" i="25" s="1"/>
  <c r="DE116" i="25" s="1"/>
  <c r="DF116" i="25" s="1"/>
  <c r="CZ265" i="25"/>
  <c r="DB265" i="25" s="1"/>
  <c r="DA265" i="25"/>
  <c r="DD265" i="25" s="1"/>
  <c r="DE265" i="25" s="1"/>
  <c r="DF265" i="25" s="1"/>
  <c r="DH265" i="25"/>
  <c r="DH242" i="25"/>
  <c r="DA242" i="25"/>
  <c r="DD242" i="25" s="1"/>
  <c r="DE242" i="25" s="1"/>
  <c r="DF242" i="25" s="1"/>
  <c r="DA71" i="25"/>
  <c r="DD71" i="25" s="1"/>
  <c r="DE71" i="25" s="1"/>
  <c r="DF71" i="25" s="1"/>
  <c r="DH71" i="25"/>
  <c r="DH77" i="25"/>
  <c r="DA77" i="25"/>
  <c r="DD77" i="25" s="1"/>
  <c r="DE77" i="25" s="1"/>
  <c r="DF77" i="25" s="1"/>
  <c r="FD168" i="25"/>
  <c r="DS168" i="25"/>
  <c r="DL168" i="25"/>
  <c r="CY169" i="25"/>
  <c r="CZ169" i="25"/>
  <c r="DS290" i="25"/>
  <c r="DL290" i="25"/>
  <c r="CZ189" i="25"/>
  <c r="CY189" i="25"/>
  <c r="DS287" i="25"/>
  <c r="DL287" i="25"/>
  <c r="FD121" i="25"/>
  <c r="DS121" i="25"/>
  <c r="DL121" i="25"/>
  <c r="CY88" i="25"/>
  <c r="CZ88" i="25"/>
  <c r="FD96" i="25"/>
  <c r="DL96" i="25"/>
  <c r="CY71" i="25"/>
  <c r="CZ71" i="25"/>
  <c r="CY58" i="25"/>
  <c r="CZ58" i="25"/>
  <c r="FD91" i="25"/>
  <c r="FD147" i="25"/>
  <c r="CY12" i="25"/>
  <c r="CZ12" i="25"/>
  <c r="DA195" i="25"/>
  <c r="DD195" i="25" s="1"/>
  <c r="DE195" i="25" s="1"/>
  <c r="DF195" i="25" s="1"/>
  <c r="DH195" i="25"/>
  <c r="DA198" i="25"/>
  <c r="DD198" i="25" s="1"/>
  <c r="DE198" i="25" s="1"/>
  <c r="DF198" i="25" s="1"/>
  <c r="DH198" i="25"/>
  <c r="DH142" i="25"/>
  <c r="DA142" i="25"/>
  <c r="DD142" i="25" s="1"/>
  <c r="DE142" i="25" s="1"/>
  <c r="DF142" i="25" s="1"/>
  <c r="DH221" i="25"/>
  <c r="DA221" i="25"/>
  <c r="DD221" i="25" s="1"/>
  <c r="DE221" i="25" s="1"/>
  <c r="DF221" i="25" s="1"/>
  <c r="CY181" i="25"/>
  <c r="CZ181" i="25"/>
  <c r="DS295" i="25"/>
  <c r="DL244" i="25"/>
  <c r="DS244" i="25"/>
  <c r="DL164" i="25"/>
  <c r="FD164" i="25"/>
  <c r="DS164" i="25"/>
  <c r="DL156" i="25"/>
  <c r="DS156" i="25"/>
  <c r="FD156" i="25"/>
  <c r="DL177" i="25"/>
  <c r="DS177" i="25"/>
  <c r="FD177" i="25"/>
  <c r="DL100" i="25"/>
  <c r="FD100" i="25"/>
  <c r="CZ175" i="25"/>
  <c r="CY175" i="25"/>
  <c r="CZ176" i="25"/>
  <c r="CY176" i="25"/>
  <c r="CZ128" i="25"/>
  <c r="CY128" i="25"/>
  <c r="DA73" i="25"/>
  <c r="DD73" i="25" s="1"/>
  <c r="DE73" i="25" s="1"/>
  <c r="DF73" i="25" s="1"/>
  <c r="DH73" i="25"/>
  <c r="CZ238" i="25"/>
  <c r="DB238" i="25" s="1"/>
  <c r="DH238" i="25"/>
  <c r="DA238" i="25"/>
  <c r="DD238" i="25" s="1"/>
  <c r="DE238" i="25" s="1"/>
  <c r="DF238" i="25" s="1"/>
  <c r="DA230" i="25"/>
  <c r="DD230" i="25" s="1"/>
  <c r="DE230" i="25" s="1"/>
  <c r="DF230" i="25" s="1"/>
  <c r="DH230" i="25"/>
  <c r="CY275" i="25"/>
  <c r="CZ275" i="25"/>
  <c r="DL241" i="25"/>
  <c r="DS241" i="25"/>
  <c r="DS283" i="25"/>
  <c r="DL283" i="25"/>
  <c r="CY57" i="25"/>
  <c r="CZ57" i="25"/>
  <c r="CY85" i="25"/>
  <c r="CZ85" i="25"/>
  <c r="DL74" i="25"/>
  <c r="FD74" i="25"/>
  <c r="DS74" i="25"/>
  <c r="DL43" i="25"/>
  <c r="FD43" i="25"/>
  <c r="DS43" i="25"/>
  <c r="DL59" i="25"/>
  <c r="DS59" i="25"/>
  <c r="FD59" i="25"/>
  <c r="CY102" i="25"/>
  <c r="CZ102" i="25"/>
  <c r="DH81" i="25"/>
  <c r="DA81" i="25"/>
  <c r="DD81" i="25" s="1"/>
  <c r="DE81" i="25" s="1"/>
  <c r="DF81" i="25" s="1"/>
  <c r="CZ207" i="25"/>
  <c r="DB207" i="25" s="1"/>
  <c r="DH207" i="25"/>
  <c r="DA207" i="25"/>
  <c r="DD207" i="25" s="1"/>
  <c r="DE207" i="25" s="1"/>
  <c r="DF207" i="25" s="1"/>
  <c r="DH50" i="25"/>
  <c r="DA50" i="25"/>
  <c r="DD50" i="25" s="1"/>
  <c r="DE50" i="25" s="1"/>
  <c r="DF50" i="25" s="1"/>
  <c r="DH104" i="25"/>
  <c r="DA104" i="25"/>
  <c r="DD104" i="25" s="1"/>
  <c r="DE104" i="25" s="1"/>
  <c r="DF104" i="25" s="1"/>
  <c r="DS167" i="25"/>
  <c r="DL167" i="25"/>
  <c r="FD167" i="25"/>
  <c r="DL155" i="25"/>
  <c r="DS155" i="25"/>
  <c r="FD155" i="25"/>
  <c r="CY222" i="25"/>
  <c r="CZ222" i="25"/>
  <c r="CZ150" i="25"/>
  <c r="CY150" i="25"/>
  <c r="CZ138" i="25"/>
  <c r="CY138" i="25"/>
  <c r="DL77" i="25"/>
  <c r="DS77" i="25"/>
  <c r="FD77" i="25"/>
  <c r="DL228" i="25"/>
  <c r="DS228" i="25"/>
  <c r="DS137" i="25"/>
  <c r="FD137" i="25"/>
  <c r="DL137" i="25"/>
  <c r="DH264" i="25"/>
  <c r="DA264" i="25"/>
  <c r="DD264" i="25" s="1"/>
  <c r="DE264" i="25" s="1"/>
  <c r="DF264" i="25" s="1"/>
  <c r="DH165" i="25"/>
  <c r="DA165" i="25"/>
  <c r="DD165" i="25" s="1"/>
  <c r="DE165" i="25" s="1"/>
  <c r="DF165" i="25" s="1"/>
  <c r="DA75" i="25"/>
  <c r="DD75" i="25" s="1"/>
  <c r="DE75" i="25" s="1"/>
  <c r="DF75" i="25" s="1"/>
  <c r="DH75" i="25"/>
  <c r="DH16" i="25"/>
  <c r="DA16" i="25"/>
  <c r="DD16" i="25" s="1"/>
  <c r="DE16" i="25" s="1"/>
  <c r="DF16" i="25" s="1"/>
  <c r="DS255" i="25"/>
  <c r="DH28" i="25"/>
  <c r="DA28" i="25"/>
  <c r="DD28" i="25" s="1"/>
  <c r="DE28" i="25" s="1"/>
  <c r="DF28" i="25" s="1"/>
  <c r="DL254" i="25"/>
  <c r="DS254" i="25"/>
  <c r="CZ149" i="25"/>
  <c r="CY149" i="25"/>
  <c r="DS170" i="25"/>
  <c r="FD170" i="25"/>
  <c r="DL170" i="25"/>
  <c r="DL93" i="25"/>
  <c r="FD93" i="25"/>
  <c r="CY104" i="25"/>
  <c r="CZ104" i="25"/>
  <c r="CY313" i="25"/>
  <c r="CZ313" i="25"/>
  <c r="CY70" i="25"/>
  <c r="CZ70" i="25"/>
  <c r="FD60" i="25"/>
  <c r="DL60" i="25"/>
  <c r="DS60" i="25"/>
  <c r="DL272" i="25"/>
  <c r="DS272" i="25"/>
  <c r="DL49" i="25"/>
  <c r="FD49" i="25"/>
  <c r="CZ199" i="25"/>
  <c r="CY199" i="25"/>
  <c r="DH205" i="25"/>
  <c r="DA205" i="25"/>
  <c r="DD205" i="25" s="1"/>
  <c r="DE205" i="25" s="1"/>
  <c r="DF205" i="25" s="1"/>
  <c r="DH10" i="25"/>
  <c r="DA10" i="25"/>
  <c r="DD10" i="25" s="1"/>
  <c r="DE10" i="25" s="1"/>
  <c r="DF10" i="25" s="1"/>
  <c r="DS252" i="25"/>
  <c r="DL252" i="25"/>
  <c r="CZ168" i="25"/>
  <c r="CY168" i="25"/>
  <c r="CY245" i="25"/>
  <c r="CZ245" i="25"/>
  <c r="DL189" i="25"/>
  <c r="FD189" i="25"/>
  <c r="DS189" i="25"/>
  <c r="CY69" i="25"/>
  <c r="CZ69" i="25"/>
  <c r="DS139" i="25"/>
  <c r="DL139" i="25"/>
  <c r="FD139" i="25"/>
  <c r="DL40" i="25"/>
  <c r="FD40" i="25"/>
  <c r="DS40" i="25"/>
  <c r="CY298" i="25"/>
  <c r="CZ298" i="25"/>
  <c r="DS284" i="25"/>
  <c r="DL284" i="25"/>
  <c r="DL48" i="25"/>
  <c r="DS48" i="25"/>
  <c r="FD71" i="25"/>
  <c r="DL71" i="25"/>
  <c r="DS71" i="25"/>
  <c r="DL81" i="25"/>
  <c r="DS81" i="25"/>
  <c r="FD81" i="25"/>
  <c r="CZ29" i="25"/>
  <c r="CY29" i="25"/>
  <c r="DS58" i="25"/>
  <c r="DL58" i="25"/>
  <c r="FD58" i="25"/>
  <c r="DL12" i="25"/>
  <c r="DS12" i="25"/>
  <c r="FD12" i="25"/>
  <c r="DH243" i="25"/>
  <c r="DA243" i="25"/>
  <c r="DD243" i="25" s="1"/>
  <c r="DE243" i="25" s="1"/>
  <c r="DF243" i="25" s="1"/>
  <c r="DA117" i="25"/>
  <c r="DD117" i="25" s="1"/>
  <c r="DE117" i="25" s="1"/>
  <c r="DF117" i="25" s="1"/>
  <c r="DH117" i="25"/>
  <c r="DH101" i="25"/>
  <c r="DA101" i="25"/>
  <c r="DD101" i="25" s="1"/>
  <c r="DE101" i="25" s="1"/>
  <c r="DF101" i="25" s="1"/>
  <c r="DH313" i="25"/>
  <c r="DA313" i="25"/>
  <c r="DD313" i="25" s="1"/>
  <c r="DE313" i="25" s="1"/>
  <c r="DF313" i="25" s="1"/>
  <c r="CY242" i="25"/>
  <c r="CZ242" i="25"/>
  <c r="DS181" i="25"/>
  <c r="FD181" i="25"/>
  <c r="DL181" i="25"/>
  <c r="CY295" i="25"/>
  <c r="CZ295" i="25"/>
  <c r="CY153" i="25"/>
  <c r="CZ153" i="25"/>
  <c r="CY47" i="25"/>
  <c r="CZ47" i="25"/>
  <c r="FD17" i="25"/>
  <c r="DL17" i="25"/>
  <c r="DA69" i="25"/>
  <c r="DD69" i="25" s="1"/>
  <c r="DE69" i="25" s="1"/>
  <c r="DF69" i="25" s="1"/>
  <c r="DH69" i="25"/>
  <c r="DH260" i="25"/>
  <c r="DA260" i="25"/>
  <c r="DD260" i="25" s="1"/>
  <c r="DE260" i="25" s="1"/>
  <c r="DF260" i="25" s="1"/>
  <c r="DH94" i="25"/>
  <c r="DA94" i="25"/>
  <c r="DD94" i="25" s="1"/>
  <c r="DE94" i="25" s="1"/>
  <c r="DF94" i="25" s="1"/>
  <c r="DH118" i="25"/>
  <c r="DA118" i="25"/>
  <c r="DD118" i="25" s="1"/>
  <c r="DE118" i="25" s="1"/>
  <c r="DF118" i="25" s="1"/>
  <c r="DH309" i="25"/>
  <c r="DA309" i="25"/>
  <c r="DD309" i="25" s="1"/>
  <c r="DE309" i="25" s="1"/>
  <c r="DF309" i="25" s="1"/>
  <c r="DA291" i="25"/>
  <c r="DD291" i="25" s="1"/>
  <c r="DE291" i="25" s="1"/>
  <c r="DF291" i="25" s="1"/>
  <c r="DH291" i="25"/>
  <c r="DH74" i="25"/>
  <c r="DA74" i="25"/>
  <c r="DD74" i="25" s="1"/>
  <c r="DE74" i="25" s="1"/>
  <c r="DF74" i="25" s="1"/>
  <c r="DH8" i="25"/>
  <c r="DA8" i="25"/>
  <c r="DD8" i="25" s="1"/>
  <c r="DE8" i="25" s="1"/>
  <c r="DF8" i="25" s="1"/>
  <c r="FD194" i="25"/>
  <c r="DL194" i="25"/>
  <c r="CZ161" i="25"/>
  <c r="CY161" i="25"/>
  <c r="CY276" i="25"/>
  <c r="CZ276" i="25"/>
  <c r="DL185" i="25"/>
  <c r="DS185" i="25"/>
  <c r="FD185" i="25"/>
  <c r="DS145" i="25"/>
  <c r="DL145" i="25"/>
  <c r="FD145" i="25"/>
  <c r="CY25" i="25"/>
  <c r="CZ25" i="25"/>
  <c r="DS117" i="25"/>
  <c r="DL117" i="25"/>
  <c r="FD117" i="25"/>
  <c r="CY15" i="25"/>
  <c r="CZ15" i="25"/>
  <c r="CY159" i="25"/>
  <c r="CZ159" i="25"/>
  <c r="CY52" i="25"/>
  <c r="CZ52" i="25"/>
  <c r="DL72" i="25"/>
  <c r="DS72" i="25"/>
  <c r="FD72" i="25"/>
  <c r="FD98" i="25"/>
  <c r="DL98" i="25"/>
  <c r="DS300" i="25"/>
  <c r="DL300" i="25"/>
  <c r="DH274" i="25"/>
  <c r="DA274" i="25"/>
  <c r="DD274" i="25" s="1"/>
  <c r="DE274" i="25" s="1"/>
  <c r="DF274" i="25" s="1"/>
  <c r="CZ19" i="25"/>
  <c r="DB19" i="25" s="1"/>
  <c r="DH19" i="25"/>
  <c r="DA19" i="25"/>
  <c r="DD19" i="25" s="1"/>
  <c r="DE19" i="25" s="1"/>
  <c r="DF19" i="25" s="1"/>
  <c r="DL259" i="25"/>
  <c r="DS259" i="25"/>
  <c r="DL200" i="25"/>
  <c r="FD200" i="25"/>
  <c r="DL253" i="25"/>
  <c r="DS253" i="25"/>
  <c r="CY247" i="25"/>
  <c r="CZ247" i="25"/>
  <c r="CZ172" i="25"/>
  <c r="CY172" i="25"/>
  <c r="DL45" i="25"/>
  <c r="DS45" i="25"/>
  <c r="FD45" i="25"/>
  <c r="FD136" i="25"/>
  <c r="DS136" i="25"/>
  <c r="DL136" i="25"/>
  <c r="DL313" i="25"/>
  <c r="DS313" i="25"/>
  <c r="CY60" i="25"/>
  <c r="CZ60" i="25"/>
  <c r="DH88" i="25"/>
  <c r="DA88" i="25"/>
  <c r="DD88" i="25" s="1"/>
  <c r="DE88" i="25" s="1"/>
  <c r="DF88" i="25" s="1"/>
  <c r="DA172" i="25"/>
  <c r="DD172" i="25" s="1"/>
  <c r="DE172" i="25" s="1"/>
  <c r="DF172" i="25" s="1"/>
  <c r="DH172" i="25"/>
  <c r="DH183" i="25"/>
  <c r="DA183" i="25"/>
  <c r="DD183" i="25" s="1"/>
  <c r="DE183" i="25" s="1"/>
  <c r="DF183" i="25" s="1"/>
  <c r="DH25" i="25"/>
  <c r="DA25" i="25"/>
  <c r="DD25" i="25" s="1"/>
  <c r="DE25" i="25" s="1"/>
  <c r="DF25" i="25" s="1"/>
  <c r="DH146" i="25"/>
  <c r="DA146" i="25"/>
  <c r="DD146" i="25" s="1"/>
  <c r="DE146" i="25" s="1"/>
  <c r="DF146" i="25" s="1"/>
  <c r="DA114" i="25"/>
  <c r="DD114" i="25" s="1"/>
  <c r="DE114" i="25" s="1"/>
  <c r="DF114" i="25" s="1"/>
  <c r="DH114" i="25"/>
  <c r="DH303" i="25"/>
  <c r="DA303" i="25"/>
  <c r="DD303" i="25" s="1"/>
  <c r="DE303" i="25" s="1"/>
  <c r="DF303" i="25" s="1"/>
  <c r="DH20" i="25"/>
  <c r="DA20" i="25"/>
  <c r="DD20" i="25" s="1"/>
  <c r="DE20" i="25" s="1"/>
  <c r="DF20" i="25" s="1"/>
  <c r="CZ162" i="25"/>
  <c r="DB162" i="25" s="1"/>
  <c r="DH162" i="25"/>
  <c r="DA162" i="25"/>
  <c r="DD162" i="25" s="1"/>
  <c r="DE162" i="25" s="1"/>
  <c r="DF162" i="25" s="1"/>
  <c r="DH246" i="25"/>
  <c r="DA246" i="25"/>
  <c r="DD246" i="25" s="1"/>
  <c r="DE246" i="25" s="1"/>
  <c r="DF246" i="25" s="1"/>
  <c r="CY182" i="25"/>
  <c r="CZ182" i="25"/>
  <c r="CY314" i="25"/>
  <c r="CZ314" i="25"/>
  <c r="CZ252" i="25"/>
  <c r="CY252" i="25"/>
  <c r="DL245" i="25"/>
  <c r="FD169" i="25"/>
  <c r="DS169" i="25"/>
  <c r="DL169" i="25"/>
  <c r="DL88" i="25"/>
  <c r="DS88" i="25"/>
  <c r="FD88" i="25"/>
  <c r="CY40" i="25"/>
  <c r="CZ40" i="25"/>
  <c r="DL298" i="25"/>
  <c r="DS298" i="25"/>
  <c r="CZ96" i="25"/>
  <c r="CY96" i="25"/>
  <c r="CY48" i="25"/>
  <c r="CZ48" i="25"/>
  <c r="DL24" i="25"/>
  <c r="FD24" i="25"/>
  <c r="FD48" i="25"/>
  <c r="FD95" i="25"/>
  <c r="DH176" i="25"/>
  <c r="DA176" i="25"/>
  <c r="DD176" i="25" s="1"/>
  <c r="DE176" i="25" s="1"/>
  <c r="DF176" i="25" s="1"/>
  <c r="CY225" i="25"/>
  <c r="CZ225" i="25"/>
  <c r="DL269" i="25"/>
  <c r="DS269" i="25"/>
  <c r="DH21" i="25"/>
  <c r="DA21" i="25"/>
  <c r="DD21" i="25" s="1"/>
  <c r="DE21" i="25" s="1"/>
  <c r="DF21" i="25" s="1"/>
  <c r="DH167" i="25"/>
  <c r="DA167" i="25"/>
  <c r="DD167" i="25" s="1"/>
  <c r="DE167" i="25" s="1"/>
  <c r="DF167" i="25" s="1"/>
  <c r="DA194" i="25"/>
  <c r="DD194" i="25" s="1"/>
  <c r="DE194" i="25" s="1"/>
  <c r="DF194" i="25" s="1"/>
  <c r="DH194" i="25"/>
  <c r="CZ155" i="25"/>
  <c r="DB155" i="25" s="1"/>
  <c r="DH155" i="25"/>
  <c r="DA155" i="25"/>
  <c r="DD155" i="25" s="1"/>
  <c r="DE155" i="25" s="1"/>
  <c r="DF155" i="25" s="1"/>
  <c r="DH288" i="25"/>
  <c r="DA288" i="25"/>
  <c r="DD288" i="25" s="1"/>
  <c r="DE288" i="25" s="1"/>
  <c r="DF288" i="25" s="1"/>
  <c r="CZ82" i="25"/>
  <c r="DB82" i="25" s="1"/>
  <c r="DH82" i="25"/>
  <c r="DA82" i="25"/>
  <c r="DD82" i="25" s="1"/>
  <c r="DE82" i="25" s="1"/>
  <c r="DF82" i="25" s="1"/>
  <c r="DL242" i="25"/>
  <c r="DS242" i="25"/>
  <c r="DL295" i="25"/>
  <c r="DS233" i="25"/>
  <c r="DL233" i="25"/>
  <c r="FD130" i="25"/>
  <c r="DL130" i="25"/>
  <c r="DS130" i="25"/>
  <c r="DS126" i="25"/>
  <c r="FD126" i="25"/>
  <c r="DL126" i="25"/>
  <c r="CY86" i="25"/>
  <c r="CZ86" i="25"/>
  <c r="FD34" i="25"/>
  <c r="DL34" i="25"/>
  <c r="DS34" i="25"/>
  <c r="DS266" i="25"/>
  <c r="DL266" i="25"/>
  <c r="DL47" i="25"/>
  <c r="DS47" i="25"/>
  <c r="FD47" i="25"/>
  <c r="CY55" i="25"/>
  <c r="CZ55" i="25"/>
  <c r="DL14" i="25"/>
  <c r="DS14" i="25"/>
  <c r="FD14" i="25"/>
  <c r="DS38" i="25"/>
  <c r="FD38" i="25"/>
  <c r="DL38" i="25"/>
  <c r="DH315" i="25"/>
  <c r="DA315" i="25"/>
  <c r="DD315" i="25" s="1"/>
  <c r="DE315" i="25" s="1"/>
  <c r="DF315" i="25" s="1"/>
  <c r="DA62" i="25"/>
  <c r="DD62" i="25" s="1"/>
  <c r="DE62" i="25" s="1"/>
  <c r="DF62" i="25" s="1"/>
  <c r="DH62" i="25"/>
  <c r="DL179" i="25"/>
  <c r="FD179" i="25"/>
  <c r="DS179" i="25"/>
  <c r="CY232" i="25"/>
  <c r="CZ232" i="25"/>
  <c r="CY64" i="25"/>
  <c r="CZ64" i="25"/>
  <c r="DH219" i="25"/>
  <c r="DA219" i="25"/>
  <c r="DD219" i="25" s="1"/>
  <c r="DE219" i="25" s="1"/>
  <c r="DF219" i="25" s="1"/>
  <c r="DA261" i="25"/>
  <c r="DD261" i="25" s="1"/>
  <c r="DE261" i="25" s="1"/>
  <c r="DF261" i="25" s="1"/>
  <c r="DH261" i="25"/>
  <c r="CZ306" i="25"/>
  <c r="CY306" i="25"/>
  <c r="DL235" i="25"/>
  <c r="DS235" i="25"/>
  <c r="DL275" i="25"/>
  <c r="DS275" i="25"/>
  <c r="DS146" i="25"/>
  <c r="FD146" i="25"/>
  <c r="DL146" i="25"/>
  <c r="DL276" i="25"/>
  <c r="DS276" i="25"/>
  <c r="DS79" i="25"/>
  <c r="DL79" i="25"/>
  <c r="FD79" i="25"/>
  <c r="CY262" i="25"/>
  <c r="CZ262" i="25"/>
  <c r="CY89" i="25"/>
  <c r="CZ89" i="25"/>
  <c r="DL25" i="25"/>
  <c r="FD25" i="25"/>
  <c r="DH113" i="25"/>
  <c r="DA113" i="25"/>
  <c r="DD113" i="25" s="1"/>
  <c r="DE113" i="25" s="1"/>
  <c r="DF113" i="25" s="1"/>
  <c r="DT43" i="24"/>
  <c r="DT282" i="24"/>
  <c r="DT29" i="24"/>
  <c r="DT11" i="24"/>
  <c r="CN302" i="24"/>
  <c r="DA302" i="24" s="1"/>
  <c r="CS302" i="24"/>
  <c r="FD302" i="24" s="1"/>
  <c r="DT287" i="24"/>
  <c r="DT219" i="24"/>
  <c r="CS267" i="24"/>
  <c r="FD267" i="24" s="1"/>
  <c r="CN267" i="24"/>
  <c r="DA267" i="24" s="1"/>
  <c r="CZ47" i="24"/>
  <c r="DT66" i="24"/>
  <c r="DT36" i="24"/>
  <c r="CS9" i="24"/>
  <c r="FD9" i="24" s="1"/>
  <c r="CN9" i="24"/>
  <c r="DA9" i="24" s="1"/>
  <c r="CZ86" i="24"/>
  <c r="DT15" i="24"/>
  <c r="CS236" i="24"/>
  <c r="FD236" i="24" s="1"/>
  <c r="CN236" i="24"/>
  <c r="DA236" i="24" s="1"/>
  <c r="CN206" i="24"/>
  <c r="DA206" i="24" s="1"/>
  <c r="CS206" i="24"/>
  <c r="FD206" i="24" s="1"/>
  <c r="CZ226" i="24"/>
  <c r="DT263" i="24"/>
  <c r="DT83" i="24"/>
  <c r="CZ153" i="24"/>
  <c r="CN73" i="24"/>
  <c r="DA73" i="24" s="1"/>
  <c r="CS73" i="24"/>
  <c r="FD73" i="24" s="1"/>
  <c r="CS52" i="24"/>
  <c r="FD52" i="24" s="1"/>
  <c r="CN52" i="24"/>
  <c r="CZ72" i="24"/>
  <c r="CS30" i="24"/>
  <c r="FD30" i="24" s="1"/>
  <c r="CN30" i="24"/>
  <c r="DA30" i="24" s="1"/>
  <c r="DT281" i="24"/>
  <c r="DT277" i="24"/>
  <c r="CN192" i="24"/>
  <c r="DA192" i="24" s="1"/>
  <c r="CS192" i="24"/>
  <c r="FD192" i="24" s="1"/>
  <c r="CZ240" i="24"/>
  <c r="CN116" i="24"/>
  <c r="DA116" i="24" s="1"/>
  <c r="CS116" i="24"/>
  <c r="FD116" i="24" s="1"/>
  <c r="CN133" i="24"/>
  <c r="DA133" i="24" s="1"/>
  <c r="CS133" i="24"/>
  <c r="FD133" i="24" s="1"/>
  <c r="CZ172" i="24"/>
  <c r="DT38" i="24"/>
  <c r="DT103" i="24"/>
  <c r="CN20" i="24"/>
  <c r="DA20" i="24" s="1"/>
  <c r="CS20" i="24"/>
  <c r="FD20" i="24" s="1"/>
  <c r="CN311" i="24"/>
  <c r="DA311" i="24" s="1"/>
  <c r="CS311" i="24"/>
  <c r="FD311" i="24" s="1"/>
  <c r="DT238" i="24"/>
  <c r="CS259" i="24"/>
  <c r="FD259" i="24" s="1"/>
  <c r="CN259" i="24"/>
  <c r="DA259" i="24" s="1"/>
  <c r="CS232" i="24"/>
  <c r="FD232" i="24" s="1"/>
  <c r="CN232" i="24"/>
  <c r="CN233" i="24"/>
  <c r="DA233" i="24" s="1"/>
  <c r="CS233" i="24"/>
  <c r="FD233" i="24" s="1"/>
  <c r="DT306" i="24"/>
  <c r="DT98" i="24"/>
  <c r="CS161" i="24"/>
  <c r="FD161" i="24" s="1"/>
  <c r="CN161" i="24"/>
  <c r="DA161" i="24" s="1"/>
  <c r="CS132" i="24"/>
  <c r="FD132" i="24" s="1"/>
  <c r="CN132" i="24"/>
  <c r="DA132" i="24" s="1"/>
  <c r="CZ148" i="24"/>
  <c r="DT47" i="24"/>
  <c r="CS120" i="24"/>
  <c r="FD120" i="24" s="1"/>
  <c r="CN120" i="24"/>
  <c r="DA120" i="24" s="1"/>
  <c r="CZ119" i="24"/>
  <c r="CZ41" i="24"/>
  <c r="CZ66" i="24"/>
  <c r="CS36" i="24"/>
  <c r="FD36" i="24" s="1"/>
  <c r="CN36" i="24"/>
  <c r="DA36" i="24" s="1"/>
  <c r="DT21" i="24"/>
  <c r="DT45" i="24"/>
  <c r="DT236" i="24"/>
  <c r="CS189" i="24"/>
  <c r="FD189" i="24" s="1"/>
  <c r="CN189" i="24"/>
  <c r="CS255" i="24"/>
  <c r="FD255" i="24" s="1"/>
  <c r="CN255" i="24"/>
  <c r="DA255" i="24" s="1"/>
  <c r="DT285" i="24"/>
  <c r="DT298" i="24"/>
  <c r="CS146" i="24"/>
  <c r="FD146" i="24" s="1"/>
  <c r="CN146" i="24"/>
  <c r="DA146" i="24" s="1"/>
  <c r="DT217" i="24"/>
  <c r="CZ40" i="24"/>
  <c r="DT70" i="24"/>
  <c r="CZ30" i="24"/>
  <c r="CZ314" i="24"/>
  <c r="CN200" i="24"/>
  <c r="DA200" i="24" s="1"/>
  <c r="CS200" i="24"/>
  <c r="FD200" i="24" s="1"/>
  <c r="CZ277" i="24"/>
  <c r="CN224" i="24"/>
  <c r="DA224" i="24" s="1"/>
  <c r="CS224" i="24"/>
  <c r="FD224" i="24" s="1"/>
  <c r="DT242" i="24"/>
  <c r="CS29" i="24"/>
  <c r="FD29" i="24" s="1"/>
  <c r="CN29" i="24"/>
  <c r="DA29" i="24" s="1"/>
  <c r="CZ259" i="24"/>
  <c r="CZ208" i="24"/>
  <c r="DT297" i="24"/>
  <c r="CZ267" i="24"/>
  <c r="CN179" i="24"/>
  <c r="DA179" i="24" s="1"/>
  <c r="CS179" i="24"/>
  <c r="FD179" i="24" s="1"/>
  <c r="CN41" i="24"/>
  <c r="CS41" i="24"/>
  <c r="FD41" i="24" s="1"/>
  <c r="DT9" i="24"/>
  <c r="CN296" i="24"/>
  <c r="DA296" i="24" s="1"/>
  <c r="CS296" i="24"/>
  <c r="FD296" i="24" s="1"/>
  <c r="CS298" i="24"/>
  <c r="FD298" i="24" s="1"/>
  <c r="CN298" i="24"/>
  <c r="DA298" i="24" s="1"/>
  <c r="CS153" i="24"/>
  <c r="FD153" i="24" s="1"/>
  <c r="CN153" i="24"/>
  <c r="DA153" i="24" s="1"/>
  <c r="CS234" i="24"/>
  <c r="FD234" i="24" s="1"/>
  <c r="CN234" i="24"/>
  <c r="DA234" i="24" s="1"/>
  <c r="CN118" i="24"/>
  <c r="DA118" i="24" s="1"/>
  <c r="CS118" i="24"/>
  <c r="FD118" i="24" s="1"/>
  <c r="CS64" i="24"/>
  <c r="FD64" i="24" s="1"/>
  <c r="CN64" i="24"/>
  <c r="CS6" i="24"/>
  <c r="FD6" i="24" s="1"/>
  <c r="CN6" i="24"/>
  <c r="DA6" i="24" s="1"/>
  <c r="DT18" i="24"/>
  <c r="CN289" i="24"/>
  <c r="DA289" i="24" s="1"/>
  <c r="CS289" i="24"/>
  <c r="FD289" i="24" s="1"/>
  <c r="CZ205" i="24"/>
  <c r="DT314" i="24"/>
  <c r="DT253" i="24"/>
  <c r="CN240" i="24"/>
  <c r="DA240" i="24" s="1"/>
  <c r="CS240" i="24"/>
  <c r="FD240" i="24" s="1"/>
  <c r="CZ111" i="24"/>
  <c r="DT58" i="24"/>
  <c r="CN238" i="24"/>
  <c r="DA238" i="24" s="1"/>
  <c r="CS238" i="24"/>
  <c r="FD238" i="24" s="1"/>
  <c r="DT267" i="24"/>
  <c r="CN306" i="24"/>
  <c r="DA306" i="24" s="1"/>
  <c r="CS306" i="24"/>
  <c r="FD306" i="24" s="1"/>
  <c r="CS171" i="24"/>
  <c r="FD171" i="24" s="1"/>
  <c r="CN171" i="24"/>
  <c r="CS148" i="24"/>
  <c r="FD148" i="24" s="1"/>
  <c r="CN148" i="24"/>
  <c r="DA148" i="24" s="1"/>
  <c r="CZ258" i="24"/>
  <c r="DT41" i="24"/>
  <c r="CS45" i="24"/>
  <c r="FD45" i="24" s="1"/>
  <c r="CN45" i="24"/>
  <c r="DA45" i="24" s="1"/>
  <c r="DT86" i="24"/>
  <c r="CZ296" i="24"/>
  <c r="CZ255" i="24"/>
  <c r="CZ285" i="24"/>
  <c r="CS226" i="24"/>
  <c r="FD226" i="24" s="1"/>
  <c r="CN226" i="24"/>
  <c r="DT294" i="24"/>
  <c r="CZ123" i="24"/>
  <c r="CZ136" i="24"/>
  <c r="CZ234" i="24"/>
  <c r="CZ113" i="24"/>
  <c r="CZ118" i="24"/>
  <c r="CZ64" i="24"/>
  <c r="DT6" i="24"/>
  <c r="CS18" i="24"/>
  <c r="FD18" i="24" s="1"/>
  <c r="CN18" i="24"/>
  <c r="CS205" i="24"/>
  <c r="FD205" i="24" s="1"/>
  <c r="CN205" i="24"/>
  <c r="CN253" i="24"/>
  <c r="DA253" i="24" s="1"/>
  <c r="CS253" i="24"/>
  <c r="FD253" i="24" s="1"/>
  <c r="DT224" i="24"/>
  <c r="CS286" i="24"/>
  <c r="FD286" i="24" s="1"/>
  <c r="CN286" i="24"/>
  <c r="DA286" i="24" s="1"/>
  <c r="DT240" i="24"/>
  <c r="CZ150" i="24"/>
  <c r="CN242" i="24"/>
  <c r="DA242" i="24" s="1"/>
  <c r="CS242" i="24"/>
  <c r="FD242" i="24" s="1"/>
  <c r="CN89" i="24"/>
  <c r="CS89" i="24"/>
  <c r="FD89" i="24" s="1"/>
  <c r="CZ20" i="24"/>
  <c r="DT280" i="24"/>
  <c r="DT311" i="24"/>
  <c r="CZ300" i="24"/>
  <c r="DT259" i="24"/>
  <c r="DT232" i="24"/>
  <c r="CS309" i="24"/>
  <c r="FD309" i="24" s="1"/>
  <c r="CN309" i="24"/>
  <c r="DA309" i="24" s="1"/>
  <c r="CZ161" i="24"/>
  <c r="CZ307" i="24"/>
  <c r="CZ179" i="24"/>
  <c r="CS81" i="24"/>
  <c r="FD81" i="24" s="1"/>
  <c r="CN81" i="24"/>
  <c r="CZ264" i="24"/>
  <c r="CN47" i="24"/>
  <c r="DA47" i="24" s="1"/>
  <c r="CS47" i="24"/>
  <c r="FD47" i="24" s="1"/>
  <c r="CS167" i="24"/>
  <c r="FD167" i="24" s="1"/>
  <c r="CN167" i="24"/>
  <c r="DA167" i="24" s="1"/>
  <c r="CZ75" i="24"/>
  <c r="CN21" i="24"/>
  <c r="DA21" i="24" s="1"/>
  <c r="CS21" i="24"/>
  <c r="FD21" i="24" s="1"/>
  <c r="DT296" i="24"/>
  <c r="CZ283" i="24"/>
  <c r="DT255" i="24"/>
  <c r="CZ203" i="24"/>
  <c r="DT226" i="24"/>
  <c r="CZ294" i="24"/>
  <c r="CS221" i="24"/>
  <c r="FD221" i="24" s="1"/>
  <c r="CN221" i="24"/>
  <c r="DA221" i="24" s="1"/>
  <c r="CS157" i="24"/>
  <c r="FD157" i="24" s="1"/>
  <c r="CN157" i="24"/>
  <c r="DA157" i="24" s="1"/>
  <c r="CZ209" i="24"/>
  <c r="CZ177" i="24"/>
  <c r="DT244" i="24"/>
  <c r="CS217" i="24"/>
  <c r="FD217" i="24" s="1"/>
  <c r="CN217" i="24"/>
  <c r="DA217" i="24" s="1"/>
  <c r="CS136" i="24"/>
  <c r="FD136" i="24" s="1"/>
  <c r="CN136" i="24"/>
  <c r="DT234" i="24"/>
  <c r="DT14" i="24"/>
  <c r="DT72" i="24"/>
  <c r="CZ289" i="24"/>
  <c r="CZ281" i="24"/>
  <c r="CS282" i="24"/>
  <c r="FD282" i="24" s="1"/>
  <c r="CN282" i="24"/>
  <c r="DA282" i="24" s="1"/>
  <c r="CN187" i="24"/>
  <c r="DA187" i="24" s="1"/>
  <c r="CS187" i="24"/>
  <c r="FD187" i="24" s="1"/>
  <c r="DT286" i="24"/>
  <c r="CN291" i="24"/>
  <c r="DA291" i="24" s="1"/>
  <c r="CS291" i="24"/>
  <c r="FD291" i="24" s="1"/>
  <c r="CN150" i="24"/>
  <c r="CS150" i="24"/>
  <c r="FD150" i="24" s="1"/>
  <c r="CN115" i="24"/>
  <c r="CS115" i="24"/>
  <c r="FD115" i="24" s="1"/>
  <c r="CS172" i="24"/>
  <c r="FD172" i="24" s="1"/>
  <c r="CN172" i="24"/>
  <c r="DA172" i="24" s="1"/>
  <c r="CZ17" i="24"/>
  <c r="CS300" i="24"/>
  <c r="FD300" i="24" s="1"/>
  <c r="CN300" i="24"/>
  <c r="DA300" i="24" s="1"/>
  <c r="CZ238" i="24"/>
  <c r="CS190" i="24"/>
  <c r="FD190" i="24" s="1"/>
  <c r="CN190" i="24"/>
  <c r="DA190" i="24" s="1"/>
  <c r="CZ287" i="24"/>
  <c r="DT309" i="24"/>
  <c r="CZ233" i="24"/>
  <c r="DT307" i="24"/>
  <c r="DT81" i="24"/>
  <c r="CN264" i="24"/>
  <c r="DA264" i="24" s="1"/>
  <c r="CS264" i="24"/>
  <c r="FD264" i="24" s="1"/>
  <c r="DT258" i="24"/>
  <c r="CZ167" i="24"/>
  <c r="CN119" i="24"/>
  <c r="DA119" i="24" s="1"/>
  <c r="CS119" i="24"/>
  <c r="FD119" i="24" s="1"/>
  <c r="CN66" i="24"/>
  <c r="CS66" i="24"/>
  <c r="FD66" i="24" s="1"/>
  <c r="CN75" i="24"/>
  <c r="DA75" i="24" s="1"/>
  <c r="CS75" i="24"/>
  <c r="FD75" i="24" s="1"/>
  <c r="CZ21" i="24"/>
  <c r="CS283" i="24"/>
  <c r="FD283" i="24" s="1"/>
  <c r="CN283" i="24"/>
  <c r="DA283" i="24" s="1"/>
  <c r="DT284" i="24"/>
  <c r="CS203" i="24"/>
  <c r="FD203" i="24" s="1"/>
  <c r="CN203" i="24"/>
  <c r="DA203" i="24" s="1"/>
  <c r="CZ263" i="24"/>
  <c r="CZ157" i="24"/>
  <c r="CN209" i="24"/>
  <c r="DA209" i="24" s="1"/>
  <c r="CS209" i="24"/>
  <c r="FD209" i="24" s="1"/>
  <c r="CS177" i="24"/>
  <c r="FD177" i="24" s="1"/>
  <c r="CN177" i="24"/>
  <c r="CZ217" i="24"/>
  <c r="DT64" i="24"/>
  <c r="CS14" i="24"/>
  <c r="FD14" i="24" s="1"/>
  <c r="CN14" i="24"/>
  <c r="CZ6" i="24"/>
  <c r="CN72" i="24"/>
  <c r="CS72" i="24"/>
  <c r="FD72" i="24" s="1"/>
  <c r="CS314" i="24"/>
  <c r="FD314" i="24" s="1"/>
  <c r="CN314" i="24"/>
  <c r="CZ253" i="24"/>
  <c r="CZ286" i="24"/>
  <c r="CZ192" i="24"/>
  <c r="DT291" i="24"/>
  <c r="CZ116" i="24"/>
  <c r="CS193" i="24"/>
  <c r="FD193" i="24" s="1"/>
  <c r="CN193" i="24"/>
  <c r="DA193" i="24" s="1"/>
  <c r="CZ156" i="24"/>
  <c r="DT300" i="24"/>
  <c r="CZ302" i="24"/>
  <c r="CZ190" i="24"/>
  <c r="CZ219" i="24"/>
  <c r="CN208" i="24"/>
  <c r="CS208" i="24"/>
  <c r="FD208" i="24" s="1"/>
  <c r="CN297" i="24"/>
  <c r="DA297" i="24" s="1"/>
  <c r="CS297" i="24"/>
  <c r="FD297" i="24" s="1"/>
  <c r="CZ309" i="24"/>
  <c r="CZ98" i="24"/>
  <c r="CN307" i="24"/>
  <c r="DA307" i="24" s="1"/>
  <c r="CS307" i="24"/>
  <c r="FD307" i="24" s="1"/>
  <c r="DT264" i="24"/>
  <c r="CN139" i="24"/>
  <c r="DA139" i="24" s="1"/>
  <c r="CS139" i="24"/>
  <c r="FD139" i="24" s="1"/>
  <c r="CS258" i="24"/>
  <c r="FD258" i="24" s="1"/>
  <c r="CN258" i="24"/>
  <c r="CZ9" i="24"/>
  <c r="CS86" i="24"/>
  <c r="FD86" i="24" s="1"/>
  <c r="CN86" i="24"/>
  <c r="DA86" i="24" s="1"/>
  <c r="CZ15" i="24"/>
  <c r="CZ284" i="24"/>
  <c r="CN294" i="24"/>
  <c r="DA294" i="24" s="1"/>
  <c r="CS294" i="24"/>
  <c r="FD294" i="24" s="1"/>
  <c r="CZ221" i="24"/>
  <c r="CS83" i="24"/>
  <c r="FD83" i="24" s="1"/>
  <c r="CN83" i="24"/>
  <c r="CS123" i="24"/>
  <c r="FD123" i="24" s="1"/>
  <c r="CN123" i="24"/>
  <c r="CS244" i="24"/>
  <c r="FD244" i="24" s="1"/>
  <c r="CN244" i="24"/>
  <c r="DA244" i="24" s="1"/>
  <c r="CZ146" i="24"/>
  <c r="CN40" i="24"/>
  <c r="CS40" i="24"/>
  <c r="FD40" i="24" s="1"/>
  <c r="CN113" i="24"/>
  <c r="DA113" i="24" s="1"/>
  <c r="CS113" i="24"/>
  <c r="FD113" i="24" s="1"/>
  <c r="CZ162" i="24"/>
  <c r="CS70" i="24"/>
  <c r="FD70" i="24" s="1"/>
  <c r="CN70" i="24"/>
  <c r="DT73" i="24"/>
  <c r="DT52" i="24"/>
  <c r="CS281" i="24"/>
  <c r="FD281" i="24" s="1"/>
  <c r="CN281" i="24"/>
  <c r="DA281" i="24" s="1"/>
  <c r="CZ282" i="24"/>
  <c r="CZ200" i="24"/>
  <c r="CZ224" i="24"/>
  <c r="DT250" i="24"/>
  <c r="CZ103" i="24"/>
  <c r="CZ57" i="24"/>
  <c r="CN262" i="24"/>
  <c r="DA262" i="24" s="1"/>
  <c r="CS262" i="24"/>
  <c r="FD262" i="24" s="1"/>
  <c r="DT302" i="24"/>
  <c r="CN287" i="24"/>
  <c r="DA287" i="24" s="1"/>
  <c r="CS287" i="24"/>
  <c r="FD287" i="24" s="1"/>
  <c r="CN219" i="24"/>
  <c r="CS219" i="24"/>
  <c r="FD219" i="24" s="1"/>
  <c r="CZ297" i="24"/>
  <c r="DT233" i="24"/>
  <c r="CZ306" i="24"/>
  <c r="CS98" i="24"/>
  <c r="FD98" i="24" s="1"/>
  <c r="CN98" i="24"/>
  <c r="CZ132" i="24"/>
  <c r="CZ139" i="24"/>
  <c r="CZ120" i="24"/>
  <c r="CZ36" i="24"/>
  <c r="DT75" i="24"/>
  <c r="CZ45" i="24"/>
  <c r="CN15" i="24"/>
  <c r="CS15" i="24"/>
  <c r="FD15" i="24" s="1"/>
  <c r="DT283" i="24"/>
  <c r="CZ236" i="24"/>
  <c r="CS284" i="24"/>
  <c r="FD284" i="24" s="1"/>
  <c r="CN284" i="24"/>
  <c r="CZ206" i="24"/>
  <c r="CS285" i="24"/>
  <c r="FD285" i="24" s="1"/>
  <c r="CN285" i="24"/>
  <c r="DA285" i="24" s="1"/>
  <c r="CS263" i="24"/>
  <c r="FD263" i="24" s="1"/>
  <c r="CN263" i="24"/>
  <c r="CZ298" i="24"/>
  <c r="CZ244" i="24"/>
  <c r="DT40" i="24"/>
  <c r="CN162" i="24"/>
  <c r="DA162" i="24" s="1"/>
  <c r="CS162" i="24"/>
  <c r="FD162" i="24" s="1"/>
  <c r="CZ73" i="24"/>
  <c r="DT30" i="24"/>
  <c r="CZ187" i="24"/>
  <c r="CN277" i="24"/>
  <c r="DA277" i="24" s="1"/>
  <c r="CS277" i="24"/>
  <c r="FD277" i="24" s="1"/>
  <c r="CS250" i="24"/>
  <c r="FD250" i="24" s="1"/>
  <c r="CN250" i="24"/>
  <c r="CN194" i="24"/>
  <c r="CS194" i="24"/>
  <c r="FD194" i="24" s="1"/>
  <c r="CZ164" i="24"/>
  <c r="CZ242" i="24"/>
  <c r="CZ133" i="24"/>
  <c r="CS103" i="24"/>
  <c r="FD103" i="24" s="1"/>
  <c r="CN103" i="24"/>
  <c r="DA103" i="24" s="1"/>
  <c r="DT60" i="24"/>
  <c r="CS58" i="24"/>
  <c r="FD58" i="24" s="1"/>
  <c r="CN58" i="24"/>
  <c r="DA58" i="24" s="1"/>
  <c r="CZ84" i="24"/>
  <c r="CZ185" i="24"/>
  <c r="CZ222" i="24"/>
  <c r="CZ235" i="24"/>
  <c r="DT228" i="24"/>
  <c r="CZ112" i="24"/>
  <c r="CS104" i="24"/>
  <c r="FD104" i="24" s="1"/>
  <c r="CN104" i="24"/>
  <c r="DA104" i="24" s="1"/>
  <c r="DT82" i="24"/>
  <c r="CS67" i="24"/>
  <c r="FD67" i="24" s="1"/>
  <c r="CN67" i="24"/>
  <c r="DA67" i="24" s="1"/>
  <c r="CN50" i="24"/>
  <c r="CS50" i="24"/>
  <c r="FD50" i="24" s="1"/>
  <c r="DT22" i="24"/>
  <c r="DT274" i="24"/>
  <c r="CN248" i="24"/>
  <c r="CS248" i="24"/>
  <c r="FD248" i="24" s="1"/>
  <c r="CZ183" i="24"/>
  <c r="CN186" i="24"/>
  <c r="DA186" i="24" s="1"/>
  <c r="CS186" i="24"/>
  <c r="FD186" i="24" s="1"/>
  <c r="CZ105" i="24"/>
  <c r="CN102" i="24"/>
  <c r="DA102" i="24" s="1"/>
  <c r="CS102" i="24"/>
  <c r="FD102" i="24" s="1"/>
  <c r="DT80" i="24"/>
  <c r="CS163" i="24"/>
  <c r="FD163" i="24" s="1"/>
  <c r="CN163" i="24"/>
  <c r="DT54" i="24"/>
  <c r="CZ8" i="24"/>
  <c r="CN25" i="24"/>
  <c r="DA25" i="24" s="1"/>
  <c r="CS25" i="24"/>
  <c r="FD25" i="24" s="1"/>
  <c r="CS269" i="24"/>
  <c r="FD269" i="24" s="1"/>
  <c r="CN269" i="24"/>
  <c r="DA269" i="24" s="1"/>
  <c r="CZ252" i="24"/>
  <c r="CS247" i="24"/>
  <c r="FD247" i="24" s="1"/>
  <c r="CN247" i="24"/>
  <c r="DA247" i="24" s="1"/>
  <c r="CN303" i="24"/>
  <c r="DA303" i="24" s="1"/>
  <c r="CS303" i="24"/>
  <c r="FD303" i="24" s="1"/>
  <c r="CZ288" i="24"/>
  <c r="CN160" i="24"/>
  <c r="DA160" i="24" s="1"/>
  <c r="CS160" i="24"/>
  <c r="FD160" i="24" s="1"/>
  <c r="CZ135" i="24"/>
  <c r="CZ144" i="24"/>
  <c r="CN78" i="24"/>
  <c r="DA78" i="24" s="1"/>
  <c r="CS78" i="24"/>
  <c r="FD78" i="24" s="1"/>
  <c r="CZ32" i="24"/>
  <c r="CS68" i="24"/>
  <c r="FD68" i="24" s="1"/>
  <c r="CN68" i="24"/>
  <c r="DA68" i="24" s="1"/>
  <c r="CZ94" i="24"/>
  <c r="CS268" i="24"/>
  <c r="FD268" i="24" s="1"/>
  <c r="CN268" i="24"/>
  <c r="DA268" i="24" s="1"/>
  <c r="CN257" i="24"/>
  <c r="DA257" i="24" s="1"/>
  <c r="CS257" i="24"/>
  <c r="FD257" i="24" s="1"/>
  <c r="DT272" i="24"/>
  <c r="CS125" i="24"/>
  <c r="FD125" i="24" s="1"/>
  <c r="CN125" i="24"/>
  <c r="DA125" i="24" s="1"/>
  <c r="CZ141" i="24"/>
  <c r="CZ158" i="24"/>
  <c r="CN142" i="24"/>
  <c r="DA142" i="24" s="1"/>
  <c r="CS142" i="24"/>
  <c r="FD142" i="24" s="1"/>
  <c r="CS74" i="24"/>
  <c r="FD74" i="24" s="1"/>
  <c r="CN74" i="24"/>
  <c r="DA74" i="24" s="1"/>
  <c r="DT218" i="24"/>
  <c r="DT44" i="24"/>
  <c r="CS59" i="24"/>
  <c r="FD59" i="24" s="1"/>
  <c r="CN59" i="24"/>
  <c r="DA59" i="24" s="1"/>
  <c r="DT26" i="24"/>
  <c r="CS313" i="24"/>
  <c r="FD313" i="24" s="1"/>
  <c r="CN313" i="24"/>
  <c r="DA313" i="24" s="1"/>
  <c r="CN290" i="24"/>
  <c r="DA290" i="24" s="1"/>
  <c r="CS290" i="24"/>
  <c r="FD290" i="24" s="1"/>
  <c r="CS225" i="24"/>
  <c r="FD225" i="24" s="1"/>
  <c r="CN225" i="24"/>
  <c r="DA225" i="24" s="1"/>
  <c r="CN237" i="24"/>
  <c r="DA237" i="24" s="1"/>
  <c r="CS237" i="24"/>
  <c r="FD237" i="24" s="1"/>
  <c r="CZ271" i="24"/>
  <c r="CZ114" i="24"/>
  <c r="CZ310" i="24"/>
  <c r="CZ188" i="24"/>
  <c r="DT69" i="24"/>
  <c r="CZ266" i="24"/>
  <c r="CS122" i="24"/>
  <c r="FD122" i="24" s="1"/>
  <c r="CN122" i="24"/>
  <c r="CS43" i="24"/>
  <c r="FD43" i="24" s="1"/>
  <c r="CN43" i="24"/>
  <c r="DA43" i="24" s="1"/>
  <c r="DT71" i="24"/>
  <c r="DT91" i="24"/>
  <c r="DT53" i="24"/>
  <c r="CS60" i="24"/>
  <c r="FD60" i="24" s="1"/>
  <c r="CN60" i="24"/>
  <c r="DA60" i="24" s="1"/>
  <c r="CS17" i="24"/>
  <c r="FD17" i="24" s="1"/>
  <c r="CN17" i="24"/>
  <c r="CZ311" i="24"/>
  <c r="CZ262" i="24"/>
  <c r="DT222" i="24"/>
  <c r="CZ279" i="24"/>
  <c r="DT235" i="24"/>
  <c r="DT243" i="24"/>
  <c r="CN37" i="24"/>
  <c r="DA37" i="24" s="1"/>
  <c r="CS37" i="24"/>
  <c r="FD37" i="24" s="1"/>
  <c r="CS152" i="24"/>
  <c r="FD152" i="24" s="1"/>
  <c r="CN152" i="24"/>
  <c r="DA152" i="24" s="1"/>
  <c r="DT7" i="24"/>
  <c r="CZ55" i="24"/>
  <c r="DT67" i="24"/>
  <c r="CZ254" i="24"/>
  <c r="DT308" i="24"/>
  <c r="CS305" i="24"/>
  <c r="FD305" i="24" s="1"/>
  <c r="CN305" i="24"/>
  <c r="CZ265" i="24"/>
  <c r="CS275" i="24"/>
  <c r="FD275" i="24" s="1"/>
  <c r="CN275" i="24"/>
  <c r="DA275" i="24" s="1"/>
  <c r="CN173" i="24"/>
  <c r="DA173" i="24" s="1"/>
  <c r="CS173" i="24"/>
  <c r="FD173" i="24" s="1"/>
  <c r="CZ149" i="24"/>
  <c r="CS93" i="24"/>
  <c r="FD93" i="24" s="1"/>
  <c r="CN93" i="24"/>
  <c r="DA93" i="24" s="1"/>
  <c r="CZ90" i="24"/>
  <c r="CZ54" i="24"/>
  <c r="CS16" i="24"/>
  <c r="FD16" i="24" s="1"/>
  <c r="CN16" i="24"/>
  <c r="DA16" i="24" s="1"/>
  <c r="DT304" i="24"/>
  <c r="CZ273" i="24"/>
  <c r="CZ197" i="24"/>
  <c r="CS220" i="24"/>
  <c r="FD220" i="24" s="1"/>
  <c r="CN220" i="24"/>
  <c r="DA220" i="24" s="1"/>
  <c r="CZ131" i="24"/>
  <c r="CZ101" i="24"/>
  <c r="CS32" i="24"/>
  <c r="FD32" i="24" s="1"/>
  <c r="CN32" i="24"/>
  <c r="DA32" i="24" s="1"/>
  <c r="DT68" i="24"/>
  <c r="DT94" i="24"/>
  <c r="CS28" i="24"/>
  <c r="FD28" i="24" s="1"/>
  <c r="CN28" i="24"/>
  <c r="CZ198" i="24"/>
  <c r="DT268" i="24"/>
  <c r="DT257" i="24"/>
  <c r="CN272" i="24"/>
  <c r="DA272" i="24" s="1"/>
  <c r="CS272" i="24"/>
  <c r="FD272" i="24" s="1"/>
  <c r="CN207" i="24"/>
  <c r="DA207" i="24" s="1"/>
  <c r="CS207" i="24"/>
  <c r="FD207" i="24" s="1"/>
  <c r="CN141" i="24"/>
  <c r="CS141" i="24"/>
  <c r="FD141" i="24" s="1"/>
  <c r="CZ128" i="24"/>
  <c r="CZ117" i="24"/>
  <c r="DT74" i="24"/>
  <c r="DT31" i="24"/>
  <c r="CZ145" i="24"/>
  <c r="CS218" i="24"/>
  <c r="FD218" i="24" s="1"/>
  <c r="CN218" i="24"/>
  <c r="DA218" i="24" s="1"/>
  <c r="CZ130" i="24"/>
  <c r="CN44" i="24"/>
  <c r="DA44" i="24" s="1"/>
  <c r="CS44" i="24"/>
  <c r="FD44" i="24" s="1"/>
  <c r="DT96" i="24"/>
  <c r="DT12" i="24"/>
  <c r="CN77" i="24"/>
  <c r="DA77" i="24" s="1"/>
  <c r="CS77" i="24"/>
  <c r="FD77" i="24" s="1"/>
  <c r="DT59" i="24"/>
  <c r="CZ313" i="24"/>
  <c r="CZ246" i="24"/>
  <c r="DT290" i="24"/>
  <c r="DT223" i="24"/>
  <c r="CZ260" i="24"/>
  <c r="CZ225" i="24"/>
  <c r="CN299" i="24"/>
  <c r="CS299" i="24"/>
  <c r="FD299" i="24" s="1"/>
  <c r="DT237" i="24"/>
  <c r="CN124" i="24"/>
  <c r="DA124" i="24" s="1"/>
  <c r="CS124" i="24"/>
  <c r="FD124" i="24" s="1"/>
  <c r="CZ99" i="24"/>
  <c r="CN69" i="24"/>
  <c r="DA69" i="24" s="1"/>
  <c r="CS69" i="24"/>
  <c r="FD69" i="24" s="1"/>
  <c r="CZ127" i="24"/>
  <c r="CN39" i="24"/>
  <c r="DA39" i="24" s="1"/>
  <c r="CS39" i="24"/>
  <c r="FD39" i="24" s="1"/>
  <c r="CS87" i="24"/>
  <c r="FD87" i="24" s="1"/>
  <c r="CN87" i="24"/>
  <c r="DA87" i="24" s="1"/>
  <c r="CZ291" i="24"/>
  <c r="CS111" i="24"/>
  <c r="FD111" i="24" s="1"/>
  <c r="CN111" i="24"/>
  <c r="DA111" i="24" s="1"/>
  <c r="CZ38" i="24"/>
  <c r="DT89" i="24"/>
  <c r="CZ60" i="24"/>
  <c r="CZ29" i="24"/>
  <c r="CZ58" i="24"/>
  <c r="CN10" i="24"/>
  <c r="DA10" i="24" s="1"/>
  <c r="CS10" i="24"/>
  <c r="FD10" i="24" s="1"/>
  <c r="CN280" i="24"/>
  <c r="DA280" i="24" s="1"/>
  <c r="CS280" i="24"/>
  <c r="FD280" i="24" s="1"/>
  <c r="CZ293" i="24"/>
  <c r="DT245" i="24"/>
  <c r="CS222" i="24"/>
  <c r="FD222" i="24" s="1"/>
  <c r="CN222" i="24"/>
  <c r="CS243" i="24"/>
  <c r="FD243" i="24" s="1"/>
  <c r="CN243" i="24"/>
  <c r="DA243" i="24" s="1"/>
  <c r="CZ143" i="24"/>
  <c r="CZ37" i="24"/>
  <c r="CZ170" i="24"/>
  <c r="CZ152" i="24"/>
  <c r="CZ27" i="24"/>
  <c r="DT254" i="24"/>
  <c r="CS292" i="24"/>
  <c r="FD292" i="24" s="1"/>
  <c r="CN292" i="24"/>
  <c r="DA292" i="24" s="1"/>
  <c r="CN265" i="24"/>
  <c r="CS265" i="24"/>
  <c r="FD265" i="24" s="1"/>
  <c r="CN312" i="24"/>
  <c r="DA312" i="24" s="1"/>
  <c r="CS312" i="24"/>
  <c r="FD312" i="24" s="1"/>
  <c r="CZ134" i="24"/>
  <c r="CS105" i="24"/>
  <c r="FD105" i="24" s="1"/>
  <c r="CN105" i="24"/>
  <c r="CZ169" i="24"/>
  <c r="DT102" i="24"/>
  <c r="DT93" i="24"/>
  <c r="CZ24" i="24"/>
  <c r="CZ46" i="24"/>
  <c r="DT269" i="24"/>
  <c r="CZ199" i="24"/>
  <c r="DT247" i="24"/>
  <c r="DT273" i="24"/>
  <c r="CS231" i="24"/>
  <c r="FD231" i="24" s="1"/>
  <c r="CN231" i="24"/>
  <c r="DA231" i="24" s="1"/>
  <c r="CN261" i="24"/>
  <c r="CS261" i="24"/>
  <c r="FD261" i="24" s="1"/>
  <c r="CZ220" i="24"/>
  <c r="CS184" i="24"/>
  <c r="FD184" i="24" s="1"/>
  <c r="CN184" i="24"/>
  <c r="CS100" i="24"/>
  <c r="FD100" i="24" s="1"/>
  <c r="CN100" i="24"/>
  <c r="DA100" i="24" s="1"/>
  <c r="CN165" i="24"/>
  <c r="DA165" i="24" s="1"/>
  <c r="CS165" i="24"/>
  <c r="FD165" i="24" s="1"/>
  <c r="CZ78" i="24"/>
  <c r="CN137" i="24"/>
  <c r="DA137" i="24" s="1"/>
  <c r="CS137" i="24"/>
  <c r="FD137" i="24" s="1"/>
  <c r="CN85" i="24"/>
  <c r="DA85" i="24" s="1"/>
  <c r="CS85" i="24"/>
  <c r="FD85" i="24" s="1"/>
  <c r="DT23" i="24"/>
  <c r="CN229" i="24"/>
  <c r="CS229" i="24"/>
  <c r="FD229" i="24" s="1"/>
  <c r="CZ195" i="24"/>
  <c r="CZ207" i="24"/>
  <c r="DT256" i="24"/>
  <c r="CN130" i="24"/>
  <c r="DA130" i="24" s="1"/>
  <c r="CS130" i="24"/>
  <c r="FD130" i="24" s="1"/>
  <c r="CZ79" i="24"/>
  <c r="CZ92" i="24"/>
  <c r="CN246" i="24"/>
  <c r="DA246" i="24" s="1"/>
  <c r="CS246" i="24"/>
  <c r="FD246" i="24" s="1"/>
  <c r="CS310" i="24"/>
  <c r="FD310" i="24" s="1"/>
  <c r="CN310" i="24"/>
  <c r="CS138" i="24"/>
  <c r="FD138" i="24" s="1"/>
  <c r="CN138" i="24"/>
  <c r="CN99" i="24"/>
  <c r="CS99" i="24"/>
  <c r="FD99" i="24" s="1"/>
  <c r="DT266" i="24"/>
  <c r="CZ39" i="24"/>
  <c r="DT293" i="24"/>
  <c r="CS185" i="24"/>
  <c r="FD185" i="24" s="1"/>
  <c r="CN185" i="24"/>
  <c r="DA185" i="24" s="1"/>
  <c r="CS279" i="24"/>
  <c r="FD279" i="24" s="1"/>
  <c r="CN279" i="24"/>
  <c r="CN112" i="24"/>
  <c r="CS112" i="24"/>
  <c r="FD112" i="24" s="1"/>
  <c r="CZ154" i="24"/>
  <c r="CS129" i="24"/>
  <c r="FD129" i="24" s="1"/>
  <c r="CN129" i="24"/>
  <c r="DA129" i="24" s="1"/>
  <c r="CZ166" i="24"/>
  <c r="CZ88" i="24"/>
  <c r="CZ97" i="24"/>
  <c r="CS56" i="24"/>
  <c r="FD56" i="24" s="1"/>
  <c r="CN56" i="24"/>
  <c r="DA56" i="24" s="1"/>
  <c r="CN55" i="24"/>
  <c r="CS55" i="24"/>
  <c r="FD55" i="24" s="1"/>
  <c r="CZ48" i="24"/>
  <c r="CZ22" i="24"/>
  <c r="CS254" i="24"/>
  <c r="FD254" i="24" s="1"/>
  <c r="CN254" i="24"/>
  <c r="CZ292" i="24"/>
  <c r="CZ241" i="24"/>
  <c r="DT275" i="24"/>
  <c r="CZ312" i="24"/>
  <c r="CS134" i="24"/>
  <c r="FD134" i="24" s="1"/>
  <c r="CN134" i="24"/>
  <c r="CN147" i="24"/>
  <c r="DA147" i="24" s="1"/>
  <c r="CS147" i="24"/>
  <c r="FD147" i="24" s="1"/>
  <c r="CS126" i="24"/>
  <c r="FD126" i="24" s="1"/>
  <c r="CN126" i="24"/>
  <c r="DA126" i="24" s="1"/>
  <c r="CN80" i="24"/>
  <c r="DA80" i="24" s="1"/>
  <c r="CS80" i="24"/>
  <c r="FD80" i="24" s="1"/>
  <c r="CS76" i="24"/>
  <c r="FD76" i="24" s="1"/>
  <c r="CN76" i="24"/>
  <c r="CZ93" i="24"/>
  <c r="CN8" i="24"/>
  <c r="DA8" i="24" s="1"/>
  <c r="CS8" i="24"/>
  <c r="FD8" i="24" s="1"/>
  <c r="CS24" i="24"/>
  <c r="FD24" i="24" s="1"/>
  <c r="CN24" i="24"/>
  <c r="DA24" i="24" s="1"/>
  <c r="DT46" i="24"/>
  <c r="DT252" i="24"/>
  <c r="CN273" i="24"/>
  <c r="DA273" i="24" s="1"/>
  <c r="CS273" i="24"/>
  <c r="FD273" i="24" s="1"/>
  <c r="DT231" i="24"/>
  <c r="CS270" i="24"/>
  <c r="FD270" i="24" s="1"/>
  <c r="CN270" i="24"/>
  <c r="DA270" i="24" s="1"/>
  <c r="CZ100" i="24"/>
  <c r="DT32" i="24"/>
  <c r="CZ63" i="24"/>
  <c r="DT85" i="24"/>
  <c r="DT51" i="24"/>
  <c r="DT13" i="24"/>
  <c r="CN23" i="24"/>
  <c r="DA23" i="24" s="1"/>
  <c r="CS23" i="24"/>
  <c r="FD23" i="24" s="1"/>
  <c r="DT61" i="24"/>
  <c r="CN316" i="24"/>
  <c r="DA316" i="24" s="1"/>
  <c r="CS316" i="24"/>
  <c r="FD316" i="24" s="1"/>
  <c r="DT295" i="24"/>
  <c r="DT229" i="24"/>
  <c r="CS180" i="24"/>
  <c r="FD180" i="24" s="1"/>
  <c r="CN180" i="24"/>
  <c r="DA180" i="24" s="1"/>
  <c r="CZ178" i="24"/>
  <c r="CS117" i="24"/>
  <c r="FD117" i="24" s="1"/>
  <c r="CN117" i="24"/>
  <c r="CZ142" i="24"/>
  <c r="CN31" i="24"/>
  <c r="DA31" i="24" s="1"/>
  <c r="CS31" i="24"/>
  <c r="FD31" i="24" s="1"/>
  <c r="CN79" i="24"/>
  <c r="CS79" i="24"/>
  <c r="FD79" i="24" s="1"/>
  <c r="CS92" i="24"/>
  <c r="FD92" i="24" s="1"/>
  <c r="CN92" i="24"/>
  <c r="DA92" i="24" s="1"/>
  <c r="DT313" i="24"/>
  <c r="DT246" i="24"/>
  <c r="CZ223" i="24"/>
  <c r="DT260" i="24"/>
  <c r="DT299" i="24"/>
  <c r="CZ239" i="24"/>
  <c r="DT271" i="24"/>
  <c r="DT310" i="24"/>
  <c r="CZ138" i="24"/>
  <c r="CZ140" i="24"/>
  <c r="CZ43" i="24"/>
  <c r="CN71" i="24"/>
  <c r="DA71" i="24" s="1"/>
  <c r="CS71" i="24"/>
  <c r="FD71" i="24" s="1"/>
  <c r="CZ42" i="24"/>
  <c r="DT87" i="24"/>
  <c r="CZ34" i="24"/>
  <c r="CS38" i="24"/>
  <c r="FD38" i="24" s="1"/>
  <c r="CN38" i="24"/>
  <c r="DA38" i="24" s="1"/>
  <c r="DT20" i="24"/>
  <c r="DT62" i="24"/>
  <c r="DT84" i="24"/>
  <c r="DT10" i="24"/>
  <c r="DT57" i="24"/>
  <c r="CZ280" i="24"/>
  <c r="CZ278" i="24"/>
  <c r="DT279" i="24"/>
  <c r="CN191" i="24"/>
  <c r="DA191" i="24" s="1"/>
  <c r="CS191" i="24"/>
  <c r="FD191" i="24" s="1"/>
  <c r="DT104" i="24"/>
  <c r="CS154" i="24"/>
  <c r="FD154" i="24" s="1"/>
  <c r="CN154" i="24"/>
  <c r="DA154" i="24" s="1"/>
  <c r="CZ182" i="24"/>
  <c r="CS166" i="24"/>
  <c r="FD166" i="24" s="1"/>
  <c r="CN166" i="24"/>
  <c r="DA166" i="24" s="1"/>
  <c r="CN97" i="24"/>
  <c r="CS97" i="24"/>
  <c r="FD97" i="24" s="1"/>
  <c r="CZ7" i="24"/>
  <c r="CZ56" i="24"/>
  <c r="CN19" i="24"/>
  <c r="DA19" i="24" s="1"/>
  <c r="CS19" i="24"/>
  <c r="FD19" i="24" s="1"/>
  <c r="DT55" i="24"/>
  <c r="DT48" i="24"/>
  <c r="CS22" i="24"/>
  <c r="FD22" i="24" s="1"/>
  <c r="CN22" i="24"/>
  <c r="DA22" i="24" s="1"/>
  <c r="DT265" i="24"/>
  <c r="DT312" i="24"/>
  <c r="CZ230" i="24"/>
  <c r="CZ155" i="24"/>
  <c r="CS33" i="24"/>
  <c r="FD33" i="24" s="1"/>
  <c r="CN33" i="24"/>
  <c r="DA33" i="24" s="1"/>
  <c r="DT16" i="24"/>
  <c r="CS46" i="24"/>
  <c r="FD46" i="24" s="1"/>
  <c r="CN46" i="24"/>
  <c r="CS252" i="24"/>
  <c r="FD252" i="24" s="1"/>
  <c r="CN252" i="24"/>
  <c r="DA252" i="24" s="1"/>
  <c r="CZ247" i="24"/>
  <c r="CZ231" i="24"/>
  <c r="CS197" i="24"/>
  <c r="FD197" i="24" s="1"/>
  <c r="CN197" i="24"/>
  <c r="DT220" i="24"/>
  <c r="CN101" i="24"/>
  <c r="CS101" i="24"/>
  <c r="FD101" i="24" s="1"/>
  <c r="CZ165" i="24"/>
  <c r="CN51" i="24"/>
  <c r="DA51" i="24" s="1"/>
  <c r="CS51" i="24"/>
  <c r="FD51" i="24" s="1"/>
  <c r="CZ23" i="24"/>
  <c r="CN61" i="24"/>
  <c r="DA61" i="24" s="1"/>
  <c r="CS61" i="24"/>
  <c r="FD61" i="24" s="1"/>
  <c r="DT28" i="24"/>
  <c r="DT316" i="24"/>
  <c r="CN295" i="24"/>
  <c r="DA295" i="24" s="1"/>
  <c r="CS295" i="24"/>
  <c r="FD295" i="24" s="1"/>
  <c r="CS195" i="24"/>
  <c r="FD195" i="24" s="1"/>
  <c r="CN195" i="24"/>
  <c r="DA195" i="24" s="1"/>
  <c r="CZ249" i="24"/>
  <c r="CZ180" i="24"/>
  <c r="CS178" i="24"/>
  <c r="FD178" i="24" s="1"/>
  <c r="CN178" i="24"/>
  <c r="DA178" i="24" s="1"/>
  <c r="CZ95" i="24"/>
  <c r="CZ256" i="24"/>
  <c r="CZ74" i="24"/>
  <c r="CZ31" i="24"/>
  <c r="CZ44" i="24"/>
  <c r="CZ96" i="24"/>
  <c r="CN12" i="24"/>
  <c r="DA12" i="24" s="1"/>
  <c r="CS12" i="24"/>
  <c r="FD12" i="24" s="1"/>
  <c r="DT92" i="24"/>
  <c r="CS196" i="24"/>
  <c r="FD196" i="24" s="1"/>
  <c r="CN196" i="24"/>
  <c r="DA196" i="24" s="1"/>
  <c r="CS223" i="24"/>
  <c r="FD223" i="24" s="1"/>
  <c r="CN223" i="24"/>
  <c r="DT225" i="24"/>
  <c r="DT239" i="24"/>
  <c r="CN271" i="24"/>
  <c r="CS271" i="24"/>
  <c r="FD271" i="24" s="1"/>
  <c r="CZ174" i="24"/>
  <c r="CS188" i="24"/>
  <c r="FD188" i="24" s="1"/>
  <c r="CN188" i="24"/>
  <c r="CZ151" i="24"/>
  <c r="CS140" i="24"/>
  <c r="FD140" i="24" s="1"/>
  <c r="CN140" i="24"/>
  <c r="DA140" i="24" s="1"/>
  <c r="CS266" i="24"/>
  <c r="FD266" i="24" s="1"/>
  <c r="CN266" i="24"/>
  <c r="CN127" i="24"/>
  <c r="DA127" i="24" s="1"/>
  <c r="CS127" i="24"/>
  <c r="FD127" i="24" s="1"/>
  <c r="CS42" i="24"/>
  <c r="FD42" i="24" s="1"/>
  <c r="CN42" i="24"/>
  <c r="DA42" i="24" s="1"/>
  <c r="CZ87" i="24"/>
  <c r="CN164" i="24"/>
  <c r="DA164" i="24" s="1"/>
  <c r="CS164" i="24"/>
  <c r="FD164" i="24" s="1"/>
  <c r="CZ193" i="24"/>
  <c r="CS156" i="24"/>
  <c r="FD156" i="24" s="1"/>
  <c r="CN156" i="24"/>
  <c r="CZ62" i="24"/>
  <c r="CS84" i="24"/>
  <c r="FD84" i="24" s="1"/>
  <c r="CN84" i="24"/>
  <c r="CS57" i="24"/>
  <c r="FD57" i="24" s="1"/>
  <c r="CN57" i="24"/>
  <c r="DA57" i="24" s="1"/>
  <c r="CS278" i="24"/>
  <c r="FD278" i="24" s="1"/>
  <c r="CN278" i="24"/>
  <c r="DA278" i="24" s="1"/>
  <c r="DT262" i="24"/>
  <c r="DT276" i="24"/>
  <c r="CS143" i="24"/>
  <c r="FD143" i="24" s="1"/>
  <c r="CN143" i="24"/>
  <c r="CS175" i="24"/>
  <c r="FD175" i="24" s="1"/>
  <c r="CN175" i="24"/>
  <c r="DA175" i="24" s="1"/>
  <c r="CN170" i="24"/>
  <c r="CS170" i="24"/>
  <c r="FD170" i="24" s="1"/>
  <c r="DT19" i="24"/>
  <c r="CS27" i="24"/>
  <c r="FD27" i="24" s="1"/>
  <c r="CN27" i="24"/>
  <c r="CZ274" i="24"/>
  <c r="CS202" i="24"/>
  <c r="FD202" i="24" s="1"/>
  <c r="CN202" i="24"/>
  <c r="CS308" i="24"/>
  <c r="FD308" i="24" s="1"/>
  <c r="CN308" i="24"/>
  <c r="DA308" i="24" s="1"/>
  <c r="DT292" i="24"/>
  <c r="DT241" i="24"/>
  <c r="DT230" i="24"/>
  <c r="CZ186" i="24"/>
  <c r="DT105" i="24"/>
  <c r="CZ173" i="24"/>
  <c r="CN155" i="24"/>
  <c r="DA155" i="24" s="1"/>
  <c r="CS155" i="24"/>
  <c r="FD155" i="24" s="1"/>
  <c r="DT33" i="24"/>
  <c r="CS54" i="24"/>
  <c r="FD54" i="24" s="1"/>
  <c r="CN54" i="24"/>
  <c r="CS65" i="24"/>
  <c r="FD65" i="24" s="1"/>
  <c r="CN65" i="24"/>
  <c r="CZ304" i="24"/>
  <c r="CZ303" i="24"/>
  <c r="DT270" i="24"/>
  <c r="CN288" i="24"/>
  <c r="DA288" i="24" s="1"/>
  <c r="CS288" i="24"/>
  <c r="FD288" i="24" s="1"/>
  <c r="CZ181" i="24"/>
  <c r="DT101" i="24"/>
  <c r="CS144" i="24"/>
  <c r="FD144" i="24" s="1"/>
  <c r="CN144" i="24"/>
  <c r="CZ159" i="24"/>
  <c r="CZ68" i="24"/>
  <c r="CZ137" i="24"/>
  <c r="DT63" i="24"/>
  <c r="CZ51" i="24"/>
  <c r="CZ13" i="24"/>
  <c r="CS35" i="24"/>
  <c r="FD35" i="24" s="1"/>
  <c r="CN35" i="24"/>
  <c r="DA35" i="24" s="1"/>
  <c r="CZ61" i="24"/>
  <c r="CZ316" i="24"/>
  <c r="CS251" i="24"/>
  <c r="FD251" i="24" s="1"/>
  <c r="CN251" i="24"/>
  <c r="DA251" i="24" s="1"/>
  <c r="CZ295" i="24"/>
  <c r="CN227" i="24"/>
  <c r="CS227" i="24"/>
  <c r="FD227" i="24" s="1"/>
  <c r="CZ301" i="24"/>
  <c r="CS95" i="24"/>
  <c r="FD95" i="24" s="1"/>
  <c r="CN95" i="24"/>
  <c r="CZ49" i="24"/>
  <c r="CN239" i="24"/>
  <c r="CS239" i="24"/>
  <c r="FD239" i="24" s="1"/>
  <c r="CZ315" i="24"/>
  <c r="CS201" i="24"/>
  <c r="FD201" i="24" s="1"/>
  <c r="CN201" i="24"/>
  <c r="CZ176" i="24"/>
  <c r="CN114" i="24"/>
  <c r="CS114" i="24"/>
  <c r="FD114" i="24" s="1"/>
  <c r="CS174" i="24"/>
  <c r="FD174" i="24" s="1"/>
  <c r="CN174" i="24"/>
  <c r="CZ124" i="24"/>
  <c r="CZ69" i="24"/>
  <c r="DT39" i="24"/>
  <c r="CN91" i="24"/>
  <c r="CS91" i="24"/>
  <c r="FD91" i="24" s="1"/>
  <c r="DT42" i="24"/>
  <c r="CZ53" i="24"/>
  <c r="DT34" i="24"/>
  <c r="CZ204" i="24"/>
  <c r="CS293" i="24"/>
  <c r="FD293" i="24" s="1"/>
  <c r="CN293" i="24"/>
  <c r="DA293" i="24" s="1"/>
  <c r="CS276" i="24"/>
  <c r="FD276" i="24" s="1"/>
  <c r="CN276" i="24"/>
  <c r="CZ191" i="24"/>
  <c r="CZ228" i="24"/>
  <c r="CS182" i="24"/>
  <c r="FD182" i="24" s="1"/>
  <c r="CN182" i="24"/>
  <c r="CZ129" i="24"/>
  <c r="CN82" i="24"/>
  <c r="DA82" i="24" s="1"/>
  <c r="CS82" i="24"/>
  <c r="FD82" i="24" s="1"/>
  <c r="CN88" i="24"/>
  <c r="CS88" i="24"/>
  <c r="FD88" i="24" s="1"/>
  <c r="DT97" i="24"/>
  <c r="DT56" i="24"/>
  <c r="CZ308" i="24"/>
  <c r="CS241" i="24"/>
  <c r="FD241" i="24" s="1"/>
  <c r="CN241" i="24"/>
  <c r="CZ210" i="24"/>
  <c r="CN230" i="24"/>
  <c r="DA230" i="24" s="1"/>
  <c r="CS230" i="24"/>
  <c r="FD230" i="24" s="1"/>
  <c r="CN183" i="24"/>
  <c r="DA183" i="24" s="1"/>
  <c r="CS183" i="24"/>
  <c r="FD183" i="24" s="1"/>
  <c r="CZ147" i="24"/>
  <c r="CZ33" i="24"/>
  <c r="DT76" i="24"/>
  <c r="CN90" i="24"/>
  <c r="CS90" i="24"/>
  <c r="FD90" i="24" s="1"/>
  <c r="DT8" i="24"/>
  <c r="CZ25" i="24"/>
  <c r="DT24" i="24"/>
  <c r="DT65" i="24"/>
  <c r="CZ269" i="24"/>
  <c r="CN199" i="24"/>
  <c r="DA199" i="24" s="1"/>
  <c r="CS199" i="24"/>
  <c r="FD199" i="24" s="1"/>
  <c r="DT303" i="24"/>
  <c r="CN181" i="24"/>
  <c r="CS181" i="24"/>
  <c r="FD181" i="24" s="1"/>
  <c r="CN131" i="24"/>
  <c r="DA131" i="24" s="1"/>
  <c r="CS131" i="24"/>
  <c r="FD131" i="24" s="1"/>
  <c r="DT100" i="24"/>
  <c r="CN121" i="24"/>
  <c r="DA121" i="24" s="1"/>
  <c r="CS121" i="24"/>
  <c r="FD121" i="24" s="1"/>
  <c r="DT78" i="24"/>
  <c r="CS159" i="24"/>
  <c r="FD159" i="24" s="1"/>
  <c r="CN159" i="24"/>
  <c r="CS63" i="24"/>
  <c r="FD63" i="24" s="1"/>
  <c r="CN63" i="24"/>
  <c r="CZ35" i="24"/>
  <c r="DT251" i="24"/>
  <c r="CS301" i="24"/>
  <c r="FD301" i="24" s="1"/>
  <c r="CN301" i="24"/>
  <c r="DA301" i="24" s="1"/>
  <c r="CN249" i="24"/>
  <c r="CS249" i="24"/>
  <c r="FD249" i="24" s="1"/>
  <c r="CN256" i="24"/>
  <c r="CS256" i="24"/>
  <c r="FD256" i="24" s="1"/>
  <c r="CS49" i="24"/>
  <c r="FD49" i="24" s="1"/>
  <c r="CN49" i="24"/>
  <c r="DA49" i="24" s="1"/>
  <c r="CZ12" i="24"/>
  <c r="CZ77" i="24"/>
  <c r="CZ26" i="24"/>
  <c r="CZ196" i="24"/>
  <c r="CN260" i="24"/>
  <c r="DA260" i="24" s="1"/>
  <c r="CS260" i="24"/>
  <c r="FD260" i="24" s="1"/>
  <c r="CN315" i="24"/>
  <c r="CS315" i="24"/>
  <c r="FD315" i="24" s="1"/>
  <c r="CZ237" i="24"/>
  <c r="CS151" i="24"/>
  <c r="FD151" i="24" s="1"/>
  <c r="CN151" i="24"/>
  <c r="DA151" i="24" s="1"/>
  <c r="CN168" i="24"/>
  <c r="CS168" i="24"/>
  <c r="FD168" i="24" s="1"/>
  <c r="CN53" i="24"/>
  <c r="DA53" i="24" s="1"/>
  <c r="CS53" i="24"/>
  <c r="FD53" i="24" s="1"/>
  <c r="CS34" i="24"/>
  <c r="FD34" i="24" s="1"/>
  <c r="CN34" i="24"/>
  <c r="DA34" i="24" s="1"/>
  <c r="CN62" i="24"/>
  <c r="DA62" i="24" s="1"/>
  <c r="CS62" i="24"/>
  <c r="FD62" i="24" s="1"/>
  <c r="CZ10" i="24"/>
  <c r="DT17" i="24"/>
  <c r="DT278" i="24"/>
  <c r="CS204" i="24"/>
  <c r="FD204" i="24" s="1"/>
  <c r="CN204" i="24"/>
  <c r="DA204" i="24" s="1"/>
  <c r="CN245" i="24"/>
  <c r="CS245" i="24"/>
  <c r="FD245" i="24" s="1"/>
  <c r="CN235" i="24"/>
  <c r="CS235" i="24"/>
  <c r="FD235" i="24" s="1"/>
  <c r="CZ243" i="24"/>
  <c r="CS228" i="24"/>
  <c r="FD228" i="24" s="1"/>
  <c r="CN228" i="24"/>
  <c r="CZ175" i="24"/>
  <c r="CZ104" i="24"/>
  <c r="CZ82" i="24"/>
  <c r="DT88" i="24"/>
  <c r="CS7" i="24"/>
  <c r="FD7" i="24" s="1"/>
  <c r="CN7" i="24"/>
  <c r="DA7" i="24" s="1"/>
  <c r="CZ19" i="24"/>
  <c r="DT27" i="24"/>
  <c r="CZ67" i="24"/>
  <c r="CS48" i="24"/>
  <c r="FD48" i="24" s="1"/>
  <c r="CN48" i="24"/>
  <c r="DA48" i="24" s="1"/>
  <c r="CS274" i="24"/>
  <c r="FD274" i="24" s="1"/>
  <c r="CN274" i="24"/>
  <c r="DT248" i="24"/>
  <c r="DT305" i="24"/>
  <c r="CN210" i="24"/>
  <c r="CS210" i="24"/>
  <c r="FD210" i="24" s="1"/>
  <c r="CZ275" i="24"/>
  <c r="CN169" i="24"/>
  <c r="DA169" i="24" s="1"/>
  <c r="CS169" i="24"/>
  <c r="FD169" i="24" s="1"/>
  <c r="CZ102" i="24"/>
  <c r="CZ126" i="24"/>
  <c r="CZ80" i="24"/>
  <c r="CS149" i="24"/>
  <c r="FD149" i="24" s="1"/>
  <c r="CN149" i="24"/>
  <c r="DA149" i="24" s="1"/>
  <c r="DT90" i="24"/>
  <c r="DT25" i="24"/>
  <c r="CZ16" i="24"/>
  <c r="CS304" i="24"/>
  <c r="FD304" i="24" s="1"/>
  <c r="CN304" i="24"/>
  <c r="DT261" i="24"/>
  <c r="CZ270" i="24"/>
  <c r="DT288" i="24"/>
  <c r="CZ160" i="24"/>
  <c r="CS135" i="24"/>
  <c r="FD135" i="24" s="1"/>
  <c r="CN135" i="24"/>
  <c r="DA135" i="24" s="1"/>
  <c r="CZ121" i="24"/>
  <c r="CZ85" i="24"/>
  <c r="CN13" i="24"/>
  <c r="DA13" i="24" s="1"/>
  <c r="CS13" i="24"/>
  <c r="FD13" i="24" s="1"/>
  <c r="CS94" i="24"/>
  <c r="FD94" i="24" s="1"/>
  <c r="CN94" i="24"/>
  <c r="CZ251" i="24"/>
  <c r="CS198" i="24"/>
  <c r="FD198" i="24" s="1"/>
  <c r="CN198" i="24"/>
  <c r="DA198" i="24" s="1"/>
  <c r="DT227" i="24"/>
  <c r="CZ268" i="24"/>
  <c r="DT301" i="24"/>
  <c r="CZ257" i="24"/>
  <c r="DT249" i="24"/>
  <c r="CZ272" i="24"/>
  <c r="CZ125" i="24"/>
  <c r="DT95" i="24"/>
  <c r="CN128" i="24"/>
  <c r="DA128" i="24" s="1"/>
  <c r="CS128" i="24"/>
  <c r="FD128" i="24" s="1"/>
  <c r="CN158" i="24"/>
  <c r="CS158" i="24"/>
  <c r="FD158" i="24" s="1"/>
  <c r="CS145" i="24"/>
  <c r="FD145" i="24" s="1"/>
  <c r="CN145" i="24"/>
  <c r="CZ218" i="24"/>
  <c r="DT79" i="24"/>
  <c r="DT49" i="24"/>
  <c r="CN96" i="24"/>
  <c r="CS96" i="24"/>
  <c r="FD96" i="24" s="1"/>
  <c r="DT77" i="24"/>
  <c r="CZ59" i="24"/>
  <c r="CN26" i="24"/>
  <c r="DA26" i="24" s="1"/>
  <c r="CS26" i="24"/>
  <c r="FD26" i="24" s="1"/>
  <c r="CZ290" i="24"/>
  <c r="DT315" i="24"/>
  <c r="CN176" i="24"/>
  <c r="DA176" i="24" s="1"/>
  <c r="CS176" i="24"/>
  <c r="FD176" i="24" s="1"/>
  <c r="DT99" i="24"/>
  <c r="CZ71" i="24"/>
  <c r="CS11" i="24"/>
  <c r="FD11" i="24" s="1"/>
  <c r="CN11" i="24"/>
  <c r="Q5" i="29"/>
  <c r="BC7" i="19"/>
  <c r="K77" i="23"/>
  <c r="M77" i="23" s="1"/>
  <c r="B233" i="2"/>
  <c r="BK6" i="19"/>
  <c r="BB6" i="19"/>
  <c r="BH7" i="19"/>
  <c r="BF6" i="19"/>
  <c r="BK7" i="19"/>
  <c r="BS7" i="19"/>
  <c r="BF9" i="19"/>
  <c r="BH9" i="19"/>
  <c r="BD9" i="19"/>
  <c r="BA6" i="19"/>
  <c r="BI6" i="19"/>
  <c r="BD6" i="19"/>
  <c r="AZ7" i="19"/>
  <c r="BL7" i="19" s="1"/>
  <c r="BM7" i="19" s="1"/>
  <c r="BZ7" i="19" s="1"/>
  <c r="BG7" i="19"/>
  <c r="BJ7" i="19"/>
  <c r="BS6" i="19"/>
  <c r="AZ6" i="19"/>
  <c r="BL6" i="19" s="1"/>
  <c r="BM6" i="19" s="1"/>
  <c r="BZ6" i="19" s="1"/>
  <c r="BG6" i="19"/>
  <c r="BB7" i="19"/>
  <c r="BF7" i="19"/>
  <c r="BA7" i="19"/>
  <c r="BC6" i="19"/>
  <c r="BH6" i="19"/>
  <c r="BE6" i="19"/>
  <c r="BE7" i="19"/>
  <c r="BI7" i="19"/>
  <c r="BB9" i="19"/>
  <c r="BI9" i="19"/>
  <c r="BB8" i="19"/>
  <c r="BS8" i="19"/>
  <c r="BJ9" i="19"/>
  <c r="BS9" i="19"/>
  <c r="BK8" i="19"/>
  <c r="AZ9" i="19"/>
  <c r="BL9" i="19" s="1"/>
  <c r="BM9" i="19" s="1"/>
  <c r="BZ9" i="19" s="1"/>
  <c r="BD8" i="19"/>
  <c r="BE8" i="19"/>
  <c r="BG8" i="19"/>
  <c r="BE9" i="19"/>
  <c r="BA9" i="19"/>
  <c r="BG9" i="19"/>
  <c r="BH8" i="19"/>
  <c r="BI8" i="19"/>
  <c r="BF8" i="19"/>
  <c r="AZ8" i="19"/>
  <c r="BL8" i="19" s="1"/>
  <c r="BM8" i="19" s="1"/>
  <c r="BZ8" i="19" s="1"/>
  <c r="BK9" i="19"/>
  <c r="BC9" i="19"/>
  <c r="BA8" i="19"/>
  <c r="BJ8" i="19"/>
  <c r="K67" i="23"/>
  <c r="M67" i="23" s="1"/>
  <c r="L103" i="23"/>
  <c r="M103" i="23" s="1"/>
  <c r="L88" i="23"/>
  <c r="M88" i="23" s="1"/>
  <c r="K20" i="23"/>
  <c r="M20" i="23" s="1"/>
  <c r="K63" i="23"/>
  <c r="M63" i="23" s="1"/>
  <c r="L49" i="23"/>
  <c r="M49" i="23" s="1"/>
  <c r="K84" i="23"/>
  <c r="M84" i="23" s="1"/>
  <c r="L60" i="23"/>
  <c r="M60" i="23" s="1"/>
  <c r="L100" i="23"/>
  <c r="M100" i="23" s="1"/>
  <c r="L24" i="23"/>
  <c r="M24" i="23" s="1"/>
  <c r="K42" i="23"/>
  <c r="M42" i="23" s="1"/>
  <c r="K66" i="23"/>
  <c r="M66" i="23" s="1"/>
  <c r="K74" i="23"/>
  <c r="M74" i="23" s="1"/>
  <c r="K58" i="23"/>
  <c r="M58" i="23" s="1"/>
  <c r="K93" i="23"/>
  <c r="M93" i="23" s="1"/>
  <c r="L57" i="23"/>
  <c r="M57" i="23" s="1"/>
  <c r="L72" i="23"/>
  <c r="M72" i="23" s="1"/>
  <c r="K65" i="23"/>
  <c r="M65" i="23" s="1"/>
  <c r="L95" i="23"/>
  <c r="M95" i="23" s="1"/>
  <c r="M11" i="23"/>
  <c r="M99" i="23"/>
  <c r="M27" i="23"/>
  <c r="M19" i="23"/>
  <c r="M56" i="23"/>
  <c r="M8" i="23"/>
  <c r="M87" i="23"/>
  <c r="M55" i="23"/>
  <c r="M75" i="23"/>
  <c r="M12" i="23"/>
  <c r="M47" i="23"/>
  <c r="M43" i="23"/>
  <c r="M6" i="23"/>
  <c r="L97" i="23"/>
  <c r="M97" i="23" s="1"/>
  <c r="K83" i="23"/>
  <c r="M83" i="23" s="1"/>
  <c r="M98" i="23"/>
  <c r="M62" i="23"/>
  <c r="M46" i="23"/>
  <c r="M76" i="23"/>
  <c r="M78" i="23"/>
  <c r="M54" i="23"/>
  <c r="M81" i="23"/>
  <c r="M85" i="23"/>
  <c r="M50" i="23"/>
  <c r="M53" i="23"/>
  <c r="M101" i="23"/>
  <c r="M45" i="23"/>
  <c r="M34" i="23"/>
  <c r="M36" i="23"/>
  <c r="M28" i="23"/>
  <c r="M9" i="23"/>
  <c r="M33" i="23"/>
  <c r="M30" i="23"/>
  <c r="M90" i="23"/>
  <c r="M10" i="23"/>
  <c r="M94" i="23"/>
  <c r="M68" i="23"/>
  <c r="M70" i="23"/>
  <c r="M106" i="23"/>
  <c r="M41" i="23"/>
  <c r="M37" i="23"/>
  <c r="M44" i="23"/>
  <c r="M32" i="23"/>
  <c r="M23" i="23"/>
  <c r="M48" i="23"/>
  <c r="M64" i="23"/>
  <c r="M15" i="23"/>
  <c r="M40" i="23"/>
  <c r="M80" i="23"/>
  <c r="M31" i="23"/>
  <c r="M91" i="23"/>
  <c r="M7" i="23"/>
  <c r="M96" i="23"/>
  <c r="M51" i="23"/>
  <c r="M71" i="23"/>
  <c r="M39" i="23"/>
  <c r="M79" i="23"/>
  <c r="M104" i="23"/>
  <c r="M59" i="23"/>
  <c r="M16" i="23"/>
  <c r="M35" i="23"/>
  <c r="M18" i="23"/>
  <c r="M105" i="23"/>
  <c r="M86" i="23"/>
  <c r="M52" i="23"/>
  <c r="M89" i="23"/>
  <c r="M38" i="23"/>
  <c r="M25" i="23"/>
  <c r="M61" i="23"/>
  <c r="M82" i="23"/>
  <c r="M14" i="23"/>
  <c r="M29" i="23"/>
  <c r="M69" i="23"/>
  <c r="M17" i="23"/>
  <c r="M21" i="23"/>
  <c r="M22" i="23"/>
  <c r="M92" i="23"/>
  <c r="M73" i="23"/>
  <c r="M13" i="23"/>
  <c r="M102" i="23"/>
  <c r="M26" i="23"/>
  <c r="B228" i="2"/>
  <c r="A269" i="2"/>
  <c r="D48" i="16"/>
  <c r="B229" i="2"/>
  <c r="D49" i="16"/>
  <c r="DC85" i="24" l="1"/>
  <c r="DC58" i="24"/>
  <c r="DC29" i="24"/>
  <c r="E76" i="1"/>
  <c r="E77" i="1" s="1"/>
  <c r="F76" i="1"/>
  <c r="DC25" i="24"/>
  <c r="DC87" i="24"/>
  <c r="DC74" i="24"/>
  <c r="DC19" i="24"/>
  <c r="DC45" i="24"/>
  <c r="DC82" i="24"/>
  <c r="DC73" i="24"/>
  <c r="DC77" i="24"/>
  <c r="DC67" i="24"/>
  <c r="DB210" i="25"/>
  <c r="DC43" i="24"/>
  <c r="DC23" i="24"/>
  <c r="DC35" i="24"/>
  <c r="DC80" i="24"/>
  <c r="DC93" i="24"/>
  <c r="DC16" i="24"/>
  <c r="DC9" i="24"/>
  <c r="DC104" i="24"/>
  <c r="DC12" i="24"/>
  <c r="DC33" i="24"/>
  <c r="DC102" i="24"/>
  <c r="DC10" i="24"/>
  <c r="DC31" i="24"/>
  <c r="DC61" i="24"/>
  <c r="DC32" i="24"/>
  <c r="DC59" i="24"/>
  <c r="DC60" i="24"/>
  <c r="DC30" i="24"/>
  <c r="DC20" i="24"/>
  <c r="DC51" i="24"/>
  <c r="DC44" i="24"/>
  <c r="DC6" i="24"/>
  <c r="DC21" i="24"/>
  <c r="DC68" i="24"/>
  <c r="DC24" i="24"/>
  <c r="DC36" i="24"/>
  <c r="DC75" i="24"/>
  <c r="DC22" i="24"/>
  <c r="DC86" i="24"/>
  <c r="DC53" i="24"/>
  <c r="DC62" i="24"/>
  <c r="DC48" i="24"/>
  <c r="DC13" i="24"/>
  <c r="DC26" i="24"/>
  <c r="DC49" i="24"/>
  <c r="DC34" i="24"/>
  <c r="DC100" i="24"/>
  <c r="DC39" i="24"/>
  <c r="DC78" i="24"/>
  <c r="DC57" i="24"/>
  <c r="CZ110" i="25"/>
  <c r="DB110" i="25" s="1"/>
  <c r="DC56" i="24"/>
  <c r="DC42" i="24"/>
  <c r="DC92" i="24"/>
  <c r="DC37" i="24"/>
  <c r="DC38" i="24"/>
  <c r="DC8" i="24"/>
  <c r="DC103" i="24"/>
  <c r="DC47" i="24"/>
  <c r="DA110" i="25"/>
  <c r="DD110" i="25" s="1"/>
  <c r="DE110" i="25" s="1"/>
  <c r="DF110" i="25" s="1"/>
  <c r="DM110" i="25" s="1"/>
  <c r="DW110" i="25" s="1"/>
  <c r="DC71" i="24"/>
  <c r="DC69" i="24"/>
  <c r="DC7" i="24"/>
  <c r="DM101" i="25"/>
  <c r="DW101" i="25" s="1"/>
  <c r="K345" i="29"/>
  <c r="K107" i="29"/>
  <c r="K578" i="29"/>
  <c r="L563" i="29"/>
  <c r="L532" i="29"/>
  <c r="K493" i="29"/>
  <c r="K433" i="29"/>
  <c r="K405" i="29"/>
  <c r="L438" i="29"/>
  <c r="L23" i="29"/>
  <c r="L603" i="29"/>
  <c r="L566" i="29"/>
  <c r="K503" i="29"/>
  <c r="L482" i="29"/>
  <c r="K492" i="29"/>
  <c r="K411" i="29"/>
  <c r="L429" i="29"/>
  <c r="L344" i="29"/>
  <c r="L601" i="29"/>
  <c r="K575" i="29"/>
  <c r="K565" i="29"/>
  <c r="L536" i="29"/>
  <c r="L485" i="29"/>
  <c r="L31" i="29"/>
  <c r="L607" i="29"/>
  <c r="L571" i="29"/>
  <c r="K543" i="29"/>
  <c r="K526" i="29"/>
  <c r="K474" i="29"/>
  <c r="L443" i="29"/>
  <c r="K396" i="29"/>
  <c r="K386" i="29"/>
  <c r="K79" i="29"/>
  <c r="K582" i="29"/>
  <c r="K555" i="29"/>
  <c r="K522" i="29"/>
  <c r="L476" i="29"/>
  <c r="K449" i="29"/>
  <c r="L424" i="29"/>
  <c r="K383" i="29"/>
  <c r="K336" i="29"/>
  <c r="L600" i="29"/>
  <c r="K574" i="29"/>
  <c r="L539" i="29"/>
  <c r="L500" i="29"/>
  <c r="K467" i="29"/>
  <c r="K428" i="29"/>
  <c r="L442" i="29"/>
  <c r="L410" i="29"/>
  <c r="K126" i="29"/>
  <c r="K604" i="29"/>
  <c r="K547" i="29"/>
  <c r="K514" i="29"/>
  <c r="L468" i="29"/>
  <c r="K441" i="29"/>
  <c r="K414" i="29"/>
  <c r="K375" i="29"/>
  <c r="K328" i="29"/>
  <c r="K442" i="29"/>
  <c r="L314" i="29"/>
  <c r="K317" i="29"/>
  <c r="L249" i="29"/>
  <c r="K271" i="29"/>
  <c r="K217" i="29"/>
  <c r="K183" i="29"/>
  <c r="L188" i="29"/>
  <c r="K154" i="29"/>
  <c r="K26" i="29"/>
  <c r="K451" i="29"/>
  <c r="K319" i="29"/>
  <c r="L332" i="29"/>
  <c r="K234" i="29"/>
  <c r="L278" i="29"/>
  <c r="L217" i="29"/>
  <c r="L183" i="29"/>
  <c r="L194" i="29"/>
  <c r="L97" i="29"/>
  <c r="L99" i="29"/>
  <c r="K516" i="29"/>
  <c r="L343" i="29"/>
  <c r="K296" i="29"/>
  <c r="L277" i="29"/>
  <c r="K243" i="29"/>
  <c r="L609" i="29"/>
  <c r="K596" i="29"/>
  <c r="K525" i="29"/>
  <c r="K513" i="29"/>
  <c r="K500" i="29"/>
  <c r="L456" i="29"/>
  <c r="K373" i="29"/>
  <c r="L398" i="29"/>
  <c r="L52" i="29"/>
  <c r="L593" i="29"/>
  <c r="L547" i="29"/>
  <c r="L510" i="29"/>
  <c r="K497" i="29"/>
  <c r="K461" i="29"/>
  <c r="L433" i="29"/>
  <c r="K395" i="29"/>
  <c r="K348" i="29"/>
  <c r="L612" i="29"/>
  <c r="L574" i="29"/>
  <c r="K524" i="29"/>
  <c r="L515" i="29"/>
  <c r="K485" i="29"/>
  <c r="K54" i="29"/>
  <c r="K599" i="29"/>
  <c r="L567" i="29"/>
  <c r="K530" i="29"/>
  <c r="K506" i="29"/>
  <c r="K478" i="29"/>
  <c r="L411" i="29"/>
  <c r="L412" i="29"/>
  <c r="L397" i="29"/>
  <c r="K602" i="29"/>
  <c r="L568" i="29"/>
  <c r="K541" i="29"/>
  <c r="L509" i="29"/>
  <c r="K472" i="29"/>
  <c r="K417" i="29"/>
  <c r="K389" i="29"/>
  <c r="K416" i="29"/>
  <c r="L39" i="29"/>
  <c r="L599" i="29"/>
  <c r="K568" i="29"/>
  <c r="K535" i="29"/>
  <c r="K508" i="29"/>
  <c r="K466" i="29"/>
  <c r="L435" i="29"/>
  <c r="K388" i="29"/>
  <c r="K378" i="29"/>
  <c r="K594" i="29"/>
  <c r="L560" i="29"/>
  <c r="K533" i="29"/>
  <c r="K521" i="29"/>
  <c r="K464" i="29"/>
  <c r="K409" i="29"/>
  <c r="K381" i="29"/>
  <c r="K404" i="29"/>
  <c r="L581" i="29"/>
  <c r="L422" i="29"/>
  <c r="L341" i="29"/>
  <c r="K314" i="29"/>
  <c r="K275" i="29"/>
  <c r="K239" i="29"/>
  <c r="K185" i="29"/>
  <c r="K162" i="29"/>
  <c r="L142" i="29"/>
  <c r="L116" i="29"/>
  <c r="L24" i="29"/>
  <c r="K377" i="29"/>
  <c r="L342" i="29"/>
  <c r="K303" i="29"/>
  <c r="L275" i="29"/>
  <c r="L243" i="29"/>
  <c r="L185" i="29"/>
  <c r="K211" i="29"/>
  <c r="K147" i="29"/>
  <c r="L65" i="29"/>
  <c r="L67" i="29"/>
  <c r="L448" i="29"/>
  <c r="K85" i="29"/>
  <c r="K189" i="29"/>
  <c r="K142" i="29"/>
  <c r="K597" i="29"/>
  <c r="K585" i="29"/>
  <c r="K532" i="29"/>
  <c r="L504" i="29"/>
  <c r="K502" i="29"/>
  <c r="K448" i="29"/>
  <c r="L392" i="29"/>
  <c r="K454" i="29"/>
  <c r="K44" i="29"/>
  <c r="K577" i="29"/>
  <c r="K561" i="29"/>
  <c r="L521" i="29"/>
  <c r="L489" i="29"/>
  <c r="K429" i="29"/>
  <c r="K401" i="29"/>
  <c r="L430" i="29"/>
  <c r="L43" i="29"/>
  <c r="K627" i="29"/>
  <c r="K572" i="29"/>
  <c r="L545" i="29"/>
  <c r="L480" i="29"/>
  <c r="L478" i="29"/>
  <c r="K101" i="29"/>
  <c r="L591" i="29"/>
  <c r="L558" i="29"/>
  <c r="L534" i="29"/>
  <c r="K512" i="29"/>
  <c r="K480" i="29"/>
  <c r="K435" i="29"/>
  <c r="L379" i="29"/>
  <c r="L368" i="29"/>
  <c r="K613" i="29"/>
  <c r="K567" i="29"/>
  <c r="L549" i="29"/>
  <c r="L520" i="29"/>
  <c r="L471" i="29"/>
  <c r="L474" i="29"/>
  <c r="K418" i="29"/>
  <c r="L382" i="29"/>
  <c r="K86" i="29"/>
  <c r="K588" i="29"/>
  <c r="K553" i="29"/>
  <c r="L541" i="29"/>
  <c r="K499" i="29"/>
  <c r="L473" i="29"/>
  <c r="K459" i="29"/>
  <c r="L403" i="29"/>
  <c r="L389" i="29"/>
  <c r="K605" i="29"/>
  <c r="K559" i="29"/>
  <c r="K540" i="29"/>
  <c r="L512" i="29"/>
  <c r="L463" i="29"/>
  <c r="K456" i="29"/>
  <c r="L400" i="29"/>
  <c r="L374" i="29"/>
  <c r="L589" i="29"/>
  <c r="L401" i="29"/>
  <c r="K329" i="29"/>
  <c r="K286" i="29"/>
  <c r="K241" i="29"/>
  <c r="L242" i="29"/>
  <c r="L220" i="29"/>
  <c r="K157" i="29"/>
  <c r="L110" i="29"/>
  <c r="L84" i="29"/>
  <c r="L613" i="29"/>
  <c r="L395" i="29"/>
  <c r="L369" i="29"/>
  <c r="K311" i="29"/>
  <c r="L245" i="29"/>
  <c r="K267" i="29"/>
  <c r="K213" i="29"/>
  <c r="K179" i="29"/>
  <c r="L170" i="29"/>
  <c r="K146" i="29"/>
  <c r="K38" i="29"/>
  <c r="K439" i="29"/>
  <c r="K315" i="29"/>
  <c r="L331" i="29"/>
  <c r="K230" i="29"/>
  <c r="K45" i="29"/>
  <c r="K81" i="29"/>
  <c r="K446" i="29"/>
  <c r="L35" i="29"/>
  <c r="I633" i="29"/>
  <c r="K562" i="29"/>
  <c r="L527" i="29"/>
  <c r="L488" i="29"/>
  <c r="L505" i="29"/>
  <c r="L455" i="29"/>
  <c r="L417" i="29"/>
  <c r="K398" i="29"/>
  <c r="L605" i="29"/>
  <c r="L585" i="29"/>
  <c r="L578" i="29"/>
  <c r="K509" i="29"/>
  <c r="K489" i="29"/>
  <c r="L452" i="29"/>
  <c r="K450" i="29"/>
  <c r="L394" i="29"/>
  <c r="K70" i="29"/>
  <c r="K607" i="29"/>
  <c r="L573" i="29"/>
  <c r="K534" i="29"/>
  <c r="L487" i="29"/>
  <c r="L479" i="29"/>
  <c r="K20" i="29"/>
  <c r="L595" i="29"/>
  <c r="K556" i="29"/>
  <c r="L544" i="29"/>
  <c r="L502" i="29"/>
  <c r="L457" i="29"/>
  <c r="L470" i="29"/>
  <c r="L421" i="29"/>
  <c r="L372" i="29"/>
  <c r="L604" i="29"/>
  <c r="K583" i="29"/>
  <c r="L543" i="29"/>
  <c r="L503" i="29"/>
  <c r="K471" i="29"/>
  <c r="K432" i="29"/>
  <c r="L376" i="29"/>
  <c r="K420" i="29"/>
  <c r="K103" i="29"/>
  <c r="K591" i="29"/>
  <c r="L548" i="29"/>
  <c r="K519" i="29"/>
  <c r="L498" i="29"/>
  <c r="K477" i="29"/>
  <c r="K427" i="29"/>
  <c r="L371" i="29"/>
  <c r="L360" i="29"/>
  <c r="L596" i="29"/>
  <c r="K570" i="29"/>
  <c r="L535" i="29"/>
  <c r="L496" i="29"/>
  <c r="K463" i="29"/>
  <c r="K424" i="29"/>
  <c r="K434" i="29"/>
  <c r="K406" i="29"/>
  <c r="K510" i="29"/>
  <c r="K324" i="29"/>
  <c r="L284" i="29"/>
  <c r="K318" i="29"/>
  <c r="L252" i="29"/>
  <c r="L214" i="29"/>
  <c r="K220" i="29"/>
  <c r="K125" i="29"/>
  <c r="L78" i="29"/>
  <c r="K116" i="29"/>
  <c r="L556" i="29"/>
  <c r="L402" i="29"/>
  <c r="L337" i="29"/>
  <c r="L312" i="29"/>
  <c r="K269" i="29"/>
  <c r="L270" i="29"/>
  <c r="K181" i="29"/>
  <c r="K158" i="29"/>
  <c r="L138" i="29"/>
  <c r="L112" i="29"/>
  <c r="K36" i="29"/>
  <c r="L434" i="29"/>
  <c r="L338" i="29"/>
  <c r="K362" i="29"/>
  <c r="L274" i="29"/>
  <c r="E55" i="1"/>
  <c r="L21" i="29"/>
  <c r="K60" i="29"/>
  <c r="K59" i="29"/>
  <c r="L584" i="29"/>
  <c r="K550" i="29"/>
  <c r="K542" i="29"/>
  <c r="L495" i="29"/>
  <c r="K484" i="29"/>
  <c r="L423" i="29"/>
  <c r="K376" i="29"/>
  <c r="K410" i="29"/>
  <c r="K593" i="29"/>
  <c r="L583" i="29"/>
  <c r="K528" i="29"/>
  <c r="K520" i="29"/>
  <c r="K496" i="29"/>
  <c r="K444" i="29"/>
  <c r="L388" i="29"/>
  <c r="K438" i="29"/>
  <c r="K32" i="29"/>
  <c r="K600" i="29"/>
  <c r="L562" i="29"/>
  <c r="L569" i="29"/>
  <c r="L530" i="29"/>
  <c r="L497" i="29"/>
  <c r="L54" i="29"/>
  <c r="K586" i="29"/>
  <c r="L561" i="29"/>
  <c r="L538" i="29"/>
  <c r="L481" i="29"/>
  <c r="K453" i="29"/>
  <c r="L425" i="29"/>
  <c r="K387" i="29"/>
  <c r="K340" i="29"/>
  <c r="L606" i="29"/>
  <c r="K569" i="29"/>
  <c r="K539" i="29"/>
  <c r="L519" i="29"/>
  <c r="K470" i="29"/>
  <c r="L439" i="29"/>
  <c r="K392" i="29"/>
  <c r="K382" i="29"/>
  <c r="K28" i="29"/>
  <c r="L590" i="29"/>
  <c r="K548" i="29"/>
  <c r="K523" i="29"/>
  <c r="K494" i="29"/>
  <c r="L449" i="29"/>
  <c r="L458" i="29"/>
  <c r="K412" i="29"/>
  <c r="K364" i="29"/>
  <c r="L598" i="29"/>
  <c r="L557" i="29"/>
  <c r="K531" i="29"/>
  <c r="L506" i="29"/>
  <c r="K462" i="29"/>
  <c r="L431" i="29"/>
  <c r="K384" i="29"/>
  <c r="K374" i="29"/>
  <c r="L464" i="29"/>
  <c r="L351" i="29"/>
  <c r="K304" i="29"/>
  <c r="L285" i="29"/>
  <c r="K285" i="29"/>
  <c r="K222" i="29"/>
  <c r="K188" i="29"/>
  <c r="L160" i="29"/>
  <c r="K168" i="29"/>
  <c r="K84" i="29"/>
  <c r="K529" i="29"/>
  <c r="L381" i="29"/>
  <c r="K321" i="29"/>
  <c r="K282" i="29"/>
  <c r="L327" i="29"/>
  <c r="L238" i="29"/>
  <c r="L216" i="29"/>
  <c r="K153" i="29"/>
  <c r="L106" i="29"/>
  <c r="L80" i="29"/>
  <c r="K601" i="29"/>
  <c r="L383" i="29"/>
  <c r="L365" i="29"/>
  <c r="L310" i="29"/>
  <c r="K62" i="29"/>
  <c r="K113" i="29"/>
  <c r="K166" i="29"/>
  <c r="L345" i="29"/>
  <c r="L68" i="29"/>
  <c r="G623" i="29"/>
  <c r="K581" i="29"/>
  <c r="L529" i="29"/>
  <c r="K487" i="29"/>
  <c r="L577" i="29"/>
  <c r="K447" i="29"/>
  <c r="L391" i="29"/>
  <c r="L377" i="29"/>
  <c r="L627" i="29"/>
  <c r="K589" i="29"/>
  <c r="L553" i="29"/>
  <c r="L484" i="29"/>
  <c r="K488" i="29"/>
  <c r="L451" i="29"/>
  <c r="L408" i="29"/>
  <c r="K394" i="29"/>
  <c r="K61" i="29"/>
  <c r="L602" i="29"/>
  <c r="K558" i="29"/>
  <c r="L546" i="29"/>
  <c r="L524" i="29"/>
  <c r="L461" i="29"/>
  <c r="K606" i="29"/>
  <c r="L572" i="29"/>
  <c r="L550" i="29"/>
  <c r="L513" i="29"/>
  <c r="K476" i="29"/>
  <c r="K421" i="29"/>
  <c r="K393" i="29"/>
  <c r="L420" i="29"/>
  <c r="L19" i="29"/>
  <c r="K592" i="29"/>
  <c r="K560" i="29"/>
  <c r="K557" i="29"/>
  <c r="K504" i="29"/>
  <c r="L477" i="29"/>
  <c r="L407" i="29"/>
  <c r="K408" i="29"/>
  <c r="L393" i="29"/>
  <c r="K56" i="29"/>
  <c r="K612" i="29"/>
  <c r="K551" i="29"/>
  <c r="K518" i="29"/>
  <c r="L472" i="29"/>
  <c r="K445" i="29"/>
  <c r="L418" i="29"/>
  <c r="K379" i="29"/>
  <c r="L27" i="29"/>
  <c r="K584" i="29"/>
  <c r="K549" i="29"/>
  <c r="L537" i="29"/>
  <c r="K495" i="29"/>
  <c r="L469" i="29"/>
  <c r="K455" i="29"/>
  <c r="L399" i="29"/>
  <c r="L385" i="29"/>
  <c r="K437" i="29"/>
  <c r="K355" i="29"/>
  <c r="K358" i="29"/>
  <c r="K270" i="29"/>
  <c r="K248" i="29"/>
  <c r="K190" i="29"/>
  <c r="L219" i="29"/>
  <c r="L151" i="29"/>
  <c r="K128" i="29"/>
  <c r="K140" i="29"/>
  <c r="K517" i="29"/>
  <c r="K320" i="29"/>
  <c r="L280" i="29"/>
  <c r="K312" i="29"/>
  <c r="L248" i="29"/>
  <c r="L210" i="29"/>
  <c r="K216" i="29"/>
  <c r="K121" i="29"/>
  <c r="L169" i="29"/>
  <c r="K112" i="29"/>
  <c r="L586" i="29"/>
  <c r="L390" i="29"/>
  <c r="L333" i="29"/>
  <c r="K310" i="29"/>
  <c r="K603" i="29"/>
  <c r="K13" i="29"/>
  <c r="K24" i="29"/>
  <c r="L610" i="29"/>
  <c r="L575" i="29"/>
  <c r="K507" i="29"/>
  <c r="L486" i="29"/>
  <c r="K465" i="29"/>
  <c r="K415" i="29"/>
  <c r="L436" i="29"/>
  <c r="L348" i="29"/>
  <c r="L580" i="29"/>
  <c r="K546" i="29"/>
  <c r="K538" i="29"/>
  <c r="L491" i="29"/>
  <c r="L483" i="29"/>
  <c r="L419" i="29"/>
  <c r="K458" i="29"/>
  <c r="L405" i="29"/>
  <c r="L70" i="29"/>
  <c r="K590" i="29"/>
  <c r="L565" i="29"/>
  <c r="K564" i="29"/>
  <c r="L493" i="29"/>
  <c r="K457" i="29"/>
  <c r="L597" i="29"/>
  <c r="K571" i="29"/>
  <c r="L554" i="29"/>
  <c r="L526" i="29"/>
  <c r="L475" i="29"/>
  <c r="L444" i="29"/>
  <c r="L426" i="29"/>
  <c r="L386" i="29"/>
  <c r="K40" i="29"/>
  <c r="L587" i="29"/>
  <c r="L552" i="29"/>
  <c r="L523" i="29"/>
  <c r="L507" i="29"/>
  <c r="K479" i="29"/>
  <c r="K431" i="29"/>
  <c r="L375" i="29"/>
  <c r="L364" i="29"/>
  <c r="K598" i="29"/>
  <c r="L564" i="29"/>
  <c r="K537" i="29"/>
  <c r="L542" i="29"/>
  <c r="K468" i="29"/>
  <c r="K413" i="29"/>
  <c r="K385" i="29"/>
  <c r="L406" i="29"/>
  <c r="K16" i="29"/>
  <c r="K587" i="29"/>
  <c r="L579" i="29"/>
  <c r="K515" i="29"/>
  <c r="L494" i="29"/>
  <c r="K473" i="29"/>
  <c r="K423" i="29"/>
  <c r="L446" i="29"/>
  <c r="L356" i="29"/>
  <c r="L415" i="29"/>
  <c r="K323" i="29"/>
  <c r="K341" i="29"/>
  <c r="K238" i="29"/>
  <c r="L279" i="29"/>
  <c r="L221" i="29"/>
  <c r="L187" i="29"/>
  <c r="L119" i="29"/>
  <c r="L101" i="29"/>
  <c r="L103" i="29"/>
  <c r="L511" i="29"/>
  <c r="L347" i="29"/>
  <c r="K300" i="29"/>
  <c r="L281" i="29"/>
  <c r="K277" i="29"/>
  <c r="K218" i="29"/>
  <c r="K184" i="29"/>
  <c r="L156" i="29"/>
  <c r="L153" i="29"/>
  <c r="K80" i="29"/>
  <c r="K536" i="29"/>
  <c r="K371" i="29"/>
  <c r="L308" i="29"/>
  <c r="K278" i="29"/>
  <c r="L146" i="29"/>
  <c r="K283" i="29"/>
  <c r="K90" i="29"/>
  <c r="K595" i="29"/>
  <c r="L551" i="29"/>
  <c r="L514" i="29"/>
  <c r="K482" i="29"/>
  <c r="L466" i="29"/>
  <c r="L440" i="29"/>
  <c r="K399" i="29"/>
  <c r="K352" i="29"/>
  <c r="K608" i="29"/>
  <c r="K573" i="29"/>
  <c r="L525" i="29"/>
  <c r="K483" i="29"/>
  <c r="K501" i="29"/>
  <c r="K443" i="29"/>
  <c r="L387" i="29"/>
  <c r="L373" i="29"/>
  <c r="K610" i="29"/>
  <c r="L576" i="29"/>
  <c r="L559" i="29"/>
  <c r="L517" i="29"/>
  <c r="K481" i="29"/>
  <c r="K425" i="29"/>
  <c r="L608" i="29"/>
  <c r="L570" i="29"/>
  <c r="L582" i="29"/>
  <c r="K505" i="29"/>
  <c r="K475" i="29"/>
  <c r="K436" i="29"/>
  <c r="L380" i="29"/>
  <c r="K422" i="29"/>
  <c r="K72" i="29"/>
  <c r="L594" i="29"/>
  <c r="K552" i="29"/>
  <c r="L528" i="29"/>
  <c r="K498" i="29"/>
  <c r="L453" i="29"/>
  <c r="L462" i="29"/>
  <c r="L416" i="29"/>
  <c r="K368" i="29"/>
  <c r="K609" i="29"/>
  <c r="K563" i="29"/>
  <c r="K544" i="29"/>
  <c r="L516" i="29"/>
  <c r="L467" i="29"/>
  <c r="K460" i="29"/>
  <c r="L413" i="29"/>
  <c r="L378" i="29"/>
  <c r="K105" i="29"/>
  <c r="K611" i="29"/>
  <c r="K579" i="29"/>
  <c r="L522" i="29"/>
  <c r="K490" i="29"/>
  <c r="L445" i="29"/>
  <c r="L454" i="29"/>
  <c r="L404" i="29"/>
  <c r="K360" i="29"/>
  <c r="K397" i="29"/>
  <c r="L346" i="29"/>
  <c r="K307" i="29"/>
  <c r="L282" i="29"/>
  <c r="L247" i="29"/>
  <c r="L189" i="29"/>
  <c r="K215" i="29"/>
  <c r="K151" i="29"/>
  <c r="L69" i="29"/>
  <c r="L71" i="29"/>
  <c r="L460" i="29"/>
  <c r="K351" i="29"/>
  <c r="K342" i="29"/>
  <c r="K266" i="29"/>
  <c r="K365" i="29"/>
  <c r="K186" i="29"/>
  <c r="L215" i="29"/>
  <c r="L147" i="29"/>
  <c r="L121" i="29"/>
  <c r="L133" i="29"/>
  <c r="L508" i="29"/>
  <c r="K316" i="29"/>
  <c r="L276" i="29"/>
  <c r="L309" i="29"/>
  <c r="K347" i="29"/>
  <c r="L328" i="29"/>
  <c r="K182" i="29"/>
  <c r="L211" i="29"/>
  <c r="L143" i="29"/>
  <c r="L120" i="29"/>
  <c r="K132" i="29"/>
  <c r="K566" i="29"/>
  <c r="L370" i="29"/>
  <c r="L329" i="29"/>
  <c r="K306" i="29"/>
  <c r="K261" i="29"/>
  <c r="L262" i="29"/>
  <c r="K173" i="29"/>
  <c r="L186" i="29"/>
  <c r="L130" i="29"/>
  <c r="L104" i="29"/>
  <c r="L588" i="29"/>
  <c r="L428" i="29"/>
  <c r="L357" i="29"/>
  <c r="L302" i="29"/>
  <c r="K299" i="29"/>
  <c r="K255" i="29"/>
  <c r="K201" i="29"/>
  <c r="L182" i="29"/>
  <c r="L158" i="29"/>
  <c r="K122" i="29"/>
  <c r="K48" i="29"/>
  <c r="K426" i="29"/>
  <c r="L326" i="29"/>
  <c r="L336" i="29"/>
  <c r="L261" i="29"/>
  <c r="K295" i="29"/>
  <c r="K229" i="29"/>
  <c r="K195" i="29"/>
  <c r="K131" i="29"/>
  <c r="L49" i="29"/>
  <c r="L51" i="29"/>
  <c r="L447" i="29"/>
  <c r="K331" i="29"/>
  <c r="L303" i="29"/>
  <c r="K246" i="29"/>
  <c r="L287" i="29"/>
  <c r="L229" i="29"/>
  <c r="L195" i="29"/>
  <c r="L127" i="29"/>
  <c r="L109" i="29"/>
  <c r="L111" i="29"/>
  <c r="K94" i="29"/>
  <c r="K325" i="29"/>
  <c r="K49" i="29"/>
  <c r="L193" i="29"/>
  <c r="K65" i="29"/>
  <c r="L286" i="29"/>
  <c r="L72" i="29"/>
  <c r="K252" i="29"/>
  <c r="K69" i="29"/>
  <c r="K308" i="29"/>
  <c r="K119" i="29"/>
  <c r="K332" i="29"/>
  <c r="K33" i="29"/>
  <c r="K290" i="29"/>
  <c r="L48" i="29"/>
  <c r="K134" i="29"/>
  <c r="K31" i="29"/>
  <c r="L34" i="29"/>
  <c r="L38" i="29"/>
  <c r="K68" i="29"/>
  <c r="L492" i="29"/>
  <c r="L144" i="29"/>
  <c r="K366" i="29"/>
  <c r="L94" i="29"/>
  <c r="L321" i="29"/>
  <c r="L254" i="29"/>
  <c r="L96" i="29"/>
  <c r="L322" i="29"/>
  <c r="K225" i="29"/>
  <c r="K127" i="29"/>
  <c r="L157" i="29"/>
  <c r="L283" i="29"/>
  <c r="K276" i="29"/>
  <c r="K129" i="29"/>
  <c r="K330" i="29"/>
  <c r="L271" i="29"/>
  <c r="L213" i="29"/>
  <c r="L179" i="29"/>
  <c r="L178" i="29"/>
  <c r="L93" i="29"/>
  <c r="L95" i="29"/>
  <c r="L531" i="29"/>
  <c r="L352" i="29"/>
  <c r="L304" i="29"/>
  <c r="K274" i="29"/>
  <c r="L272" i="29"/>
  <c r="L230" i="29"/>
  <c r="L208" i="29"/>
  <c r="K145" i="29"/>
  <c r="L98" i="29"/>
  <c r="L148" i="29"/>
  <c r="K554" i="29"/>
  <c r="K430" i="29"/>
  <c r="L325" i="29"/>
  <c r="K302" i="29"/>
  <c r="K257" i="29"/>
  <c r="L258" i="29"/>
  <c r="K244" i="29"/>
  <c r="L174" i="29"/>
  <c r="L126" i="29"/>
  <c r="L100" i="29"/>
  <c r="K580" i="29"/>
  <c r="K403" i="29"/>
  <c r="L353" i="29"/>
  <c r="L298" i="29"/>
  <c r="K297" i="29"/>
  <c r="K251" i="29"/>
  <c r="K197" i="29"/>
  <c r="L171" i="29"/>
  <c r="L154" i="29"/>
  <c r="K120" i="29"/>
  <c r="K64" i="29"/>
  <c r="L432" i="29"/>
  <c r="L354" i="29"/>
  <c r="L315" i="29"/>
  <c r="L290" i="29"/>
  <c r="L255" i="29"/>
  <c r="L197" i="29"/>
  <c r="K223" i="29"/>
  <c r="K159" i="29"/>
  <c r="L77" i="29"/>
  <c r="L79" i="29"/>
  <c r="K58" i="29"/>
  <c r="L318" i="29"/>
  <c r="K37" i="29"/>
  <c r="L251" i="29"/>
  <c r="K17" i="29"/>
  <c r="K242" i="29"/>
  <c r="K63" i="29"/>
  <c r="K281" i="29"/>
  <c r="K88" i="29"/>
  <c r="L355" i="29"/>
  <c r="L82" i="29"/>
  <c r="L518" i="29"/>
  <c r="L44" i="29"/>
  <c r="K354" i="29"/>
  <c r="L46" i="29"/>
  <c r="K73" i="29"/>
  <c r="K115" i="29"/>
  <c r="K97" i="29"/>
  <c r="K34" i="29"/>
  <c r="K43" i="29"/>
  <c r="K372" i="29"/>
  <c r="K104" i="29"/>
  <c r="L300" i="29"/>
  <c r="L204" i="29"/>
  <c r="L140" i="29"/>
  <c r="K298" i="29"/>
  <c r="K169" i="29"/>
  <c r="L15" i="29"/>
  <c r="L257" i="29"/>
  <c r="K191" i="29"/>
  <c r="K380" i="29"/>
  <c r="K109" i="29"/>
  <c r="K114" i="29"/>
  <c r="K67" i="29"/>
  <c r="K262" i="29"/>
  <c r="L239" i="29"/>
  <c r="L181" i="29"/>
  <c r="K207" i="29"/>
  <c r="K143" i="29"/>
  <c r="L61" i="29"/>
  <c r="K370" i="29"/>
  <c r="L305" i="29"/>
  <c r="L240" i="29"/>
  <c r="L202" i="29"/>
  <c r="L196" i="29"/>
  <c r="L340" i="29"/>
  <c r="K237" i="29"/>
  <c r="K545" i="29"/>
  <c r="K233" i="29"/>
  <c r="K333" i="29"/>
  <c r="L47" i="29"/>
  <c r="L40" i="29"/>
  <c r="K349" i="29"/>
  <c r="K263" i="29"/>
  <c r="K209" i="29"/>
  <c r="K175" i="29"/>
  <c r="L166" i="29"/>
  <c r="K138" i="29"/>
  <c r="K42" i="29"/>
  <c r="L540" i="29"/>
  <c r="L339" i="29"/>
  <c r="K292" i="29"/>
  <c r="L273" i="29"/>
  <c r="K268" i="29"/>
  <c r="K210" i="29"/>
  <c r="K176" i="29"/>
  <c r="L184" i="29"/>
  <c r="L145" i="29"/>
  <c r="L173" i="29"/>
  <c r="L499" i="29"/>
  <c r="L367" i="29"/>
  <c r="K369" i="29"/>
  <c r="L301" i="29"/>
  <c r="L236" i="29"/>
  <c r="L198" i="29"/>
  <c r="K204" i="29"/>
  <c r="L180" i="29"/>
  <c r="L136" i="29"/>
  <c r="K100" i="29"/>
  <c r="L533" i="29"/>
  <c r="K356" i="29"/>
  <c r="L296" i="29"/>
  <c r="K350" i="29"/>
  <c r="L264" i="29"/>
  <c r="L226" i="29"/>
  <c r="K235" i="29"/>
  <c r="K137" i="29"/>
  <c r="L90" i="29"/>
  <c r="L132" i="29"/>
  <c r="L611" i="29"/>
  <c r="K391" i="29"/>
  <c r="L349" i="29"/>
  <c r="K361" i="29"/>
  <c r="K291" i="29"/>
  <c r="K247" i="29"/>
  <c r="K193" i="29"/>
  <c r="K170" i="29"/>
  <c r="L150" i="29"/>
  <c r="K117" i="29"/>
  <c r="L56" i="29"/>
  <c r="K123" i="29"/>
  <c r="K77" i="29"/>
  <c r="K74" i="29"/>
  <c r="L311" i="29"/>
  <c r="L107" i="29"/>
  <c r="K327" i="29"/>
  <c r="L141" i="29"/>
  <c r="K359" i="29"/>
  <c r="L164" i="29"/>
  <c r="L29" i="29"/>
  <c r="K224" i="29"/>
  <c r="L17" i="29"/>
  <c r="L114" i="29"/>
  <c r="L555" i="29"/>
  <c r="L66" i="29"/>
  <c r="K75" i="29"/>
  <c r="L14" i="29"/>
  <c r="K30" i="29"/>
  <c r="K82" i="29"/>
  <c r="K71" i="29"/>
  <c r="L626" i="29"/>
  <c r="L152" i="29"/>
  <c r="L235" i="29"/>
  <c r="K139" i="29"/>
  <c r="L362" i="29"/>
  <c r="L205" i="29"/>
  <c r="L85" i="29"/>
  <c r="K335" i="29"/>
  <c r="L294" i="29"/>
  <c r="L113" i="29"/>
  <c r="L359" i="29"/>
  <c r="K231" i="29"/>
  <c r="L118" i="29"/>
  <c r="L45" i="29"/>
  <c r="L191" i="29"/>
  <c r="K293" i="29"/>
  <c r="L41" i="29"/>
  <c r="K265" i="29"/>
  <c r="L266" i="29"/>
  <c r="K177" i="29"/>
  <c r="L192" i="29"/>
  <c r="L134" i="29"/>
  <c r="L108" i="29"/>
  <c r="L28" i="29"/>
  <c r="K452" i="29"/>
  <c r="K343" i="29"/>
  <c r="K322" i="29"/>
  <c r="K258" i="29"/>
  <c r="K309" i="29"/>
  <c r="K178" i="29"/>
  <c r="L207" i="29"/>
  <c r="L139" i="29"/>
  <c r="K118" i="29"/>
  <c r="L125" i="29"/>
  <c r="L501" i="29"/>
  <c r="L335" i="29"/>
  <c r="K288" i="29"/>
  <c r="L319" i="29"/>
  <c r="K264" i="29"/>
  <c r="K206" i="29"/>
  <c r="K172" i="29"/>
  <c r="L167" i="29"/>
  <c r="K144" i="29"/>
  <c r="K160" i="29"/>
  <c r="K491" i="29"/>
  <c r="L363" i="29"/>
  <c r="K353" i="29"/>
  <c r="L297" i="29"/>
  <c r="L232" i="29"/>
  <c r="L241" i="29"/>
  <c r="K200" i="29"/>
  <c r="K174" i="29"/>
  <c r="L128" i="29"/>
  <c r="K96" i="29"/>
  <c r="K576" i="29"/>
  <c r="K390" i="29"/>
  <c r="L317" i="29"/>
  <c r="K294" i="29"/>
  <c r="K249" i="29"/>
  <c r="L250" i="29"/>
  <c r="L228" i="29"/>
  <c r="K165" i="29"/>
  <c r="K164" i="29"/>
  <c r="L92" i="29"/>
  <c r="L33" i="29"/>
  <c r="K187" i="29"/>
  <c r="L60" i="29"/>
  <c r="L75" i="29"/>
  <c r="L350" i="29"/>
  <c r="L105" i="29"/>
  <c r="L427" i="29"/>
  <c r="L129" i="29"/>
  <c r="L441" i="29"/>
  <c r="K192" i="29"/>
  <c r="L13" i="29"/>
  <c r="L218" i="29"/>
  <c r="K87" i="29"/>
  <c r="K161" i="29"/>
  <c r="K19" i="29"/>
  <c r="K57" i="29"/>
  <c r="K52" i="29"/>
  <c r="K23" i="29"/>
  <c r="K27" i="29"/>
  <c r="K39" i="29"/>
  <c r="L22" i="29"/>
  <c r="K626" i="29"/>
  <c r="K108" i="29"/>
  <c r="L177" i="29"/>
  <c r="L59" i="29"/>
  <c r="L323" i="29"/>
  <c r="L237" i="29"/>
  <c r="L87" i="29"/>
  <c r="K250" i="29"/>
  <c r="L131" i="29"/>
  <c r="L490" i="29"/>
  <c r="K337" i="29"/>
  <c r="L168" i="29"/>
  <c r="K279" i="29"/>
  <c r="L76" i="29"/>
  <c r="K18" i="29"/>
  <c r="K326" i="29"/>
  <c r="K273" i="29"/>
  <c r="L234" i="29"/>
  <c r="L212" i="29"/>
  <c r="K149" i="29"/>
  <c r="L102" i="29"/>
  <c r="L161" i="29"/>
  <c r="K78" i="29"/>
  <c r="K419" i="29"/>
  <c r="L366" i="29"/>
  <c r="L324" i="29"/>
  <c r="K301" i="29"/>
  <c r="L267" i="29"/>
  <c r="L209" i="29"/>
  <c r="L175" i="29"/>
  <c r="L172" i="29"/>
  <c r="L89" i="29"/>
  <c r="L91" i="29"/>
  <c r="K440" i="29"/>
  <c r="K339" i="29"/>
  <c r="K313" i="29"/>
  <c r="K254" i="29"/>
  <c r="L295" i="29"/>
  <c r="K240" i="29"/>
  <c r="L203" i="29"/>
  <c r="L135" i="29"/>
  <c r="L117" i="29"/>
  <c r="K124" i="29"/>
  <c r="L465" i="29"/>
  <c r="K367" i="29"/>
  <c r="K284" i="29"/>
  <c r="K305" i="29"/>
  <c r="K260" i="29"/>
  <c r="K202" i="29"/>
  <c r="K236" i="29"/>
  <c r="L163" i="29"/>
  <c r="L137" i="29"/>
  <c r="L149" i="29"/>
  <c r="K511" i="29"/>
  <c r="K344" i="29"/>
  <c r="L292" i="29"/>
  <c r="K334" i="29"/>
  <c r="L260" i="29"/>
  <c r="L222" i="29"/>
  <c r="K228" i="29"/>
  <c r="K133" i="29"/>
  <c r="L86" i="29"/>
  <c r="L124" i="29"/>
  <c r="K25" i="29"/>
  <c r="K221" i="29"/>
  <c r="K51" i="29"/>
  <c r="L73" i="29"/>
  <c r="L409" i="29"/>
  <c r="L123" i="29"/>
  <c r="L37" i="29"/>
  <c r="L155" i="29"/>
  <c r="L25" i="29"/>
  <c r="K226" i="29"/>
  <c r="K83" i="29"/>
  <c r="L256" i="29"/>
  <c r="K102" i="29"/>
  <c r="L224" i="29"/>
  <c r="K106" i="29"/>
  <c r="K47" i="29"/>
  <c r="K35" i="29"/>
  <c r="L62" i="29"/>
  <c r="K46" i="29"/>
  <c r="K110" i="29"/>
  <c r="K150" i="29"/>
  <c r="L396" i="29"/>
  <c r="L57" i="29"/>
  <c r="L299" i="29"/>
  <c r="K167" i="29"/>
  <c r="L307" i="29"/>
  <c r="K232" i="29"/>
  <c r="L115" i="29"/>
  <c r="L293" i="29"/>
  <c r="K196" i="29"/>
  <c r="L20" i="29"/>
  <c r="K155" i="29"/>
  <c r="L223" i="29"/>
  <c r="K21" i="29"/>
  <c r="L244" i="29"/>
  <c r="L206" i="29"/>
  <c r="K212" i="29"/>
  <c r="L200" i="29"/>
  <c r="L36" i="29"/>
  <c r="L334" i="29"/>
  <c r="K346" i="29"/>
  <c r="L269" i="29"/>
  <c r="K203" i="29"/>
  <c r="K407" i="29"/>
  <c r="L263" i="29"/>
  <c r="L459" i="29"/>
  <c r="L199" i="29"/>
  <c r="L313" i="29"/>
  <c r="K92" i="29"/>
  <c r="K22" i="29"/>
  <c r="K272" i="29"/>
  <c r="K214" i="29"/>
  <c r="K180" i="29"/>
  <c r="L190" i="29"/>
  <c r="K152" i="29"/>
  <c r="K76" i="29"/>
  <c r="L592" i="29"/>
  <c r="L437" i="29"/>
  <c r="L361" i="29"/>
  <c r="L306" i="29"/>
  <c r="L320" i="29"/>
  <c r="K259" i="29"/>
  <c r="K205" i="29"/>
  <c r="K171" i="29"/>
  <c r="L162" i="29"/>
  <c r="K130" i="29"/>
  <c r="L16" i="29"/>
  <c r="L384" i="29"/>
  <c r="L330" i="29"/>
  <c r="K338" i="29"/>
  <c r="L265" i="29"/>
  <c r="L231" i="29"/>
  <c r="L233" i="29"/>
  <c r="K199" i="29"/>
  <c r="K135" i="29"/>
  <c r="L53" i="29"/>
  <c r="L55" i="29"/>
  <c r="L450" i="29"/>
  <c r="L358" i="29"/>
  <c r="L316" i="29"/>
  <c r="L291" i="29"/>
  <c r="L259" i="29"/>
  <c r="L201" i="29"/>
  <c r="K227" i="29"/>
  <c r="K163" i="29"/>
  <c r="L81" i="29"/>
  <c r="L83" i="29"/>
  <c r="K469" i="29"/>
  <c r="K363" i="29"/>
  <c r="K280" i="29"/>
  <c r="K289" i="29"/>
  <c r="K256" i="29"/>
  <c r="K198" i="29"/>
  <c r="L227" i="29"/>
  <c r="L159" i="29"/>
  <c r="K136" i="29"/>
  <c r="K148" i="29"/>
  <c r="K111" i="29"/>
  <c r="L253" i="29"/>
  <c r="L58" i="29"/>
  <c r="K219" i="29"/>
  <c r="L74" i="29"/>
  <c r="L225" i="29"/>
  <c r="K29" i="29"/>
  <c r="K194" i="29"/>
  <c r="K41" i="29"/>
  <c r="L289" i="29"/>
  <c r="K53" i="29"/>
  <c r="L288" i="29"/>
  <c r="K98" i="29"/>
  <c r="K245" i="29"/>
  <c r="K15" i="29"/>
  <c r="L30" i="29"/>
  <c r="L165" i="29"/>
  <c r="K55" i="29"/>
  <c r="K50" i="29"/>
  <c r="L18" i="29"/>
  <c r="L63" i="29"/>
  <c r="K208" i="29"/>
  <c r="K527" i="29"/>
  <c r="L268" i="29"/>
  <c r="K141" i="29"/>
  <c r="K402" i="29"/>
  <c r="K253" i="29"/>
  <c r="L122" i="29"/>
  <c r="K400" i="29"/>
  <c r="K287" i="29"/>
  <c r="L176" i="29"/>
  <c r="L32" i="29"/>
  <c r="K357" i="29"/>
  <c r="K486" i="29"/>
  <c r="L88" i="29"/>
  <c r="L246" i="29"/>
  <c r="L64" i="29"/>
  <c r="L414" i="29"/>
  <c r="L50" i="29"/>
  <c r="K91" i="29"/>
  <c r="K95" i="29"/>
  <c r="K89" i="29"/>
  <c r="K99" i="29"/>
  <c r="K93" i="29"/>
  <c r="K66" i="29"/>
  <c r="K14" i="29"/>
  <c r="K156" i="29"/>
  <c r="L26" i="29"/>
  <c r="L42" i="29"/>
  <c r="K624" i="29"/>
  <c r="K625" i="29"/>
  <c r="L624" i="29"/>
  <c r="L625" i="29"/>
  <c r="Q4" i="29"/>
  <c r="EB212" i="25"/>
  <c r="EA212" i="25"/>
  <c r="DJ212" i="25"/>
  <c r="DI212" i="25"/>
  <c r="DM112" i="25"/>
  <c r="DW112" i="25" s="1"/>
  <c r="EB112" i="25" s="1"/>
  <c r="DB112" i="25"/>
  <c r="DI112" i="25"/>
  <c r="DJ112" i="25"/>
  <c r="CO216" i="25"/>
  <c r="DA216" i="25" s="1"/>
  <c r="DD216" i="25" s="1"/>
  <c r="DE216" i="25" s="1"/>
  <c r="DF216" i="25" s="1"/>
  <c r="DM216" i="25" s="1"/>
  <c r="DW216" i="25" s="1"/>
  <c r="DM219" i="25"/>
  <c r="DW219" i="25" s="1"/>
  <c r="DM229" i="25"/>
  <c r="DW229" i="25" s="1"/>
  <c r="DM163" i="25"/>
  <c r="DW163" i="25" s="1"/>
  <c r="DM184" i="25"/>
  <c r="DW184" i="25" s="1"/>
  <c r="DM297" i="25"/>
  <c r="DW297" i="25" s="1"/>
  <c r="DM224" i="25"/>
  <c r="DW224" i="25" s="1"/>
  <c r="DM152" i="25"/>
  <c r="DW152" i="25" s="1"/>
  <c r="DM135" i="25"/>
  <c r="DW135" i="25" s="1"/>
  <c r="DM166" i="25"/>
  <c r="DW166" i="25" s="1"/>
  <c r="DM69" i="25"/>
  <c r="DW69" i="25" s="1"/>
  <c r="DX5" i="24"/>
  <c r="EE5" i="24" s="1"/>
  <c r="DM207" i="25"/>
  <c r="DW207" i="25" s="1"/>
  <c r="DM192" i="25"/>
  <c r="DW192" i="25" s="1"/>
  <c r="DM204" i="25"/>
  <c r="DW204" i="25" s="1"/>
  <c r="DM201" i="25"/>
  <c r="DW201" i="25" s="1"/>
  <c r="DM142" i="25"/>
  <c r="DW142" i="25" s="1"/>
  <c r="DM151" i="25"/>
  <c r="DW151" i="25" s="1"/>
  <c r="DM209" i="25"/>
  <c r="DW209" i="25" s="1"/>
  <c r="DM237" i="25"/>
  <c r="DW237" i="25" s="1"/>
  <c r="DM196" i="25"/>
  <c r="DW196" i="25" s="1"/>
  <c r="DM76" i="25"/>
  <c r="DW76" i="25" s="1"/>
  <c r="DM61" i="25"/>
  <c r="DW61" i="25" s="1"/>
  <c r="DM240" i="25"/>
  <c r="DW240" i="25" s="1"/>
  <c r="DM221" i="25"/>
  <c r="DW221" i="25" s="1"/>
  <c r="DM222" i="25"/>
  <c r="DW222" i="25" s="1"/>
  <c r="DM53" i="25"/>
  <c r="DW53" i="25" s="1"/>
  <c r="DM238" i="25"/>
  <c r="DW238" i="25" s="1"/>
  <c r="DM273" i="25"/>
  <c r="DW273" i="25" s="1"/>
  <c r="DM270" i="25"/>
  <c r="DW270" i="25" s="1"/>
  <c r="DM288" i="25"/>
  <c r="DW288" i="25" s="1"/>
  <c r="DM104" i="25"/>
  <c r="DW104" i="25" s="1"/>
  <c r="DM183" i="25"/>
  <c r="DW183" i="25" s="1"/>
  <c r="DM75" i="25"/>
  <c r="DW75" i="25" s="1"/>
  <c r="DM149" i="25"/>
  <c r="DW149" i="25" s="1"/>
  <c r="DM125" i="25"/>
  <c r="DW125" i="25" s="1"/>
  <c r="DM223" i="25"/>
  <c r="DW223" i="25" s="1"/>
  <c r="DM165" i="25"/>
  <c r="DW165" i="25" s="1"/>
  <c r="DM162" i="25"/>
  <c r="DW162" i="25" s="1"/>
  <c r="DM188" i="25"/>
  <c r="DW188" i="25" s="1"/>
  <c r="DM182" i="25"/>
  <c r="DW182" i="25" s="1"/>
  <c r="DM274" i="25"/>
  <c r="DW274" i="25" s="1"/>
  <c r="DM255" i="25"/>
  <c r="DW255" i="25" s="1"/>
  <c r="DM62" i="25"/>
  <c r="DW62" i="25" s="1"/>
  <c r="DM268" i="25"/>
  <c r="DW268" i="25" s="1"/>
  <c r="DM303" i="25"/>
  <c r="DW303" i="25" s="1"/>
  <c r="DM113" i="25"/>
  <c r="DW113" i="25" s="1"/>
  <c r="DM159" i="25"/>
  <c r="DW159" i="25" s="1"/>
  <c r="DM63" i="25"/>
  <c r="DW63" i="25" s="1"/>
  <c r="DM10" i="25"/>
  <c r="DW10" i="25" s="1"/>
  <c r="DM312" i="25"/>
  <c r="DW312" i="25" s="1"/>
  <c r="DM282" i="25"/>
  <c r="DW282" i="25" s="1"/>
  <c r="DM57" i="25"/>
  <c r="DW57" i="25" s="1"/>
  <c r="DM54" i="25"/>
  <c r="DW54" i="25" s="1"/>
  <c r="DM246" i="25"/>
  <c r="DW246" i="25" s="1"/>
  <c r="DM260" i="25"/>
  <c r="DW260" i="25" s="1"/>
  <c r="DB10" i="25"/>
  <c r="DB186" i="25"/>
  <c r="DN216" i="24"/>
  <c r="DM315" i="25"/>
  <c r="DW315" i="25" s="1"/>
  <c r="DM197" i="25"/>
  <c r="DW197" i="25" s="1"/>
  <c r="DC198" i="24"/>
  <c r="DM16" i="25"/>
  <c r="DW16" i="25" s="1"/>
  <c r="DM20" i="25"/>
  <c r="DW20" i="25" s="1"/>
  <c r="EE110" i="24"/>
  <c r="DO110" i="24"/>
  <c r="DR110" i="24"/>
  <c r="DO5" i="24"/>
  <c r="DR5" i="24"/>
  <c r="DC216" i="24"/>
  <c r="DB278" i="25"/>
  <c r="DB304" i="25"/>
  <c r="DJ216" i="24"/>
  <c r="DK216" i="24"/>
  <c r="DM205" i="25"/>
  <c r="DW205" i="25" s="1"/>
  <c r="DM85" i="25"/>
  <c r="DW85" i="25" s="1"/>
  <c r="DM150" i="25"/>
  <c r="DW150" i="25" s="1"/>
  <c r="DM309" i="25"/>
  <c r="DW309" i="25" s="1"/>
  <c r="DM195" i="25"/>
  <c r="DW195" i="25" s="1"/>
  <c r="DM186" i="25"/>
  <c r="DW186" i="25" s="1"/>
  <c r="DM281" i="25"/>
  <c r="DW281" i="25" s="1"/>
  <c r="DM28" i="25"/>
  <c r="DW28" i="25" s="1"/>
  <c r="DM134" i="25"/>
  <c r="DW134" i="25" s="1"/>
  <c r="DM202" i="25"/>
  <c r="DW202" i="25" s="1"/>
  <c r="DM41" i="25"/>
  <c r="DW41" i="25" s="1"/>
  <c r="DM234" i="25"/>
  <c r="DW234" i="25" s="1"/>
  <c r="DM160" i="25"/>
  <c r="DW160" i="25" s="1"/>
  <c r="DM316" i="25"/>
  <c r="DW316" i="25" s="1"/>
  <c r="DM286" i="25"/>
  <c r="DW286" i="25" s="1"/>
  <c r="DM304" i="25"/>
  <c r="DW304" i="25" s="1"/>
  <c r="DM130" i="25"/>
  <c r="DW130" i="25" s="1"/>
  <c r="DM231" i="25"/>
  <c r="DW231" i="25" s="1"/>
  <c r="DC183" i="24"/>
  <c r="DC149" i="24"/>
  <c r="DM248" i="25"/>
  <c r="DW248" i="25" s="1"/>
  <c r="DM19" i="25"/>
  <c r="DW19" i="25" s="1"/>
  <c r="DM161" i="25"/>
  <c r="DW161" i="25" s="1"/>
  <c r="DM82" i="25"/>
  <c r="DW82" i="25" s="1"/>
  <c r="DC292" i="24"/>
  <c r="DM155" i="25"/>
  <c r="DW155" i="25" s="1"/>
  <c r="DM30" i="25"/>
  <c r="DW30" i="25" s="1"/>
  <c r="DB310" i="25"/>
  <c r="DB101" i="25"/>
  <c r="DC217" i="24"/>
  <c r="DM46" i="25"/>
  <c r="DW46" i="25" s="1"/>
  <c r="DC165" i="24"/>
  <c r="DB143" i="25"/>
  <c r="DB156" i="25"/>
  <c r="DB140" i="25"/>
  <c r="DB41" i="25"/>
  <c r="DB24" i="25"/>
  <c r="DC288" i="24"/>
  <c r="DB148" i="25"/>
  <c r="DC186" i="24"/>
  <c r="DB279" i="25"/>
  <c r="DM249" i="25"/>
  <c r="DW249" i="25" s="1"/>
  <c r="DM198" i="25"/>
  <c r="DW198" i="25" s="1"/>
  <c r="DM293" i="25"/>
  <c r="DW293" i="25" s="1"/>
  <c r="DM18" i="25"/>
  <c r="DW18" i="25" s="1"/>
  <c r="DM36" i="25"/>
  <c r="DW36" i="25" s="1"/>
  <c r="DM206" i="25"/>
  <c r="DW206" i="25" s="1"/>
  <c r="DM261" i="25"/>
  <c r="DW261" i="25" s="1"/>
  <c r="DB295" i="25"/>
  <c r="DB181" i="25"/>
  <c r="DB71" i="25"/>
  <c r="DB169" i="25"/>
  <c r="DB284" i="25"/>
  <c r="DM218" i="25"/>
  <c r="DW218" i="25" s="1"/>
  <c r="DM31" i="25"/>
  <c r="DW31" i="25" s="1"/>
  <c r="DM118" i="25"/>
  <c r="DW118" i="25" s="1"/>
  <c r="DM73" i="25"/>
  <c r="DW73" i="25" s="1"/>
  <c r="DM220" i="25"/>
  <c r="DW220" i="25" s="1"/>
  <c r="DM114" i="25"/>
  <c r="DW114" i="25" s="1"/>
  <c r="DM172" i="25"/>
  <c r="DW172" i="25" s="1"/>
  <c r="DM52" i="25"/>
  <c r="DW52" i="25" s="1"/>
  <c r="DM133" i="25"/>
  <c r="DW133" i="25" s="1"/>
  <c r="DM94" i="25"/>
  <c r="DW94" i="25" s="1"/>
  <c r="DM264" i="25"/>
  <c r="DW264" i="25" s="1"/>
  <c r="DM278" i="25"/>
  <c r="DW278" i="25" s="1"/>
  <c r="DB27" i="25"/>
  <c r="DB166" i="25"/>
  <c r="DB223" i="25"/>
  <c r="DB44" i="25"/>
  <c r="DB83" i="25"/>
  <c r="DB103" i="25"/>
  <c r="DM258" i="25"/>
  <c r="DW258" i="25" s="1"/>
  <c r="DB73" i="25"/>
  <c r="DB117" i="25"/>
  <c r="DB235" i="25"/>
  <c r="DM21" i="25"/>
  <c r="DW21" i="25" s="1"/>
  <c r="DB150" i="25"/>
  <c r="DB72" i="25"/>
  <c r="DB244" i="25"/>
  <c r="DM247" i="25"/>
  <c r="DW247" i="25" s="1"/>
  <c r="DB268" i="25"/>
  <c r="DB219" i="25"/>
  <c r="DB179" i="25"/>
  <c r="DM243" i="25"/>
  <c r="DW243" i="25" s="1"/>
  <c r="DB200" i="25"/>
  <c r="DB65" i="25"/>
  <c r="DB243" i="25"/>
  <c r="DB218" i="25"/>
  <c r="DB281" i="25"/>
  <c r="DB86" i="25"/>
  <c r="DM116" i="25"/>
  <c r="DW116" i="25" s="1"/>
  <c r="DM115" i="25"/>
  <c r="DW115" i="25" s="1"/>
  <c r="DB255" i="25"/>
  <c r="DM154" i="25"/>
  <c r="DW154" i="25" s="1"/>
  <c r="DM120" i="25"/>
  <c r="DW120" i="25" s="1"/>
  <c r="DM291" i="25"/>
  <c r="DW291" i="25" s="1"/>
  <c r="DM44" i="25"/>
  <c r="DW44" i="25" s="1"/>
  <c r="DM22" i="25"/>
  <c r="DW22" i="25" s="1"/>
  <c r="DB302" i="25"/>
  <c r="DB187" i="25"/>
  <c r="DB90" i="25"/>
  <c r="DB280" i="25"/>
  <c r="DB237" i="25"/>
  <c r="DB269" i="25"/>
  <c r="DB251" i="25"/>
  <c r="DB203" i="25"/>
  <c r="DB192" i="25"/>
  <c r="DM132" i="25"/>
  <c r="DW132" i="25" s="1"/>
  <c r="DM144" i="25"/>
  <c r="DW144" i="25" s="1"/>
  <c r="DM32" i="25"/>
  <c r="DW32" i="25" s="1"/>
  <c r="DB221" i="25"/>
  <c r="DB315" i="25"/>
  <c r="DB32" i="25"/>
  <c r="DM8" i="25"/>
  <c r="DW8" i="25" s="1"/>
  <c r="DM140" i="25"/>
  <c r="DW140" i="25" s="1"/>
  <c r="DM123" i="25"/>
  <c r="DW123" i="25" s="1"/>
  <c r="DB105" i="25"/>
  <c r="DB48" i="25"/>
  <c r="DB276" i="25"/>
  <c r="DB69" i="25"/>
  <c r="DB70" i="25"/>
  <c r="DB222" i="25"/>
  <c r="DB147" i="25"/>
  <c r="DB177" i="25"/>
  <c r="DB263" i="25"/>
  <c r="DB173" i="25"/>
  <c r="DM26" i="25"/>
  <c r="DW26" i="25" s="1"/>
  <c r="DB119" i="25"/>
  <c r="DB277" i="25"/>
  <c r="DB247" i="25"/>
  <c r="DB12" i="25"/>
  <c r="DB241" i="25"/>
  <c r="DM55" i="25"/>
  <c r="DW55" i="25" s="1"/>
  <c r="DB292" i="25"/>
  <c r="DB282" i="25"/>
  <c r="DB76" i="25"/>
  <c r="DB178" i="25"/>
  <c r="DB53" i="25"/>
  <c r="DM84" i="25"/>
  <c r="DW84" i="25" s="1"/>
  <c r="DB135" i="25"/>
  <c r="DB273" i="25"/>
  <c r="DM67" i="25"/>
  <c r="DW67" i="25" s="1"/>
  <c r="DB271" i="25"/>
  <c r="DM146" i="25"/>
  <c r="DW146" i="25" s="1"/>
  <c r="DM271" i="25"/>
  <c r="DW271" i="25" s="1"/>
  <c r="DM310" i="25"/>
  <c r="DW310" i="25" s="1"/>
  <c r="DM102" i="25"/>
  <c r="DW102" i="25" s="1"/>
  <c r="DB306" i="25"/>
  <c r="DB64" i="25"/>
  <c r="DM117" i="25"/>
  <c r="DW117" i="25" s="1"/>
  <c r="DB313" i="25"/>
  <c r="DB189" i="25"/>
  <c r="DM265" i="25"/>
  <c r="DW265" i="25" s="1"/>
  <c r="DB145" i="25"/>
  <c r="DB283" i="25"/>
  <c r="DB260" i="25"/>
  <c r="DB195" i="25"/>
  <c r="DM39" i="25"/>
  <c r="DW39" i="25" s="1"/>
  <c r="DB246" i="25"/>
  <c r="DB230" i="25"/>
  <c r="DB75" i="25"/>
  <c r="DB125" i="25"/>
  <c r="DM153" i="25"/>
  <c r="DW153" i="25" s="1"/>
  <c r="DB33" i="25"/>
  <c r="DB14" i="25"/>
  <c r="DB122" i="25"/>
  <c r="DB316" i="25"/>
  <c r="DB248" i="25"/>
  <c r="DB56" i="25"/>
  <c r="DB97" i="25"/>
  <c r="DM167" i="25"/>
  <c r="DW167" i="25" s="1"/>
  <c r="DM176" i="25"/>
  <c r="DW176" i="25" s="1"/>
  <c r="DM50" i="25"/>
  <c r="DW50" i="25" s="1"/>
  <c r="DM124" i="25"/>
  <c r="DW124" i="25" s="1"/>
  <c r="DM148" i="25"/>
  <c r="DW148" i="25" s="1"/>
  <c r="DB239" i="25"/>
  <c r="DB88" i="25"/>
  <c r="DB228" i="25"/>
  <c r="DM68" i="25"/>
  <c r="DW68" i="25" s="1"/>
  <c r="DB87" i="25"/>
  <c r="DM11" i="25"/>
  <c r="DW11" i="25" s="1"/>
  <c r="DB194" i="25"/>
  <c r="DB114" i="25"/>
  <c r="DB132" i="25"/>
  <c r="DM299" i="25"/>
  <c r="DW299" i="25" s="1"/>
  <c r="DB165" i="25"/>
  <c r="DM307" i="25"/>
  <c r="DW307" i="25" s="1"/>
  <c r="DB182" i="25"/>
  <c r="DB245" i="25"/>
  <c r="DB275" i="25"/>
  <c r="DB175" i="25"/>
  <c r="DB184" i="25"/>
  <c r="DB185" i="25"/>
  <c r="DB126" i="25"/>
  <c r="DM236" i="25"/>
  <c r="DW236" i="25" s="1"/>
  <c r="DB294" i="25"/>
  <c r="DB301" i="25"/>
  <c r="DB39" i="25"/>
  <c r="DB307" i="25"/>
  <c r="DB297" i="25"/>
  <c r="DB261" i="25"/>
  <c r="DB231" i="25"/>
  <c r="DB80" i="25"/>
  <c r="DM71" i="25"/>
  <c r="DW71" i="25" s="1"/>
  <c r="DB224" i="25"/>
  <c r="DB92" i="25"/>
  <c r="DB137" i="25"/>
  <c r="DB78" i="25"/>
  <c r="DM296" i="25"/>
  <c r="DW296" i="25" s="1"/>
  <c r="DB9" i="25"/>
  <c r="DB204" i="25"/>
  <c r="DC308" i="24"/>
  <c r="DC121" i="24"/>
  <c r="DC119" i="24"/>
  <c r="DC173" i="24"/>
  <c r="DC230" i="24"/>
  <c r="DC309" i="24"/>
  <c r="DC298" i="24"/>
  <c r="DC116" i="24"/>
  <c r="DC157" i="24"/>
  <c r="DC272" i="24"/>
  <c r="DJ219" i="25"/>
  <c r="DI219" i="25"/>
  <c r="DJ167" i="25"/>
  <c r="DI167" i="25"/>
  <c r="DJ303" i="25"/>
  <c r="DI303" i="25"/>
  <c r="DJ183" i="25"/>
  <c r="DI183" i="25"/>
  <c r="DJ8" i="25"/>
  <c r="DI8" i="25"/>
  <c r="DJ118" i="25"/>
  <c r="DI118" i="25"/>
  <c r="DJ104" i="25"/>
  <c r="DI104" i="25"/>
  <c r="DJ238" i="25"/>
  <c r="DI238" i="25"/>
  <c r="DM77" i="25"/>
  <c r="DJ186" i="25"/>
  <c r="DI186" i="25"/>
  <c r="DM136" i="25"/>
  <c r="DB22" i="25"/>
  <c r="DJ222" i="25"/>
  <c r="DI222" i="25"/>
  <c r="DJ245" i="25"/>
  <c r="DI245" i="25"/>
  <c r="DJ126" i="25"/>
  <c r="DI126" i="25"/>
  <c r="DJ129" i="25"/>
  <c r="DI129" i="25"/>
  <c r="DJ218" i="25"/>
  <c r="DI218" i="25"/>
  <c r="DJ209" i="25"/>
  <c r="DI209" i="25"/>
  <c r="DJ24" i="25"/>
  <c r="DI24" i="25"/>
  <c r="DB59" i="25"/>
  <c r="DJ185" i="25"/>
  <c r="DI185" i="25"/>
  <c r="DJ39" i="25"/>
  <c r="DI39" i="25"/>
  <c r="DB198" i="25"/>
  <c r="DM290" i="25"/>
  <c r="DW290" i="25" s="1"/>
  <c r="DB180" i="25"/>
  <c r="DM193" i="25"/>
  <c r="DB49" i="25"/>
  <c r="DB115" i="25"/>
  <c r="DJ66" i="25"/>
  <c r="DI66" i="25"/>
  <c r="DJ285" i="25"/>
  <c r="DI285" i="25"/>
  <c r="DJ131" i="25"/>
  <c r="DI131" i="25"/>
  <c r="DB258" i="25"/>
  <c r="DM141" i="25"/>
  <c r="DJ53" i="25"/>
  <c r="DI53" i="25"/>
  <c r="DM266" i="25"/>
  <c r="DW266" i="25" s="1"/>
  <c r="DM254" i="25"/>
  <c r="DW254" i="25" s="1"/>
  <c r="DJ44" i="25"/>
  <c r="DI44" i="25"/>
  <c r="DB133" i="25"/>
  <c r="DB267" i="25"/>
  <c r="DM228" i="25"/>
  <c r="DW228" i="25" s="1"/>
  <c r="DJ200" i="25"/>
  <c r="DI200" i="25"/>
  <c r="DJ168" i="25"/>
  <c r="DI168" i="25"/>
  <c r="DB205" i="25"/>
  <c r="DJ102" i="25"/>
  <c r="DI102" i="25"/>
  <c r="DM306" i="25"/>
  <c r="DW306" i="25" s="1"/>
  <c r="DJ283" i="25"/>
  <c r="DI283" i="25"/>
  <c r="DB303" i="25"/>
  <c r="DJ280" i="25"/>
  <c r="DI280" i="25"/>
  <c r="DM251" i="25"/>
  <c r="DW251" i="25" s="1"/>
  <c r="DM257" i="25"/>
  <c r="DW257" i="25" s="1"/>
  <c r="DM314" i="25"/>
  <c r="DW314" i="25" s="1"/>
  <c r="DM158" i="25"/>
  <c r="DB264" i="25"/>
  <c r="DJ80" i="25"/>
  <c r="DI80" i="25"/>
  <c r="DM226" i="25"/>
  <c r="DW226" i="25" s="1"/>
  <c r="DM15" i="25"/>
  <c r="DM78" i="25"/>
  <c r="DM190" i="25"/>
  <c r="DM164" i="25"/>
  <c r="DJ174" i="25"/>
  <c r="DI174" i="25"/>
  <c r="DJ269" i="25"/>
  <c r="DI269" i="25"/>
  <c r="DJ7" i="25"/>
  <c r="DI7" i="25"/>
  <c r="DJ233" i="25"/>
  <c r="DI233" i="25"/>
  <c r="DJ113" i="25"/>
  <c r="DI113" i="25"/>
  <c r="DB262" i="25"/>
  <c r="DJ288" i="25"/>
  <c r="DI288" i="25"/>
  <c r="DJ176" i="25"/>
  <c r="DI176" i="25"/>
  <c r="DB96" i="25"/>
  <c r="DJ246" i="25"/>
  <c r="DI246" i="25"/>
  <c r="DJ114" i="25"/>
  <c r="DI114" i="25"/>
  <c r="DJ172" i="25"/>
  <c r="DI172" i="25"/>
  <c r="DJ19" i="25"/>
  <c r="DI19" i="25"/>
  <c r="DB52" i="25"/>
  <c r="DB161" i="25"/>
  <c r="DM74" i="25"/>
  <c r="DJ101" i="25"/>
  <c r="DI101" i="25"/>
  <c r="DB168" i="25"/>
  <c r="DJ205" i="25"/>
  <c r="DI205" i="25"/>
  <c r="DB138" i="25"/>
  <c r="DB102" i="25"/>
  <c r="DB57" i="25"/>
  <c r="DJ221" i="25"/>
  <c r="DI221" i="25"/>
  <c r="DJ77" i="25"/>
  <c r="DI77" i="25"/>
  <c r="DB254" i="25"/>
  <c r="DJ136" i="25"/>
  <c r="DI136" i="25"/>
  <c r="DJ124" i="25"/>
  <c r="DI124" i="25"/>
  <c r="DB17" i="25"/>
  <c r="DM171" i="25"/>
  <c r="DB227" i="25"/>
  <c r="DB290" i="25"/>
  <c r="DM129" i="25"/>
  <c r="DB136" i="25"/>
  <c r="DB170" i="25"/>
  <c r="DM252" i="25"/>
  <c r="DW252" i="25" s="1"/>
  <c r="DJ273" i="25"/>
  <c r="DI273" i="25"/>
  <c r="DM185" i="25"/>
  <c r="DM300" i="25"/>
  <c r="DW300" i="25" s="1"/>
  <c r="DB30" i="25"/>
  <c r="DJ270" i="25"/>
  <c r="DI270" i="25"/>
  <c r="DJ18" i="25"/>
  <c r="DI18" i="25"/>
  <c r="DB77" i="25"/>
  <c r="DB123" i="25"/>
  <c r="DM93" i="25"/>
  <c r="DJ290" i="25"/>
  <c r="DI290" i="25"/>
  <c r="DJ197" i="25"/>
  <c r="DI197" i="25"/>
  <c r="DJ96" i="25"/>
  <c r="DI96" i="25"/>
  <c r="DB139" i="25"/>
  <c r="DB256" i="25"/>
  <c r="DM72" i="25"/>
  <c r="DB93" i="25"/>
  <c r="DB190" i="25"/>
  <c r="DM66" i="25"/>
  <c r="DB74" i="25"/>
  <c r="DM285" i="25"/>
  <c r="DW285" i="25" s="1"/>
  <c r="DJ152" i="25"/>
  <c r="DI152" i="25"/>
  <c r="DJ135" i="25"/>
  <c r="DI135" i="25"/>
  <c r="DB197" i="25"/>
  <c r="DJ6" i="25"/>
  <c r="DI6" i="25"/>
  <c r="DB98" i="25"/>
  <c r="DB188" i="25"/>
  <c r="DM170" i="25"/>
  <c r="DJ268" i="25"/>
  <c r="DI268" i="25"/>
  <c r="DB46" i="25"/>
  <c r="DJ141" i="25"/>
  <c r="DI141" i="25"/>
  <c r="DB50" i="25"/>
  <c r="DJ294" i="25"/>
  <c r="DI294" i="25"/>
  <c r="DJ295" i="25"/>
  <c r="DI295" i="25"/>
  <c r="DB174" i="25"/>
  <c r="DB288" i="25"/>
  <c r="DJ228" i="25"/>
  <c r="DI228" i="25"/>
  <c r="DM138" i="25"/>
  <c r="DM311" i="25"/>
  <c r="DW311" i="25" s="1"/>
  <c r="DB274" i="25"/>
  <c r="DM168" i="25"/>
  <c r="DM217" i="25"/>
  <c r="DW217" i="25" s="1"/>
  <c r="DB127" i="25"/>
  <c r="DJ306" i="25"/>
  <c r="DI306" i="25"/>
  <c r="DJ64" i="25"/>
  <c r="DI64" i="25"/>
  <c r="DJ234" i="25"/>
  <c r="DI234" i="25"/>
  <c r="DI132" i="25"/>
  <c r="DJ132" i="25"/>
  <c r="DB120" i="25"/>
  <c r="DM280" i="25"/>
  <c r="DW280" i="25" s="1"/>
  <c r="DJ251" i="25"/>
  <c r="DI251" i="25"/>
  <c r="DB152" i="25"/>
  <c r="DJ314" i="25"/>
  <c r="DI314" i="25"/>
  <c r="DJ231" i="25"/>
  <c r="DI231" i="25"/>
  <c r="DJ158" i="25"/>
  <c r="DI158" i="25"/>
  <c r="DJ304" i="25"/>
  <c r="DI304" i="25"/>
  <c r="DM80" i="25"/>
  <c r="DM45" i="25"/>
  <c r="DJ226" i="25"/>
  <c r="DI226" i="25"/>
  <c r="DJ15" i="25"/>
  <c r="DI15" i="25"/>
  <c r="DB31" i="25"/>
  <c r="DJ210" i="25"/>
  <c r="DI210" i="25"/>
  <c r="DM56" i="25"/>
  <c r="DB61" i="25"/>
  <c r="DJ164" i="25"/>
  <c r="DI164" i="25"/>
  <c r="DJ60" i="25"/>
  <c r="DI60" i="25"/>
  <c r="DM233" i="25"/>
  <c r="DW233" i="25" s="1"/>
  <c r="DJ62" i="25"/>
  <c r="DI62" i="25"/>
  <c r="DJ21" i="25"/>
  <c r="DI21" i="25"/>
  <c r="DB252" i="25"/>
  <c r="DB172" i="25"/>
  <c r="DJ74" i="25"/>
  <c r="DI74" i="25"/>
  <c r="DJ94" i="25"/>
  <c r="DI94" i="25"/>
  <c r="DB47" i="25"/>
  <c r="DJ117" i="25"/>
  <c r="DI117" i="25"/>
  <c r="DB199" i="25"/>
  <c r="DB104" i="25"/>
  <c r="DJ165" i="25"/>
  <c r="DI165" i="25"/>
  <c r="DJ50" i="25"/>
  <c r="DI50" i="25"/>
  <c r="DJ73" i="25"/>
  <c r="DI73" i="25"/>
  <c r="DJ71" i="25"/>
  <c r="DI71" i="25"/>
  <c r="DJ116" i="25"/>
  <c r="DI116" i="25"/>
  <c r="DJ229" i="25"/>
  <c r="DI229" i="25"/>
  <c r="DJ223" i="25"/>
  <c r="DI223" i="25"/>
  <c r="DJ115" i="25"/>
  <c r="DI115" i="25"/>
  <c r="DM139" i="25"/>
  <c r="DJ278" i="25"/>
  <c r="DI278" i="25"/>
  <c r="DJ171" i="25"/>
  <c r="DI171" i="25"/>
  <c r="DB289" i="25"/>
  <c r="DJ161" i="25"/>
  <c r="DI161" i="25"/>
  <c r="DB94" i="25"/>
  <c r="DJ252" i="25"/>
  <c r="DI252" i="25"/>
  <c r="DJ300" i="25"/>
  <c r="DI300" i="25"/>
  <c r="DB293" i="25"/>
  <c r="DJ93" i="25"/>
  <c r="DI93" i="25"/>
  <c r="DB20" i="25"/>
  <c r="DB129" i="25"/>
  <c r="DM145" i="25"/>
  <c r="DM96" i="25"/>
  <c r="DJ72" i="25"/>
  <c r="DI72" i="25"/>
  <c r="DM301" i="25"/>
  <c r="DW301" i="25" s="1"/>
  <c r="DJ30" i="25"/>
  <c r="DI30" i="25"/>
  <c r="DB79" i="25"/>
  <c r="DM253" i="25"/>
  <c r="DW253" i="25" s="1"/>
  <c r="DB233" i="25"/>
  <c r="DJ201" i="25"/>
  <c r="DI201" i="25"/>
  <c r="DB209" i="25"/>
  <c r="DJ307" i="25"/>
  <c r="DI307" i="25"/>
  <c r="DW6" i="25"/>
  <c r="DJ54" i="25"/>
  <c r="DI54" i="25"/>
  <c r="DB68" i="25"/>
  <c r="DM128" i="25"/>
  <c r="DJ170" i="25"/>
  <c r="DI170" i="25"/>
  <c r="DJ316" i="25"/>
  <c r="DI316" i="25"/>
  <c r="DB23" i="25"/>
  <c r="DB142" i="25"/>
  <c r="DB193" i="25"/>
  <c r="DB202" i="25"/>
  <c r="DM38" i="25"/>
  <c r="DB91" i="25"/>
  <c r="DM294" i="25"/>
  <c r="DW294" i="25" s="1"/>
  <c r="DB124" i="25"/>
  <c r="DM295" i="25"/>
  <c r="DW295" i="25" s="1"/>
  <c r="DM40" i="25"/>
  <c r="DJ138" i="25"/>
  <c r="DI138" i="25"/>
  <c r="DJ311" i="25"/>
  <c r="DI311" i="25"/>
  <c r="DM143" i="25"/>
  <c r="DJ217" i="25"/>
  <c r="DI217" i="25"/>
  <c r="DM27" i="25"/>
  <c r="DB18" i="25"/>
  <c r="DM64" i="25"/>
  <c r="DJ79" i="25"/>
  <c r="DI79" i="25"/>
  <c r="DM9" i="25"/>
  <c r="DB11" i="25"/>
  <c r="DM99" i="25"/>
  <c r="DM292" i="25"/>
  <c r="DW292" i="25" s="1"/>
  <c r="DM47" i="25"/>
  <c r="DM173" i="25"/>
  <c r="DB131" i="25"/>
  <c r="DB291" i="25"/>
  <c r="DM35" i="25"/>
  <c r="DM277" i="25"/>
  <c r="DW277" i="25" s="1"/>
  <c r="DM83" i="25"/>
  <c r="DB67" i="25"/>
  <c r="DJ45" i="25"/>
  <c r="DI45" i="25"/>
  <c r="DB229" i="25"/>
  <c r="DM105" i="25"/>
  <c r="DB35" i="25"/>
  <c r="DB206" i="25"/>
  <c r="DM210" i="25"/>
  <c r="DJ56" i="25"/>
  <c r="DI56" i="25"/>
  <c r="DB196" i="25"/>
  <c r="DM60" i="25"/>
  <c r="DM276" i="25"/>
  <c r="DW276" i="25" s="1"/>
  <c r="DJ155" i="25"/>
  <c r="DI155" i="25"/>
  <c r="DJ162" i="25"/>
  <c r="DI162" i="25"/>
  <c r="DM88" i="25"/>
  <c r="DJ291" i="25"/>
  <c r="DI291" i="25"/>
  <c r="DJ28" i="25"/>
  <c r="DI28" i="25"/>
  <c r="DJ142" i="25"/>
  <c r="DI142" i="25"/>
  <c r="DJ61" i="25"/>
  <c r="DI61" i="25"/>
  <c r="DJ151" i="25"/>
  <c r="DI151" i="25"/>
  <c r="DJ204" i="25"/>
  <c r="DI204" i="25"/>
  <c r="DJ139" i="25"/>
  <c r="DI139" i="25"/>
  <c r="DJ159" i="25"/>
  <c r="DI159" i="25"/>
  <c r="DM17" i="25"/>
  <c r="DJ52" i="25"/>
  <c r="DI52" i="25"/>
  <c r="DJ133" i="25"/>
  <c r="DI133" i="25"/>
  <c r="DJ55" i="25"/>
  <c r="DI55" i="25"/>
  <c r="DJ247" i="25"/>
  <c r="DI247" i="25"/>
  <c r="DJ282" i="25"/>
  <c r="DI282" i="25"/>
  <c r="DI145" i="25"/>
  <c r="DJ145" i="25"/>
  <c r="DJ301" i="25"/>
  <c r="DI301" i="25"/>
  <c r="DJ253" i="25"/>
  <c r="DI253" i="25"/>
  <c r="DJ36" i="25"/>
  <c r="DI36" i="25"/>
  <c r="DJ46" i="25"/>
  <c r="DI46" i="25"/>
  <c r="DJ153" i="25"/>
  <c r="DI153" i="25"/>
  <c r="DM225" i="25"/>
  <c r="DW225" i="25" s="1"/>
  <c r="DJ208" i="25"/>
  <c r="DI208" i="25"/>
  <c r="DJ38" i="25"/>
  <c r="DI38" i="25"/>
  <c r="DM262" i="25"/>
  <c r="DW262" i="25" s="1"/>
  <c r="DM100" i="25"/>
  <c r="DM70" i="25"/>
  <c r="DJ40" i="25"/>
  <c r="DI40" i="25"/>
  <c r="DJ87" i="25"/>
  <c r="DI87" i="25"/>
  <c r="DJ143" i="25"/>
  <c r="DI143" i="25"/>
  <c r="DJ27" i="25"/>
  <c r="DI27" i="25"/>
  <c r="DJ31" i="25"/>
  <c r="DI31" i="25"/>
  <c r="DM175" i="25"/>
  <c r="DI286" i="25"/>
  <c r="DJ286" i="25"/>
  <c r="DJ166" i="25"/>
  <c r="DI166" i="25"/>
  <c r="DM79" i="25"/>
  <c r="DJ9" i="25"/>
  <c r="DI9" i="25"/>
  <c r="DJ99" i="25"/>
  <c r="DI99" i="25"/>
  <c r="DJ144" i="25"/>
  <c r="DI144" i="25"/>
  <c r="DJ292" i="25"/>
  <c r="DI292" i="25"/>
  <c r="DJ47" i="25"/>
  <c r="DI47" i="25"/>
  <c r="DJ173" i="25"/>
  <c r="DI173" i="25"/>
  <c r="DM259" i="25"/>
  <c r="DW259" i="25" s="1"/>
  <c r="DJ35" i="25"/>
  <c r="DI35" i="25"/>
  <c r="DJ277" i="25"/>
  <c r="DI277" i="25"/>
  <c r="DJ83" i="25"/>
  <c r="DI83" i="25"/>
  <c r="DJ275" i="25"/>
  <c r="DI275" i="25"/>
  <c r="DJ105" i="25"/>
  <c r="DI105" i="25"/>
  <c r="DJ32" i="25"/>
  <c r="DI32" i="25"/>
  <c r="DJ239" i="25"/>
  <c r="DI239" i="25"/>
  <c r="DM127" i="25"/>
  <c r="DJ276" i="25"/>
  <c r="DI276" i="25"/>
  <c r="DB232" i="25"/>
  <c r="DB314" i="25"/>
  <c r="DJ146" i="25"/>
  <c r="DI146" i="25"/>
  <c r="DJ88" i="25"/>
  <c r="DI88" i="25"/>
  <c r="DJ274" i="25"/>
  <c r="DI274" i="25"/>
  <c r="DB159" i="25"/>
  <c r="DB25" i="25"/>
  <c r="DJ260" i="25"/>
  <c r="DI260" i="25"/>
  <c r="DB153" i="25"/>
  <c r="DB242" i="25"/>
  <c r="DB149" i="25"/>
  <c r="DJ264" i="25"/>
  <c r="DI264" i="25"/>
  <c r="DJ207" i="25"/>
  <c r="DI207" i="25"/>
  <c r="DB128" i="25"/>
  <c r="DJ198" i="25"/>
  <c r="DI198" i="25"/>
  <c r="DB58" i="25"/>
  <c r="DM242" i="25"/>
  <c r="DW242" i="25" s="1"/>
  <c r="DB183" i="25"/>
  <c r="DJ255" i="25"/>
  <c r="DI255" i="25"/>
  <c r="DJ196" i="25"/>
  <c r="DI196" i="25"/>
  <c r="DB146" i="25"/>
  <c r="DJ297" i="25"/>
  <c r="DI297" i="25"/>
  <c r="DB100" i="25"/>
  <c r="DJ17" i="25"/>
  <c r="DI17" i="25"/>
  <c r="DM48" i="25"/>
  <c r="DB272" i="25"/>
  <c r="DJ148" i="25"/>
  <c r="DI148" i="25"/>
  <c r="DJ188" i="25"/>
  <c r="DI188" i="25"/>
  <c r="DJ177" i="25"/>
  <c r="DI177" i="25"/>
  <c r="DB42" i="25"/>
  <c r="DJ235" i="25"/>
  <c r="DI235" i="25"/>
  <c r="DJ298" i="25"/>
  <c r="DI298" i="25"/>
  <c r="DB296" i="25"/>
  <c r="DJ85" i="25"/>
  <c r="DI85" i="25"/>
  <c r="DB8" i="25"/>
  <c r="DB43" i="25"/>
  <c r="DJ125" i="25"/>
  <c r="DI125" i="25"/>
  <c r="DB38" i="25"/>
  <c r="DB81" i="25"/>
  <c r="DB171" i="25"/>
  <c r="DJ150" i="25"/>
  <c r="DI150" i="25"/>
  <c r="DJ22" i="25"/>
  <c r="DI22" i="25"/>
  <c r="DM86" i="25"/>
  <c r="DJ149" i="25"/>
  <c r="DI149" i="25"/>
  <c r="DM12" i="25"/>
  <c r="DJ49" i="25"/>
  <c r="DI49" i="25"/>
  <c r="DB151" i="25"/>
  <c r="DB285" i="25"/>
  <c r="DJ310" i="25"/>
  <c r="DI310" i="25"/>
  <c r="DJ128" i="25"/>
  <c r="DI128" i="25"/>
  <c r="DB28" i="25"/>
  <c r="DM89" i="25"/>
  <c r="DM305" i="25"/>
  <c r="DW305" i="25" s="1"/>
  <c r="DJ279" i="25"/>
  <c r="DI279" i="25"/>
  <c r="DB141" i="25"/>
  <c r="DJ225" i="25"/>
  <c r="DI225" i="25"/>
  <c r="DJ123" i="25"/>
  <c r="DI123" i="25"/>
  <c r="DB37" i="25"/>
  <c r="DM208" i="25"/>
  <c r="DJ248" i="25"/>
  <c r="DI248" i="25"/>
  <c r="DB240" i="25"/>
  <c r="DM157" i="25"/>
  <c r="DM23" i="25"/>
  <c r="DJ262" i="25"/>
  <c r="DI262" i="25"/>
  <c r="DB36" i="25"/>
  <c r="DJ100" i="25"/>
  <c r="DI100" i="25"/>
  <c r="DJ70" i="25"/>
  <c r="DI70" i="25"/>
  <c r="DB118" i="25"/>
  <c r="DB113" i="25"/>
  <c r="DB116" i="25"/>
  <c r="DM87" i="25"/>
  <c r="DM156" i="25"/>
  <c r="DJ249" i="25"/>
  <c r="DI249" i="25"/>
  <c r="DJ199" i="25"/>
  <c r="DI199" i="25"/>
  <c r="DJ175" i="25"/>
  <c r="DI175" i="25"/>
  <c r="DJ289" i="25"/>
  <c r="DI289" i="25"/>
  <c r="DB54" i="25"/>
  <c r="DB249" i="25"/>
  <c r="DJ84" i="25"/>
  <c r="DI84" i="25"/>
  <c r="DB84" i="25"/>
  <c r="DJ187" i="25"/>
  <c r="DI187" i="25"/>
  <c r="DJ65" i="25"/>
  <c r="DI65" i="25"/>
  <c r="DJ41" i="25"/>
  <c r="DI41" i="25"/>
  <c r="DM267" i="25"/>
  <c r="DW267" i="25" s="1"/>
  <c r="DJ259" i="25"/>
  <c r="DI259" i="25"/>
  <c r="DM98" i="25"/>
  <c r="DB26" i="25"/>
  <c r="DM302" i="25"/>
  <c r="DW302" i="25" s="1"/>
  <c r="DJ67" i="25"/>
  <c r="DI67" i="25"/>
  <c r="DM275" i="25"/>
  <c r="DW275" i="25" s="1"/>
  <c r="DB167" i="25"/>
  <c r="DB16" i="25"/>
  <c r="DB62" i="25"/>
  <c r="DB312" i="25"/>
  <c r="DM239" i="25"/>
  <c r="DW239" i="25" s="1"/>
  <c r="DJ206" i="25"/>
  <c r="DI206" i="25"/>
  <c r="DB160" i="25"/>
  <c r="DB99" i="25"/>
  <c r="DJ57" i="25"/>
  <c r="DI57" i="25"/>
  <c r="DJ203" i="25"/>
  <c r="DI203" i="25"/>
  <c r="DJ122" i="25"/>
  <c r="DI122" i="25"/>
  <c r="DJ261" i="25"/>
  <c r="DI261" i="25"/>
  <c r="DJ315" i="25"/>
  <c r="DI315" i="25"/>
  <c r="DJ194" i="25"/>
  <c r="DI194" i="25"/>
  <c r="DM25" i="25"/>
  <c r="DJ69" i="25"/>
  <c r="DI69" i="25"/>
  <c r="DJ243" i="25"/>
  <c r="DI243" i="25"/>
  <c r="DJ230" i="25"/>
  <c r="DI230" i="25"/>
  <c r="DJ242" i="25"/>
  <c r="DI242" i="25"/>
  <c r="DM169" i="25"/>
  <c r="DJ192" i="25"/>
  <c r="DI192" i="25"/>
  <c r="DJ236" i="25"/>
  <c r="DI236" i="25"/>
  <c r="DM13" i="25"/>
  <c r="DJ48" i="25"/>
  <c r="DI48" i="25"/>
  <c r="DJ237" i="25"/>
  <c r="DI237" i="25"/>
  <c r="DJ63" i="25"/>
  <c r="DI63" i="25"/>
  <c r="DJ182" i="25"/>
  <c r="DI182" i="25"/>
  <c r="DM177" i="25"/>
  <c r="DJ163" i="25"/>
  <c r="DI163" i="25"/>
  <c r="DM235" i="25"/>
  <c r="DW235" i="25" s="1"/>
  <c r="DJ160" i="25"/>
  <c r="DI160" i="25"/>
  <c r="DM298" i="25"/>
  <c r="DW298" i="25" s="1"/>
  <c r="DJ51" i="25"/>
  <c r="DI51" i="25"/>
  <c r="DJ154" i="25"/>
  <c r="DI154" i="25"/>
  <c r="DJ240" i="25"/>
  <c r="DI240" i="25"/>
  <c r="DJ86" i="25"/>
  <c r="DI86" i="25"/>
  <c r="DJ130" i="25"/>
  <c r="DI130" i="25"/>
  <c r="DJ12" i="25"/>
  <c r="DI12" i="25"/>
  <c r="DM49" i="25"/>
  <c r="DM250" i="25"/>
  <c r="DW250" i="25" s="1"/>
  <c r="DJ89" i="25"/>
  <c r="DI89" i="25"/>
  <c r="DJ305" i="25"/>
  <c r="DI305" i="25"/>
  <c r="DJ256" i="25"/>
  <c r="DI256" i="25"/>
  <c r="DJ189" i="25"/>
  <c r="DI189" i="25"/>
  <c r="DJ178" i="25"/>
  <c r="DI178" i="25"/>
  <c r="DM90" i="25"/>
  <c r="DJ134" i="25"/>
  <c r="DI134" i="25"/>
  <c r="DJ157" i="25"/>
  <c r="DI157" i="25"/>
  <c r="DJ23" i="25"/>
  <c r="DI23" i="25"/>
  <c r="DM308" i="25"/>
  <c r="DW308" i="25" s="1"/>
  <c r="DM37" i="25"/>
  <c r="DJ111" i="25"/>
  <c r="DI111" i="25"/>
  <c r="DJ220" i="25"/>
  <c r="DI220" i="25"/>
  <c r="DJ156" i="25"/>
  <c r="DI156" i="25"/>
  <c r="DM199" i="25"/>
  <c r="DJ76" i="25"/>
  <c r="DI76" i="25"/>
  <c r="DM289" i="25"/>
  <c r="DW289" i="25" s="1"/>
  <c r="DM187" i="25"/>
  <c r="DM65" i="25"/>
  <c r="DM244" i="25"/>
  <c r="DW244" i="25" s="1"/>
  <c r="DM91" i="25"/>
  <c r="DJ267" i="25"/>
  <c r="DI267" i="25"/>
  <c r="DB286" i="25"/>
  <c r="DB311" i="25"/>
  <c r="DJ98" i="25"/>
  <c r="DI98" i="25"/>
  <c r="DJ302" i="25"/>
  <c r="DI302" i="25"/>
  <c r="DM191" i="25"/>
  <c r="DM147" i="25"/>
  <c r="DM92" i="25"/>
  <c r="DM14" i="25"/>
  <c r="DM203" i="25"/>
  <c r="DM122" i="25"/>
  <c r="DB89" i="25"/>
  <c r="DB55" i="25"/>
  <c r="DJ82" i="25"/>
  <c r="DI82" i="25"/>
  <c r="DM194" i="25"/>
  <c r="DB225" i="25"/>
  <c r="DB40" i="25"/>
  <c r="DJ20" i="25"/>
  <c r="DI20" i="25"/>
  <c r="DJ25" i="25"/>
  <c r="DI25" i="25"/>
  <c r="DB60" i="25"/>
  <c r="DB15" i="25"/>
  <c r="DJ309" i="25"/>
  <c r="DI309" i="25"/>
  <c r="DM313" i="25"/>
  <c r="DW313" i="25" s="1"/>
  <c r="DB29" i="25"/>
  <c r="DB298" i="25"/>
  <c r="DJ16" i="25"/>
  <c r="DI16" i="25"/>
  <c r="DM81" i="25"/>
  <c r="DB85" i="25"/>
  <c r="DM230" i="25"/>
  <c r="DW230" i="25" s="1"/>
  <c r="DB176" i="25"/>
  <c r="DJ195" i="25"/>
  <c r="DI195" i="25"/>
  <c r="DJ265" i="25"/>
  <c r="DI265" i="25"/>
  <c r="DJ169" i="25"/>
  <c r="DI169" i="25"/>
  <c r="DB253" i="25"/>
  <c r="DM272" i="25"/>
  <c r="DW272" i="25" s="1"/>
  <c r="DJ287" i="25"/>
  <c r="DI287" i="25"/>
  <c r="DJ140" i="25"/>
  <c r="DI140" i="25"/>
  <c r="DJ13" i="25"/>
  <c r="DI13" i="25"/>
  <c r="DB287" i="25"/>
  <c r="DM137" i="25"/>
  <c r="DM181" i="25"/>
  <c r="DJ184" i="25"/>
  <c r="DI184" i="25"/>
  <c r="DM227" i="25"/>
  <c r="DW227" i="25" s="1"/>
  <c r="DB121" i="25"/>
  <c r="DB21" i="25"/>
  <c r="DB45" i="25"/>
  <c r="DJ68" i="25"/>
  <c r="DI68" i="25"/>
  <c r="DB191" i="25"/>
  <c r="DM51" i="25"/>
  <c r="DB208" i="25"/>
  <c r="DJ258" i="25"/>
  <c r="DI258" i="25"/>
  <c r="DB130" i="25"/>
  <c r="DJ271" i="25"/>
  <c r="DI271" i="25"/>
  <c r="DB13" i="25"/>
  <c r="DB308" i="25"/>
  <c r="DM33" i="25"/>
  <c r="DB305" i="25"/>
  <c r="DJ250" i="25"/>
  <c r="DI250" i="25"/>
  <c r="DB266" i="25"/>
  <c r="DB34" i="25"/>
  <c r="DB250" i="25"/>
  <c r="DM263" i="25"/>
  <c r="DW263" i="25" s="1"/>
  <c r="DB309" i="25"/>
  <c r="DM119" i="25"/>
  <c r="DB257" i="25"/>
  <c r="DM121" i="25"/>
  <c r="DM256" i="25"/>
  <c r="DW256" i="25" s="1"/>
  <c r="DM189" i="25"/>
  <c r="DM178" i="25"/>
  <c r="DJ90" i="25"/>
  <c r="DI90" i="25"/>
  <c r="DB95" i="25"/>
  <c r="DM43" i="25"/>
  <c r="DB111" i="25"/>
  <c r="DM29" i="25"/>
  <c r="DJ95" i="25"/>
  <c r="DI95" i="25"/>
  <c r="DJ308" i="25"/>
  <c r="DI308" i="25"/>
  <c r="DJ37" i="25"/>
  <c r="DI37" i="25"/>
  <c r="DM111" i="25"/>
  <c r="DM284" i="25"/>
  <c r="DW284" i="25" s="1"/>
  <c r="DI110" i="25"/>
  <c r="DM34" i="25"/>
  <c r="DB217" i="25"/>
  <c r="DJ232" i="25"/>
  <c r="DI232" i="25"/>
  <c r="DJ58" i="25"/>
  <c r="DI58" i="25"/>
  <c r="DJ179" i="25"/>
  <c r="DI179" i="25"/>
  <c r="DM103" i="25"/>
  <c r="DJ244" i="25"/>
  <c r="DI244" i="25"/>
  <c r="DJ91" i="25"/>
  <c r="DI91" i="25"/>
  <c r="DB158" i="25"/>
  <c r="DJ120" i="25"/>
  <c r="DI120" i="25"/>
  <c r="DB163" i="25"/>
  <c r="DB299" i="25"/>
  <c r="DJ97" i="25"/>
  <c r="DI97" i="25"/>
  <c r="DM42" i="25"/>
  <c r="DB234" i="25"/>
  <c r="DJ191" i="25"/>
  <c r="DI191" i="25"/>
  <c r="DM59" i="25"/>
  <c r="DI147" i="25"/>
  <c r="DJ147" i="25"/>
  <c r="DB134" i="25"/>
  <c r="DJ92" i="25"/>
  <c r="DI92" i="25"/>
  <c r="DJ14" i="25"/>
  <c r="DI14" i="25"/>
  <c r="DB144" i="25"/>
  <c r="DB201" i="25"/>
  <c r="DJ241" i="25"/>
  <c r="DI241" i="25"/>
  <c r="DJ180" i="25"/>
  <c r="DI180" i="25"/>
  <c r="DJ313" i="25"/>
  <c r="DI313" i="25"/>
  <c r="DJ10" i="25"/>
  <c r="DI10" i="25"/>
  <c r="DJ75" i="25"/>
  <c r="DI75" i="25"/>
  <c r="DJ81" i="25"/>
  <c r="DI81" i="25"/>
  <c r="DJ272" i="25"/>
  <c r="DI272" i="25"/>
  <c r="DM287" i="25"/>
  <c r="DW287" i="25" s="1"/>
  <c r="DM245" i="25"/>
  <c r="DW245" i="25" s="1"/>
  <c r="DJ281" i="25"/>
  <c r="DI281" i="25"/>
  <c r="DM126" i="25"/>
  <c r="DJ137" i="25"/>
  <c r="DI137" i="25"/>
  <c r="DJ181" i="25"/>
  <c r="DI181" i="25"/>
  <c r="DJ227" i="25"/>
  <c r="DI227" i="25"/>
  <c r="DM24" i="25"/>
  <c r="DJ293" i="25"/>
  <c r="DI293" i="25"/>
  <c r="DJ26" i="25"/>
  <c r="DI26" i="25"/>
  <c r="DJ127" i="25"/>
  <c r="DI127" i="25"/>
  <c r="DJ193" i="25"/>
  <c r="DI193" i="25"/>
  <c r="DJ312" i="25"/>
  <c r="DI312" i="25"/>
  <c r="DJ33" i="25"/>
  <c r="DI33" i="25"/>
  <c r="DJ263" i="25"/>
  <c r="DI263" i="25"/>
  <c r="DJ119" i="25"/>
  <c r="DI119" i="25"/>
  <c r="DJ121" i="25"/>
  <c r="DI121" i="25"/>
  <c r="DJ11" i="25"/>
  <c r="DI11" i="25"/>
  <c r="DJ296" i="25"/>
  <c r="DI296" i="25"/>
  <c r="DJ224" i="25"/>
  <c r="DI224" i="25"/>
  <c r="DJ43" i="25"/>
  <c r="DI43" i="25"/>
  <c r="DJ29" i="25"/>
  <c r="DI29" i="25"/>
  <c r="DJ266" i="25"/>
  <c r="DI266" i="25"/>
  <c r="DM95" i="25"/>
  <c r="DJ254" i="25"/>
  <c r="DI254" i="25"/>
  <c r="DM200" i="25"/>
  <c r="DJ284" i="25"/>
  <c r="DI284" i="25"/>
  <c r="DJ34" i="25"/>
  <c r="DI34" i="25"/>
  <c r="DM283" i="25"/>
  <c r="DW283" i="25" s="1"/>
  <c r="DM232" i="25"/>
  <c r="DW232" i="25" s="1"/>
  <c r="DJ299" i="25"/>
  <c r="DI299" i="25"/>
  <c r="DM58" i="25"/>
  <c r="DM179" i="25"/>
  <c r="DJ103" i="25"/>
  <c r="DI103" i="25"/>
  <c r="DJ202" i="25"/>
  <c r="DI202" i="25"/>
  <c r="DJ257" i="25"/>
  <c r="DI257" i="25"/>
  <c r="DM97" i="25"/>
  <c r="DJ42" i="25"/>
  <c r="DI42" i="25"/>
  <c r="DM131" i="25"/>
  <c r="DJ59" i="25"/>
  <c r="DI59" i="25"/>
  <c r="DJ78" i="25"/>
  <c r="DI78" i="25"/>
  <c r="DJ190" i="25"/>
  <c r="DI190" i="25"/>
  <c r="DM174" i="25"/>
  <c r="DM269" i="25"/>
  <c r="DW269" i="25" s="1"/>
  <c r="DW7" i="25"/>
  <c r="DM241" i="25"/>
  <c r="DW241" i="25" s="1"/>
  <c r="DM279" i="25"/>
  <c r="DW279" i="25" s="1"/>
  <c r="DM180" i="25"/>
  <c r="DC251" i="24"/>
  <c r="DC196" i="24"/>
  <c r="DC191" i="24"/>
  <c r="DC297" i="24"/>
  <c r="DC237" i="24"/>
  <c r="DC220" i="24"/>
  <c r="DC313" i="24"/>
  <c r="DC282" i="24"/>
  <c r="DC286" i="24"/>
  <c r="DC290" i="24"/>
  <c r="DC244" i="24"/>
  <c r="DC306" i="24"/>
  <c r="DC224" i="24"/>
  <c r="DC233" i="24"/>
  <c r="DC126" i="24"/>
  <c r="DC147" i="24"/>
  <c r="DC137" i="24"/>
  <c r="DC193" i="24"/>
  <c r="DC247" i="24"/>
  <c r="DC118" i="24"/>
  <c r="DC312" i="24"/>
  <c r="DC225" i="24"/>
  <c r="DC218" i="24"/>
  <c r="DC270" i="24"/>
  <c r="DC175" i="24"/>
  <c r="DC295" i="24"/>
  <c r="DC207" i="24"/>
  <c r="DC311" i="24"/>
  <c r="DC167" i="24"/>
  <c r="DC179" i="24"/>
  <c r="DC180" i="24"/>
  <c r="DC125" i="24"/>
  <c r="DC303" i="24"/>
  <c r="DC231" i="24"/>
  <c r="DB210" i="24"/>
  <c r="DE210" i="24" s="1"/>
  <c r="DF210" i="24" s="1"/>
  <c r="DG210" i="24" s="1"/>
  <c r="DI210" i="24"/>
  <c r="DM210" i="24"/>
  <c r="DB181" i="24"/>
  <c r="DE181" i="24" s="1"/>
  <c r="DF181" i="24" s="1"/>
  <c r="DG181" i="24" s="1"/>
  <c r="DI181" i="24"/>
  <c r="DM181" i="24"/>
  <c r="DC204" i="24"/>
  <c r="DA91" i="24"/>
  <c r="DC91" i="24" s="1"/>
  <c r="DI91" i="24"/>
  <c r="DB91" i="24"/>
  <c r="DE91" i="24" s="1"/>
  <c r="DF91" i="24" s="1"/>
  <c r="DG91" i="24" s="1"/>
  <c r="DM91" i="24"/>
  <c r="DI27" i="24"/>
  <c r="DB27" i="24"/>
  <c r="DE27" i="24" s="1"/>
  <c r="DF27" i="24" s="1"/>
  <c r="DG27" i="24" s="1"/>
  <c r="DM27" i="24"/>
  <c r="DB271" i="24"/>
  <c r="DE271" i="24" s="1"/>
  <c r="DF271" i="24" s="1"/>
  <c r="DG271" i="24" s="1"/>
  <c r="DI271" i="24"/>
  <c r="DM271" i="24"/>
  <c r="DI197" i="24"/>
  <c r="DB197" i="24"/>
  <c r="DE197" i="24" s="1"/>
  <c r="DF197" i="24" s="1"/>
  <c r="DG197" i="24" s="1"/>
  <c r="DM197" i="24"/>
  <c r="DI79" i="24"/>
  <c r="DB79" i="24"/>
  <c r="DE79" i="24" s="1"/>
  <c r="DF79" i="24" s="1"/>
  <c r="DG79" i="24" s="1"/>
  <c r="DM79" i="24"/>
  <c r="DB80" i="24"/>
  <c r="DE80" i="24" s="1"/>
  <c r="DF80" i="24" s="1"/>
  <c r="DG80" i="24" s="1"/>
  <c r="DI80" i="24"/>
  <c r="DM80" i="24"/>
  <c r="DI254" i="24"/>
  <c r="DB254" i="24"/>
  <c r="DE254" i="24" s="1"/>
  <c r="DF254" i="24" s="1"/>
  <c r="DG254" i="24" s="1"/>
  <c r="DM254" i="24"/>
  <c r="DB56" i="24"/>
  <c r="DE56" i="24" s="1"/>
  <c r="DF56" i="24" s="1"/>
  <c r="DG56" i="24" s="1"/>
  <c r="DI56" i="24"/>
  <c r="DM56" i="24"/>
  <c r="DI112" i="24"/>
  <c r="DB112" i="24"/>
  <c r="DE112" i="24" s="1"/>
  <c r="DF112" i="24" s="1"/>
  <c r="DG112" i="24" s="1"/>
  <c r="DM112" i="24"/>
  <c r="DI137" i="24"/>
  <c r="DB137" i="24"/>
  <c r="DE137" i="24" s="1"/>
  <c r="DF137" i="24" s="1"/>
  <c r="DG137" i="24" s="1"/>
  <c r="DM137" i="24"/>
  <c r="DI100" i="24"/>
  <c r="DB100" i="24"/>
  <c r="DE100" i="24" s="1"/>
  <c r="DF100" i="24" s="1"/>
  <c r="DG100" i="24" s="1"/>
  <c r="DM100" i="24"/>
  <c r="DI312" i="24"/>
  <c r="DB312" i="24"/>
  <c r="DE312" i="24" s="1"/>
  <c r="DF312" i="24" s="1"/>
  <c r="DG312" i="24" s="1"/>
  <c r="DM312" i="24"/>
  <c r="DI222" i="24"/>
  <c r="DB222" i="24"/>
  <c r="DE222" i="24" s="1"/>
  <c r="DF222" i="24" s="1"/>
  <c r="DG222" i="24" s="1"/>
  <c r="DM222" i="24"/>
  <c r="DI207" i="24"/>
  <c r="DB207" i="24"/>
  <c r="DE207" i="24" s="1"/>
  <c r="DF207" i="24" s="1"/>
  <c r="DG207" i="24" s="1"/>
  <c r="DM207" i="24"/>
  <c r="DC131" i="24"/>
  <c r="DI173" i="24"/>
  <c r="DB173" i="24"/>
  <c r="DE173" i="24" s="1"/>
  <c r="DF173" i="24" s="1"/>
  <c r="DG173" i="24" s="1"/>
  <c r="DM173" i="24"/>
  <c r="DI60" i="24"/>
  <c r="DB60" i="24"/>
  <c r="DE60" i="24" s="1"/>
  <c r="DF60" i="24" s="1"/>
  <c r="DG60" i="24" s="1"/>
  <c r="DM60" i="24"/>
  <c r="DB290" i="24"/>
  <c r="DE290" i="24" s="1"/>
  <c r="DF290" i="24" s="1"/>
  <c r="DG290" i="24" s="1"/>
  <c r="DI290" i="24"/>
  <c r="DM290" i="24"/>
  <c r="DA222" i="24"/>
  <c r="DC222" i="24" s="1"/>
  <c r="DC242" i="24"/>
  <c r="DC132" i="24"/>
  <c r="DI123" i="24"/>
  <c r="DB123" i="24"/>
  <c r="DE123" i="24" s="1"/>
  <c r="DF123" i="24" s="1"/>
  <c r="DG123" i="24" s="1"/>
  <c r="DM123" i="24"/>
  <c r="DI72" i="24"/>
  <c r="DB72" i="24"/>
  <c r="DE72" i="24" s="1"/>
  <c r="DF72" i="24" s="1"/>
  <c r="DG72" i="24" s="1"/>
  <c r="DM72" i="24"/>
  <c r="DC283" i="24"/>
  <c r="DI309" i="24"/>
  <c r="DB309" i="24"/>
  <c r="DE309" i="24" s="1"/>
  <c r="DF309" i="24" s="1"/>
  <c r="DG309" i="24" s="1"/>
  <c r="DM309" i="24"/>
  <c r="DA89" i="24"/>
  <c r="DC89" i="24" s="1"/>
  <c r="DB89" i="24"/>
  <c r="DE89" i="24" s="1"/>
  <c r="DF89" i="24" s="1"/>
  <c r="DG89" i="24" s="1"/>
  <c r="DI89" i="24"/>
  <c r="DM89" i="24"/>
  <c r="DB205" i="24"/>
  <c r="DE205" i="24" s="1"/>
  <c r="DF205" i="24" s="1"/>
  <c r="DG205" i="24" s="1"/>
  <c r="DI205" i="24"/>
  <c r="DM205" i="24"/>
  <c r="DB289" i="24"/>
  <c r="DE289" i="24" s="1"/>
  <c r="DF289" i="24" s="1"/>
  <c r="DG289" i="24" s="1"/>
  <c r="DI289" i="24"/>
  <c r="DM289" i="24"/>
  <c r="DI234" i="24"/>
  <c r="DB234" i="24"/>
  <c r="DE234" i="24" s="1"/>
  <c r="DF234" i="24" s="1"/>
  <c r="DG234" i="24" s="1"/>
  <c r="DM234" i="24"/>
  <c r="DC267" i="24"/>
  <c r="DI29" i="24"/>
  <c r="DB29" i="24"/>
  <c r="DE29" i="24" s="1"/>
  <c r="DF29" i="24" s="1"/>
  <c r="DG29" i="24" s="1"/>
  <c r="DM29" i="24"/>
  <c r="DI224" i="24"/>
  <c r="DB224" i="24"/>
  <c r="DE224" i="24" s="1"/>
  <c r="DF224" i="24" s="1"/>
  <c r="DG224" i="24" s="1"/>
  <c r="DM224" i="24"/>
  <c r="DB20" i="24"/>
  <c r="DE20" i="24" s="1"/>
  <c r="DF20" i="24" s="1"/>
  <c r="DG20" i="24" s="1"/>
  <c r="DI20" i="24"/>
  <c r="DM20" i="24"/>
  <c r="DI73" i="24"/>
  <c r="DB73" i="24"/>
  <c r="DE73" i="24" s="1"/>
  <c r="DF73" i="24" s="1"/>
  <c r="DG73" i="24" s="1"/>
  <c r="DM73" i="24"/>
  <c r="DB267" i="24"/>
  <c r="DE267" i="24" s="1"/>
  <c r="DF267" i="24" s="1"/>
  <c r="DG267" i="24" s="1"/>
  <c r="DI267" i="24"/>
  <c r="DM267" i="24"/>
  <c r="DI158" i="24"/>
  <c r="DB158" i="24"/>
  <c r="DE158" i="24" s="1"/>
  <c r="DF158" i="24" s="1"/>
  <c r="DG158" i="24" s="1"/>
  <c r="DM158" i="24"/>
  <c r="DI94" i="24"/>
  <c r="DB94" i="24"/>
  <c r="DE94" i="24" s="1"/>
  <c r="DF94" i="24" s="1"/>
  <c r="DG94" i="24" s="1"/>
  <c r="DM94" i="24"/>
  <c r="DI135" i="24"/>
  <c r="DB135" i="24"/>
  <c r="DE135" i="24" s="1"/>
  <c r="DF135" i="24" s="1"/>
  <c r="DG135" i="24" s="1"/>
  <c r="DM135" i="24"/>
  <c r="DB235" i="24"/>
  <c r="DE235" i="24" s="1"/>
  <c r="DF235" i="24" s="1"/>
  <c r="DG235" i="24" s="1"/>
  <c r="DI235" i="24"/>
  <c r="DM235" i="24"/>
  <c r="DI256" i="24"/>
  <c r="DB256" i="24"/>
  <c r="DE256" i="24" s="1"/>
  <c r="DF256" i="24" s="1"/>
  <c r="DG256" i="24" s="1"/>
  <c r="DM256" i="24"/>
  <c r="DI241" i="24"/>
  <c r="DB241" i="24"/>
  <c r="DE241" i="24" s="1"/>
  <c r="DF241" i="24" s="1"/>
  <c r="DG241" i="24" s="1"/>
  <c r="DM241" i="24"/>
  <c r="DI82" i="24"/>
  <c r="DB82" i="24"/>
  <c r="DE82" i="24" s="1"/>
  <c r="DF82" i="24" s="1"/>
  <c r="DG82" i="24" s="1"/>
  <c r="DM82" i="24"/>
  <c r="DA201" i="24"/>
  <c r="DC201" i="24" s="1"/>
  <c r="DB201" i="24"/>
  <c r="DE201" i="24" s="1"/>
  <c r="DF201" i="24" s="1"/>
  <c r="DG201" i="24" s="1"/>
  <c r="DI201" i="24"/>
  <c r="DM201" i="24"/>
  <c r="DB251" i="24"/>
  <c r="DE251" i="24" s="1"/>
  <c r="DF251" i="24" s="1"/>
  <c r="DG251" i="24" s="1"/>
  <c r="DI251" i="24"/>
  <c r="DM251" i="24"/>
  <c r="DB84" i="24"/>
  <c r="DE84" i="24" s="1"/>
  <c r="DF84" i="24" s="1"/>
  <c r="DG84" i="24" s="1"/>
  <c r="DI84" i="24"/>
  <c r="DM84" i="24"/>
  <c r="DC151" i="24"/>
  <c r="DB61" i="24"/>
  <c r="DE61" i="24" s="1"/>
  <c r="DF61" i="24" s="1"/>
  <c r="DG61" i="24" s="1"/>
  <c r="DI61" i="24"/>
  <c r="DM61" i="24"/>
  <c r="DB46" i="24"/>
  <c r="DE46" i="24" s="1"/>
  <c r="DF46" i="24" s="1"/>
  <c r="DG46" i="24" s="1"/>
  <c r="DI46" i="24"/>
  <c r="DM46" i="24"/>
  <c r="DC155" i="24"/>
  <c r="DI273" i="24"/>
  <c r="DB273" i="24"/>
  <c r="DE273" i="24" s="1"/>
  <c r="DF273" i="24" s="1"/>
  <c r="DG273" i="24" s="1"/>
  <c r="DM273" i="24"/>
  <c r="DB126" i="24"/>
  <c r="DE126" i="24" s="1"/>
  <c r="DF126" i="24" s="1"/>
  <c r="DG126" i="24" s="1"/>
  <c r="DI126" i="24"/>
  <c r="DM126" i="24"/>
  <c r="DB129" i="24"/>
  <c r="DE129" i="24" s="1"/>
  <c r="DF129" i="24" s="1"/>
  <c r="DG129" i="24" s="1"/>
  <c r="DI129" i="24"/>
  <c r="DM129" i="24"/>
  <c r="DI99" i="24"/>
  <c r="DB99" i="24"/>
  <c r="DE99" i="24" s="1"/>
  <c r="DF99" i="24" s="1"/>
  <c r="DG99" i="24" s="1"/>
  <c r="DM99" i="24"/>
  <c r="DC199" i="24"/>
  <c r="DC169" i="24"/>
  <c r="DB10" i="24"/>
  <c r="DE10" i="24" s="1"/>
  <c r="DF10" i="24" s="1"/>
  <c r="DG10" i="24" s="1"/>
  <c r="DI10" i="24"/>
  <c r="DM10" i="24"/>
  <c r="DC291" i="24"/>
  <c r="DC128" i="24"/>
  <c r="DB93" i="24"/>
  <c r="DE93" i="24" s="1"/>
  <c r="DF93" i="24" s="1"/>
  <c r="DG93" i="24" s="1"/>
  <c r="DI93" i="24"/>
  <c r="DM93" i="24"/>
  <c r="DB43" i="24"/>
  <c r="DE43" i="24" s="1"/>
  <c r="DF43" i="24" s="1"/>
  <c r="DG43" i="24" s="1"/>
  <c r="DI43" i="24"/>
  <c r="DM43" i="24"/>
  <c r="DB313" i="24"/>
  <c r="DE313" i="24" s="1"/>
  <c r="DF313" i="24" s="1"/>
  <c r="DG313" i="24" s="1"/>
  <c r="DI313" i="24"/>
  <c r="DM313" i="24"/>
  <c r="DA158" i="24"/>
  <c r="DC158" i="24" s="1"/>
  <c r="DA94" i="24"/>
  <c r="DC94" i="24" s="1"/>
  <c r="DC252" i="24"/>
  <c r="DB186" i="24"/>
  <c r="DE186" i="24" s="1"/>
  <c r="DF186" i="24" s="1"/>
  <c r="DG186" i="24" s="1"/>
  <c r="DI186" i="24"/>
  <c r="DM186" i="24"/>
  <c r="DA112" i="24"/>
  <c r="DC112" i="24" s="1"/>
  <c r="DC164" i="24"/>
  <c r="DI162" i="24"/>
  <c r="DB162" i="24"/>
  <c r="DE162" i="24" s="1"/>
  <c r="DF162" i="24" s="1"/>
  <c r="DG162" i="24" s="1"/>
  <c r="DM162" i="24"/>
  <c r="DC206" i="24"/>
  <c r="DI15" i="24"/>
  <c r="DB15" i="24"/>
  <c r="DE15" i="24" s="1"/>
  <c r="DF15" i="24" s="1"/>
  <c r="DG15" i="24" s="1"/>
  <c r="DM15" i="24"/>
  <c r="DI98" i="24"/>
  <c r="DB98" i="24"/>
  <c r="DE98" i="24" s="1"/>
  <c r="DF98" i="24" s="1"/>
  <c r="DG98" i="24" s="1"/>
  <c r="DM98" i="24"/>
  <c r="DI40" i="24"/>
  <c r="DB40" i="24"/>
  <c r="DE40" i="24" s="1"/>
  <c r="DF40" i="24" s="1"/>
  <c r="DG40" i="24" s="1"/>
  <c r="DM40" i="24"/>
  <c r="DI66" i="24"/>
  <c r="DB66" i="24"/>
  <c r="DE66" i="24" s="1"/>
  <c r="DF66" i="24" s="1"/>
  <c r="DG66" i="24" s="1"/>
  <c r="DM66" i="24"/>
  <c r="DI264" i="24"/>
  <c r="DB264" i="24"/>
  <c r="DE264" i="24" s="1"/>
  <c r="DF264" i="24" s="1"/>
  <c r="DG264" i="24" s="1"/>
  <c r="DM264" i="24"/>
  <c r="DI291" i="24"/>
  <c r="DB291" i="24"/>
  <c r="DE291" i="24" s="1"/>
  <c r="DF291" i="24" s="1"/>
  <c r="DG291" i="24" s="1"/>
  <c r="DM291" i="24"/>
  <c r="DC281" i="24"/>
  <c r="DB136" i="24"/>
  <c r="DE136" i="24" s="1"/>
  <c r="DF136" i="24" s="1"/>
  <c r="DG136" i="24" s="1"/>
  <c r="DI136" i="24"/>
  <c r="DM136" i="24"/>
  <c r="DC209" i="24"/>
  <c r="DB226" i="24"/>
  <c r="DE226" i="24" s="1"/>
  <c r="DF226" i="24" s="1"/>
  <c r="DG226" i="24" s="1"/>
  <c r="DI226" i="24"/>
  <c r="DM226" i="24"/>
  <c r="DA171" i="24"/>
  <c r="DC171" i="24" s="1"/>
  <c r="DI171" i="24"/>
  <c r="DB171" i="24"/>
  <c r="DE171" i="24" s="1"/>
  <c r="DF171" i="24" s="1"/>
  <c r="DG171" i="24" s="1"/>
  <c r="DM171" i="24"/>
  <c r="DI41" i="24"/>
  <c r="DB41" i="24"/>
  <c r="DE41" i="24" s="1"/>
  <c r="DF41" i="24" s="1"/>
  <c r="DG41" i="24" s="1"/>
  <c r="DM41" i="24"/>
  <c r="DI146" i="24"/>
  <c r="DB146" i="24"/>
  <c r="DE146" i="24" s="1"/>
  <c r="DF146" i="24" s="1"/>
  <c r="DG146" i="24" s="1"/>
  <c r="DM146" i="24"/>
  <c r="DM255" i="24"/>
  <c r="DB255" i="24"/>
  <c r="DE255" i="24" s="1"/>
  <c r="DF255" i="24" s="1"/>
  <c r="DG255" i="24" s="1"/>
  <c r="DI255" i="24"/>
  <c r="DB259" i="24"/>
  <c r="DE259" i="24" s="1"/>
  <c r="DF259" i="24" s="1"/>
  <c r="DG259" i="24" s="1"/>
  <c r="DI259" i="24"/>
  <c r="DM259" i="24"/>
  <c r="DB133" i="24"/>
  <c r="DE133" i="24" s="1"/>
  <c r="DF133" i="24" s="1"/>
  <c r="DG133" i="24" s="1"/>
  <c r="DI133" i="24"/>
  <c r="DM133" i="24"/>
  <c r="DB30" i="24"/>
  <c r="DE30" i="24" s="1"/>
  <c r="DF30" i="24" s="1"/>
  <c r="DG30" i="24" s="1"/>
  <c r="DI30" i="24"/>
  <c r="DM30" i="24"/>
  <c r="DC268" i="24"/>
  <c r="DI53" i="24"/>
  <c r="DB53" i="24"/>
  <c r="DE53" i="24" s="1"/>
  <c r="DF53" i="24" s="1"/>
  <c r="DG53" i="24" s="1"/>
  <c r="DM53" i="24"/>
  <c r="DI121" i="24"/>
  <c r="DB121" i="24"/>
  <c r="DE121" i="24" s="1"/>
  <c r="DF121" i="24" s="1"/>
  <c r="DG121" i="24" s="1"/>
  <c r="DM121" i="24"/>
  <c r="DI90" i="24"/>
  <c r="DB90" i="24"/>
  <c r="DE90" i="24" s="1"/>
  <c r="DF90" i="24" s="1"/>
  <c r="DG90" i="24" s="1"/>
  <c r="DM90" i="24"/>
  <c r="DC129" i="24"/>
  <c r="DI308" i="24"/>
  <c r="DB308" i="24"/>
  <c r="DE308" i="24" s="1"/>
  <c r="DF308" i="24" s="1"/>
  <c r="DG308" i="24" s="1"/>
  <c r="DM308" i="24"/>
  <c r="DA256" i="24"/>
  <c r="DC256" i="24" s="1"/>
  <c r="DI295" i="24"/>
  <c r="DB295" i="24"/>
  <c r="DE295" i="24" s="1"/>
  <c r="DF295" i="24" s="1"/>
  <c r="DG295" i="24" s="1"/>
  <c r="DM295" i="24"/>
  <c r="DI97" i="24"/>
  <c r="DB97" i="24"/>
  <c r="DE97" i="24" s="1"/>
  <c r="DF97" i="24" s="1"/>
  <c r="DG97" i="24" s="1"/>
  <c r="DM97" i="24"/>
  <c r="DI31" i="24"/>
  <c r="DB31" i="24"/>
  <c r="DE31" i="24" s="1"/>
  <c r="DF31" i="24" s="1"/>
  <c r="DG31" i="24" s="1"/>
  <c r="DM31" i="24"/>
  <c r="DC178" i="24"/>
  <c r="DI8" i="24"/>
  <c r="DB8" i="24"/>
  <c r="DE8" i="24" s="1"/>
  <c r="DF8" i="24" s="1"/>
  <c r="DG8" i="24" s="1"/>
  <c r="DM8" i="24"/>
  <c r="DB279" i="24"/>
  <c r="DE279" i="24" s="1"/>
  <c r="DF279" i="24" s="1"/>
  <c r="DG279" i="24" s="1"/>
  <c r="DI279" i="24"/>
  <c r="DM279" i="24"/>
  <c r="DA79" i="24"/>
  <c r="DC79" i="24" s="1"/>
  <c r="DA184" i="24"/>
  <c r="DC184" i="24" s="1"/>
  <c r="DI184" i="24"/>
  <c r="DB184" i="24"/>
  <c r="DE184" i="24" s="1"/>
  <c r="DF184" i="24" s="1"/>
  <c r="DG184" i="24" s="1"/>
  <c r="DM184" i="24"/>
  <c r="DA261" i="24"/>
  <c r="DC261" i="24" s="1"/>
  <c r="DI261" i="24"/>
  <c r="DB261" i="24"/>
  <c r="DE261" i="24" s="1"/>
  <c r="DF261" i="24" s="1"/>
  <c r="DG261" i="24" s="1"/>
  <c r="DM261" i="24"/>
  <c r="DI265" i="24"/>
  <c r="DB265" i="24"/>
  <c r="DE265" i="24" s="1"/>
  <c r="DF265" i="24" s="1"/>
  <c r="DG265" i="24" s="1"/>
  <c r="DM265" i="24"/>
  <c r="DA27" i="24"/>
  <c r="DC27" i="24" s="1"/>
  <c r="DI69" i="24"/>
  <c r="DB69" i="24"/>
  <c r="DE69" i="24" s="1"/>
  <c r="DF69" i="24" s="1"/>
  <c r="DG69" i="24" s="1"/>
  <c r="DM69" i="24"/>
  <c r="DI44" i="24"/>
  <c r="DB44" i="24"/>
  <c r="DE44" i="24" s="1"/>
  <c r="DF44" i="24" s="1"/>
  <c r="DG44" i="24" s="1"/>
  <c r="DM44" i="24"/>
  <c r="DB272" i="24"/>
  <c r="DE272" i="24" s="1"/>
  <c r="DF272" i="24" s="1"/>
  <c r="DG272" i="24" s="1"/>
  <c r="DI272" i="24"/>
  <c r="DM272" i="24"/>
  <c r="DI220" i="24"/>
  <c r="DB220" i="24"/>
  <c r="DE220" i="24" s="1"/>
  <c r="DF220" i="24" s="1"/>
  <c r="DG220" i="24" s="1"/>
  <c r="DM220" i="24"/>
  <c r="DC262" i="24"/>
  <c r="DA271" i="24"/>
  <c r="DC271" i="24" s="1"/>
  <c r="DB160" i="24"/>
  <c r="DE160" i="24" s="1"/>
  <c r="DF160" i="24" s="1"/>
  <c r="DG160" i="24" s="1"/>
  <c r="DI160" i="24"/>
  <c r="DM160" i="24"/>
  <c r="DB284" i="24"/>
  <c r="DE284" i="24" s="1"/>
  <c r="DF284" i="24" s="1"/>
  <c r="DG284" i="24" s="1"/>
  <c r="DI284" i="24"/>
  <c r="DM284" i="24"/>
  <c r="DC120" i="24"/>
  <c r="DI281" i="24"/>
  <c r="DB281" i="24"/>
  <c r="DE281" i="24" s="1"/>
  <c r="DF281" i="24" s="1"/>
  <c r="DG281" i="24" s="1"/>
  <c r="DM281" i="24"/>
  <c r="DA70" i="24"/>
  <c r="DC70" i="24" s="1"/>
  <c r="DI70" i="24"/>
  <c r="DB70" i="24"/>
  <c r="DE70" i="24" s="1"/>
  <c r="DF70" i="24" s="1"/>
  <c r="DG70" i="24" s="1"/>
  <c r="DM70" i="24"/>
  <c r="DA83" i="24"/>
  <c r="DC83" i="24" s="1"/>
  <c r="DI83" i="24"/>
  <c r="DB83" i="24"/>
  <c r="DE83" i="24" s="1"/>
  <c r="DF83" i="24" s="1"/>
  <c r="DG83" i="24" s="1"/>
  <c r="DM83" i="24"/>
  <c r="DA284" i="24"/>
  <c r="DC284" i="24" s="1"/>
  <c r="DI307" i="24"/>
  <c r="DB307" i="24"/>
  <c r="DE307" i="24" s="1"/>
  <c r="DF307" i="24" s="1"/>
  <c r="DG307" i="24" s="1"/>
  <c r="DM307" i="24"/>
  <c r="DI297" i="24"/>
  <c r="DB297" i="24"/>
  <c r="DE297" i="24" s="1"/>
  <c r="DF297" i="24" s="1"/>
  <c r="DG297" i="24" s="1"/>
  <c r="DM297" i="24"/>
  <c r="DC302" i="24"/>
  <c r="DC253" i="24"/>
  <c r="DB283" i="24"/>
  <c r="DE283" i="24" s="1"/>
  <c r="DF283" i="24" s="1"/>
  <c r="DG283" i="24" s="1"/>
  <c r="DI283" i="24"/>
  <c r="DM283" i="24"/>
  <c r="DC238" i="24"/>
  <c r="DB172" i="24"/>
  <c r="DE172" i="24" s="1"/>
  <c r="DF172" i="24" s="1"/>
  <c r="DG172" i="24" s="1"/>
  <c r="DI172" i="24"/>
  <c r="DM172" i="24"/>
  <c r="DC289" i="24"/>
  <c r="DI47" i="24"/>
  <c r="DB47" i="24"/>
  <c r="DE47" i="24" s="1"/>
  <c r="DF47" i="24" s="1"/>
  <c r="DG47" i="24" s="1"/>
  <c r="DM47" i="24"/>
  <c r="DM242" i="24"/>
  <c r="DI242" i="24"/>
  <c r="DB242" i="24"/>
  <c r="DE242" i="24" s="1"/>
  <c r="DF242" i="24" s="1"/>
  <c r="DG242" i="24" s="1"/>
  <c r="DI286" i="24"/>
  <c r="DB286" i="24"/>
  <c r="DE286" i="24" s="1"/>
  <c r="DF286" i="24" s="1"/>
  <c r="DG286" i="24" s="1"/>
  <c r="DM286" i="24"/>
  <c r="DA18" i="24"/>
  <c r="DC18" i="24" s="1"/>
  <c r="DI18" i="24"/>
  <c r="DB18" i="24"/>
  <c r="DE18" i="24" s="1"/>
  <c r="DF18" i="24" s="1"/>
  <c r="DG18" i="24" s="1"/>
  <c r="DM18" i="24"/>
  <c r="DC113" i="24"/>
  <c r="DC296" i="24"/>
  <c r="DI6" i="24"/>
  <c r="DB6" i="24"/>
  <c r="DE6" i="24" s="1"/>
  <c r="DF6" i="24" s="1"/>
  <c r="DG6" i="24" s="1"/>
  <c r="DM6" i="24"/>
  <c r="DI153" i="24"/>
  <c r="DB153" i="24"/>
  <c r="DE153" i="24" s="1"/>
  <c r="DF153" i="24" s="1"/>
  <c r="DG153" i="24" s="1"/>
  <c r="DM153" i="24"/>
  <c r="DC277" i="24"/>
  <c r="DI36" i="24"/>
  <c r="DB36" i="24"/>
  <c r="DE36" i="24" s="1"/>
  <c r="DF36" i="24" s="1"/>
  <c r="DG36" i="24" s="1"/>
  <c r="DM36" i="24"/>
  <c r="DB192" i="24"/>
  <c r="DE192" i="24" s="1"/>
  <c r="DF192" i="24" s="1"/>
  <c r="DG192" i="24" s="1"/>
  <c r="DI192" i="24"/>
  <c r="DM192" i="24"/>
  <c r="DA226" i="24"/>
  <c r="DC226" i="24" s="1"/>
  <c r="DI96" i="24"/>
  <c r="DB96" i="24"/>
  <c r="DE96" i="24" s="1"/>
  <c r="DF96" i="24" s="1"/>
  <c r="DG96" i="24" s="1"/>
  <c r="DM96" i="24"/>
  <c r="DI145" i="24"/>
  <c r="DB145" i="24"/>
  <c r="DE145" i="24" s="1"/>
  <c r="DF145" i="24" s="1"/>
  <c r="DG145" i="24" s="1"/>
  <c r="DM145" i="24"/>
  <c r="DM128" i="24"/>
  <c r="DI128" i="24"/>
  <c r="DB128" i="24"/>
  <c r="DE128" i="24" s="1"/>
  <c r="DF128" i="24" s="1"/>
  <c r="DG128" i="24" s="1"/>
  <c r="DC160" i="24"/>
  <c r="DI304" i="24"/>
  <c r="DB304" i="24"/>
  <c r="DE304" i="24" s="1"/>
  <c r="DF304" i="24" s="1"/>
  <c r="DG304" i="24" s="1"/>
  <c r="DM304" i="24"/>
  <c r="DA245" i="24"/>
  <c r="DC245" i="24" s="1"/>
  <c r="DI245" i="24"/>
  <c r="DB245" i="24"/>
  <c r="DE245" i="24" s="1"/>
  <c r="DF245" i="24" s="1"/>
  <c r="DG245" i="24" s="1"/>
  <c r="DM245" i="24"/>
  <c r="DI315" i="24"/>
  <c r="DB315" i="24"/>
  <c r="DE315" i="24" s="1"/>
  <c r="DF315" i="24" s="1"/>
  <c r="DG315" i="24" s="1"/>
  <c r="DM315" i="24"/>
  <c r="DI249" i="24"/>
  <c r="DB249" i="24"/>
  <c r="DE249" i="24" s="1"/>
  <c r="DF249" i="24" s="1"/>
  <c r="DG249" i="24" s="1"/>
  <c r="DM249" i="24"/>
  <c r="DI63" i="24"/>
  <c r="DB63" i="24"/>
  <c r="DE63" i="24" s="1"/>
  <c r="DF63" i="24" s="1"/>
  <c r="DG63" i="24" s="1"/>
  <c r="DM63" i="24"/>
  <c r="DI174" i="24"/>
  <c r="DB174" i="24"/>
  <c r="DE174" i="24" s="1"/>
  <c r="DF174" i="24" s="1"/>
  <c r="DG174" i="24" s="1"/>
  <c r="DM174" i="24"/>
  <c r="DA315" i="24"/>
  <c r="DC315" i="24" s="1"/>
  <c r="DC316" i="24"/>
  <c r="DA65" i="24"/>
  <c r="DC65" i="24" s="1"/>
  <c r="DI65" i="24"/>
  <c r="DB65" i="24"/>
  <c r="DE65" i="24" s="1"/>
  <c r="DF65" i="24" s="1"/>
  <c r="DG65" i="24" s="1"/>
  <c r="DM65" i="24"/>
  <c r="DB175" i="24"/>
  <c r="DE175" i="24" s="1"/>
  <c r="DF175" i="24" s="1"/>
  <c r="DG175" i="24" s="1"/>
  <c r="DI175" i="24"/>
  <c r="DM175" i="24"/>
  <c r="DI188" i="24"/>
  <c r="DB188" i="24"/>
  <c r="DE188" i="24" s="1"/>
  <c r="DF188" i="24" s="1"/>
  <c r="DG188" i="24" s="1"/>
  <c r="DM188" i="24"/>
  <c r="DI101" i="24"/>
  <c r="DB101" i="24"/>
  <c r="DE101" i="24" s="1"/>
  <c r="DF101" i="24" s="1"/>
  <c r="DG101" i="24" s="1"/>
  <c r="DM101" i="24"/>
  <c r="DB166" i="24"/>
  <c r="DE166" i="24" s="1"/>
  <c r="DF166" i="24" s="1"/>
  <c r="DG166" i="24" s="1"/>
  <c r="DI166" i="24"/>
  <c r="DM166" i="24"/>
  <c r="DC140" i="24"/>
  <c r="DC142" i="24"/>
  <c r="DI316" i="24"/>
  <c r="DB316" i="24"/>
  <c r="DE316" i="24" s="1"/>
  <c r="DF316" i="24" s="1"/>
  <c r="DG316" i="24" s="1"/>
  <c r="DM316" i="24"/>
  <c r="DA97" i="24"/>
  <c r="DC97" i="24" s="1"/>
  <c r="DC154" i="24"/>
  <c r="DI231" i="24"/>
  <c r="DB231" i="24"/>
  <c r="DE231" i="24" s="1"/>
  <c r="DF231" i="24" s="1"/>
  <c r="DG231" i="24" s="1"/>
  <c r="DM231" i="24"/>
  <c r="DI105" i="24"/>
  <c r="DB105" i="24"/>
  <c r="DE105" i="24" s="1"/>
  <c r="DF105" i="24" s="1"/>
  <c r="DG105" i="24" s="1"/>
  <c r="DM105" i="24"/>
  <c r="DI292" i="24"/>
  <c r="DB292" i="24"/>
  <c r="DE292" i="24" s="1"/>
  <c r="DF292" i="24" s="1"/>
  <c r="DG292" i="24" s="1"/>
  <c r="DM292" i="24"/>
  <c r="DC152" i="24"/>
  <c r="DI87" i="24"/>
  <c r="DB87" i="24"/>
  <c r="DE87" i="24" s="1"/>
  <c r="DF87" i="24" s="1"/>
  <c r="DG87" i="24" s="1"/>
  <c r="DM87" i="24"/>
  <c r="DA99" i="24"/>
  <c r="DC99" i="24" s="1"/>
  <c r="DA28" i="24"/>
  <c r="DC28" i="24" s="1"/>
  <c r="DI28" i="24"/>
  <c r="DB28" i="24"/>
  <c r="DE28" i="24" s="1"/>
  <c r="DF28" i="24" s="1"/>
  <c r="DG28" i="24" s="1"/>
  <c r="DM28" i="24"/>
  <c r="DI32" i="24"/>
  <c r="DB32" i="24"/>
  <c r="DE32" i="24" s="1"/>
  <c r="DF32" i="24" s="1"/>
  <c r="DG32" i="24" s="1"/>
  <c r="DM32" i="24"/>
  <c r="DI16" i="24"/>
  <c r="DB16" i="24"/>
  <c r="DE16" i="24" s="1"/>
  <c r="DF16" i="24" s="1"/>
  <c r="DG16" i="24" s="1"/>
  <c r="DM16" i="24"/>
  <c r="DB275" i="24"/>
  <c r="DE275" i="24" s="1"/>
  <c r="DF275" i="24" s="1"/>
  <c r="DG275" i="24" s="1"/>
  <c r="DI275" i="24"/>
  <c r="DM275" i="24"/>
  <c r="DI152" i="24"/>
  <c r="DB152" i="24"/>
  <c r="DE152" i="24" s="1"/>
  <c r="DF152" i="24" s="1"/>
  <c r="DG152" i="24" s="1"/>
  <c r="DM152" i="24"/>
  <c r="DA122" i="24"/>
  <c r="DC122" i="24" s="1"/>
  <c r="DI122" i="24"/>
  <c r="DB122" i="24"/>
  <c r="DE122" i="24" s="1"/>
  <c r="DF122" i="24" s="1"/>
  <c r="DG122" i="24" s="1"/>
  <c r="DM122" i="24"/>
  <c r="DA188" i="24"/>
  <c r="DC188" i="24" s="1"/>
  <c r="DI269" i="24"/>
  <c r="DB269" i="24"/>
  <c r="DE269" i="24" s="1"/>
  <c r="DF269" i="24" s="1"/>
  <c r="DG269" i="24" s="1"/>
  <c r="DM269" i="24"/>
  <c r="DC185" i="24"/>
  <c r="DI103" i="24"/>
  <c r="DB103" i="24"/>
  <c r="DE103" i="24" s="1"/>
  <c r="DF103" i="24" s="1"/>
  <c r="DG103" i="24" s="1"/>
  <c r="DM103" i="24"/>
  <c r="DB263" i="24"/>
  <c r="DE263" i="24" s="1"/>
  <c r="DF263" i="24" s="1"/>
  <c r="DG263" i="24" s="1"/>
  <c r="DI263" i="24"/>
  <c r="DM263" i="24"/>
  <c r="DI262" i="24"/>
  <c r="DB262" i="24"/>
  <c r="DE262" i="24" s="1"/>
  <c r="DF262" i="24" s="1"/>
  <c r="DG262" i="24" s="1"/>
  <c r="DM262" i="24"/>
  <c r="DB258" i="24"/>
  <c r="DE258" i="24" s="1"/>
  <c r="DF258" i="24" s="1"/>
  <c r="DG258" i="24" s="1"/>
  <c r="DI258" i="24"/>
  <c r="DM258" i="24"/>
  <c r="DA98" i="24"/>
  <c r="DC98" i="24" s="1"/>
  <c r="DI119" i="24"/>
  <c r="DB119" i="24"/>
  <c r="DE119" i="24" s="1"/>
  <c r="DF119" i="24" s="1"/>
  <c r="DG119" i="24" s="1"/>
  <c r="DM119" i="24"/>
  <c r="DB300" i="24"/>
  <c r="DE300" i="24" s="1"/>
  <c r="DF300" i="24" s="1"/>
  <c r="DG300" i="24" s="1"/>
  <c r="DI300" i="24"/>
  <c r="DM300" i="24"/>
  <c r="DI217" i="24"/>
  <c r="DB217" i="24"/>
  <c r="DE217" i="24" s="1"/>
  <c r="DF217" i="24" s="1"/>
  <c r="DG217" i="24" s="1"/>
  <c r="DM217" i="24"/>
  <c r="DI157" i="24"/>
  <c r="DB157" i="24"/>
  <c r="DE157" i="24" s="1"/>
  <c r="DF157" i="24" s="1"/>
  <c r="DG157" i="24" s="1"/>
  <c r="DM157" i="24"/>
  <c r="DC203" i="24"/>
  <c r="DC264" i="24"/>
  <c r="DC307" i="24"/>
  <c r="DC285" i="24"/>
  <c r="DA258" i="24"/>
  <c r="DC258" i="24" s="1"/>
  <c r="DI238" i="24"/>
  <c r="DB238" i="24"/>
  <c r="DE238" i="24" s="1"/>
  <c r="DF238" i="24" s="1"/>
  <c r="DG238" i="24" s="1"/>
  <c r="DM238" i="24"/>
  <c r="DI179" i="24"/>
  <c r="DB179" i="24"/>
  <c r="DE179" i="24" s="1"/>
  <c r="DF179" i="24" s="1"/>
  <c r="DG179" i="24" s="1"/>
  <c r="DM179" i="24"/>
  <c r="DA189" i="24"/>
  <c r="DC189" i="24" s="1"/>
  <c r="DI189" i="24"/>
  <c r="DB189" i="24"/>
  <c r="DE189" i="24" s="1"/>
  <c r="DF189" i="24" s="1"/>
  <c r="DG189" i="24" s="1"/>
  <c r="DM189" i="24"/>
  <c r="DC148" i="24"/>
  <c r="DB116" i="24"/>
  <c r="DE116" i="24" s="1"/>
  <c r="DF116" i="24" s="1"/>
  <c r="DG116" i="24" s="1"/>
  <c r="DI116" i="24"/>
  <c r="DM116" i="24"/>
  <c r="DC153" i="24"/>
  <c r="DI13" i="24"/>
  <c r="DB13" i="24"/>
  <c r="DE13" i="24" s="1"/>
  <c r="DF13" i="24" s="1"/>
  <c r="DG13" i="24" s="1"/>
  <c r="DM13" i="24"/>
  <c r="DI228" i="24"/>
  <c r="DB228" i="24"/>
  <c r="DE228" i="24" s="1"/>
  <c r="DF228" i="24" s="1"/>
  <c r="DG228" i="24" s="1"/>
  <c r="DM228" i="24"/>
  <c r="DI204" i="24"/>
  <c r="DB204" i="24"/>
  <c r="DE204" i="24" s="1"/>
  <c r="DF204" i="24" s="1"/>
  <c r="DG204" i="24" s="1"/>
  <c r="DM204" i="24"/>
  <c r="DI301" i="24"/>
  <c r="DB301" i="24"/>
  <c r="DE301" i="24" s="1"/>
  <c r="DF301" i="24" s="1"/>
  <c r="DG301" i="24" s="1"/>
  <c r="DM301" i="24"/>
  <c r="DB183" i="24"/>
  <c r="DE183" i="24" s="1"/>
  <c r="DF183" i="24" s="1"/>
  <c r="DG183" i="24" s="1"/>
  <c r="DI183" i="24"/>
  <c r="DM183" i="24"/>
  <c r="DB88" i="24"/>
  <c r="DE88" i="24" s="1"/>
  <c r="DF88" i="24" s="1"/>
  <c r="DG88" i="24" s="1"/>
  <c r="DI88" i="24"/>
  <c r="DM88" i="24"/>
  <c r="DI182" i="24"/>
  <c r="DB182" i="24"/>
  <c r="DE182" i="24" s="1"/>
  <c r="DF182" i="24" s="1"/>
  <c r="DG182" i="24" s="1"/>
  <c r="DM182" i="24"/>
  <c r="DA276" i="24"/>
  <c r="DC276" i="24" s="1"/>
  <c r="DI276" i="24"/>
  <c r="DB276" i="24"/>
  <c r="DE276" i="24" s="1"/>
  <c r="DF276" i="24" s="1"/>
  <c r="DG276" i="24" s="1"/>
  <c r="DM276" i="24"/>
  <c r="DI95" i="24"/>
  <c r="DB95" i="24"/>
  <c r="DE95" i="24" s="1"/>
  <c r="DF95" i="24" s="1"/>
  <c r="DG95" i="24" s="1"/>
  <c r="DM95" i="24"/>
  <c r="DC301" i="24"/>
  <c r="DA202" i="24"/>
  <c r="DC202" i="24" s="1"/>
  <c r="DI202" i="24"/>
  <c r="DB202" i="24"/>
  <c r="DE202" i="24" s="1"/>
  <c r="DF202" i="24" s="1"/>
  <c r="DG202" i="24" s="1"/>
  <c r="DM202" i="24"/>
  <c r="DB170" i="24"/>
  <c r="DE170" i="24" s="1"/>
  <c r="DF170" i="24" s="1"/>
  <c r="DG170" i="24" s="1"/>
  <c r="DI170" i="24"/>
  <c r="DM170" i="24"/>
  <c r="DB164" i="24"/>
  <c r="DE164" i="24" s="1"/>
  <c r="DF164" i="24" s="1"/>
  <c r="DG164" i="24" s="1"/>
  <c r="DI164" i="24"/>
  <c r="DM164" i="24"/>
  <c r="DI127" i="24"/>
  <c r="DB127" i="24"/>
  <c r="DE127" i="24" s="1"/>
  <c r="DF127" i="24" s="1"/>
  <c r="DG127" i="24" s="1"/>
  <c r="DM127" i="24"/>
  <c r="DA95" i="24"/>
  <c r="DC95" i="24" s="1"/>
  <c r="DA249" i="24"/>
  <c r="DC249" i="24" s="1"/>
  <c r="DB22" i="24"/>
  <c r="DE22" i="24" s="1"/>
  <c r="DF22" i="24" s="1"/>
  <c r="DG22" i="24" s="1"/>
  <c r="DI22" i="24"/>
  <c r="DM22" i="24"/>
  <c r="DI19" i="24"/>
  <c r="DB19" i="24"/>
  <c r="DE19" i="24" s="1"/>
  <c r="DF19" i="24" s="1"/>
  <c r="DG19" i="24" s="1"/>
  <c r="DM19" i="24"/>
  <c r="DC278" i="24"/>
  <c r="DB180" i="24"/>
  <c r="DE180" i="24" s="1"/>
  <c r="DF180" i="24" s="1"/>
  <c r="DG180" i="24" s="1"/>
  <c r="DI180" i="24"/>
  <c r="DM180" i="24"/>
  <c r="DI147" i="24"/>
  <c r="DB147" i="24"/>
  <c r="DE147" i="24" s="1"/>
  <c r="DF147" i="24" s="1"/>
  <c r="DG147" i="24" s="1"/>
  <c r="DM147" i="24"/>
  <c r="DA241" i="24"/>
  <c r="DC241" i="24" s="1"/>
  <c r="DI185" i="24"/>
  <c r="DB185" i="24"/>
  <c r="DE185" i="24" s="1"/>
  <c r="DF185" i="24" s="1"/>
  <c r="DG185" i="24" s="1"/>
  <c r="DM185" i="24"/>
  <c r="DB138" i="24"/>
  <c r="DE138" i="24" s="1"/>
  <c r="DF138" i="24" s="1"/>
  <c r="DG138" i="24" s="1"/>
  <c r="DI138" i="24"/>
  <c r="DM138" i="24"/>
  <c r="DA46" i="24"/>
  <c r="DC46" i="24" s="1"/>
  <c r="DI111" i="24"/>
  <c r="DB111" i="24"/>
  <c r="DE111" i="24" s="1"/>
  <c r="DF111" i="24" s="1"/>
  <c r="DG111" i="24" s="1"/>
  <c r="DM111" i="24"/>
  <c r="DA299" i="24"/>
  <c r="DC299" i="24" s="1"/>
  <c r="DB299" i="24"/>
  <c r="DE299" i="24" s="1"/>
  <c r="DF299" i="24" s="1"/>
  <c r="DG299" i="24" s="1"/>
  <c r="DI299" i="24"/>
  <c r="DM299" i="24"/>
  <c r="DI77" i="24"/>
  <c r="DB77" i="24"/>
  <c r="DE77" i="24" s="1"/>
  <c r="DF77" i="24" s="1"/>
  <c r="DG77" i="24" s="1"/>
  <c r="DM77" i="24"/>
  <c r="DC130" i="24"/>
  <c r="DB141" i="24"/>
  <c r="DE141" i="24" s="1"/>
  <c r="DF141" i="24" s="1"/>
  <c r="DG141" i="24" s="1"/>
  <c r="DI141" i="24"/>
  <c r="DM141" i="24"/>
  <c r="DA254" i="24"/>
  <c r="DC254" i="24" s="1"/>
  <c r="DI237" i="24"/>
  <c r="DB237" i="24"/>
  <c r="DE237" i="24" s="1"/>
  <c r="DF237" i="24" s="1"/>
  <c r="DG237" i="24" s="1"/>
  <c r="DM237" i="24"/>
  <c r="DI74" i="24"/>
  <c r="DB74" i="24"/>
  <c r="DE74" i="24" s="1"/>
  <c r="DF74" i="24" s="1"/>
  <c r="DG74" i="24" s="1"/>
  <c r="DM74" i="24"/>
  <c r="DI257" i="24"/>
  <c r="DB257" i="24"/>
  <c r="DE257" i="24" s="1"/>
  <c r="DF257" i="24" s="1"/>
  <c r="DG257" i="24" s="1"/>
  <c r="DM257" i="24"/>
  <c r="DB78" i="24"/>
  <c r="DE78" i="24" s="1"/>
  <c r="DF78" i="24" s="1"/>
  <c r="DG78" i="24" s="1"/>
  <c r="DI78" i="24"/>
  <c r="DM78" i="24"/>
  <c r="DA163" i="24"/>
  <c r="DC163" i="24" s="1"/>
  <c r="DB163" i="24"/>
  <c r="DE163" i="24" s="1"/>
  <c r="DF163" i="24" s="1"/>
  <c r="DG163" i="24" s="1"/>
  <c r="DI163" i="24"/>
  <c r="DM163" i="24"/>
  <c r="DA194" i="24"/>
  <c r="DC194" i="24" s="1"/>
  <c r="DI194" i="24"/>
  <c r="DB194" i="24"/>
  <c r="DE194" i="24" s="1"/>
  <c r="DF194" i="24" s="1"/>
  <c r="DG194" i="24" s="1"/>
  <c r="DM194" i="24"/>
  <c r="DB277" i="24"/>
  <c r="DE277" i="24" s="1"/>
  <c r="DF277" i="24" s="1"/>
  <c r="DG277" i="24" s="1"/>
  <c r="DI277" i="24"/>
  <c r="DM277" i="24"/>
  <c r="DB208" i="24"/>
  <c r="DE208" i="24" s="1"/>
  <c r="DF208" i="24" s="1"/>
  <c r="DG208" i="24" s="1"/>
  <c r="DI208" i="24"/>
  <c r="DM208" i="24"/>
  <c r="DB314" i="24"/>
  <c r="DE314" i="24" s="1"/>
  <c r="DF314" i="24" s="1"/>
  <c r="DG314" i="24" s="1"/>
  <c r="DI314" i="24"/>
  <c r="DM314" i="24"/>
  <c r="DB177" i="24"/>
  <c r="DE177" i="24" s="1"/>
  <c r="DF177" i="24" s="1"/>
  <c r="DG177" i="24" s="1"/>
  <c r="DI177" i="24"/>
  <c r="DM177" i="24"/>
  <c r="DI21" i="24"/>
  <c r="DB21" i="24"/>
  <c r="DE21" i="24" s="1"/>
  <c r="DF21" i="24" s="1"/>
  <c r="DG21" i="24" s="1"/>
  <c r="DM21" i="24"/>
  <c r="DB306" i="24"/>
  <c r="DE306" i="24" s="1"/>
  <c r="DF306" i="24" s="1"/>
  <c r="DG306" i="24" s="1"/>
  <c r="DI306" i="24"/>
  <c r="DM306" i="24"/>
  <c r="DI64" i="24"/>
  <c r="DB64" i="24"/>
  <c r="DE64" i="24" s="1"/>
  <c r="DF64" i="24" s="1"/>
  <c r="DG64" i="24" s="1"/>
  <c r="DM64" i="24"/>
  <c r="DI296" i="24"/>
  <c r="DB296" i="24"/>
  <c r="DE296" i="24" s="1"/>
  <c r="DF296" i="24" s="1"/>
  <c r="DG296" i="24" s="1"/>
  <c r="DM296" i="24"/>
  <c r="DI200" i="24"/>
  <c r="DB200" i="24"/>
  <c r="DE200" i="24" s="1"/>
  <c r="DF200" i="24" s="1"/>
  <c r="DG200" i="24" s="1"/>
  <c r="DM200" i="24"/>
  <c r="DA66" i="24"/>
  <c r="DC66" i="24" s="1"/>
  <c r="DA72" i="24"/>
  <c r="DC72" i="24" s="1"/>
  <c r="DB206" i="24"/>
  <c r="DE206" i="24" s="1"/>
  <c r="DF206" i="24" s="1"/>
  <c r="DG206" i="24" s="1"/>
  <c r="DI206" i="24"/>
  <c r="DM206" i="24"/>
  <c r="DB9" i="24"/>
  <c r="DE9" i="24" s="1"/>
  <c r="DF9" i="24" s="1"/>
  <c r="DG9" i="24" s="1"/>
  <c r="DI9" i="24"/>
  <c r="DM9" i="24"/>
  <c r="DI26" i="24"/>
  <c r="DB26" i="24"/>
  <c r="DE26" i="24" s="1"/>
  <c r="DF26" i="24" s="1"/>
  <c r="DG26" i="24" s="1"/>
  <c r="DM26" i="24"/>
  <c r="DI198" i="24"/>
  <c r="DB198" i="24"/>
  <c r="DE198" i="24" s="1"/>
  <c r="DF198" i="24" s="1"/>
  <c r="DG198" i="24" s="1"/>
  <c r="DM198" i="24"/>
  <c r="DI149" i="24"/>
  <c r="DB149" i="24"/>
  <c r="DE149" i="24" s="1"/>
  <c r="DF149" i="24" s="1"/>
  <c r="DG149" i="24" s="1"/>
  <c r="DM149" i="24"/>
  <c r="DC275" i="24"/>
  <c r="DI274" i="24"/>
  <c r="DB274" i="24"/>
  <c r="DE274" i="24" s="1"/>
  <c r="DF274" i="24" s="1"/>
  <c r="DG274" i="24" s="1"/>
  <c r="DM274" i="24"/>
  <c r="DA168" i="24"/>
  <c r="DC168" i="24" s="1"/>
  <c r="DB168" i="24"/>
  <c r="DE168" i="24" s="1"/>
  <c r="DF168" i="24" s="1"/>
  <c r="DG168" i="24" s="1"/>
  <c r="DI168" i="24"/>
  <c r="DM168" i="24"/>
  <c r="DI260" i="24"/>
  <c r="DB260" i="24"/>
  <c r="DE260" i="24" s="1"/>
  <c r="DF260" i="24" s="1"/>
  <c r="DG260" i="24" s="1"/>
  <c r="DM260" i="24"/>
  <c r="DI159" i="24"/>
  <c r="DB159" i="24"/>
  <c r="DE159" i="24" s="1"/>
  <c r="DF159" i="24" s="1"/>
  <c r="DG159" i="24" s="1"/>
  <c r="DM159" i="24"/>
  <c r="DM199" i="24"/>
  <c r="DB199" i="24"/>
  <c r="DE199" i="24" s="1"/>
  <c r="DF199" i="24" s="1"/>
  <c r="DG199" i="24" s="1"/>
  <c r="DI199" i="24"/>
  <c r="DA159" i="24"/>
  <c r="DC159" i="24" s="1"/>
  <c r="DA181" i="24"/>
  <c r="DC181" i="24" s="1"/>
  <c r="DB54" i="24"/>
  <c r="DE54" i="24" s="1"/>
  <c r="DF54" i="24" s="1"/>
  <c r="DG54" i="24" s="1"/>
  <c r="DI54" i="24"/>
  <c r="DM54" i="24"/>
  <c r="DB155" i="24"/>
  <c r="DE155" i="24" s="1"/>
  <c r="DF155" i="24" s="1"/>
  <c r="DG155" i="24" s="1"/>
  <c r="DI155" i="24"/>
  <c r="DM155" i="24"/>
  <c r="DI143" i="24"/>
  <c r="DB143" i="24"/>
  <c r="DE143" i="24" s="1"/>
  <c r="DF143" i="24" s="1"/>
  <c r="DG143" i="24" s="1"/>
  <c r="DM143" i="24"/>
  <c r="DI278" i="24"/>
  <c r="DB278" i="24"/>
  <c r="DE278" i="24" s="1"/>
  <c r="DF278" i="24" s="1"/>
  <c r="DG278" i="24" s="1"/>
  <c r="DM278" i="24"/>
  <c r="DB156" i="24"/>
  <c r="DE156" i="24" s="1"/>
  <c r="DF156" i="24" s="1"/>
  <c r="DG156" i="24" s="1"/>
  <c r="DI156" i="24"/>
  <c r="DM156" i="24"/>
  <c r="DB266" i="24"/>
  <c r="DE266" i="24" s="1"/>
  <c r="DF266" i="24" s="1"/>
  <c r="DG266" i="24" s="1"/>
  <c r="DI266" i="24"/>
  <c r="DM266" i="24"/>
  <c r="DA174" i="24"/>
  <c r="DC174" i="24" s="1"/>
  <c r="DB223" i="24"/>
  <c r="DE223" i="24" s="1"/>
  <c r="DF223" i="24" s="1"/>
  <c r="DG223" i="24" s="1"/>
  <c r="DI223" i="24"/>
  <c r="DM223" i="24"/>
  <c r="DB12" i="24"/>
  <c r="DE12" i="24" s="1"/>
  <c r="DF12" i="24" s="1"/>
  <c r="DG12" i="24" s="1"/>
  <c r="DI12" i="24"/>
  <c r="DM12" i="24"/>
  <c r="DB51" i="24"/>
  <c r="DE51" i="24" s="1"/>
  <c r="DF51" i="24" s="1"/>
  <c r="DG51" i="24" s="1"/>
  <c r="DI51" i="24"/>
  <c r="DM51" i="24"/>
  <c r="DA182" i="24"/>
  <c r="DC182" i="24" s="1"/>
  <c r="DI191" i="24"/>
  <c r="DB191" i="24"/>
  <c r="DE191" i="24" s="1"/>
  <c r="DF191" i="24" s="1"/>
  <c r="DG191" i="24" s="1"/>
  <c r="DM191" i="24"/>
  <c r="DA138" i="24"/>
  <c r="DC138" i="24" s="1"/>
  <c r="DA223" i="24"/>
  <c r="DC223" i="24" s="1"/>
  <c r="DB92" i="24"/>
  <c r="DE92" i="24" s="1"/>
  <c r="DF92" i="24" s="1"/>
  <c r="DG92" i="24" s="1"/>
  <c r="DI92" i="24"/>
  <c r="DM92" i="24"/>
  <c r="DI117" i="24"/>
  <c r="DB117" i="24"/>
  <c r="DE117" i="24" s="1"/>
  <c r="DF117" i="24" s="1"/>
  <c r="DG117" i="24" s="1"/>
  <c r="DM117" i="24"/>
  <c r="DA63" i="24"/>
  <c r="DC63" i="24" s="1"/>
  <c r="DI270" i="24"/>
  <c r="DB270" i="24"/>
  <c r="DE270" i="24" s="1"/>
  <c r="DF270" i="24" s="1"/>
  <c r="DG270" i="24" s="1"/>
  <c r="DM270" i="24"/>
  <c r="DA76" i="24"/>
  <c r="DC76" i="24" s="1"/>
  <c r="DI76" i="24"/>
  <c r="DB76" i="24"/>
  <c r="DE76" i="24" s="1"/>
  <c r="DF76" i="24" s="1"/>
  <c r="DG76" i="24" s="1"/>
  <c r="DM76" i="24"/>
  <c r="DI134" i="24"/>
  <c r="DB134" i="24"/>
  <c r="DE134" i="24" s="1"/>
  <c r="DF134" i="24" s="1"/>
  <c r="DG134" i="24" s="1"/>
  <c r="DM134" i="24"/>
  <c r="DA88" i="24"/>
  <c r="DC88" i="24" s="1"/>
  <c r="DI130" i="24"/>
  <c r="DB130" i="24"/>
  <c r="DE130" i="24" s="1"/>
  <c r="DF130" i="24" s="1"/>
  <c r="DG130" i="24" s="1"/>
  <c r="DM130" i="24"/>
  <c r="DC195" i="24"/>
  <c r="DA170" i="24"/>
  <c r="DC170" i="24" s="1"/>
  <c r="DA143" i="24"/>
  <c r="DC143" i="24" s="1"/>
  <c r="DC293" i="24"/>
  <c r="DC246" i="24"/>
  <c r="DB218" i="24"/>
  <c r="DE218" i="24" s="1"/>
  <c r="DF218" i="24" s="1"/>
  <c r="DG218" i="24" s="1"/>
  <c r="DI218" i="24"/>
  <c r="DM218" i="24"/>
  <c r="DA101" i="24"/>
  <c r="DC101" i="24" s="1"/>
  <c r="DA197" i="24"/>
  <c r="DC197" i="24" s="1"/>
  <c r="DA54" i="24"/>
  <c r="DC54" i="24" s="1"/>
  <c r="DA265" i="24"/>
  <c r="DC265" i="24" s="1"/>
  <c r="DA279" i="24"/>
  <c r="DC279" i="24" s="1"/>
  <c r="DB225" i="24"/>
  <c r="DE225" i="24" s="1"/>
  <c r="DF225" i="24" s="1"/>
  <c r="DG225" i="24" s="1"/>
  <c r="DI225" i="24"/>
  <c r="DM225" i="24"/>
  <c r="DM59" i="24"/>
  <c r="DI59" i="24"/>
  <c r="DB59" i="24"/>
  <c r="DE59" i="24" s="1"/>
  <c r="DF59" i="24" s="1"/>
  <c r="DG59" i="24" s="1"/>
  <c r="DA141" i="24"/>
  <c r="DC141" i="24" s="1"/>
  <c r="DI268" i="24"/>
  <c r="DB268" i="24"/>
  <c r="DE268" i="24" s="1"/>
  <c r="DF268" i="24" s="1"/>
  <c r="DG268" i="24" s="1"/>
  <c r="DM268" i="24"/>
  <c r="DI102" i="24"/>
  <c r="DB102" i="24"/>
  <c r="DE102" i="24" s="1"/>
  <c r="DF102" i="24" s="1"/>
  <c r="DG102" i="24" s="1"/>
  <c r="DM102" i="24"/>
  <c r="DA50" i="24"/>
  <c r="DC50" i="24" s="1"/>
  <c r="DI50" i="24"/>
  <c r="DB50" i="24"/>
  <c r="DE50" i="24" s="1"/>
  <c r="DF50" i="24" s="1"/>
  <c r="DG50" i="24" s="1"/>
  <c r="DM50" i="24"/>
  <c r="DA235" i="24"/>
  <c r="DC235" i="24" s="1"/>
  <c r="DA84" i="24"/>
  <c r="DC84" i="24" s="1"/>
  <c r="DC133" i="24"/>
  <c r="DA250" i="24"/>
  <c r="DC250" i="24" s="1"/>
  <c r="DB250" i="24"/>
  <c r="DE250" i="24" s="1"/>
  <c r="DF250" i="24" s="1"/>
  <c r="DG250" i="24" s="1"/>
  <c r="DI250" i="24"/>
  <c r="DM250" i="24"/>
  <c r="DC187" i="24"/>
  <c r="DC236" i="24"/>
  <c r="DC139" i="24"/>
  <c r="DI219" i="24"/>
  <c r="DB219" i="24"/>
  <c r="DE219" i="24" s="1"/>
  <c r="DF219" i="24" s="1"/>
  <c r="DG219" i="24" s="1"/>
  <c r="DM219" i="24"/>
  <c r="DC162" i="24"/>
  <c r="DC146" i="24"/>
  <c r="DC221" i="24"/>
  <c r="DA15" i="24"/>
  <c r="DC15" i="24" s="1"/>
  <c r="DA219" i="24"/>
  <c r="DC219" i="24" s="1"/>
  <c r="DA14" i="24"/>
  <c r="DC14" i="24" s="1"/>
  <c r="DB14" i="24"/>
  <c r="DE14" i="24" s="1"/>
  <c r="DF14" i="24" s="1"/>
  <c r="DG14" i="24" s="1"/>
  <c r="DI14" i="24"/>
  <c r="DM14" i="24"/>
  <c r="DC287" i="24"/>
  <c r="DA115" i="24"/>
  <c r="DC115" i="24" s="1"/>
  <c r="DI115" i="24"/>
  <c r="DB115" i="24"/>
  <c r="DE115" i="24" s="1"/>
  <c r="DF115" i="24" s="1"/>
  <c r="DG115" i="24" s="1"/>
  <c r="DM115" i="24"/>
  <c r="DI187" i="24"/>
  <c r="DB187" i="24"/>
  <c r="DE187" i="24" s="1"/>
  <c r="DF187" i="24" s="1"/>
  <c r="DG187" i="24" s="1"/>
  <c r="DM187" i="24"/>
  <c r="DI221" i="24"/>
  <c r="DB221" i="24"/>
  <c r="DE221" i="24" s="1"/>
  <c r="DF221" i="24" s="1"/>
  <c r="DG221" i="24" s="1"/>
  <c r="DM221" i="24"/>
  <c r="DC161" i="24"/>
  <c r="DC234" i="24"/>
  <c r="DA123" i="24"/>
  <c r="DC123" i="24" s="1"/>
  <c r="DC255" i="24"/>
  <c r="DI148" i="24"/>
  <c r="DB148" i="24"/>
  <c r="DE148" i="24" s="1"/>
  <c r="DF148" i="24" s="1"/>
  <c r="DG148" i="24" s="1"/>
  <c r="DM148" i="24"/>
  <c r="DA205" i="24"/>
  <c r="DC205" i="24" s="1"/>
  <c r="DA208" i="24"/>
  <c r="DC208" i="24" s="1"/>
  <c r="DA314" i="24"/>
  <c r="DC314" i="24" s="1"/>
  <c r="DA40" i="24"/>
  <c r="DC40" i="24" s="1"/>
  <c r="DI120" i="24"/>
  <c r="DB120" i="24"/>
  <c r="DE120" i="24" s="1"/>
  <c r="DF120" i="24" s="1"/>
  <c r="DG120" i="24" s="1"/>
  <c r="DM120" i="24"/>
  <c r="DI132" i="24"/>
  <c r="DB132" i="24"/>
  <c r="DE132" i="24" s="1"/>
  <c r="DF132" i="24" s="1"/>
  <c r="DG132" i="24" s="1"/>
  <c r="DM132" i="24"/>
  <c r="DA52" i="24"/>
  <c r="DC52" i="24" s="1"/>
  <c r="DB52" i="24"/>
  <c r="DE52" i="24" s="1"/>
  <c r="DF52" i="24" s="1"/>
  <c r="DG52" i="24" s="1"/>
  <c r="DI52" i="24"/>
  <c r="DM52" i="24"/>
  <c r="DC257" i="24"/>
  <c r="DC243" i="24"/>
  <c r="DB62" i="24"/>
  <c r="DE62" i="24" s="1"/>
  <c r="DF62" i="24" s="1"/>
  <c r="DG62" i="24" s="1"/>
  <c r="DI62" i="24"/>
  <c r="DM62" i="24"/>
  <c r="DI151" i="24"/>
  <c r="DB151" i="24"/>
  <c r="DE151" i="24" s="1"/>
  <c r="DF151" i="24" s="1"/>
  <c r="DG151" i="24" s="1"/>
  <c r="DM151" i="24"/>
  <c r="DI49" i="24"/>
  <c r="DB49" i="24"/>
  <c r="DE49" i="24" s="1"/>
  <c r="DF49" i="24" s="1"/>
  <c r="DG49" i="24" s="1"/>
  <c r="DM49" i="24"/>
  <c r="DI131" i="24"/>
  <c r="DB131" i="24"/>
  <c r="DE131" i="24" s="1"/>
  <c r="DF131" i="24" s="1"/>
  <c r="DG131" i="24" s="1"/>
  <c r="DM131" i="24"/>
  <c r="DC269" i="24"/>
  <c r="DI230" i="24"/>
  <c r="DB230" i="24"/>
  <c r="DE230" i="24" s="1"/>
  <c r="DF230" i="24" s="1"/>
  <c r="DG230" i="24" s="1"/>
  <c r="DM230" i="24"/>
  <c r="DI293" i="24"/>
  <c r="DB293" i="24"/>
  <c r="DE293" i="24" s="1"/>
  <c r="DF293" i="24" s="1"/>
  <c r="DG293" i="24" s="1"/>
  <c r="DM293" i="24"/>
  <c r="DC124" i="24"/>
  <c r="DI114" i="24"/>
  <c r="DB114" i="24"/>
  <c r="DE114" i="24" s="1"/>
  <c r="DF114" i="24" s="1"/>
  <c r="DG114" i="24" s="1"/>
  <c r="DM114" i="24"/>
  <c r="DI239" i="24"/>
  <c r="DB239" i="24"/>
  <c r="DE239" i="24" s="1"/>
  <c r="DF239" i="24" s="1"/>
  <c r="DG239" i="24" s="1"/>
  <c r="DM239" i="24"/>
  <c r="DA227" i="24"/>
  <c r="DC227" i="24" s="1"/>
  <c r="DI227" i="24"/>
  <c r="DB227" i="24"/>
  <c r="DE227" i="24" s="1"/>
  <c r="DF227" i="24" s="1"/>
  <c r="DG227" i="24" s="1"/>
  <c r="DM227" i="24"/>
  <c r="DB144" i="24"/>
  <c r="DE144" i="24" s="1"/>
  <c r="DF144" i="24" s="1"/>
  <c r="DG144" i="24" s="1"/>
  <c r="DI144" i="24"/>
  <c r="DM144" i="24"/>
  <c r="DA304" i="24"/>
  <c r="DC304" i="24" s="1"/>
  <c r="DA96" i="24"/>
  <c r="DC96" i="24" s="1"/>
  <c r="DB178" i="24"/>
  <c r="DE178" i="24" s="1"/>
  <c r="DF178" i="24" s="1"/>
  <c r="DG178" i="24" s="1"/>
  <c r="DI178" i="24"/>
  <c r="DM178" i="24"/>
  <c r="DB195" i="24"/>
  <c r="DE195" i="24" s="1"/>
  <c r="DF195" i="24" s="1"/>
  <c r="DG195" i="24" s="1"/>
  <c r="DI195" i="24"/>
  <c r="DM195" i="24"/>
  <c r="DC280" i="24"/>
  <c r="DI38" i="24"/>
  <c r="DB38" i="24"/>
  <c r="DE38" i="24" s="1"/>
  <c r="DF38" i="24" s="1"/>
  <c r="DG38" i="24" s="1"/>
  <c r="DM38" i="24"/>
  <c r="DI23" i="24"/>
  <c r="DB23" i="24"/>
  <c r="DE23" i="24" s="1"/>
  <c r="DF23" i="24" s="1"/>
  <c r="DG23" i="24" s="1"/>
  <c r="DM23" i="24"/>
  <c r="DB310" i="24"/>
  <c r="DE310" i="24" s="1"/>
  <c r="DF310" i="24" s="1"/>
  <c r="DG310" i="24" s="1"/>
  <c r="DI310" i="24"/>
  <c r="DM310" i="24"/>
  <c r="DI85" i="24"/>
  <c r="DB85" i="24"/>
  <c r="DE85" i="24" s="1"/>
  <c r="DF85" i="24" s="1"/>
  <c r="DG85" i="24" s="1"/>
  <c r="DM85" i="24"/>
  <c r="DA134" i="24"/>
  <c r="DC134" i="24" s="1"/>
  <c r="DI243" i="24"/>
  <c r="DB243" i="24"/>
  <c r="DE243" i="24" s="1"/>
  <c r="DF243" i="24" s="1"/>
  <c r="DG243" i="24" s="1"/>
  <c r="DM243" i="24"/>
  <c r="DM39" i="24"/>
  <c r="DB39" i="24"/>
  <c r="DE39" i="24" s="1"/>
  <c r="DF39" i="24" s="1"/>
  <c r="DG39" i="24" s="1"/>
  <c r="DI39" i="24"/>
  <c r="DB124" i="24"/>
  <c r="DE124" i="24" s="1"/>
  <c r="DF124" i="24" s="1"/>
  <c r="DG124" i="24" s="1"/>
  <c r="DI124" i="24"/>
  <c r="DM124" i="24"/>
  <c r="DI37" i="24"/>
  <c r="DB37" i="24"/>
  <c r="DE37" i="24" s="1"/>
  <c r="DF37" i="24" s="1"/>
  <c r="DG37" i="24" s="1"/>
  <c r="DM37" i="24"/>
  <c r="DI17" i="24"/>
  <c r="DB17" i="24"/>
  <c r="DE17" i="24" s="1"/>
  <c r="DF17" i="24" s="1"/>
  <c r="DG17" i="24" s="1"/>
  <c r="DM17" i="24"/>
  <c r="DA310" i="24"/>
  <c r="DC310" i="24" s="1"/>
  <c r="DA144" i="24"/>
  <c r="DC144" i="24" s="1"/>
  <c r="DI303" i="24"/>
  <c r="DB303" i="24"/>
  <c r="DE303" i="24" s="1"/>
  <c r="DF303" i="24" s="1"/>
  <c r="DG303" i="24" s="1"/>
  <c r="DM303" i="24"/>
  <c r="DI25" i="24"/>
  <c r="DB25" i="24"/>
  <c r="DE25" i="24" s="1"/>
  <c r="DF25" i="24" s="1"/>
  <c r="DG25" i="24" s="1"/>
  <c r="DM25" i="24"/>
  <c r="DA248" i="24"/>
  <c r="DC248" i="24" s="1"/>
  <c r="DI248" i="24"/>
  <c r="DB248" i="24"/>
  <c r="DE248" i="24" s="1"/>
  <c r="DF248" i="24" s="1"/>
  <c r="DG248" i="24" s="1"/>
  <c r="DM248" i="24"/>
  <c r="DB67" i="24"/>
  <c r="DE67" i="24" s="1"/>
  <c r="DF67" i="24" s="1"/>
  <c r="DG67" i="24" s="1"/>
  <c r="DI67" i="24"/>
  <c r="DM67" i="24"/>
  <c r="DI104" i="24"/>
  <c r="DB104" i="24"/>
  <c r="DE104" i="24" s="1"/>
  <c r="DF104" i="24" s="1"/>
  <c r="DG104" i="24" s="1"/>
  <c r="DM104" i="24"/>
  <c r="DI58" i="24"/>
  <c r="DB58" i="24"/>
  <c r="DE58" i="24" s="1"/>
  <c r="DF58" i="24" s="1"/>
  <c r="DG58" i="24" s="1"/>
  <c r="DM58" i="24"/>
  <c r="DI285" i="24"/>
  <c r="DB285" i="24"/>
  <c r="DE285" i="24" s="1"/>
  <c r="DF285" i="24" s="1"/>
  <c r="DG285" i="24" s="1"/>
  <c r="DM285" i="24"/>
  <c r="DC200" i="24"/>
  <c r="DI244" i="24"/>
  <c r="DB244" i="24"/>
  <c r="DE244" i="24" s="1"/>
  <c r="DF244" i="24" s="1"/>
  <c r="DG244" i="24" s="1"/>
  <c r="DM244" i="24"/>
  <c r="DB86" i="24"/>
  <c r="DE86" i="24" s="1"/>
  <c r="DF86" i="24" s="1"/>
  <c r="DG86" i="24" s="1"/>
  <c r="DI86" i="24"/>
  <c r="DM86" i="24"/>
  <c r="DI139" i="24"/>
  <c r="DB139" i="24"/>
  <c r="DE139" i="24" s="1"/>
  <c r="DF139" i="24" s="1"/>
  <c r="DG139" i="24" s="1"/>
  <c r="DM139" i="24"/>
  <c r="DA156" i="24"/>
  <c r="DC156" i="24" s="1"/>
  <c r="DC192" i="24"/>
  <c r="DA263" i="24"/>
  <c r="DC263" i="24" s="1"/>
  <c r="DA17" i="24"/>
  <c r="DC17" i="24" s="1"/>
  <c r="DB282" i="24"/>
  <c r="DE282" i="24" s="1"/>
  <c r="DF282" i="24" s="1"/>
  <c r="DG282" i="24" s="1"/>
  <c r="DI282" i="24"/>
  <c r="DM282" i="24"/>
  <c r="DC300" i="24"/>
  <c r="DA64" i="24"/>
  <c r="DC64" i="24" s="1"/>
  <c r="DA136" i="24"/>
  <c r="DC136" i="24" s="1"/>
  <c r="DI45" i="24"/>
  <c r="DB45" i="24"/>
  <c r="DE45" i="24" s="1"/>
  <c r="DF45" i="24" s="1"/>
  <c r="DG45" i="24" s="1"/>
  <c r="DM45" i="24"/>
  <c r="DI240" i="24"/>
  <c r="DB240" i="24"/>
  <c r="DE240" i="24" s="1"/>
  <c r="DF240" i="24" s="1"/>
  <c r="DG240" i="24" s="1"/>
  <c r="DM240" i="24"/>
  <c r="DB298" i="24"/>
  <c r="DE298" i="24" s="1"/>
  <c r="DF298" i="24" s="1"/>
  <c r="DG298" i="24" s="1"/>
  <c r="DI298" i="24"/>
  <c r="DM298" i="24"/>
  <c r="DC259" i="24"/>
  <c r="DA41" i="24"/>
  <c r="DC41" i="24" s="1"/>
  <c r="DB233" i="24"/>
  <c r="DE233" i="24" s="1"/>
  <c r="DF233" i="24" s="1"/>
  <c r="DG233" i="24" s="1"/>
  <c r="DI233" i="24"/>
  <c r="DM233" i="24"/>
  <c r="DI311" i="24"/>
  <c r="DB311" i="24"/>
  <c r="DE311" i="24" s="1"/>
  <c r="DF311" i="24" s="1"/>
  <c r="DG311" i="24" s="1"/>
  <c r="DM311" i="24"/>
  <c r="DC172" i="24"/>
  <c r="DB236" i="24"/>
  <c r="DE236" i="24" s="1"/>
  <c r="DF236" i="24" s="1"/>
  <c r="DG236" i="24" s="1"/>
  <c r="DI236" i="24"/>
  <c r="DM236" i="24"/>
  <c r="DA11" i="24"/>
  <c r="DC11" i="24" s="1"/>
  <c r="DB11" i="24"/>
  <c r="DE11" i="24" s="1"/>
  <c r="DF11" i="24" s="1"/>
  <c r="DG11" i="24" s="1"/>
  <c r="DI11" i="24"/>
  <c r="DM11" i="24"/>
  <c r="DI176" i="24"/>
  <c r="DB176" i="24"/>
  <c r="DE176" i="24" s="1"/>
  <c r="DF176" i="24" s="1"/>
  <c r="DG176" i="24" s="1"/>
  <c r="DM176" i="24"/>
  <c r="DI169" i="24"/>
  <c r="DB169" i="24"/>
  <c r="DE169" i="24" s="1"/>
  <c r="DF169" i="24" s="1"/>
  <c r="DG169" i="24" s="1"/>
  <c r="DM169" i="24"/>
  <c r="DB48" i="24"/>
  <c r="DE48" i="24" s="1"/>
  <c r="DF48" i="24" s="1"/>
  <c r="DG48" i="24" s="1"/>
  <c r="DI48" i="24"/>
  <c r="DM48" i="24"/>
  <c r="DI7" i="24"/>
  <c r="DB7" i="24"/>
  <c r="DE7" i="24" s="1"/>
  <c r="DF7" i="24" s="1"/>
  <c r="DG7" i="24" s="1"/>
  <c r="DM7" i="24"/>
  <c r="DI34" i="24"/>
  <c r="DB34" i="24"/>
  <c r="DE34" i="24" s="1"/>
  <c r="DF34" i="24" s="1"/>
  <c r="DG34" i="24" s="1"/>
  <c r="DM34" i="24"/>
  <c r="DA210" i="24"/>
  <c r="DC210" i="24" s="1"/>
  <c r="DA228" i="24"/>
  <c r="DC228" i="24" s="1"/>
  <c r="DC176" i="24"/>
  <c r="DB35" i="24"/>
  <c r="DE35" i="24" s="1"/>
  <c r="DF35" i="24" s="1"/>
  <c r="DG35" i="24" s="1"/>
  <c r="DI35" i="24"/>
  <c r="DM35" i="24"/>
  <c r="DI288" i="24"/>
  <c r="DB288" i="24"/>
  <c r="DE288" i="24" s="1"/>
  <c r="DF288" i="24" s="1"/>
  <c r="DG288" i="24" s="1"/>
  <c r="DM288" i="24"/>
  <c r="DA274" i="24"/>
  <c r="DC274" i="24" s="1"/>
  <c r="DI57" i="24"/>
  <c r="DB57" i="24"/>
  <c r="DE57" i="24" s="1"/>
  <c r="DF57" i="24" s="1"/>
  <c r="DG57" i="24" s="1"/>
  <c r="DM57" i="24"/>
  <c r="DI42" i="24"/>
  <c r="DB42" i="24"/>
  <c r="DE42" i="24" s="1"/>
  <c r="DF42" i="24" s="1"/>
  <c r="DG42" i="24" s="1"/>
  <c r="DM42" i="24"/>
  <c r="DI140" i="24"/>
  <c r="DB140" i="24"/>
  <c r="DE140" i="24" s="1"/>
  <c r="DF140" i="24" s="1"/>
  <c r="DG140" i="24" s="1"/>
  <c r="DM140" i="24"/>
  <c r="DI196" i="24"/>
  <c r="DB196" i="24"/>
  <c r="DE196" i="24" s="1"/>
  <c r="DF196" i="24" s="1"/>
  <c r="DG196" i="24" s="1"/>
  <c r="DM196" i="24"/>
  <c r="DI252" i="24"/>
  <c r="DB252" i="24"/>
  <c r="DE252" i="24" s="1"/>
  <c r="DF252" i="24" s="1"/>
  <c r="DG252" i="24" s="1"/>
  <c r="DM252" i="24"/>
  <c r="DB33" i="24"/>
  <c r="DE33" i="24" s="1"/>
  <c r="DF33" i="24" s="1"/>
  <c r="DG33" i="24" s="1"/>
  <c r="DI33" i="24"/>
  <c r="DM33" i="24"/>
  <c r="DI154" i="24"/>
  <c r="DB154" i="24"/>
  <c r="DE154" i="24" s="1"/>
  <c r="DF154" i="24" s="1"/>
  <c r="DG154" i="24" s="1"/>
  <c r="DM154" i="24"/>
  <c r="DI71" i="24"/>
  <c r="DB71" i="24"/>
  <c r="DE71" i="24" s="1"/>
  <c r="DF71" i="24" s="1"/>
  <c r="DG71" i="24" s="1"/>
  <c r="DM71" i="24"/>
  <c r="DA239" i="24"/>
  <c r="DC239" i="24" s="1"/>
  <c r="DI24" i="24"/>
  <c r="DB24" i="24"/>
  <c r="DE24" i="24" s="1"/>
  <c r="DF24" i="24" s="1"/>
  <c r="DG24" i="24" s="1"/>
  <c r="DM24" i="24"/>
  <c r="DI55" i="24"/>
  <c r="DB55" i="24"/>
  <c r="DE55" i="24" s="1"/>
  <c r="DF55" i="24" s="1"/>
  <c r="DG55" i="24" s="1"/>
  <c r="DM55" i="24"/>
  <c r="DC166" i="24"/>
  <c r="DI246" i="24"/>
  <c r="DB246" i="24"/>
  <c r="DE246" i="24" s="1"/>
  <c r="DF246" i="24" s="1"/>
  <c r="DG246" i="24" s="1"/>
  <c r="DM246" i="24"/>
  <c r="DA229" i="24"/>
  <c r="DC229" i="24" s="1"/>
  <c r="DB229" i="24"/>
  <c r="DE229" i="24" s="1"/>
  <c r="DF229" i="24" s="1"/>
  <c r="DG229" i="24" s="1"/>
  <c r="DI229" i="24"/>
  <c r="DM229" i="24"/>
  <c r="DI165" i="24"/>
  <c r="DB165" i="24"/>
  <c r="DE165" i="24" s="1"/>
  <c r="DF165" i="24" s="1"/>
  <c r="DG165" i="24" s="1"/>
  <c r="DM165" i="24"/>
  <c r="DI280" i="24"/>
  <c r="DB280" i="24"/>
  <c r="DE280" i="24" s="1"/>
  <c r="DF280" i="24" s="1"/>
  <c r="DG280" i="24" s="1"/>
  <c r="DM280" i="24"/>
  <c r="DC127" i="24"/>
  <c r="DC260" i="24"/>
  <c r="DA145" i="24"/>
  <c r="DC145" i="24" s="1"/>
  <c r="DA117" i="24"/>
  <c r="DC117" i="24" s="1"/>
  <c r="DC273" i="24"/>
  <c r="DA90" i="24"/>
  <c r="DC90" i="24" s="1"/>
  <c r="DA305" i="24"/>
  <c r="DC305" i="24" s="1"/>
  <c r="DB305" i="24"/>
  <c r="DE305" i="24" s="1"/>
  <c r="DF305" i="24" s="1"/>
  <c r="DG305" i="24" s="1"/>
  <c r="DI305" i="24"/>
  <c r="DM305" i="24"/>
  <c r="DA55" i="24"/>
  <c r="DC55" i="24" s="1"/>
  <c r="DA266" i="24"/>
  <c r="DC266" i="24" s="1"/>
  <c r="DA114" i="24"/>
  <c r="DC114" i="24" s="1"/>
  <c r="DB142" i="24"/>
  <c r="DE142" i="24" s="1"/>
  <c r="DF142" i="24" s="1"/>
  <c r="DG142" i="24" s="1"/>
  <c r="DI142" i="24"/>
  <c r="DM142" i="24"/>
  <c r="DI125" i="24"/>
  <c r="DB125" i="24"/>
  <c r="DE125" i="24" s="1"/>
  <c r="DF125" i="24" s="1"/>
  <c r="DG125" i="24" s="1"/>
  <c r="DM125" i="24"/>
  <c r="DI68" i="24"/>
  <c r="DB68" i="24"/>
  <c r="DE68" i="24" s="1"/>
  <c r="DF68" i="24" s="1"/>
  <c r="DG68" i="24" s="1"/>
  <c r="DM68" i="24"/>
  <c r="DC135" i="24"/>
  <c r="DB247" i="24"/>
  <c r="DE247" i="24" s="1"/>
  <c r="DF247" i="24" s="1"/>
  <c r="DG247" i="24" s="1"/>
  <c r="DI247" i="24"/>
  <c r="DM247" i="24"/>
  <c r="DA105" i="24"/>
  <c r="DC105" i="24" s="1"/>
  <c r="DI287" i="24"/>
  <c r="DB287" i="24"/>
  <c r="DE287" i="24" s="1"/>
  <c r="DF287" i="24" s="1"/>
  <c r="DG287" i="24" s="1"/>
  <c r="DM287" i="24"/>
  <c r="DI113" i="24"/>
  <c r="DB113" i="24"/>
  <c r="DE113" i="24" s="1"/>
  <c r="DF113" i="24" s="1"/>
  <c r="DG113" i="24" s="1"/>
  <c r="DM113" i="24"/>
  <c r="DB294" i="24"/>
  <c r="DE294" i="24" s="1"/>
  <c r="DF294" i="24" s="1"/>
  <c r="DG294" i="24" s="1"/>
  <c r="DI294" i="24"/>
  <c r="DM294" i="24"/>
  <c r="DC190" i="24"/>
  <c r="DB193" i="24"/>
  <c r="DE193" i="24" s="1"/>
  <c r="DF193" i="24" s="1"/>
  <c r="DG193" i="24" s="1"/>
  <c r="DI193" i="24"/>
  <c r="DM193" i="24"/>
  <c r="DI209" i="24"/>
  <c r="DB209" i="24"/>
  <c r="DE209" i="24" s="1"/>
  <c r="DF209" i="24" s="1"/>
  <c r="DG209" i="24" s="1"/>
  <c r="DM209" i="24"/>
  <c r="DI203" i="24"/>
  <c r="DB203" i="24"/>
  <c r="DE203" i="24" s="1"/>
  <c r="DF203" i="24" s="1"/>
  <c r="DG203" i="24" s="1"/>
  <c r="DM203" i="24"/>
  <c r="DI75" i="24"/>
  <c r="DB75" i="24"/>
  <c r="DE75" i="24" s="1"/>
  <c r="DF75" i="24" s="1"/>
  <c r="DG75" i="24" s="1"/>
  <c r="DM75" i="24"/>
  <c r="DI190" i="24"/>
  <c r="DB190" i="24"/>
  <c r="DE190" i="24" s="1"/>
  <c r="DF190" i="24" s="1"/>
  <c r="DG190" i="24" s="1"/>
  <c r="DM190" i="24"/>
  <c r="DI150" i="24"/>
  <c r="DB150" i="24"/>
  <c r="DE150" i="24" s="1"/>
  <c r="DF150" i="24" s="1"/>
  <c r="DG150" i="24" s="1"/>
  <c r="DM150" i="24"/>
  <c r="DA177" i="24"/>
  <c r="DC177" i="24" s="1"/>
  <c r="DC294" i="24"/>
  <c r="DB167" i="24"/>
  <c r="DE167" i="24" s="1"/>
  <c r="DF167" i="24" s="1"/>
  <c r="DG167" i="24" s="1"/>
  <c r="DI167" i="24"/>
  <c r="DM167" i="24"/>
  <c r="DA81" i="24"/>
  <c r="DC81" i="24" s="1"/>
  <c r="DB81" i="24"/>
  <c r="DE81" i="24" s="1"/>
  <c r="DF81" i="24" s="1"/>
  <c r="DG81" i="24" s="1"/>
  <c r="DI81" i="24"/>
  <c r="DM81" i="24"/>
  <c r="DA150" i="24"/>
  <c r="DC150" i="24" s="1"/>
  <c r="DI253" i="24"/>
  <c r="DB253" i="24"/>
  <c r="DE253" i="24" s="1"/>
  <c r="DF253" i="24" s="1"/>
  <c r="DG253" i="24" s="1"/>
  <c r="DM253" i="24"/>
  <c r="DC111" i="24"/>
  <c r="DI118" i="24"/>
  <c r="DB118" i="24"/>
  <c r="DE118" i="24" s="1"/>
  <c r="DF118" i="24" s="1"/>
  <c r="DG118" i="24" s="1"/>
  <c r="DM118" i="24"/>
  <c r="DB161" i="24"/>
  <c r="DE161" i="24" s="1"/>
  <c r="DF161" i="24" s="1"/>
  <c r="DG161" i="24" s="1"/>
  <c r="DI161" i="24"/>
  <c r="DM161" i="24"/>
  <c r="DA232" i="24"/>
  <c r="DC232" i="24" s="1"/>
  <c r="DB232" i="24"/>
  <c r="DE232" i="24" s="1"/>
  <c r="DF232" i="24" s="1"/>
  <c r="DG232" i="24" s="1"/>
  <c r="DI232" i="24"/>
  <c r="DM232" i="24"/>
  <c r="DC240" i="24"/>
  <c r="DI302" i="24"/>
  <c r="DB302" i="24"/>
  <c r="DE302" i="24" s="1"/>
  <c r="DF302" i="24" s="1"/>
  <c r="DG302" i="24" s="1"/>
  <c r="DM302" i="24"/>
  <c r="E56" i="1"/>
  <c r="N53" i="29"/>
  <c r="N309" i="29"/>
  <c r="M226" i="29"/>
  <c r="N150" i="29"/>
  <c r="M67" i="29"/>
  <c r="M323" i="29"/>
  <c r="N239" i="29"/>
  <c r="M160" i="29"/>
  <c r="N185" i="29"/>
  <c r="M102" i="29"/>
  <c r="N26" i="29"/>
  <c r="N282" i="29"/>
  <c r="M199" i="29"/>
  <c r="N115" i="29"/>
  <c r="M36" i="29"/>
  <c r="M292" i="29"/>
  <c r="N212" i="29"/>
  <c r="N101" i="29"/>
  <c r="M18" i="29"/>
  <c r="M274" i="29"/>
  <c r="N198" i="29"/>
  <c r="M115" i="29"/>
  <c r="N31" i="29"/>
  <c r="N287" i="29"/>
  <c r="M208" i="29"/>
  <c r="N128" i="29"/>
  <c r="M285" i="29"/>
  <c r="M54" i="29"/>
  <c r="N130" i="29"/>
  <c r="M203" i="29"/>
  <c r="N267" i="29"/>
  <c r="M328" i="29"/>
  <c r="N332" i="29"/>
  <c r="M562" i="29"/>
  <c r="N486" i="29"/>
  <c r="M407" i="29"/>
  <c r="M233" i="29"/>
  <c r="N209" i="29"/>
  <c r="M342" i="29"/>
  <c r="M139" i="29"/>
  <c r="N263" i="29"/>
  <c r="N40" i="29"/>
  <c r="M378" i="29"/>
  <c r="M257" i="29"/>
  <c r="N384" i="29"/>
  <c r="M587" i="29"/>
  <c r="N543" i="29"/>
  <c r="M468" i="29"/>
  <c r="M74" i="29"/>
  <c r="N206" i="29"/>
  <c r="M335" i="29"/>
  <c r="M124" i="29"/>
  <c r="N200" i="29"/>
  <c r="M502" i="29"/>
  <c r="N462" i="29"/>
  <c r="M419" i="29"/>
  <c r="N383" i="29"/>
  <c r="M109" i="29"/>
  <c r="N169" i="29"/>
  <c r="N114" i="29"/>
  <c r="N71" i="29"/>
  <c r="M340" i="29"/>
  <c r="M446" i="29"/>
  <c r="N506" i="29"/>
  <c r="M559" i="29"/>
  <c r="N603" i="29"/>
  <c r="M592" i="29"/>
  <c r="M513" i="29"/>
  <c r="N105" i="29"/>
  <c r="N50" i="29"/>
  <c r="M343" i="29"/>
  <c r="M280" i="29"/>
  <c r="N109" i="29"/>
  <c r="N62" i="29"/>
  <c r="M347" i="29"/>
  <c r="M288" i="29"/>
  <c r="M410" i="29"/>
  <c r="N470" i="29"/>
  <c r="M523" i="29"/>
  <c r="N571" i="29"/>
  <c r="M568" i="29"/>
  <c r="M489" i="29"/>
  <c r="N437" i="29"/>
  <c r="M22" i="29"/>
  <c r="N306" i="29"/>
  <c r="N85" i="29"/>
  <c r="N341" i="29"/>
  <c r="M258" i="29"/>
  <c r="N182" i="29"/>
  <c r="M99" i="29"/>
  <c r="N15" i="29"/>
  <c r="N271" i="29"/>
  <c r="M192" i="29"/>
  <c r="N217" i="29"/>
  <c r="M134" i="29"/>
  <c r="N58" i="29"/>
  <c r="N314" i="29"/>
  <c r="M231" i="29"/>
  <c r="N147" i="29"/>
  <c r="M68" i="29"/>
  <c r="M324" i="29"/>
  <c r="N244" i="29"/>
  <c r="N133" i="29"/>
  <c r="M50" i="29"/>
  <c r="M306" i="29"/>
  <c r="N230" i="29"/>
  <c r="M147" i="29"/>
  <c r="N63" i="29"/>
  <c r="N319" i="29"/>
  <c r="M240" i="29"/>
  <c r="N160" i="29"/>
  <c r="N33" i="29"/>
  <c r="M106" i="29"/>
  <c r="N178" i="29"/>
  <c r="M251" i="29"/>
  <c r="N323" i="29"/>
  <c r="N36" i="29"/>
  <c r="M221" i="29"/>
  <c r="M594" i="29"/>
  <c r="N518" i="29"/>
  <c r="M439" i="29"/>
  <c r="N367" i="29"/>
  <c r="N269" i="29"/>
  <c r="N66" i="29"/>
  <c r="M191" i="29"/>
  <c r="N327" i="29"/>
  <c r="N88" i="29"/>
  <c r="M414" i="29"/>
  <c r="N374" i="29"/>
  <c r="M197" i="29"/>
  <c r="N392" i="29"/>
  <c r="N575" i="29"/>
  <c r="M500" i="29"/>
  <c r="M126" i="29"/>
  <c r="N266" i="29"/>
  <c r="N55" i="29"/>
  <c r="M184" i="29"/>
  <c r="N252" i="29"/>
  <c r="M538" i="29"/>
  <c r="N498" i="29"/>
  <c r="M455" i="29"/>
  <c r="N419" i="29"/>
  <c r="M352" i="29"/>
  <c r="N253" i="29"/>
  <c r="N202" i="29"/>
  <c r="N139" i="29"/>
  <c r="N68" i="29"/>
  <c r="M494" i="29"/>
  <c r="N554" i="29"/>
  <c r="M611" i="29"/>
  <c r="M77" i="29"/>
  <c r="M273" i="29"/>
  <c r="M545" i="29"/>
  <c r="N177" i="29"/>
  <c r="N138" i="29"/>
  <c r="N75" i="29"/>
  <c r="M348" i="29"/>
  <c r="N193" i="29"/>
  <c r="N142" i="29"/>
  <c r="N87" i="29"/>
  <c r="N16" i="29"/>
  <c r="M458" i="29"/>
  <c r="N514" i="29"/>
  <c r="M575" i="29"/>
  <c r="M49" i="29"/>
  <c r="M600" i="29"/>
  <c r="M521" i="29"/>
  <c r="N469" i="29"/>
  <c r="M90" i="29"/>
  <c r="N117" i="29"/>
  <c r="M34" i="29"/>
  <c r="M290" i="29"/>
  <c r="N214" i="29"/>
  <c r="M131" i="29"/>
  <c r="N47" i="29"/>
  <c r="N303" i="29"/>
  <c r="M224" i="29"/>
  <c r="N249" i="29"/>
  <c r="M166" i="29"/>
  <c r="N90" i="29"/>
  <c r="N346" i="29"/>
  <c r="M263" i="29"/>
  <c r="N179" i="29"/>
  <c r="M100" i="29"/>
  <c r="N20" i="29"/>
  <c r="N276" i="29"/>
  <c r="N165" i="29"/>
  <c r="M82" i="29"/>
  <c r="M338" i="29"/>
  <c r="N262" i="29"/>
  <c r="M179" i="29"/>
  <c r="N95" i="29"/>
  <c r="M16" i="29"/>
  <c r="M272" i="29"/>
  <c r="N192" i="29"/>
  <c r="N81" i="29"/>
  <c r="M154" i="29"/>
  <c r="N234" i="29"/>
  <c r="M303" i="29"/>
  <c r="M40" i="29"/>
  <c r="N76" i="29"/>
  <c r="M370" i="29"/>
  <c r="N388" i="29"/>
  <c r="N550" i="29"/>
  <c r="M471" i="29"/>
  <c r="N399" i="29"/>
  <c r="N329" i="29"/>
  <c r="N126" i="29"/>
  <c r="M255" i="29"/>
  <c r="M52" i="29"/>
  <c r="N136" i="29"/>
  <c r="M450" i="29"/>
  <c r="N410" i="29"/>
  <c r="M367" i="29"/>
  <c r="M201" i="29"/>
  <c r="N607" i="29"/>
  <c r="N61" i="29"/>
  <c r="M186" i="29"/>
  <c r="N322" i="29"/>
  <c r="N107" i="29"/>
  <c r="M248" i="29"/>
  <c r="N300" i="29"/>
  <c r="M574" i="29"/>
  <c r="N534" i="29"/>
  <c r="M491" i="29"/>
  <c r="N455" i="29"/>
  <c r="M384" i="29"/>
  <c r="N321" i="29"/>
  <c r="N274" i="29"/>
  <c r="N227" i="29"/>
  <c r="N132" i="29"/>
  <c r="M546" i="29"/>
  <c r="N602" i="29"/>
  <c r="M169" i="29"/>
  <c r="M360" i="29"/>
  <c r="M117" i="29"/>
  <c r="M577" i="29"/>
  <c r="N257" i="29"/>
  <c r="N210" i="29"/>
  <c r="N155" i="29"/>
  <c r="N72" i="29"/>
  <c r="N265" i="29"/>
  <c r="N222" i="29"/>
  <c r="N163" i="29"/>
  <c r="N80" i="29"/>
  <c r="M510" i="29"/>
  <c r="N566" i="29"/>
  <c r="M337" i="29"/>
  <c r="M173" i="29"/>
  <c r="N376" i="29"/>
  <c r="M553" i="29"/>
  <c r="N501" i="29"/>
  <c r="M174" i="29"/>
  <c r="N149" i="29"/>
  <c r="M66" i="29"/>
  <c r="M322" i="29"/>
  <c r="N246" i="29"/>
  <c r="M163" i="29"/>
  <c r="N79" i="29"/>
  <c r="N335" i="29"/>
  <c r="N25" i="29"/>
  <c r="N281" i="29"/>
  <c r="M198" i="29"/>
  <c r="N122" i="29"/>
  <c r="M39" i="29"/>
  <c r="M295" i="29"/>
  <c r="N211" i="29"/>
  <c r="M132" i="29"/>
  <c r="N52" i="29"/>
  <c r="N308" i="29"/>
  <c r="N197" i="29"/>
  <c r="M114" i="29"/>
  <c r="N38" i="29"/>
  <c r="N294" i="29"/>
  <c r="M211" i="29"/>
  <c r="N127" i="29"/>
  <c r="M48" i="29"/>
  <c r="M304" i="29"/>
  <c r="N224" i="29"/>
  <c r="N137" i="29"/>
  <c r="M206" i="29"/>
  <c r="N286" i="29"/>
  <c r="M351" i="29"/>
  <c r="M88" i="29"/>
  <c r="N120" i="29"/>
  <c r="M402" i="29"/>
  <c r="M161" i="29"/>
  <c r="N582" i="29"/>
  <c r="M503" i="29"/>
  <c r="N431" i="29"/>
  <c r="M46" i="29"/>
  <c r="N190" i="29"/>
  <c r="M315" i="29"/>
  <c r="M108" i="29"/>
  <c r="N184" i="29"/>
  <c r="M486" i="29"/>
  <c r="N446" i="29"/>
  <c r="M403" i="29"/>
  <c r="N371" i="29"/>
  <c r="N468" i="29"/>
  <c r="N113" i="29"/>
  <c r="M246" i="29"/>
  <c r="M43" i="29"/>
  <c r="N171" i="29"/>
  <c r="M296" i="29"/>
  <c r="N348" i="29"/>
  <c r="M610" i="29"/>
  <c r="N570" i="29"/>
  <c r="M527" i="29"/>
  <c r="N491" i="29"/>
  <c r="M416" i="29"/>
  <c r="M62" i="29"/>
  <c r="M15" i="29"/>
  <c r="N299" i="29"/>
  <c r="N196" i="29"/>
  <c r="M590" i="29"/>
  <c r="M101" i="29"/>
  <c r="N379" i="29"/>
  <c r="M400" i="29"/>
  <c r="M353" i="29"/>
  <c r="M609" i="29"/>
  <c r="N333" i="29"/>
  <c r="N290" i="29"/>
  <c r="N235" i="29"/>
  <c r="N140" i="29"/>
  <c r="N349" i="29"/>
  <c r="N298" i="29"/>
  <c r="N247" i="29"/>
  <c r="N144" i="29"/>
  <c r="M554" i="29"/>
  <c r="M145" i="29"/>
  <c r="M297" i="29"/>
  <c r="M368" i="29"/>
  <c r="M181" i="29"/>
  <c r="M585" i="29"/>
  <c r="N533" i="29"/>
  <c r="M250" i="29"/>
  <c r="N181" i="29"/>
  <c r="M98" i="29"/>
  <c r="N22" i="29"/>
  <c r="N278" i="29"/>
  <c r="M195" i="29"/>
  <c r="N111" i="29"/>
  <c r="M32" i="29"/>
  <c r="N57" i="29"/>
  <c r="N313" i="29"/>
  <c r="M230" i="29"/>
  <c r="N154" i="29"/>
  <c r="M71" i="29"/>
  <c r="M327" i="29"/>
  <c r="N243" i="29"/>
  <c r="M164" i="29"/>
  <c r="N84" i="29"/>
  <c r="N340" i="29"/>
  <c r="N229" i="29"/>
  <c r="M146" i="29"/>
  <c r="N70" i="29"/>
  <c r="N326" i="29"/>
  <c r="M243" i="29"/>
  <c r="N159" i="29"/>
  <c r="M80" i="29"/>
  <c r="M336" i="29"/>
  <c r="N256" i="29"/>
  <c r="N189" i="29"/>
  <c r="M254" i="29"/>
  <c r="N334" i="29"/>
  <c r="N67" i="29"/>
  <c r="M140" i="29"/>
  <c r="N164" i="29"/>
  <c r="M434" i="29"/>
  <c r="N358" i="29"/>
  <c r="M13" i="29"/>
  <c r="M535" i="29"/>
  <c r="N463" i="29"/>
  <c r="M110" i="29"/>
  <c r="N242" i="29"/>
  <c r="N35" i="29"/>
  <c r="M168" i="29"/>
  <c r="N232" i="29"/>
  <c r="M522" i="29"/>
  <c r="N482" i="29"/>
  <c r="M443" i="29"/>
  <c r="N407" i="29"/>
  <c r="M269" i="29"/>
  <c r="N173" i="29"/>
  <c r="M302" i="29"/>
  <c r="M107" i="29"/>
  <c r="N231" i="29"/>
  <c r="M344" i="29"/>
  <c r="M354" i="29"/>
  <c r="M65" i="29"/>
  <c r="N606" i="29"/>
  <c r="M563" i="29"/>
  <c r="N523" i="29"/>
  <c r="M448" i="29"/>
  <c r="M142" i="29"/>
  <c r="M91" i="29"/>
  <c r="M44" i="29"/>
  <c r="N264" i="29"/>
  <c r="M33" i="29"/>
  <c r="M363" i="29"/>
  <c r="N427" i="29"/>
  <c r="M444" i="29"/>
  <c r="M385" i="29"/>
  <c r="M217" i="29"/>
  <c r="M78" i="29"/>
  <c r="M27" i="29"/>
  <c r="N311" i="29"/>
  <c r="N208" i="29"/>
  <c r="M86" i="29"/>
  <c r="M31" i="29"/>
  <c r="N315" i="29"/>
  <c r="N216" i="29"/>
  <c r="M606" i="29"/>
  <c r="M165" i="29"/>
  <c r="N391" i="29"/>
  <c r="M412" i="29"/>
  <c r="M361" i="29"/>
  <c r="M25" i="29"/>
  <c r="N45" i="29"/>
  <c r="M330" i="29"/>
  <c r="N213" i="29"/>
  <c r="M130" i="29"/>
  <c r="N54" i="29"/>
  <c r="N310" i="29"/>
  <c r="M227" i="29"/>
  <c r="N143" i="29"/>
  <c r="M64" i="29"/>
  <c r="N89" i="29"/>
  <c r="N345" i="29"/>
  <c r="M262" i="29"/>
  <c r="N186" i="29"/>
  <c r="M103" i="29"/>
  <c r="N19" i="29"/>
  <c r="N275" i="29"/>
  <c r="M196" i="29"/>
  <c r="N116" i="29"/>
  <c r="M189" i="29"/>
  <c r="N261" i="29"/>
  <c r="M178" i="29"/>
  <c r="N102" i="29"/>
  <c r="M19" i="29"/>
  <c r="M275" i="29"/>
  <c r="N191" i="29"/>
  <c r="M112" i="29"/>
  <c r="N32" i="29"/>
  <c r="N288" i="29"/>
  <c r="N237" i="29"/>
  <c r="M310" i="29"/>
  <c r="M47" i="29"/>
  <c r="N119" i="29"/>
  <c r="M188" i="29"/>
  <c r="N204" i="29"/>
  <c r="M466" i="29"/>
  <c r="N390" i="29"/>
  <c r="M37" i="29"/>
  <c r="M567" i="29"/>
  <c r="N41" i="29"/>
  <c r="M170" i="29"/>
  <c r="N302" i="29"/>
  <c r="N91" i="29"/>
  <c r="M220" i="29"/>
  <c r="N280" i="29"/>
  <c r="M558" i="29"/>
  <c r="N522" i="29"/>
  <c r="M479" i="29"/>
  <c r="N443" i="29"/>
  <c r="M372" i="29"/>
  <c r="N233" i="29"/>
  <c r="N34" i="29"/>
  <c r="M159" i="29"/>
  <c r="N291" i="29"/>
  <c r="N56" i="29"/>
  <c r="M390" i="29"/>
  <c r="M349" i="29"/>
  <c r="N448" i="29"/>
  <c r="M603" i="29"/>
  <c r="N555" i="29"/>
  <c r="M480" i="29"/>
  <c r="M218" i="29"/>
  <c r="M175" i="29"/>
  <c r="M120" i="29"/>
  <c r="N324" i="29"/>
  <c r="N362" i="29"/>
  <c r="M415" i="29"/>
  <c r="N475" i="29"/>
  <c r="M488" i="29"/>
  <c r="M417" i="29"/>
  <c r="N365" i="29"/>
  <c r="M150" i="29"/>
  <c r="M111" i="29"/>
  <c r="M56" i="29"/>
  <c r="N268" i="29"/>
  <c r="M158" i="29"/>
  <c r="M119" i="29"/>
  <c r="M60" i="29"/>
  <c r="N272" i="29"/>
  <c r="M129" i="29"/>
  <c r="M379" i="29"/>
  <c r="N439" i="29"/>
  <c r="M456" i="29"/>
  <c r="M393" i="29"/>
  <c r="M281" i="29"/>
  <c r="N125" i="29"/>
  <c r="N74" i="29"/>
  <c r="N245" i="29"/>
  <c r="M162" i="29"/>
  <c r="N86" i="29"/>
  <c r="N342" i="29"/>
  <c r="M259" i="29"/>
  <c r="N175" i="29"/>
  <c r="M96" i="29"/>
  <c r="N121" i="29"/>
  <c r="M38" i="29"/>
  <c r="M294" i="29"/>
  <c r="N218" i="29"/>
  <c r="M135" i="29"/>
  <c r="N51" i="29"/>
  <c r="N307" i="29"/>
  <c r="M228" i="29"/>
  <c r="N148" i="29"/>
  <c r="N37" i="29"/>
  <c r="N293" i="29"/>
  <c r="M210" i="29"/>
  <c r="N134" i="29"/>
  <c r="M51" i="29"/>
  <c r="M307" i="29"/>
  <c r="N223" i="29"/>
  <c r="M144" i="29"/>
  <c r="N64" i="29"/>
  <c r="N320" i="29"/>
  <c r="N289" i="29"/>
  <c r="N30" i="29"/>
  <c r="M95" i="29"/>
  <c r="N167" i="29"/>
  <c r="M244" i="29"/>
  <c r="N248" i="29"/>
  <c r="M498" i="29"/>
  <c r="N422" i="29"/>
  <c r="M293" i="29"/>
  <c r="M599" i="29"/>
  <c r="N97" i="29"/>
  <c r="M222" i="29"/>
  <c r="M23" i="29"/>
  <c r="N151" i="29"/>
  <c r="M276" i="29"/>
  <c r="N328" i="29"/>
  <c r="M598" i="29"/>
  <c r="N558" i="29"/>
  <c r="M515" i="29"/>
  <c r="N479" i="29"/>
  <c r="M404" i="29"/>
  <c r="N297" i="29"/>
  <c r="N94" i="29"/>
  <c r="M219" i="29"/>
  <c r="N347" i="29"/>
  <c r="N104" i="29"/>
  <c r="M426" i="29"/>
  <c r="N386" i="29"/>
  <c r="M325" i="29"/>
  <c r="M41" i="29"/>
  <c r="N587" i="29"/>
  <c r="M512" i="29"/>
  <c r="M298" i="29"/>
  <c r="M247" i="29"/>
  <c r="M204" i="29"/>
  <c r="M346" i="29"/>
  <c r="N406" i="29"/>
  <c r="M463" i="29"/>
  <c r="N519" i="29"/>
  <c r="M528" i="29"/>
  <c r="M449" i="29"/>
  <c r="N397" i="29"/>
  <c r="M234" i="29"/>
  <c r="M183" i="29"/>
  <c r="M136" i="29"/>
  <c r="N336" i="29"/>
  <c r="M238" i="29"/>
  <c r="M187" i="29"/>
  <c r="M148" i="29"/>
  <c r="N344" i="29"/>
  <c r="N370" i="29"/>
  <c r="M427" i="29"/>
  <c r="N487" i="29"/>
  <c r="M496" i="29"/>
  <c r="M425" i="29"/>
  <c r="N373" i="29"/>
  <c r="N201" i="29"/>
  <c r="N158" i="29"/>
  <c r="N21" i="29"/>
  <c r="N277" i="29"/>
  <c r="M194" i="29"/>
  <c r="N118" i="29"/>
  <c r="M35" i="29"/>
  <c r="M291" i="29"/>
  <c r="N207" i="29"/>
  <c r="M128" i="29"/>
  <c r="N153" i="29"/>
  <c r="M70" i="29"/>
  <c r="M326" i="29"/>
  <c r="N250" i="29"/>
  <c r="M167" i="29"/>
  <c r="N83" i="29"/>
  <c r="N339" i="29"/>
  <c r="M260" i="29"/>
  <c r="N180" i="29"/>
  <c r="N69" i="29"/>
  <c r="N325" i="29"/>
  <c r="M242" i="29"/>
  <c r="N166" i="29"/>
  <c r="M83" i="29"/>
  <c r="M339" i="29"/>
  <c r="N255" i="29"/>
  <c r="M176" i="29"/>
  <c r="N96" i="29"/>
  <c r="M29" i="29"/>
  <c r="N337" i="29"/>
  <c r="N78" i="29"/>
  <c r="M151" i="29"/>
  <c r="N219" i="29"/>
  <c r="M284" i="29"/>
  <c r="N292" i="29"/>
  <c r="M530" i="29"/>
  <c r="N454" i="29"/>
  <c r="M375" i="29"/>
  <c r="N440" i="29"/>
  <c r="N157" i="29"/>
  <c r="M282" i="29"/>
  <c r="M79" i="29"/>
  <c r="N203" i="29"/>
  <c r="M320" i="29"/>
  <c r="M253" i="29"/>
  <c r="N436" i="29"/>
  <c r="N594" i="29"/>
  <c r="M551" i="29"/>
  <c r="N511" i="29"/>
  <c r="M436" i="29"/>
  <c r="M14" i="29"/>
  <c r="N146" i="29"/>
  <c r="M279" i="29"/>
  <c r="M72" i="29"/>
  <c r="N152" i="29"/>
  <c r="M462" i="29"/>
  <c r="N426" i="29"/>
  <c r="M383" i="29"/>
  <c r="M329" i="29"/>
  <c r="N360" i="29"/>
  <c r="N93" i="29"/>
  <c r="N46" i="29"/>
  <c r="M331" i="29"/>
  <c r="M268" i="29"/>
  <c r="M398" i="29"/>
  <c r="N458" i="29"/>
  <c r="M511" i="29"/>
  <c r="N563" i="29"/>
  <c r="M560" i="29"/>
  <c r="M481" i="29"/>
  <c r="N17" i="29"/>
  <c r="M314" i="29"/>
  <c r="M267" i="29"/>
  <c r="M212" i="29"/>
  <c r="N29" i="29"/>
  <c r="M318" i="29"/>
  <c r="M271" i="29"/>
  <c r="M216" i="29"/>
  <c r="M362" i="29"/>
  <c r="N418" i="29"/>
  <c r="M475" i="29"/>
  <c r="N531" i="29"/>
  <c r="M536" i="29"/>
  <c r="M457" i="29"/>
  <c r="N405" i="29"/>
  <c r="N273" i="29"/>
  <c r="N226" i="29"/>
  <c r="N251" i="29"/>
  <c r="N156" i="29"/>
  <c r="M566" i="29"/>
  <c r="M305" i="29"/>
  <c r="N351" i="29"/>
  <c r="M376" i="29"/>
  <c r="M213" i="29"/>
  <c r="M589" i="29"/>
  <c r="M42" i="29"/>
  <c r="N338" i="29"/>
  <c r="N283" i="29"/>
  <c r="N176" i="29"/>
  <c r="M582" i="29"/>
  <c r="N428" i="29"/>
  <c r="N363" i="29"/>
  <c r="M392" i="29"/>
  <c r="M309" i="29"/>
  <c r="M601" i="29"/>
  <c r="N350" i="29"/>
  <c r="M430" i="29"/>
  <c r="M543" i="29"/>
  <c r="M580" i="29"/>
  <c r="N429" i="29"/>
  <c r="N552" i="29"/>
  <c r="N361" i="29"/>
  <c r="N364" i="29"/>
  <c r="M59" i="29"/>
  <c r="M442" i="29"/>
  <c r="M555" i="29"/>
  <c r="M588" i="29"/>
  <c r="N433" i="29"/>
  <c r="N584" i="29"/>
  <c r="N241" i="29"/>
  <c r="M236" i="29"/>
  <c r="N510" i="29"/>
  <c r="N611" i="29"/>
  <c r="M517" i="29"/>
  <c r="N581" i="29"/>
  <c r="N354" i="29"/>
  <c r="M116" i="29"/>
  <c r="N285" i="29"/>
  <c r="M252" i="29"/>
  <c r="N530" i="29"/>
  <c r="N404" i="29"/>
  <c r="M529" i="29"/>
  <c r="N585" i="29"/>
  <c r="N27" i="29"/>
  <c r="N318" i="29"/>
  <c r="N77" i="29"/>
  <c r="M84" i="29"/>
  <c r="N438" i="29"/>
  <c r="N547" i="29"/>
  <c r="M469" i="29"/>
  <c r="N557" i="29"/>
  <c r="N270" i="29"/>
  <c r="N168" i="29"/>
  <c r="N546" i="29"/>
  <c r="N493" i="29"/>
  <c r="N59" i="29"/>
  <c r="M81" i="29"/>
  <c r="N403" i="29"/>
  <c r="M369" i="29"/>
  <c r="N497" i="29"/>
  <c r="N504" i="29"/>
  <c r="N417" i="29"/>
  <c r="N597" i="29"/>
  <c r="M55" i="29"/>
  <c r="N331" i="29"/>
  <c r="N220" i="29"/>
  <c r="N13" i="29"/>
  <c r="M229" i="29"/>
  <c r="N395" i="29"/>
  <c r="M420" i="29"/>
  <c r="M365" i="29"/>
  <c r="M57" i="29"/>
  <c r="M122" i="29"/>
  <c r="M75" i="29"/>
  <c r="M24" i="29"/>
  <c r="N240" i="29"/>
  <c r="N408" i="29"/>
  <c r="M355" i="29"/>
  <c r="N415" i="29"/>
  <c r="M432" i="29"/>
  <c r="M377" i="29"/>
  <c r="M153" i="29"/>
  <c r="M223" i="29"/>
  <c r="M526" i="29"/>
  <c r="M73" i="29"/>
  <c r="M21" i="29"/>
  <c r="N465" i="29"/>
  <c r="N496" i="29"/>
  <c r="N561" i="29"/>
  <c r="N369" i="29"/>
  <c r="M239" i="29"/>
  <c r="M542" i="29"/>
  <c r="M137" i="29"/>
  <c r="M85" i="29"/>
  <c r="N473" i="29"/>
  <c r="N528" i="29"/>
  <c r="M118" i="29"/>
  <c r="N60" i="29"/>
  <c r="N610" i="29"/>
  <c r="M364" i="29"/>
  <c r="M581" i="29"/>
  <c r="N613" i="29"/>
  <c r="M607" i="29"/>
  <c r="M602" i="29"/>
  <c r="M138" i="29"/>
  <c r="N100" i="29"/>
  <c r="N368" i="29"/>
  <c r="M380" i="29"/>
  <c r="M593" i="29"/>
  <c r="M177" i="29"/>
  <c r="M394" i="29"/>
  <c r="M312" i="29"/>
  <c r="N301" i="29"/>
  <c r="M264" i="29"/>
  <c r="N538" i="29"/>
  <c r="N424" i="29"/>
  <c r="M533" i="29"/>
  <c r="N589" i="29"/>
  <c r="M308" i="29"/>
  <c r="N562" i="29"/>
  <c r="N559" i="29"/>
  <c r="N488" i="29"/>
  <c r="N279" i="29"/>
  <c r="N382" i="29"/>
  <c r="N499" i="29"/>
  <c r="M433" i="29"/>
  <c r="N537" i="29"/>
  <c r="N604" i="29"/>
  <c r="N544" i="29"/>
  <c r="N572" i="29"/>
  <c r="M123" i="29"/>
  <c r="M76" i="29"/>
  <c r="N284" i="29"/>
  <c r="M193" i="29"/>
  <c r="M387" i="29"/>
  <c r="N447" i="29"/>
  <c r="M460" i="29"/>
  <c r="M397" i="29"/>
  <c r="M313" i="29"/>
  <c r="M202" i="29"/>
  <c r="M155" i="29"/>
  <c r="M104" i="29"/>
  <c r="N312" i="29"/>
  <c r="M321" i="29"/>
  <c r="M399" i="29"/>
  <c r="N467" i="29"/>
  <c r="M476" i="29"/>
  <c r="M409" i="29"/>
  <c r="N357" i="29"/>
  <c r="N103" i="29"/>
  <c r="N352" i="29"/>
  <c r="N411" i="29"/>
  <c r="M373" i="29"/>
  <c r="N505" i="29"/>
  <c r="N536" i="29"/>
  <c r="N556" i="29"/>
  <c r="N565" i="29"/>
  <c r="N123" i="29"/>
  <c r="N464" i="29"/>
  <c r="N423" i="29"/>
  <c r="M381" i="29"/>
  <c r="N509" i="29"/>
  <c r="N568" i="29"/>
  <c r="M334" i="29"/>
  <c r="N236" i="29"/>
  <c r="M371" i="29"/>
  <c r="M452" i="29"/>
  <c r="M249" i="29"/>
  <c r="N456" i="29"/>
  <c r="M484" i="29"/>
  <c r="M423" i="29"/>
  <c r="N14" i="29"/>
  <c r="N260" i="29"/>
  <c r="M391" i="29"/>
  <c r="M464" i="29"/>
  <c r="M345" i="29"/>
  <c r="N480" i="29"/>
  <c r="M411" i="29"/>
  <c r="N366" i="29"/>
  <c r="M182" i="29"/>
  <c r="N108" i="29"/>
  <c r="N400" i="29"/>
  <c r="M388" i="29"/>
  <c r="M597" i="29"/>
  <c r="M241" i="29"/>
  <c r="N450" i="29"/>
  <c r="N567" i="29"/>
  <c r="M413" i="29"/>
  <c r="N161" i="29"/>
  <c r="M156" i="29"/>
  <c r="N478" i="29"/>
  <c r="N583" i="29"/>
  <c r="M497" i="29"/>
  <c r="N569" i="29"/>
  <c r="M190" i="29"/>
  <c r="N39" i="29"/>
  <c r="M207" i="29"/>
  <c r="M152" i="29"/>
  <c r="M61" i="29"/>
  <c r="N378" i="29"/>
  <c r="M431" i="29"/>
  <c r="N495" i="29"/>
  <c r="M504" i="29"/>
  <c r="M429" i="29"/>
  <c r="N377" i="29"/>
  <c r="M278" i="29"/>
  <c r="M235" i="29"/>
  <c r="M180" i="29"/>
  <c r="M157" i="29"/>
  <c r="N398" i="29"/>
  <c r="M451" i="29"/>
  <c r="N507" i="29"/>
  <c r="M520" i="29"/>
  <c r="M441" i="29"/>
  <c r="N389" i="29"/>
  <c r="N295" i="29"/>
  <c r="N394" i="29"/>
  <c r="N503" i="29"/>
  <c r="M437" i="29"/>
  <c r="N541" i="29"/>
  <c r="M143" i="29"/>
  <c r="M214" i="29"/>
  <c r="N588" i="29"/>
  <c r="N343" i="29"/>
  <c r="N402" i="29"/>
  <c r="N515" i="29"/>
  <c r="M445" i="29"/>
  <c r="N545" i="29"/>
  <c r="N317" i="29"/>
  <c r="N194" i="29"/>
  <c r="M358" i="29"/>
  <c r="M467" i="29"/>
  <c r="M532" i="29"/>
  <c r="N401" i="29"/>
  <c r="N548" i="29"/>
  <c r="M605" i="29"/>
  <c r="M141" i="29"/>
  <c r="N238" i="29"/>
  <c r="M374" i="29"/>
  <c r="M487" i="29"/>
  <c r="M544" i="29"/>
  <c r="N409" i="29"/>
  <c r="N580" i="29"/>
  <c r="M45" i="29"/>
  <c r="M519" i="29"/>
  <c r="N42" i="29"/>
  <c r="N296" i="29"/>
  <c r="M395" i="29"/>
  <c r="M472" i="29"/>
  <c r="N353" i="29"/>
  <c r="N512" i="29"/>
  <c r="N375" i="29"/>
  <c r="M421" i="29"/>
  <c r="N593" i="29"/>
  <c r="M30" i="29"/>
  <c r="M332" i="29"/>
  <c r="N578" i="29"/>
  <c r="M237" i="29"/>
  <c r="M561" i="29"/>
  <c r="N601" i="29"/>
  <c r="M92" i="29"/>
  <c r="N316" i="29"/>
  <c r="M283" i="29"/>
  <c r="M232" i="29"/>
  <c r="M366" i="29"/>
  <c r="N430" i="29"/>
  <c r="M483" i="29"/>
  <c r="N535" i="29"/>
  <c r="M540" i="29"/>
  <c r="M461" i="29"/>
  <c r="N73" i="29"/>
  <c r="N18" i="29"/>
  <c r="M311" i="29"/>
  <c r="M256" i="29"/>
  <c r="M386" i="29"/>
  <c r="N442" i="29"/>
  <c r="M499" i="29"/>
  <c r="N551" i="29"/>
  <c r="M552" i="29"/>
  <c r="M473" i="29"/>
  <c r="N205" i="29"/>
  <c r="M172" i="29"/>
  <c r="N490" i="29"/>
  <c r="N591" i="29"/>
  <c r="M501" i="29"/>
  <c r="N573" i="29"/>
  <c r="N304" i="29"/>
  <c r="N259" i="29"/>
  <c r="N221" i="29"/>
  <c r="M200" i="29"/>
  <c r="N502" i="29"/>
  <c r="N599" i="29"/>
  <c r="M509" i="29"/>
  <c r="N577" i="29"/>
  <c r="M490" i="29"/>
  <c r="M63" i="29"/>
  <c r="M454" i="29"/>
  <c r="M571" i="29"/>
  <c r="M596" i="29"/>
  <c r="N441" i="29"/>
  <c r="N532" i="29"/>
  <c r="N453" i="29"/>
  <c r="M357" i="29"/>
  <c r="M87" i="29"/>
  <c r="M474" i="29"/>
  <c r="M583" i="29"/>
  <c r="M608" i="29"/>
  <c r="N445" i="29"/>
  <c r="N492" i="29"/>
  <c r="M477" i="29"/>
  <c r="M408" i="29"/>
  <c r="N254" i="29"/>
  <c r="M382" i="29"/>
  <c r="M495" i="29"/>
  <c r="M548" i="29"/>
  <c r="N413" i="29"/>
  <c r="N612" i="29"/>
  <c r="M341" i="29"/>
  <c r="N457" i="29"/>
  <c r="M506" i="29"/>
  <c r="M266" i="29"/>
  <c r="N172" i="29"/>
  <c r="M261" i="29"/>
  <c r="M424" i="29"/>
  <c r="M89" i="29"/>
  <c r="N396" i="29"/>
  <c r="M586" i="29"/>
  <c r="N466" i="29"/>
  <c r="N23" i="29"/>
  <c r="M300" i="29"/>
  <c r="M418" i="29"/>
  <c r="N474" i="29"/>
  <c r="M531" i="29"/>
  <c r="N579" i="29"/>
  <c r="M572" i="29"/>
  <c r="M493" i="29"/>
  <c r="N145" i="29"/>
  <c r="N106" i="29"/>
  <c r="N43" i="29"/>
  <c r="M316" i="29"/>
  <c r="M438" i="29"/>
  <c r="N494" i="29"/>
  <c r="M547" i="29"/>
  <c r="N595" i="29"/>
  <c r="M584" i="29"/>
  <c r="M505" i="29"/>
  <c r="M58" i="29"/>
  <c r="N28" i="29"/>
  <c r="N586" i="29"/>
  <c r="M301" i="29"/>
  <c r="M565" i="29"/>
  <c r="N605" i="29"/>
  <c r="M69" i="29"/>
  <c r="M406" i="29"/>
  <c r="M94" i="29"/>
  <c r="N44" i="29"/>
  <c r="N598" i="29"/>
  <c r="M356" i="29"/>
  <c r="M573" i="29"/>
  <c r="N609" i="29"/>
  <c r="M556" i="29"/>
  <c r="M287" i="29"/>
  <c r="M550" i="29"/>
  <c r="M265" i="29"/>
  <c r="M149" i="29"/>
  <c r="N477" i="29"/>
  <c r="N560" i="29"/>
  <c r="N356" i="29"/>
  <c r="N421" i="29"/>
  <c r="M299" i="29"/>
  <c r="M570" i="29"/>
  <c r="N355" i="29"/>
  <c r="M245" i="29"/>
  <c r="N481" i="29"/>
  <c r="N592" i="29"/>
  <c r="N489" i="29"/>
  <c r="M485" i="29"/>
  <c r="M127" i="29"/>
  <c r="M478" i="29"/>
  <c r="M591" i="29"/>
  <c r="M612" i="29"/>
  <c r="N449" i="29"/>
  <c r="N524" i="29"/>
  <c r="N525" i="29"/>
  <c r="N576" i="29"/>
  <c r="M17" i="29"/>
  <c r="N110" i="29"/>
  <c r="M93" i="29"/>
  <c r="M435" i="29"/>
  <c r="M508" i="29"/>
  <c r="N381" i="29"/>
  <c r="N608" i="29"/>
  <c r="M507" i="29"/>
  <c r="N387" i="29"/>
  <c r="N99" i="29"/>
  <c r="N24" i="29"/>
  <c r="M470" i="29"/>
  <c r="N526" i="29"/>
  <c r="M579" i="29"/>
  <c r="N380" i="29"/>
  <c r="M604" i="29"/>
  <c r="M525" i="29"/>
  <c r="N225" i="29"/>
  <c r="N174" i="29"/>
  <c r="N131" i="29"/>
  <c r="N48" i="29"/>
  <c r="M482" i="29"/>
  <c r="N542" i="29"/>
  <c r="M595" i="29"/>
  <c r="N444" i="29"/>
  <c r="G628" i="29"/>
  <c r="M537" i="29"/>
  <c r="M270" i="29"/>
  <c r="N188" i="29"/>
  <c r="M350" i="29"/>
  <c r="M428" i="29"/>
  <c r="M121" i="29"/>
  <c r="N412" i="29"/>
  <c r="N471" i="29"/>
  <c r="M133" i="29"/>
  <c r="M286" i="29"/>
  <c r="N228" i="29"/>
  <c r="M359" i="29"/>
  <c r="M440" i="29"/>
  <c r="M185" i="29"/>
  <c r="N432" i="29"/>
  <c r="M209" i="29"/>
  <c r="N135" i="29"/>
  <c r="M97" i="29"/>
  <c r="N435" i="29"/>
  <c r="M389" i="29"/>
  <c r="N513" i="29"/>
  <c r="N600" i="29"/>
  <c r="N540" i="29"/>
  <c r="N372" i="29"/>
  <c r="N187" i="29"/>
  <c r="M225" i="29"/>
  <c r="N451" i="29"/>
  <c r="M401" i="29"/>
  <c r="N517" i="29"/>
  <c r="N476" i="29"/>
  <c r="N596" i="29"/>
  <c r="N529" i="29"/>
  <c r="M319" i="29"/>
  <c r="M578" i="29"/>
  <c r="N359" i="29"/>
  <c r="M277" i="29"/>
  <c r="N485" i="29"/>
  <c r="N500" i="29"/>
  <c r="M26" i="29"/>
  <c r="N82" i="29"/>
  <c r="M492" i="29"/>
  <c r="N330" i="29"/>
  <c r="M422" i="29"/>
  <c r="M539" i="29"/>
  <c r="M576" i="29"/>
  <c r="N425" i="29"/>
  <c r="N520" i="29"/>
  <c r="M396" i="29"/>
  <c r="M564" i="29"/>
  <c r="N183" i="29"/>
  <c r="N92" i="29"/>
  <c r="M514" i="29"/>
  <c r="N574" i="29"/>
  <c r="N416" i="29"/>
  <c r="M205" i="29"/>
  <c r="N420" i="29"/>
  <c r="M557" i="29"/>
  <c r="N305" i="29"/>
  <c r="N258" i="29"/>
  <c r="N199" i="29"/>
  <c r="N112" i="29"/>
  <c r="M534" i="29"/>
  <c r="N590" i="29"/>
  <c r="M105" i="29"/>
  <c r="M333" i="29"/>
  <c r="M53" i="29"/>
  <c r="M569" i="29"/>
  <c r="N162" i="29"/>
  <c r="M125" i="29"/>
  <c r="M447" i="29"/>
  <c r="M516" i="29"/>
  <c r="N385" i="29"/>
  <c r="N484" i="29"/>
  <c r="M113" i="29"/>
  <c r="N483" i="29"/>
  <c r="N170" i="29"/>
  <c r="M317" i="29"/>
  <c r="M459" i="29"/>
  <c r="M524" i="29"/>
  <c r="N393" i="29"/>
  <c r="N516" i="29"/>
  <c r="N49" i="29"/>
  <c r="M20" i="29"/>
  <c r="N414" i="29"/>
  <c r="N527" i="29"/>
  <c r="M453" i="29"/>
  <c r="N549" i="29"/>
  <c r="N215" i="29"/>
  <c r="N98" i="29"/>
  <c r="N65" i="29"/>
  <c r="M28" i="29"/>
  <c r="N434" i="29"/>
  <c r="N539" i="29"/>
  <c r="M465" i="29"/>
  <c r="N553" i="29"/>
  <c r="N129" i="29"/>
  <c r="N141" i="29"/>
  <c r="N472" i="29"/>
  <c r="N195" i="29"/>
  <c r="M289" i="29"/>
  <c r="N459" i="29"/>
  <c r="M405" i="29"/>
  <c r="N521" i="29"/>
  <c r="N508" i="29"/>
  <c r="M171" i="29"/>
  <c r="N124" i="29"/>
  <c r="M549" i="29"/>
  <c r="M215" i="29"/>
  <c r="M518" i="29"/>
  <c r="N460" i="29"/>
  <c r="N452" i="29"/>
  <c r="N461" i="29"/>
  <c r="N564" i="29"/>
  <c r="M541" i="29"/>
  <c r="M613" i="29"/>
  <c r="DJ110" i="25" l="1"/>
  <c r="DQ110" i="25" s="1"/>
  <c r="CZ216" i="25"/>
  <c r="DB216" i="25" s="1"/>
  <c r="T623" i="29"/>
  <c r="O623" i="29"/>
  <c r="K623" i="29"/>
  <c r="L623" i="29"/>
  <c r="P623" i="29"/>
  <c r="U623" i="29"/>
  <c r="S623" i="29"/>
  <c r="V623" i="29"/>
  <c r="Q623" i="29"/>
  <c r="R623" i="29"/>
  <c r="DQ212" i="25"/>
  <c r="DN212" i="25"/>
  <c r="DX216" i="24"/>
  <c r="EE216" i="24" s="1"/>
  <c r="DH216" i="25"/>
  <c r="DJ216" i="25" s="1"/>
  <c r="EB269" i="25"/>
  <c r="EA269" i="25"/>
  <c r="EB245" i="25"/>
  <c r="EA245" i="25"/>
  <c r="EB289" i="25"/>
  <c r="EA289" i="25"/>
  <c r="EB280" i="25"/>
  <c r="EA280" i="25"/>
  <c r="EB285" i="25"/>
  <c r="EA285" i="25"/>
  <c r="EB257" i="25"/>
  <c r="EA257" i="25"/>
  <c r="EB243" i="25"/>
  <c r="EA243" i="25"/>
  <c r="EB293" i="25"/>
  <c r="EA293" i="25"/>
  <c r="EB286" i="25"/>
  <c r="EA286" i="25"/>
  <c r="EB281" i="25"/>
  <c r="EA281" i="25"/>
  <c r="EB274" i="25"/>
  <c r="EA274" i="25"/>
  <c r="EB222" i="25"/>
  <c r="EA222" i="25"/>
  <c r="EB237" i="25"/>
  <c r="EA237" i="25"/>
  <c r="EB287" i="25"/>
  <c r="EA287" i="25"/>
  <c r="EB227" i="25"/>
  <c r="EA227" i="25"/>
  <c r="EB225" i="25"/>
  <c r="EA225" i="25"/>
  <c r="EB251" i="25"/>
  <c r="EA251" i="25"/>
  <c r="EB236" i="25"/>
  <c r="EA236" i="25"/>
  <c r="EB307" i="25"/>
  <c r="EA307" i="25"/>
  <c r="EB316" i="25"/>
  <c r="EA316" i="25"/>
  <c r="EB221" i="25"/>
  <c r="EA221" i="25"/>
  <c r="EB229" i="25"/>
  <c r="EA229" i="25"/>
  <c r="EB263" i="25"/>
  <c r="EA263" i="25"/>
  <c r="EB239" i="25"/>
  <c r="EA239" i="25"/>
  <c r="EB302" i="25"/>
  <c r="EA302" i="25"/>
  <c r="EB292" i="25"/>
  <c r="EA292" i="25"/>
  <c r="EB252" i="25"/>
  <c r="EA252" i="25"/>
  <c r="EB226" i="25"/>
  <c r="EA226" i="25"/>
  <c r="EB310" i="25"/>
  <c r="EA310" i="25"/>
  <c r="EB220" i="25"/>
  <c r="EA220" i="25"/>
  <c r="EB249" i="25"/>
  <c r="EA249" i="25"/>
  <c r="EB248" i="25"/>
  <c r="EA248" i="25"/>
  <c r="EB260" i="25"/>
  <c r="EA260" i="25"/>
  <c r="EB219" i="25"/>
  <c r="EA219" i="25"/>
  <c r="EB295" i="25"/>
  <c r="EA295" i="25"/>
  <c r="EB253" i="25"/>
  <c r="EA253" i="25"/>
  <c r="EB217" i="25"/>
  <c r="EA217" i="25"/>
  <c r="EB296" i="25"/>
  <c r="EA296" i="25"/>
  <c r="EB299" i="25"/>
  <c r="EA299" i="25"/>
  <c r="EB265" i="25"/>
  <c r="EA265" i="25"/>
  <c r="EB271" i="25"/>
  <c r="EA271" i="25"/>
  <c r="EB278" i="25"/>
  <c r="EA278" i="25"/>
  <c r="EB234" i="25"/>
  <c r="EA234" i="25"/>
  <c r="EB309" i="25"/>
  <c r="EA309" i="25"/>
  <c r="EB246" i="25"/>
  <c r="EA246" i="25"/>
  <c r="EB288" i="25"/>
  <c r="EA288" i="25"/>
  <c r="EA216" i="25"/>
  <c r="EB216" i="25"/>
  <c r="EB308" i="25"/>
  <c r="EA308" i="25"/>
  <c r="EB298" i="25"/>
  <c r="EA298" i="25"/>
  <c r="EB242" i="25"/>
  <c r="EA242" i="25"/>
  <c r="EB262" i="25"/>
  <c r="EA262" i="25"/>
  <c r="EB277" i="25"/>
  <c r="EA277" i="25"/>
  <c r="EB254" i="25"/>
  <c r="EA254" i="25"/>
  <c r="EB290" i="25"/>
  <c r="EA290" i="25"/>
  <c r="EB291" i="25"/>
  <c r="EA291" i="25"/>
  <c r="EB247" i="25"/>
  <c r="EA247" i="25"/>
  <c r="EB258" i="25"/>
  <c r="EA258" i="25"/>
  <c r="EB264" i="25"/>
  <c r="EA264" i="25"/>
  <c r="EB261" i="25"/>
  <c r="EA261" i="25"/>
  <c r="EB303" i="25"/>
  <c r="EA303" i="25"/>
  <c r="EB270" i="25"/>
  <c r="EA270" i="25"/>
  <c r="EB240" i="25"/>
  <c r="EA240" i="25"/>
  <c r="EB279" i="25"/>
  <c r="EA279" i="25"/>
  <c r="EB284" i="25"/>
  <c r="EA284" i="25"/>
  <c r="EB256" i="25"/>
  <c r="EA256" i="25"/>
  <c r="EB244" i="25"/>
  <c r="EA244" i="25"/>
  <c r="EB305" i="25"/>
  <c r="EA305" i="25"/>
  <c r="EB259" i="25"/>
  <c r="EA259" i="25"/>
  <c r="EB294" i="25"/>
  <c r="EA294" i="25"/>
  <c r="EB233" i="25"/>
  <c r="EA233" i="25"/>
  <c r="EB266" i="25"/>
  <c r="EA266" i="25"/>
  <c r="EB231" i="25"/>
  <c r="EA231" i="25"/>
  <c r="EB268" i="25"/>
  <c r="EA268" i="25"/>
  <c r="EB223" i="25"/>
  <c r="EA223" i="25"/>
  <c r="EB273" i="25"/>
  <c r="EA273" i="25"/>
  <c r="EB224" i="25"/>
  <c r="EA224" i="25"/>
  <c r="EB241" i="25"/>
  <c r="EA241" i="25"/>
  <c r="EB232" i="25"/>
  <c r="EA232" i="25"/>
  <c r="EB272" i="25"/>
  <c r="EA272" i="25"/>
  <c r="EB313" i="25"/>
  <c r="EA313" i="25"/>
  <c r="EB250" i="25"/>
  <c r="EA250" i="25"/>
  <c r="EB276" i="25"/>
  <c r="EA276" i="25"/>
  <c r="EB311" i="25"/>
  <c r="EA311" i="25"/>
  <c r="EB300" i="25"/>
  <c r="EA300" i="25"/>
  <c r="EB218" i="25"/>
  <c r="EA218" i="25"/>
  <c r="EB315" i="25"/>
  <c r="EA315" i="25"/>
  <c r="EB282" i="25"/>
  <c r="EA282" i="25"/>
  <c r="EB238" i="25"/>
  <c r="EA238" i="25"/>
  <c r="EB297" i="25"/>
  <c r="EA297" i="25"/>
  <c r="EB283" i="25"/>
  <c r="EA283" i="25"/>
  <c r="EB230" i="25"/>
  <c r="EA230" i="25"/>
  <c r="EB235" i="25"/>
  <c r="EA235" i="25"/>
  <c r="EB275" i="25"/>
  <c r="EA275" i="25"/>
  <c r="EB267" i="25"/>
  <c r="EA267" i="25"/>
  <c r="EB301" i="25"/>
  <c r="EA301" i="25"/>
  <c r="EB314" i="25"/>
  <c r="EA314" i="25"/>
  <c r="EB306" i="25"/>
  <c r="EA306" i="25"/>
  <c r="EB228" i="25"/>
  <c r="EA228" i="25"/>
  <c r="EB304" i="25"/>
  <c r="EA304" i="25"/>
  <c r="EB312" i="25"/>
  <c r="EA312" i="25"/>
  <c r="EB255" i="25"/>
  <c r="EA255" i="25"/>
  <c r="EA112" i="25"/>
  <c r="DQ112" i="25"/>
  <c r="DN112" i="25"/>
  <c r="DN183" i="25"/>
  <c r="DN206" i="25"/>
  <c r="DN203" i="24"/>
  <c r="DX203" i="24" s="1"/>
  <c r="DN146" i="24"/>
  <c r="DX146" i="24" s="1"/>
  <c r="DN86" i="24"/>
  <c r="DX86" i="24" s="1"/>
  <c r="DN66" i="24"/>
  <c r="DX66" i="24" s="1"/>
  <c r="DN137" i="24"/>
  <c r="DX137" i="24" s="1"/>
  <c r="DN127" i="25"/>
  <c r="DN187" i="24"/>
  <c r="DX187" i="24" s="1"/>
  <c r="DN207" i="24"/>
  <c r="DX207" i="24" s="1"/>
  <c r="DW110" i="24"/>
  <c r="EN110" i="24"/>
  <c r="EM110" i="24"/>
  <c r="EP110" i="24" s="1"/>
  <c r="DU110" i="24"/>
  <c r="FA110" i="24"/>
  <c r="EL110" i="24"/>
  <c r="EY110" i="24"/>
  <c r="EB110" i="24"/>
  <c r="DN79" i="24"/>
  <c r="DZ79" i="24" s="1"/>
  <c r="DW5" i="24"/>
  <c r="EN5" i="24"/>
  <c r="EM5" i="24"/>
  <c r="EP5" i="24" s="1"/>
  <c r="DU5" i="24"/>
  <c r="FA5" i="24"/>
  <c r="EB5" i="24"/>
  <c r="EL5" i="24"/>
  <c r="EY5" i="24"/>
  <c r="DN234" i="24"/>
  <c r="DO216" i="24"/>
  <c r="DR216" i="24"/>
  <c r="EY216" i="24" s="1"/>
  <c r="DN182" i="25"/>
  <c r="DN69" i="25"/>
  <c r="DN93" i="24"/>
  <c r="DZ93" i="24" s="1"/>
  <c r="DN73" i="25"/>
  <c r="DN139" i="24"/>
  <c r="DX139" i="24" s="1"/>
  <c r="DN248" i="24"/>
  <c r="DN78" i="24"/>
  <c r="DZ78" i="24" s="1"/>
  <c r="DN57" i="25"/>
  <c r="DN196" i="25"/>
  <c r="DN198" i="25"/>
  <c r="DN262" i="25"/>
  <c r="DN94" i="24"/>
  <c r="DZ94" i="24" s="1"/>
  <c r="DN181" i="24"/>
  <c r="DX181" i="24" s="1"/>
  <c r="DN75" i="24"/>
  <c r="DZ75" i="24" s="1"/>
  <c r="DN168" i="24"/>
  <c r="DX168" i="24" s="1"/>
  <c r="DN165" i="24"/>
  <c r="DX165" i="24" s="1"/>
  <c r="DN131" i="24"/>
  <c r="DX131" i="24" s="1"/>
  <c r="DN113" i="24"/>
  <c r="DX113" i="24" s="1"/>
  <c r="DN237" i="24"/>
  <c r="DN116" i="24"/>
  <c r="DX116" i="24" s="1"/>
  <c r="DN291" i="24"/>
  <c r="DN273" i="24"/>
  <c r="DN312" i="24"/>
  <c r="DN254" i="24"/>
  <c r="DN27" i="24"/>
  <c r="DZ27" i="24" s="1"/>
  <c r="DN275" i="24"/>
  <c r="DN284" i="24"/>
  <c r="DN143" i="25"/>
  <c r="DN221" i="24"/>
  <c r="DN16" i="24"/>
  <c r="DZ16" i="24" s="1"/>
  <c r="DN255" i="24"/>
  <c r="DN264" i="24"/>
  <c r="DN162" i="24"/>
  <c r="DX162" i="24" s="1"/>
  <c r="DN310" i="24"/>
  <c r="DN163" i="24"/>
  <c r="DX163" i="24" s="1"/>
  <c r="DN299" i="24"/>
  <c r="DN139" i="25"/>
  <c r="DQ183" i="25"/>
  <c r="DT183" i="25" s="1"/>
  <c r="DN138" i="25"/>
  <c r="DN181" i="25"/>
  <c r="DN179" i="25"/>
  <c r="DN299" i="25"/>
  <c r="DQ73" i="25"/>
  <c r="DQ143" i="25"/>
  <c r="DT143" i="25" s="1"/>
  <c r="DQ138" i="25"/>
  <c r="DV138" i="25" s="1"/>
  <c r="DQ181" i="25"/>
  <c r="EJ181" i="25" s="1"/>
  <c r="DQ182" i="25"/>
  <c r="DV182" i="25" s="1"/>
  <c r="DN178" i="25"/>
  <c r="DN85" i="24"/>
  <c r="DX85" i="24" s="1"/>
  <c r="DN219" i="24"/>
  <c r="DN206" i="24"/>
  <c r="DX206" i="24" s="1"/>
  <c r="DN179" i="24"/>
  <c r="DX179" i="24" s="1"/>
  <c r="DN254" i="25"/>
  <c r="DQ254" i="25"/>
  <c r="DQ137" i="25"/>
  <c r="FA137" i="25" s="1"/>
  <c r="DN137" i="25"/>
  <c r="DW97" i="25"/>
  <c r="EB68" i="25"/>
  <c r="EA68" i="25"/>
  <c r="DN227" i="25"/>
  <c r="DQ227" i="25"/>
  <c r="EB195" i="25"/>
  <c r="EA195" i="25"/>
  <c r="DN115" i="24"/>
  <c r="DX115" i="24" s="1"/>
  <c r="DN95" i="24"/>
  <c r="DZ95" i="24" s="1"/>
  <c r="DN301" i="24"/>
  <c r="DN69" i="24"/>
  <c r="DX69" i="24" s="1"/>
  <c r="DN78" i="25"/>
  <c r="DQ78" i="25"/>
  <c r="DW200" i="25"/>
  <c r="DN196" i="24"/>
  <c r="DX196" i="24" s="1"/>
  <c r="DN169" i="24"/>
  <c r="DX169" i="24" s="1"/>
  <c r="DN243" i="24"/>
  <c r="DN151" i="24"/>
  <c r="DX151" i="24" s="1"/>
  <c r="DN278" i="24"/>
  <c r="DN149" i="24"/>
  <c r="DX149" i="24" s="1"/>
  <c r="DN208" i="24"/>
  <c r="DX208" i="24" s="1"/>
  <c r="DN103" i="25"/>
  <c r="DQ103" i="25"/>
  <c r="DT103" i="25" s="1"/>
  <c r="DN34" i="25"/>
  <c r="DQ34" i="25"/>
  <c r="DN266" i="25"/>
  <c r="DQ266" i="25"/>
  <c r="DN296" i="25"/>
  <c r="DQ296" i="25"/>
  <c r="DQ263" i="25"/>
  <c r="DN263" i="25"/>
  <c r="DQ81" i="25"/>
  <c r="DN81" i="25"/>
  <c r="DN184" i="24"/>
  <c r="DX184" i="24" s="1"/>
  <c r="DN97" i="24"/>
  <c r="DZ97" i="24" s="1"/>
  <c r="DQ241" i="25"/>
  <c r="DN241" i="25"/>
  <c r="DN176" i="24"/>
  <c r="DX176" i="24" s="1"/>
  <c r="DN130" i="24"/>
  <c r="DX130" i="24" s="1"/>
  <c r="DN76" i="24"/>
  <c r="DZ76" i="24" s="1"/>
  <c r="DN117" i="24"/>
  <c r="DX117" i="24" s="1"/>
  <c r="DN191" i="24"/>
  <c r="DX191" i="24" s="1"/>
  <c r="DN198" i="24"/>
  <c r="DX198" i="24" s="1"/>
  <c r="DN306" i="24"/>
  <c r="DN74" i="24"/>
  <c r="DX74" i="24" s="1"/>
  <c r="DN217" i="24"/>
  <c r="DN84" i="24"/>
  <c r="DX84" i="24" s="1"/>
  <c r="DN256" i="24"/>
  <c r="DN135" i="24"/>
  <c r="DX135" i="24" s="1"/>
  <c r="DN205" i="24"/>
  <c r="DX205" i="24" s="1"/>
  <c r="DW174" i="25"/>
  <c r="DW131" i="25"/>
  <c r="EB118" i="25"/>
  <c r="EA118" i="25"/>
  <c r="DN156" i="24"/>
  <c r="DX156" i="24" s="1"/>
  <c r="DN257" i="25"/>
  <c r="DQ257" i="25"/>
  <c r="EB102" i="25"/>
  <c r="EA102" i="25"/>
  <c r="DQ43" i="25"/>
  <c r="DN43" i="25"/>
  <c r="DQ121" i="25"/>
  <c r="FA121" i="25" s="1"/>
  <c r="DN121" i="25"/>
  <c r="DN312" i="25"/>
  <c r="DQ312" i="25"/>
  <c r="DN272" i="25"/>
  <c r="DQ272" i="25"/>
  <c r="DN91" i="24"/>
  <c r="DZ91" i="24" s="1"/>
  <c r="DW180" i="25"/>
  <c r="DW95" i="25"/>
  <c r="DQ224" i="25"/>
  <c r="DN224" i="25"/>
  <c r="DQ119" i="25"/>
  <c r="EJ119" i="25" s="1"/>
  <c r="DN119" i="25"/>
  <c r="DQ193" i="25"/>
  <c r="EJ193" i="25" s="1"/>
  <c r="DN193" i="25"/>
  <c r="DN75" i="25"/>
  <c r="DQ75" i="25"/>
  <c r="DQ299" i="25"/>
  <c r="DQ244" i="25"/>
  <c r="DN244" i="25"/>
  <c r="DW103" i="25"/>
  <c r="DW178" i="25"/>
  <c r="DW51" i="25"/>
  <c r="DN13" i="25"/>
  <c r="DQ13" i="25"/>
  <c r="EB10" i="25"/>
  <c r="EA10" i="25"/>
  <c r="DW91" i="25"/>
  <c r="DN237" i="25"/>
  <c r="DQ237" i="25"/>
  <c r="DN242" i="25"/>
  <c r="DQ242" i="25"/>
  <c r="EB16" i="25"/>
  <c r="EA16" i="25"/>
  <c r="DQ315" i="25"/>
  <c r="DN315" i="25"/>
  <c r="DQ187" i="25"/>
  <c r="EY187" i="25" s="1"/>
  <c r="DN187" i="25"/>
  <c r="EB31" i="25"/>
  <c r="EA31" i="25"/>
  <c r="DW89" i="25"/>
  <c r="DN85" i="25"/>
  <c r="DQ85" i="25"/>
  <c r="DQ148" i="25"/>
  <c r="DN148" i="25"/>
  <c r="DQ35" i="25"/>
  <c r="DN35" i="25"/>
  <c r="DQ144" i="25"/>
  <c r="DN144" i="25"/>
  <c r="DN286" i="25"/>
  <c r="DQ286" i="25"/>
  <c r="DN282" i="25"/>
  <c r="DQ282" i="25"/>
  <c r="DN159" i="25"/>
  <c r="DQ159" i="25"/>
  <c r="DQ151" i="25"/>
  <c r="DN151" i="25"/>
  <c r="EB146" i="25"/>
  <c r="EA146" i="25"/>
  <c r="DQ206" i="25"/>
  <c r="DT206" i="25" s="1"/>
  <c r="DW9" i="25"/>
  <c r="DW143" i="25"/>
  <c r="DQ316" i="25"/>
  <c r="DN316" i="25"/>
  <c r="EB46" i="25"/>
  <c r="EA46" i="25"/>
  <c r="DN72" i="25"/>
  <c r="DQ72" i="25"/>
  <c r="DN171" i="25"/>
  <c r="DQ171" i="25"/>
  <c r="EY171" i="25" s="1"/>
  <c r="DQ116" i="25"/>
  <c r="DN116" i="25"/>
  <c r="EB142" i="25"/>
  <c r="EA142" i="25"/>
  <c r="DQ69" i="25"/>
  <c r="DQ21" i="25"/>
  <c r="DN21" i="25"/>
  <c r="DW56" i="25"/>
  <c r="DW45" i="25"/>
  <c r="DN268" i="25"/>
  <c r="DQ268" i="25"/>
  <c r="DQ139" i="25"/>
  <c r="EJ139" i="25" s="1"/>
  <c r="DW185" i="25"/>
  <c r="DW171" i="25"/>
  <c r="DN113" i="25"/>
  <c r="DQ113" i="25"/>
  <c r="DQ174" i="25"/>
  <c r="FA174" i="25" s="1"/>
  <c r="DN174" i="25"/>
  <c r="DN280" i="25"/>
  <c r="DQ280" i="25"/>
  <c r="DQ168" i="25"/>
  <c r="FA168" i="25" s="1"/>
  <c r="DN168" i="25"/>
  <c r="EB135" i="25"/>
  <c r="EA135" i="25"/>
  <c r="DQ198" i="25"/>
  <c r="DT198" i="25" s="1"/>
  <c r="DQ24" i="25"/>
  <c r="DN24" i="25"/>
  <c r="DN126" i="25"/>
  <c r="DQ126" i="25"/>
  <c r="EJ126" i="25" s="1"/>
  <c r="EB124" i="25"/>
  <c r="EA124" i="25"/>
  <c r="DQ186" i="25"/>
  <c r="DN186" i="25"/>
  <c r="DN210" i="24"/>
  <c r="DX210" i="24" s="1"/>
  <c r="EB7" i="25"/>
  <c r="EA7" i="25"/>
  <c r="DN59" i="25"/>
  <c r="DQ59" i="25"/>
  <c r="DN202" i="25"/>
  <c r="DQ202" i="25"/>
  <c r="DT202" i="25" s="1"/>
  <c r="EB183" i="25"/>
  <c r="EA183" i="25"/>
  <c r="DW59" i="25"/>
  <c r="DN95" i="25"/>
  <c r="DQ95" i="25"/>
  <c r="DT95" i="25" s="1"/>
  <c r="DW189" i="25"/>
  <c r="DQ140" i="25"/>
  <c r="DN140" i="25"/>
  <c r="DN265" i="25"/>
  <c r="DQ265" i="25"/>
  <c r="DQ16" i="25"/>
  <c r="DN16" i="25"/>
  <c r="EB69" i="25"/>
  <c r="EA69" i="25"/>
  <c r="DN20" i="25"/>
  <c r="DQ20" i="25"/>
  <c r="DN302" i="25"/>
  <c r="DQ302" i="25"/>
  <c r="DQ220" i="25"/>
  <c r="DN220" i="25"/>
  <c r="DN157" i="25"/>
  <c r="DQ157" i="25"/>
  <c r="EJ157" i="25" s="1"/>
  <c r="DN189" i="25"/>
  <c r="DQ189" i="25"/>
  <c r="FA189" i="25" s="1"/>
  <c r="DQ86" i="25"/>
  <c r="DN86" i="25"/>
  <c r="DN163" i="25"/>
  <c r="DQ163" i="25"/>
  <c r="DN48" i="25"/>
  <c r="DQ48" i="25"/>
  <c r="DQ230" i="25"/>
  <c r="DN230" i="25"/>
  <c r="DN259" i="25"/>
  <c r="DQ259" i="25"/>
  <c r="DN175" i="25"/>
  <c r="DQ175" i="25"/>
  <c r="EJ175" i="25" s="1"/>
  <c r="DN123" i="25"/>
  <c r="DQ123" i="25"/>
  <c r="DQ49" i="25"/>
  <c r="DN49" i="25"/>
  <c r="DN150" i="25"/>
  <c r="DQ150" i="25"/>
  <c r="DQ105" i="25"/>
  <c r="DT105" i="25" s="1"/>
  <c r="DN105" i="25"/>
  <c r="DQ46" i="25"/>
  <c r="DN46" i="25"/>
  <c r="DN247" i="25"/>
  <c r="DQ247" i="25"/>
  <c r="EB71" i="25"/>
  <c r="EA71" i="25"/>
  <c r="DW88" i="25"/>
  <c r="EB62" i="25"/>
  <c r="EA62" i="25"/>
  <c r="DW35" i="25"/>
  <c r="EB166" i="25"/>
  <c r="EA166" i="25"/>
  <c r="EB153" i="25"/>
  <c r="EA153" i="25"/>
  <c r="DW96" i="25"/>
  <c r="EB197" i="25"/>
  <c r="EA197" i="25"/>
  <c r="EB133" i="25"/>
  <c r="EA133" i="25"/>
  <c r="EB159" i="25"/>
  <c r="EA159" i="25"/>
  <c r="DN62" i="25"/>
  <c r="DQ62" i="25"/>
  <c r="DW80" i="25"/>
  <c r="DQ314" i="25"/>
  <c r="DN314" i="25"/>
  <c r="DW168" i="25"/>
  <c r="DW170" i="25"/>
  <c r="EB54" i="25"/>
  <c r="EA54" i="25"/>
  <c r="DN152" i="25"/>
  <c r="DQ152" i="25"/>
  <c r="DN221" i="25"/>
  <c r="DQ221" i="25"/>
  <c r="DQ246" i="25"/>
  <c r="DN246" i="25"/>
  <c r="DW164" i="25"/>
  <c r="DN131" i="25"/>
  <c r="DQ131" i="25"/>
  <c r="DN285" i="25"/>
  <c r="DQ285" i="25"/>
  <c r="DW77" i="25"/>
  <c r="EB39" i="25"/>
  <c r="EA39" i="25"/>
  <c r="DQ10" i="25"/>
  <c r="DN10" i="25"/>
  <c r="EB8" i="25"/>
  <c r="EA8" i="25"/>
  <c r="EB167" i="25"/>
  <c r="EA167" i="25"/>
  <c r="DW29" i="25"/>
  <c r="DW122" i="25"/>
  <c r="DW65" i="25"/>
  <c r="EB84" i="25"/>
  <c r="EA84" i="25"/>
  <c r="DW49" i="25"/>
  <c r="DW177" i="25"/>
  <c r="DW13" i="25"/>
  <c r="DQ243" i="25"/>
  <c r="DN243" i="25"/>
  <c r="DN261" i="25"/>
  <c r="DQ261" i="25"/>
  <c r="DN199" i="25"/>
  <c r="DQ199" i="25"/>
  <c r="DT199" i="25" s="1"/>
  <c r="DW23" i="25"/>
  <c r="DW12" i="25"/>
  <c r="EB154" i="25"/>
  <c r="EA154" i="25"/>
  <c r="EB160" i="25"/>
  <c r="EA160" i="25"/>
  <c r="DW48" i="25"/>
  <c r="DN274" i="25"/>
  <c r="DQ274" i="25"/>
  <c r="EB206" i="25"/>
  <c r="EA206" i="25"/>
  <c r="EB67" i="25"/>
  <c r="EA67" i="25"/>
  <c r="DQ99" i="25"/>
  <c r="DT99" i="25" s="1"/>
  <c r="DN99" i="25"/>
  <c r="DW175" i="25"/>
  <c r="DN38" i="25"/>
  <c r="DQ38" i="25"/>
  <c r="DN61" i="25"/>
  <c r="DQ61" i="25"/>
  <c r="EB73" i="25"/>
  <c r="EA73" i="25"/>
  <c r="EB207" i="25"/>
  <c r="EA207" i="25"/>
  <c r="DN162" i="25"/>
  <c r="DQ162" i="25"/>
  <c r="EB130" i="25"/>
  <c r="EA130" i="25"/>
  <c r="DW105" i="25"/>
  <c r="DN79" i="25"/>
  <c r="DQ79" i="25"/>
  <c r="DQ311" i="25"/>
  <c r="DN311" i="25"/>
  <c r="DW38" i="25"/>
  <c r="DN170" i="25"/>
  <c r="DQ170" i="25"/>
  <c r="FA170" i="25" s="1"/>
  <c r="DN201" i="25"/>
  <c r="DQ201" i="25"/>
  <c r="DT201" i="25" s="1"/>
  <c r="DW145" i="25"/>
  <c r="EB55" i="25"/>
  <c r="EA55" i="25"/>
  <c r="DN278" i="25"/>
  <c r="DQ278" i="25"/>
  <c r="DW139" i="25"/>
  <c r="DQ71" i="25"/>
  <c r="DN71" i="25"/>
  <c r="DQ117" i="25"/>
  <c r="DN117" i="25"/>
  <c r="DN210" i="25"/>
  <c r="DQ210" i="25"/>
  <c r="DT210" i="25" s="1"/>
  <c r="DN234" i="25"/>
  <c r="DQ234" i="25"/>
  <c r="DN295" i="25"/>
  <c r="DQ295" i="25"/>
  <c r="EB53" i="25"/>
  <c r="EA53" i="25"/>
  <c r="EB30" i="25"/>
  <c r="EA30" i="25"/>
  <c r="DQ96" i="25"/>
  <c r="DT96" i="25" s="1"/>
  <c r="DN96" i="25"/>
  <c r="DN273" i="25"/>
  <c r="DQ273" i="25"/>
  <c r="EB161" i="25"/>
  <c r="EA161" i="25"/>
  <c r="DQ57" i="25"/>
  <c r="EB50" i="25"/>
  <c r="EA50" i="25"/>
  <c r="EB165" i="25"/>
  <c r="EA165" i="25"/>
  <c r="DN233" i="25"/>
  <c r="DQ233" i="25"/>
  <c r="DW190" i="25"/>
  <c r="DW158" i="25"/>
  <c r="DQ283" i="25"/>
  <c r="DN283" i="25"/>
  <c r="DN200" i="25"/>
  <c r="DQ200" i="25"/>
  <c r="DT200" i="25" s="1"/>
  <c r="DN39" i="25"/>
  <c r="DQ39" i="25"/>
  <c r="DQ209" i="25"/>
  <c r="DT209" i="25" s="1"/>
  <c r="DN209" i="25"/>
  <c r="DN245" i="25"/>
  <c r="DQ245" i="25"/>
  <c r="DQ303" i="25"/>
  <c r="DN303" i="25"/>
  <c r="EB176" i="25"/>
  <c r="EA176" i="25"/>
  <c r="DQ14" i="25"/>
  <c r="DN14" i="25"/>
  <c r="DQ191" i="25"/>
  <c r="EJ191" i="25" s="1"/>
  <c r="DN191" i="25"/>
  <c r="DN120" i="25"/>
  <c r="DQ120" i="25"/>
  <c r="DW111" i="25"/>
  <c r="DW121" i="25"/>
  <c r="DN271" i="25"/>
  <c r="DQ271" i="25"/>
  <c r="DN68" i="25"/>
  <c r="DQ68" i="25"/>
  <c r="DN184" i="25"/>
  <c r="DQ184" i="25"/>
  <c r="DQ287" i="25"/>
  <c r="DN287" i="25"/>
  <c r="DQ195" i="25"/>
  <c r="DT195" i="25" s="1"/>
  <c r="DN195" i="25"/>
  <c r="DN309" i="25"/>
  <c r="DQ309" i="25"/>
  <c r="DW203" i="25"/>
  <c r="DN98" i="25"/>
  <c r="DQ98" i="25"/>
  <c r="DT98" i="25" s="1"/>
  <c r="DW187" i="25"/>
  <c r="DQ111" i="25"/>
  <c r="DN111" i="25"/>
  <c r="DN256" i="25"/>
  <c r="DQ256" i="25"/>
  <c r="DQ51" i="25"/>
  <c r="DN51" i="25"/>
  <c r="EB196" i="25"/>
  <c r="EA196" i="25"/>
  <c r="DN67" i="25"/>
  <c r="DQ67" i="25"/>
  <c r="DQ84" i="25"/>
  <c r="DN84" i="25"/>
  <c r="DW157" i="25"/>
  <c r="DN225" i="25"/>
  <c r="DQ225" i="25"/>
  <c r="DQ128" i="25"/>
  <c r="EJ128" i="25" s="1"/>
  <c r="DN128" i="25"/>
  <c r="DN298" i="25"/>
  <c r="DQ298" i="25"/>
  <c r="DN276" i="25"/>
  <c r="DQ276" i="25"/>
  <c r="DQ275" i="25"/>
  <c r="DN275" i="25"/>
  <c r="DN173" i="25"/>
  <c r="DQ173" i="25"/>
  <c r="EJ173" i="25" s="1"/>
  <c r="DN87" i="25"/>
  <c r="DQ87" i="25"/>
  <c r="DQ36" i="25"/>
  <c r="DN36" i="25"/>
  <c r="DQ55" i="25"/>
  <c r="DN55" i="25"/>
  <c r="EB148" i="25"/>
  <c r="EA148" i="25"/>
  <c r="DN142" i="25"/>
  <c r="DQ142" i="25"/>
  <c r="DW60" i="25"/>
  <c r="DW64" i="25"/>
  <c r="DW128" i="25"/>
  <c r="DQ300" i="25"/>
  <c r="DN300" i="25"/>
  <c r="DQ252" i="25"/>
  <c r="DN252" i="25"/>
  <c r="DN304" i="25"/>
  <c r="DQ304" i="25"/>
  <c r="DW66" i="25"/>
  <c r="DQ18" i="25"/>
  <c r="DN18" i="25"/>
  <c r="EB115" i="25"/>
  <c r="EA115" i="25"/>
  <c r="DN19" i="25"/>
  <c r="DQ19" i="25"/>
  <c r="EB21" i="25"/>
  <c r="EA21" i="25"/>
  <c r="DW78" i="25"/>
  <c r="DN53" i="25"/>
  <c r="DQ53" i="25"/>
  <c r="DN66" i="25"/>
  <c r="DQ66" i="25"/>
  <c r="EB101" i="25"/>
  <c r="EA101" i="25"/>
  <c r="EB120" i="25"/>
  <c r="EA120" i="25"/>
  <c r="DW179" i="25"/>
  <c r="DQ178" i="25"/>
  <c r="DQ29" i="25"/>
  <c r="DN29" i="25"/>
  <c r="DN11" i="25"/>
  <c r="DQ11" i="25"/>
  <c r="DN33" i="25"/>
  <c r="DQ33" i="25"/>
  <c r="DQ26" i="25"/>
  <c r="DN26" i="25"/>
  <c r="DN293" i="25"/>
  <c r="DQ293" i="25"/>
  <c r="DW126" i="25"/>
  <c r="DQ313" i="25"/>
  <c r="DN313" i="25"/>
  <c r="DQ58" i="25"/>
  <c r="DN58" i="25"/>
  <c r="DW43" i="25"/>
  <c r="DQ250" i="25"/>
  <c r="DN250" i="25"/>
  <c r="DW181" i="25"/>
  <c r="DW194" i="25"/>
  <c r="DW14" i="25"/>
  <c r="DW37" i="25"/>
  <c r="DN134" i="25"/>
  <c r="DQ134" i="25"/>
  <c r="DN12" i="25"/>
  <c r="DQ12" i="25"/>
  <c r="DN240" i="25"/>
  <c r="DQ240" i="25"/>
  <c r="DN236" i="25"/>
  <c r="DQ236" i="25"/>
  <c r="DQ122" i="25"/>
  <c r="EY122" i="25" s="1"/>
  <c r="DN122" i="25"/>
  <c r="DN41" i="25"/>
  <c r="DQ41" i="25"/>
  <c r="DN249" i="25"/>
  <c r="DQ249" i="25"/>
  <c r="DN70" i="25"/>
  <c r="DQ70" i="25"/>
  <c r="EB134" i="25"/>
  <c r="EA134" i="25"/>
  <c r="DQ149" i="25"/>
  <c r="DN149" i="25"/>
  <c r="DN235" i="25"/>
  <c r="DQ235" i="25"/>
  <c r="EB163" i="25"/>
  <c r="EA163" i="25"/>
  <c r="EB63" i="25"/>
  <c r="EA63" i="25"/>
  <c r="DN17" i="25"/>
  <c r="DQ17" i="25"/>
  <c r="DQ255" i="25"/>
  <c r="DN255" i="25"/>
  <c r="EB61" i="25"/>
  <c r="EA61" i="25"/>
  <c r="DQ88" i="25"/>
  <c r="DN88" i="25"/>
  <c r="DW127" i="25"/>
  <c r="DN83" i="25"/>
  <c r="DQ83" i="25"/>
  <c r="EB41" i="25"/>
  <c r="EA41" i="25"/>
  <c r="DN9" i="25"/>
  <c r="DQ9" i="25"/>
  <c r="DN31" i="25"/>
  <c r="DQ31" i="25"/>
  <c r="EB123" i="25"/>
  <c r="EA123" i="25"/>
  <c r="DQ179" i="25"/>
  <c r="EY179" i="25" s="1"/>
  <c r="EB188" i="25"/>
  <c r="EA188" i="25"/>
  <c r="DQ204" i="25"/>
  <c r="DT204" i="25" s="1"/>
  <c r="DN204" i="25"/>
  <c r="EB117" i="25"/>
  <c r="EA117" i="25"/>
  <c r="DQ155" i="25"/>
  <c r="DN155" i="25"/>
  <c r="DQ196" i="25"/>
  <c r="DT196" i="25" s="1"/>
  <c r="DW173" i="25"/>
  <c r="DN30" i="25"/>
  <c r="DQ30" i="25"/>
  <c r="DQ115" i="25"/>
  <c r="DN115" i="25"/>
  <c r="DQ50" i="25"/>
  <c r="DN50" i="25"/>
  <c r="DN60" i="25"/>
  <c r="DQ60" i="25"/>
  <c r="DN251" i="25"/>
  <c r="DQ251" i="25"/>
  <c r="DN64" i="25"/>
  <c r="DQ64" i="25"/>
  <c r="DW138" i="25"/>
  <c r="DN294" i="25"/>
  <c r="DQ294" i="25"/>
  <c r="DQ6" i="25"/>
  <c r="DN6" i="25"/>
  <c r="DN197" i="25"/>
  <c r="DQ197" i="25"/>
  <c r="DT197" i="25" s="1"/>
  <c r="DQ124" i="25"/>
  <c r="DN124" i="25"/>
  <c r="DN205" i="25"/>
  <c r="DQ205" i="25"/>
  <c r="DT205" i="25" s="1"/>
  <c r="DN176" i="25"/>
  <c r="DQ176" i="25"/>
  <c r="DN7" i="25"/>
  <c r="DQ7" i="25"/>
  <c r="DW15" i="25"/>
  <c r="DW141" i="25"/>
  <c r="DN185" i="25"/>
  <c r="DQ185" i="25"/>
  <c r="DQ218" i="25"/>
  <c r="DN218" i="25"/>
  <c r="DN222" i="25"/>
  <c r="DQ222" i="25"/>
  <c r="DQ238" i="25"/>
  <c r="DN238" i="25"/>
  <c r="EB205" i="25"/>
  <c r="EA205" i="25"/>
  <c r="DN167" i="25"/>
  <c r="DQ167" i="25"/>
  <c r="DN190" i="25"/>
  <c r="DQ190" i="25"/>
  <c r="FA190" i="25" s="1"/>
  <c r="DQ42" i="25"/>
  <c r="DN42" i="25"/>
  <c r="DW58" i="25"/>
  <c r="DQ284" i="25"/>
  <c r="DN284" i="25"/>
  <c r="EB44" i="25"/>
  <c r="EA44" i="25"/>
  <c r="DW24" i="25"/>
  <c r="DN180" i="25"/>
  <c r="DQ92" i="25"/>
  <c r="DT92" i="25" s="1"/>
  <c r="DN92" i="25"/>
  <c r="DW42" i="25"/>
  <c r="EB76" i="25"/>
  <c r="EA76" i="25"/>
  <c r="DN37" i="25"/>
  <c r="DQ37" i="25"/>
  <c r="DW119" i="25"/>
  <c r="DW137" i="25"/>
  <c r="DW92" i="25"/>
  <c r="DQ76" i="25"/>
  <c r="DN76" i="25"/>
  <c r="EA110" i="25"/>
  <c r="EB110" i="25"/>
  <c r="DW90" i="25"/>
  <c r="DQ305" i="25"/>
  <c r="DN305" i="25"/>
  <c r="EB140" i="25"/>
  <c r="EA140" i="25"/>
  <c r="EB20" i="25"/>
  <c r="EA20" i="25"/>
  <c r="EB32" i="25"/>
  <c r="EA32" i="25"/>
  <c r="DW156" i="25"/>
  <c r="DQ310" i="25"/>
  <c r="DN310" i="25"/>
  <c r="DW86" i="25"/>
  <c r="DQ125" i="25"/>
  <c r="DN125" i="25"/>
  <c r="EB182" i="25"/>
  <c r="EA182" i="25"/>
  <c r="EB204" i="25"/>
  <c r="EA204" i="25"/>
  <c r="DQ207" i="25"/>
  <c r="DT207" i="25" s="1"/>
  <c r="DN207" i="25"/>
  <c r="DN260" i="25"/>
  <c r="DQ260" i="25"/>
  <c r="DN239" i="25"/>
  <c r="DQ239" i="25"/>
  <c r="DQ47" i="25"/>
  <c r="DN47" i="25"/>
  <c r="DW79" i="25"/>
  <c r="DN40" i="25"/>
  <c r="DQ40" i="25"/>
  <c r="DQ208" i="25"/>
  <c r="DT208" i="25" s="1"/>
  <c r="DN208" i="25"/>
  <c r="EB201" i="25"/>
  <c r="EA201" i="25"/>
  <c r="EB149" i="25"/>
  <c r="EA149" i="25"/>
  <c r="EB150" i="25"/>
  <c r="EA150" i="25"/>
  <c r="DQ133" i="25"/>
  <c r="DN133" i="25"/>
  <c r="DN52" i="25"/>
  <c r="DQ52" i="25"/>
  <c r="DQ28" i="25"/>
  <c r="DN28" i="25"/>
  <c r="DN45" i="25"/>
  <c r="DQ45" i="25"/>
  <c r="DW47" i="25"/>
  <c r="EB144" i="25"/>
  <c r="EA144" i="25"/>
  <c r="DW27" i="25"/>
  <c r="DW40" i="25"/>
  <c r="EB6" i="25"/>
  <c r="EA6" i="25"/>
  <c r="EB57" i="25"/>
  <c r="EA57" i="25"/>
  <c r="EB28" i="25"/>
  <c r="EA28" i="25"/>
  <c r="DQ94" i="25"/>
  <c r="DT94" i="25" s="1"/>
  <c r="DN94" i="25"/>
  <c r="EB162" i="25"/>
  <c r="EA162" i="25"/>
  <c r="DN15" i="25"/>
  <c r="DQ15" i="25"/>
  <c r="DN158" i="25"/>
  <c r="DQ158" i="25"/>
  <c r="EJ158" i="25" s="1"/>
  <c r="DQ141" i="25"/>
  <c r="DN141" i="25"/>
  <c r="DN270" i="25"/>
  <c r="DQ270" i="25"/>
  <c r="DW129" i="25"/>
  <c r="EB186" i="25"/>
  <c r="EA186" i="25"/>
  <c r="EB116" i="25"/>
  <c r="EA116" i="25"/>
  <c r="DN172" i="25"/>
  <c r="DQ172" i="25"/>
  <c r="DN288" i="25"/>
  <c r="DQ288" i="25"/>
  <c r="DQ102" i="25"/>
  <c r="DT102" i="25" s="1"/>
  <c r="DN102" i="25"/>
  <c r="EB75" i="25"/>
  <c r="EA75" i="25"/>
  <c r="DN118" i="25"/>
  <c r="DQ118" i="25"/>
  <c r="EB113" i="25"/>
  <c r="EA113" i="25"/>
  <c r="EB209" i="25"/>
  <c r="EA209" i="25"/>
  <c r="DQ281" i="25"/>
  <c r="DN281" i="25"/>
  <c r="EB104" i="25"/>
  <c r="EA104" i="25"/>
  <c r="DN91" i="25"/>
  <c r="DQ91" i="25"/>
  <c r="DT91" i="25" s="1"/>
  <c r="DQ232" i="25"/>
  <c r="DN232" i="25"/>
  <c r="DW33" i="25"/>
  <c r="DQ82" i="25"/>
  <c r="DN82" i="25"/>
  <c r="DW147" i="25"/>
  <c r="DW199" i="25"/>
  <c r="DQ154" i="25"/>
  <c r="DN154" i="25"/>
  <c r="DN160" i="25"/>
  <c r="DQ160" i="25"/>
  <c r="DQ63" i="25"/>
  <c r="DN63" i="25"/>
  <c r="EB184" i="25"/>
  <c r="EA184" i="25"/>
  <c r="DQ192" i="25"/>
  <c r="DN192" i="25"/>
  <c r="DW169" i="25"/>
  <c r="DW25" i="25"/>
  <c r="EB82" i="25"/>
  <c r="EA82" i="25"/>
  <c r="DQ203" i="25"/>
  <c r="DT203" i="25" s="1"/>
  <c r="DN203" i="25"/>
  <c r="DQ65" i="25"/>
  <c r="DN65" i="25"/>
  <c r="DW87" i="25"/>
  <c r="DN100" i="25"/>
  <c r="DQ100" i="25"/>
  <c r="DT100" i="25" s="1"/>
  <c r="DQ248" i="25"/>
  <c r="DN248" i="25"/>
  <c r="DW208" i="25"/>
  <c r="DQ279" i="25"/>
  <c r="DN279" i="25"/>
  <c r="DN177" i="25"/>
  <c r="DQ177" i="25"/>
  <c r="EJ177" i="25" s="1"/>
  <c r="DQ188" i="25"/>
  <c r="DN188" i="25"/>
  <c r="DQ146" i="25"/>
  <c r="DN146" i="25"/>
  <c r="DN277" i="25"/>
  <c r="DQ277" i="25"/>
  <c r="DN292" i="25"/>
  <c r="DQ292" i="25"/>
  <c r="DN27" i="25"/>
  <c r="DQ27" i="25"/>
  <c r="DW70" i="25"/>
  <c r="DN253" i="25"/>
  <c r="DQ253" i="25"/>
  <c r="EB22" i="25"/>
  <c r="EA22" i="25"/>
  <c r="DQ145" i="25"/>
  <c r="EJ145" i="25" s="1"/>
  <c r="DN145" i="25"/>
  <c r="EB125" i="25"/>
  <c r="EA125" i="25"/>
  <c r="DW17" i="25"/>
  <c r="DQ56" i="25"/>
  <c r="DN56" i="25"/>
  <c r="DW99" i="25"/>
  <c r="DN54" i="25"/>
  <c r="DQ54" i="25"/>
  <c r="DQ93" i="25"/>
  <c r="DT93" i="25" s="1"/>
  <c r="DN93" i="25"/>
  <c r="DQ161" i="25"/>
  <c r="DN161" i="25"/>
  <c r="EB52" i="25"/>
  <c r="EA52" i="25"/>
  <c r="DN223" i="25"/>
  <c r="DQ223" i="25"/>
  <c r="EB151" i="25"/>
  <c r="EA151" i="25"/>
  <c r="DN165" i="25"/>
  <c r="DQ165" i="25"/>
  <c r="EB114" i="25"/>
  <c r="EA114" i="25"/>
  <c r="DQ164" i="25"/>
  <c r="DN164" i="25"/>
  <c r="DQ306" i="25"/>
  <c r="DN306" i="25"/>
  <c r="DQ228" i="25"/>
  <c r="DN228" i="25"/>
  <c r="DW72" i="25"/>
  <c r="DQ290" i="25"/>
  <c r="DN290" i="25"/>
  <c r="DQ136" i="25"/>
  <c r="DN136" i="25"/>
  <c r="EB94" i="25"/>
  <c r="EA94" i="25"/>
  <c r="DQ262" i="25"/>
  <c r="DN269" i="25"/>
  <c r="DQ269" i="25"/>
  <c r="DW193" i="25"/>
  <c r="DQ129" i="25"/>
  <c r="DN129" i="25"/>
  <c r="DW136" i="25"/>
  <c r="DQ104" i="25"/>
  <c r="DT104" i="25" s="1"/>
  <c r="DN104" i="25"/>
  <c r="EB19" i="25"/>
  <c r="EA19" i="25"/>
  <c r="DQ147" i="25"/>
  <c r="EJ147" i="25" s="1"/>
  <c r="DN147" i="25"/>
  <c r="DN97" i="25"/>
  <c r="DQ97" i="25"/>
  <c r="DT97" i="25" s="1"/>
  <c r="EB202" i="25"/>
  <c r="EA202" i="25"/>
  <c r="DW34" i="25"/>
  <c r="DQ308" i="25"/>
  <c r="DN308" i="25"/>
  <c r="DN90" i="25"/>
  <c r="DQ90" i="25"/>
  <c r="DQ258" i="25"/>
  <c r="DN258" i="25"/>
  <c r="EB26" i="25"/>
  <c r="EA26" i="25"/>
  <c r="EB192" i="25"/>
  <c r="EA192" i="25"/>
  <c r="DQ169" i="25"/>
  <c r="DN169" i="25"/>
  <c r="DW81" i="25"/>
  <c r="DQ25" i="25"/>
  <c r="DN25" i="25"/>
  <c r="DW191" i="25"/>
  <c r="DN267" i="25"/>
  <c r="DQ267" i="25"/>
  <c r="DN156" i="25"/>
  <c r="DQ156" i="25"/>
  <c r="DN23" i="25"/>
  <c r="DQ23" i="25"/>
  <c r="DN89" i="25"/>
  <c r="DQ89" i="25"/>
  <c r="DN130" i="25"/>
  <c r="DQ130" i="25"/>
  <c r="EB198" i="25"/>
  <c r="EA198" i="25"/>
  <c r="DQ194" i="25"/>
  <c r="DT194" i="25" s="1"/>
  <c r="DN194" i="25"/>
  <c r="DW98" i="25"/>
  <c r="DN289" i="25"/>
  <c r="DQ289" i="25"/>
  <c r="DN22" i="25"/>
  <c r="DQ22" i="25"/>
  <c r="DQ297" i="25"/>
  <c r="DN297" i="25"/>
  <c r="DN264" i="25"/>
  <c r="DQ264" i="25"/>
  <c r="DQ32" i="25"/>
  <c r="DN32" i="25"/>
  <c r="DN166" i="25"/>
  <c r="DQ166" i="25"/>
  <c r="DW100" i="25"/>
  <c r="DQ153" i="25"/>
  <c r="DN153" i="25"/>
  <c r="DN301" i="25"/>
  <c r="DQ301" i="25"/>
  <c r="EB85" i="25"/>
  <c r="EA85" i="25"/>
  <c r="DN291" i="25"/>
  <c r="DQ291" i="25"/>
  <c r="DW210" i="25"/>
  <c r="DW83" i="25"/>
  <c r="DN217" i="25"/>
  <c r="DQ217" i="25"/>
  <c r="DQ307" i="25"/>
  <c r="DN307" i="25"/>
  <c r="EB36" i="25"/>
  <c r="EA36" i="25"/>
  <c r="DN229" i="25"/>
  <c r="DQ229" i="25"/>
  <c r="DQ74" i="25"/>
  <c r="DN74" i="25"/>
  <c r="EB172" i="25"/>
  <c r="EA172" i="25"/>
  <c r="EB155" i="25"/>
  <c r="EA155" i="25"/>
  <c r="DQ226" i="25"/>
  <c r="DN226" i="25"/>
  <c r="DN231" i="25"/>
  <c r="DQ231" i="25"/>
  <c r="DQ132" i="25"/>
  <c r="DN132" i="25"/>
  <c r="DQ127" i="25"/>
  <c r="FA127" i="25" s="1"/>
  <c r="DQ135" i="25"/>
  <c r="DN135" i="25"/>
  <c r="DW93" i="25"/>
  <c r="DQ77" i="25"/>
  <c r="DN77" i="25"/>
  <c r="DQ101" i="25"/>
  <c r="DT101" i="25" s="1"/>
  <c r="DN101" i="25"/>
  <c r="DW74" i="25"/>
  <c r="DQ114" i="25"/>
  <c r="DN114" i="25"/>
  <c r="DN80" i="25"/>
  <c r="DQ80" i="25"/>
  <c r="EB132" i="25"/>
  <c r="EA132" i="25"/>
  <c r="DQ44" i="25"/>
  <c r="DN44" i="25"/>
  <c r="EB11" i="25"/>
  <c r="EA11" i="25"/>
  <c r="EB152" i="25"/>
  <c r="EA152" i="25"/>
  <c r="DQ180" i="25"/>
  <c r="EB18" i="25"/>
  <c r="EA18" i="25"/>
  <c r="DN8" i="25"/>
  <c r="DQ8" i="25"/>
  <c r="DQ219" i="25"/>
  <c r="DN219" i="25"/>
  <c r="DN72" i="24"/>
  <c r="DX72" i="24" s="1"/>
  <c r="DN64" i="24"/>
  <c r="DZ64" i="24" s="1"/>
  <c r="DN57" i="24"/>
  <c r="DZ57" i="24" s="1"/>
  <c r="DN46" i="24"/>
  <c r="DX46" i="24" s="1"/>
  <c r="DN9" i="24"/>
  <c r="DZ9" i="24" s="1"/>
  <c r="DN45" i="24"/>
  <c r="DZ45" i="24" s="1"/>
  <c r="DN7" i="24"/>
  <c r="DZ7" i="24" s="1"/>
  <c r="DN59" i="24"/>
  <c r="DX59" i="24" s="1"/>
  <c r="DN20" i="24"/>
  <c r="DX20" i="24" s="1"/>
  <c r="DN140" i="24"/>
  <c r="DX140" i="24" s="1"/>
  <c r="DN233" i="24"/>
  <c r="DN19" i="24"/>
  <c r="DX19" i="24" s="1"/>
  <c r="DN58" i="24"/>
  <c r="DX58" i="24" s="1"/>
  <c r="DN303" i="24"/>
  <c r="DN49" i="24"/>
  <c r="DX49" i="24" s="1"/>
  <c r="DN143" i="24"/>
  <c r="DX143" i="24" s="1"/>
  <c r="DN245" i="24"/>
  <c r="DN297" i="24"/>
  <c r="DN12" i="24"/>
  <c r="DX12" i="24" s="1"/>
  <c r="DN295" i="24"/>
  <c r="DN125" i="24"/>
  <c r="DX125" i="24" s="1"/>
  <c r="DN313" i="24"/>
  <c r="DN28" i="24"/>
  <c r="DX28" i="24" s="1"/>
  <c r="DN166" i="24"/>
  <c r="DX166" i="24" s="1"/>
  <c r="DN315" i="24"/>
  <c r="DN36" i="24"/>
  <c r="DZ36" i="24" s="1"/>
  <c r="DN286" i="24"/>
  <c r="DN31" i="24"/>
  <c r="DZ31" i="24" s="1"/>
  <c r="DN246" i="24"/>
  <c r="DN34" i="24"/>
  <c r="DX34" i="24" s="1"/>
  <c r="DN11" i="24"/>
  <c r="DZ11" i="24" s="1"/>
  <c r="DN311" i="24"/>
  <c r="DN282" i="24"/>
  <c r="DN38" i="24"/>
  <c r="DX38" i="24" s="1"/>
  <c r="DN178" i="24"/>
  <c r="DX178" i="24" s="1"/>
  <c r="DN144" i="24"/>
  <c r="DX144" i="24" s="1"/>
  <c r="DN266" i="24"/>
  <c r="DN200" i="24"/>
  <c r="DX200" i="24" s="1"/>
  <c r="DN105" i="24"/>
  <c r="DZ105" i="24" s="1"/>
  <c r="DN316" i="24"/>
  <c r="DN101" i="24"/>
  <c r="DZ101" i="24" s="1"/>
  <c r="DN153" i="24"/>
  <c r="DX153" i="24" s="1"/>
  <c r="DN18" i="24"/>
  <c r="DZ18" i="24" s="1"/>
  <c r="DN265" i="24"/>
  <c r="DN182" i="24"/>
  <c r="DX182" i="24" s="1"/>
  <c r="DN263" i="24"/>
  <c r="DN32" i="24"/>
  <c r="DX32" i="24" s="1"/>
  <c r="DN87" i="24"/>
  <c r="DZ87" i="24" s="1"/>
  <c r="DN232" i="24"/>
  <c r="DN118" i="24"/>
  <c r="DX118" i="24" s="1"/>
  <c r="DN247" i="24"/>
  <c r="DN141" i="24"/>
  <c r="DX141" i="24" s="1"/>
  <c r="DN251" i="24"/>
  <c r="DN82" i="24"/>
  <c r="DX82" i="24" s="1"/>
  <c r="DN285" i="24"/>
  <c r="DN17" i="24"/>
  <c r="DZ17" i="24" s="1"/>
  <c r="DN120" i="24"/>
  <c r="DX120" i="24" s="1"/>
  <c r="DN148" i="24"/>
  <c r="DX148" i="24" s="1"/>
  <c r="DN102" i="24"/>
  <c r="DX102" i="24" s="1"/>
  <c r="DN274" i="24"/>
  <c r="DN238" i="24"/>
  <c r="DN188" i="24"/>
  <c r="DX188" i="24" s="1"/>
  <c r="DN304" i="24"/>
  <c r="DN6" i="24"/>
  <c r="DX6" i="24" s="1"/>
  <c r="DN220" i="24"/>
  <c r="DN261" i="24"/>
  <c r="DN90" i="24"/>
  <c r="DX90" i="24" s="1"/>
  <c r="DN259" i="24"/>
  <c r="DN15" i="24"/>
  <c r="DX15" i="24" s="1"/>
  <c r="DN222" i="24"/>
  <c r="DN56" i="24"/>
  <c r="DZ56" i="24" s="1"/>
  <c r="DN294" i="24"/>
  <c r="DN287" i="24"/>
  <c r="DN280" i="24"/>
  <c r="DN229" i="24"/>
  <c r="DN252" i="24"/>
  <c r="DN236" i="24"/>
  <c r="DN195" i="24"/>
  <c r="DX195" i="24" s="1"/>
  <c r="DN293" i="24"/>
  <c r="DN92" i="24"/>
  <c r="DZ92" i="24" s="1"/>
  <c r="DN21" i="24"/>
  <c r="DZ21" i="24" s="1"/>
  <c r="DN194" i="24"/>
  <c r="DX194" i="24" s="1"/>
  <c r="DN276" i="24"/>
  <c r="DN88" i="24"/>
  <c r="DZ88" i="24" s="1"/>
  <c r="DN204" i="24"/>
  <c r="DX204" i="24" s="1"/>
  <c r="DN189" i="24"/>
  <c r="DX189" i="24" s="1"/>
  <c r="DN119" i="24"/>
  <c r="DX119" i="24" s="1"/>
  <c r="DN262" i="24"/>
  <c r="DN292" i="24"/>
  <c r="DN96" i="24"/>
  <c r="DX96" i="24" s="1"/>
  <c r="DN241" i="24"/>
  <c r="DN73" i="24"/>
  <c r="DX73" i="24" s="1"/>
  <c r="DN225" i="24"/>
  <c r="DN51" i="24"/>
  <c r="DX51" i="24" s="1"/>
  <c r="DN180" i="24"/>
  <c r="DX180" i="24" s="1"/>
  <c r="DN22" i="24"/>
  <c r="DX22" i="24" s="1"/>
  <c r="DN308" i="24"/>
  <c r="DN121" i="24"/>
  <c r="DX121" i="24" s="1"/>
  <c r="DN235" i="24"/>
  <c r="DN289" i="24"/>
  <c r="DK165" i="24"/>
  <c r="DJ165" i="24"/>
  <c r="DK33" i="24"/>
  <c r="DJ33" i="24"/>
  <c r="DK34" i="24"/>
  <c r="DJ34" i="24"/>
  <c r="DK303" i="24"/>
  <c r="DJ303" i="24"/>
  <c r="DK226" i="24"/>
  <c r="DJ226" i="24"/>
  <c r="DK186" i="24"/>
  <c r="DJ186" i="24"/>
  <c r="DK135" i="24"/>
  <c r="DJ135" i="24"/>
  <c r="DN81" i="24"/>
  <c r="DN150" i="24"/>
  <c r="DN193" i="24"/>
  <c r="DK247" i="24"/>
  <c r="DJ247" i="24"/>
  <c r="DK125" i="24"/>
  <c r="DJ125" i="24"/>
  <c r="DK305" i="24"/>
  <c r="DJ305" i="24"/>
  <c r="DN71" i="24"/>
  <c r="DN33" i="24"/>
  <c r="DK57" i="24"/>
  <c r="DJ57" i="24"/>
  <c r="DN35" i="24"/>
  <c r="DK169" i="24"/>
  <c r="DJ169" i="24"/>
  <c r="DK298" i="24"/>
  <c r="DJ298" i="24"/>
  <c r="DK45" i="24"/>
  <c r="DJ45" i="24"/>
  <c r="DN104" i="24"/>
  <c r="DN37" i="24"/>
  <c r="DN239" i="24"/>
  <c r="DK293" i="24"/>
  <c r="DJ293" i="24"/>
  <c r="DK131" i="24"/>
  <c r="DJ131" i="24"/>
  <c r="DK62" i="24"/>
  <c r="DJ62" i="24"/>
  <c r="DN52" i="24"/>
  <c r="DK221" i="24"/>
  <c r="DJ221" i="24"/>
  <c r="DK102" i="24"/>
  <c r="DJ102" i="24"/>
  <c r="DK130" i="24"/>
  <c r="DJ130" i="24"/>
  <c r="DK76" i="24"/>
  <c r="DJ76" i="24"/>
  <c r="DK117" i="24"/>
  <c r="DJ117" i="24"/>
  <c r="DK191" i="24"/>
  <c r="DJ191" i="24"/>
  <c r="DK266" i="24"/>
  <c r="DJ266" i="24"/>
  <c r="DN54" i="24"/>
  <c r="DN159" i="24"/>
  <c r="DK200" i="24"/>
  <c r="DJ200" i="24"/>
  <c r="DK177" i="24"/>
  <c r="DJ177" i="24"/>
  <c r="DK194" i="24"/>
  <c r="DJ194" i="24"/>
  <c r="DK74" i="24"/>
  <c r="DJ74" i="24"/>
  <c r="DK138" i="24"/>
  <c r="DJ138" i="24"/>
  <c r="DN147" i="24"/>
  <c r="DN127" i="24"/>
  <c r="DK170" i="24"/>
  <c r="DJ170" i="24"/>
  <c r="DN183" i="24"/>
  <c r="DN228" i="24"/>
  <c r="DK217" i="24"/>
  <c r="DJ217" i="24"/>
  <c r="DN269" i="24"/>
  <c r="DN152" i="24"/>
  <c r="DK16" i="24"/>
  <c r="DJ16" i="24"/>
  <c r="DK175" i="24"/>
  <c r="DJ175" i="24"/>
  <c r="DN63" i="24"/>
  <c r="DN128" i="24"/>
  <c r="DK96" i="24"/>
  <c r="DJ96" i="24"/>
  <c r="DN242" i="24"/>
  <c r="DK172" i="24"/>
  <c r="DJ172" i="24"/>
  <c r="DN83" i="24"/>
  <c r="DN281" i="24"/>
  <c r="DK160" i="24"/>
  <c r="DJ160" i="24"/>
  <c r="DK272" i="24"/>
  <c r="DJ272" i="24"/>
  <c r="DN279" i="24"/>
  <c r="DK31" i="24"/>
  <c r="DJ31" i="24"/>
  <c r="DN30" i="24"/>
  <c r="DN41" i="24"/>
  <c r="DN226" i="24"/>
  <c r="DK291" i="24"/>
  <c r="DJ291" i="24"/>
  <c r="DN40" i="24"/>
  <c r="DN186" i="24"/>
  <c r="DN99" i="24"/>
  <c r="DK61" i="24"/>
  <c r="DJ61" i="24"/>
  <c r="DK251" i="24"/>
  <c r="DJ251" i="24"/>
  <c r="DK82" i="24"/>
  <c r="DJ82" i="24"/>
  <c r="DN267" i="24"/>
  <c r="DN224" i="24"/>
  <c r="DK234" i="24"/>
  <c r="DJ234" i="24"/>
  <c r="DK89" i="24"/>
  <c r="DJ89" i="24"/>
  <c r="DN60" i="24"/>
  <c r="DK137" i="24"/>
  <c r="DJ137" i="24"/>
  <c r="DK79" i="24"/>
  <c r="DJ79" i="24"/>
  <c r="DK81" i="24"/>
  <c r="DJ81" i="24"/>
  <c r="DK248" i="24"/>
  <c r="DJ248" i="24"/>
  <c r="DK85" i="24"/>
  <c r="DJ85" i="24"/>
  <c r="DK148" i="24"/>
  <c r="DJ148" i="24"/>
  <c r="DK219" i="24"/>
  <c r="DJ219" i="24"/>
  <c r="DK183" i="24"/>
  <c r="DJ183" i="24"/>
  <c r="DK166" i="24"/>
  <c r="DJ166" i="24"/>
  <c r="DK150" i="24"/>
  <c r="DJ150" i="24"/>
  <c r="DN142" i="24"/>
  <c r="DN305" i="24"/>
  <c r="DK229" i="24"/>
  <c r="DJ229" i="24"/>
  <c r="DN55" i="24"/>
  <c r="DK71" i="24"/>
  <c r="DJ71" i="24"/>
  <c r="DK233" i="24"/>
  <c r="DJ233" i="24"/>
  <c r="DN298" i="24"/>
  <c r="DK86" i="24"/>
  <c r="DJ86" i="24"/>
  <c r="DK104" i="24"/>
  <c r="DJ104" i="24"/>
  <c r="DJ37" i="24"/>
  <c r="DK37" i="24"/>
  <c r="DK310" i="24"/>
  <c r="DJ310" i="24"/>
  <c r="DK178" i="24"/>
  <c r="DJ178" i="24"/>
  <c r="DK144" i="24"/>
  <c r="DJ144" i="24"/>
  <c r="DK239" i="24"/>
  <c r="DJ239" i="24"/>
  <c r="DN62" i="24"/>
  <c r="DK12" i="24"/>
  <c r="DJ12" i="24"/>
  <c r="DK159" i="24"/>
  <c r="DJ159" i="24"/>
  <c r="DK306" i="24"/>
  <c r="DJ306" i="24"/>
  <c r="DN177" i="24"/>
  <c r="DK78" i="24"/>
  <c r="DJ78" i="24"/>
  <c r="DN138" i="24"/>
  <c r="DK147" i="24"/>
  <c r="DJ147" i="24"/>
  <c r="DN170" i="24"/>
  <c r="DK228" i="24"/>
  <c r="DJ228" i="24"/>
  <c r="DK116" i="24"/>
  <c r="DJ116" i="24"/>
  <c r="DK263" i="24"/>
  <c r="DJ263" i="24"/>
  <c r="DK269" i="24"/>
  <c r="DJ269" i="24"/>
  <c r="DK152" i="24"/>
  <c r="DJ152" i="24"/>
  <c r="DN175" i="24"/>
  <c r="DK63" i="24"/>
  <c r="DJ63" i="24"/>
  <c r="DK128" i="24"/>
  <c r="DJ128" i="24"/>
  <c r="DK242" i="24"/>
  <c r="DJ242" i="24"/>
  <c r="DN172" i="24"/>
  <c r="DK83" i="24"/>
  <c r="DJ83" i="24"/>
  <c r="DK281" i="24"/>
  <c r="DJ281" i="24"/>
  <c r="DN160" i="24"/>
  <c r="DN272" i="24"/>
  <c r="DK30" i="24"/>
  <c r="DJ30" i="24"/>
  <c r="DK255" i="24"/>
  <c r="DJ255" i="24"/>
  <c r="DK41" i="24"/>
  <c r="DJ41" i="24"/>
  <c r="DK40" i="24"/>
  <c r="DJ40" i="24"/>
  <c r="DK99" i="24"/>
  <c r="DJ99" i="24"/>
  <c r="DN61" i="24"/>
  <c r="DJ224" i="24"/>
  <c r="DK224" i="24"/>
  <c r="DN89" i="24"/>
  <c r="DK60" i="24"/>
  <c r="DJ60" i="24"/>
  <c r="DK232" i="24"/>
  <c r="DJ232" i="24"/>
  <c r="DK59" i="24"/>
  <c r="DJ59" i="24"/>
  <c r="DK262" i="24"/>
  <c r="DJ262" i="24"/>
  <c r="DK286" i="24"/>
  <c r="DJ286" i="24"/>
  <c r="DK90" i="24"/>
  <c r="DJ90" i="24"/>
  <c r="DK203" i="24"/>
  <c r="DJ203" i="24"/>
  <c r="DK142" i="24"/>
  <c r="DJ142" i="24"/>
  <c r="DK55" i="24"/>
  <c r="DJ55" i="24"/>
  <c r="DK140" i="24"/>
  <c r="DJ140" i="24"/>
  <c r="DK7" i="24"/>
  <c r="DJ7" i="24"/>
  <c r="DK236" i="24"/>
  <c r="DJ236" i="24"/>
  <c r="DK243" i="24"/>
  <c r="DJ243" i="24"/>
  <c r="DK38" i="24"/>
  <c r="DJ38" i="24"/>
  <c r="DK225" i="24"/>
  <c r="DJ225" i="24"/>
  <c r="DK92" i="24"/>
  <c r="DJ92" i="24"/>
  <c r="DK143" i="24"/>
  <c r="DJ143" i="24"/>
  <c r="DK198" i="24"/>
  <c r="DJ198" i="24"/>
  <c r="DK206" i="24"/>
  <c r="DJ206" i="24"/>
  <c r="DK19" i="24"/>
  <c r="DJ19" i="24"/>
  <c r="DK127" i="24"/>
  <c r="DJ127" i="24"/>
  <c r="DK182" i="24"/>
  <c r="DJ182" i="24"/>
  <c r="DK179" i="24"/>
  <c r="DJ179" i="24"/>
  <c r="DK300" i="24"/>
  <c r="DJ300" i="24"/>
  <c r="DK258" i="24"/>
  <c r="DJ258" i="24"/>
  <c r="DK105" i="24"/>
  <c r="DJ105" i="24"/>
  <c r="DK245" i="24"/>
  <c r="DJ245" i="24"/>
  <c r="DK297" i="24"/>
  <c r="DJ297" i="24"/>
  <c r="DK184" i="24"/>
  <c r="DJ184" i="24"/>
  <c r="DK308" i="24"/>
  <c r="DJ308" i="24"/>
  <c r="DK121" i="24"/>
  <c r="DJ121" i="24"/>
  <c r="DK43" i="24"/>
  <c r="DJ43" i="24"/>
  <c r="DK10" i="24"/>
  <c r="DJ10" i="24"/>
  <c r="DK273" i="24"/>
  <c r="DJ273" i="24"/>
  <c r="DK235" i="24"/>
  <c r="DJ235" i="24"/>
  <c r="DK94" i="24"/>
  <c r="DJ94" i="24"/>
  <c r="DK289" i="24"/>
  <c r="DJ289" i="24"/>
  <c r="DK72" i="24"/>
  <c r="DJ72" i="24"/>
  <c r="DK207" i="24"/>
  <c r="DJ207" i="24"/>
  <c r="DK312" i="24"/>
  <c r="DJ312" i="24"/>
  <c r="DK254" i="24"/>
  <c r="DJ254" i="24"/>
  <c r="DK27" i="24"/>
  <c r="DJ27" i="24"/>
  <c r="DK181" i="24"/>
  <c r="DJ181" i="24"/>
  <c r="DK118" i="24"/>
  <c r="DJ118" i="24"/>
  <c r="DK193" i="24"/>
  <c r="DJ193" i="24"/>
  <c r="DK139" i="24"/>
  <c r="DJ139" i="24"/>
  <c r="DK120" i="24"/>
  <c r="DJ120" i="24"/>
  <c r="DK54" i="24"/>
  <c r="DJ54" i="24"/>
  <c r="DK149" i="24"/>
  <c r="DJ149" i="24"/>
  <c r="DK9" i="24"/>
  <c r="DJ9" i="24"/>
  <c r="DK64" i="24"/>
  <c r="DJ64" i="24"/>
  <c r="DK292" i="24"/>
  <c r="DJ292" i="24"/>
  <c r="DK315" i="24"/>
  <c r="DJ315" i="24"/>
  <c r="DN302" i="24"/>
  <c r="DK161" i="24"/>
  <c r="DJ161" i="24"/>
  <c r="DN253" i="24"/>
  <c r="DK167" i="24"/>
  <c r="DJ167" i="24"/>
  <c r="DN190" i="24"/>
  <c r="DK294" i="24"/>
  <c r="DJ294" i="24"/>
  <c r="DK287" i="24"/>
  <c r="DJ287" i="24"/>
  <c r="DK280" i="24"/>
  <c r="DJ280" i="24"/>
  <c r="DN154" i="24"/>
  <c r="DK252" i="24"/>
  <c r="DJ252" i="24"/>
  <c r="DK176" i="24"/>
  <c r="DJ176" i="24"/>
  <c r="DK285" i="24"/>
  <c r="DJ285" i="24"/>
  <c r="DK67" i="24"/>
  <c r="DJ67" i="24"/>
  <c r="DN25" i="24"/>
  <c r="DK124" i="24"/>
  <c r="DJ124" i="24"/>
  <c r="DN114" i="24"/>
  <c r="DN230" i="24"/>
  <c r="DK49" i="24"/>
  <c r="DJ49" i="24"/>
  <c r="DN132" i="24"/>
  <c r="DK187" i="24"/>
  <c r="DJ187" i="24"/>
  <c r="DN50" i="24"/>
  <c r="DN268" i="24"/>
  <c r="DK218" i="24"/>
  <c r="DJ218" i="24"/>
  <c r="DN270" i="24"/>
  <c r="DK156" i="24"/>
  <c r="DJ156" i="24"/>
  <c r="DN260" i="24"/>
  <c r="DK274" i="24"/>
  <c r="DJ274" i="24"/>
  <c r="DN296" i="24"/>
  <c r="DK314" i="24"/>
  <c r="DJ314" i="24"/>
  <c r="DK237" i="24"/>
  <c r="DJ237" i="24"/>
  <c r="DN77" i="24"/>
  <c r="DN111" i="24"/>
  <c r="DN185" i="24"/>
  <c r="DN164" i="24"/>
  <c r="DN202" i="24"/>
  <c r="DK95" i="24"/>
  <c r="DJ95" i="24"/>
  <c r="DK301" i="24"/>
  <c r="DJ301" i="24"/>
  <c r="DN13" i="24"/>
  <c r="DN300" i="24"/>
  <c r="DN258" i="24"/>
  <c r="DK32" i="24"/>
  <c r="DJ32" i="24"/>
  <c r="DK87" i="24"/>
  <c r="DJ87" i="24"/>
  <c r="DK316" i="24"/>
  <c r="DJ316" i="24"/>
  <c r="DK101" i="24"/>
  <c r="DJ101" i="24"/>
  <c r="DN65" i="24"/>
  <c r="DN174" i="24"/>
  <c r="DN249" i="24"/>
  <c r="DK192" i="24"/>
  <c r="DJ192" i="24"/>
  <c r="DK153" i="24"/>
  <c r="DJ153" i="24"/>
  <c r="DK18" i="24"/>
  <c r="DJ18" i="24"/>
  <c r="DN44" i="24"/>
  <c r="DK265" i="24"/>
  <c r="DJ265" i="24"/>
  <c r="DN8" i="24"/>
  <c r="DK97" i="24"/>
  <c r="DJ97" i="24"/>
  <c r="DN171" i="24"/>
  <c r="DK136" i="24"/>
  <c r="DJ136" i="24"/>
  <c r="DK264" i="24"/>
  <c r="DJ264" i="24"/>
  <c r="DN98" i="24"/>
  <c r="DJ162" i="24"/>
  <c r="DK162" i="24"/>
  <c r="DN43" i="24"/>
  <c r="DN10" i="24"/>
  <c r="DK129" i="24"/>
  <c r="DJ129" i="24"/>
  <c r="DK201" i="24"/>
  <c r="DJ201" i="24"/>
  <c r="DK241" i="24"/>
  <c r="DJ241" i="24"/>
  <c r="DK73" i="24"/>
  <c r="DJ73" i="24"/>
  <c r="DN29" i="24"/>
  <c r="DN112" i="24"/>
  <c r="DN197" i="24"/>
  <c r="DK75" i="24"/>
  <c r="DJ75" i="24"/>
  <c r="DK52" i="24"/>
  <c r="DJ52" i="24"/>
  <c r="DK69" i="24"/>
  <c r="DJ69" i="24"/>
  <c r="DK302" i="24"/>
  <c r="DJ302" i="24"/>
  <c r="DN161" i="24"/>
  <c r="DK253" i="24"/>
  <c r="DJ253" i="24"/>
  <c r="DN167" i="24"/>
  <c r="DK190" i="24"/>
  <c r="DJ190" i="24"/>
  <c r="DN209" i="24"/>
  <c r="DN68" i="24"/>
  <c r="DN24" i="24"/>
  <c r="DK154" i="24"/>
  <c r="DJ154" i="24"/>
  <c r="DN42" i="24"/>
  <c r="DN288" i="24"/>
  <c r="DK48" i="24"/>
  <c r="DJ48" i="24"/>
  <c r="DN240" i="24"/>
  <c r="DN244" i="24"/>
  <c r="DN67" i="24"/>
  <c r="DK25" i="24"/>
  <c r="DJ25" i="24"/>
  <c r="DN124" i="24"/>
  <c r="DN23" i="24"/>
  <c r="DN227" i="24"/>
  <c r="DK114" i="24"/>
  <c r="DJ114" i="24"/>
  <c r="DK230" i="24"/>
  <c r="DJ230" i="24"/>
  <c r="DK132" i="24"/>
  <c r="DJ132" i="24"/>
  <c r="DK14" i="24"/>
  <c r="DJ14" i="24"/>
  <c r="DK250" i="24"/>
  <c r="DJ250" i="24"/>
  <c r="DK50" i="24"/>
  <c r="DJ50" i="24"/>
  <c r="DK268" i="24"/>
  <c r="DJ268" i="24"/>
  <c r="DN218" i="24"/>
  <c r="DN134" i="24"/>
  <c r="DK270" i="24"/>
  <c r="DJ270" i="24"/>
  <c r="DK51" i="24"/>
  <c r="DJ51" i="24"/>
  <c r="DK223" i="24"/>
  <c r="DJ223" i="24"/>
  <c r="DK155" i="24"/>
  <c r="DJ155" i="24"/>
  <c r="DK199" i="24"/>
  <c r="DJ199" i="24"/>
  <c r="DK260" i="24"/>
  <c r="DJ260" i="24"/>
  <c r="DN26" i="24"/>
  <c r="DK296" i="24"/>
  <c r="DJ296" i="24"/>
  <c r="DN314" i="24"/>
  <c r="DK277" i="24"/>
  <c r="DJ277" i="24"/>
  <c r="DN257" i="24"/>
  <c r="DK77" i="24"/>
  <c r="DJ77" i="24"/>
  <c r="DK111" i="24"/>
  <c r="DJ111" i="24"/>
  <c r="DK185" i="24"/>
  <c r="DJ185" i="24"/>
  <c r="DK180" i="24"/>
  <c r="DJ180" i="24"/>
  <c r="DK22" i="24"/>
  <c r="DJ22" i="24"/>
  <c r="DK164" i="24"/>
  <c r="DJ164" i="24"/>
  <c r="DK202" i="24"/>
  <c r="DJ202" i="24"/>
  <c r="DJ88" i="24"/>
  <c r="DK88" i="24"/>
  <c r="DK13" i="24"/>
  <c r="DJ13" i="24"/>
  <c r="DN157" i="24"/>
  <c r="DN103" i="24"/>
  <c r="DN122" i="24"/>
  <c r="DK275" i="24"/>
  <c r="DJ275" i="24"/>
  <c r="DN231" i="24"/>
  <c r="DK65" i="24"/>
  <c r="DJ65" i="24"/>
  <c r="DK174" i="24"/>
  <c r="DJ174" i="24"/>
  <c r="DK249" i="24"/>
  <c r="DJ249" i="24"/>
  <c r="DN145" i="24"/>
  <c r="DN192" i="24"/>
  <c r="DN47" i="24"/>
  <c r="DK283" i="24"/>
  <c r="DJ283" i="24"/>
  <c r="DN307" i="24"/>
  <c r="DN70" i="24"/>
  <c r="DK44" i="24"/>
  <c r="DJ44" i="24"/>
  <c r="DK8" i="24"/>
  <c r="DJ8" i="24"/>
  <c r="DN53" i="24"/>
  <c r="DK133" i="24"/>
  <c r="DJ133" i="24"/>
  <c r="DK171" i="24"/>
  <c r="DJ171" i="24"/>
  <c r="DN136" i="24"/>
  <c r="DK98" i="24"/>
  <c r="DJ98" i="24"/>
  <c r="DN129" i="24"/>
  <c r="DN201" i="24"/>
  <c r="DN158" i="24"/>
  <c r="DK29" i="24"/>
  <c r="DJ29" i="24"/>
  <c r="DN309" i="24"/>
  <c r="DN123" i="24"/>
  <c r="DK290" i="24"/>
  <c r="DJ290" i="24"/>
  <c r="DN173" i="24"/>
  <c r="DN100" i="24"/>
  <c r="DK112" i="24"/>
  <c r="DJ112" i="24"/>
  <c r="DK80" i="24"/>
  <c r="DJ80" i="24"/>
  <c r="DK197" i="24"/>
  <c r="DJ197" i="24"/>
  <c r="DK113" i="24"/>
  <c r="DJ113" i="24"/>
  <c r="DK35" i="24"/>
  <c r="DJ35" i="24"/>
  <c r="DK311" i="24"/>
  <c r="DJ311" i="24"/>
  <c r="DK278" i="24"/>
  <c r="DJ278" i="24"/>
  <c r="DK36" i="24"/>
  <c r="DJ36" i="24"/>
  <c r="DK256" i="24"/>
  <c r="DJ256" i="24"/>
  <c r="DK267" i="24"/>
  <c r="DJ267" i="24"/>
  <c r="DK209" i="24"/>
  <c r="DJ209" i="24"/>
  <c r="DK68" i="24"/>
  <c r="DJ68" i="24"/>
  <c r="DK24" i="24"/>
  <c r="DJ24" i="24"/>
  <c r="DK42" i="24"/>
  <c r="DJ42" i="24"/>
  <c r="DK288" i="24"/>
  <c r="DJ288" i="24"/>
  <c r="DN48" i="24"/>
  <c r="DK11" i="24"/>
  <c r="DJ11" i="24"/>
  <c r="DK240" i="24"/>
  <c r="DJ240" i="24"/>
  <c r="DK244" i="24"/>
  <c r="DJ244" i="24"/>
  <c r="DK17" i="24"/>
  <c r="DJ17" i="24"/>
  <c r="DK39" i="24"/>
  <c r="DJ39" i="24"/>
  <c r="DK23" i="24"/>
  <c r="DJ23" i="24"/>
  <c r="DK227" i="24"/>
  <c r="DJ227" i="24"/>
  <c r="DN14" i="24"/>
  <c r="DN250" i="24"/>
  <c r="DK134" i="24"/>
  <c r="DJ134" i="24"/>
  <c r="DN223" i="24"/>
  <c r="DN155" i="24"/>
  <c r="DN199" i="24"/>
  <c r="DK26" i="24"/>
  <c r="DJ26" i="24"/>
  <c r="DN277" i="24"/>
  <c r="DK163" i="24"/>
  <c r="DJ163" i="24"/>
  <c r="DK257" i="24"/>
  <c r="DJ257" i="24"/>
  <c r="DK238" i="24"/>
  <c r="DJ238" i="24"/>
  <c r="DK157" i="24"/>
  <c r="DJ157" i="24"/>
  <c r="DK103" i="24"/>
  <c r="DJ103" i="24"/>
  <c r="DK122" i="24"/>
  <c r="DJ122" i="24"/>
  <c r="DK231" i="24"/>
  <c r="DJ231" i="24"/>
  <c r="DK145" i="24"/>
  <c r="DJ145" i="24"/>
  <c r="DK47" i="24"/>
  <c r="DJ47" i="24"/>
  <c r="DN283" i="24"/>
  <c r="DJ307" i="24"/>
  <c r="DK307" i="24"/>
  <c r="DK70" i="24"/>
  <c r="DJ70" i="24"/>
  <c r="DK284" i="24"/>
  <c r="DJ284" i="24"/>
  <c r="DK53" i="24"/>
  <c r="DJ53" i="24"/>
  <c r="DN133" i="24"/>
  <c r="DK93" i="24"/>
  <c r="DJ93" i="24"/>
  <c r="DN126" i="24"/>
  <c r="DK46" i="24"/>
  <c r="DJ46" i="24"/>
  <c r="DK84" i="24"/>
  <c r="DJ84" i="24"/>
  <c r="DK158" i="24"/>
  <c r="DJ158" i="24"/>
  <c r="DK20" i="24"/>
  <c r="DJ20" i="24"/>
  <c r="DK205" i="24"/>
  <c r="DJ205" i="24"/>
  <c r="DK309" i="24"/>
  <c r="DJ309" i="24"/>
  <c r="DK123" i="24"/>
  <c r="DJ123" i="24"/>
  <c r="DN290" i="24"/>
  <c r="DK173" i="24"/>
  <c r="DJ173" i="24"/>
  <c r="DK100" i="24"/>
  <c r="DJ100" i="24"/>
  <c r="DN80" i="24"/>
  <c r="DN271" i="24"/>
  <c r="DK210" i="24"/>
  <c r="DJ210" i="24"/>
  <c r="DK196" i="24"/>
  <c r="DJ196" i="24"/>
  <c r="DK141" i="24"/>
  <c r="DJ141" i="24"/>
  <c r="DK279" i="24"/>
  <c r="DJ279" i="24"/>
  <c r="DK259" i="24"/>
  <c r="DJ259" i="24"/>
  <c r="DK15" i="24"/>
  <c r="DJ15" i="24"/>
  <c r="DK222" i="24"/>
  <c r="DJ222" i="24"/>
  <c r="DK246" i="24"/>
  <c r="DJ246" i="24"/>
  <c r="DK282" i="24"/>
  <c r="DJ282" i="24"/>
  <c r="DK58" i="24"/>
  <c r="DJ58" i="24"/>
  <c r="DN39" i="24"/>
  <c r="DK195" i="24"/>
  <c r="DJ195" i="24"/>
  <c r="DK151" i="24"/>
  <c r="DJ151" i="24"/>
  <c r="DK115" i="24"/>
  <c r="DJ115" i="24"/>
  <c r="DK168" i="24"/>
  <c r="DJ168" i="24"/>
  <c r="DK21" i="24"/>
  <c r="DJ21" i="24"/>
  <c r="DK208" i="24"/>
  <c r="DJ208" i="24"/>
  <c r="DK299" i="24"/>
  <c r="DJ299" i="24"/>
  <c r="DK276" i="24"/>
  <c r="DJ276" i="24"/>
  <c r="DJ204" i="24"/>
  <c r="DK204" i="24"/>
  <c r="DK189" i="24"/>
  <c r="DJ189" i="24"/>
  <c r="DK119" i="24"/>
  <c r="DJ119" i="24"/>
  <c r="DK28" i="24"/>
  <c r="DJ28" i="24"/>
  <c r="DK188" i="24"/>
  <c r="DJ188" i="24"/>
  <c r="DK304" i="24"/>
  <c r="DJ304" i="24"/>
  <c r="DK6" i="24"/>
  <c r="DJ6" i="24"/>
  <c r="DK220" i="24"/>
  <c r="DJ220" i="24"/>
  <c r="DK261" i="24"/>
  <c r="DJ261" i="24"/>
  <c r="DK295" i="24"/>
  <c r="DJ295" i="24"/>
  <c r="DK146" i="24"/>
  <c r="DJ146" i="24"/>
  <c r="DK66" i="24"/>
  <c r="DJ66" i="24"/>
  <c r="DK313" i="24"/>
  <c r="DJ313" i="24"/>
  <c r="DK126" i="24"/>
  <c r="DJ126" i="24"/>
  <c r="DK56" i="24"/>
  <c r="DJ56" i="24"/>
  <c r="DK271" i="24"/>
  <c r="DJ271" i="24"/>
  <c r="DK91" i="24"/>
  <c r="DJ91" i="24"/>
  <c r="O628" i="29"/>
  <c r="R628" i="29"/>
  <c r="L628" i="29"/>
  <c r="Q628" i="29"/>
  <c r="S628" i="29"/>
  <c r="K628" i="29"/>
  <c r="T628" i="29"/>
  <c r="P628" i="29"/>
  <c r="BQ106" i="19"/>
  <c r="DN110" i="25" l="1"/>
  <c r="DX79" i="24"/>
  <c r="AE623" i="29"/>
  <c r="AD623" i="29"/>
  <c r="EJ212" i="25"/>
  <c r="EY212" i="25"/>
  <c r="EL212" i="25"/>
  <c r="DV212" i="25"/>
  <c r="EK212" i="25"/>
  <c r="EN212" i="25" s="1"/>
  <c r="DT212" i="25"/>
  <c r="FA212" i="25"/>
  <c r="EY199" i="25"/>
  <c r="FA200" i="25"/>
  <c r="EY208" i="25"/>
  <c r="EJ210" i="25"/>
  <c r="DZ6" i="24"/>
  <c r="DI216" i="25"/>
  <c r="DN216" i="25" s="1"/>
  <c r="EB216" i="24"/>
  <c r="EL216" i="24"/>
  <c r="EM216" i="24"/>
  <c r="EP216" i="24" s="1"/>
  <c r="EN216" i="24"/>
  <c r="FA216" i="24"/>
  <c r="DX94" i="24"/>
  <c r="EE94" i="24" s="1"/>
  <c r="DX91" i="24"/>
  <c r="EE91" i="24" s="1"/>
  <c r="DX290" i="24"/>
  <c r="EE290" i="24" s="1"/>
  <c r="DX258" i="24"/>
  <c r="EE258" i="24" s="1"/>
  <c r="DX296" i="24"/>
  <c r="EE296" i="24" s="1"/>
  <c r="DX230" i="24"/>
  <c r="EE230" i="24" s="1"/>
  <c r="DX298" i="24"/>
  <c r="EE298" i="24" s="1"/>
  <c r="DX305" i="24"/>
  <c r="EE305" i="24" s="1"/>
  <c r="DX279" i="24"/>
  <c r="EE279" i="24" s="1"/>
  <c r="DX222" i="24"/>
  <c r="EE222" i="24" s="1"/>
  <c r="DX263" i="24"/>
  <c r="EE263" i="24" s="1"/>
  <c r="DX313" i="24"/>
  <c r="EE313" i="24" s="1"/>
  <c r="DX303" i="24"/>
  <c r="EE303" i="24" s="1"/>
  <c r="DX278" i="24"/>
  <c r="EE278" i="24" s="1"/>
  <c r="DX284" i="24"/>
  <c r="EE284" i="24" s="1"/>
  <c r="DX237" i="24"/>
  <c r="EE237" i="24" s="1"/>
  <c r="DX300" i="24"/>
  <c r="EE300" i="24" s="1"/>
  <c r="DX268" i="24"/>
  <c r="EE268" i="24" s="1"/>
  <c r="DX242" i="24"/>
  <c r="EE242" i="24" s="1"/>
  <c r="DX225" i="24"/>
  <c r="EE225" i="24" s="1"/>
  <c r="DX236" i="24"/>
  <c r="EE236" i="24" s="1"/>
  <c r="DX238" i="24"/>
  <c r="EE238" i="24" s="1"/>
  <c r="DX251" i="24"/>
  <c r="EE251" i="24" s="1"/>
  <c r="DX266" i="24"/>
  <c r="EE266" i="24" s="1"/>
  <c r="DX246" i="24"/>
  <c r="EE246" i="24" s="1"/>
  <c r="DX301" i="24"/>
  <c r="EE301" i="24" s="1"/>
  <c r="DX219" i="24"/>
  <c r="EE219" i="24" s="1"/>
  <c r="DX310" i="24"/>
  <c r="EE310" i="24" s="1"/>
  <c r="DX275" i="24"/>
  <c r="EE275" i="24" s="1"/>
  <c r="DX271" i="24"/>
  <c r="EE271" i="24" s="1"/>
  <c r="DX231" i="24"/>
  <c r="EE231" i="24" s="1"/>
  <c r="DX257" i="24"/>
  <c r="EE257" i="24" s="1"/>
  <c r="DX302" i="24"/>
  <c r="EE302" i="24" s="1"/>
  <c r="DX289" i="24"/>
  <c r="EE289" i="24" s="1"/>
  <c r="DX252" i="24"/>
  <c r="EE252" i="24" s="1"/>
  <c r="DX259" i="24"/>
  <c r="EE259" i="24" s="1"/>
  <c r="DX274" i="24"/>
  <c r="EE274" i="24" s="1"/>
  <c r="DX265" i="24"/>
  <c r="EE265" i="24" s="1"/>
  <c r="DX295" i="24"/>
  <c r="EE295" i="24" s="1"/>
  <c r="DX243" i="24"/>
  <c r="EE243" i="24" s="1"/>
  <c r="DX283" i="24"/>
  <c r="EE283" i="24" s="1"/>
  <c r="DX309" i="24"/>
  <c r="EE309" i="24" s="1"/>
  <c r="DX244" i="24"/>
  <c r="EE244" i="24" s="1"/>
  <c r="DX260" i="24"/>
  <c r="EE260" i="24" s="1"/>
  <c r="DX226" i="24"/>
  <c r="EE226" i="24" s="1"/>
  <c r="DX269" i="24"/>
  <c r="EE269" i="24" s="1"/>
  <c r="DX235" i="24"/>
  <c r="EE235" i="24" s="1"/>
  <c r="DX241" i="24"/>
  <c r="EE241" i="24" s="1"/>
  <c r="DX276" i="24"/>
  <c r="EE276" i="24" s="1"/>
  <c r="DX229" i="24"/>
  <c r="EE229" i="24" s="1"/>
  <c r="DX247" i="24"/>
  <c r="EE247" i="24" s="1"/>
  <c r="DX286" i="24"/>
  <c r="EE286" i="24" s="1"/>
  <c r="DX233" i="24"/>
  <c r="EE233" i="24" s="1"/>
  <c r="DX256" i="24"/>
  <c r="EE256" i="24" s="1"/>
  <c r="DX264" i="24"/>
  <c r="EE264" i="24" s="1"/>
  <c r="DX254" i="24"/>
  <c r="EE254" i="24" s="1"/>
  <c r="DX223" i="24"/>
  <c r="EE223" i="24" s="1"/>
  <c r="DX240" i="24"/>
  <c r="EE240" i="24" s="1"/>
  <c r="DX272" i="24"/>
  <c r="EE272" i="24" s="1"/>
  <c r="DX280" i="24"/>
  <c r="EE280" i="24" s="1"/>
  <c r="DX261" i="24"/>
  <c r="EE261" i="24" s="1"/>
  <c r="DX297" i="24"/>
  <c r="EE297" i="24" s="1"/>
  <c r="DX255" i="24"/>
  <c r="EE255" i="24" s="1"/>
  <c r="DX312" i="24"/>
  <c r="EE312" i="24" s="1"/>
  <c r="DX314" i="24"/>
  <c r="EE314" i="24" s="1"/>
  <c r="DX227" i="24"/>
  <c r="EE227" i="24" s="1"/>
  <c r="DX249" i="24"/>
  <c r="EE249" i="24" s="1"/>
  <c r="DX281" i="24"/>
  <c r="EE281" i="24" s="1"/>
  <c r="DX239" i="24"/>
  <c r="EE239" i="24" s="1"/>
  <c r="DX308" i="24"/>
  <c r="EE308" i="24" s="1"/>
  <c r="DX292" i="24"/>
  <c r="EE292" i="24" s="1"/>
  <c r="DX287" i="24"/>
  <c r="EE287" i="24" s="1"/>
  <c r="DX220" i="24"/>
  <c r="EE220" i="24" s="1"/>
  <c r="DX232" i="24"/>
  <c r="EE232" i="24" s="1"/>
  <c r="DX282" i="24"/>
  <c r="EE282" i="24" s="1"/>
  <c r="DX315" i="24"/>
  <c r="EE315" i="24" s="1"/>
  <c r="DX245" i="24"/>
  <c r="EE245" i="24" s="1"/>
  <c r="DX217" i="24"/>
  <c r="EE217" i="24" s="1"/>
  <c r="DX273" i="24"/>
  <c r="EE273" i="24" s="1"/>
  <c r="DX248" i="24"/>
  <c r="EE248" i="24" s="1"/>
  <c r="DX234" i="24"/>
  <c r="EE234" i="24" s="1"/>
  <c r="DX307" i="24"/>
  <c r="EE307" i="24" s="1"/>
  <c r="DX218" i="24"/>
  <c r="EE218" i="24" s="1"/>
  <c r="DX270" i="24"/>
  <c r="EE270" i="24" s="1"/>
  <c r="DX224" i="24"/>
  <c r="EE224" i="24" s="1"/>
  <c r="DX228" i="24"/>
  <c r="EE228" i="24" s="1"/>
  <c r="DX262" i="24"/>
  <c r="EE262" i="24" s="1"/>
  <c r="DX294" i="24"/>
  <c r="EE294" i="24" s="1"/>
  <c r="DX316" i="24"/>
  <c r="EE316" i="24" s="1"/>
  <c r="DX311" i="24"/>
  <c r="EE311" i="24" s="1"/>
  <c r="DX221" i="24"/>
  <c r="EE221" i="24" s="1"/>
  <c r="DX291" i="24"/>
  <c r="EE291" i="24" s="1"/>
  <c r="DX277" i="24"/>
  <c r="EE277" i="24" s="1"/>
  <c r="DX250" i="24"/>
  <c r="EE250" i="24" s="1"/>
  <c r="DX288" i="24"/>
  <c r="EE288" i="24" s="1"/>
  <c r="DX253" i="24"/>
  <c r="EE253" i="24" s="1"/>
  <c r="DX267" i="24"/>
  <c r="EE267" i="24" s="1"/>
  <c r="DX293" i="24"/>
  <c r="EE293" i="24" s="1"/>
  <c r="DX304" i="24"/>
  <c r="EE304" i="24" s="1"/>
  <c r="DX285" i="24"/>
  <c r="EE285" i="24" s="1"/>
  <c r="DX306" i="24"/>
  <c r="EE306" i="24" s="1"/>
  <c r="DX299" i="24"/>
  <c r="EE299" i="24" s="1"/>
  <c r="EJ229" i="25"/>
  <c r="EK229" i="25"/>
  <c r="EN229" i="25" s="1"/>
  <c r="EY229" i="25"/>
  <c r="FA229" i="25"/>
  <c r="EL229" i="25"/>
  <c r="EJ228" i="25"/>
  <c r="EY228" i="25"/>
  <c r="EK228" i="25"/>
  <c r="EN228" i="25" s="1"/>
  <c r="FA228" i="25"/>
  <c r="EL228" i="25"/>
  <c r="EJ270" i="25"/>
  <c r="FA270" i="25"/>
  <c r="EK270" i="25"/>
  <c r="EN270" i="25" s="1"/>
  <c r="EY270" i="25"/>
  <c r="EL270" i="25"/>
  <c r="EJ284" i="25"/>
  <c r="EY284" i="25"/>
  <c r="EK284" i="25"/>
  <c r="EN284" i="25" s="1"/>
  <c r="FA284" i="25"/>
  <c r="EL284" i="25"/>
  <c r="EJ294" i="25"/>
  <c r="FA294" i="25"/>
  <c r="EY294" i="25"/>
  <c r="EK294" i="25"/>
  <c r="EN294" i="25" s="1"/>
  <c r="EL294" i="25"/>
  <c r="EJ276" i="25"/>
  <c r="EY276" i="25"/>
  <c r="EK276" i="25"/>
  <c r="EN276" i="25" s="1"/>
  <c r="FA276" i="25"/>
  <c r="EL276" i="25"/>
  <c r="EY303" i="25"/>
  <c r="EJ303" i="25"/>
  <c r="FA303" i="25"/>
  <c r="EK303" i="25"/>
  <c r="EN303" i="25" s="1"/>
  <c r="EL303" i="25"/>
  <c r="EJ234" i="25"/>
  <c r="EY234" i="25"/>
  <c r="EK234" i="25"/>
  <c r="EN234" i="25" s="1"/>
  <c r="FA234" i="25"/>
  <c r="EL234" i="25"/>
  <c r="EY247" i="25"/>
  <c r="EJ247" i="25"/>
  <c r="FA247" i="25"/>
  <c r="EK247" i="25"/>
  <c r="EN247" i="25" s="1"/>
  <c r="EL247" i="25"/>
  <c r="EK242" i="25"/>
  <c r="EN242" i="25" s="1"/>
  <c r="EY242" i="25"/>
  <c r="FA242" i="25"/>
  <c r="EJ242" i="25"/>
  <c r="EL242" i="25"/>
  <c r="EJ296" i="25"/>
  <c r="EK296" i="25"/>
  <c r="EN296" i="25" s="1"/>
  <c r="EY296" i="25"/>
  <c r="FA296" i="25"/>
  <c r="EL296" i="25"/>
  <c r="EJ227" i="25"/>
  <c r="EK227" i="25"/>
  <c r="EN227" i="25" s="1"/>
  <c r="EY227" i="25"/>
  <c r="FA227" i="25"/>
  <c r="EL227" i="25"/>
  <c r="EJ219" i="25"/>
  <c r="EK219" i="25"/>
  <c r="EN219" i="25" s="1"/>
  <c r="EY219" i="25"/>
  <c r="FA219" i="25"/>
  <c r="EL219" i="25"/>
  <c r="EJ226" i="25"/>
  <c r="EK226" i="25"/>
  <c r="EN226" i="25" s="1"/>
  <c r="EY226" i="25"/>
  <c r="FA226" i="25"/>
  <c r="EL226" i="25"/>
  <c r="EJ258" i="25"/>
  <c r="EY258" i="25"/>
  <c r="FA258" i="25"/>
  <c r="EK258" i="25"/>
  <c r="EN258" i="25" s="1"/>
  <c r="EL258" i="25"/>
  <c r="EJ235" i="25"/>
  <c r="EK235" i="25"/>
  <c r="EN235" i="25" s="1"/>
  <c r="EY235" i="25"/>
  <c r="FA235" i="25"/>
  <c r="EL235" i="25"/>
  <c r="EY249" i="25"/>
  <c r="EJ249" i="25"/>
  <c r="FA249" i="25"/>
  <c r="EK249" i="25"/>
  <c r="EN249" i="25" s="1"/>
  <c r="EL249" i="25"/>
  <c r="EJ240" i="25"/>
  <c r="EK240" i="25"/>
  <c r="EN240" i="25" s="1"/>
  <c r="EY240" i="25"/>
  <c r="FA240" i="25"/>
  <c r="EL240" i="25"/>
  <c r="EJ313" i="25"/>
  <c r="EY313" i="25"/>
  <c r="EK313" i="25"/>
  <c r="EN313" i="25" s="1"/>
  <c r="FA313" i="25"/>
  <c r="EL313" i="25"/>
  <c r="EJ304" i="25"/>
  <c r="EK304" i="25"/>
  <c r="EN304" i="25" s="1"/>
  <c r="EY304" i="25"/>
  <c r="FA304" i="25"/>
  <c r="EL304" i="25"/>
  <c r="EY256" i="25"/>
  <c r="FA256" i="25"/>
  <c r="EJ256" i="25"/>
  <c r="EK256" i="25"/>
  <c r="EN256" i="25" s="1"/>
  <c r="EL256" i="25"/>
  <c r="EY309" i="25"/>
  <c r="EJ309" i="25"/>
  <c r="FA309" i="25"/>
  <c r="EK309" i="25"/>
  <c r="EN309" i="25" s="1"/>
  <c r="EL309" i="25"/>
  <c r="EJ245" i="25"/>
  <c r="EY245" i="25"/>
  <c r="EK245" i="25"/>
  <c r="EN245" i="25" s="1"/>
  <c r="FA245" i="25"/>
  <c r="EL245" i="25"/>
  <c r="EK278" i="25"/>
  <c r="EN278" i="25" s="1"/>
  <c r="FA278" i="25"/>
  <c r="EY278" i="25"/>
  <c r="EJ278" i="25"/>
  <c r="EL278" i="25"/>
  <c r="EJ243" i="25"/>
  <c r="EK243" i="25"/>
  <c r="EN243" i="25" s="1"/>
  <c r="EY243" i="25"/>
  <c r="FA243" i="25"/>
  <c r="EL243" i="25"/>
  <c r="EY246" i="25"/>
  <c r="EJ246" i="25"/>
  <c r="FA246" i="25"/>
  <c r="EK246" i="25"/>
  <c r="EN246" i="25" s="1"/>
  <c r="EL246" i="25"/>
  <c r="EK230" i="25"/>
  <c r="EN230" i="25" s="1"/>
  <c r="FA230" i="25"/>
  <c r="EJ230" i="25"/>
  <c r="EY230" i="25"/>
  <c r="EL230" i="25"/>
  <c r="EY316" i="25"/>
  <c r="EJ316" i="25"/>
  <c r="FA316" i="25"/>
  <c r="EK316" i="25"/>
  <c r="EN316" i="25" s="1"/>
  <c r="EL316" i="25"/>
  <c r="EJ241" i="25"/>
  <c r="EY241" i="25"/>
  <c r="EK241" i="25"/>
  <c r="EN241" i="25" s="1"/>
  <c r="FA241" i="25"/>
  <c r="EL241" i="25"/>
  <c r="EJ291" i="25"/>
  <c r="EY291" i="25"/>
  <c r="EK291" i="25"/>
  <c r="EN291" i="25" s="1"/>
  <c r="FA291" i="25"/>
  <c r="EL291" i="25"/>
  <c r="FA297" i="25"/>
  <c r="EJ297" i="25"/>
  <c r="EK297" i="25"/>
  <c r="EN297" i="25" s="1"/>
  <c r="EY297" i="25"/>
  <c r="EL297" i="25"/>
  <c r="EJ306" i="25"/>
  <c r="EY306" i="25"/>
  <c r="EK306" i="25"/>
  <c r="EN306" i="25" s="1"/>
  <c r="FA306" i="25"/>
  <c r="EL306" i="25"/>
  <c r="EK248" i="25"/>
  <c r="EN248" i="25" s="1"/>
  <c r="EY248" i="25"/>
  <c r="FA248" i="25"/>
  <c r="EJ248" i="25"/>
  <c r="EL248" i="25"/>
  <c r="EJ310" i="25"/>
  <c r="EK310" i="25"/>
  <c r="EN310" i="25" s="1"/>
  <c r="EY310" i="25"/>
  <c r="FA310" i="25"/>
  <c r="EL310" i="25"/>
  <c r="EY255" i="25"/>
  <c r="EJ255" i="25"/>
  <c r="FA255" i="25"/>
  <c r="EK255" i="25"/>
  <c r="EN255" i="25" s="1"/>
  <c r="EL255" i="25"/>
  <c r="EJ298" i="25"/>
  <c r="EY298" i="25"/>
  <c r="EK298" i="25"/>
  <c r="EN298" i="25" s="1"/>
  <c r="FA298" i="25"/>
  <c r="EL298" i="25"/>
  <c r="EK283" i="25"/>
  <c r="EN283" i="25" s="1"/>
  <c r="FA283" i="25"/>
  <c r="EY283" i="25"/>
  <c r="EJ283" i="25"/>
  <c r="EL283" i="25"/>
  <c r="EJ221" i="25"/>
  <c r="EK221" i="25"/>
  <c r="EN221" i="25" s="1"/>
  <c r="EY221" i="25"/>
  <c r="FA221" i="25"/>
  <c r="EL221" i="25"/>
  <c r="EJ237" i="25"/>
  <c r="EY237" i="25"/>
  <c r="EK237" i="25"/>
  <c r="EN237" i="25" s="1"/>
  <c r="FA237" i="25"/>
  <c r="EL237" i="25"/>
  <c r="EJ272" i="25"/>
  <c r="EK272" i="25"/>
  <c r="EN272" i="25" s="1"/>
  <c r="EY272" i="25"/>
  <c r="FA272" i="25"/>
  <c r="EL272" i="25"/>
  <c r="EJ266" i="25"/>
  <c r="EY266" i="25"/>
  <c r="EK266" i="25"/>
  <c r="EN266" i="25" s="1"/>
  <c r="FA266" i="25"/>
  <c r="EL266" i="25"/>
  <c r="EJ223" i="25"/>
  <c r="FA223" i="25"/>
  <c r="EK223" i="25"/>
  <c r="EN223" i="25" s="1"/>
  <c r="EY223" i="25"/>
  <c r="EL223" i="25"/>
  <c r="EJ305" i="25"/>
  <c r="EY305" i="25"/>
  <c r="EK305" i="25"/>
  <c r="EN305" i="25" s="1"/>
  <c r="FA305" i="25"/>
  <c r="EL305" i="25"/>
  <c r="EY238" i="25"/>
  <c r="EJ238" i="25"/>
  <c r="FA238" i="25"/>
  <c r="EK238" i="25"/>
  <c r="EN238" i="25" s="1"/>
  <c r="EL238" i="25"/>
  <c r="EJ293" i="25"/>
  <c r="EY293" i="25"/>
  <c r="EK293" i="25"/>
  <c r="EN293" i="25" s="1"/>
  <c r="FA293" i="25"/>
  <c r="EL293" i="25"/>
  <c r="EK271" i="25"/>
  <c r="EN271" i="25" s="1"/>
  <c r="EY271" i="25"/>
  <c r="EJ271" i="25"/>
  <c r="FA271" i="25"/>
  <c r="EL271" i="25"/>
  <c r="EK274" i="25"/>
  <c r="EN274" i="25" s="1"/>
  <c r="FA274" i="25"/>
  <c r="EJ274" i="25"/>
  <c r="EY274" i="25"/>
  <c r="EL274" i="25"/>
  <c r="EJ285" i="25"/>
  <c r="EY285" i="25"/>
  <c r="EK285" i="25"/>
  <c r="EN285" i="25" s="1"/>
  <c r="FA285" i="25"/>
  <c r="EL285" i="25"/>
  <c r="EJ314" i="25"/>
  <c r="EY314" i="25"/>
  <c r="EK314" i="25"/>
  <c r="EN314" i="25" s="1"/>
  <c r="FA314" i="25"/>
  <c r="EL314" i="25"/>
  <c r="EY282" i="25"/>
  <c r="EJ282" i="25"/>
  <c r="FA282" i="25"/>
  <c r="EK282" i="25"/>
  <c r="EN282" i="25" s="1"/>
  <c r="EL282" i="25"/>
  <c r="FA267" i="25"/>
  <c r="EJ267" i="25"/>
  <c r="EK267" i="25"/>
  <c r="EN267" i="25" s="1"/>
  <c r="EY267" i="25"/>
  <c r="EL267" i="25"/>
  <c r="EK292" i="25"/>
  <c r="EN292" i="25" s="1"/>
  <c r="FA292" i="25"/>
  <c r="EJ292" i="25"/>
  <c r="EY292" i="25"/>
  <c r="EL292" i="25"/>
  <c r="EK281" i="25"/>
  <c r="EN281" i="25" s="1"/>
  <c r="EY281" i="25"/>
  <c r="FA281" i="25"/>
  <c r="EJ281" i="25"/>
  <c r="EL281" i="25"/>
  <c r="EY239" i="25"/>
  <c r="EJ239" i="25"/>
  <c r="FA239" i="25"/>
  <c r="EK239" i="25"/>
  <c r="EN239" i="25" s="1"/>
  <c r="EL239" i="25"/>
  <c r="EJ222" i="25"/>
  <c r="EK222" i="25"/>
  <c r="EN222" i="25" s="1"/>
  <c r="EY222" i="25"/>
  <c r="FA222" i="25"/>
  <c r="EL222" i="25"/>
  <c r="EJ250" i="25"/>
  <c r="EY250" i="25"/>
  <c r="EK250" i="25"/>
  <c r="EN250" i="25" s="1"/>
  <c r="FA250" i="25"/>
  <c r="EL250" i="25"/>
  <c r="EJ252" i="25"/>
  <c r="EY252" i="25"/>
  <c r="EK252" i="25"/>
  <c r="EN252" i="25" s="1"/>
  <c r="FA252" i="25"/>
  <c r="EL252" i="25"/>
  <c r="EK311" i="25"/>
  <c r="EN311" i="25" s="1"/>
  <c r="FA311" i="25"/>
  <c r="EJ311" i="25"/>
  <c r="EY311" i="25"/>
  <c r="EL311" i="25"/>
  <c r="EJ312" i="25"/>
  <c r="EK312" i="25"/>
  <c r="EN312" i="25" s="1"/>
  <c r="EY312" i="25"/>
  <c r="FA312" i="25"/>
  <c r="EL312" i="25"/>
  <c r="EY257" i="25"/>
  <c r="EJ257" i="25"/>
  <c r="FA257" i="25"/>
  <c r="EK257" i="25"/>
  <c r="EN257" i="25" s="1"/>
  <c r="EL257" i="25"/>
  <c r="EJ307" i="25"/>
  <c r="EY307" i="25"/>
  <c r="EK307" i="25"/>
  <c r="EN307" i="25" s="1"/>
  <c r="FA307" i="25"/>
  <c r="EL307" i="25"/>
  <c r="FA289" i="25"/>
  <c r="EJ289" i="25"/>
  <c r="EK289" i="25"/>
  <c r="EN289" i="25" s="1"/>
  <c r="EY289" i="25"/>
  <c r="EL289" i="25"/>
  <c r="EY308" i="25"/>
  <c r="EJ308" i="25"/>
  <c r="FA308" i="25"/>
  <c r="EK308" i="25"/>
  <c r="EN308" i="25" s="1"/>
  <c r="EL308" i="25"/>
  <c r="EJ269" i="25"/>
  <c r="EY269" i="25"/>
  <c r="EK269" i="25"/>
  <c r="EN269" i="25" s="1"/>
  <c r="FA269" i="25"/>
  <c r="EL269" i="25"/>
  <c r="EJ290" i="25"/>
  <c r="EY290" i="25"/>
  <c r="EK290" i="25"/>
  <c r="EN290" i="25" s="1"/>
  <c r="FA290" i="25"/>
  <c r="EL290" i="25"/>
  <c r="EJ251" i="25"/>
  <c r="EK251" i="25"/>
  <c r="EN251" i="25" s="1"/>
  <c r="EY251" i="25"/>
  <c r="FA251" i="25"/>
  <c r="EL251" i="25"/>
  <c r="EK233" i="25"/>
  <c r="EN233" i="25" s="1"/>
  <c r="EY233" i="25"/>
  <c r="EJ233" i="25"/>
  <c r="FA233" i="25"/>
  <c r="EL233" i="25"/>
  <c r="EY220" i="25"/>
  <c r="EJ220" i="25"/>
  <c r="FA220" i="25"/>
  <c r="EK220" i="25"/>
  <c r="EN220" i="25" s="1"/>
  <c r="EL220" i="25"/>
  <c r="EK286" i="25"/>
  <c r="EN286" i="25" s="1"/>
  <c r="EY286" i="25"/>
  <c r="FA286" i="25"/>
  <c r="EJ286" i="25"/>
  <c r="EL286" i="25"/>
  <c r="EJ315" i="25"/>
  <c r="EY315" i="25"/>
  <c r="EK315" i="25"/>
  <c r="EN315" i="25" s="1"/>
  <c r="FA315" i="25"/>
  <c r="EL315" i="25"/>
  <c r="EK244" i="25"/>
  <c r="EN244" i="25" s="1"/>
  <c r="FA244" i="25"/>
  <c r="EJ244" i="25"/>
  <c r="EY244" i="25"/>
  <c r="EL244" i="25"/>
  <c r="EY231" i="25"/>
  <c r="EJ231" i="25"/>
  <c r="FA231" i="25"/>
  <c r="EK231" i="25"/>
  <c r="EN231" i="25" s="1"/>
  <c r="EL231" i="25"/>
  <c r="EJ217" i="25"/>
  <c r="EY217" i="25"/>
  <c r="EK217" i="25"/>
  <c r="EN217" i="25" s="1"/>
  <c r="FA217" i="25"/>
  <c r="EL217" i="25"/>
  <c r="EJ301" i="25"/>
  <c r="EY301" i="25"/>
  <c r="EK301" i="25"/>
  <c r="EN301" i="25" s="1"/>
  <c r="FA301" i="25"/>
  <c r="EL301" i="25"/>
  <c r="EJ277" i="25"/>
  <c r="EK277" i="25"/>
  <c r="EN277" i="25" s="1"/>
  <c r="EY277" i="25"/>
  <c r="FA277" i="25"/>
  <c r="EL277" i="25"/>
  <c r="EJ232" i="25"/>
  <c r="EK232" i="25"/>
  <c r="EN232" i="25" s="1"/>
  <c r="EY232" i="25"/>
  <c r="FA232" i="25"/>
  <c r="EL232" i="25"/>
  <c r="EY260" i="25"/>
  <c r="EJ260" i="25"/>
  <c r="FA260" i="25"/>
  <c r="EK260" i="25"/>
  <c r="EN260" i="25" s="1"/>
  <c r="EL260" i="25"/>
  <c r="EJ300" i="25"/>
  <c r="EY300" i="25"/>
  <c r="EK300" i="25"/>
  <c r="EN300" i="25" s="1"/>
  <c r="FA300" i="25"/>
  <c r="EL300" i="25"/>
  <c r="EJ225" i="25"/>
  <c r="EK225" i="25"/>
  <c r="EN225" i="25" s="1"/>
  <c r="EY225" i="25"/>
  <c r="FA225" i="25"/>
  <c r="EL225" i="25"/>
  <c r="EJ287" i="25"/>
  <c r="EY287" i="25"/>
  <c r="EK287" i="25"/>
  <c r="EN287" i="25" s="1"/>
  <c r="FA287" i="25"/>
  <c r="EL287" i="25"/>
  <c r="EK273" i="25"/>
  <c r="EN273" i="25" s="1"/>
  <c r="FA273" i="25"/>
  <c r="EY273" i="25"/>
  <c r="EJ273" i="25"/>
  <c r="EL273" i="25"/>
  <c r="EK295" i="25"/>
  <c r="EN295" i="25" s="1"/>
  <c r="EY295" i="25"/>
  <c r="FA295" i="25"/>
  <c r="EJ295" i="25"/>
  <c r="EL295" i="25"/>
  <c r="EK261" i="25"/>
  <c r="EN261" i="25" s="1"/>
  <c r="EY261" i="25"/>
  <c r="FA261" i="25"/>
  <c r="EJ261" i="25"/>
  <c r="EL261" i="25"/>
  <c r="EK259" i="25"/>
  <c r="EN259" i="25" s="1"/>
  <c r="EY259" i="25"/>
  <c r="FA259" i="25"/>
  <c r="EJ259" i="25"/>
  <c r="EL259" i="25"/>
  <c r="EK302" i="25"/>
  <c r="EN302" i="25" s="1"/>
  <c r="EY302" i="25"/>
  <c r="FA302" i="25"/>
  <c r="EJ302" i="25"/>
  <c r="EL302" i="25"/>
  <c r="EY265" i="25"/>
  <c r="EJ265" i="25"/>
  <c r="FA265" i="25"/>
  <c r="EK265" i="25"/>
  <c r="EN265" i="25" s="1"/>
  <c r="EL265" i="25"/>
  <c r="EJ280" i="25"/>
  <c r="FA280" i="25"/>
  <c r="EY280" i="25"/>
  <c r="EK280" i="25"/>
  <c r="EN280" i="25" s="1"/>
  <c r="EL280" i="25"/>
  <c r="EK299" i="25"/>
  <c r="EN299" i="25" s="1"/>
  <c r="EY299" i="25"/>
  <c r="FA299" i="25"/>
  <c r="EJ299" i="25"/>
  <c r="EL299" i="25"/>
  <c r="EJ224" i="25"/>
  <c r="EK224" i="25"/>
  <c r="EN224" i="25" s="1"/>
  <c r="EY224" i="25"/>
  <c r="FA224" i="25"/>
  <c r="EL224" i="25"/>
  <c r="EK264" i="25"/>
  <c r="EN264" i="25" s="1"/>
  <c r="EY264" i="25"/>
  <c r="FA264" i="25"/>
  <c r="EJ264" i="25"/>
  <c r="EL264" i="25"/>
  <c r="EJ262" i="25"/>
  <c r="EY262" i="25"/>
  <c r="EK262" i="25"/>
  <c r="EN262" i="25" s="1"/>
  <c r="FA262" i="25"/>
  <c r="EL262" i="25"/>
  <c r="FA253" i="25"/>
  <c r="EJ253" i="25"/>
  <c r="EK253" i="25"/>
  <c r="EN253" i="25" s="1"/>
  <c r="EY253" i="25"/>
  <c r="EL253" i="25"/>
  <c r="EJ279" i="25"/>
  <c r="EK279" i="25"/>
  <c r="EN279" i="25" s="1"/>
  <c r="EY279" i="25"/>
  <c r="FA279" i="25"/>
  <c r="EL279" i="25"/>
  <c r="EJ288" i="25"/>
  <c r="EK288" i="25"/>
  <c r="EN288" i="25" s="1"/>
  <c r="EY288" i="25"/>
  <c r="FA288" i="25"/>
  <c r="EL288" i="25"/>
  <c r="EJ218" i="25"/>
  <c r="EY218" i="25"/>
  <c r="EK218" i="25"/>
  <c r="EN218" i="25" s="1"/>
  <c r="FA218" i="25"/>
  <c r="EL218" i="25"/>
  <c r="EJ236" i="25"/>
  <c r="EY236" i="25"/>
  <c r="EK236" i="25"/>
  <c r="EN236" i="25" s="1"/>
  <c r="FA236" i="25"/>
  <c r="EL236" i="25"/>
  <c r="EJ275" i="25"/>
  <c r="EK275" i="25"/>
  <c r="EN275" i="25" s="1"/>
  <c r="EY275" i="25"/>
  <c r="FA275" i="25"/>
  <c r="EL275" i="25"/>
  <c r="EY268" i="25"/>
  <c r="EJ268" i="25"/>
  <c r="FA268" i="25"/>
  <c r="EK268" i="25"/>
  <c r="EN268" i="25" s="1"/>
  <c r="EL268" i="25"/>
  <c r="EY263" i="25"/>
  <c r="EJ263" i="25"/>
  <c r="FA263" i="25"/>
  <c r="EK263" i="25"/>
  <c r="EN263" i="25" s="1"/>
  <c r="EL263" i="25"/>
  <c r="EY254" i="25"/>
  <c r="EJ254" i="25"/>
  <c r="FA254" i="25"/>
  <c r="EK254" i="25"/>
  <c r="EN254" i="25" s="1"/>
  <c r="EL254" i="25"/>
  <c r="EL112" i="25"/>
  <c r="DT112" i="25"/>
  <c r="EY112" i="25"/>
  <c r="EJ112" i="25"/>
  <c r="DV112" i="25"/>
  <c r="FA112" i="25"/>
  <c r="EK112" i="25"/>
  <c r="EN112" i="25" s="1"/>
  <c r="FA15" i="25"/>
  <c r="EY65" i="25"/>
  <c r="FA91" i="25"/>
  <c r="EY40" i="25"/>
  <c r="EY60" i="25"/>
  <c r="EY70" i="25"/>
  <c r="EY58" i="25"/>
  <c r="EY33" i="25"/>
  <c r="EJ81" i="25"/>
  <c r="EJ25" i="25"/>
  <c r="EY93" i="25"/>
  <c r="FA27" i="25"/>
  <c r="EY51" i="25"/>
  <c r="FA49" i="25"/>
  <c r="EJ86" i="25"/>
  <c r="EJ13" i="25"/>
  <c r="FA98" i="25"/>
  <c r="EJ99" i="25"/>
  <c r="FA59" i="25"/>
  <c r="FA72" i="25"/>
  <c r="EJ34" i="25"/>
  <c r="EJ92" i="25"/>
  <c r="EJ83" i="25"/>
  <c r="EJ87" i="25"/>
  <c r="EY38" i="25"/>
  <c r="EJ48" i="25"/>
  <c r="EY24" i="25"/>
  <c r="EJ78" i="25"/>
  <c r="EJ47" i="25"/>
  <c r="EY42" i="25"/>
  <c r="EJ17" i="25"/>
  <c r="EJ12" i="25"/>
  <c r="EY66" i="25"/>
  <c r="FA43" i="25"/>
  <c r="EY89" i="25"/>
  <c r="FA37" i="25"/>
  <c r="FA29" i="25"/>
  <c r="FA14" i="25"/>
  <c r="FA35" i="25"/>
  <c r="EJ73" i="25"/>
  <c r="EJ88" i="25"/>
  <c r="EJ80" i="25"/>
  <c r="EJ74" i="25"/>
  <c r="EY79" i="25"/>
  <c r="DX76" i="24"/>
  <c r="EE76" i="24" s="1"/>
  <c r="DX16" i="24"/>
  <c r="EE16" i="24" s="1"/>
  <c r="DZ66" i="24"/>
  <c r="DX78" i="24"/>
  <c r="EE78" i="24" s="1"/>
  <c r="DX75" i="24"/>
  <c r="EE75" i="24" s="1"/>
  <c r="DZ84" i="24"/>
  <c r="DZ86" i="24"/>
  <c r="DZ59" i="24"/>
  <c r="DZ22" i="24"/>
  <c r="EL183" i="25"/>
  <c r="DX18" i="24"/>
  <c r="EE18" i="24" s="1"/>
  <c r="DZ85" i="24"/>
  <c r="DX92" i="24"/>
  <c r="EE92" i="24" s="1"/>
  <c r="DX87" i="24"/>
  <c r="EE87" i="24" s="1"/>
  <c r="DX17" i="24"/>
  <c r="EE17" i="24" s="1"/>
  <c r="DZ82" i="24"/>
  <c r="DZ34" i="24"/>
  <c r="DZ51" i="24"/>
  <c r="DX45" i="24"/>
  <c r="EE45" i="24" s="1"/>
  <c r="FA81" i="25"/>
  <c r="EY81" i="25"/>
  <c r="DZ46" i="24"/>
  <c r="EK143" i="25"/>
  <c r="EN143" i="25" s="1"/>
  <c r="EJ72" i="25"/>
  <c r="EJ100" i="25"/>
  <c r="EY103" i="25"/>
  <c r="EY105" i="25"/>
  <c r="DZ38" i="24"/>
  <c r="EK183" i="25"/>
  <c r="EN183" i="25" s="1"/>
  <c r="DZ20" i="24"/>
  <c r="DR74" i="24"/>
  <c r="DR169" i="24"/>
  <c r="DU169" i="24" s="1"/>
  <c r="DZ32" i="24"/>
  <c r="DV183" i="25"/>
  <c r="DX183" i="25" s="1"/>
  <c r="EC183" i="25" s="1"/>
  <c r="EJ14" i="25"/>
  <c r="DX88" i="24"/>
  <c r="EE88" i="24" s="1"/>
  <c r="EY181" i="25"/>
  <c r="EJ168" i="25"/>
  <c r="DZ73" i="24"/>
  <c r="DX21" i="24"/>
  <c r="EE21" i="24" s="1"/>
  <c r="DX101" i="24"/>
  <c r="EE101" i="24" s="1"/>
  <c r="DZ72" i="24"/>
  <c r="FA193" i="25"/>
  <c r="EJ79" i="25"/>
  <c r="DX97" i="24"/>
  <c r="EE97" i="24" s="1"/>
  <c r="DX93" i="24"/>
  <c r="EE93" i="24" s="1"/>
  <c r="DZ90" i="24"/>
  <c r="DX57" i="24"/>
  <c r="EE57" i="24" s="1"/>
  <c r="EJ98" i="25"/>
  <c r="DZ19" i="24"/>
  <c r="DX95" i="24"/>
  <c r="EE95" i="24" s="1"/>
  <c r="DZ12" i="24"/>
  <c r="DX27" i="24"/>
  <c r="EE27" i="24" s="1"/>
  <c r="FA208" i="25"/>
  <c r="EY72" i="25"/>
  <c r="FA119" i="25"/>
  <c r="FA24" i="25"/>
  <c r="EJ24" i="25"/>
  <c r="EJ70" i="25"/>
  <c r="DY5" i="24"/>
  <c r="EF5" i="24" s="1"/>
  <c r="EA5" i="24"/>
  <c r="DR96" i="24"/>
  <c r="DY110" i="24"/>
  <c r="EF110" i="24" s="1"/>
  <c r="EA110" i="24"/>
  <c r="DR190" i="24"/>
  <c r="EY190" i="24" s="1"/>
  <c r="DR39" i="24"/>
  <c r="DR242" i="24"/>
  <c r="DR243" i="24"/>
  <c r="DW216" i="24"/>
  <c r="DU216" i="24"/>
  <c r="DR92" i="24"/>
  <c r="DT182" i="25"/>
  <c r="EY128" i="25"/>
  <c r="EY49" i="25"/>
  <c r="EJ137" i="25"/>
  <c r="DZ28" i="24"/>
  <c r="DZ74" i="24"/>
  <c r="DX105" i="24"/>
  <c r="EE105" i="24" s="1"/>
  <c r="DX7" i="24"/>
  <c r="EE7" i="24" s="1"/>
  <c r="EY98" i="25"/>
  <c r="EY35" i="25"/>
  <c r="EJ43" i="25"/>
  <c r="DZ49" i="24"/>
  <c r="FA70" i="25"/>
  <c r="DT138" i="25"/>
  <c r="DX56" i="24"/>
  <c r="EE56" i="24" s="1"/>
  <c r="EY138" i="25"/>
  <c r="DX11" i="24"/>
  <c r="EE11" i="24" s="1"/>
  <c r="EY78" i="25"/>
  <c r="DZ69" i="24"/>
  <c r="EJ33" i="25"/>
  <c r="EY119" i="25"/>
  <c r="FA173" i="25"/>
  <c r="DX9" i="24"/>
  <c r="EE9" i="24" s="1"/>
  <c r="EY173" i="25"/>
  <c r="EJ187" i="25"/>
  <c r="DO128" i="24"/>
  <c r="DR78" i="24"/>
  <c r="EY210" i="25"/>
  <c r="EJ105" i="25"/>
  <c r="EJ93" i="25"/>
  <c r="EJ121" i="25"/>
  <c r="FA79" i="25"/>
  <c r="EY121" i="25"/>
  <c r="EY48" i="25"/>
  <c r="EK182" i="25"/>
  <c r="EN182" i="25" s="1"/>
  <c r="EY14" i="25"/>
  <c r="FA38" i="25"/>
  <c r="DZ102" i="24"/>
  <c r="EY175" i="25"/>
  <c r="FA175" i="25"/>
  <c r="DX36" i="24"/>
  <c r="EE36" i="24" s="1"/>
  <c r="DZ96" i="24"/>
  <c r="DX64" i="24"/>
  <c r="EE64" i="24" s="1"/>
  <c r="DR90" i="24"/>
  <c r="EY92" i="25"/>
  <c r="FA210" i="25"/>
  <c r="EY86" i="25"/>
  <c r="DV143" i="25"/>
  <c r="DY143" i="25" s="1"/>
  <c r="CH143" i="25" s="1"/>
  <c r="DT73" i="25"/>
  <c r="FA86" i="25"/>
  <c r="EY191" i="25"/>
  <c r="EL73" i="25"/>
  <c r="EJ143" i="25"/>
  <c r="EY83" i="25"/>
  <c r="FA191" i="25"/>
  <c r="EK73" i="25"/>
  <c r="EN73" i="25" s="1"/>
  <c r="EY143" i="25"/>
  <c r="EL143" i="25"/>
  <c r="FA83" i="25"/>
  <c r="DV73" i="25"/>
  <c r="DX73" i="25" s="1"/>
  <c r="EC73" i="25" s="1"/>
  <c r="FA187" i="25"/>
  <c r="FA143" i="25"/>
  <c r="FA42" i="25"/>
  <c r="FA138" i="25"/>
  <c r="FA78" i="25"/>
  <c r="EL138" i="25"/>
  <c r="FA128" i="25"/>
  <c r="EJ199" i="25"/>
  <c r="EJ138" i="25"/>
  <c r="EK138" i="25"/>
  <c r="EN138" i="25" s="1"/>
  <c r="FA199" i="25"/>
  <c r="EY139" i="25"/>
  <c r="FA139" i="25"/>
  <c r="EY193" i="25"/>
  <c r="EJ40" i="25"/>
  <c r="EJ38" i="25"/>
  <c r="EY183" i="25"/>
  <c r="EJ183" i="25"/>
  <c r="FA183" i="25"/>
  <c r="DX182" i="25"/>
  <c r="EC182" i="25" s="1"/>
  <c r="DY182" i="25"/>
  <c r="FA58" i="25"/>
  <c r="FA181" i="25"/>
  <c r="EY182" i="25"/>
  <c r="EY99" i="25"/>
  <c r="EY47" i="25"/>
  <c r="EJ58" i="25"/>
  <c r="FA103" i="25"/>
  <c r="EJ182" i="25"/>
  <c r="FA99" i="25"/>
  <c r="FA47" i="25"/>
  <c r="DT181" i="25"/>
  <c r="FA105" i="25"/>
  <c r="EJ103" i="25"/>
  <c r="FA182" i="25"/>
  <c r="EK181" i="25"/>
  <c r="EN181" i="25" s="1"/>
  <c r="EL182" i="25"/>
  <c r="EY127" i="25"/>
  <c r="EL181" i="25"/>
  <c r="EJ208" i="25"/>
  <c r="DV181" i="25"/>
  <c r="DY181" i="25" s="1"/>
  <c r="EY168" i="25"/>
  <c r="FA171" i="25"/>
  <c r="FA100" i="25"/>
  <c r="FA34" i="25"/>
  <c r="EY25" i="25"/>
  <c r="FA33" i="25"/>
  <c r="FA40" i="25"/>
  <c r="EJ190" i="25"/>
  <c r="FA48" i="25"/>
  <c r="EY12" i="25"/>
  <c r="EJ59" i="25"/>
  <c r="EY100" i="25"/>
  <c r="EY34" i="25"/>
  <c r="FA25" i="25"/>
  <c r="EY59" i="25"/>
  <c r="FA17" i="25"/>
  <c r="EY147" i="25"/>
  <c r="EY17" i="25"/>
  <c r="FA147" i="25"/>
  <c r="EJ27" i="25"/>
  <c r="EY27" i="25"/>
  <c r="EJ15" i="25"/>
  <c r="EY158" i="25"/>
  <c r="EY73" i="25"/>
  <c r="FA73" i="25"/>
  <c r="EY15" i="25"/>
  <c r="EJ127" i="25"/>
  <c r="FA158" i="25"/>
  <c r="DV180" i="25"/>
  <c r="DX180" i="25" s="1"/>
  <c r="EC180" i="25" s="1"/>
  <c r="EK180" i="25"/>
  <c r="EN180" i="25" s="1"/>
  <c r="EL180" i="25"/>
  <c r="DT180" i="25"/>
  <c r="EJ180" i="25"/>
  <c r="FA180" i="25"/>
  <c r="EY180" i="25"/>
  <c r="DV223" i="25"/>
  <c r="DT223" i="25"/>
  <c r="DV141" i="25"/>
  <c r="DX141" i="25" s="1"/>
  <c r="EC141" i="25" s="1"/>
  <c r="EK141" i="25"/>
  <c r="EN141" i="25" s="1"/>
  <c r="EL141" i="25"/>
  <c r="DT141" i="25"/>
  <c r="FA141" i="25"/>
  <c r="EY141" i="25"/>
  <c r="EJ141" i="25"/>
  <c r="DV258" i="25"/>
  <c r="DT258" i="25"/>
  <c r="DV129" i="25"/>
  <c r="DX129" i="25" s="1"/>
  <c r="EC129" i="25" s="1"/>
  <c r="EL129" i="25"/>
  <c r="EK129" i="25"/>
  <c r="EN129" i="25" s="1"/>
  <c r="DT129" i="25"/>
  <c r="FA129" i="25"/>
  <c r="EY129" i="25"/>
  <c r="EJ129" i="25"/>
  <c r="DV164" i="25"/>
  <c r="DX164" i="25" s="1"/>
  <c r="EC164" i="25" s="1"/>
  <c r="EL164" i="25"/>
  <c r="EK164" i="25"/>
  <c r="EN164" i="25" s="1"/>
  <c r="DT164" i="25"/>
  <c r="FA164" i="25"/>
  <c r="EY164" i="25"/>
  <c r="EJ164" i="25"/>
  <c r="DV101" i="25"/>
  <c r="EL101" i="25"/>
  <c r="EK101" i="25"/>
  <c r="EN101" i="25" s="1"/>
  <c r="EJ101" i="25"/>
  <c r="FA101" i="25"/>
  <c r="EY101" i="25"/>
  <c r="EB17" i="25"/>
  <c r="EA17" i="25"/>
  <c r="DV169" i="25"/>
  <c r="DX169" i="25" s="1"/>
  <c r="EC169" i="25" s="1"/>
  <c r="EK169" i="25"/>
  <c r="EN169" i="25" s="1"/>
  <c r="EL169" i="25"/>
  <c r="DT169" i="25"/>
  <c r="EJ169" i="25"/>
  <c r="DV301" i="25"/>
  <c r="DT301" i="25"/>
  <c r="EY169" i="25"/>
  <c r="DV63" i="25"/>
  <c r="EK63" i="25"/>
  <c r="EN63" i="25" s="1"/>
  <c r="EL63" i="25"/>
  <c r="DT63" i="25"/>
  <c r="EY63" i="25"/>
  <c r="EJ63" i="25"/>
  <c r="FA63" i="25"/>
  <c r="DV231" i="25"/>
  <c r="DT231" i="25"/>
  <c r="DV104" i="25"/>
  <c r="EK104" i="25"/>
  <c r="EN104" i="25" s="1"/>
  <c r="EL104" i="25"/>
  <c r="FA104" i="25"/>
  <c r="EJ104" i="25"/>
  <c r="EY104" i="25"/>
  <c r="EB193" i="25"/>
  <c r="EA193" i="25"/>
  <c r="DV136" i="25"/>
  <c r="DX136" i="25" s="1"/>
  <c r="EC136" i="25" s="1"/>
  <c r="EL136" i="25"/>
  <c r="EK136" i="25"/>
  <c r="EN136" i="25" s="1"/>
  <c r="DT136" i="25"/>
  <c r="EY136" i="25"/>
  <c r="EJ136" i="25"/>
  <c r="FA136" i="25"/>
  <c r="FA169" i="25"/>
  <c r="DV44" i="25"/>
  <c r="EL44" i="25"/>
  <c r="EK44" i="25"/>
  <c r="EN44" i="25" s="1"/>
  <c r="DT44" i="25"/>
  <c r="EY44" i="25"/>
  <c r="EJ44" i="25"/>
  <c r="FA44" i="25"/>
  <c r="DV23" i="25"/>
  <c r="DX23" i="25" s="1"/>
  <c r="EC23" i="25" s="1"/>
  <c r="EK23" i="25"/>
  <c r="EN23" i="25" s="1"/>
  <c r="EL23" i="25"/>
  <c r="DT23" i="25"/>
  <c r="EY23" i="25"/>
  <c r="EJ23" i="25"/>
  <c r="FA23" i="25"/>
  <c r="DV97" i="25"/>
  <c r="DX97" i="25" s="1"/>
  <c r="EC97" i="25" s="1"/>
  <c r="EL97" i="25"/>
  <c r="EK97" i="25"/>
  <c r="EN97" i="25" s="1"/>
  <c r="EJ97" i="25"/>
  <c r="FA97" i="25"/>
  <c r="EY97" i="25"/>
  <c r="DV203" i="25"/>
  <c r="DX203" i="25" s="1"/>
  <c r="EC203" i="25" s="1"/>
  <c r="EK203" i="25"/>
  <c r="EN203" i="25" s="1"/>
  <c r="EL203" i="25"/>
  <c r="EJ203" i="25"/>
  <c r="FA203" i="25"/>
  <c r="EY203" i="25"/>
  <c r="DV194" i="25"/>
  <c r="DX194" i="25" s="1"/>
  <c r="EC194" i="25" s="1"/>
  <c r="EK194" i="25"/>
  <c r="EN194" i="25" s="1"/>
  <c r="EL194" i="25"/>
  <c r="FA194" i="25"/>
  <c r="EY194" i="25"/>
  <c r="EJ194" i="25"/>
  <c r="DV93" i="25"/>
  <c r="DX93" i="25" s="1"/>
  <c r="EC93" i="25" s="1"/>
  <c r="EL93" i="25"/>
  <c r="EK93" i="25"/>
  <c r="EN93" i="25" s="1"/>
  <c r="FA93" i="25"/>
  <c r="DV219" i="25"/>
  <c r="DT219" i="25"/>
  <c r="DV77" i="25"/>
  <c r="DX77" i="25" s="1"/>
  <c r="EC77" i="25" s="1"/>
  <c r="EL77" i="25"/>
  <c r="EK77" i="25"/>
  <c r="EN77" i="25" s="1"/>
  <c r="DT77" i="25"/>
  <c r="EB93" i="25"/>
  <c r="EA93" i="25"/>
  <c r="DV307" i="25"/>
  <c r="DT307" i="25"/>
  <c r="EB210" i="25"/>
  <c r="EA210" i="25"/>
  <c r="EB100" i="25"/>
  <c r="EA100" i="25"/>
  <c r="DV297" i="25"/>
  <c r="DT297" i="25"/>
  <c r="DV90" i="25"/>
  <c r="DX90" i="25" s="1"/>
  <c r="EC90" i="25" s="1"/>
  <c r="EK90" i="25"/>
  <c r="EN90" i="25" s="1"/>
  <c r="EL90" i="25"/>
  <c r="DT90" i="25"/>
  <c r="DV269" i="25"/>
  <c r="DT269" i="25"/>
  <c r="EB72" i="25"/>
  <c r="EA72" i="25"/>
  <c r="DV56" i="25"/>
  <c r="DX56" i="25" s="1"/>
  <c r="EC56" i="25" s="1"/>
  <c r="EK56" i="25"/>
  <c r="EN56" i="25" s="1"/>
  <c r="EL56" i="25"/>
  <c r="DT56" i="25"/>
  <c r="DV253" i="25"/>
  <c r="DT253" i="25"/>
  <c r="EB70" i="25"/>
  <c r="EA70" i="25"/>
  <c r="DV146" i="25"/>
  <c r="EK146" i="25"/>
  <c r="EN146" i="25" s="1"/>
  <c r="EL146" i="25"/>
  <c r="DT146" i="25"/>
  <c r="EY146" i="25"/>
  <c r="EJ146" i="25"/>
  <c r="FA146" i="25"/>
  <c r="EB208" i="25"/>
  <c r="EA208" i="25"/>
  <c r="FA87" i="25"/>
  <c r="EB169" i="25"/>
  <c r="EA169" i="25"/>
  <c r="DV160" i="25"/>
  <c r="EK160" i="25"/>
  <c r="EN160" i="25" s="1"/>
  <c r="EL160" i="25"/>
  <c r="DT160" i="25"/>
  <c r="EJ160" i="25"/>
  <c r="FA160" i="25"/>
  <c r="EY160" i="25"/>
  <c r="DV102" i="25"/>
  <c r="EK102" i="25"/>
  <c r="EN102" i="25" s="1"/>
  <c r="EL102" i="25"/>
  <c r="EJ102" i="25"/>
  <c r="FA102" i="25"/>
  <c r="EY102" i="25"/>
  <c r="DV52" i="25"/>
  <c r="EK52" i="25"/>
  <c r="EN52" i="25" s="1"/>
  <c r="EL52" i="25"/>
  <c r="DT52" i="25"/>
  <c r="EY52" i="25"/>
  <c r="EJ52" i="25"/>
  <c r="FA52" i="25"/>
  <c r="DV40" i="25"/>
  <c r="DX40" i="25" s="1"/>
  <c r="EC40" i="25" s="1"/>
  <c r="EK40" i="25"/>
  <c r="EN40" i="25" s="1"/>
  <c r="EL40" i="25"/>
  <c r="DT40" i="25"/>
  <c r="EB79" i="25"/>
  <c r="EA79" i="25"/>
  <c r="DV207" i="25"/>
  <c r="EL207" i="25"/>
  <c r="EK207" i="25"/>
  <c r="EN207" i="25" s="1"/>
  <c r="EY207" i="25"/>
  <c r="EJ207" i="25"/>
  <c r="FA207" i="25"/>
  <c r="FA92" i="25"/>
  <c r="EB119" i="25"/>
  <c r="EA119" i="25"/>
  <c r="EB141" i="25"/>
  <c r="EA141" i="25"/>
  <c r="DV64" i="25"/>
  <c r="DX64" i="25" s="1"/>
  <c r="EC64" i="25" s="1"/>
  <c r="EK64" i="25"/>
  <c r="EN64" i="25" s="1"/>
  <c r="EL64" i="25"/>
  <c r="DT64" i="25"/>
  <c r="DV255" i="25"/>
  <c r="DT255" i="25"/>
  <c r="DV70" i="25"/>
  <c r="DX70" i="25" s="1"/>
  <c r="EC70" i="25" s="1"/>
  <c r="EL70" i="25"/>
  <c r="EK70" i="25"/>
  <c r="EN70" i="25" s="1"/>
  <c r="DT70" i="25"/>
  <c r="DV236" i="25"/>
  <c r="DT236" i="25"/>
  <c r="DV58" i="25"/>
  <c r="DX58" i="25" s="1"/>
  <c r="EC58" i="25" s="1"/>
  <c r="EK58" i="25"/>
  <c r="EN58" i="25" s="1"/>
  <c r="EL58" i="25"/>
  <c r="DT58" i="25"/>
  <c r="EJ178" i="25"/>
  <c r="DV178" i="25"/>
  <c r="DX178" i="25" s="1"/>
  <c r="EC178" i="25" s="1"/>
  <c r="EK178" i="25"/>
  <c r="EN178" i="25" s="1"/>
  <c r="EL178" i="25"/>
  <c r="DT178" i="25"/>
  <c r="FA53" i="25"/>
  <c r="DV53" i="25"/>
  <c r="EK53" i="25"/>
  <c r="EN53" i="25" s="1"/>
  <c r="EL53" i="25"/>
  <c r="DT53" i="25"/>
  <c r="EY53" i="25"/>
  <c r="EJ53" i="25"/>
  <c r="EB66" i="25"/>
  <c r="EA66" i="25"/>
  <c r="DV173" i="25"/>
  <c r="DX173" i="25" s="1"/>
  <c r="EC173" i="25" s="1"/>
  <c r="EK173" i="25"/>
  <c r="EN173" i="25" s="1"/>
  <c r="EL173" i="25"/>
  <c r="DT173" i="25"/>
  <c r="DV298" i="25"/>
  <c r="DT298" i="25"/>
  <c r="DV303" i="25"/>
  <c r="DT303" i="25"/>
  <c r="EB190" i="25"/>
  <c r="EA190" i="25"/>
  <c r="DV96" i="25"/>
  <c r="DX96" i="25" s="1"/>
  <c r="EC96" i="25" s="1"/>
  <c r="EL96" i="25"/>
  <c r="EK96" i="25"/>
  <c r="EN96" i="25" s="1"/>
  <c r="DV295" i="25"/>
  <c r="DT295" i="25"/>
  <c r="DV117" i="25"/>
  <c r="EK117" i="25"/>
  <c r="EN117" i="25" s="1"/>
  <c r="EL117" i="25"/>
  <c r="DT117" i="25"/>
  <c r="EY117" i="25"/>
  <c r="FA117" i="25"/>
  <c r="EJ117" i="25"/>
  <c r="EB139" i="25"/>
  <c r="EA139" i="25"/>
  <c r="DV170" i="25"/>
  <c r="DX170" i="25" s="1"/>
  <c r="EC170" i="25" s="1"/>
  <c r="EL170" i="25"/>
  <c r="EK170" i="25"/>
  <c r="EN170" i="25" s="1"/>
  <c r="DT170" i="25"/>
  <c r="EB38" i="25"/>
  <c r="EA38" i="25"/>
  <c r="DV162" i="25"/>
  <c r="EL162" i="25"/>
  <c r="EK162" i="25"/>
  <c r="EN162" i="25" s="1"/>
  <c r="DT162" i="25"/>
  <c r="EY162" i="25"/>
  <c r="EJ162" i="25"/>
  <c r="FA162" i="25"/>
  <c r="DV61" i="25"/>
  <c r="EL61" i="25"/>
  <c r="EK61" i="25"/>
  <c r="EN61" i="25" s="1"/>
  <c r="DT61" i="25"/>
  <c r="EJ61" i="25"/>
  <c r="FA61" i="25"/>
  <c r="EY61" i="25"/>
  <c r="EB12" i="25"/>
  <c r="EA12" i="25"/>
  <c r="DV199" i="25"/>
  <c r="DX199" i="25" s="1"/>
  <c r="EC199" i="25" s="1"/>
  <c r="EL199" i="25"/>
  <c r="EK199" i="25"/>
  <c r="EN199" i="25" s="1"/>
  <c r="EY170" i="25"/>
  <c r="EY80" i="25"/>
  <c r="FA88" i="25"/>
  <c r="DV95" i="25"/>
  <c r="DX95" i="25" s="1"/>
  <c r="EC95" i="25" s="1"/>
  <c r="EK95" i="25"/>
  <c r="EN95" i="25" s="1"/>
  <c r="EL95" i="25"/>
  <c r="DV202" i="25"/>
  <c r="EL202" i="25"/>
  <c r="EK202" i="25"/>
  <c r="EN202" i="25" s="1"/>
  <c r="EY202" i="25"/>
  <c r="EJ202" i="25"/>
  <c r="FA202" i="25"/>
  <c r="EB45" i="25"/>
  <c r="EA45" i="25"/>
  <c r="DV171" i="25"/>
  <c r="DX171" i="25" s="1"/>
  <c r="EC171" i="25" s="1"/>
  <c r="EL171" i="25"/>
  <c r="EK171" i="25"/>
  <c r="EN171" i="25" s="1"/>
  <c r="DT171" i="25"/>
  <c r="DV316" i="25"/>
  <c r="DT316" i="25"/>
  <c r="EB143" i="25"/>
  <c r="EA143" i="25"/>
  <c r="DV159" i="25"/>
  <c r="EK159" i="25"/>
  <c r="EN159" i="25" s="1"/>
  <c r="EL159" i="25"/>
  <c r="DT159" i="25"/>
  <c r="EJ159" i="25"/>
  <c r="FA159" i="25"/>
  <c r="EY159" i="25"/>
  <c r="DV144" i="25"/>
  <c r="EL144" i="25"/>
  <c r="EK144" i="25"/>
  <c r="EN144" i="25" s="1"/>
  <c r="DT144" i="25"/>
  <c r="EY144" i="25"/>
  <c r="EJ144" i="25"/>
  <c r="FA144" i="25"/>
  <c r="DV242" i="25"/>
  <c r="DT242" i="25"/>
  <c r="EY91" i="25"/>
  <c r="DV81" i="25"/>
  <c r="DX81" i="25" s="1"/>
  <c r="EC81" i="25" s="1"/>
  <c r="EL81" i="25"/>
  <c r="EK81" i="25"/>
  <c r="EN81" i="25" s="1"/>
  <c r="DT81" i="25"/>
  <c r="DV34" i="25"/>
  <c r="DX34" i="25" s="1"/>
  <c r="EC34" i="25" s="1"/>
  <c r="EK34" i="25"/>
  <c r="EN34" i="25" s="1"/>
  <c r="EL34" i="25"/>
  <c r="DT34" i="25"/>
  <c r="EJ200" i="25"/>
  <c r="EY137" i="25"/>
  <c r="DV137" i="25"/>
  <c r="DX137" i="25" s="1"/>
  <c r="EC137" i="25" s="1"/>
  <c r="EK137" i="25"/>
  <c r="EN137" i="25" s="1"/>
  <c r="EL137" i="25"/>
  <c r="DT137" i="25"/>
  <c r="DV8" i="25"/>
  <c r="EK8" i="25"/>
  <c r="EN8" i="25" s="1"/>
  <c r="EL8" i="25"/>
  <c r="DT8" i="25"/>
  <c r="FA8" i="25"/>
  <c r="EY8" i="25"/>
  <c r="EJ8" i="25"/>
  <c r="DV226" i="25"/>
  <c r="DT226" i="25"/>
  <c r="DV74" i="25"/>
  <c r="DX74" i="25" s="1"/>
  <c r="EC74" i="25" s="1"/>
  <c r="EL74" i="25"/>
  <c r="EK74" i="25"/>
  <c r="EN74" i="25" s="1"/>
  <c r="DT74" i="25"/>
  <c r="DV217" i="25"/>
  <c r="DT217" i="25"/>
  <c r="EB83" i="25"/>
  <c r="EA83" i="25"/>
  <c r="DV291" i="25"/>
  <c r="DT291" i="25"/>
  <c r="DV153" i="25"/>
  <c r="EL153" i="25"/>
  <c r="EK153" i="25"/>
  <c r="EN153" i="25" s="1"/>
  <c r="DT153" i="25"/>
  <c r="EJ153" i="25"/>
  <c r="FA153" i="25"/>
  <c r="EY153" i="25"/>
  <c r="DV166" i="25"/>
  <c r="EL166" i="25"/>
  <c r="EK166" i="25"/>
  <c r="EN166" i="25" s="1"/>
  <c r="DT166" i="25"/>
  <c r="EJ166" i="25"/>
  <c r="EY166" i="25"/>
  <c r="FA166" i="25"/>
  <c r="DV22" i="25"/>
  <c r="EL22" i="25"/>
  <c r="EK22" i="25"/>
  <c r="EN22" i="25" s="1"/>
  <c r="DT22" i="25"/>
  <c r="EJ22" i="25"/>
  <c r="FA22" i="25"/>
  <c r="EY22" i="25"/>
  <c r="DV156" i="25"/>
  <c r="DX156" i="25" s="1"/>
  <c r="EC156" i="25" s="1"/>
  <c r="EK156" i="25"/>
  <c r="EN156" i="25" s="1"/>
  <c r="EL156" i="25"/>
  <c r="DT156" i="25"/>
  <c r="DV147" i="25"/>
  <c r="DX147" i="25" s="1"/>
  <c r="EC147" i="25" s="1"/>
  <c r="EL147" i="25"/>
  <c r="EK147" i="25"/>
  <c r="EN147" i="25" s="1"/>
  <c r="DT147" i="25"/>
  <c r="DV290" i="25"/>
  <c r="DT290" i="25"/>
  <c r="DV27" i="25"/>
  <c r="DX27" i="25" s="1"/>
  <c r="EC27" i="25" s="1"/>
  <c r="EL27" i="25"/>
  <c r="EK27" i="25"/>
  <c r="EN27" i="25" s="1"/>
  <c r="DT27" i="25"/>
  <c r="DV279" i="25"/>
  <c r="DT279" i="25"/>
  <c r="EY87" i="25"/>
  <c r="EB25" i="25"/>
  <c r="EA25" i="25"/>
  <c r="EB147" i="25"/>
  <c r="EA147" i="25"/>
  <c r="DV158" i="25"/>
  <c r="DX158" i="25" s="1"/>
  <c r="EC158" i="25" s="1"/>
  <c r="EL158" i="25"/>
  <c r="EK158" i="25"/>
  <c r="EN158" i="25" s="1"/>
  <c r="DT158" i="25"/>
  <c r="DV94" i="25"/>
  <c r="EK94" i="25"/>
  <c r="EN94" i="25" s="1"/>
  <c r="EL94" i="25"/>
  <c r="EJ94" i="25"/>
  <c r="EY94" i="25"/>
  <c r="FA94" i="25"/>
  <c r="EB27" i="25"/>
  <c r="EA27" i="25"/>
  <c r="EB137" i="25"/>
  <c r="EA137" i="25"/>
  <c r="DV37" i="25"/>
  <c r="DX37" i="25" s="1"/>
  <c r="EC37" i="25" s="1"/>
  <c r="EL37" i="25"/>
  <c r="EK37" i="25"/>
  <c r="EN37" i="25" s="1"/>
  <c r="DT37" i="25"/>
  <c r="DV218" i="25"/>
  <c r="DT218" i="25"/>
  <c r="DV115" i="25"/>
  <c r="EL115" i="25"/>
  <c r="EK115" i="25"/>
  <c r="EN115" i="25" s="1"/>
  <c r="DT115" i="25"/>
  <c r="EY115" i="25"/>
  <c r="FA115" i="25"/>
  <c r="EJ115" i="25"/>
  <c r="DV83" i="25"/>
  <c r="DX83" i="25" s="1"/>
  <c r="EC83" i="25" s="1"/>
  <c r="EK83" i="25"/>
  <c r="EN83" i="25" s="1"/>
  <c r="EL83" i="25"/>
  <c r="DT83" i="25"/>
  <c r="EB127" i="25"/>
  <c r="EA127" i="25"/>
  <c r="DV17" i="25"/>
  <c r="DX17" i="25" s="1"/>
  <c r="EC17" i="25" s="1"/>
  <c r="EL17" i="25"/>
  <c r="EK17" i="25"/>
  <c r="EN17" i="25" s="1"/>
  <c r="DT17" i="25"/>
  <c r="DV235" i="25"/>
  <c r="DT235" i="25"/>
  <c r="DV26" i="25"/>
  <c r="EL26" i="25"/>
  <c r="EK26" i="25"/>
  <c r="EN26" i="25" s="1"/>
  <c r="DT26" i="25"/>
  <c r="EJ26" i="25"/>
  <c r="EY26" i="25"/>
  <c r="FA26" i="25"/>
  <c r="DV18" i="25"/>
  <c r="EK18" i="25"/>
  <c r="EN18" i="25" s="1"/>
  <c r="EL18" i="25"/>
  <c r="DT18" i="25"/>
  <c r="EY18" i="25"/>
  <c r="EJ18" i="25"/>
  <c r="FA18" i="25"/>
  <c r="EJ60" i="25"/>
  <c r="FA157" i="25"/>
  <c r="DV111" i="25"/>
  <c r="DX111" i="25" s="1"/>
  <c r="EC111" i="25" s="1"/>
  <c r="EK111" i="25"/>
  <c r="EN111" i="25" s="1"/>
  <c r="EL111" i="25"/>
  <c r="DT111" i="25"/>
  <c r="EB187" i="25"/>
  <c r="EA187" i="25"/>
  <c r="DV287" i="25"/>
  <c r="DT287" i="25"/>
  <c r="DV191" i="25"/>
  <c r="DX191" i="25" s="1"/>
  <c r="EC191" i="25" s="1"/>
  <c r="EL191" i="25"/>
  <c r="EK191" i="25"/>
  <c r="EN191" i="25" s="1"/>
  <c r="DT191" i="25"/>
  <c r="DV245" i="25"/>
  <c r="DT245" i="25"/>
  <c r="EB158" i="25"/>
  <c r="EA158" i="25"/>
  <c r="DV233" i="25"/>
  <c r="DT233" i="25"/>
  <c r="DV57" i="25"/>
  <c r="EL57" i="25"/>
  <c r="EK57" i="25"/>
  <c r="EN57" i="25" s="1"/>
  <c r="DT57" i="25"/>
  <c r="EJ57" i="25"/>
  <c r="EY57" i="25"/>
  <c r="FA57" i="25"/>
  <c r="FA177" i="25"/>
  <c r="FA122" i="25"/>
  <c r="EJ29" i="25"/>
  <c r="DT131" i="25"/>
  <c r="DV131" i="25"/>
  <c r="DX131" i="25" s="1"/>
  <c r="EC131" i="25" s="1"/>
  <c r="EL131" i="25"/>
  <c r="EK131" i="25"/>
  <c r="EN131" i="25" s="1"/>
  <c r="EJ170" i="25"/>
  <c r="EB168" i="25"/>
  <c r="EA168" i="25"/>
  <c r="EY96" i="25"/>
  <c r="EB35" i="25"/>
  <c r="EA35" i="25"/>
  <c r="EY88" i="25"/>
  <c r="DV49" i="25"/>
  <c r="DX49" i="25" s="1"/>
  <c r="EC49" i="25" s="1"/>
  <c r="EK49" i="25"/>
  <c r="EN49" i="25" s="1"/>
  <c r="EL49" i="25"/>
  <c r="DT49" i="25"/>
  <c r="DV220" i="25"/>
  <c r="DT220" i="25"/>
  <c r="DV24" i="25"/>
  <c r="DX24" i="25" s="1"/>
  <c r="EC24" i="25" s="1"/>
  <c r="EK24" i="25"/>
  <c r="EN24" i="25" s="1"/>
  <c r="EL24" i="25"/>
  <c r="DT24" i="25"/>
  <c r="DV168" i="25"/>
  <c r="DX168" i="25" s="1"/>
  <c r="EC168" i="25" s="1"/>
  <c r="EK168" i="25"/>
  <c r="EN168" i="25" s="1"/>
  <c r="EL168" i="25"/>
  <c r="DT168" i="25"/>
  <c r="DV21" i="25"/>
  <c r="EK21" i="25"/>
  <c r="EN21" i="25" s="1"/>
  <c r="EL21" i="25"/>
  <c r="DT21" i="25"/>
  <c r="FA21" i="25"/>
  <c r="EY21" i="25"/>
  <c r="EJ21" i="25"/>
  <c r="FA206" i="25"/>
  <c r="DV206" i="25"/>
  <c r="EK206" i="25"/>
  <c r="EN206" i="25" s="1"/>
  <c r="EL206" i="25"/>
  <c r="EY206" i="25"/>
  <c r="EJ206" i="25"/>
  <c r="DV312" i="25"/>
  <c r="DT312" i="25"/>
  <c r="EJ174" i="25"/>
  <c r="EB200" i="25"/>
  <c r="EA200" i="25"/>
  <c r="DV254" i="25"/>
  <c r="DT254" i="25"/>
  <c r="DV80" i="25"/>
  <c r="DX80" i="25" s="1"/>
  <c r="EC80" i="25" s="1"/>
  <c r="EK80" i="25"/>
  <c r="EN80" i="25" s="1"/>
  <c r="EL80" i="25"/>
  <c r="DT80" i="25"/>
  <c r="EY74" i="25"/>
  <c r="DV135" i="25"/>
  <c r="EL135" i="25"/>
  <c r="EK135" i="25"/>
  <c r="EN135" i="25" s="1"/>
  <c r="DT135" i="25"/>
  <c r="FA135" i="25"/>
  <c r="EJ135" i="25"/>
  <c r="EY135" i="25"/>
  <c r="DV229" i="25"/>
  <c r="DT229" i="25"/>
  <c r="EB34" i="25"/>
  <c r="EA34" i="25"/>
  <c r="DV262" i="25"/>
  <c r="DT262" i="25"/>
  <c r="DV228" i="25"/>
  <c r="DT228" i="25"/>
  <c r="DV165" i="25"/>
  <c r="EK165" i="25"/>
  <c r="EN165" i="25" s="1"/>
  <c r="EL165" i="25"/>
  <c r="DT165" i="25"/>
  <c r="EJ165" i="25"/>
  <c r="EY165" i="25"/>
  <c r="FA165" i="25"/>
  <c r="DV188" i="25"/>
  <c r="EK188" i="25"/>
  <c r="EN188" i="25" s="1"/>
  <c r="EL188" i="25"/>
  <c r="DT188" i="25"/>
  <c r="EY188" i="25"/>
  <c r="EJ188" i="25"/>
  <c r="FA188" i="25"/>
  <c r="DV248" i="25"/>
  <c r="DT248" i="25"/>
  <c r="DV192" i="25"/>
  <c r="EL192" i="25"/>
  <c r="EK192" i="25"/>
  <c r="EN192" i="25" s="1"/>
  <c r="DT192" i="25"/>
  <c r="EJ192" i="25"/>
  <c r="FA192" i="25"/>
  <c r="EY192" i="25"/>
  <c r="EB199" i="25"/>
  <c r="EA199" i="25"/>
  <c r="EB33" i="25"/>
  <c r="EA33" i="25"/>
  <c r="DV118" i="25"/>
  <c r="EL118" i="25"/>
  <c r="EK118" i="25"/>
  <c r="EN118" i="25" s="1"/>
  <c r="DT118" i="25"/>
  <c r="EJ118" i="25"/>
  <c r="EY118" i="25"/>
  <c r="FA118" i="25"/>
  <c r="EB40" i="25"/>
  <c r="EA40" i="25"/>
  <c r="DV47" i="25"/>
  <c r="DX47" i="25" s="1"/>
  <c r="EC47" i="25" s="1"/>
  <c r="EK47" i="25"/>
  <c r="EN47" i="25" s="1"/>
  <c r="EL47" i="25"/>
  <c r="DT47" i="25"/>
  <c r="FA156" i="25"/>
  <c r="FA90" i="25"/>
  <c r="EB92" i="25"/>
  <c r="EA92" i="25"/>
  <c r="EJ42" i="25"/>
  <c r="EB58" i="25"/>
  <c r="EA58" i="25"/>
  <c r="DV185" i="25"/>
  <c r="DX185" i="25" s="1"/>
  <c r="EC185" i="25" s="1"/>
  <c r="EL185" i="25"/>
  <c r="EK185" i="25"/>
  <c r="EN185" i="25" s="1"/>
  <c r="DT185" i="25"/>
  <c r="EB15" i="25"/>
  <c r="EA15" i="25"/>
  <c r="DV124" i="25"/>
  <c r="EL124" i="25"/>
  <c r="EK124" i="25"/>
  <c r="EN124" i="25" s="1"/>
  <c r="DT124" i="25"/>
  <c r="FA124" i="25"/>
  <c r="EY124" i="25"/>
  <c r="EJ124" i="25"/>
  <c r="DV251" i="25"/>
  <c r="DT251" i="25"/>
  <c r="DV30" i="25"/>
  <c r="EK30" i="25"/>
  <c r="EN30" i="25" s="1"/>
  <c r="EL30" i="25"/>
  <c r="DT30" i="25"/>
  <c r="FA30" i="25"/>
  <c r="EY30" i="25"/>
  <c r="EJ30" i="25"/>
  <c r="EB173" i="25"/>
  <c r="EA173" i="25"/>
  <c r="DV204" i="25"/>
  <c r="EL204" i="25"/>
  <c r="EK204" i="25"/>
  <c r="EN204" i="25" s="1"/>
  <c r="EY204" i="25"/>
  <c r="FA204" i="25"/>
  <c r="EJ204" i="25"/>
  <c r="DV31" i="25"/>
  <c r="EL31" i="25"/>
  <c r="EK31" i="25"/>
  <c r="EN31" i="25" s="1"/>
  <c r="DT31" i="25"/>
  <c r="EY31" i="25"/>
  <c r="FA31" i="25"/>
  <c r="EJ31" i="25"/>
  <c r="DV249" i="25"/>
  <c r="DT249" i="25"/>
  <c r="DV313" i="25"/>
  <c r="DT313" i="25"/>
  <c r="EY126" i="25"/>
  <c r="DV33" i="25"/>
  <c r="DX33" i="25" s="1"/>
  <c r="EC33" i="25" s="1"/>
  <c r="EL33" i="25"/>
  <c r="EK33" i="25"/>
  <c r="EN33" i="25" s="1"/>
  <c r="DT33" i="25"/>
  <c r="EB78" i="25"/>
  <c r="EA78" i="25"/>
  <c r="DV304" i="25"/>
  <c r="DT304" i="25"/>
  <c r="EJ64" i="25"/>
  <c r="EY157" i="25"/>
  <c r="DV98" i="25"/>
  <c r="DX98" i="25" s="1"/>
  <c r="EC98" i="25" s="1"/>
  <c r="EK98" i="25"/>
  <c r="EN98" i="25" s="1"/>
  <c r="EL98" i="25"/>
  <c r="EB203" i="25"/>
  <c r="EA203" i="25"/>
  <c r="DV184" i="25"/>
  <c r="EL184" i="25"/>
  <c r="EK184" i="25"/>
  <c r="EN184" i="25" s="1"/>
  <c r="DT184" i="25"/>
  <c r="FA184" i="25"/>
  <c r="EJ184" i="25"/>
  <c r="EY184" i="25"/>
  <c r="EJ111" i="25"/>
  <c r="DV283" i="25"/>
  <c r="DT283" i="25"/>
  <c r="DV234" i="25"/>
  <c r="DT234" i="25"/>
  <c r="DV71" i="25"/>
  <c r="EL71" i="25"/>
  <c r="EK71" i="25"/>
  <c r="EN71" i="25" s="1"/>
  <c r="DT71" i="25"/>
  <c r="EJ71" i="25"/>
  <c r="EY71" i="25"/>
  <c r="FA71" i="25"/>
  <c r="DV278" i="25"/>
  <c r="DT278" i="25"/>
  <c r="EY145" i="25"/>
  <c r="DV311" i="25"/>
  <c r="DT311" i="25"/>
  <c r="DV38" i="25"/>
  <c r="DX38" i="25" s="1"/>
  <c r="EC38" i="25" s="1"/>
  <c r="EL38" i="25"/>
  <c r="EK38" i="25"/>
  <c r="EN38" i="25" s="1"/>
  <c r="DT38" i="25"/>
  <c r="EB175" i="25"/>
  <c r="EA175" i="25"/>
  <c r="EY13" i="25"/>
  <c r="EJ49" i="25"/>
  <c r="EJ65" i="25"/>
  <c r="EJ122" i="25"/>
  <c r="EB164" i="25"/>
  <c r="EA164" i="25"/>
  <c r="EB170" i="25"/>
  <c r="EA170" i="25"/>
  <c r="EB80" i="25"/>
  <c r="EA80" i="25"/>
  <c r="EJ96" i="25"/>
  <c r="DV46" i="25"/>
  <c r="EL46" i="25"/>
  <c r="EK46" i="25"/>
  <c r="EN46" i="25" s="1"/>
  <c r="DT46" i="25"/>
  <c r="FA46" i="25"/>
  <c r="EY46" i="25"/>
  <c r="EJ46" i="25"/>
  <c r="DV123" i="25"/>
  <c r="EK123" i="25"/>
  <c r="EN123" i="25" s="1"/>
  <c r="EL123" i="25"/>
  <c r="DT123" i="25"/>
  <c r="EY123" i="25"/>
  <c r="EJ123" i="25"/>
  <c r="FA123" i="25"/>
  <c r="DV230" i="25"/>
  <c r="DT230" i="25"/>
  <c r="DV86" i="25"/>
  <c r="DX86" i="25" s="1"/>
  <c r="EC86" i="25" s="1"/>
  <c r="EK86" i="25"/>
  <c r="EN86" i="25" s="1"/>
  <c r="EL86" i="25"/>
  <c r="DT86" i="25"/>
  <c r="EB59" i="25"/>
  <c r="EA59" i="25"/>
  <c r="DV59" i="25"/>
  <c r="DX59" i="25" s="1"/>
  <c r="EC59" i="25" s="1"/>
  <c r="EL59" i="25"/>
  <c r="EK59" i="25"/>
  <c r="EN59" i="25" s="1"/>
  <c r="DT59" i="25"/>
  <c r="DV186" i="25"/>
  <c r="EK186" i="25"/>
  <c r="EN186" i="25" s="1"/>
  <c r="EL186" i="25"/>
  <c r="DT186" i="25"/>
  <c r="EY186" i="25"/>
  <c r="EJ186" i="25"/>
  <c r="FA186" i="25"/>
  <c r="DV198" i="25"/>
  <c r="EK198" i="25"/>
  <c r="EN198" i="25" s="1"/>
  <c r="EL198" i="25"/>
  <c r="FA198" i="25"/>
  <c r="EJ198" i="25"/>
  <c r="EY198" i="25"/>
  <c r="DV280" i="25"/>
  <c r="DT280" i="25"/>
  <c r="FA185" i="25"/>
  <c r="EJ69" i="25"/>
  <c r="DV69" i="25"/>
  <c r="EL69" i="25"/>
  <c r="EK69" i="25"/>
  <c r="EN69" i="25" s="1"/>
  <c r="DT69" i="25"/>
  <c r="FA69" i="25"/>
  <c r="EY69" i="25"/>
  <c r="DV72" i="25"/>
  <c r="DX72" i="25" s="1"/>
  <c r="EC72" i="25" s="1"/>
  <c r="EK72" i="25"/>
  <c r="EN72" i="25" s="1"/>
  <c r="EL72" i="25"/>
  <c r="DT72" i="25"/>
  <c r="DV282" i="25"/>
  <c r="DT282" i="25"/>
  <c r="EJ35" i="25"/>
  <c r="DV35" i="25"/>
  <c r="DX35" i="25" s="1"/>
  <c r="EC35" i="25" s="1"/>
  <c r="EK35" i="25"/>
  <c r="EN35" i="25" s="1"/>
  <c r="EL35" i="25"/>
  <c r="DT35" i="25"/>
  <c r="FA89" i="25"/>
  <c r="DV187" i="25"/>
  <c r="DX187" i="25" s="1"/>
  <c r="EC187" i="25" s="1"/>
  <c r="EK187" i="25"/>
  <c r="EN187" i="25" s="1"/>
  <c r="EL187" i="25"/>
  <c r="DT187" i="25"/>
  <c r="DV237" i="25"/>
  <c r="DT237" i="25"/>
  <c r="EB91" i="25"/>
  <c r="EA91" i="25"/>
  <c r="EY178" i="25"/>
  <c r="DV193" i="25"/>
  <c r="DX193" i="25" s="1"/>
  <c r="EC193" i="25" s="1"/>
  <c r="EL193" i="25"/>
  <c r="EK193" i="25"/>
  <c r="EN193" i="25" s="1"/>
  <c r="DT193" i="25"/>
  <c r="EY95" i="25"/>
  <c r="DV257" i="25"/>
  <c r="DT257" i="25"/>
  <c r="EJ131" i="25"/>
  <c r="EY174" i="25"/>
  <c r="DV103" i="25"/>
  <c r="DX103" i="25" s="1"/>
  <c r="EC103" i="25" s="1"/>
  <c r="EL103" i="25"/>
  <c r="EK103" i="25"/>
  <c r="EN103" i="25" s="1"/>
  <c r="DV78" i="25"/>
  <c r="DX78" i="25" s="1"/>
  <c r="EC78" i="25" s="1"/>
  <c r="EL78" i="25"/>
  <c r="EK78" i="25"/>
  <c r="EN78" i="25" s="1"/>
  <c r="DT78" i="25"/>
  <c r="FA74" i="25"/>
  <c r="DV127" i="25"/>
  <c r="DX127" i="25" s="1"/>
  <c r="EC127" i="25" s="1"/>
  <c r="EL127" i="25"/>
  <c r="EK127" i="25"/>
  <c r="EN127" i="25" s="1"/>
  <c r="DT127" i="25"/>
  <c r="FA130" i="25"/>
  <c r="DV130" i="25"/>
  <c r="EL130" i="25"/>
  <c r="EK130" i="25"/>
  <c r="EN130" i="25" s="1"/>
  <c r="DT130" i="25"/>
  <c r="EY130" i="25"/>
  <c r="EJ130" i="25"/>
  <c r="DV267" i="25"/>
  <c r="DT267" i="25"/>
  <c r="EB191" i="25"/>
  <c r="EA191" i="25"/>
  <c r="DV308" i="25"/>
  <c r="DT308" i="25"/>
  <c r="DV292" i="25"/>
  <c r="DT292" i="25"/>
  <c r="DV177" i="25"/>
  <c r="DX177" i="25" s="1"/>
  <c r="EC177" i="25" s="1"/>
  <c r="EK177" i="25"/>
  <c r="EN177" i="25" s="1"/>
  <c r="EL177" i="25"/>
  <c r="DT177" i="25"/>
  <c r="DV100" i="25"/>
  <c r="DX100" i="25" s="1"/>
  <c r="EC100" i="25" s="1"/>
  <c r="EK100" i="25"/>
  <c r="EN100" i="25" s="1"/>
  <c r="EL100" i="25"/>
  <c r="EB87" i="25"/>
  <c r="EA87" i="25"/>
  <c r="DV154" i="25"/>
  <c r="EL154" i="25"/>
  <c r="EK154" i="25"/>
  <c r="EN154" i="25" s="1"/>
  <c r="DT154" i="25"/>
  <c r="EY154" i="25"/>
  <c r="EJ154" i="25"/>
  <c r="FA154" i="25"/>
  <c r="DV82" i="25"/>
  <c r="EL82" i="25"/>
  <c r="EK82" i="25"/>
  <c r="EN82" i="25" s="1"/>
  <c r="DT82" i="25"/>
  <c r="FA82" i="25"/>
  <c r="EY82" i="25"/>
  <c r="EJ82" i="25"/>
  <c r="DV281" i="25"/>
  <c r="DT281" i="25"/>
  <c r="DV288" i="25"/>
  <c r="DT288" i="25"/>
  <c r="EB129" i="25"/>
  <c r="EA129" i="25"/>
  <c r="DV15" i="25"/>
  <c r="DX15" i="25" s="1"/>
  <c r="EC15" i="25" s="1"/>
  <c r="EK15" i="25"/>
  <c r="EN15" i="25" s="1"/>
  <c r="EL15" i="25"/>
  <c r="DT15" i="25"/>
  <c r="EB47" i="25"/>
  <c r="EA47" i="25"/>
  <c r="DV133" i="25"/>
  <c r="EK133" i="25"/>
  <c r="EN133" i="25" s="1"/>
  <c r="EL133" i="25"/>
  <c r="DT133" i="25"/>
  <c r="EJ133" i="25"/>
  <c r="EY133" i="25"/>
  <c r="FA133" i="25"/>
  <c r="DV239" i="25"/>
  <c r="DT239" i="25"/>
  <c r="EJ156" i="25"/>
  <c r="EJ90" i="25"/>
  <c r="DV76" i="25"/>
  <c r="EK76" i="25"/>
  <c r="EN76" i="25" s="1"/>
  <c r="EL76" i="25"/>
  <c r="DT76" i="25"/>
  <c r="FA76" i="25"/>
  <c r="EJ76" i="25"/>
  <c r="EY76" i="25"/>
  <c r="DV284" i="25"/>
  <c r="DT284" i="25"/>
  <c r="DV7" i="25"/>
  <c r="EK7" i="25"/>
  <c r="EN7" i="25" s="1"/>
  <c r="EL7" i="25"/>
  <c r="DT7" i="25"/>
  <c r="EJ7" i="25"/>
  <c r="EY7" i="25"/>
  <c r="FA7" i="25"/>
  <c r="DV197" i="25"/>
  <c r="EL197" i="25"/>
  <c r="EK197" i="25"/>
  <c r="EN197" i="25" s="1"/>
  <c r="FA197" i="25"/>
  <c r="EY197" i="25"/>
  <c r="EJ197" i="25"/>
  <c r="DV196" i="25"/>
  <c r="EL196" i="25"/>
  <c r="EK196" i="25"/>
  <c r="EN196" i="25" s="1"/>
  <c r="EY196" i="25"/>
  <c r="FA196" i="25"/>
  <c r="EJ196" i="25"/>
  <c r="DV88" i="25"/>
  <c r="DX88" i="25" s="1"/>
  <c r="EC88" i="25" s="1"/>
  <c r="EK88" i="25"/>
  <c r="EN88" i="25" s="1"/>
  <c r="EL88" i="25"/>
  <c r="DT88" i="25"/>
  <c r="DV240" i="25"/>
  <c r="DT240" i="25"/>
  <c r="EY43" i="25"/>
  <c r="FA126" i="25"/>
  <c r="DX138" i="25"/>
  <c r="EC138" i="25" s="1"/>
  <c r="FA64" i="25"/>
  <c r="EB60" i="25"/>
  <c r="EA60" i="25"/>
  <c r="DV55" i="25"/>
  <c r="EL55" i="25"/>
  <c r="EK55" i="25"/>
  <c r="EN55" i="25" s="1"/>
  <c r="DT55" i="25"/>
  <c r="EY55" i="25"/>
  <c r="EJ55" i="25"/>
  <c r="FA55" i="25"/>
  <c r="DV275" i="25"/>
  <c r="DT275" i="25"/>
  <c r="DV128" i="25"/>
  <c r="DX128" i="25" s="1"/>
  <c r="EC128" i="25" s="1"/>
  <c r="EL128" i="25"/>
  <c r="EK128" i="25"/>
  <c r="EN128" i="25" s="1"/>
  <c r="DT128" i="25"/>
  <c r="DV309" i="25"/>
  <c r="DT309" i="25"/>
  <c r="FA111" i="25"/>
  <c r="DV14" i="25"/>
  <c r="DX14" i="25" s="1"/>
  <c r="EC14" i="25" s="1"/>
  <c r="EK14" i="25"/>
  <c r="EN14" i="25" s="1"/>
  <c r="EL14" i="25"/>
  <c r="DT14" i="25"/>
  <c r="DV79" i="25"/>
  <c r="DX79" i="25" s="1"/>
  <c r="EC79" i="25" s="1"/>
  <c r="EK79" i="25"/>
  <c r="EN79" i="25" s="1"/>
  <c r="EL79" i="25"/>
  <c r="DT79" i="25"/>
  <c r="EB105" i="25"/>
  <c r="EA105" i="25"/>
  <c r="DV274" i="25"/>
  <c r="DT274" i="25"/>
  <c r="EB48" i="25"/>
  <c r="EA48" i="25"/>
  <c r="DV261" i="25"/>
  <c r="DT261" i="25"/>
  <c r="FA13" i="25"/>
  <c r="EY177" i="25"/>
  <c r="EB49" i="25"/>
  <c r="EA49" i="25"/>
  <c r="FA65" i="25"/>
  <c r="EB29" i="25"/>
  <c r="EA29" i="25"/>
  <c r="FA77" i="25"/>
  <c r="DV314" i="25"/>
  <c r="DT314" i="25"/>
  <c r="DV62" i="25"/>
  <c r="EK62" i="25"/>
  <c r="EN62" i="25" s="1"/>
  <c r="EL62" i="25"/>
  <c r="DT62" i="25"/>
  <c r="FA62" i="25"/>
  <c r="EY62" i="25"/>
  <c r="EJ62" i="25"/>
  <c r="FA96" i="25"/>
  <c r="EB88" i="25"/>
  <c r="EA88" i="25"/>
  <c r="DV48" i="25"/>
  <c r="DX48" i="25" s="1"/>
  <c r="EC48" i="25" s="1"/>
  <c r="EK48" i="25"/>
  <c r="EN48" i="25" s="1"/>
  <c r="EL48" i="25"/>
  <c r="DT48" i="25"/>
  <c r="DV302" i="25"/>
  <c r="DT302" i="25"/>
  <c r="DV16" i="25"/>
  <c r="EL16" i="25"/>
  <c r="EK16" i="25"/>
  <c r="EN16" i="25" s="1"/>
  <c r="DT16" i="25"/>
  <c r="FA16" i="25"/>
  <c r="EY16" i="25"/>
  <c r="EJ16" i="25"/>
  <c r="DV110" i="25"/>
  <c r="EL110" i="25"/>
  <c r="EK110" i="25"/>
  <c r="EN110" i="25" s="1"/>
  <c r="DT110" i="25"/>
  <c r="FA110" i="25"/>
  <c r="EY110" i="25"/>
  <c r="EJ110" i="25"/>
  <c r="EJ171" i="25"/>
  <c r="EJ185" i="25"/>
  <c r="EJ89" i="25"/>
  <c r="EJ51" i="25"/>
  <c r="FA178" i="25"/>
  <c r="EB103" i="25"/>
  <c r="EA103" i="25"/>
  <c r="FA95" i="25"/>
  <c r="EY131" i="25"/>
  <c r="DV241" i="25"/>
  <c r="DT241" i="25"/>
  <c r="DV263" i="25"/>
  <c r="DT263" i="25"/>
  <c r="DV227" i="25"/>
  <c r="DT227" i="25"/>
  <c r="EB74" i="25"/>
  <c r="EA74" i="25"/>
  <c r="DV32" i="25"/>
  <c r="EL32" i="25"/>
  <c r="EK32" i="25"/>
  <c r="EN32" i="25" s="1"/>
  <c r="DT32" i="25"/>
  <c r="EY32" i="25"/>
  <c r="FA32" i="25"/>
  <c r="EJ32" i="25"/>
  <c r="DV289" i="25"/>
  <c r="DT289" i="25"/>
  <c r="EB98" i="25"/>
  <c r="EA98" i="25"/>
  <c r="EB81" i="25"/>
  <c r="EA81" i="25"/>
  <c r="DV306" i="25"/>
  <c r="DT306" i="25"/>
  <c r="DV54" i="25"/>
  <c r="EK54" i="25"/>
  <c r="EN54" i="25" s="1"/>
  <c r="EL54" i="25"/>
  <c r="DT54" i="25"/>
  <c r="EY54" i="25"/>
  <c r="EJ54" i="25"/>
  <c r="FA54" i="25"/>
  <c r="DV145" i="25"/>
  <c r="DX145" i="25" s="1"/>
  <c r="EC145" i="25" s="1"/>
  <c r="EL145" i="25"/>
  <c r="EK145" i="25"/>
  <c r="EN145" i="25" s="1"/>
  <c r="DT145" i="25"/>
  <c r="DV232" i="25"/>
  <c r="DT232" i="25"/>
  <c r="DV270" i="25"/>
  <c r="DT270" i="25"/>
  <c r="DV45" i="25"/>
  <c r="DX45" i="25" s="1"/>
  <c r="EC45" i="25" s="1"/>
  <c r="EL45" i="25"/>
  <c r="EK45" i="25"/>
  <c r="EN45" i="25" s="1"/>
  <c r="DT45" i="25"/>
  <c r="EB86" i="25"/>
  <c r="EA86" i="25"/>
  <c r="EY156" i="25"/>
  <c r="EY90" i="25"/>
  <c r="EB42" i="25"/>
  <c r="EA42" i="25"/>
  <c r="DV42" i="25"/>
  <c r="DX42" i="25" s="1"/>
  <c r="EC42" i="25" s="1"/>
  <c r="EL42" i="25"/>
  <c r="EK42" i="25"/>
  <c r="EN42" i="25" s="1"/>
  <c r="DT42" i="25"/>
  <c r="DV60" i="25"/>
  <c r="DX60" i="25" s="1"/>
  <c r="EC60" i="25" s="1"/>
  <c r="EK60" i="25"/>
  <c r="EN60" i="25" s="1"/>
  <c r="EL60" i="25"/>
  <c r="DT60" i="25"/>
  <c r="DV9" i="25"/>
  <c r="DX9" i="25" s="1"/>
  <c r="EC9" i="25" s="1"/>
  <c r="EK9" i="25"/>
  <c r="EN9" i="25" s="1"/>
  <c r="EL9" i="25"/>
  <c r="DT9" i="25"/>
  <c r="DV149" i="25"/>
  <c r="EL149" i="25"/>
  <c r="EK149" i="25"/>
  <c r="EN149" i="25" s="1"/>
  <c r="DT149" i="25"/>
  <c r="FA149" i="25"/>
  <c r="EY149" i="25"/>
  <c r="EJ149" i="25"/>
  <c r="DV41" i="25"/>
  <c r="EL41" i="25"/>
  <c r="EK41" i="25"/>
  <c r="EN41" i="25" s="1"/>
  <c r="DT41" i="25"/>
  <c r="FA41" i="25"/>
  <c r="EJ41" i="25"/>
  <c r="EY41" i="25"/>
  <c r="EJ37" i="25"/>
  <c r="DV11" i="25"/>
  <c r="EK11" i="25"/>
  <c r="EN11" i="25" s="1"/>
  <c r="EL11" i="25"/>
  <c r="DT11" i="25"/>
  <c r="EY11" i="25"/>
  <c r="FA11" i="25"/>
  <c r="EJ11" i="25"/>
  <c r="EJ179" i="25"/>
  <c r="EY64" i="25"/>
  <c r="FA60" i="25"/>
  <c r="DV276" i="25"/>
  <c r="DT276" i="25"/>
  <c r="DV225" i="25"/>
  <c r="DT225" i="25"/>
  <c r="EB157" i="25"/>
  <c r="EA157" i="25"/>
  <c r="DV68" i="25"/>
  <c r="EK68" i="25"/>
  <c r="EN68" i="25" s="1"/>
  <c r="EL68" i="25"/>
  <c r="DT68" i="25"/>
  <c r="EJ68" i="25"/>
  <c r="FA68" i="25"/>
  <c r="EY68" i="25"/>
  <c r="EY111" i="25"/>
  <c r="DV209" i="25"/>
  <c r="EK209" i="25"/>
  <c r="EN209" i="25" s="1"/>
  <c r="EL209" i="25"/>
  <c r="EJ209" i="25"/>
  <c r="EY209" i="25"/>
  <c r="FA209" i="25"/>
  <c r="DV210" i="25"/>
  <c r="DX210" i="25" s="1"/>
  <c r="EC210" i="25" s="1"/>
  <c r="EK210" i="25"/>
  <c r="EN210" i="25" s="1"/>
  <c r="EL210" i="25"/>
  <c r="FA145" i="25"/>
  <c r="DV99" i="25"/>
  <c r="DX99" i="25" s="1"/>
  <c r="EC99" i="25" s="1"/>
  <c r="EL99" i="25"/>
  <c r="EK99" i="25"/>
  <c r="EN99" i="25" s="1"/>
  <c r="EB13" i="25"/>
  <c r="EA13" i="25"/>
  <c r="EB177" i="25"/>
  <c r="EA177" i="25"/>
  <c r="EB122" i="25"/>
  <c r="EA122" i="25"/>
  <c r="DV10" i="25"/>
  <c r="EK10" i="25"/>
  <c r="EN10" i="25" s="1"/>
  <c r="EL10" i="25"/>
  <c r="DT10" i="25"/>
  <c r="FA10" i="25"/>
  <c r="EY10" i="25"/>
  <c r="EJ10" i="25"/>
  <c r="EJ77" i="25"/>
  <c r="DV246" i="25"/>
  <c r="DT246" i="25"/>
  <c r="EB96" i="25"/>
  <c r="EA96" i="25"/>
  <c r="DV175" i="25"/>
  <c r="DX175" i="25" s="1"/>
  <c r="EC175" i="25" s="1"/>
  <c r="EK175" i="25"/>
  <c r="EN175" i="25" s="1"/>
  <c r="EL175" i="25"/>
  <c r="DT175" i="25"/>
  <c r="DV189" i="25"/>
  <c r="DX189" i="25" s="1"/>
  <c r="EC189" i="25" s="1"/>
  <c r="EK189" i="25"/>
  <c r="EN189" i="25" s="1"/>
  <c r="EL189" i="25"/>
  <c r="DT189" i="25"/>
  <c r="DV265" i="25"/>
  <c r="DT265" i="25"/>
  <c r="EY189" i="25"/>
  <c r="EY185" i="25"/>
  <c r="FA56" i="25"/>
  <c r="FA9" i="25"/>
  <c r="DV148" i="25"/>
  <c r="EL148" i="25"/>
  <c r="EK148" i="25"/>
  <c r="EN148" i="25" s="1"/>
  <c r="DT148" i="25"/>
  <c r="FA148" i="25"/>
  <c r="EY148" i="25"/>
  <c r="EJ148" i="25"/>
  <c r="DV315" i="25"/>
  <c r="DT315" i="25"/>
  <c r="EB178" i="25"/>
  <c r="EA178" i="25"/>
  <c r="DV119" i="25"/>
  <c r="DX119" i="25" s="1"/>
  <c r="EC119" i="25" s="1"/>
  <c r="EL119" i="25"/>
  <c r="EK119" i="25"/>
  <c r="EN119" i="25" s="1"/>
  <c r="DT119" i="25"/>
  <c r="EJ95" i="25"/>
  <c r="DV121" i="25"/>
  <c r="DX121" i="25" s="1"/>
  <c r="EC121" i="25" s="1"/>
  <c r="EL121" i="25"/>
  <c r="EK121" i="25"/>
  <c r="EN121" i="25" s="1"/>
  <c r="DT121" i="25"/>
  <c r="FA131" i="25"/>
  <c r="EB174" i="25"/>
  <c r="EA174" i="25"/>
  <c r="DV296" i="25"/>
  <c r="DT296" i="25"/>
  <c r="DV114" i="25"/>
  <c r="EK114" i="25"/>
  <c r="EN114" i="25" s="1"/>
  <c r="EL114" i="25"/>
  <c r="DT114" i="25"/>
  <c r="FA114" i="25"/>
  <c r="EY114" i="25"/>
  <c r="EJ114" i="25"/>
  <c r="EY132" i="25"/>
  <c r="DV132" i="25"/>
  <c r="EL132" i="25"/>
  <c r="EK132" i="25"/>
  <c r="EN132" i="25" s="1"/>
  <c r="DT132" i="25"/>
  <c r="EJ132" i="25"/>
  <c r="FA132" i="25"/>
  <c r="DV264" i="25"/>
  <c r="DT264" i="25"/>
  <c r="DV89" i="25"/>
  <c r="DX89" i="25" s="1"/>
  <c r="EC89" i="25" s="1"/>
  <c r="EL89" i="25"/>
  <c r="EK89" i="25"/>
  <c r="EN89" i="25" s="1"/>
  <c r="DT89" i="25"/>
  <c r="DV25" i="25"/>
  <c r="DX25" i="25" s="1"/>
  <c r="EC25" i="25" s="1"/>
  <c r="EK25" i="25"/>
  <c r="EN25" i="25" s="1"/>
  <c r="EL25" i="25"/>
  <c r="DT25" i="25"/>
  <c r="EB136" i="25"/>
  <c r="EA136" i="25"/>
  <c r="DV161" i="25"/>
  <c r="EK161" i="25"/>
  <c r="EN161" i="25" s="1"/>
  <c r="EL161" i="25"/>
  <c r="DT161" i="25"/>
  <c r="EJ161" i="25"/>
  <c r="FA161" i="25"/>
  <c r="EY161" i="25"/>
  <c r="EB99" i="25"/>
  <c r="EA99" i="25"/>
  <c r="DV277" i="25"/>
  <c r="DT277" i="25"/>
  <c r="DV65" i="25"/>
  <c r="DX65" i="25" s="1"/>
  <c r="EC65" i="25" s="1"/>
  <c r="EK65" i="25"/>
  <c r="EN65" i="25" s="1"/>
  <c r="EL65" i="25"/>
  <c r="DT65" i="25"/>
  <c r="DV91" i="25"/>
  <c r="DX91" i="25" s="1"/>
  <c r="EC91" i="25" s="1"/>
  <c r="EK91" i="25"/>
  <c r="EN91" i="25" s="1"/>
  <c r="EL91" i="25"/>
  <c r="DV172" i="25"/>
  <c r="EL172" i="25"/>
  <c r="EK172" i="25"/>
  <c r="EN172" i="25" s="1"/>
  <c r="DT172" i="25"/>
  <c r="EJ172" i="25"/>
  <c r="FA172" i="25"/>
  <c r="EY172" i="25"/>
  <c r="DV260" i="25"/>
  <c r="DT260" i="25"/>
  <c r="DV125" i="25"/>
  <c r="EL125" i="25"/>
  <c r="EK125" i="25"/>
  <c r="EN125" i="25" s="1"/>
  <c r="DT125" i="25"/>
  <c r="FA125" i="25"/>
  <c r="EY125" i="25"/>
  <c r="EJ125" i="25"/>
  <c r="EB156" i="25"/>
  <c r="EA156" i="25"/>
  <c r="EB90" i="25"/>
  <c r="EA90" i="25"/>
  <c r="DV190" i="25"/>
  <c r="DX190" i="25" s="1"/>
  <c r="EC190" i="25" s="1"/>
  <c r="EL190" i="25"/>
  <c r="EK190" i="25"/>
  <c r="EN190" i="25" s="1"/>
  <c r="DT190" i="25"/>
  <c r="DV238" i="25"/>
  <c r="DT238" i="25"/>
  <c r="DV176" i="25"/>
  <c r="EK176" i="25"/>
  <c r="EN176" i="25" s="1"/>
  <c r="EL176" i="25"/>
  <c r="DT176" i="25"/>
  <c r="EY176" i="25"/>
  <c r="EJ176" i="25"/>
  <c r="FA176" i="25"/>
  <c r="DV155" i="25"/>
  <c r="EK155" i="25"/>
  <c r="EN155" i="25" s="1"/>
  <c r="EL155" i="25"/>
  <c r="DT155" i="25"/>
  <c r="FA155" i="25"/>
  <c r="EY155" i="25"/>
  <c r="EJ155" i="25"/>
  <c r="DV12" i="25"/>
  <c r="DX12" i="25" s="1"/>
  <c r="EC12" i="25" s="1"/>
  <c r="EL12" i="25"/>
  <c r="EK12" i="25"/>
  <c r="EN12" i="25" s="1"/>
  <c r="DT12" i="25"/>
  <c r="EY37" i="25"/>
  <c r="EB194" i="25"/>
  <c r="EA194" i="25"/>
  <c r="EB181" i="25"/>
  <c r="EA181" i="25"/>
  <c r="EB126" i="25"/>
  <c r="EA126" i="25"/>
  <c r="DV252" i="25"/>
  <c r="DT252" i="25"/>
  <c r="EB64" i="25"/>
  <c r="EA64" i="25"/>
  <c r="FA142" i="25"/>
  <c r="DV142" i="25"/>
  <c r="EK142" i="25"/>
  <c r="EN142" i="25" s="1"/>
  <c r="EL142" i="25"/>
  <c r="DT142" i="25"/>
  <c r="EJ142" i="25"/>
  <c r="EY142" i="25"/>
  <c r="DV36" i="25"/>
  <c r="EK36" i="25"/>
  <c r="EN36" i="25" s="1"/>
  <c r="EL36" i="25"/>
  <c r="DT36" i="25"/>
  <c r="EY36" i="25"/>
  <c r="EJ36" i="25"/>
  <c r="FA36" i="25"/>
  <c r="DV51" i="25"/>
  <c r="DX51" i="25" s="1"/>
  <c r="EC51" i="25" s="1"/>
  <c r="EL51" i="25"/>
  <c r="EK51" i="25"/>
  <c r="EN51" i="25" s="1"/>
  <c r="DT51" i="25"/>
  <c r="EB111" i="25"/>
  <c r="EA111" i="25"/>
  <c r="DV39" i="25"/>
  <c r="EK39" i="25"/>
  <c r="EN39" i="25" s="1"/>
  <c r="EL39" i="25"/>
  <c r="DT39" i="25"/>
  <c r="FA39" i="25"/>
  <c r="EY39" i="25"/>
  <c r="EJ39" i="25"/>
  <c r="EY190" i="25"/>
  <c r="DV273" i="25"/>
  <c r="DT273" i="25"/>
  <c r="EB145" i="25"/>
  <c r="EA145" i="25"/>
  <c r="FA12" i="25"/>
  <c r="EB65" i="25"/>
  <c r="EA65" i="25"/>
  <c r="EY77" i="25"/>
  <c r="DV221" i="25"/>
  <c r="DT221" i="25"/>
  <c r="DV105" i="25"/>
  <c r="DX105" i="25" s="1"/>
  <c r="EC105" i="25" s="1"/>
  <c r="EK105" i="25"/>
  <c r="EN105" i="25" s="1"/>
  <c r="EL105" i="25"/>
  <c r="DV163" i="25"/>
  <c r="EL163" i="25"/>
  <c r="EK163" i="25"/>
  <c r="EN163" i="25" s="1"/>
  <c r="DT163" i="25"/>
  <c r="FA163" i="25"/>
  <c r="EY163" i="25"/>
  <c r="EJ163" i="25"/>
  <c r="DV20" i="25"/>
  <c r="EL20" i="25"/>
  <c r="EK20" i="25"/>
  <c r="EN20" i="25" s="1"/>
  <c r="DT20" i="25"/>
  <c r="EY20" i="25"/>
  <c r="EJ20" i="25"/>
  <c r="FA20" i="25"/>
  <c r="EJ189" i="25"/>
  <c r="DV174" i="25"/>
  <c r="DX174" i="25" s="1"/>
  <c r="EC174" i="25" s="1"/>
  <c r="EL174" i="25"/>
  <c r="EK174" i="25"/>
  <c r="EN174" i="25" s="1"/>
  <c r="DT174" i="25"/>
  <c r="EB185" i="25"/>
  <c r="EA185" i="25"/>
  <c r="EJ45" i="25"/>
  <c r="EJ56" i="25"/>
  <c r="EJ9" i="25"/>
  <c r="DV286" i="25"/>
  <c r="DT286" i="25"/>
  <c r="DV85" i="25"/>
  <c r="EK85" i="25"/>
  <c r="EN85" i="25" s="1"/>
  <c r="EL85" i="25"/>
  <c r="DT85" i="25"/>
  <c r="EJ85" i="25"/>
  <c r="FA85" i="25"/>
  <c r="EY85" i="25"/>
  <c r="EB89" i="25"/>
  <c r="EA89" i="25"/>
  <c r="FA51" i="25"/>
  <c r="DV244" i="25"/>
  <c r="DT244" i="25"/>
  <c r="EB95" i="25"/>
  <c r="EA95" i="25"/>
  <c r="EB180" i="25"/>
  <c r="EA180" i="25"/>
  <c r="EB131" i="25"/>
  <c r="EA131" i="25"/>
  <c r="DV310" i="25"/>
  <c r="DT310" i="25"/>
  <c r="DV305" i="25"/>
  <c r="DT305" i="25"/>
  <c r="DV92" i="25"/>
  <c r="DX92" i="25" s="1"/>
  <c r="EC92" i="25" s="1"/>
  <c r="EK92" i="25"/>
  <c r="EN92" i="25" s="1"/>
  <c r="EL92" i="25"/>
  <c r="EB24" i="25"/>
  <c r="EA24" i="25"/>
  <c r="DV222" i="25"/>
  <c r="DT222" i="25"/>
  <c r="DV6" i="25"/>
  <c r="EK6" i="25"/>
  <c r="EN6" i="25" s="1"/>
  <c r="EL6" i="25"/>
  <c r="DT6" i="25"/>
  <c r="EY6" i="25"/>
  <c r="EJ6" i="25"/>
  <c r="FA6" i="25"/>
  <c r="DV179" i="25"/>
  <c r="DX179" i="25" s="1"/>
  <c r="EC179" i="25" s="1"/>
  <c r="EK179" i="25"/>
  <c r="EN179" i="25" s="1"/>
  <c r="EL179" i="25"/>
  <c r="DT179" i="25"/>
  <c r="EB14" i="25"/>
  <c r="EA14" i="25"/>
  <c r="EB43" i="25"/>
  <c r="EA43" i="25"/>
  <c r="DV293" i="25"/>
  <c r="DT293" i="25"/>
  <c r="FA179" i="25"/>
  <c r="DV66" i="25"/>
  <c r="DX66" i="25" s="1"/>
  <c r="EC66" i="25" s="1"/>
  <c r="EL66" i="25"/>
  <c r="EK66" i="25"/>
  <c r="EN66" i="25" s="1"/>
  <c r="DT66" i="25"/>
  <c r="DV19" i="25"/>
  <c r="EK19" i="25"/>
  <c r="EN19" i="25" s="1"/>
  <c r="EL19" i="25"/>
  <c r="DT19" i="25"/>
  <c r="EJ19" i="25"/>
  <c r="FA19" i="25"/>
  <c r="EY19" i="25"/>
  <c r="FA66" i="25"/>
  <c r="EB128" i="25"/>
  <c r="EA128" i="25"/>
  <c r="DV87" i="25"/>
  <c r="DX87" i="25" s="1"/>
  <c r="EC87" i="25" s="1"/>
  <c r="EL87" i="25"/>
  <c r="EK87" i="25"/>
  <c r="EN87" i="25" s="1"/>
  <c r="DT87" i="25"/>
  <c r="DV84" i="25"/>
  <c r="EK84" i="25"/>
  <c r="EN84" i="25" s="1"/>
  <c r="EL84" i="25"/>
  <c r="DT84" i="25"/>
  <c r="FA84" i="25"/>
  <c r="EJ84" i="25"/>
  <c r="EY84" i="25"/>
  <c r="DV256" i="25"/>
  <c r="DT256" i="25"/>
  <c r="DV271" i="25"/>
  <c r="DT271" i="25"/>
  <c r="EB121" i="25"/>
  <c r="EA121" i="25"/>
  <c r="DV120" i="25"/>
  <c r="EL120" i="25"/>
  <c r="EK120" i="25"/>
  <c r="EN120" i="25" s="1"/>
  <c r="DT120" i="25"/>
  <c r="EY120" i="25"/>
  <c r="FA120" i="25"/>
  <c r="EJ120" i="25"/>
  <c r="DV201" i="25"/>
  <c r="EL201" i="25"/>
  <c r="EK201" i="25"/>
  <c r="EN201" i="25" s="1"/>
  <c r="EY201" i="25"/>
  <c r="EJ201" i="25"/>
  <c r="FA201" i="25"/>
  <c r="DV243" i="25"/>
  <c r="DT243" i="25"/>
  <c r="EB77" i="25"/>
  <c r="EA77" i="25"/>
  <c r="DV150" i="25"/>
  <c r="EK150" i="25"/>
  <c r="EN150" i="25" s="1"/>
  <c r="EL150" i="25"/>
  <c r="DT150" i="25"/>
  <c r="FA150" i="25"/>
  <c r="EY150" i="25"/>
  <c r="EJ150" i="25"/>
  <c r="DV259" i="25"/>
  <c r="DT259" i="25"/>
  <c r="DV157" i="25"/>
  <c r="DX157" i="25" s="1"/>
  <c r="EC157" i="25" s="1"/>
  <c r="EK157" i="25"/>
  <c r="EN157" i="25" s="1"/>
  <c r="EL157" i="25"/>
  <c r="DT157" i="25"/>
  <c r="DV126" i="25"/>
  <c r="DX126" i="25" s="1"/>
  <c r="EC126" i="25" s="1"/>
  <c r="EK126" i="25"/>
  <c r="EN126" i="25" s="1"/>
  <c r="EL126" i="25"/>
  <c r="DT126" i="25"/>
  <c r="EJ113" i="25"/>
  <c r="DV113" i="25"/>
  <c r="EK113" i="25"/>
  <c r="EN113" i="25" s="1"/>
  <c r="EL113" i="25"/>
  <c r="DT113" i="25"/>
  <c r="FA113" i="25"/>
  <c r="EY113" i="25"/>
  <c r="EB171" i="25"/>
  <c r="EA171" i="25"/>
  <c r="DV139" i="25"/>
  <c r="DX139" i="25" s="1"/>
  <c r="EC139" i="25" s="1"/>
  <c r="EL139" i="25"/>
  <c r="EK139" i="25"/>
  <c r="EN139" i="25" s="1"/>
  <c r="DT139" i="25"/>
  <c r="FA45" i="25"/>
  <c r="EY56" i="25"/>
  <c r="EY9" i="25"/>
  <c r="DV13" i="25"/>
  <c r="DX13" i="25" s="1"/>
  <c r="EC13" i="25" s="1"/>
  <c r="EK13" i="25"/>
  <c r="EN13" i="25" s="1"/>
  <c r="EL13" i="25"/>
  <c r="DT13" i="25"/>
  <c r="EB51" i="25"/>
  <c r="EA51" i="25"/>
  <c r="DV299" i="25"/>
  <c r="DT299" i="25"/>
  <c r="DV224" i="25"/>
  <c r="DT224" i="25"/>
  <c r="DV43" i="25"/>
  <c r="DX43" i="25" s="1"/>
  <c r="EC43" i="25" s="1"/>
  <c r="EK43" i="25"/>
  <c r="EN43" i="25" s="1"/>
  <c r="EL43" i="25"/>
  <c r="DT43" i="25"/>
  <c r="DV266" i="25"/>
  <c r="DT266" i="25"/>
  <c r="EB97" i="25"/>
  <c r="EA97" i="25"/>
  <c r="DV28" i="25"/>
  <c r="EL28" i="25"/>
  <c r="EK28" i="25"/>
  <c r="EN28" i="25" s="1"/>
  <c r="DT28" i="25"/>
  <c r="EY28" i="25"/>
  <c r="EJ28" i="25"/>
  <c r="FA28" i="25"/>
  <c r="DV208" i="25"/>
  <c r="DX208" i="25" s="1"/>
  <c r="EC208" i="25" s="1"/>
  <c r="EL208" i="25"/>
  <c r="EK208" i="25"/>
  <c r="EN208" i="25" s="1"/>
  <c r="DV167" i="25"/>
  <c r="EK167" i="25"/>
  <c r="EN167" i="25" s="1"/>
  <c r="EL167" i="25"/>
  <c r="DT167" i="25"/>
  <c r="FA167" i="25"/>
  <c r="EY167" i="25"/>
  <c r="EJ167" i="25"/>
  <c r="DV205" i="25"/>
  <c r="EL205" i="25"/>
  <c r="EK205" i="25"/>
  <c r="EN205" i="25" s="1"/>
  <c r="EJ205" i="25"/>
  <c r="FA205" i="25"/>
  <c r="EY205" i="25"/>
  <c r="DV294" i="25"/>
  <c r="DT294" i="25"/>
  <c r="DY138" i="25"/>
  <c r="EB138" i="25"/>
  <c r="EA138" i="25"/>
  <c r="DV50" i="25"/>
  <c r="EL50" i="25"/>
  <c r="EK50" i="25"/>
  <c r="EN50" i="25" s="1"/>
  <c r="DT50" i="25"/>
  <c r="EJ50" i="25"/>
  <c r="FA50" i="25"/>
  <c r="EY50" i="25"/>
  <c r="DV122" i="25"/>
  <c r="DX122" i="25" s="1"/>
  <c r="EC122" i="25" s="1"/>
  <c r="EL122" i="25"/>
  <c r="EK122" i="25"/>
  <c r="EN122" i="25" s="1"/>
  <c r="DT122" i="25"/>
  <c r="DV134" i="25"/>
  <c r="EL134" i="25"/>
  <c r="EK134" i="25"/>
  <c r="EN134" i="25" s="1"/>
  <c r="DT134" i="25"/>
  <c r="FA134" i="25"/>
  <c r="EY134" i="25"/>
  <c r="EJ134" i="25"/>
  <c r="EB37" i="25"/>
  <c r="EA37" i="25"/>
  <c r="DV250" i="25"/>
  <c r="DT250" i="25"/>
  <c r="EY29" i="25"/>
  <c r="DV29" i="25"/>
  <c r="DX29" i="25" s="1"/>
  <c r="EC29" i="25" s="1"/>
  <c r="EK29" i="25"/>
  <c r="EN29" i="25" s="1"/>
  <c r="EL29" i="25"/>
  <c r="DT29" i="25"/>
  <c r="EB179" i="25"/>
  <c r="EA179" i="25"/>
  <c r="EJ66" i="25"/>
  <c r="DV300" i="25"/>
  <c r="DT300" i="25"/>
  <c r="DV67" i="25"/>
  <c r="EK67" i="25"/>
  <c r="EN67" i="25" s="1"/>
  <c r="EL67" i="25"/>
  <c r="DT67" i="25"/>
  <c r="FA67" i="25"/>
  <c r="EY67" i="25"/>
  <c r="EJ67" i="25"/>
  <c r="DV195" i="25"/>
  <c r="EK195" i="25"/>
  <c r="EN195" i="25" s="1"/>
  <c r="EL195" i="25"/>
  <c r="EY195" i="25"/>
  <c r="FA195" i="25"/>
  <c r="EJ195" i="25"/>
  <c r="DV200" i="25"/>
  <c r="DX200" i="25" s="1"/>
  <c r="EC200" i="25" s="1"/>
  <c r="EK200" i="25"/>
  <c r="EN200" i="25" s="1"/>
  <c r="EL200" i="25"/>
  <c r="EB23" i="25"/>
  <c r="EA23" i="25"/>
  <c r="DV285" i="25"/>
  <c r="DT285" i="25"/>
  <c r="DV152" i="25"/>
  <c r="EL152" i="25"/>
  <c r="EK152" i="25"/>
  <c r="EN152" i="25" s="1"/>
  <c r="DT152" i="25"/>
  <c r="EJ152" i="25"/>
  <c r="FA152" i="25"/>
  <c r="EY152" i="25"/>
  <c r="FA80" i="25"/>
  <c r="DV247" i="25"/>
  <c r="DT247" i="25"/>
  <c r="DV140" i="25"/>
  <c r="EK140" i="25"/>
  <c r="EN140" i="25" s="1"/>
  <c r="EL140" i="25"/>
  <c r="DT140" i="25"/>
  <c r="EJ140" i="25"/>
  <c r="EY140" i="25"/>
  <c r="FA140" i="25"/>
  <c r="EB189" i="25"/>
  <c r="EA189" i="25"/>
  <c r="DV268" i="25"/>
  <c r="DT268" i="25"/>
  <c r="EY45" i="25"/>
  <c r="EB56" i="25"/>
  <c r="EA56" i="25"/>
  <c r="DV116" i="25"/>
  <c r="EL116" i="25"/>
  <c r="EK116" i="25"/>
  <c r="EN116" i="25" s="1"/>
  <c r="DT116" i="25"/>
  <c r="EY116" i="25"/>
  <c r="EJ116" i="25"/>
  <c r="FA116" i="25"/>
  <c r="EB9" i="25"/>
  <c r="EA9" i="25"/>
  <c r="DV151" i="25"/>
  <c r="EL151" i="25"/>
  <c r="EK151" i="25"/>
  <c r="EN151" i="25" s="1"/>
  <c r="DT151" i="25"/>
  <c r="EJ151" i="25"/>
  <c r="FA151" i="25"/>
  <c r="EY151" i="25"/>
  <c r="EJ91" i="25"/>
  <c r="DV75" i="25"/>
  <c r="EK75" i="25"/>
  <c r="EN75" i="25" s="1"/>
  <c r="EL75" i="25"/>
  <c r="DT75" i="25"/>
  <c r="EJ75" i="25"/>
  <c r="EY75" i="25"/>
  <c r="FA75" i="25"/>
  <c r="DV272" i="25"/>
  <c r="DT272" i="25"/>
  <c r="EY200" i="25"/>
  <c r="DZ15" i="24"/>
  <c r="DZ58" i="24"/>
  <c r="DX31" i="24"/>
  <c r="EE31" i="24" s="1"/>
  <c r="DR285" i="24"/>
  <c r="EB285" i="24" s="1"/>
  <c r="DO169" i="24"/>
  <c r="DO88" i="24"/>
  <c r="DO295" i="24"/>
  <c r="DR295" i="24"/>
  <c r="DO204" i="24"/>
  <c r="DR204" i="24"/>
  <c r="DU204" i="24" s="1"/>
  <c r="DO115" i="24"/>
  <c r="DR115" i="24"/>
  <c r="DU115" i="24" s="1"/>
  <c r="DO141" i="24"/>
  <c r="DR141" i="24"/>
  <c r="DU141" i="24" s="1"/>
  <c r="DR100" i="24"/>
  <c r="DO100" i="24"/>
  <c r="DO145" i="24"/>
  <c r="DR145" i="24"/>
  <c r="DU145" i="24" s="1"/>
  <c r="EE188" i="24"/>
  <c r="DO257" i="24"/>
  <c r="DR257" i="24"/>
  <c r="DO39" i="24"/>
  <c r="DR288" i="24"/>
  <c r="FA288" i="24" s="1"/>
  <c r="DO288" i="24"/>
  <c r="DR44" i="24"/>
  <c r="DO44" i="24"/>
  <c r="DO275" i="24"/>
  <c r="DR275" i="24"/>
  <c r="DR56" i="24"/>
  <c r="DO56" i="24"/>
  <c r="EE205" i="24"/>
  <c r="DO126" i="24"/>
  <c r="DR126" i="24"/>
  <c r="DU126" i="24" s="1"/>
  <c r="DO28" i="24"/>
  <c r="DR28" i="24"/>
  <c r="EE163" i="24"/>
  <c r="DZ39" i="24"/>
  <c r="DX39" i="24"/>
  <c r="EE130" i="24"/>
  <c r="EE131" i="24"/>
  <c r="DR70" i="24"/>
  <c r="DO70" i="24"/>
  <c r="EE119" i="24"/>
  <c r="EE189" i="24"/>
  <c r="DO244" i="24"/>
  <c r="DR244" i="24"/>
  <c r="DO35" i="24"/>
  <c r="DR35" i="24"/>
  <c r="DR112" i="24"/>
  <c r="DU112" i="24" s="1"/>
  <c r="DO112" i="24"/>
  <c r="DO313" i="24"/>
  <c r="DR313" i="24"/>
  <c r="EE69" i="24"/>
  <c r="DR6" i="24"/>
  <c r="DO6" i="24"/>
  <c r="DO173" i="24"/>
  <c r="DR173" i="24"/>
  <c r="DU173" i="24" s="1"/>
  <c r="DX126" i="24"/>
  <c r="DO231" i="24"/>
  <c r="DR231" i="24"/>
  <c r="EE210" i="24"/>
  <c r="DO66" i="24"/>
  <c r="DR66" i="24"/>
  <c r="DR304" i="24"/>
  <c r="EB304" i="24" s="1"/>
  <c r="DO304" i="24"/>
  <c r="DR276" i="24"/>
  <c r="DO276" i="24"/>
  <c r="EE141" i="24"/>
  <c r="DR208" i="24"/>
  <c r="DU208" i="24" s="1"/>
  <c r="DO208" i="24"/>
  <c r="DR168" i="24"/>
  <c r="DU168" i="24" s="1"/>
  <c r="DO168" i="24"/>
  <c r="EE148" i="24"/>
  <c r="DO20" i="24"/>
  <c r="DR20" i="24"/>
  <c r="EE146" i="24"/>
  <c r="EE74" i="24"/>
  <c r="DR220" i="24"/>
  <c r="DO220" i="24"/>
  <c r="EE59" i="24"/>
  <c r="DR259" i="24"/>
  <c r="FA259" i="24" s="1"/>
  <c r="DO259" i="24"/>
  <c r="DX133" i="24"/>
  <c r="EE115" i="24"/>
  <c r="DR227" i="24"/>
  <c r="DO227" i="24"/>
  <c r="DO24" i="24"/>
  <c r="DR24" i="24"/>
  <c r="DO267" i="24"/>
  <c r="DR267" i="24"/>
  <c r="FA267" i="24" s="1"/>
  <c r="EE82" i="24"/>
  <c r="DX129" i="24"/>
  <c r="DX53" i="24"/>
  <c r="DZ53" i="24"/>
  <c r="DR283" i="24"/>
  <c r="EY283" i="24" s="1"/>
  <c r="DO283" i="24"/>
  <c r="DO91" i="24"/>
  <c r="DR91" i="24"/>
  <c r="DR146" i="24"/>
  <c r="DU146" i="24" s="1"/>
  <c r="DO146" i="24"/>
  <c r="EE166" i="24"/>
  <c r="DO119" i="24"/>
  <c r="DR119" i="24"/>
  <c r="DU119" i="24" s="1"/>
  <c r="DR299" i="24"/>
  <c r="EY299" i="24" s="1"/>
  <c r="DO299" i="24"/>
  <c r="DR21" i="24"/>
  <c r="DO21" i="24"/>
  <c r="EE196" i="24"/>
  <c r="DO210" i="24"/>
  <c r="DR210" i="24"/>
  <c r="DU210" i="24" s="1"/>
  <c r="EE66" i="24"/>
  <c r="DO238" i="24"/>
  <c r="DR238" i="24"/>
  <c r="FA238" i="24" s="1"/>
  <c r="EE204" i="24"/>
  <c r="DX199" i="24"/>
  <c r="DO11" i="24"/>
  <c r="DR11" i="24"/>
  <c r="DO197" i="24"/>
  <c r="DR197" i="24"/>
  <c r="DU197" i="24" s="1"/>
  <c r="DO290" i="24"/>
  <c r="DR290" i="24"/>
  <c r="DR151" i="24"/>
  <c r="DU151" i="24" s="1"/>
  <c r="DO151" i="24"/>
  <c r="EE194" i="24"/>
  <c r="DZ80" i="24"/>
  <c r="DX80" i="24"/>
  <c r="EE6" i="24"/>
  <c r="DO103" i="24"/>
  <c r="DR103" i="24"/>
  <c r="DX155" i="24"/>
  <c r="DO271" i="24"/>
  <c r="DR271" i="24"/>
  <c r="EE84" i="24"/>
  <c r="DO188" i="24"/>
  <c r="DR188" i="24"/>
  <c r="DU188" i="24" s="1"/>
  <c r="DR189" i="24"/>
  <c r="DU189" i="24" s="1"/>
  <c r="DO189" i="24"/>
  <c r="DO282" i="24"/>
  <c r="DR282" i="24"/>
  <c r="EE34" i="24"/>
  <c r="DR309" i="24"/>
  <c r="FA309" i="24" s="1"/>
  <c r="DO309" i="24"/>
  <c r="DR84" i="24"/>
  <c r="DO84" i="24"/>
  <c r="DO284" i="24"/>
  <c r="DR284" i="24"/>
  <c r="DR134" i="24"/>
  <c r="DU134" i="24" s="1"/>
  <c r="DO134" i="24"/>
  <c r="DO68" i="24"/>
  <c r="DR68" i="24"/>
  <c r="EE20" i="24"/>
  <c r="EE135" i="24"/>
  <c r="EE15" i="24"/>
  <c r="EE90" i="24"/>
  <c r="EE149" i="24"/>
  <c r="EE120" i="24"/>
  <c r="DO222" i="24"/>
  <c r="DR222" i="24"/>
  <c r="DR279" i="24"/>
  <c r="DO279" i="24"/>
  <c r="DO123" i="24"/>
  <c r="DR123" i="24"/>
  <c r="DU123" i="24" s="1"/>
  <c r="DO158" i="24"/>
  <c r="DR158" i="24"/>
  <c r="DU158" i="24" s="1"/>
  <c r="DR93" i="24"/>
  <c r="DO93" i="24"/>
  <c r="DO307" i="24"/>
  <c r="DR307" i="24"/>
  <c r="DR122" i="24"/>
  <c r="DU122" i="24" s="1"/>
  <c r="DO122" i="24"/>
  <c r="EE22" i="24"/>
  <c r="EE180" i="24"/>
  <c r="DR26" i="24"/>
  <c r="DO26" i="24"/>
  <c r="DZ14" i="24"/>
  <c r="DX14" i="24"/>
  <c r="EE151" i="24"/>
  <c r="DO17" i="24"/>
  <c r="DR17" i="24"/>
  <c r="EE58" i="24"/>
  <c r="DR256" i="24"/>
  <c r="DO256" i="24"/>
  <c r="DO113" i="24"/>
  <c r="DR113" i="24"/>
  <c r="DU113" i="24" s="1"/>
  <c r="DX173" i="24"/>
  <c r="DX201" i="24"/>
  <c r="DO133" i="24"/>
  <c r="DR133" i="24"/>
  <c r="DU133" i="24" s="1"/>
  <c r="DR174" i="24"/>
  <c r="DU174" i="24" s="1"/>
  <c r="DO174" i="24"/>
  <c r="DX157" i="24"/>
  <c r="DR164" i="24"/>
  <c r="DU164" i="24" s="1"/>
  <c r="DO164" i="24"/>
  <c r="DO111" i="24"/>
  <c r="DR111" i="24"/>
  <c r="DU111" i="24" s="1"/>
  <c r="DO296" i="24"/>
  <c r="DR296" i="24"/>
  <c r="DO14" i="24"/>
  <c r="DR14" i="24"/>
  <c r="DZ23" i="24"/>
  <c r="DX23" i="24"/>
  <c r="DR48" i="24"/>
  <c r="DO48" i="24"/>
  <c r="DX209" i="24"/>
  <c r="DO302" i="24"/>
  <c r="DR302" i="24"/>
  <c r="EL302" i="24" s="1"/>
  <c r="EE137" i="24"/>
  <c r="DR73" i="24"/>
  <c r="DO73" i="24"/>
  <c r="DR129" i="24"/>
  <c r="DU129" i="24" s="1"/>
  <c r="DO129" i="24"/>
  <c r="DZ44" i="24"/>
  <c r="DX44" i="24"/>
  <c r="DX174" i="24"/>
  <c r="DR301" i="24"/>
  <c r="FA301" i="24" s="1"/>
  <c r="DO301" i="24"/>
  <c r="DX114" i="24"/>
  <c r="DO285" i="24"/>
  <c r="DR167" i="24"/>
  <c r="DU167" i="24" s="1"/>
  <c r="DO167" i="24"/>
  <c r="DR235" i="24"/>
  <c r="DO235" i="24"/>
  <c r="DR43" i="24"/>
  <c r="DO43" i="24"/>
  <c r="EE153" i="24"/>
  <c r="EE32" i="24"/>
  <c r="DO127" i="24"/>
  <c r="DR142" i="24"/>
  <c r="DU142" i="24" s="1"/>
  <c r="DO142" i="24"/>
  <c r="DO90" i="24"/>
  <c r="DO59" i="24"/>
  <c r="DR59" i="24"/>
  <c r="DO224" i="24"/>
  <c r="DR224" i="24"/>
  <c r="EE184" i="24"/>
  <c r="DO263" i="24"/>
  <c r="DR263" i="24"/>
  <c r="EE179" i="24"/>
  <c r="DO147" i="24"/>
  <c r="DR147" i="24"/>
  <c r="DU147" i="24" s="1"/>
  <c r="DR159" i="24"/>
  <c r="DU159" i="24" s="1"/>
  <c r="DO159" i="24"/>
  <c r="DR178" i="24"/>
  <c r="DU178" i="24" s="1"/>
  <c r="DO178" i="24"/>
  <c r="EE38" i="24"/>
  <c r="DR71" i="24"/>
  <c r="DO71" i="24"/>
  <c r="DO150" i="24"/>
  <c r="DR150" i="24"/>
  <c r="DU150" i="24" s="1"/>
  <c r="DR183" i="24"/>
  <c r="DU183" i="24" s="1"/>
  <c r="DO183" i="24"/>
  <c r="DR85" i="24"/>
  <c r="DO85" i="24"/>
  <c r="DR234" i="24"/>
  <c r="EL234" i="24" s="1"/>
  <c r="DO234" i="24"/>
  <c r="DO61" i="24"/>
  <c r="DR61" i="24"/>
  <c r="DZ30" i="24"/>
  <c r="DX30" i="24"/>
  <c r="DZ63" i="24"/>
  <c r="DX63" i="24"/>
  <c r="DR217" i="24"/>
  <c r="FA217" i="24" s="1"/>
  <c r="DO217" i="24"/>
  <c r="DO138" i="24"/>
  <c r="DR138" i="24"/>
  <c r="DU138" i="24" s="1"/>
  <c r="DR200" i="24"/>
  <c r="DU200" i="24" s="1"/>
  <c r="DO200" i="24"/>
  <c r="DR117" i="24"/>
  <c r="DU117" i="24" s="1"/>
  <c r="DO117" i="24"/>
  <c r="DO221" i="24"/>
  <c r="DR221" i="24"/>
  <c r="EL221" i="24" s="1"/>
  <c r="DR293" i="24"/>
  <c r="EL293" i="24" s="1"/>
  <c r="DO293" i="24"/>
  <c r="DZ81" i="24"/>
  <c r="DX81" i="24"/>
  <c r="DO33" i="24"/>
  <c r="DR33" i="24"/>
  <c r="DZ26" i="24"/>
  <c r="DX26" i="24"/>
  <c r="DO223" i="24"/>
  <c r="DR223" i="24"/>
  <c r="DX124" i="24"/>
  <c r="DO75" i="24"/>
  <c r="DR75" i="24"/>
  <c r="EE181" i="24"/>
  <c r="DZ10" i="24"/>
  <c r="DX10" i="24"/>
  <c r="DO136" i="24"/>
  <c r="DR136" i="24"/>
  <c r="DU136" i="24" s="1"/>
  <c r="DX65" i="24"/>
  <c r="DZ65" i="24"/>
  <c r="DO32" i="24"/>
  <c r="DR32" i="24"/>
  <c r="DR237" i="24"/>
  <c r="DO237" i="24"/>
  <c r="DO156" i="24"/>
  <c r="DR156" i="24"/>
  <c r="DU156" i="24" s="1"/>
  <c r="DX50" i="24"/>
  <c r="DZ50" i="24"/>
  <c r="DO280" i="24"/>
  <c r="DR280" i="24"/>
  <c r="DR9" i="24"/>
  <c r="DO9" i="24"/>
  <c r="DO139" i="24"/>
  <c r="DR139" i="24"/>
  <c r="DU139" i="24" s="1"/>
  <c r="EE169" i="24"/>
  <c r="DR27" i="24"/>
  <c r="DO27" i="24"/>
  <c r="DO72" i="24"/>
  <c r="DR72" i="24"/>
  <c r="DR179" i="24"/>
  <c r="DU179" i="24" s="1"/>
  <c r="DO179" i="24"/>
  <c r="EE116" i="24"/>
  <c r="DO206" i="24"/>
  <c r="DR206" i="24"/>
  <c r="DU206" i="24" s="1"/>
  <c r="DO40" i="24"/>
  <c r="DR40" i="24"/>
  <c r="DX172" i="24"/>
  <c r="DO63" i="24"/>
  <c r="DR63" i="24"/>
  <c r="DX138" i="24"/>
  <c r="DR12" i="24"/>
  <c r="DO12" i="24"/>
  <c r="DR104" i="24"/>
  <c r="DO104" i="24"/>
  <c r="DX55" i="24"/>
  <c r="DZ55" i="24"/>
  <c r="EE79" i="24"/>
  <c r="DR79" i="24"/>
  <c r="DO79" i="24"/>
  <c r="DZ99" i="24"/>
  <c r="DX99" i="24"/>
  <c r="DX83" i="24"/>
  <c r="DZ83" i="24"/>
  <c r="DX159" i="24"/>
  <c r="DR305" i="24"/>
  <c r="DO305" i="24"/>
  <c r="EE168" i="24"/>
  <c r="EE102" i="24"/>
  <c r="DX47" i="24"/>
  <c r="DZ47" i="24"/>
  <c r="DO65" i="24"/>
  <c r="DR65" i="24"/>
  <c r="DR13" i="24"/>
  <c r="DO13" i="24"/>
  <c r="DR22" i="24"/>
  <c r="DO22" i="24"/>
  <c r="DO77" i="24"/>
  <c r="DR77" i="24"/>
  <c r="DR268" i="24"/>
  <c r="DO268" i="24"/>
  <c r="DR132" i="24"/>
  <c r="DU132" i="24" s="1"/>
  <c r="DO132" i="24"/>
  <c r="DX42" i="24"/>
  <c r="DZ42" i="24"/>
  <c r="DR69" i="24"/>
  <c r="DO69" i="24"/>
  <c r="DX197" i="24"/>
  <c r="DZ43" i="24"/>
  <c r="DX43" i="24"/>
  <c r="DX171" i="24"/>
  <c r="DO18" i="24"/>
  <c r="DR18" i="24"/>
  <c r="DR95" i="24"/>
  <c r="DO95" i="24"/>
  <c r="DR184" i="24"/>
  <c r="DU184" i="24" s="1"/>
  <c r="DO184" i="24"/>
  <c r="DR245" i="24"/>
  <c r="DO245" i="24"/>
  <c r="DR19" i="24"/>
  <c r="DO19" i="24"/>
  <c r="DO92" i="24"/>
  <c r="DO236" i="24"/>
  <c r="DR236" i="24"/>
  <c r="EE176" i="24"/>
  <c r="DR55" i="24"/>
  <c r="DO55" i="24"/>
  <c r="DR286" i="24"/>
  <c r="DO286" i="24"/>
  <c r="DX160" i="24"/>
  <c r="DX175" i="24"/>
  <c r="DR116" i="24"/>
  <c r="DU116" i="24" s="1"/>
  <c r="DO116" i="24"/>
  <c r="DX62" i="24"/>
  <c r="DZ62" i="24"/>
  <c r="DR128" i="24"/>
  <c r="DU128" i="24" s="1"/>
  <c r="DR248" i="24"/>
  <c r="FA248" i="24" s="1"/>
  <c r="DO248" i="24"/>
  <c r="DX186" i="24"/>
  <c r="DO31" i="24"/>
  <c r="DR31" i="24"/>
  <c r="DR175" i="24"/>
  <c r="DU175" i="24" s="1"/>
  <c r="DO175" i="24"/>
  <c r="DX183" i="24"/>
  <c r="DO74" i="24"/>
  <c r="DZ54" i="24"/>
  <c r="DX54" i="24"/>
  <c r="DR76" i="24"/>
  <c r="DO76" i="24"/>
  <c r="DZ52" i="24"/>
  <c r="DX52" i="24"/>
  <c r="DX37" i="24"/>
  <c r="DZ37" i="24"/>
  <c r="DX35" i="24"/>
  <c r="DZ35" i="24"/>
  <c r="DO135" i="24"/>
  <c r="DR135" i="24"/>
  <c r="DU135" i="24" s="1"/>
  <c r="DR165" i="24"/>
  <c r="DU165" i="24" s="1"/>
  <c r="DO165" i="24"/>
  <c r="DO157" i="24"/>
  <c r="DR157" i="24"/>
  <c r="DU157" i="24" s="1"/>
  <c r="DR42" i="24"/>
  <c r="DO42" i="24"/>
  <c r="DR209" i="24"/>
  <c r="DU209" i="24" s="1"/>
  <c r="DO209" i="24"/>
  <c r="DR36" i="24"/>
  <c r="DO36" i="24"/>
  <c r="DX123" i="24"/>
  <c r="DO98" i="24"/>
  <c r="DR98" i="24"/>
  <c r="DR8" i="24"/>
  <c r="DO8" i="24"/>
  <c r="DX192" i="24"/>
  <c r="DR260" i="24"/>
  <c r="EL260" i="24" s="1"/>
  <c r="DO260" i="24"/>
  <c r="DO51" i="24"/>
  <c r="DR51" i="24"/>
  <c r="DO25" i="24"/>
  <c r="DR25" i="24"/>
  <c r="DX167" i="24"/>
  <c r="EE96" i="24"/>
  <c r="DX112" i="24"/>
  <c r="DR162" i="24"/>
  <c r="DU162" i="24" s="1"/>
  <c r="DO162" i="24"/>
  <c r="DR101" i="24"/>
  <c r="DO101" i="24"/>
  <c r="DX202" i="24"/>
  <c r="DO314" i="24"/>
  <c r="DR314" i="24"/>
  <c r="FA314" i="24" s="1"/>
  <c r="DR187" i="24"/>
  <c r="DU187" i="24" s="1"/>
  <c r="DO187" i="24"/>
  <c r="DR124" i="24"/>
  <c r="DU124" i="24" s="1"/>
  <c r="DO124" i="24"/>
  <c r="DO287" i="24"/>
  <c r="DR287" i="24"/>
  <c r="FA287" i="24" s="1"/>
  <c r="DO161" i="24"/>
  <c r="DR161" i="24"/>
  <c r="DU161" i="24" s="1"/>
  <c r="DR315" i="24"/>
  <c r="FA315" i="24" s="1"/>
  <c r="DO315" i="24"/>
  <c r="DR149" i="24"/>
  <c r="DU149" i="24" s="1"/>
  <c r="DO149" i="24"/>
  <c r="DO193" i="24"/>
  <c r="DR193" i="24"/>
  <c r="DU193" i="24" s="1"/>
  <c r="DO254" i="24"/>
  <c r="DR254" i="24"/>
  <c r="DR289" i="24"/>
  <c r="EY289" i="24" s="1"/>
  <c r="DO289" i="24"/>
  <c r="DR198" i="24"/>
  <c r="DU198" i="24" s="1"/>
  <c r="DO198" i="24"/>
  <c r="DO243" i="24"/>
  <c r="EE207" i="24"/>
  <c r="DZ61" i="24"/>
  <c r="DX61" i="24"/>
  <c r="DO41" i="24"/>
  <c r="DR41" i="24"/>
  <c r="DO242" i="24"/>
  <c r="DO78" i="24"/>
  <c r="DO310" i="24"/>
  <c r="DR310" i="24"/>
  <c r="FA310" i="24" s="1"/>
  <c r="DR86" i="24"/>
  <c r="DO86" i="24"/>
  <c r="DO229" i="24"/>
  <c r="DR229" i="24"/>
  <c r="FA229" i="24" s="1"/>
  <c r="DO137" i="24"/>
  <c r="DR137" i="24"/>
  <c r="DU137" i="24" s="1"/>
  <c r="DX40" i="24"/>
  <c r="DZ40" i="24"/>
  <c r="DO172" i="24"/>
  <c r="DR172" i="24"/>
  <c r="DU172" i="24" s="1"/>
  <c r="DX104" i="24"/>
  <c r="DZ104" i="24"/>
  <c r="DR125" i="24"/>
  <c r="DU125" i="24" s="1"/>
  <c r="DO125" i="24"/>
  <c r="EE46" i="24"/>
  <c r="DR261" i="24"/>
  <c r="FA261" i="24" s="1"/>
  <c r="DO261" i="24"/>
  <c r="DO195" i="24"/>
  <c r="DR195" i="24"/>
  <c r="DU195" i="24" s="1"/>
  <c r="EE85" i="24"/>
  <c r="DR58" i="24"/>
  <c r="DO58" i="24"/>
  <c r="EE139" i="24"/>
  <c r="DO246" i="24"/>
  <c r="DR246" i="24"/>
  <c r="FA246" i="24" s="1"/>
  <c r="EE165" i="24"/>
  <c r="EE113" i="24"/>
  <c r="EE118" i="24"/>
  <c r="DR15" i="24"/>
  <c r="DO15" i="24"/>
  <c r="DR196" i="24"/>
  <c r="DU196" i="24" s="1"/>
  <c r="DO196" i="24"/>
  <c r="EE125" i="24"/>
  <c r="DR205" i="24"/>
  <c r="DU205" i="24" s="1"/>
  <c r="DO205" i="24"/>
  <c r="DO46" i="24"/>
  <c r="DR46" i="24"/>
  <c r="DO53" i="24"/>
  <c r="DR53" i="24"/>
  <c r="DO47" i="24"/>
  <c r="DR47" i="24"/>
  <c r="EE28" i="24"/>
  <c r="DO163" i="24"/>
  <c r="DR163" i="24"/>
  <c r="DU163" i="24" s="1"/>
  <c r="EE51" i="24"/>
  <c r="DR23" i="24"/>
  <c r="DO23" i="24"/>
  <c r="DO240" i="24"/>
  <c r="DR240" i="24"/>
  <c r="FA240" i="24" s="1"/>
  <c r="DO311" i="24"/>
  <c r="DR311" i="24"/>
  <c r="EB311" i="24" s="1"/>
  <c r="DO80" i="24"/>
  <c r="DR80" i="24"/>
  <c r="DX136" i="24"/>
  <c r="DX145" i="24"/>
  <c r="DO180" i="24"/>
  <c r="DR180" i="24"/>
  <c r="DU180" i="24" s="1"/>
  <c r="DO50" i="24"/>
  <c r="DR50" i="24"/>
  <c r="DO230" i="24"/>
  <c r="DR230" i="24"/>
  <c r="FA230" i="24" s="1"/>
  <c r="DZ67" i="24"/>
  <c r="DX67" i="24"/>
  <c r="EE200" i="24"/>
  <c r="EE117" i="24"/>
  <c r="DR241" i="24"/>
  <c r="DO241" i="24"/>
  <c r="DO97" i="24"/>
  <c r="DR97" i="24"/>
  <c r="DO153" i="24"/>
  <c r="DR153" i="24"/>
  <c r="DU153" i="24" s="1"/>
  <c r="DX164" i="24"/>
  <c r="EE206" i="24"/>
  <c r="DX132" i="24"/>
  <c r="DZ25" i="24"/>
  <c r="DX25" i="24"/>
  <c r="DR176" i="24"/>
  <c r="DU176" i="24" s="1"/>
  <c r="DO176" i="24"/>
  <c r="EE73" i="24"/>
  <c r="DO273" i="24"/>
  <c r="DR273" i="24"/>
  <c r="EL273" i="24" s="1"/>
  <c r="DO225" i="24"/>
  <c r="DR225" i="24"/>
  <c r="EE187" i="24"/>
  <c r="DR7" i="24"/>
  <c r="DO7" i="24"/>
  <c r="DO262" i="24"/>
  <c r="DR262" i="24"/>
  <c r="EL262" i="24" s="1"/>
  <c r="EE208" i="24"/>
  <c r="DR281" i="24"/>
  <c r="DO281" i="24"/>
  <c r="DR152" i="24"/>
  <c r="DU152" i="24" s="1"/>
  <c r="DO152" i="24"/>
  <c r="DO228" i="24"/>
  <c r="DR228" i="24"/>
  <c r="EL228" i="24" s="1"/>
  <c r="EE182" i="24"/>
  <c r="DX177" i="24"/>
  <c r="DR239" i="24"/>
  <c r="DO239" i="24"/>
  <c r="DR219" i="24"/>
  <c r="DO219" i="24"/>
  <c r="DZ60" i="24"/>
  <c r="DX60" i="24"/>
  <c r="DR82" i="24"/>
  <c r="DO82" i="24"/>
  <c r="DR16" i="24"/>
  <c r="DO16" i="24"/>
  <c r="DR170" i="24"/>
  <c r="DU170" i="24" s="1"/>
  <c r="DO170" i="24"/>
  <c r="DR194" i="24"/>
  <c r="DU194" i="24" s="1"/>
  <c r="DO194" i="24"/>
  <c r="DO266" i="24"/>
  <c r="DR266" i="24"/>
  <c r="DO130" i="24"/>
  <c r="DR130" i="24"/>
  <c r="DU130" i="24" s="1"/>
  <c r="DR62" i="24"/>
  <c r="DO62" i="24"/>
  <c r="DO57" i="24"/>
  <c r="DR57" i="24"/>
  <c r="DR186" i="24"/>
  <c r="DU186" i="24" s="1"/>
  <c r="DO186" i="24"/>
  <c r="DR303" i="24"/>
  <c r="FA303" i="24" s="1"/>
  <c r="DO303" i="24"/>
  <c r="DR277" i="24"/>
  <c r="FA277" i="24" s="1"/>
  <c r="DO277" i="24"/>
  <c r="DO199" i="24"/>
  <c r="DR199" i="24"/>
  <c r="DU199" i="24" s="1"/>
  <c r="DO270" i="24"/>
  <c r="DR270" i="24"/>
  <c r="EL270" i="24" s="1"/>
  <c r="DO154" i="24"/>
  <c r="DR154" i="24"/>
  <c r="DU154" i="24" s="1"/>
  <c r="DO253" i="24"/>
  <c r="DR253" i="24"/>
  <c r="EB253" i="24" s="1"/>
  <c r="DZ98" i="24"/>
  <c r="DX98" i="24"/>
  <c r="DZ8" i="24"/>
  <c r="DX8" i="24"/>
  <c r="DR316" i="24"/>
  <c r="EY316" i="24" s="1"/>
  <c r="DO316" i="24"/>
  <c r="DX185" i="24"/>
  <c r="DR218" i="24"/>
  <c r="EL218" i="24" s="1"/>
  <c r="DO218" i="24"/>
  <c r="DR294" i="24"/>
  <c r="DO294" i="24"/>
  <c r="DR292" i="24"/>
  <c r="DO292" i="24"/>
  <c r="DR54" i="24"/>
  <c r="DO54" i="24"/>
  <c r="EE191" i="24"/>
  <c r="DO118" i="24"/>
  <c r="DR118" i="24"/>
  <c r="DU118" i="24" s="1"/>
  <c r="DR312" i="24"/>
  <c r="FA312" i="24" s="1"/>
  <c r="DO312" i="24"/>
  <c r="DR121" i="24"/>
  <c r="DU121" i="24" s="1"/>
  <c r="DO121" i="24"/>
  <c r="DO258" i="24"/>
  <c r="DR258" i="24"/>
  <c r="DO182" i="24"/>
  <c r="DR182" i="24"/>
  <c r="DU182" i="24" s="1"/>
  <c r="EE49" i="24"/>
  <c r="EE144" i="24"/>
  <c r="EE178" i="24"/>
  <c r="DO232" i="24"/>
  <c r="DR232" i="24"/>
  <c r="DR60" i="24"/>
  <c r="DO60" i="24"/>
  <c r="DR255" i="24"/>
  <c r="DO255" i="24"/>
  <c r="EE121" i="24"/>
  <c r="DX170" i="24"/>
  <c r="EE19" i="24"/>
  <c r="EE140" i="24"/>
  <c r="DX142" i="24"/>
  <c r="DO291" i="24"/>
  <c r="DR291" i="24"/>
  <c r="EB291" i="24" s="1"/>
  <c r="DO272" i="24"/>
  <c r="DR272" i="24"/>
  <c r="DX152" i="24"/>
  <c r="DX127" i="24"/>
  <c r="DR45" i="24"/>
  <c r="DO45" i="24"/>
  <c r="DX33" i="24"/>
  <c r="DZ33" i="24"/>
  <c r="DO247" i="24"/>
  <c r="DR247" i="24"/>
  <c r="DO29" i="24"/>
  <c r="DR29" i="24"/>
  <c r="DR171" i="24"/>
  <c r="DU171" i="24" s="1"/>
  <c r="DO171" i="24"/>
  <c r="DX70" i="24"/>
  <c r="DZ70" i="24"/>
  <c r="DR249" i="24"/>
  <c r="DO249" i="24"/>
  <c r="DX122" i="24"/>
  <c r="DR202" i="24"/>
  <c r="DU202" i="24" s="1"/>
  <c r="DO202" i="24"/>
  <c r="DR185" i="24"/>
  <c r="DU185" i="24" s="1"/>
  <c r="DO185" i="24"/>
  <c r="DX134" i="24"/>
  <c r="DO250" i="24"/>
  <c r="DR250" i="24"/>
  <c r="EL250" i="24" s="1"/>
  <c r="DR114" i="24"/>
  <c r="DU114" i="24" s="1"/>
  <c r="DO114" i="24"/>
  <c r="DZ24" i="24"/>
  <c r="DX24" i="24"/>
  <c r="DX161" i="24"/>
  <c r="DR52" i="24"/>
  <c r="DO52" i="24"/>
  <c r="EE195" i="24"/>
  <c r="DZ29" i="24"/>
  <c r="DX29" i="24"/>
  <c r="DO201" i="24"/>
  <c r="DR201" i="24"/>
  <c r="DU201" i="24" s="1"/>
  <c r="DO192" i="24"/>
  <c r="DR192" i="24"/>
  <c r="DU192" i="24" s="1"/>
  <c r="DZ13" i="24"/>
  <c r="DX13" i="24"/>
  <c r="DX111" i="24"/>
  <c r="DR274" i="24"/>
  <c r="DO274" i="24"/>
  <c r="DO49" i="24"/>
  <c r="DR49" i="24"/>
  <c r="DR67" i="24"/>
  <c r="DO67" i="24"/>
  <c r="DO252" i="24"/>
  <c r="DR252" i="24"/>
  <c r="DO190" i="24"/>
  <c r="DX190" i="24"/>
  <c r="DR94" i="24"/>
  <c r="DO94" i="24"/>
  <c r="DR10" i="24"/>
  <c r="DO10" i="24"/>
  <c r="EE162" i="24"/>
  <c r="DO297" i="24"/>
  <c r="DR297" i="24"/>
  <c r="EE86" i="24"/>
  <c r="DO140" i="24"/>
  <c r="DR140" i="24"/>
  <c r="DU140" i="24" s="1"/>
  <c r="DO203" i="24"/>
  <c r="DR203" i="24"/>
  <c r="DU203" i="24" s="1"/>
  <c r="EE72" i="24"/>
  <c r="DR83" i="24"/>
  <c r="DO83" i="24"/>
  <c r="DO269" i="24"/>
  <c r="DR269" i="24"/>
  <c r="DO306" i="24"/>
  <c r="DR306" i="24"/>
  <c r="EY306" i="24" s="1"/>
  <c r="EE198" i="24"/>
  <c r="DR144" i="24"/>
  <c r="DU144" i="24" s="1"/>
  <c r="DO144" i="24"/>
  <c r="DR37" i="24"/>
  <c r="DO37" i="24"/>
  <c r="DR233" i="24"/>
  <c r="FA233" i="24" s="1"/>
  <c r="DO233" i="24"/>
  <c r="EE203" i="24"/>
  <c r="DR166" i="24"/>
  <c r="DU166" i="24" s="1"/>
  <c r="DO166" i="24"/>
  <c r="DO148" i="24"/>
  <c r="DR148" i="24"/>
  <c r="DU148" i="24" s="1"/>
  <c r="DR81" i="24"/>
  <c r="DO81" i="24"/>
  <c r="DR89" i="24"/>
  <c r="DO89" i="24"/>
  <c r="DR251" i="24"/>
  <c r="DO251" i="24"/>
  <c r="DO96" i="24"/>
  <c r="DX147" i="24"/>
  <c r="DO177" i="24"/>
  <c r="DR177" i="24"/>
  <c r="DU177" i="24" s="1"/>
  <c r="DO191" i="24"/>
  <c r="DR191" i="24"/>
  <c r="DU191" i="24" s="1"/>
  <c r="DO102" i="24"/>
  <c r="DR102" i="24"/>
  <c r="DO131" i="24"/>
  <c r="DR131" i="24"/>
  <c r="DU131" i="24" s="1"/>
  <c r="DZ71" i="24"/>
  <c r="DX71" i="24"/>
  <c r="DX193" i="24"/>
  <c r="DR226" i="24"/>
  <c r="DO226" i="24"/>
  <c r="DO34" i="24"/>
  <c r="DR34" i="24"/>
  <c r="DZ48" i="24"/>
  <c r="DX48" i="24"/>
  <c r="DR278" i="24"/>
  <c r="EL278" i="24" s="1"/>
  <c r="DO278" i="24"/>
  <c r="DZ100" i="24"/>
  <c r="DX100" i="24"/>
  <c r="DX158" i="24"/>
  <c r="DX103" i="24"/>
  <c r="DZ103" i="24"/>
  <c r="DO155" i="24"/>
  <c r="DR155" i="24"/>
  <c r="DU155" i="24" s="1"/>
  <c r="DZ68" i="24"/>
  <c r="DX68" i="24"/>
  <c r="DR264" i="24"/>
  <c r="DO264" i="24"/>
  <c r="DR265" i="24"/>
  <c r="DO265" i="24"/>
  <c r="DO87" i="24"/>
  <c r="DR87" i="24"/>
  <c r="DX77" i="24"/>
  <c r="DZ77" i="24"/>
  <c r="DX154" i="24"/>
  <c r="DR64" i="24"/>
  <c r="DO64" i="24"/>
  <c r="DR120" i="24"/>
  <c r="DU120" i="24" s="1"/>
  <c r="DO120" i="24"/>
  <c r="DO181" i="24"/>
  <c r="DR181" i="24"/>
  <c r="DU181" i="24" s="1"/>
  <c r="DR207" i="24"/>
  <c r="DU207" i="24" s="1"/>
  <c r="DO207" i="24"/>
  <c r="DR308" i="24"/>
  <c r="FA308" i="24" s="1"/>
  <c r="DO308" i="24"/>
  <c r="DR105" i="24"/>
  <c r="DO105" i="24"/>
  <c r="DO300" i="24"/>
  <c r="DR300" i="24"/>
  <c r="FA300" i="24" s="1"/>
  <c r="DR143" i="24"/>
  <c r="DU143" i="24" s="1"/>
  <c r="DO143" i="24"/>
  <c r="EE156" i="24"/>
  <c r="EE12" i="24"/>
  <c r="DO38" i="24"/>
  <c r="DR38" i="24"/>
  <c r="DZ89" i="24"/>
  <c r="DX89" i="24"/>
  <c r="DO99" i="24"/>
  <c r="DR99" i="24"/>
  <c r="DR30" i="24"/>
  <c r="DO30" i="24"/>
  <c r="EE143" i="24"/>
  <c r="DZ41" i="24"/>
  <c r="DX41" i="24"/>
  <c r="DR160" i="24"/>
  <c r="DU160" i="24" s="1"/>
  <c r="DO160" i="24"/>
  <c r="DX128" i="24"/>
  <c r="DR298" i="24"/>
  <c r="DO298" i="24"/>
  <c r="DR127" i="24"/>
  <c r="DU127" i="24" s="1"/>
  <c r="DX150" i="24"/>
  <c r="DR88" i="24"/>
  <c r="DQ216" i="25" l="1"/>
  <c r="DV216" i="25" s="1"/>
  <c r="DX216" i="25" s="1"/>
  <c r="EC216" i="25" s="1"/>
  <c r="DX143" i="25"/>
  <c r="EC143" i="25" s="1"/>
  <c r="DX212" i="25"/>
  <c r="EC212" i="25" s="1"/>
  <c r="DY212" i="25"/>
  <c r="EM190" i="24"/>
  <c r="EP190" i="24" s="1"/>
  <c r="DU190" i="24"/>
  <c r="EM255" i="24"/>
  <c r="EP255" i="24" s="1"/>
  <c r="EN255" i="24"/>
  <c r="EY255" i="24"/>
  <c r="FA255" i="24"/>
  <c r="EL255" i="24"/>
  <c r="EB255" i="24"/>
  <c r="EM297" i="24"/>
  <c r="EP297" i="24" s="1"/>
  <c r="EN297" i="24"/>
  <c r="EY297" i="24"/>
  <c r="EL297" i="24"/>
  <c r="EB297" i="24"/>
  <c r="EM239" i="24"/>
  <c r="EP239" i="24" s="1"/>
  <c r="EN239" i="24"/>
  <c r="EL239" i="24"/>
  <c r="EY239" i="24"/>
  <c r="EB239" i="24"/>
  <c r="FA239" i="24"/>
  <c r="EM281" i="24"/>
  <c r="EP281" i="24" s="1"/>
  <c r="EN281" i="24"/>
  <c r="FA281" i="24"/>
  <c r="EY281" i="24"/>
  <c r="EB281" i="24"/>
  <c r="EM286" i="24"/>
  <c r="EP286" i="24" s="1"/>
  <c r="EN286" i="24"/>
  <c r="EL286" i="24"/>
  <c r="EY286" i="24"/>
  <c r="EB286" i="24"/>
  <c r="EM296" i="24"/>
  <c r="EP296" i="24" s="1"/>
  <c r="EN296" i="24"/>
  <c r="EL296" i="24"/>
  <c r="EY296" i="24"/>
  <c r="FA296" i="24"/>
  <c r="EB296" i="24"/>
  <c r="EM256" i="24"/>
  <c r="EP256" i="24" s="1"/>
  <c r="EN256" i="24"/>
  <c r="FA256" i="24"/>
  <c r="EL256" i="24"/>
  <c r="EB256" i="24"/>
  <c r="EM222" i="24"/>
  <c r="EP222" i="24" s="1"/>
  <c r="EN222" i="24"/>
  <c r="EL222" i="24"/>
  <c r="EY222" i="24"/>
  <c r="FA222" i="24"/>
  <c r="EM276" i="24"/>
  <c r="EP276" i="24" s="1"/>
  <c r="EN276" i="24"/>
  <c r="EL276" i="24"/>
  <c r="EB276" i="24"/>
  <c r="EY276" i="24"/>
  <c r="EB299" i="24"/>
  <c r="FA306" i="24"/>
  <c r="EY304" i="24"/>
  <c r="EB267" i="24"/>
  <c r="EB250" i="24"/>
  <c r="EB316" i="24"/>
  <c r="FA262" i="24"/>
  <c r="EB248" i="24"/>
  <c r="EB315" i="24"/>
  <c r="FA297" i="24"/>
  <c r="EY256" i="24"/>
  <c r="EB222" i="24"/>
  <c r="EM291" i="24"/>
  <c r="EP291" i="24" s="1"/>
  <c r="EN291" i="24"/>
  <c r="EM294" i="24"/>
  <c r="EP294" i="24" s="1"/>
  <c r="EN294" i="24"/>
  <c r="EL294" i="24"/>
  <c r="EM274" i="24"/>
  <c r="EP274" i="24" s="1"/>
  <c r="EN274" i="24"/>
  <c r="EY274" i="24"/>
  <c r="EL274" i="24"/>
  <c r="EB274" i="24"/>
  <c r="EM258" i="24"/>
  <c r="EP258" i="24" s="1"/>
  <c r="EN258" i="24"/>
  <c r="EY258" i="24"/>
  <c r="EL258" i="24"/>
  <c r="EB258" i="24"/>
  <c r="EM218" i="24"/>
  <c r="EP218" i="24" s="1"/>
  <c r="EN218" i="24"/>
  <c r="EY218" i="24"/>
  <c r="EM253" i="24"/>
  <c r="EP253" i="24" s="1"/>
  <c r="EN253" i="24"/>
  <c r="EM273" i="24"/>
  <c r="EP273" i="24" s="1"/>
  <c r="EN273" i="24"/>
  <c r="FA273" i="24"/>
  <c r="EM223" i="24"/>
  <c r="EP223" i="24" s="1"/>
  <c r="EN223" i="24"/>
  <c r="EY223" i="24"/>
  <c r="FA223" i="24"/>
  <c r="EL223" i="24"/>
  <c r="EB223" i="24"/>
  <c r="EM224" i="24"/>
  <c r="EP224" i="24" s="1"/>
  <c r="EN224" i="24"/>
  <c r="EY224" i="24"/>
  <c r="EM309" i="24"/>
  <c r="EP309" i="24" s="1"/>
  <c r="EN309" i="24"/>
  <c r="EY309" i="24"/>
  <c r="EL309" i="24"/>
  <c r="EB309" i="24"/>
  <c r="EM227" i="24"/>
  <c r="EP227" i="24" s="1"/>
  <c r="EN227" i="24"/>
  <c r="EY227" i="24"/>
  <c r="FA227" i="24"/>
  <c r="EL227" i="24"/>
  <c r="EB227" i="24"/>
  <c r="EM220" i="24"/>
  <c r="EP220" i="24" s="1"/>
  <c r="EN220" i="24"/>
  <c r="EY220" i="24"/>
  <c r="EL220" i="24"/>
  <c r="EL299" i="24"/>
  <c r="EB306" i="24"/>
  <c r="FA285" i="24"/>
  <c r="EL267" i="24"/>
  <c r="EY253" i="24"/>
  <c r="EB288" i="24"/>
  <c r="EY250" i="24"/>
  <c r="EB277" i="24"/>
  <c r="EL291" i="24"/>
  <c r="EL316" i="24"/>
  <c r="EB294" i="24"/>
  <c r="EB270" i="24"/>
  <c r="FA218" i="24"/>
  <c r="EB220" i="24"/>
  <c r="EM225" i="24"/>
  <c r="EP225" i="24" s="1"/>
  <c r="EN225" i="24"/>
  <c r="EL225" i="24"/>
  <c r="EY225" i="24"/>
  <c r="EB225" i="24"/>
  <c r="FA225" i="24"/>
  <c r="EM298" i="24"/>
  <c r="EP298" i="24" s="1"/>
  <c r="EN298" i="24"/>
  <c r="EY298" i="24"/>
  <c r="EL298" i="24"/>
  <c r="EB298" i="24"/>
  <c r="EM308" i="24"/>
  <c r="EP308" i="24" s="1"/>
  <c r="EN308" i="24"/>
  <c r="EY308" i="24"/>
  <c r="EL308" i="24"/>
  <c r="EB308" i="24"/>
  <c r="EM226" i="24"/>
  <c r="EP226" i="24" s="1"/>
  <c r="EN226" i="24"/>
  <c r="EY226" i="24"/>
  <c r="EL226" i="24"/>
  <c r="EB226" i="24"/>
  <c r="EM252" i="24"/>
  <c r="EP252" i="24" s="1"/>
  <c r="EN252" i="24"/>
  <c r="EL252" i="24"/>
  <c r="EY252" i="24"/>
  <c r="EB252" i="24"/>
  <c r="EM232" i="24"/>
  <c r="EP232" i="24" s="1"/>
  <c r="EN232" i="24"/>
  <c r="EY232" i="24"/>
  <c r="EL232" i="24"/>
  <c r="EM262" i="24"/>
  <c r="EP262" i="24" s="1"/>
  <c r="EN262" i="24"/>
  <c r="EY262" i="24"/>
  <c r="EM241" i="24"/>
  <c r="EP241" i="24" s="1"/>
  <c r="EN241" i="24"/>
  <c r="EY241" i="24"/>
  <c r="EL241" i="24"/>
  <c r="EB241" i="24"/>
  <c r="EM311" i="24"/>
  <c r="EP311" i="24" s="1"/>
  <c r="EN311" i="24"/>
  <c r="EM229" i="24"/>
  <c r="EP229" i="24" s="1"/>
  <c r="EN229" i="24"/>
  <c r="EY229" i="24"/>
  <c r="EL229" i="24"/>
  <c r="EB229" i="24"/>
  <c r="EM245" i="24"/>
  <c r="EP245" i="24" s="1"/>
  <c r="EN245" i="24"/>
  <c r="EY245" i="24"/>
  <c r="FA245" i="24"/>
  <c r="EM293" i="24"/>
  <c r="EP293" i="24" s="1"/>
  <c r="EN293" i="24"/>
  <c r="EM271" i="24"/>
  <c r="EP271" i="24" s="1"/>
  <c r="EN271" i="24"/>
  <c r="EY271" i="24"/>
  <c r="FA271" i="24"/>
  <c r="EL271" i="24"/>
  <c r="EB271" i="24"/>
  <c r="EM304" i="24"/>
  <c r="EP304" i="24" s="1"/>
  <c r="EN304" i="24"/>
  <c r="EM295" i="24"/>
  <c r="EP295" i="24" s="1"/>
  <c r="EN295" i="24"/>
  <c r="EY295" i="24"/>
  <c r="EL295" i="24"/>
  <c r="EB295" i="24"/>
  <c r="FA299" i="24"/>
  <c r="FA293" i="24"/>
  <c r="EL253" i="24"/>
  <c r="FA316" i="24"/>
  <c r="FA270" i="24"/>
  <c r="EL248" i="24"/>
  <c r="EB217" i="24"/>
  <c r="FA220" i="24"/>
  <c r="FA276" i="24"/>
  <c r="FA226" i="24"/>
  <c r="FA274" i="24"/>
  <c r="EM277" i="24"/>
  <c r="EP277" i="24" s="1"/>
  <c r="EN277" i="24"/>
  <c r="EM289" i="24"/>
  <c r="EP289" i="24" s="1"/>
  <c r="EN289" i="24"/>
  <c r="EL289" i="24"/>
  <c r="FA289" i="24"/>
  <c r="EB289" i="24"/>
  <c r="EM315" i="24"/>
  <c r="EP315" i="24" s="1"/>
  <c r="EN315" i="24"/>
  <c r="EY315" i="24"/>
  <c r="EL315" i="24"/>
  <c r="EM305" i="24"/>
  <c r="EP305" i="24" s="1"/>
  <c r="EN305" i="24"/>
  <c r="EY305" i="24"/>
  <c r="EL305" i="24"/>
  <c r="EB305" i="24"/>
  <c r="EM237" i="24"/>
  <c r="EP237" i="24" s="1"/>
  <c r="EN237" i="24"/>
  <c r="EY237" i="24"/>
  <c r="EL237" i="24"/>
  <c r="EB237" i="24"/>
  <c r="EM221" i="24"/>
  <c r="EP221" i="24" s="1"/>
  <c r="EN221" i="24"/>
  <c r="EM282" i="24"/>
  <c r="EP282" i="24" s="1"/>
  <c r="EN282" i="24"/>
  <c r="EB282" i="24"/>
  <c r="EY282" i="24"/>
  <c r="FA282" i="24"/>
  <c r="EM288" i="24"/>
  <c r="EP288" i="24" s="1"/>
  <c r="EN288" i="24"/>
  <c r="EY285" i="24"/>
  <c r="EY293" i="24"/>
  <c r="EY288" i="24"/>
  <c r="FA291" i="24"/>
  <c r="FA221" i="24"/>
  <c r="EL311" i="24"/>
  <c r="EB224" i="24"/>
  <c r="EB234" i="24"/>
  <c r="EL282" i="24"/>
  <c r="EM278" i="24"/>
  <c r="EP278" i="24" s="1"/>
  <c r="EN278" i="24"/>
  <c r="EY278" i="24"/>
  <c r="FA278" i="24"/>
  <c r="EB278" i="24"/>
  <c r="EM228" i="24"/>
  <c r="EP228" i="24" s="1"/>
  <c r="EN228" i="24"/>
  <c r="EY228" i="24"/>
  <c r="EM265" i="24"/>
  <c r="EP265" i="24" s="1"/>
  <c r="EN265" i="24"/>
  <c r="EY265" i="24"/>
  <c r="FA265" i="24"/>
  <c r="EL265" i="24"/>
  <c r="EB265" i="24"/>
  <c r="EM306" i="24"/>
  <c r="EP306" i="24" s="1"/>
  <c r="EN306" i="24"/>
  <c r="EM250" i="24"/>
  <c r="EP250" i="24" s="1"/>
  <c r="EN250" i="24"/>
  <c r="EM316" i="24"/>
  <c r="EP316" i="24" s="1"/>
  <c r="EN316" i="24"/>
  <c r="EM219" i="24"/>
  <c r="EP219" i="24" s="1"/>
  <c r="EN219" i="24"/>
  <c r="EL219" i="24"/>
  <c r="EY219" i="24"/>
  <c r="EB219" i="24"/>
  <c r="FA219" i="24"/>
  <c r="EM240" i="24"/>
  <c r="EP240" i="24" s="1"/>
  <c r="EN240" i="24"/>
  <c r="EY240" i="24"/>
  <c r="EL240" i="24"/>
  <c r="EB240" i="24"/>
  <c r="EM246" i="24"/>
  <c r="EP246" i="24" s="1"/>
  <c r="EN246" i="24"/>
  <c r="EY246" i="24"/>
  <c r="EL246" i="24"/>
  <c r="EB246" i="24"/>
  <c r="EM254" i="24"/>
  <c r="EP254" i="24" s="1"/>
  <c r="EN254" i="24"/>
  <c r="EY254" i="24"/>
  <c r="EL254" i="24"/>
  <c r="EB254" i="24"/>
  <c r="EM236" i="24"/>
  <c r="EP236" i="24" s="1"/>
  <c r="EN236" i="24"/>
  <c r="EL236" i="24"/>
  <c r="EY236" i="24"/>
  <c r="EB236" i="24"/>
  <c r="FA236" i="24"/>
  <c r="EM280" i="24"/>
  <c r="EP280" i="24" s="1"/>
  <c r="EN280" i="24"/>
  <c r="EY280" i="24"/>
  <c r="EL280" i="24"/>
  <c r="EB280" i="24"/>
  <c r="EM217" i="24"/>
  <c r="EP217" i="24" s="1"/>
  <c r="EN217" i="24"/>
  <c r="EY217" i="24"/>
  <c r="EL217" i="24"/>
  <c r="EM284" i="24"/>
  <c r="EP284" i="24" s="1"/>
  <c r="EN284" i="24"/>
  <c r="EY284" i="24"/>
  <c r="EL284" i="24"/>
  <c r="EB284" i="24"/>
  <c r="EM267" i="24"/>
  <c r="EP267" i="24" s="1"/>
  <c r="EN267" i="24"/>
  <c r="EM244" i="24"/>
  <c r="EP244" i="24" s="1"/>
  <c r="EN244" i="24"/>
  <c r="EY244" i="24"/>
  <c r="EL244" i="24"/>
  <c r="EB244" i="24"/>
  <c r="EM243" i="24"/>
  <c r="EP243" i="24" s="1"/>
  <c r="EN243" i="24"/>
  <c r="EY243" i="24"/>
  <c r="FA243" i="24"/>
  <c r="EL243" i="24"/>
  <c r="EB243" i="24"/>
  <c r="EL304" i="24"/>
  <c r="FA253" i="24"/>
  <c r="FA250" i="24"/>
  <c r="EY277" i="24"/>
  <c r="FA311" i="24"/>
  <c r="FA294" i="24"/>
  <c r="EL224" i="24"/>
  <c r="EL281" i="24"/>
  <c r="FA280" i="24"/>
  <c r="FA254" i="24"/>
  <c r="FA286" i="24"/>
  <c r="FA241" i="24"/>
  <c r="FA237" i="24"/>
  <c r="FA305" i="24"/>
  <c r="FA258" i="24"/>
  <c r="EM251" i="24"/>
  <c r="EP251" i="24" s="1"/>
  <c r="EN251" i="24"/>
  <c r="EY251" i="24"/>
  <c r="EL251" i="24"/>
  <c r="EB251" i="24"/>
  <c r="EM300" i="24"/>
  <c r="EP300" i="24" s="1"/>
  <c r="EN300" i="24"/>
  <c r="EY300" i="24"/>
  <c r="EL300" i="24"/>
  <c r="EB300" i="24"/>
  <c r="EM247" i="24"/>
  <c r="EP247" i="24" s="1"/>
  <c r="EN247" i="24"/>
  <c r="EY247" i="24"/>
  <c r="EL247" i="24"/>
  <c r="EB247" i="24"/>
  <c r="EM272" i="24"/>
  <c r="EP272" i="24" s="1"/>
  <c r="EN272" i="24"/>
  <c r="EY272" i="24"/>
  <c r="EL272" i="24"/>
  <c r="EB272" i="24"/>
  <c r="EM292" i="24"/>
  <c r="EP292" i="24" s="1"/>
  <c r="EN292" i="24"/>
  <c r="FA292" i="24"/>
  <c r="EL292" i="24"/>
  <c r="EY292" i="24"/>
  <c r="EM303" i="24"/>
  <c r="EP303" i="24" s="1"/>
  <c r="EN303" i="24"/>
  <c r="EY303" i="24"/>
  <c r="EL303" i="24"/>
  <c r="EB303" i="24"/>
  <c r="EM261" i="24"/>
  <c r="EP261" i="24" s="1"/>
  <c r="EN261" i="24"/>
  <c r="EL261" i="24"/>
  <c r="EY261" i="24"/>
  <c r="EB261" i="24"/>
  <c r="EM314" i="24"/>
  <c r="EP314" i="24" s="1"/>
  <c r="EN314" i="24"/>
  <c r="EY314" i="24"/>
  <c r="EL314" i="24"/>
  <c r="EB314" i="24"/>
  <c r="EM260" i="24"/>
  <c r="EP260" i="24" s="1"/>
  <c r="EN260" i="24"/>
  <c r="EY260" i="24"/>
  <c r="FA260" i="24"/>
  <c r="EB260" i="24"/>
  <c r="EM268" i="24"/>
  <c r="EP268" i="24" s="1"/>
  <c r="EN268" i="24"/>
  <c r="EL268" i="24"/>
  <c r="FA268" i="24"/>
  <c r="EY268" i="24"/>
  <c r="EB268" i="24"/>
  <c r="EM234" i="24"/>
  <c r="EP234" i="24" s="1"/>
  <c r="EN234" i="24"/>
  <c r="EY234" i="24"/>
  <c r="EM301" i="24"/>
  <c r="EP301" i="24" s="1"/>
  <c r="EN301" i="24"/>
  <c r="EY301" i="24"/>
  <c r="EL301" i="24"/>
  <c r="EB301" i="24"/>
  <c r="EM307" i="24"/>
  <c r="EP307" i="24" s="1"/>
  <c r="EN307" i="24"/>
  <c r="EY307" i="24"/>
  <c r="EM290" i="24"/>
  <c r="EP290" i="24" s="1"/>
  <c r="EN290" i="24"/>
  <c r="EY290" i="24"/>
  <c r="EL290" i="24"/>
  <c r="EB290" i="24"/>
  <c r="EM238" i="24"/>
  <c r="EP238" i="24" s="1"/>
  <c r="EN238" i="24"/>
  <c r="EY238" i="24"/>
  <c r="EL238" i="24"/>
  <c r="EB238" i="24"/>
  <c r="EM257" i="24"/>
  <c r="EP257" i="24" s="1"/>
  <c r="EN257" i="24"/>
  <c r="EY257" i="24"/>
  <c r="FA257" i="24"/>
  <c r="EL257" i="24"/>
  <c r="EB257" i="24"/>
  <c r="EM242" i="24"/>
  <c r="EP242" i="24" s="1"/>
  <c r="EN242" i="24"/>
  <c r="FA242" i="24"/>
  <c r="EL242" i="24"/>
  <c r="EB242" i="24"/>
  <c r="EY242" i="24"/>
  <c r="EL306" i="24"/>
  <c r="FA304" i="24"/>
  <c r="EY267" i="24"/>
  <c r="EL277" i="24"/>
  <c r="EY291" i="24"/>
  <c r="EY221" i="24"/>
  <c r="FA224" i="24"/>
  <c r="EB307" i="24"/>
  <c r="FA234" i="24"/>
  <c r="EB245" i="24"/>
  <c r="EM264" i="24"/>
  <c r="EP264" i="24" s="1"/>
  <c r="EN264" i="24"/>
  <c r="EY264" i="24"/>
  <c r="EL264" i="24"/>
  <c r="EB264" i="24"/>
  <c r="EM233" i="24"/>
  <c r="EP233" i="24" s="1"/>
  <c r="EN233" i="24"/>
  <c r="EY233" i="24"/>
  <c r="EL233" i="24"/>
  <c r="EB233" i="24"/>
  <c r="EM269" i="24"/>
  <c r="EP269" i="24" s="1"/>
  <c r="EN269" i="24"/>
  <c r="EY269" i="24"/>
  <c r="FA269" i="24"/>
  <c r="EL269" i="24"/>
  <c r="EB269" i="24"/>
  <c r="EM249" i="24"/>
  <c r="EP249" i="24" s="1"/>
  <c r="EN249" i="24"/>
  <c r="EL249" i="24"/>
  <c r="EY249" i="24"/>
  <c r="EB249" i="24"/>
  <c r="EM312" i="24"/>
  <c r="EP312" i="24" s="1"/>
  <c r="EN312" i="24"/>
  <c r="EY312" i="24"/>
  <c r="EL312" i="24"/>
  <c r="EB312" i="24"/>
  <c r="EM270" i="24"/>
  <c r="EP270" i="24" s="1"/>
  <c r="EN270" i="24"/>
  <c r="EY270" i="24"/>
  <c r="EM266" i="24"/>
  <c r="EP266" i="24" s="1"/>
  <c r="EN266" i="24"/>
  <c r="EY266" i="24"/>
  <c r="EL266" i="24"/>
  <c r="FA266" i="24"/>
  <c r="EB266" i="24"/>
  <c r="EM310" i="24"/>
  <c r="EP310" i="24" s="1"/>
  <c r="EN310" i="24"/>
  <c r="EY310" i="24"/>
  <c r="EL310" i="24"/>
  <c r="EB310" i="24"/>
  <c r="EM287" i="24"/>
  <c r="EP287" i="24" s="1"/>
  <c r="EN287" i="24"/>
  <c r="EY287" i="24"/>
  <c r="EL287" i="24"/>
  <c r="EB287" i="24"/>
  <c r="EM263" i="24"/>
  <c r="EP263" i="24" s="1"/>
  <c r="EN263" i="24"/>
  <c r="EY263" i="24"/>
  <c r="FA263" i="24"/>
  <c r="EL263" i="24"/>
  <c r="EB263" i="24"/>
  <c r="EM235" i="24"/>
  <c r="EP235" i="24" s="1"/>
  <c r="EN235" i="24"/>
  <c r="EY235" i="24"/>
  <c r="EL235" i="24"/>
  <c r="EB235" i="24"/>
  <c r="EM302" i="24"/>
  <c r="EP302" i="24" s="1"/>
  <c r="EN302" i="24"/>
  <c r="EY302" i="24"/>
  <c r="FA302" i="24"/>
  <c r="EB302" i="24"/>
  <c r="EM299" i="24"/>
  <c r="EP299" i="24" s="1"/>
  <c r="EN299" i="24"/>
  <c r="EM259" i="24"/>
  <c r="EP259" i="24" s="1"/>
  <c r="EN259" i="24"/>
  <c r="EL259" i="24"/>
  <c r="EY259" i="24"/>
  <c r="EB259" i="24"/>
  <c r="EM231" i="24"/>
  <c r="EP231" i="24" s="1"/>
  <c r="EN231" i="24"/>
  <c r="FA231" i="24"/>
  <c r="EL231" i="24"/>
  <c r="EB231" i="24"/>
  <c r="EM313" i="24"/>
  <c r="EP313" i="24" s="1"/>
  <c r="EN313" i="24"/>
  <c r="EL313" i="24"/>
  <c r="EY313" i="24"/>
  <c r="FA313" i="24"/>
  <c r="EB313" i="24"/>
  <c r="EM275" i="24"/>
  <c r="EP275" i="24" s="1"/>
  <c r="EN275" i="24"/>
  <c r="EL275" i="24"/>
  <c r="EY275" i="24"/>
  <c r="EB275" i="24"/>
  <c r="FA275" i="24"/>
  <c r="EM285" i="24"/>
  <c r="EP285" i="24" s="1"/>
  <c r="EN285" i="24"/>
  <c r="EB262" i="24"/>
  <c r="FA228" i="24"/>
  <c r="EL307" i="24"/>
  <c r="EY273" i="24"/>
  <c r="EL245" i="24"/>
  <c r="EB232" i="24"/>
  <c r="EB292" i="24"/>
  <c r="FA249" i="24"/>
  <c r="FA272" i="24"/>
  <c r="FA264" i="24"/>
  <c r="FA247" i="24"/>
  <c r="FA235" i="24"/>
  <c r="FA244" i="24"/>
  <c r="FA295" i="24"/>
  <c r="FA252" i="24"/>
  <c r="EY231" i="24"/>
  <c r="FA251" i="24"/>
  <c r="FA284" i="24"/>
  <c r="FA298" i="24"/>
  <c r="FA290" i="24"/>
  <c r="EM230" i="24"/>
  <c r="EP230" i="24" s="1"/>
  <c r="EN230" i="24"/>
  <c r="EY230" i="24"/>
  <c r="EL230" i="24"/>
  <c r="EB230" i="24"/>
  <c r="EM248" i="24"/>
  <c r="EP248" i="24" s="1"/>
  <c r="EN248" i="24"/>
  <c r="EY248" i="24"/>
  <c r="EM279" i="24"/>
  <c r="EP279" i="24" s="1"/>
  <c r="EN279" i="24"/>
  <c r="EY279" i="24"/>
  <c r="FA279" i="24"/>
  <c r="EB279" i="24"/>
  <c r="EL279" i="24"/>
  <c r="EM283" i="24"/>
  <c r="EP283" i="24" s="1"/>
  <c r="EN283" i="24"/>
  <c r="EL283" i="24"/>
  <c r="EB283" i="24"/>
  <c r="FA283" i="24"/>
  <c r="EL285" i="24"/>
  <c r="EB293" i="24"/>
  <c r="EL288" i="24"/>
  <c r="EB221" i="24"/>
  <c r="EY311" i="24"/>
  <c r="EY294" i="24"/>
  <c r="EB228" i="24"/>
  <c r="EB218" i="24"/>
  <c r="FA307" i="24"/>
  <c r="EB273" i="24"/>
  <c r="FA232" i="24"/>
  <c r="EY216" i="25"/>
  <c r="DX112" i="25"/>
  <c r="EC112" i="25" s="1"/>
  <c r="DY112" i="25"/>
  <c r="CG182" i="25"/>
  <c r="CH182" i="25"/>
  <c r="CG138" i="25"/>
  <c r="CH138" i="25"/>
  <c r="CG143" i="25"/>
  <c r="CH181" i="25"/>
  <c r="CG181" i="25"/>
  <c r="EY89" i="24"/>
  <c r="FA67" i="24"/>
  <c r="EB52" i="24"/>
  <c r="FA47" i="24"/>
  <c r="EL161" i="24"/>
  <c r="EL42" i="24"/>
  <c r="EB65" i="24"/>
  <c r="FA43" i="24"/>
  <c r="EL122" i="24"/>
  <c r="EB100" i="24"/>
  <c r="DW243" i="24"/>
  <c r="DY243" i="24" s="1"/>
  <c r="EF243" i="24" s="1"/>
  <c r="EB152" i="24"/>
  <c r="EB33" i="24"/>
  <c r="FA71" i="24"/>
  <c r="FA14" i="24"/>
  <c r="EY164" i="24"/>
  <c r="EB103" i="24"/>
  <c r="EL90" i="24"/>
  <c r="DW242" i="24"/>
  <c r="DY242" i="24" s="1"/>
  <c r="EF242" i="24" s="1"/>
  <c r="FA160" i="24"/>
  <c r="EB127" i="24"/>
  <c r="FA201" i="24"/>
  <c r="EB186" i="24"/>
  <c r="EB53" i="24"/>
  <c r="EY193" i="24"/>
  <c r="EY157" i="24"/>
  <c r="EB77" i="24"/>
  <c r="EL63" i="24"/>
  <c r="EB78" i="24"/>
  <c r="FA39" i="24"/>
  <c r="EL37" i="24"/>
  <c r="FA199" i="24"/>
  <c r="EB23" i="24"/>
  <c r="EB142" i="24"/>
  <c r="EY24" i="24"/>
  <c r="DW285" i="24"/>
  <c r="DY285" i="24" s="1"/>
  <c r="EF285" i="24" s="1"/>
  <c r="EL190" i="24"/>
  <c r="EY30" i="24"/>
  <c r="FA155" i="24"/>
  <c r="EL83" i="24"/>
  <c r="FA185" i="24"/>
  <c r="EY60" i="24"/>
  <c r="EL25" i="24"/>
  <c r="EL128" i="24"/>
  <c r="FA136" i="24"/>
  <c r="FA167" i="24"/>
  <c r="EB174" i="24"/>
  <c r="EY26" i="24"/>
  <c r="EB68" i="24"/>
  <c r="EY197" i="24"/>
  <c r="CG110" i="24"/>
  <c r="FL110" i="24"/>
  <c r="EM169" i="24"/>
  <c r="EP169" i="24" s="1"/>
  <c r="FA171" i="24"/>
  <c r="EL50" i="24"/>
  <c r="FA124" i="24"/>
  <c r="EY175" i="24"/>
  <c r="FA138" i="24"/>
  <c r="EY183" i="24"/>
  <c r="EL133" i="24"/>
  <c r="EY158" i="24"/>
  <c r="EL145" i="24"/>
  <c r="DU92" i="24"/>
  <c r="FA74" i="24"/>
  <c r="FA202" i="24"/>
  <c r="EY29" i="24"/>
  <c r="EB54" i="24"/>
  <c r="EL154" i="24"/>
  <c r="FA62" i="24"/>
  <c r="EL170" i="24"/>
  <c r="EY41" i="24"/>
  <c r="EB8" i="24"/>
  <c r="EL55" i="24"/>
  <c r="EB104" i="24"/>
  <c r="EY40" i="24"/>
  <c r="FA61" i="24"/>
  <c r="EL150" i="24"/>
  <c r="FA159" i="24"/>
  <c r="EL129" i="24"/>
  <c r="EY48" i="24"/>
  <c r="EY111" i="24"/>
  <c r="EL173" i="24"/>
  <c r="EL112" i="24"/>
  <c r="FA70" i="24"/>
  <c r="EY126" i="24"/>
  <c r="FA44" i="24"/>
  <c r="DU96" i="24"/>
  <c r="EY177" i="24"/>
  <c r="FA10" i="24"/>
  <c r="EL172" i="24"/>
  <c r="EL98" i="24"/>
  <c r="FA132" i="24"/>
  <c r="EB13" i="24"/>
  <c r="EY147" i="24"/>
  <c r="EL123" i="24"/>
  <c r="EL134" i="24"/>
  <c r="EL35" i="24"/>
  <c r="CG5" i="24"/>
  <c r="K5" i="24" s="1"/>
  <c r="FL5" i="24"/>
  <c r="EL209" i="24"/>
  <c r="EM92" i="24"/>
  <c r="EP92" i="24" s="1"/>
  <c r="EB74" i="24"/>
  <c r="EN92" i="24"/>
  <c r="DW92" i="24"/>
  <c r="DY92" i="24" s="1"/>
  <c r="EF92" i="24" s="1"/>
  <c r="EL92" i="24"/>
  <c r="DU74" i="24"/>
  <c r="EB92" i="24"/>
  <c r="EM74" i="24"/>
  <c r="EP74" i="24" s="1"/>
  <c r="FA92" i="24"/>
  <c r="EL74" i="24"/>
  <c r="DW74" i="24"/>
  <c r="DY74" i="24" s="1"/>
  <c r="EF74" i="24" s="1"/>
  <c r="EY92" i="24"/>
  <c r="EY74" i="24"/>
  <c r="EN74" i="24"/>
  <c r="FA169" i="24"/>
  <c r="DW169" i="24"/>
  <c r="DY169" i="24" s="1"/>
  <c r="EF169" i="24" s="1"/>
  <c r="EN169" i="24"/>
  <c r="EB169" i="24"/>
  <c r="EL169" i="24"/>
  <c r="EY169" i="24"/>
  <c r="EB190" i="24"/>
  <c r="EN190" i="24"/>
  <c r="FA190" i="24"/>
  <c r="DW190" i="24"/>
  <c r="EA190" i="24" s="1"/>
  <c r="FL190" i="24" s="1"/>
  <c r="DX181" i="25"/>
  <c r="EC181" i="25" s="1"/>
  <c r="DU243" i="24"/>
  <c r="EL24" i="24"/>
  <c r="FA150" i="24"/>
  <c r="DY64" i="25"/>
  <c r="FL64" i="25" s="1"/>
  <c r="DY96" i="25"/>
  <c r="FL96" i="25" s="1"/>
  <c r="FA100" i="24"/>
  <c r="FA90" i="24"/>
  <c r="EL39" i="24"/>
  <c r="EL78" i="24"/>
  <c r="DY183" i="25"/>
  <c r="DY97" i="25"/>
  <c r="FL97" i="25" s="1"/>
  <c r="EM96" i="24"/>
  <c r="EP96" i="24" s="1"/>
  <c r="EB193" i="24"/>
  <c r="DW96" i="24"/>
  <c r="DY96" i="24" s="1"/>
  <c r="EF96" i="24" s="1"/>
  <c r="EB96" i="24"/>
  <c r="FA68" i="24"/>
  <c r="DU90" i="24"/>
  <c r="EL40" i="24"/>
  <c r="EM90" i="24"/>
  <c r="EP90" i="24" s="1"/>
  <c r="DU242" i="24"/>
  <c r="EN90" i="24"/>
  <c r="FA104" i="24"/>
  <c r="DW90" i="24"/>
  <c r="DY90" i="24" s="1"/>
  <c r="EF90" i="24" s="1"/>
  <c r="EB90" i="24"/>
  <c r="DY185" i="25"/>
  <c r="CG185" i="25" s="1"/>
  <c r="DY131" i="25"/>
  <c r="CG131" i="25" s="1"/>
  <c r="EY90" i="24"/>
  <c r="EB123" i="24"/>
  <c r="EY123" i="24"/>
  <c r="FA78" i="24"/>
  <c r="DU39" i="24"/>
  <c r="EY39" i="24"/>
  <c r="DU78" i="24"/>
  <c r="EB70" i="24"/>
  <c r="EY145" i="24"/>
  <c r="EM39" i="24"/>
  <c r="EP39" i="24" s="1"/>
  <c r="EB39" i="24"/>
  <c r="EN39" i="24"/>
  <c r="EN78" i="24"/>
  <c r="EL70" i="24"/>
  <c r="EB145" i="24"/>
  <c r="EY112" i="24"/>
  <c r="DW39" i="24"/>
  <c r="DY39" i="24" s="1"/>
  <c r="EF39" i="24" s="1"/>
  <c r="EM78" i="24"/>
  <c r="EP78" i="24" s="1"/>
  <c r="FA145" i="24"/>
  <c r="DW78" i="24"/>
  <c r="DY78" i="24" s="1"/>
  <c r="EF78" i="24" s="1"/>
  <c r="EY78" i="24"/>
  <c r="EY70" i="24"/>
  <c r="FA112" i="24"/>
  <c r="EL142" i="24"/>
  <c r="EL43" i="24"/>
  <c r="FA134" i="24"/>
  <c r="FA122" i="24"/>
  <c r="EB134" i="24"/>
  <c r="EB122" i="24"/>
  <c r="DY103" i="25"/>
  <c r="CH103" i="25" s="1"/>
  <c r="EY122" i="24"/>
  <c r="EY142" i="24"/>
  <c r="DY74" i="25"/>
  <c r="FL74" i="25" s="1"/>
  <c r="EL13" i="24"/>
  <c r="EB24" i="24"/>
  <c r="EB128" i="24"/>
  <c r="EL48" i="24"/>
  <c r="EB147" i="24"/>
  <c r="FA111" i="24"/>
  <c r="EN96" i="24"/>
  <c r="EL147" i="24"/>
  <c r="FA128" i="24"/>
  <c r="EY68" i="24"/>
  <c r="EB48" i="24"/>
  <c r="EL111" i="24"/>
  <c r="EY161" i="24"/>
  <c r="DY58" i="25"/>
  <c r="CH58" i="25" s="1"/>
  <c r="EL68" i="24"/>
  <c r="EB111" i="24"/>
  <c r="EY96" i="24"/>
  <c r="DY37" i="25"/>
  <c r="CH37" i="25" s="1"/>
  <c r="EY128" i="24"/>
  <c r="FA147" i="24"/>
  <c r="EY167" i="24"/>
  <c r="FA96" i="24"/>
  <c r="EL96" i="24"/>
  <c r="DY95" i="25"/>
  <c r="FL95" i="25" s="1"/>
  <c r="EL100" i="24"/>
  <c r="EY100" i="24"/>
  <c r="FA40" i="24"/>
  <c r="FA123" i="24"/>
  <c r="EC110" i="24"/>
  <c r="ED110" i="24" s="1"/>
  <c r="EH110" i="24"/>
  <c r="EI110" i="24"/>
  <c r="EX110" i="24" s="1"/>
  <c r="EL104" i="24"/>
  <c r="FA158" i="24"/>
  <c r="EH5" i="24"/>
  <c r="EC5" i="24"/>
  <c r="ED5" i="24" s="1"/>
  <c r="EI5" i="24"/>
  <c r="EX5" i="24" s="1"/>
  <c r="EB158" i="24"/>
  <c r="EG182" i="25"/>
  <c r="EX182" i="25" s="1"/>
  <c r="DY216" i="24"/>
  <c r="EF216" i="24" s="1"/>
  <c r="EA216" i="24"/>
  <c r="DY145" i="25"/>
  <c r="CH145" i="25" s="1"/>
  <c r="FA193" i="24"/>
  <c r="EY159" i="24"/>
  <c r="FA173" i="24"/>
  <c r="DY89" i="25"/>
  <c r="CH89" i="25" s="1"/>
  <c r="DY199" i="25"/>
  <c r="EF199" i="25" s="1"/>
  <c r="EW199" i="25" s="1"/>
  <c r="DY56" i="25"/>
  <c r="CH56" i="25" s="1"/>
  <c r="DY90" i="25"/>
  <c r="FL90" i="25" s="1"/>
  <c r="DY136" i="25"/>
  <c r="CH136" i="25" s="1"/>
  <c r="EL103" i="24"/>
  <c r="EB164" i="24"/>
  <c r="EL26" i="24"/>
  <c r="DY77" i="25"/>
  <c r="CH77" i="25" s="1"/>
  <c r="EY103" i="24"/>
  <c r="FA164" i="24"/>
  <c r="FA77" i="24"/>
  <c r="DY158" i="25"/>
  <c r="CG158" i="25" s="1"/>
  <c r="EY77" i="24"/>
  <c r="FA26" i="24"/>
  <c r="EL77" i="24"/>
  <c r="FA103" i="24"/>
  <c r="EY98" i="24"/>
  <c r="EB26" i="24"/>
  <c r="EY150" i="24"/>
  <c r="EY104" i="24"/>
  <c r="EB40" i="24"/>
  <c r="EB61" i="24"/>
  <c r="EL159" i="24"/>
  <c r="EB150" i="24"/>
  <c r="EY61" i="24"/>
  <c r="FA152" i="24"/>
  <c r="EY152" i="24"/>
  <c r="DU285" i="24"/>
  <c r="EL41" i="24"/>
  <c r="EY8" i="24"/>
  <c r="FA41" i="24"/>
  <c r="EB197" i="24"/>
  <c r="DY156" i="25"/>
  <c r="CG156" i="25" s="1"/>
  <c r="DY194" i="25"/>
  <c r="CG194" i="25" s="1"/>
  <c r="DY73" i="25"/>
  <c r="CH73" i="25" s="1"/>
  <c r="DY99" i="25"/>
  <c r="FL99" i="25" s="1"/>
  <c r="EY25" i="24"/>
  <c r="FA170" i="24"/>
  <c r="DY137" i="25"/>
  <c r="EF137" i="25" s="1"/>
  <c r="EW137" i="25" s="1"/>
  <c r="EB161" i="24"/>
  <c r="FA161" i="24"/>
  <c r="EY170" i="24"/>
  <c r="FA154" i="24"/>
  <c r="EL136" i="24"/>
  <c r="EL152" i="24"/>
  <c r="EB170" i="24"/>
  <c r="EY136" i="24"/>
  <c r="EB136" i="24"/>
  <c r="EY132" i="24"/>
  <c r="EB132" i="24"/>
  <c r="EL167" i="24"/>
  <c r="EB25" i="24"/>
  <c r="DY164" i="25"/>
  <c r="EG164" i="25" s="1"/>
  <c r="EX164" i="25" s="1"/>
  <c r="DY173" i="25"/>
  <c r="EG173" i="25" s="1"/>
  <c r="EX173" i="25" s="1"/>
  <c r="EE182" i="25"/>
  <c r="EI182" i="25" s="1"/>
  <c r="DY128" i="25"/>
  <c r="EG128" i="25" s="1"/>
  <c r="EX128" i="25" s="1"/>
  <c r="EF182" i="25"/>
  <c r="EW182" i="25" s="1"/>
  <c r="DY81" i="25"/>
  <c r="CH81" i="25" s="1"/>
  <c r="DY93" i="25"/>
  <c r="FL93" i="25" s="1"/>
  <c r="DY83" i="25"/>
  <c r="FL83" i="25" s="1"/>
  <c r="DY47" i="25"/>
  <c r="CH47" i="25" s="1"/>
  <c r="DY141" i="25"/>
  <c r="CH141" i="25" s="1"/>
  <c r="DY169" i="25"/>
  <c r="CH169" i="25" s="1"/>
  <c r="DY180" i="25"/>
  <c r="CH180" i="25" s="1"/>
  <c r="DY9" i="25"/>
  <c r="FL9" i="25" s="1"/>
  <c r="DY178" i="25"/>
  <c r="CH178" i="25" s="1"/>
  <c r="DY42" i="25"/>
  <c r="FL42" i="25" s="1"/>
  <c r="DY129" i="25"/>
  <c r="CH129" i="25" s="1"/>
  <c r="DY34" i="25"/>
  <c r="FL34" i="25" s="1"/>
  <c r="DY23" i="25"/>
  <c r="FL23" i="25" s="1"/>
  <c r="DY171" i="25"/>
  <c r="EG171" i="25" s="1"/>
  <c r="EX171" i="25" s="1"/>
  <c r="DY111" i="25"/>
  <c r="CH111" i="25" s="1"/>
  <c r="DY49" i="25"/>
  <c r="FL49" i="25" s="1"/>
  <c r="DY17" i="25"/>
  <c r="FL17" i="25" s="1"/>
  <c r="DY33" i="25"/>
  <c r="CG33" i="25" s="1"/>
  <c r="DY25" i="25"/>
  <c r="CH25" i="25" s="1"/>
  <c r="DY87" i="25"/>
  <c r="FL87" i="25" s="1"/>
  <c r="EY134" i="24"/>
  <c r="EL132" i="24"/>
  <c r="EB167" i="24"/>
  <c r="EY43" i="24"/>
  <c r="EB159" i="24"/>
  <c r="EB126" i="24"/>
  <c r="DX300" i="25"/>
  <c r="EC300" i="25" s="1"/>
  <c r="DY300" i="25"/>
  <c r="DX50" i="25"/>
  <c r="EC50" i="25" s="1"/>
  <c r="DY50" i="25"/>
  <c r="FL50" i="25" s="1"/>
  <c r="DX271" i="25"/>
  <c r="EC271" i="25" s="1"/>
  <c r="DY271" i="25"/>
  <c r="DX19" i="25"/>
  <c r="EC19" i="25" s="1"/>
  <c r="DY19" i="25"/>
  <c r="FL19" i="25" s="1"/>
  <c r="DX6" i="25"/>
  <c r="EC6" i="25" s="1"/>
  <c r="DY6" i="25"/>
  <c r="FL6" i="25" s="1"/>
  <c r="DX20" i="25"/>
  <c r="EC20" i="25" s="1"/>
  <c r="DY20" i="25"/>
  <c r="FL20" i="25" s="1"/>
  <c r="DY65" i="25"/>
  <c r="FL65" i="25" s="1"/>
  <c r="DX125" i="25"/>
  <c r="EC125" i="25" s="1"/>
  <c r="DY125" i="25"/>
  <c r="CH125" i="25" s="1"/>
  <c r="DX132" i="25"/>
  <c r="EC132" i="25" s="1"/>
  <c r="DY132" i="25"/>
  <c r="CH132" i="25" s="1"/>
  <c r="DX114" i="25"/>
  <c r="EC114" i="25" s="1"/>
  <c r="DY114" i="25"/>
  <c r="CG114" i="25" s="1"/>
  <c r="DY13" i="25"/>
  <c r="FL13" i="25" s="1"/>
  <c r="DX209" i="25"/>
  <c r="EC209" i="25" s="1"/>
  <c r="DY209" i="25"/>
  <c r="CH209" i="25" s="1"/>
  <c r="DX68" i="25"/>
  <c r="EC68" i="25" s="1"/>
  <c r="DY68" i="25"/>
  <c r="FL68" i="25" s="1"/>
  <c r="DY98" i="25"/>
  <c r="FL98" i="25" s="1"/>
  <c r="DX133" i="25"/>
  <c r="EC133" i="25" s="1"/>
  <c r="DY133" i="25"/>
  <c r="CH133" i="25" s="1"/>
  <c r="DX267" i="25"/>
  <c r="EC267" i="25" s="1"/>
  <c r="DY267" i="25"/>
  <c r="DX257" i="25"/>
  <c r="EC257" i="25" s="1"/>
  <c r="DY257" i="25"/>
  <c r="DY91" i="25"/>
  <c r="FL91" i="25" s="1"/>
  <c r="DX230" i="25"/>
  <c r="EC230" i="25" s="1"/>
  <c r="DY230" i="25"/>
  <c r="DX278" i="25"/>
  <c r="EC278" i="25" s="1"/>
  <c r="DY278" i="25"/>
  <c r="DY78" i="25"/>
  <c r="FL78" i="25" s="1"/>
  <c r="DX313" i="25"/>
  <c r="EC313" i="25" s="1"/>
  <c r="DY313" i="25"/>
  <c r="DX204" i="25"/>
  <c r="EC204" i="25" s="1"/>
  <c r="DY204" i="25"/>
  <c r="CH204" i="25" s="1"/>
  <c r="DY92" i="25"/>
  <c r="FL92" i="25" s="1"/>
  <c r="DX220" i="25"/>
  <c r="EC220" i="25" s="1"/>
  <c r="DY220" i="25"/>
  <c r="DY35" i="25"/>
  <c r="FL35" i="25" s="1"/>
  <c r="DX287" i="25"/>
  <c r="EC287" i="25" s="1"/>
  <c r="DY287" i="25"/>
  <c r="DX18" i="25"/>
  <c r="EC18" i="25" s="1"/>
  <c r="DY18" i="25"/>
  <c r="FL18" i="25" s="1"/>
  <c r="DY127" i="25"/>
  <c r="CG127" i="25" s="1"/>
  <c r="DX22" i="25"/>
  <c r="EC22" i="25" s="1"/>
  <c r="DY22" i="25"/>
  <c r="FL22" i="25" s="1"/>
  <c r="DX291" i="25"/>
  <c r="EC291" i="25" s="1"/>
  <c r="DY291" i="25"/>
  <c r="DX162" i="25"/>
  <c r="EC162" i="25" s="1"/>
  <c r="DY162" i="25"/>
  <c r="CH162" i="25" s="1"/>
  <c r="DX44" i="25"/>
  <c r="EC44" i="25" s="1"/>
  <c r="DY44" i="25"/>
  <c r="FL44" i="25" s="1"/>
  <c r="DX223" i="25"/>
  <c r="EC223" i="25" s="1"/>
  <c r="DY223" i="25"/>
  <c r="FA142" i="24"/>
  <c r="FA8" i="24"/>
  <c r="EB112" i="24"/>
  <c r="EB43" i="24"/>
  <c r="EY174" i="24"/>
  <c r="FA126" i="24"/>
  <c r="DX224" i="25"/>
  <c r="EC224" i="25" s="1"/>
  <c r="DY224" i="25"/>
  <c r="DX243" i="25"/>
  <c r="EC243" i="25" s="1"/>
  <c r="DY243" i="25"/>
  <c r="DX84" i="25"/>
  <c r="EC84" i="25" s="1"/>
  <c r="DY84" i="25"/>
  <c r="FL84" i="25" s="1"/>
  <c r="DY43" i="25"/>
  <c r="FL43" i="25" s="1"/>
  <c r="DX244" i="25"/>
  <c r="EC244" i="25" s="1"/>
  <c r="DY244" i="25"/>
  <c r="DX252" i="25"/>
  <c r="EC252" i="25" s="1"/>
  <c r="DY252" i="25"/>
  <c r="DX172" i="25"/>
  <c r="EC172" i="25" s="1"/>
  <c r="DY172" i="25"/>
  <c r="CH172" i="25" s="1"/>
  <c r="DY122" i="25"/>
  <c r="CG122" i="25" s="1"/>
  <c r="DX11" i="25"/>
  <c r="EC11" i="25" s="1"/>
  <c r="DY11" i="25"/>
  <c r="FL11" i="25" s="1"/>
  <c r="DX149" i="25"/>
  <c r="EC149" i="25" s="1"/>
  <c r="DY149" i="25"/>
  <c r="CH149" i="25" s="1"/>
  <c r="DX54" i="25"/>
  <c r="EC54" i="25" s="1"/>
  <c r="DY54" i="25"/>
  <c r="FL54" i="25" s="1"/>
  <c r="DX263" i="25"/>
  <c r="EC263" i="25" s="1"/>
  <c r="DY263" i="25"/>
  <c r="DY29" i="25"/>
  <c r="FL29" i="25" s="1"/>
  <c r="DY105" i="25"/>
  <c r="FL105" i="25" s="1"/>
  <c r="DX239" i="25"/>
  <c r="EC239" i="25" s="1"/>
  <c r="DY239" i="25"/>
  <c r="DX292" i="25"/>
  <c r="EC292" i="25" s="1"/>
  <c r="DY292" i="25"/>
  <c r="DX69" i="25"/>
  <c r="EC69" i="25" s="1"/>
  <c r="DY69" i="25"/>
  <c r="FL69" i="25" s="1"/>
  <c r="DY59" i="25"/>
  <c r="FL59" i="25" s="1"/>
  <c r="DY80" i="25"/>
  <c r="FL80" i="25" s="1"/>
  <c r="DX234" i="25"/>
  <c r="EC234" i="25" s="1"/>
  <c r="DY234" i="25"/>
  <c r="DX31" i="25"/>
  <c r="EC31" i="25" s="1"/>
  <c r="DY31" i="25"/>
  <c r="FL31" i="25" s="1"/>
  <c r="DX254" i="25"/>
  <c r="EC254" i="25" s="1"/>
  <c r="DY254" i="25"/>
  <c r="DX235" i="25"/>
  <c r="EC235" i="25" s="1"/>
  <c r="DY235" i="25"/>
  <c r="DX290" i="25"/>
  <c r="EC290" i="25" s="1"/>
  <c r="DY290" i="25"/>
  <c r="DX159" i="25"/>
  <c r="EC159" i="25" s="1"/>
  <c r="DY159" i="25"/>
  <c r="CH159" i="25" s="1"/>
  <c r="DY12" i="25"/>
  <c r="FL12" i="25" s="1"/>
  <c r="DX61" i="25"/>
  <c r="EC61" i="25" s="1"/>
  <c r="DY61" i="25"/>
  <c r="FL61" i="25" s="1"/>
  <c r="DX117" i="25"/>
  <c r="EC117" i="25" s="1"/>
  <c r="DY117" i="25"/>
  <c r="CH117" i="25" s="1"/>
  <c r="DY190" i="25"/>
  <c r="CH190" i="25" s="1"/>
  <c r="DY79" i="25"/>
  <c r="FL79" i="25" s="1"/>
  <c r="DY208" i="25"/>
  <c r="CH208" i="25" s="1"/>
  <c r="DX146" i="25"/>
  <c r="EC146" i="25" s="1"/>
  <c r="DY146" i="25"/>
  <c r="CH146" i="25" s="1"/>
  <c r="EL174" i="24"/>
  <c r="EL126" i="24"/>
  <c r="DX75" i="25"/>
  <c r="EC75" i="25" s="1"/>
  <c r="DY75" i="25"/>
  <c r="FL75" i="25" s="1"/>
  <c r="DX151" i="25"/>
  <c r="EC151" i="25" s="1"/>
  <c r="DY151" i="25"/>
  <c r="CH151" i="25" s="1"/>
  <c r="DX268" i="25"/>
  <c r="EC268" i="25" s="1"/>
  <c r="DY268" i="25"/>
  <c r="DX113" i="25"/>
  <c r="EC113" i="25" s="1"/>
  <c r="DY113" i="25"/>
  <c r="CH113" i="25" s="1"/>
  <c r="DX256" i="25"/>
  <c r="EC256" i="25" s="1"/>
  <c r="DY256" i="25"/>
  <c r="DX222" i="25"/>
  <c r="EC222" i="25" s="1"/>
  <c r="DY222" i="25"/>
  <c r="DX260" i="25"/>
  <c r="EC260" i="25" s="1"/>
  <c r="DY260" i="25"/>
  <c r="DX264" i="25"/>
  <c r="EC264" i="25" s="1"/>
  <c r="DY264" i="25"/>
  <c r="DX296" i="25"/>
  <c r="EC296" i="25" s="1"/>
  <c r="DY296" i="25"/>
  <c r="DX265" i="25"/>
  <c r="EC265" i="25" s="1"/>
  <c r="DY265" i="25"/>
  <c r="DY157" i="25"/>
  <c r="CH157" i="25" s="1"/>
  <c r="DX41" i="25"/>
  <c r="EC41" i="25" s="1"/>
  <c r="DY41" i="25"/>
  <c r="FL41" i="25" s="1"/>
  <c r="DX32" i="25"/>
  <c r="EC32" i="25" s="1"/>
  <c r="DY32" i="25"/>
  <c r="FL32" i="25" s="1"/>
  <c r="DX261" i="25"/>
  <c r="EC261" i="25" s="1"/>
  <c r="DY261" i="25"/>
  <c r="DX55" i="25"/>
  <c r="EC55" i="25" s="1"/>
  <c r="DY55" i="25"/>
  <c r="FL55" i="25" s="1"/>
  <c r="DX249" i="25"/>
  <c r="EC249" i="25" s="1"/>
  <c r="DY249" i="25"/>
  <c r="DX30" i="25"/>
  <c r="EC30" i="25" s="1"/>
  <c r="DY30" i="25"/>
  <c r="FL30" i="25" s="1"/>
  <c r="DX192" i="25"/>
  <c r="EC192" i="25" s="1"/>
  <c r="DY192" i="25"/>
  <c r="CG192" i="25" s="1"/>
  <c r="DX165" i="25"/>
  <c r="EC165" i="25" s="1"/>
  <c r="DY165" i="25"/>
  <c r="CH165" i="25" s="1"/>
  <c r="DX135" i="25"/>
  <c r="EC135" i="25" s="1"/>
  <c r="DY135" i="25"/>
  <c r="CH135" i="25" s="1"/>
  <c r="DX245" i="25"/>
  <c r="EC245" i="25" s="1"/>
  <c r="DY245" i="25"/>
  <c r="DY187" i="25"/>
  <c r="CG187" i="25" s="1"/>
  <c r="DX8" i="25"/>
  <c r="EC8" i="25" s="1"/>
  <c r="DY8" i="25"/>
  <c r="FL8" i="25" s="1"/>
  <c r="DX144" i="25"/>
  <c r="EC144" i="25" s="1"/>
  <c r="DY144" i="25"/>
  <c r="CH144" i="25" s="1"/>
  <c r="DY38" i="25"/>
  <c r="FL38" i="25" s="1"/>
  <c r="DY139" i="25"/>
  <c r="CH139" i="25" s="1"/>
  <c r="DY210" i="25"/>
  <c r="CH210" i="25" s="1"/>
  <c r="DY193" i="25"/>
  <c r="CH193" i="25" s="1"/>
  <c r="DX104" i="25"/>
  <c r="EC104" i="25" s="1"/>
  <c r="DY104" i="25"/>
  <c r="FL104" i="25" s="1"/>
  <c r="FA174" i="24"/>
  <c r="DX272" i="25"/>
  <c r="EC272" i="25" s="1"/>
  <c r="DY272" i="25"/>
  <c r="DX250" i="25"/>
  <c r="EC250" i="25" s="1"/>
  <c r="DY250" i="25"/>
  <c r="EE138" i="25"/>
  <c r="EG138" i="25"/>
  <c r="EX138" i="25" s="1"/>
  <c r="EF138" i="25"/>
  <c r="EW138" i="25" s="1"/>
  <c r="DX167" i="25"/>
  <c r="EC167" i="25" s="1"/>
  <c r="DY167" i="25"/>
  <c r="CH167" i="25" s="1"/>
  <c r="DX266" i="25"/>
  <c r="EC266" i="25" s="1"/>
  <c r="DY266" i="25"/>
  <c r="DX299" i="25"/>
  <c r="EC299" i="25" s="1"/>
  <c r="DY299" i="25"/>
  <c r="DX120" i="25"/>
  <c r="EC120" i="25" s="1"/>
  <c r="DY120" i="25"/>
  <c r="CH120" i="25" s="1"/>
  <c r="DX305" i="25"/>
  <c r="EC305" i="25" s="1"/>
  <c r="DY305" i="25"/>
  <c r="DX142" i="25"/>
  <c r="EC142" i="25" s="1"/>
  <c r="DY142" i="25"/>
  <c r="CH142" i="25" s="1"/>
  <c r="DY126" i="25"/>
  <c r="CH126" i="25" s="1"/>
  <c r="DX277" i="25"/>
  <c r="EC277" i="25" s="1"/>
  <c r="DY277" i="25"/>
  <c r="DX148" i="25"/>
  <c r="EC148" i="25" s="1"/>
  <c r="DY148" i="25"/>
  <c r="CG148" i="25" s="1"/>
  <c r="DX270" i="25"/>
  <c r="EC270" i="25" s="1"/>
  <c r="DY270" i="25"/>
  <c r="DX306" i="25"/>
  <c r="EC306" i="25" s="1"/>
  <c r="DY306" i="25"/>
  <c r="DX289" i="25"/>
  <c r="EC289" i="25" s="1"/>
  <c r="DY289" i="25"/>
  <c r="DX241" i="25"/>
  <c r="EC241" i="25" s="1"/>
  <c r="DY241" i="25"/>
  <c r="DX16" i="25"/>
  <c r="EC16" i="25" s="1"/>
  <c r="DY16" i="25"/>
  <c r="FL16" i="25" s="1"/>
  <c r="DY88" i="25"/>
  <c r="FL88" i="25" s="1"/>
  <c r="DX275" i="25"/>
  <c r="EC275" i="25" s="1"/>
  <c r="DY275" i="25"/>
  <c r="DX240" i="25"/>
  <c r="EC240" i="25" s="1"/>
  <c r="DY240" i="25"/>
  <c r="DX308" i="25"/>
  <c r="EC308" i="25" s="1"/>
  <c r="DY308" i="25"/>
  <c r="DX237" i="25"/>
  <c r="EC237" i="25" s="1"/>
  <c r="DY237" i="25"/>
  <c r="DX186" i="25"/>
  <c r="EC186" i="25" s="1"/>
  <c r="DY186" i="25"/>
  <c r="CH186" i="25" s="1"/>
  <c r="DX283" i="25"/>
  <c r="EC283" i="25" s="1"/>
  <c r="DY283" i="25"/>
  <c r="DX184" i="25"/>
  <c r="EC184" i="25" s="1"/>
  <c r="DY184" i="25"/>
  <c r="CG184" i="25" s="1"/>
  <c r="DX124" i="25"/>
  <c r="EC124" i="25" s="1"/>
  <c r="DY124" i="25"/>
  <c r="CH124" i="25" s="1"/>
  <c r="DX188" i="25"/>
  <c r="EC188" i="25" s="1"/>
  <c r="DY188" i="25"/>
  <c r="CH188" i="25" s="1"/>
  <c r="DX229" i="25"/>
  <c r="EC229" i="25" s="1"/>
  <c r="DY229" i="25"/>
  <c r="DY200" i="25"/>
  <c r="CG200" i="25" s="1"/>
  <c r="DY168" i="25"/>
  <c r="CH168" i="25" s="1"/>
  <c r="DX57" i="25"/>
  <c r="EC57" i="25" s="1"/>
  <c r="DY57" i="25"/>
  <c r="FL57" i="25" s="1"/>
  <c r="DX115" i="25"/>
  <c r="EC115" i="25" s="1"/>
  <c r="DY115" i="25"/>
  <c r="CG115" i="25" s="1"/>
  <c r="DX279" i="25"/>
  <c r="EC279" i="25" s="1"/>
  <c r="DY279" i="25"/>
  <c r="DX226" i="25"/>
  <c r="EC226" i="25" s="1"/>
  <c r="DY226" i="25"/>
  <c r="DX242" i="25"/>
  <c r="EC242" i="25" s="1"/>
  <c r="DY242" i="25"/>
  <c r="EG143" i="25"/>
  <c r="EX143" i="25" s="1"/>
  <c r="EE143" i="25"/>
  <c r="EF143" i="25"/>
  <c r="EW143" i="25" s="1"/>
  <c r="DX295" i="25"/>
  <c r="EC295" i="25" s="1"/>
  <c r="DY295" i="25"/>
  <c r="DX53" i="25"/>
  <c r="EC53" i="25" s="1"/>
  <c r="DY53" i="25"/>
  <c r="FL53" i="25" s="1"/>
  <c r="DX160" i="25"/>
  <c r="EC160" i="25" s="1"/>
  <c r="DY160" i="25"/>
  <c r="CH160" i="25" s="1"/>
  <c r="DY70" i="25"/>
  <c r="FL70" i="25" s="1"/>
  <c r="EB41" i="24"/>
  <c r="EL193" i="24"/>
  <c r="EL183" i="24"/>
  <c r="EY173" i="24"/>
  <c r="DX116" i="25"/>
  <c r="EC116" i="25" s="1"/>
  <c r="DY116" i="25"/>
  <c r="CH116" i="25" s="1"/>
  <c r="DY189" i="25"/>
  <c r="CH189" i="25" s="1"/>
  <c r="DX140" i="25"/>
  <c r="EC140" i="25" s="1"/>
  <c r="DY140" i="25"/>
  <c r="CH140" i="25" s="1"/>
  <c r="DX67" i="25"/>
  <c r="EC67" i="25" s="1"/>
  <c r="DY67" i="25"/>
  <c r="FL67" i="25" s="1"/>
  <c r="DY179" i="25"/>
  <c r="CH179" i="25" s="1"/>
  <c r="DX205" i="25"/>
  <c r="EC205" i="25" s="1"/>
  <c r="DY205" i="25"/>
  <c r="CG205" i="25" s="1"/>
  <c r="DX150" i="25"/>
  <c r="EC150" i="25" s="1"/>
  <c r="DY150" i="25"/>
  <c r="CH150" i="25" s="1"/>
  <c r="DX201" i="25"/>
  <c r="EC201" i="25" s="1"/>
  <c r="DY201" i="25"/>
  <c r="CH201" i="25" s="1"/>
  <c r="DY14" i="25"/>
  <c r="FL14" i="25" s="1"/>
  <c r="DY24" i="25"/>
  <c r="FL24" i="25" s="1"/>
  <c r="DX85" i="25"/>
  <c r="EC85" i="25" s="1"/>
  <c r="DY85" i="25"/>
  <c r="FL85" i="25" s="1"/>
  <c r="DY174" i="25"/>
  <c r="CG174" i="25" s="1"/>
  <c r="DX315" i="25"/>
  <c r="EC315" i="25" s="1"/>
  <c r="DY315" i="25"/>
  <c r="DY177" i="25"/>
  <c r="CH177" i="25" s="1"/>
  <c r="DY86" i="25"/>
  <c r="FL86" i="25" s="1"/>
  <c r="DX110" i="25"/>
  <c r="EC110" i="25" s="1"/>
  <c r="DY110" i="25"/>
  <c r="CH110" i="25" s="1"/>
  <c r="DX62" i="25"/>
  <c r="EC62" i="25" s="1"/>
  <c r="DY62" i="25"/>
  <c r="FL62" i="25" s="1"/>
  <c r="DY48" i="25"/>
  <c r="FL48" i="25" s="1"/>
  <c r="DY60" i="25"/>
  <c r="FL60" i="25" s="1"/>
  <c r="DX7" i="25"/>
  <c r="EC7" i="25" s="1"/>
  <c r="DY7" i="25"/>
  <c r="FL7" i="25" s="1"/>
  <c r="DX288" i="25"/>
  <c r="EC288" i="25" s="1"/>
  <c r="DY288" i="25"/>
  <c r="DX154" i="25"/>
  <c r="EC154" i="25" s="1"/>
  <c r="DY154" i="25"/>
  <c r="CH154" i="25" s="1"/>
  <c r="DX198" i="25"/>
  <c r="EC198" i="25" s="1"/>
  <c r="DY198" i="25"/>
  <c r="CG198" i="25" s="1"/>
  <c r="DY170" i="25"/>
  <c r="CG170" i="25" s="1"/>
  <c r="DX251" i="25"/>
  <c r="EC251" i="25" s="1"/>
  <c r="DY251" i="25"/>
  <c r="DX248" i="25"/>
  <c r="EC248" i="25" s="1"/>
  <c r="DY248" i="25"/>
  <c r="DX228" i="25"/>
  <c r="EC228" i="25" s="1"/>
  <c r="DY228" i="25"/>
  <c r="DY147" i="25"/>
  <c r="CG147" i="25" s="1"/>
  <c r="DY45" i="25"/>
  <c r="FL45" i="25" s="1"/>
  <c r="DX202" i="25"/>
  <c r="EC202" i="25" s="1"/>
  <c r="DY202" i="25"/>
  <c r="CH202" i="25" s="1"/>
  <c r="DX303" i="25"/>
  <c r="EC303" i="25" s="1"/>
  <c r="DY303" i="25"/>
  <c r="DY66" i="25"/>
  <c r="FL66" i="25" s="1"/>
  <c r="DX102" i="25"/>
  <c r="EC102" i="25" s="1"/>
  <c r="DY102" i="25"/>
  <c r="FL102" i="25" s="1"/>
  <c r="DY72" i="25"/>
  <c r="FL72" i="25" s="1"/>
  <c r="DX231" i="25"/>
  <c r="EC231" i="25" s="1"/>
  <c r="DY231" i="25"/>
  <c r="DX63" i="25"/>
  <c r="EC63" i="25" s="1"/>
  <c r="DY63" i="25"/>
  <c r="FL63" i="25" s="1"/>
  <c r="FA98" i="24"/>
  <c r="DX247" i="25"/>
  <c r="EC247" i="25" s="1"/>
  <c r="DY247" i="25"/>
  <c r="DX152" i="25"/>
  <c r="EC152" i="25" s="1"/>
  <c r="DY152" i="25"/>
  <c r="CH152" i="25" s="1"/>
  <c r="DX195" i="25"/>
  <c r="EC195" i="25" s="1"/>
  <c r="DY195" i="25"/>
  <c r="CH195" i="25" s="1"/>
  <c r="DX134" i="25"/>
  <c r="EC134" i="25" s="1"/>
  <c r="DY134" i="25"/>
  <c r="CH134" i="25" s="1"/>
  <c r="DX294" i="25"/>
  <c r="EC294" i="25" s="1"/>
  <c r="DY294" i="25"/>
  <c r="DY51" i="25"/>
  <c r="FL51" i="25" s="1"/>
  <c r="DX259" i="25"/>
  <c r="EC259" i="25" s="1"/>
  <c r="DY259" i="25"/>
  <c r="DY121" i="25"/>
  <c r="CH121" i="25" s="1"/>
  <c r="DX310" i="25"/>
  <c r="EC310" i="25" s="1"/>
  <c r="DY310" i="25"/>
  <c r="DX221" i="25"/>
  <c r="EC221" i="25" s="1"/>
  <c r="DY221" i="25"/>
  <c r="DX36" i="25"/>
  <c r="EC36" i="25" s="1"/>
  <c r="DY36" i="25"/>
  <c r="FL36" i="25" s="1"/>
  <c r="DX176" i="25"/>
  <c r="EC176" i="25" s="1"/>
  <c r="DY176" i="25"/>
  <c r="CH176" i="25" s="1"/>
  <c r="DX161" i="25"/>
  <c r="EC161" i="25" s="1"/>
  <c r="DY161" i="25"/>
  <c r="CH161" i="25" s="1"/>
  <c r="DX225" i="25"/>
  <c r="EC225" i="25" s="1"/>
  <c r="DY225" i="25"/>
  <c r="DX232" i="25"/>
  <c r="EC232" i="25" s="1"/>
  <c r="DY232" i="25"/>
  <c r="DX302" i="25"/>
  <c r="EC302" i="25" s="1"/>
  <c r="DY302" i="25"/>
  <c r="DX309" i="25"/>
  <c r="EC309" i="25" s="1"/>
  <c r="DY309" i="25"/>
  <c r="DX197" i="25"/>
  <c r="EC197" i="25" s="1"/>
  <c r="DY197" i="25"/>
  <c r="CH197" i="25" s="1"/>
  <c r="DX76" i="25"/>
  <c r="EC76" i="25" s="1"/>
  <c r="DY76" i="25"/>
  <c r="FL76" i="25" s="1"/>
  <c r="DX82" i="25"/>
  <c r="EC82" i="25" s="1"/>
  <c r="DY82" i="25"/>
  <c r="FL82" i="25" s="1"/>
  <c r="DY191" i="25"/>
  <c r="CH191" i="25" s="1"/>
  <c r="DX280" i="25"/>
  <c r="EC280" i="25" s="1"/>
  <c r="DY280" i="25"/>
  <c r="DX311" i="25"/>
  <c r="EC311" i="25" s="1"/>
  <c r="DY311" i="25"/>
  <c r="DY203" i="25"/>
  <c r="CH203" i="25" s="1"/>
  <c r="DY15" i="25"/>
  <c r="FL15" i="25" s="1"/>
  <c r="DY40" i="25"/>
  <c r="FL40" i="25" s="1"/>
  <c r="DX118" i="25"/>
  <c r="EC118" i="25" s="1"/>
  <c r="DY118" i="25"/>
  <c r="CG118" i="25" s="1"/>
  <c r="DX233" i="25"/>
  <c r="EC233" i="25" s="1"/>
  <c r="DY233" i="25"/>
  <c r="DX218" i="25"/>
  <c r="EC218" i="25" s="1"/>
  <c r="DY218" i="25"/>
  <c r="DX217" i="25"/>
  <c r="EC217" i="25" s="1"/>
  <c r="DY217" i="25"/>
  <c r="DX255" i="25"/>
  <c r="EC255" i="25" s="1"/>
  <c r="DY255" i="25"/>
  <c r="DX52" i="25"/>
  <c r="EC52" i="25" s="1"/>
  <c r="DY52" i="25"/>
  <c r="FL52" i="25" s="1"/>
  <c r="DX297" i="25"/>
  <c r="EC297" i="25" s="1"/>
  <c r="DY297" i="25"/>
  <c r="DX307" i="25"/>
  <c r="EC307" i="25" s="1"/>
  <c r="DY307" i="25"/>
  <c r="DX28" i="25"/>
  <c r="EC28" i="25" s="1"/>
  <c r="DY28" i="25"/>
  <c r="FL28" i="25" s="1"/>
  <c r="DX286" i="25"/>
  <c r="EC286" i="25" s="1"/>
  <c r="DY286" i="25"/>
  <c r="DX155" i="25"/>
  <c r="EC155" i="25" s="1"/>
  <c r="DY155" i="25"/>
  <c r="CG155" i="25" s="1"/>
  <c r="DX314" i="25"/>
  <c r="EC314" i="25" s="1"/>
  <c r="DY314" i="25"/>
  <c r="DX196" i="25"/>
  <c r="EC196" i="25" s="1"/>
  <c r="DY196" i="25"/>
  <c r="CH196" i="25" s="1"/>
  <c r="DX284" i="25"/>
  <c r="EC284" i="25" s="1"/>
  <c r="DY284" i="25"/>
  <c r="DX281" i="25"/>
  <c r="EC281" i="25" s="1"/>
  <c r="DY281" i="25"/>
  <c r="DX130" i="25"/>
  <c r="EC130" i="25" s="1"/>
  <c r="DY130" i="25"/>
  <c r="CG130" i="25" s="1"/>
  <c r="DX46" i="25"/>
  <c r="EC46" i="25" s="1"/>
  <c r="DY46" i="25"/>
  <c r="FL46" i="25" s="1"/>
  <c r="DY175" i="25"/>
  <c r="CH175" i="25" s="1"/>
  <c r="DX304" i="25"/>
  <c r="EC304" i="25" s="1"/>
  <c r="DY304" i="25"/>
  <c r="DX262" i="25"/>
  <c r="EC262" i="25" s="1"/>
  <c r="DY262" i="25"/>
  <c r="DX206" i="25"/>
  <c r="EC206" i="25" s="1"/>
  <c r="DY206" i="25"/>
  <c r="CH206" i="25" s="1"/>
  <c r="DX21" i="25"/>
  <c r="EC21" i="25" s="1"/>
  <c r="DY21" i="25"/>
  <c r="FL21" i="25" s="1"/>
  <c r="DY27" i="25"/>
  <c r="FL27" i="25" s="1"/>
  <c r="DX94" i="25"/>
  <c r="EC94" i="25" s="1"/>
  <c r="DY94" i="25"/>
  <c r="FL94" i="25" s="1"/>
  <c r="DX153" i="25"/>
  <c r="EC153" i="25" s="1"/>
  <c r="DY153" i="25"/>
  <c r="CH153" i="25" s="1"/>
  <c r="DX316" i="25"/>
  <c r="EC316" i="25" s="1"/>
  <c r="DY316" i="25"/>
  <c r="DX298" i="25"/>
  <c r="EC298" i="25" s="1"/>
  <c r="DY298" i="25"/>
  <c r="DY119" i="25"/>
  <c r="CG119" i="25" s="1"/>
  <c r="DX253" i="25"/>
  <c r="EC253" i="25" s="1"/>
  <c r="DY253" i="25"/>
  <c r="DX219" i="25"/>
  <c r="EC219" i="25" s="1"/>
  <c r="DY219" i="25"/>
  <c r="DX101" i="25"/>
  <c r="EC101" i="25" s="1"/>
  <c r="DY101" i="25"/>
  <c r="FL101" i="25" s="1"/>
  <c r="DX258" i="25"/>
  <c r="EC258" i="25" s="1"/>
  <c r="DY258" i="25"/>
  <c r="DX285" i="25"/>
  <c r="EC285" i="25" s="1"/>
  <c r="DY285" i="25"/>
  <c r="DX293" i="25"/>
  <c r="EC293" i="25" s="1"/>
  <c r="DY293" i="25"/>
  <c r="DX163" i="25"/>
  <c r="EC163" i="25" s="1"/>
  <c r="DY163" i="25"/>
  <c r="CH163" i="25" s="1"/>
  <c r="DX273" i="25"/>
  <c r="EC273" i="25" s="1"/>
  <c r="DY273" i="25"/>
  <c r="DX39" i="25"/>
  <c r="EC39" i="25" s="1"/>
  <c r="DY39" i="25"/>
  <c r="FL39" i="25" s="1"/>
  <c r="EF181" i="25"/>
  <c r="EW181" i="25" s="1"/>
  <c r="EG181" i="25"/>
  <c r="EX181" i="25" s="1"/>
  <c r="EE181" i="25"/>
  <c r="DX238" i="25"/>
  <c r="EC238" i="25" s="1"/>
  <c r="DY238" i="25"/>
  <c r="DX246" i="25"/>
  <c r="EC246" i="25" s="1"/>
  <c r="DY246" i="25"/>
  <c r="DX10" i="25"/>
  <c r="EC10" i="25" s="1"/>
  <c r="DY10" i="25"/>
  <c r="FL10" i="25" s="1"/>
  <c r="DX276" i="25"/>
  <c r="EC276" i="25" s="1"/>
  <c r="DY276" i="25"/>
  <c r="DX227" i="25"/>
  <c r="EC227" i="25" s="1"/>
  <c r="DY227" i="25"/>
  <c r="DX274" i="25"/>
  <c r="EC274" i="25" s="1"/>
  <c r="DY274" i="25"/>
  <c r="DX282" i="25"/>
  <c r="EC282" i="25" s="1"/>
  <c r="DY282" i="25"/>
  <c r="DX123" i="25"/>
  <c r="EC123" i="25" s="1"/>
  <c r="DY123" i="25"/>
  <c r="CH123" i="25" s="1"/>
  <c r="DX71" i="25"/>
  <c r="EC71" i="25" s="1"/>
  <c r="DY71" i="25"/>
  <c r="FL71" i="25" s="1"/>
  <c r="DX312" i="25"/>
  <c r="EC312" i="25" s="1"/>
  <c r="DY312" i="25"/>
  <c r="DX26" i="25"/>
  <c r="EC26" i="25" s="1"/>
  <c r="DY26" i="25"/>
  <c r="FL26" i="25" s="1"/>
  <c r="DX166" i="25"/>
  <c r="EC166" i="25" s="1"/>
  <c r="DY166" i="25"/>
  <c r="CH166" i="25" s="1"/>
  <c r="DX236" i="25"/>
  <c r="EC236" i="25" s="1"/>
  <c r="DY236" i="25"/>
  <c r="DX207" i="25"/>
  <c r="EC207" i="25" s="1"/>
  <c r="DY207" i="25"/>
  <c r="CH207" i="25" s="1"/>
  <c r="DX269" i="25"/>
  <c r="EC269" i="25" s="1"/>
  <c r="DY269" i="25"/>
  <c r="DY100" i="25"/>
  <c r="FL100" i="25" s="1"/>
  <c r="DX301" i="25"/>
  <c r="EC301" i="25" s="1"/>
  <c r="DY301" i="25"/>
  <c r="EY33" i="24"/>
  <c r="EB71" i="24"/>
  <c r="FA33" i="24"/>
  <c r="EY71" i="24"/>
  <c r="EL71" i="24"/>
  <c r="FA13" i="24"/>
  <c r="EL33" i="24"/>
  <c r="EB35" i="24"/>
  <c r="FA35" i="24"/>
  <c r="EL44" i="24"/>
  <c r="EY35" i="24"/>
  <c r="EY44" i="24"/>
  <c r="EB44" i="24"/>
  <c r="EL62" i="24"/>
  <c r="EL171" i="24"/>
  <c r="EB55" i="24"/>
  <c r="EB62" i="24"/>
  <c r="EY55" i="24"/>
  <c r="EY14" i="24"/>
  <c r="EB133" i="24"/>
  <c r="EY124" i="24"/>
  <c r="FA133" i="24"/>
  <c r="EB60" i="24"/>
  <c r="EB172" i="24"/>
  <c r="EY65" i="24"/>
  <c r="EL60" i="24"/>
  <c r="FA54" i="24"/>
  <c r="EB42" i="24"/>
  <c r="EL65" i="24"/>
  <c r="FA129" i="24"/>
  <c r="EY127" i="24"/>
  <c r="FA60" i="24"/>
  <c r="EY67" i="24"/>
  <c r="EL54" i="24"/>
  <c r="FA65" i="24"/>
  <c r="EB129" i="24"/>
  <c r="EL67" i="24"/>
  <c r="EB88" i="24"/>
  <c r="EN88" i="24"/>
  <c r="DW88" i="24"/>
  <c r="EM88" i="24"/>
  <c r="EP88" i="24" s="1"/>
  <c r="DU88" i="24"/>
  <c r="EL88" i="24"/>
  <c r="FA88" i="24"/>
  <c r="EY88" i="24"/>
  <c r="EL89" i="24"/>
  <c r="DW38" i="24"/>
  <c r="EN38" i="24"/>
  <c r="EM38" i="24"/>
  <c r="EP38" i="24" s="1"/>
  <c r="DU38" i="24"/>
  <c r="EY38" i="24"/>
  <c r="EL38" i="24"/>
  <c r="EB38" i="24"/>
  <c r="FA38" i="24"/>
  <c r="DW308" i="24"/>
  <c r="DU308" i="24"/>
  <c r="DW278" i="24"/>
  <c r="DU278" i="24"/>
  <c r="EN81" i="24"/>
  <c r="DW81" i="24"/>
  <c r="DY81" i="24" s="1"/>
  <c r="EF81" i="24" s="1"/>
  <c r="EM81" i="24"/>
  <c r="EP81" i="24" s="1"/>
  <c r="DU81" i="24"/>
  <c r="DW233" i="24"/>
  <c r="DU233" i="24"/>
  <c r="DW192" i="24"/>
  <c r="DY192" i="24" s="1"/>
  <c r="EF192" i="24" s="1"/>
  <c r="EN192" i="24"/>
  <c r="EM192" i="24"/>
  <c r="EP192" i="24" s="1"/>
  <c r="FA29" i="24"/>
  <c r="FA52" i="24"/>
  <c r="EN52" i="24"/>
  <c r="DW52" i="24"/>
  <c r="DY52" i="24" s="1"/>
  <c r="EF52" i="24" s="1"/>
  <c r="EM52" i="24"/>
  <c r="EP52" i="24" s="1"/>
  <c r="DU52" i="24"/>
  <c r="EE161" i="24"/>
  <c r="EE70" i="24"/>
  <c r="EE33" i="24"/>
  <c r="DW255" i="24"/>
  <c r="DU255" i="24"/>
  <c r="EL121" i="24"/>
  <c r="DW121" i="24"/>
  <c r="EN121" i="24"/>
  <c r="EM121" i="24"/>
  <c r="EP121" i="24" s="1"/>
  <c r="EY121" i="24"/>
  <c r="EB121" i="24"/>
  <c r="FA121" i="24"/>
  <c r="EL185" i="24"/>
  <c r="DW277" i="24"/>
  <c r="DU277" i="24"/>
  <c r="DW194" i="24"/>
  <c r="EN194" i="24"/>
  <c r="EM194" i="24"/>
  <c r="EP194" i="24" s="1"/>
  <c r="EB194" i="24"/>
  <c r="FA194" i="24"/>
  <c r="EL194" i="24"/>
  <c r="EY194" i="24"/>
  <c r="DW82" i="24"/>
  <c r="EN82" i="24"/>
  <c r="EM82" i="24"/>
  <c r="EP82" i="24" s="1"/>
  <c r="DU82" i="24"/>
  <c r="EB82" i="24"/>
  <c r="FA82" i="24"/>
  <c r="EL82" i="24"/>
  <c r="EY82" i="24"/>
  <c r="DW241" i="24"/>
  <c r="DU241" i="24"/>
  <c r="EE202" i="24"/>
  <c r="EL162" i="24"/>
  <c r="DW162" i="24"/>
  <c r="EN162" i="24"/>
  <c r="EM162" i="24"/>
  <c r="EP162" i="24" s="1"/>
  <c r="EY162" i="24"/>
  <c r="FA162" i="24"/>
  <c r="EB162" i="24"/>
  <c r="EE112" i="24"/>
  <c r="EL192" i="24"/>
  <c r="DW76" i="24"/>
  <c r="EN76" i="24"/>
  <c r="EM76" i="24"/>
  <c r="EP76" i="24" s="1"/>
  <c r="DU76" i="24"/>
  <c r="FA76" i="24"/>
  <c r="EY76" i="24"/>
  <c r="EL76" i="24"/>
  <c r="EB76" i="24"/>
  <c r="EE54" i="24"/>
  <c r="EB183" i="24"/>
  <c r="EL175" i="24"/>
  <c r="DW286" i="24"/>
  <c r="DU286" i="24"/>
  <c r="DW18" i="24"/>
  <c r="EN18" i="24"/>
  <c r="EM18" i="24"/>
  <c r="EP18" i="24" s="1"/>
  <c r="DU18" i="24"/>
  <c r="EL18" i="24"/>
  <c r="EB18" i="24"/>
  <c r="EY18" i="24"/>
  <c r="FA18" i="24"/>
  <c r="EL197" i="24"/>
  <c r="EY42" i="24"/>
  <c r="DW132" i="24"/>
  <c r="DY132" i="24" s="1"/>
  <c r="EF132" i="24" s="1"/>
  <c r="EN132" i="24"/>
  <c r="EM132" i="24"/>
  <c r="EP132" i="24" s="1"/>
  <c r="EB47" i="24"/>
  <c r="EE159" i="24"/>
  <c r="FA83" i="24"/>
  <c r="EN104" i="24"/>
  <c r="DW104" i="24"/>
  <c r="DY104" i="24" s="1"/>
  <c r="EF104" i="24" s="1"/>
  <c r="EM104" i="24"/>
  <c r="EP104" i="24" s="1"/>
  <c r="DU104" i="24"/>
  <c r="EB138" i="24"/>
  <c r="EN40" i="24"/>
  <c r="DW40" i="24"/>
  <c r="DY40" i="24" s="1"/>
  <c r="EF40" i="24" s="1"/>
  <c r="EM40" i="24"/>
  <c r="EP40" i="24" s="1"/>
  <c r="DU40" i="24"/>
  <c r="DW9" i="24"/>
  <c r="EN9" i="24"/>
  <c r="EM9" i="24"/>
  <c r="EP9" i="24" s="1"/>
  <c r="DU9" i="24"/>
  <c r="FA9" i="24"/>
  <c r="EB9" i="24"/>
  <c r="EY9" i="24"/>
  <c r="EL9" i="24"/>
  <c r="EE50" i="24"/>
  <c r="EE65" i="24"/>
  <c r="EL10" i="24"/>
  <c r="EL124" i="24"/>
  <c r="EY81" i="24"/>
  <c r="DW217" i="24"/>
  <c r="DU217" i="24"/>
  <c r="DW71" i="24"/>
  <c r="DY71" i="24" s="1"/>
  <c r="EF71" i="24" s="1"/>
  <c r="EN71" i="24"/>
  <c r="EM71" i="24"/>
  <c r="EP71" i="24" s="1"/>
  <c r="DU71" i="24"/>
  <c r="DW159" i="24"/>
  <c r="DY159" i="24" s="1"/>
  <c r="EF159" i="24" s="1"/>
  <c r="EN159" i="24"/>
  <c r="EM159" i="24"/>
  <c r="EP159" i="24" s="1"/>
  <c r="EE114" i="24"/>
  <c r="DW302" i="24"/>
  <c r="DU302" i="24"/>
  <c r="EL23" i="24"/>
  <c r="DW296" i="24"/>
  <c r="DU296" i="24"/>
  <c r="EN133" i="24"/>
  <c r="DW133" i="24"/>
  <c r="DY133" i="24" s="1"/>
  <c r="EF133" i="24" s="1"/>
  <c r="EM133" i="24"/>
  <c r="EP133" i="24" s="1"/>
  <c r="EL14" i="24"/>
  <c r="EB155" i="24"/>
  <c r="EE80" i="24"/>
  <c r="EB199" i="24"/>
  <c r="EE53" i="24"/>
  <c r="EE129" i="24"/>
  <c r="DW313" i="24"/>
  <c r="DU313" i="24"/>
  <c r="DW126" i="24"/>
  <c r="DY126" i="24" s="1"/>
  <c r="EF126" i="24" s="1"/>
  <c r="EN126" i="24"/>
  <c r="EM126" i="24"/>
  <c r="EP126" i="24" s="1"/>
  <c r="DW115" i="24"/>
  <c r="EN115" i="24"/>
  <c r="EM115" i="24"/>
  <c r="EP115" i="24" s="1"/>
  <c r="EY115" i="24"/>
  <c r="EL115" i="24"/>
  <c r="FA115" i="24"/>
  <c r="EB115" i="24"/>
  <c r="EE150" i="24"/>
  <c r="DW160" i="24"/>
  <c r="DY160" i="24" s="1"/>
  <c r="EF160" i="24" s="1"/>
  <c r="EN160" i="24"/>
  <c r="EM160" i="24"/>
  <c r="EP160" i="24" s="1"/>
  <c r="EE41" i="24"/>
  <c r="EN30" i="24"/>
  <c r="DW30" i="24"/>
  <c r="DY30" i="24" s="1"/>
  <c r="EF30" i="24" s="1"/>
  <c r="EM30" i="24"/>
  <c r="EP30" i="24" s="1"/>
  <c r="DU30" i="24"/>
  <c r="EB89" i="24"/>
  <c r="DW300" i="24"/>
  <c r="DU300" i="24"/>
  <c r="DW64" i="24"/>
  <c r="EN64" i="24"/>
  <c r="EM64" i="24"/>
  <c r="EP64" i="24" s="1"/>
  <c r="DU64" i="24"/>
  <c r="EB64" i="24"/>
  <c r="EL64" i="24"/>
  <c r="FA64" i="24"/>
  <c r="EY64" i="24"/>
  <c r="EE154" i="24"/>
  <c r="EE68" i="24"/>
  <c r="EE158" i="24"/>
  <c r="EN191" i="24"/>
  <c r="DW191" i="24"/>
  <c r="EM191" i="24"/>
  <c r="EP191" i="24" s="1"/>
  <c r="FA191" i="24"/>
  <c r="EL191" i="24"/>
  <c r="EB191" i="24"/>
  <c r="EY191" i="24"/>
  <c r="DW148" i="24"/>
  <c r="EN148" i="24"/>
  <c r="EM148" i="24"/>
  <c r="EP148" i="24" s="1"/>
  <c r="EL148" i="24"/>
  <c r="EY148" i="24"/>
  <c r="FA148" i="24"/>
  <c r="EB148" i="24"/>
  <c r="DW269" i="24"/>
  <c r="DU269" i="24"/>
  <c r="EN203" i="24"/>
  <c r="DW203" i="24"/>
  <c r="EM203" i="24"/>
  <c r="EP203" i="24" s="1"/>
  <c r="EY203" i="24"/>
  <c r="FA203" i="24"/>
  <c r="EB203" i="24"/>
  <c r="EL203" i="24"/>
  <c r="DW94" i="24"/>
  <c r="EN94" i="24"/>
  <c r="EM94" i="24"/>
  <c r="EP94" i="24" s="1"/>
  <c r="DU94" i="24"/>
  <c r="EY94" i="24"/>
  <c r="EB94" i="24"/>
  <c r="EL94" i="24"/>
  <c r="FA94" i="24"/>
  <c r="EB29" i="24"/>
  <c r="DW291" i="24"/>
  <c r="DU291" i="24"/>
  <c r="EL8" i="24"/>
  <c r="DW239" i="24"/>
  <c r="DU239" i="24"/>
  <c r="EE177" i="24"/>
  <c r="DW7" i="24"/>
  <c r="EN7" i="24"/>
  <c r="EM7" i="24"/>
  <c r="EP7" i="24" s="1"/>
  <c r="DU7" i="24"/>
  <c r="EL7" i="24"/>
  <c r="FA7" i="24"/>
  <c r="EY7" i="24"/>
  <c r="EB7" i="24"/>
  <c r="EE164" i="24"/>
  <c r="EY50" i="24"/>
  <c r="DW50" i="24"/>
  <c r="DY50" i="24" s="1"/>
  <c r="EF50" i="24" s="1"/>
  <c r="EN50" i="24"/>
  <c r="EM50" i="24"/>
  <c r="EP50" i="24" s="1"/>
  <c r="DU50" i="24"/>
  <c r="DW240" i="24"/>
  <c r="DU240" i="24"/>
  <c r="DW46" i="24"/>
  <c r="EN46" i="24"/>
  <c r="EM46" i="24"/>
  <c r="EP46" i="24" s="1"/>
  <c r="DU46" i="24"/>
  <c r="EY46" i="24"/>
  <c r="EB46" i="24"/>
  <c r="FA46" i="24"/>
  <c r="EL46" i="24"/>
  <c r="DW196" i="24"/>
  <c r="EN196" i="24"/>
  <c r="EM196" i="24"/>
  <c r="EP196" i="24" s="1"/>
  <c r="FA196" i="24"/>
  <c r="EL196" i="24"/>
  <c r="EY196" i="24"/>
  <c r="EB196" i="24"/>
  <c r="EN125" i="24"/>
  <c r="DW125" i="24"/>
  <c r="EM125" i="24"/>
  <c r="EP125" i="24" s="1"/>
  <c r="EB125" i="24"/>
  <c r="EL125" i="24"/>
  <c r="EY125" i="24"/>
  <c r="FA125" i="24"/>
  <c r="EN172" i="24"/>
  <c r="DW172" i="24"/>
  <c r="DY172" i="24" s="1"/>
  <c r="EF172" i="24" s="1"/>
  <c r="EM172" i="24"/>
  <c r="EP172" i="24" s="1"/>
  <c r="DW229" i="24"/>
  <c r="DU229" i="24"/>
  <c r="DW198" i="24"/>
  <c r="EN198" i="24"/>
  <c r="EM198" i="24"/>
  <c r="EP198" i="24" s="1"/>
  <c r="FA198" i="24"/>
  <c r="EL198" i="24"/>
  <c r="EY198" i="24"/>
  <c r="EB198" i="24"/>
  <c r="EL149" i="24"/>
  <c r="EN149" i="24"/>
  <c r="DW149" i="24"/>
  <c r="EM149" i="24"/>
  <c r="EP149" i="24" s="1"/>
  <c r="EB149" i="24"/>
  <c r="FA149" i="24"/>
  <c r="EY149" i="24"/>
  <c r="EB192" i="24"/>
  <c r="EN165" i="24"/>
  <c r="DW165" i="24"/>
  <c r="EM165" i="24"/>
  <c r="EP165" i="24" s="1"/>
  <c r="FA165" i="24"/>
  <c r="EB165" i="24"/>
  <c r="EY165" i="24"/>
  <c r="EL165" i="24"/>
  <c r="DW116" i="24"/>
  <c r="EN116" i="24"/>
  <c r="EM116" i="24"/>
  <c r="EP116" i="24" s="1"/>
  <c r="EL116" i="24"/>
  <c r="FA116" i="24"/>
  <c r="EB116" i="24"/>
  <c r="EY116" i="24"/>
  <c r="FA175" i="24"/>
  <c r="EL160" i="24"/>
  <c r="DW184" i="24"/>
  <c r="EN184" i="24"/>
  <c r="EM184" i="24"/>
  <c r="EP184" i="24" s="1"/>
  <c r="FA184" i="24"/>
  <c r="EY184" i="24"/>
  <c r="EL184" i="24"/>
  <c r="EB184" i="24"/>
  <c r="EE171" i="24"/>
  <c r="FA42" i="24"/>
  <c r="EY13" i="24"/>
  <c r="DW13" i="24"/>
  <c r="DY13" i="24" s="1"/>
  <c r="EF13" i="24" s="1"/>
  <c r="EN13" i="24"/>
  <c r="EM13" i="24"/>
  <c r="EP13" i="24" s="1"/>
  <c r="DU13" i="24"/>
  <c r="EY47" i="24"/>
  <c r="EB83" i="24"/>
  <c r="EY172" i="24"/>
  <c r="DW156" i="24"/>
  <c r="EN156" i="24"/>
  <c r="EM156" i="24"/>
  <c r="EP156" i="24" s="1"/>
  <c r="EB156" i="24"/>
  <c r="FA156" i="24"/>
  <c r="EY156" i="24"/>
  <c r="EL156" i="24"/>
  <c r="EY10" i="24"/>
  <c r="DW33" i="24"/>
  <c r="DY33" i="24" s="1"/>
  <c r="EF33" i="24" s="1"/>
  <c r="EN33" i="24"/>
  <c r="EM33" i="24"/>
  <c r="EP33" i="24" s="1"/>
  <c r="DU33" i="24"/>
  <c r="FA81" i="24"/>
  <c r="EL30" i="24"/>
  <c r="DW147" i="24"/>
  <c r="DY147" i="24" s="1"/>
  <c r="EF147" i="24" s="1"/>
  <c r="EN147" i="24"/>
  <c r="EM147" i="24"/>
  <c r="EP147" i="24" s="1"/>
  <c r="DW142" i="24"/>
  <c r="DY142" i="24" s="1"/>
  <c r="EF142" i="24" s="1"/>
  <c r="EN142" i="24"/>
  <c r="EM142" i="24"/>
  <c r="EP142" i="24" s="1"/>
  <c r="DW235" i="24"/>
  <c r="DU235" i="24"/>
  <c r="EE209" i="24"/>
  <c r="FA157" i="24"/>
  <c r="EE201" i="24"/>
  <c r="EE173" i="24"/>
  <c r="EY17" i="24"/>
  <c r="EN17" i="24"/>
  <c r="DW17" i="24"/>
  <c r="EM17" i="24"/>
  <c r="EP17" i="24" s="1"/>
  <c r="DU17" i="24"/>
  <c r="FA17" i="24"/>
  <c r="EB17" i="24"/>
  <c r="EL17" i="24"/>
  <c r="EB14" i="24"/>
  <c r="DW93" i="24"/>
  <c r="EN93" i="24"/>
  <c r="EM93" i="24"/>
  <c r="EP93" i="24" s="1"/>
  <c r="DU93" i="24"/>
  <c r="EL93" i="24"/>
  <c r="FA93" i="24"/>
  <c r="EB93" i="24"/>
  <c r="EY93" i="24"/>
  <c r="DW279" i="24"/>
  <c r="DU279" i="24"/>
  <c r="DW309" i="24"/>
  <c r="DU309" i="24"/>
  <c r="DW271" i="24"/>
  <c r="DU271" i="24"/>
  <c r="DW11" i="24"/>
  <c r="EN11" i="24"/>
  <c r="EM11" i="24"/>
  <c r="EP11" i="24" s="1"/>
  <c r="DU11" i="24"/>
  <c r="EL11" i="24"/>
  <c r="EB11" i="24"/>
  <c r="FA11" i="24"/>
  <c r="EY11" i="24"/>
  <c r="EL199" i="24"/>
  <c r="EN20" i="24"/>
  <c r="DW20" i="24"/>
  <c r="EM20" i="24"/>
  <c r="EP20" i="24" s="1"/>
  <c r="DU20" i="24"/>
  <c r="EB20" i="24"/>
  <c r="FA20" i="24"/>
  <c r="EL20" i="24"/>
  <c r="EY20" i="24"/>
  <c r="DW276" i="24"/>
  <c r="DU276" i="24"/>
  <c r="DW288" i="24"/>
  <c r="DU288" i="24"/>
  <c r="FA127" i="24"/>
  <c r="DW127" i="24"/>
  <c r="DY127" i="24" s="1"/>
  <c r="EF127" i="24" s="1"/>
  <c r="EN127" i="24"/>
  <c r="EM127" i="24"/>
  <c r="EP127" i="24" s="1"/>
  <c r="DW99" i="24"/>
  <c r="DY99" i="24" s="1"/>
  <c r="EF99" i="24" s="1"/>
  <c r="EN99" i="24"/>
  <c r="EM99" i="24"/>
  <c r="EP99" i="24" s="1"/>
  <c r="DU99" i="24"/>
  <c r="EE100" i="24"/>
  <c r="EN37" i="24"/>
  <c r="DW37" i="24"/>
  <c r="DY37" i="24" s="1"/>
  <c r="EF37" i="24" s="1"/>
  <c r="EM37" i="24"/>
  <c r="EP37" i="24" s="1"/>
  <c r="DU37" i="24"/>
  <c r="DW297" i="24"/>
  <c r="DU297" i="24"/>
  <c r="EE190" i="24"/>
  <c r="DW67" i="24"/>
  <c r="DY67" i="24" s="1"/>
  <c r="EF67" i="24" s="1"/>
  <c r="EN67" i="24"/>
  <c r="EM67" i="24"/>
  <c r="EP67" i="24" s="1"/>
  <c r="DU67" i="24"/>
  <c r="DW201" i="24"/>
  <c r="DY201" i="24" s="1"/>
  <c r="EF201" i="24" s="1"/>
  <c r="EN201" i="24"/>
  <c r="EM201" i="24"/>
  <c r="EP201" i="24" s="1"/>
  <c r="DW171" i="24"/>
  <c r="DY171" i="24" s="1"/>
  <c r="EF171" i="24" s="1"/>
  <c r="EN171" i="24"/>
  <c r="EM171" i="24"/>
  <c r="EP171" i="24" s="1"/>
  <c r="DW45" i="24"/>
  <c r="EN45" i="24"/>
  <c r="EM45" i="24"/>
  <c r="EP45" i="24" s="1"/>
  <c r="DU45" i="24"/>
  <c r="EL45" i="24"/>
  <c r="EB45" i="24"/>
  <c r="FA45" i="24"/>
  <c r="EY45" i="24"/>
  <c r="EL127" i="24"/>
  <c r="DW60" i="24"/>
  <c r="DY60" i="24" s="1"/>
  <c r="EF60" i="24" s="1"/>
  <c r="EN60" i="24"/>
  <c r="EM60" i="24"/>
  <c r="EP60" i="24" s="1"/>
  <c r="DU60" i="24"/>
  <c r="DW54" i="24"/>
  <c r="DY54" i="24" s="1"/>
  <c r="EF54" i="24" s="1"/>
  <c r="EN54" i="24"/>
  <c r="EM54" i="24"/>
  <c r="EP54" i="24" s="1"/>
  <c r="DU54" i="24"/>
  <c r="DW218" i="24"/>
  <c r="DU218" i="24"/>
  <c r="EE185" i="24"/>
  <c r="EB98" i="24"/>
  <c r="EY62" i="24"/>
  <c r="EN62" i="24"/>
  <c r="DW62" i="24"/>
  <c r="DY62" i="24" s="1"/>
  <c r="EF62" i="24" s="1"/>
  <c r="EM62" i="24"/>
  <c r="EP62" i="24" s="1"/>
  <c r="DU62" i="24"/>
  <c r="DW170" i="24"/>
  <c r="DY170" i="24" s="1"/>
  <c r="EF170" i="24" s="1"/>
  <c r="EN170" i="24"/>
  <c r="EM170" i="24"/>
  <c r="EP170" i="24" s="1"/>
  <c r="DW281" i="24"/>
  <c r="DU281" i="24"/>
  <c r="DW273" i="24"/>
  <c r="DU273" i="24"/>
  <c r="EE132" i="24"/>
  <c r="DW153" i="24"/>
  <c r="EN153" i="24"/>
  <c r="EM153" i="24"/>
  <c r="EP153" i="24" s="1"/>
  <c r="FA153" i="24"/>
  <c r="EY153" i="24"/>
  <c r="EB153" i="24"/>
  <c r="EL153" i="24"/>
  <c r="EB67" i="24"/>
  <c r="EN80" i="24"/>
  <c r="DW80" i="24"/>
  <c r="DY80" i="24" s="1"/>
  <c r="EF80" i="24" s="1"/>
  <c r="EM80" i="24"/>
  <c r="EP80" i="24" s="1"/>
  <c r="DU80" i="24"/>
  <c r="DW246" i="24"/>
  <c r="DU246" i="24"/>
  <c r="DW195" i="24"/>
  <c r="EN195" i="24"/>
  <c r="EM195" i="24"/>
  <c r="EP195" i="24" s="1"/>
  <c r="EB195" i="24"/>
  <c r="EL195" i="24"/>
  <c r="EY195" i="24"/>
  <c r="FA195" i="24"/>
  <c r="DW261" i="24"/>
  <c r="DU261" i="24"/>
  <c r="DW41" i="24"/>
  <c r="DY41" i="24" s="1"/>
  <c r="EF41" i="24" s="1"/>
  <c r="EN41" i="24"/>
  <c r="EM41" i="24"/>
  <c r="EP41" i="24" s="1"/>
  <c r="DU41" i="24"/>
  <c r="EE61" i="24"/>
  <c r="EB124" i="24"/>
  <c r="DW124" i="24"/>
  <c r="DY124" i="24" s="1"/>
  <c r="EF124" i="24" s="1"/>
  <c r="EN124" i="24"/>
  <c r="EM124" i="24"/>
  <c r="EP124" i="24" s="1"/>
  <c r="EE167" i="24"/>
  <c r="DW51" i="24"/>
  <c r="EN51" i="24"/>
  <c r="EM51" i="24"/>
  <c r="EP51" i="24" s="1"/>
  <c r="DU51" i="24"/>
  <c r="EL51" i="24"/>
  <c r="EY51" i="24"/>
  <c r="FA51" i="24"/>
  <c r="EB51" i="24"/>
  <c r="EE192" i="24"/>
  <c r="DW135" i="24"/>
  <c r="EN135" i="24"/>
  <c r="EM135" i="24"/>
  <c r="EP135" i="24" s="1"/>
  <c r="EL135" i="24"/>
  <c r="EB135" i="24"/>
  <c r="FA135" i="24"/>
  <c r="EY135" i="24"/>
  <c r="EB37" i="24"/>
  <c r="EL52" i="24"/>
  <c r="EE183" i="24"/>
  <c r="EB160" i="24"/>
  <c r="DW55" i="24"/>
  <c r="DY55" i="24" s="1"/>
  <c r="EF55" i="24" s="1"/>
  <c r="EN55" i="24"/>
  <c r="EM55" i="24"/>
  <c r="EP55" i="24" s="1"/>
  <c r="DU55" i="24"/>
  <c r="EE197" i="24"/>
  <c r="DW268" i="24"/>
  <c r="DU268" i="24"/>
  <c r="DW65" i="24"/>
  <c r="DY65" i="24" s="1"/>
  <c r="EF65" i="24" s="1"/>
  <c r="EN65" i="24"/>
  <c r="EM65" i="24"/>
  <c r="EP65" i="24" s="1"/>
  <c r="DU65" i="24"/>
  <c r="EY83" i="24"/>
  <c r="EL99" i="24"/>
  <c r="FA55" i="24"/>
  <c r="DW12" i="24"/>
  <c r="EN12" i="24"/>
  <c r="EM12" i="24"/>
  <c r="EP12" i="24" s="1"/>
  <c r="DU12" i="24"/>
  <c r="EL12" i="24"/>
  <c r="EB12" i="24"/>
  <c r="EY12" i="24"/>
  <c r="FA12" i="24"/>
  <c r="EE138" i="24"/>
  <c r="FA172" i="24"/>
  <c r="DW27" i="24"/>
  <c r="EN27" i="24"/>
  <c r="EM27" i="24"/>
  <c r="EP27" i="24" s="1"/>
  <c r="DU27" i="24"/>
  <c r="FA27" i="24"/>
  <c r="EL27" i="24"/>
  <c r="EB27" i="24"/>
  <c r="EY27" i="24"/>
  <c r="EN136" i="24"/>
  <c r="DW136" i="24"/>
  <c r="DY136" i="24" s="1"/>
  <c r="EF136" i="24" s="1"/>
  <c r="EM136" i="24"/>
  <c r="EP136" i="24" s="1"/>
  <c r="EE124" i="24"/>
  <c r="EE81" i="24"/>
  <c r="DW117" i="24"/>
  <c r="EN117" i="24"/>
  <c r="EM117" i="24"/>
  <c r="EP117" i="24" s="1"/>
  <c r="EL117" i="24"/>
  <c r="FA117" i="24"/>
  <c r="EY117" i="24"/>
  <c r="EB117" i="24"/>
  <c r="EE30" i="24"/>
  <c r="EN85" i="24"/>
  <c r="DW85" i="24"/>
  <c r="EM85" i="24"/>
  <c r="EP85" i="24" s="1"/>
  <c r="DU85" i="24"/>
  <c r="EL85" i="24"/>
  <c r="EB85" i="24"/>
  <c r="EY85" i="24"/>
  <c r="FA85" i="24"/>
  <c r="DW129" i="24"/>
  <c r="DY129" i="24" s="1"/>
  <c r="EF129" i="24" s="1"/>
  <c r="EN129" i="24"/>
  <c r="EM129" i="24"/>
  <c r="EP129" i="24" s="1"/>
  <c r="EE23" i="24"/>
  <c r="DW111" i="24"/>
  <c r="DY111" i="24" s="1"/>
  <c r="EF111" i="24" s="1"/>
  <c r="EN111" i="24"/>
  <c r="EM111" i="24"/>
  <c r="EP111" i="24" s="1"/>
  <c r="EB157" i="24"/>
  <c r="EN113" i="24"/>
  <c r="DW113" i="24"/>
  <c r="EM113" i="24"/>
  <c r="EP113" i="24" s="1"/>
  <c r="EY113" i="24"/>
  <c r="EB113" i="24"/>
  <c r="EL113" i="24"/>
  <c r="FA113" i="24"/>
  <c r="EL158" i="24"/>
  <c r="DW158" i="24"/>
  <c r="DY158" i="24" s="1"/>
  <c r="EF158" i="24" s="1"/>
  <c r="EN158" i="24"/>
  <c r="EM158" i="24"/>
  <c r="EP158" i="24" s="1"/>
  <c r="DW222" i="24"/>
  <c r="DU222" i="24"/>
  <c r="DW134" i="24"/>
  <c r="DY134" i="24" s="1"/>
  <c r="EF134" i="24" s="1"/>
  <c r="EN134" i="24"/>
  <c r="EM134" i="24"/>
  <c r="EP134" i="24" s="1"/>
  <c r="DW189" i="24"/>
  <c r="EN189" i="24"/>
  <c r="EM189" i="24"/>
  <c r="EP189" i="24" s="1"/>
  <c r="EB189" i="24"/>
  <c r="EL189" i="24"/>
  <c r="FA189" i="24"/>
  <c r="EY189" i="24"/>
  <c r="EE155" i="24"/>
  <c r="DW227" i="24"/>
  <c r="DU227" i="24"/>
  <c r="EY133" i="24"/>
  <c r="DW220" i="24"/>
  <c r="DU220" i="24"/>
  <c r="DW44" i="24"/>
  <c r="DY44" i="24" s="1"/>
  <c r="EF44" i="24" s="1"/>
  <c r="EN44" i="24"/>
  <c r="EM44" i="24"/>
  <c r="EP44" i="24" s="1"/>
  <c r="DU44" i="24"/>
  <c r="DW204" i="24"/>
  <c r="EN204" i="24"/>
  <c r="EM204" i="24"/>
  <c r="EP204" i="24" s="1"/>
  <c r="FA204" i="24"/>
  <c r="EL204" i="24"/>
  <c r="EB204" i="24"/>
  <c r="EY204" i="24"/>
  <c r="EE89" i="24"/>
  <c r="DW207" i="24"/>
  <c r="EN207" i="24"/>
  <c r="EM207" i="24"/>
  <c r="EP207" i="24" s="1"/>
  <c r="FA207" i="24"/>
  <c r="EB207" i="24"/>
  <c r="EL207" i="24"/>
  <c r="EY207" i="24"/>
  <c r="EN155" i="24"/>
  <c r="DW155" i="24"/>
  <c r="DY155" i="24" s="1"/>
  <c r="EF155" i="24" s="1"/>
  <c r="EM155" i="24"/>
  <c r="EP155" i="24" s="1"/>
  <c r="DW226" i="24"/>
  <c r="DU226" i="24"/>
  <c r="EE193" i="24"/>
  <c r="EE71" i="24"/>
  <c r="EN177" i="24"/>
  <c r="DW177" i="24"/>
  <c r="DY177" i="24" s="1"/>
  <c r="EF177" i="24" s="1"/>
  <c r="EM177" i="24"/>
  <c r="EP177" i="24" s="1"/>
  <c r="EL140" i="24"/>
  <c r="DW140" i="24"/>
  <c r="EN140" i="24"/>
  <c r="EM140" i="24"/>
  <c r="EP140" i="24" s="1"/>
  <c r="EB140" i="24"/>
  <c r="FA140" i="24"/>
  <c r="EY140" i="24"/>
  <c r="EB49" i="24"/>
  <c r="DW49" i="24"/>
  <c r="EN49" i="24"/>
  <c r="EM49" i="24"/>
  <c r="EP49" i="24" s="1"/>
  <c r="DU49" i="24"/>
  <c r="EY49" i="24"/>
  <c r="FA49" i="24"/>
  <c r="EL49" i="24"/>
  <c r="EE29" i="24"/>
  <c r="DW185" i="24"/>
  <c r="DY185" i="24" s="1"/>
  <c r="EF185" i="24" s="1"/>
  <c r="EN185" i="24"/>
  <c r="EM185" i="24"/>
  <c r="EP185" i="24" s="1"/>
  <c r="EN29" i="24"/>
  <c r="DW29" i="24"/>
  <c r="DY29" i="24" s="1"/>
  <c r="EF29" i="24" s="1"/>
  <c r="EM29" i="24"/>
  <c r="EP29" i="24" s="1"/>
  <c r="DU29" i="24"/>
  <c r="EE170" i="24"/>
  <c r="EN182" i="24"/>
  <c r="DW182" i="24"/>
  <c r="EM182" i="24"/>
  <c r="EP182" i="24" s="1"/>
  <c r="EL182" i="24"/>
  <c r="EB182" i="24"/>
  <c r="EY182" i="24"/>
  <c r="FA182" i="24"/>
  <c r="DW270" i="24"/>
  <c r="DU270" i="24"/>
  <c r="DW303" i="24"/>
  <c r="DU303" i="24"/>
  <c r="DW130" i="24"/>
  <c r="EN130" i="24"/>
  <c r="EM130" i="24"/>
  <c r="EP130" i="24" s="1"/>
  <c r="EB130" i="24"/>
  <c r="EY130" i="24"/>
  <c r="FA130" i="24"/>
  <c r="EL130" i="24"/>
  <c r="DW219" i="24"/>
  <c r="DU219" i="24"/>
  <c r="FA15" i="24"/>
  <c r="DW15" i="24"/>
  <c r="EN15" i="24"/>
  <c r="EM15" i="24"/>
  <c r="EP15" i="24" s="1"/>
  <c r="DU15" i="24"/>
  <c r="EL15" i="24"/>
  <c r="EB15" i="24"/>
  <c r="EY15" i="24"/>
  <c r="EE104" i="24"/>
  <c r="DW289" i="24"/>
  <c r="DU289" i="24"/>
  <c r="DW315" i="24"/>
  <c r="DU315" i="24"/>
  <c r="EY36" i="24"/>
  <c r="DW36" i="24"/>
  <c r="EN36" i="24"/>
  <c r="EM36" i="24"/>
  <c r="EP36" i="24" s="1"/>
  <c r="DU36" i="24"/>
  <c r="EB36" i="24"/>
  <c r="FA36" i="24"/>
  <c r="EL36" i="24"/>
  <c r="EY186" i="24"/>
  <c r="EE175" i="24"/>
  <c r="EE160" i="24"/>
  <c r="DW19" i="24"/>
  <c r="EN19" i="24"/>
  <c r="EM19" i="24"/>
  <c r="EP19" i="24" s="1"/>
  <c r="DU19" i="24"/>
  <c r="EL19" i="24"/>
  <c r="EB19" i="24"/>
  <c r="FA19" i="24"/>
  <c r="EY19" i="24"/>
  <c r="EY99" i="24"/>
  <c r="DW79" i="24"/>
  <c r="EN79" i="24"/>
  <c r="EM79" i="24"/>
  <c r="EP79" i="24" s="1"/>
  <c r="DU79" i="24"/>
  <c r="EY79" i="24"/>
  <c r="EB79" i="24"/>
  <c r="EL79" i="24"/>
  <c r="FA79" i="24"/>
  <c r="DW280" i="24"/>
  <c r="DU280" i="24"/>
  <c r="EE10" i="24"/>
  <c r="DW224" i="24"/>
  <c r="DU224" i="24"/>
  <c r="FA48" i="24"/>
  <c r="DW48" i="24"/>
  <c r="DY48" i="24" s="1"/>
  <c r="EF48" i="24" s="1"/>
  <c r="EN48" i="24"/>
  <c r="EM48" i="24"/>
  <c r="EP48" i="24" s="1"/>
  <c r="DU48" i="24"/>
  <c r="EL157" i="24"/>
  <c r="DW188" i="24"/>
  <c r="EN188" i="24"/>
  <c r="EM188" i="24"/>
  <c r="EP188" i="24" s="1"/>
  <c r="EY188" i="24"/>
  <c r="FA188" i="24"/>
  <c r="EL188" i="24"/>
  <c r="EB188" i="24"/>
  <c r="EL155" i="24"/>
  <c r="DW21" i="24"/>
  <c r="EN21" i="24"/>
  <c r="EM21" i="24"/>
  <c r="EP21" i="24" s="1"/>
  <c r="DU21" i="24"/>
  <c r="EY21" i="24"/>
  <c r="EB21" i="24"/>
  <c r="EL21" i="24"/>
  <c r="FA21" i="24"/>
  <c r="EN146" i="24"/>
  <c r="DW146" i="24"/>
  <c r="EM146" i="24"/>
  <c r="EP146" i="24" s="1"/>
  <c r="EB146" i="24"/>
  <c r="EL146" i="24"/>
  <c r="FA146" i="24"/>
  <c r="EY146" i="24"/>
  <c r="EL53" i="24"/>
  <c r="DW168" i="24"/>
  <c r="EN168" i="24"/>
  <c r="EM168" i="24"/>
  <c r="EP168" i="24" s="1"/>
  <c r="EY168" i="24"/>
  <c r="EL168" i="24"/>
  <c r="FA168" i="24"/>
  <c r="EB168" i="24"/>
  <c r="DW304" i="24"/>
  <c r="DU304" i="24"/>
  <c r="DW231" i="24"/>
  <c r="DU231" i="24"/>
  <c r="DW112" i="24"/>
  <c r="DY112" i="24" s="1"/>
  <c r="EF112" i="24" s="1"/>
  <c r="EN112" i="24"/>
  <c r="EM112" i="24"/>
  <c r="EP112" i="24" s="1"/>
  <c r="DW257" i="24"/>
  <c r="DU257" i="24"/>
  <c r="DW298" i="24"/>
  <c r="DU298" i="24"/>
  <c r="DW181" i="24"/>
  <c r="EN181" i="24"/>
  <c r="EM181" i="24"/>
  <c r="EP181" i="24" s="1"/>
  <c r="EB181" i="24"/>
  <c r="FA181" i="24"/>
  <c r="EY181" i="24"/>
  <c r="EL181" i="24"/>
  <c r="DW265" i="24"/>
  <c r="DU265" i="24"/>
  <c r="EE147" i="24"/>
  <c r="DW251" i="24"/>
  <c r="DU251" i="24"/>
  <c r="DW166" i="24"/>
  <c r="EN166" i="24"/>
  <c r="EM166" i="24"/>
  <c r="EP166" i="24" s="1"/>
  <c r="EB166" i="24"/>
  <c r="EL166" i="24"/>
  <c r="EY166" i="24"/>
  <c r="FA166" i="24"/>
  <c r="DW144" i="24"/>
  <c r="EN144" i="24"/>
  <c r="EM144" i="24"/>
  <c r="EP144" i="24" s="1"/>
  <c r="FA144" i="24"/>
  <c r="EB144" i="24"/>
  <c r="EL144" i="24"/>
  <c r="EY144" i="24"/>
  <c r="DW83" i="24"/>
  <c r="DY83" i="24" s="1"/>
  <c r="EF83" i="24" s="1"/>
  <c r="EN83" i="24"/>
  <c r="EM83" i="24"/>
  <c r="EP83" i="24" s="1"/>
  <c r="DU83" i="24"/>
  <c r="EE13" i="24"/>
  <c r="EN114" i="24"/>
  <c r="DW114" i="24"/>
  <c r="DY114" i="24" s="1"/>
  <c r="EF114" i="24" s="1"/>
  <c r="EM114" i="24"/>
  <c r="EP114" i="24" s="1"/>
  <c r="DW312" i="24"/>
  <c r="DU312" i="24"/>
  <c r="DW292" i="24"/>
  <c r="DU292" i="24"/>
  <c r="DW316" i="24"/>
  <c r="DU316" i="24"/>
  <c r="EE8" i="24"/>
  <c r="DW253" i="24"/>
  <c r="DU253" i="24"/>
  <c r="EN16" i="24"/>
  <c r="DW16" i="24"/>
  <c r="EM16" i="24"/>
  <c r="EP16" i="24" s="1"/>
  <c r="DU16" i="24"/>
  <c r="EL16" i="24"/>
  <c r="EY16" i="24"/>
  <c r="EB16" i="24"/>
  <c r="FA16" i="24"/>
  <c r="DW228" i="24"/>
  <c r="DU228" i="24"/>
  <c r="DW225" i="24"/>
  <c r="DU225" i="24"/>
  <c r="EE25" i="24"/>
  <c r="EN97" i="24"/>
  <c r="DW97" i="24"/>
  <c r="EM97" i="24"/>
  <c r="EP97" i="24" s="1"/>
  <c r="DU97" i="24"/>
  <c r="FA97" i="24"/>
  <c r="EY97" i="24"/>
  <c r="EB97" i="24"/>
  <c r="EL97" i="24"/>
  <c r="DW180" i="24"/>
  <c r="EN180" i="24"/>
  <c r="EM180" i="24"/>
  <c r="EP180" i="24" s="1"/>
  <c r="FA180" i="24"/>
  <c r="EY180" i="24"/>
  <c r="EB180" i="24"/>
  <c r="EL180" i="24"/>
  <c r="DW311" i="24"/>
  <c r="DU311" i="24"/>
  <c r="FA23" i="24"/>
  <c r="DW23" i="24"/>
  <c r="DY23" i="24" s="1"/>
  <c r="EF23" i="24" s="1"/>
  <c r="EN23" i="24"/>
  <c r="EM23" i="24"/>
  <c r="EP23" i="24" s="1"/>
  <c r="DU23" i="24"/>
  <c r="DW205" i="24"/>
  <c r="EN205" i="24"/>
  <c r="EM205" i="24"/>
  <c r="EP205" i="24" s="1"/>
  <c r="EL205" i="24"/>
  <c r="EB205" i="24"/>
  <c r="FA205" i="24"/>
  <c r="EY205" i="24"/>
  <c r="DW86" i="24"/>
  <c r="EN86" i="24"/>
  <c r="EM86" i="24"/>
  <c r="EP86" i="24" s="1"/>
  <c r="DU86" i="24"/>
  <c r="FA86" i="24"/>
  <c r="EL86" i="24"/>
  <c r="EB86" i="24"/>
  <c r="EY86" i="24"/>
  <c r="DW254" i="24"/>
  <c r="DU254" i="24"/>
  <c r="DW161" i="24"/>
  <c r="DY161" i="24" s="1"/>
  <c r="EF161" i="24" s="1"/>
  <c r="EN161" i="24"/>
  <c r="EM161" i="24"/>
  <c r="EP161" i="24" s="1"/>
  <c r="DW187" i="24"/>
  <c r="EN187" i="24"/>
  <c r="EM187" i="24"/>
  <c r="EP187" i="24" s="1"/>
  <c r="EY187" i="24"/>
  <c r="EL187" i="24"/>
  <c r="FA187" i="24"/>
  <c r="EB187" i="24"/>
  <c r="DW101" i="24"/>
  <c r="EN101" i="24"/>
  <c r="EM101" i="24"/>
  <c r="EP101" i="24" s="1"/>
  <c r="DU101" i="24"/>
  <c r="EB101" i="24"/>
  <c r="EL101" i="24"/>
  <c r="FA101" i="24"/>
  <c r="EY101" i="24"/>
  <c r="DW8" i="24"/>
  <c r="DY8" i="24" s="1"/>
  <c r="EF8" i="24" s="1"/>
  <c r="EN8" i="24"/>
  <c r="EM8" i="24"/>
  <c r="EP8" i="24" s="1"/>
  <c r="DU8" i="24"/>
  <c r="EY37" i="24"/>
  <c r="EE52" i="24"/>
  <c r="EN175" i="24"/>
  <c r="DW175" i="24"/>
  <c r="DY175" i="24" s="1"/>
  <c r="EF175" i="24" s="1"/>
  <c r="EM175" i="24"/>
  <c r="EP175" i="24" s="1"/>
  <c r="DW248" i="24"/>
  <c r="DU248" i="24"/>
  <c r="EE62" i="24"/>
  <c r="DW95" i="24"/>
  <c r="EN95" i="24"/>
  <c r="EM95" i="24"/>
  <c r="EP95" i="24" s="1"/>
  <c r="DU95" i="24"/>
  <c r="EY95" i="24"/>
  <c r="EB95" i="24"/>
  <c r="EL95" i="24"/>
  <c r="FA95" i="24"/>
  <c r="DW69" i="24"/>
  <c r="EN69" i="24"/>
  <c r="EM69" i="24"/>
  <c r="EP69" i="24" s="1"/>
  <c r="DU69" i="24"/>
  <c r="EL69" i="24"/>
  <c r="FA69" i="24"/>
  <c r="EB69" i="24"/>
  <c r="EY69" i="24"/>
  <c r="EN77" i="24"/>
  <c r="DW77" i="24"/>
  <c r="DY77" i="24" s="1"/>
  <c r="EF77" i="24" s="1"/>
  <c r="EM77" i="24"/>
  <c r="EP77" i="24" s="1"/>
  <c r="DU77" i="24"/>
  <c r="EE47" i="24"/>
  <c r="FA99" i="24"/>
  <c r="FA63" i="24"/>
  <c r="DW63" i="24"/>
  <c r="DY63" i="24" s="1"/>
  <c r="EF63" i="24" s="1"/>
  <c r="EN63" i="24"/>
  <c r="EM63" i="24"/>
  <c r="EP63" i="24" s="1"/>
  <c r="DU63" i="24"/>
  <c r="EB50" i="24"/>
  <c r="DW237" i="24"/>
  <c r="DU237" i="24"/>
  <c r="DW200" i="24"/>
  <c r="EN200" i="24"/>
  <c r="EM200" i="24"/>
  <c r="EP200" i="24" s="1"/>
  <c r="EY200" i="24"/>
  <c r="EB200" i="24"/>
  <c r="FA200" i="24"/>
  <c r="EL200" i="24"/>
  <c r="EB63" i="24"/>
  <c r="EL61" i="24"/>
  <c r="DW61" i="24"/>
  <c r="DY61" i="24" s="1"/>
  <c r="EF61" i="24" s="1"/>
  <c r="EN61" i="24"/>
  <c r="EM61" i="24"/>
  <c r="EP61" i="24" s="1"/>
  <c r="DU61" i="24"/>
  <c r="EN183" i="24"/>
  <c r="DW183" i="24"/>
  <c r="DY183" i="24" s="1"/>
  <c r="EF183" i="24" s="1"/>
  <c r="EM183" i="24"/>
  <c r="EP183" i="24" s="1"/>
  <c r="EB114" i="24"/>
  <c r="DW73" i="24"/>
  <c r="EN73" i="24"/>
  <c r="EM73" i="24"/>
  <c r="EP73" i="24" s="1"/>
  <c r="DU73" i="24"/>
  <c r="EY73" i="24"/>
  <c r="EL73" i="24"/>
  <c r="FA73" i="24"/>
  <c r="EB73" i="24"/>
  <c r="DW14" i="24"/>
  <c r="DY14" i="24" s="1"/>
  <c r="EF14" i="24" s="1"/>
  <c r="EN14" i="24"/>
  <c r="EM14" i="24"/>
  <c r="EP14" i="24" s="1"/>
  <c r="DU14" i="24"/>
  <c r="EE14" i="24"/>
  <c r="DW123" i="24"/>
  <c r="DY123" i="24" s="1"/>
  <c r="EF123" i="24" s="1"/>
  <c r="EN123" i="24"/>
  <c r="EM123" i="24"/>
  <c r="EP123" i="24" s="1"/>
  <c r="DW284" i="24"/>
  <c r="DU284" i="24"/>
  <c r="DW103" i="24"/>
  <c r="DY103" i="24" s="1"/>
  <c r="EF103" i="24" s="1"/>
  <c r="EN103" i="24"/>
  <c r="EM103" i="24"/>
  <c r="EP103" i="24" s="1"/>
  <c r="DU103" i="24"/>
  <c r="FA80" i="24"/>
  <c r="DW290" i="24"/>
  <c r="DU290" i="24"/>
  <c r="EN210" i="24"/>
  <c r="DW210" i="24"/>
  <c r="EM210" i="24"/>
  <c r="EP210" i="24" s="1"/>
  <c r="EY210" i="24"/>
  <c r="EB210" i="24"/>
  <c r="EL210" i="24"/>
  <c r="FA210" i="24"/>
  <c r="DW91" i="24"/>
  <c r="EN91" i="24"/>
  <c r="EM91" i="24"/>
  <c r="EP91" i="24" s="1"/>
  <c r="DU91" i="24"/>
  <c r="FA91" i="24"/>
  <c r="EB91" i="24"/>
  <c r="EL91" i="24"/>
  <c r="EY91" i="24"/>
  <c r="EY53" i="24"/>
  <c r="DW267" i="24"/>
  <c r="DU267" i="24"/>
  <c r="DW259" i="24"/>
  <c r="DU259" i="24"/>
  <c r="DW66" i="24"/>
  <c r="EN66" i="24"/>
  <c r="EM66" i="24"/>
  <c r="EP66" i="24" s="1"/>
  <c r="DU66" i="24"/>
  <c r="EY66" i="24"/>
  <c r="EL66" i="24"/>
  <c r="EB66" i="24"/>
  <c r="FA66" i="24"/>
  <c r="EE126" i="24"/>
  <c r="DW6" i="24"/>
  <c r="EN6" i="24"/>
  <c r="EM6" i="24"/>
  <c r="EP6" i="24" s="1"/>
  <c r="DU6" i="24"/>
  <c r="EY6" i="24"/>
  <c r="EB6" i="24"/>
  <c r="EL6" i="24"/>
  <c r="FA6" i="24"/>
  <c r="DW35" i="24"/>
  <c r="DY35" i="24" s="1"/>
  <c r="EF35" i="24" s="1"/>
  <c r="EN35" i="24"/>
  <c r="EM35" i="24"/>
  <c r="EP35" i="24" s="1"/>
  <c r="DU35" i="24"/>
  <c r="DW131" i="24"/>
  <c r="EN131" i="24"/>
  <c r="EM131" i="24"/>
  <c r="EP131" i="24" s="1"/>
  <c r="EL131" i="24"/>
  <c r="EY131" i="24"/>
  <c r="EB131" i="24"/>
  <c r="FA131" i="24"/>
  <c r="DW250" i="24"/>
  <c r="DU250" i="24"/>
  <c r="DW202" i="24"/>
  <c r="DY202" i="24" s="1"/>
  <c r="EF202" i="24" s="1"/>
  <c r="EN202" i="24"/>
  <c r="EM202" i="24"/>
  <c r="EP202" i="24" s="1"/>
  <c r="EE122" i="24"/>
  <c r="EE127" i="24"/>
  <c r="EE152" i="24"/>
  <c r="DW232" i="24"/>
  <c r="DU232" i="24"/>
  <c r="DW258" i="24"/>
  <c r="DU258" i="24"/>
  <c r="DW118" i="24"/>
  <c r="EN118" i="24"/>
  <c r="EM118" i="24"/>
  <c r="EP118" i="24" s="1"/>
  <c r="FA118" i="24"/>
  <c r="EL118" i="24"/>
  <c r="EY118" i="24"/>
  <c r="EB118" i="24"/>
  <c r="EN199" i="24"/>
  <c r="DW199" i="24"/>
  <c r="DY199" i="24" s="1"/>
  <c r="EF199" i="24" s="1"/>
  <c r="EM199" i="24"/>
  <c r="EP199" i="24" s="1"/>
  <c r="EN186" i="24"/>
  <c r="DW186" i="24"/>
  <c r="DY186" i="24" s="1"/>
  <c r="EF186" i="24" s="1"/>
  <c r="EM186" i="24"/>
  <c r="EP186" i="24" s="1"/>
  <c r="DW266" i="24"/>
  <c r="DU266" i="24"/>
  <c r="FA177" i="24"/>
  <c r="DW176" i="24"/>
  <c r="EN176" i="24"/>
  <c r="EM176" i="24"/>
  <c r="EP176" i="24" s="1"/>
  <c r="EL176" i="24"/>
  <c r="EB176" i="24"/>
  <c r="FA176" i="24"/>
  <c r="EY176" i="24"/>
  <c r="EE67" i="24"/>
  <c r="DW47" i="24"/>
  <c r="DY47" i="24" s="1"/>
  <c r="EF47" i="24" s="1"/>
  <c r="EN47" i="24"/>
  <c r="EM47" i="24"/>
  <c r="EP47" i="24" s="1"/>
  <c r="DU47" i="24"/>
  <c r="EE40" i="24"/>
  <c r="DW310" i="24"/>
  <c r="DU310" i="24"/>
  <c r="EY202" i="24"/>
  <c r="DW260" i="24"/>
  <c r="DU260" i="24"/>
  <c r="DW98" i="24"/>
  <c r="DY98" i="24" s="1"/>
  <c r="EF98" i="24" s="1"/>
  <c r="EN98" i="24"/>
  <c r="EM98" i="24"/>
  <c r="EP98" i="24" s="1"/>
  <c r="DU98" i="24"/>
  <c r="DW209" i="24"/>
  <c r="DY209" i="24" s="1"/>
  <c r="EF209" i="24" s="1"/>
  <c r="EN209" i="24"/>
  <c r="EM209" i="24"/>
  <c r="EP209" i="24" s="1"/>
  <c r="EE35" i="24"/>
  <c r="EE37" i="24"/>
  <c r="FA186" i="24"/>
  <c r="EN128" i="24"/>
  <c r="DW128" i="24"/>
  <c r="DY128" i="24" s="1"/>
  <c r="EF128" i="24" s="1"/>
  <c r="EM128" i="24"/>
  <c r="EP128" i="24" s="1"/>
  <c r="DW236" i="24"/>
  <c r="DU236" i="24"/>
  <c r="EE42" i="24"/>
  <c r="DW305" i="24"/>
  <c r="DU305" i="24"/>
  <c r="EE83" i="24"/>
  <c r="EB99" i="24"/>
  <c r="EE172" i="24"/>
  <c r="DW179" i="24"/>
  <c r="EN179" i="24"/>
  <c r="EM179" i="24"/>
  <c r="EP179" i="24" s="1"/>
  <c r="EY179" i="24"/>
  <c r="EB179" i="24"/>
  <c r="FA179" i="24"/>
  <c r="EL179" i="24"/>
  <c r="DW139" i="24"/>
  <c r="EN139" i="24"/>
  <c r="EM139" i="24"/>
  <c r="EP139" i="24" s="1"/>
  <c r="EY139" i="24"/>
  <c r="EL139" i="24"/>
  <c r="EB139" i="24"/>
  <c r="FA139" i="24"/>
  <c r="DW223" i="24"/>
  <c r="DU223" i="24"/>
  <c r="DW138" i="24"/>
  <c r="DY138" i="24" s="1"/>
  <c r="EF138" i="24" s="1"/>
  <c r="EN138" i="24"/>
  <c r="EM138" i="24"/>
  <c r="EP138" i="24" s="1"/>
  <c r="EN150" i="24"/>
  <c r="DW150" i="24"/>
  <c r="DY150" i="24" s="1"/>
  <c r="EF150" i="24" s="1"/>
  <c r="EM150" i="24"/>
  <c r="EP150" i="24" s="1"/>
  <c r="DW178" i="24"/>
  <c r="EN178" i="24"/>
  <c r="EM178" i="24"/>
  <c r="EP178" i="24" s="1"/>
  <c r="EL178" i="24"/>
  <c r="EB178" i="24"/>
  <c r="FA178" i="24"/>
  <c r="EY178" i="24"/>
  <c r="DW263" i="24"/>
  <c r="DU263" i="24"/>
  <c r="EN59" i="24"/>
  <c r="DW59" i="24"/>
  <c r="EM59" i="24"/>
  <c r="EP59" i="24" s="1"/>
  <c r="DU59" i="24"/>
  <c r="EL59" i="24"/>
  <c r="EB59" i="24"/>
  <c r="FA59" i="24"/>
  <c r="EY59" i="24"/>
  <c r="FA114" i="24"/>
  <c r="DW301" i="24"/>
  <c r="DU301" i="24"/>
  <c r="EY209" i="24"/>
  <c r="DW164" i="24"/>
  <c r="DY164" i="24" s="1"/>
  <c r="EF164" i="24" s="1"/>
  <c r="EN164" i="24"/>
  <c r="EM164" i="24"/>
  <c r="EP164" i="24" s="1"/>
  <c r="EE157" i="24"/>
  <c r="EB201" i="24"/>
  <c r="DW256" i="24"/>
  <c r="DU256" i="24"/>
  <c r="DW122" i="24"/>
  <c r="DY122" i="24" s="1"/>
  <c r="EF122" i="24" s="1"/>
  <c r="EN122" i="24"/>
  <c r="EM122" i="24"/>
  <c r="EP122" i="24" s="1"/>
  <c r="EL80" i="24"/>
  <c r="DW151" i="24"/>
  <c r="EN151" i="24"/>
  <c r="EM151" i="24"/>
  <c r="EP151" i="24" s="1"/>
  <c r="FA151" i="24"/>
  <c r="EY151" i="24"/>
  <c r="EL151" i="24"/>
  <c r="EB151" i="24"/>
  <c r="DW238" i="24"/>
  <c r="DU238" i="24"/>
  <c r="DW299" i="24"/>
  <c r="DU299" i="24"/>
  <c r="FA53" i="24"/>
  <c r="DW208" i="24"/>
  <c r="EN208" i="24"/>
  <c r="EM208" i="24"/>
  <c r="EP208" i="24" s="1"/>
  <c r="EL208" i="24"/>
  <c r="EY208" i="24"/>
  <c r="FA208" i="24"/>
  <c r="EB208" i="24"/>
  <c r="DW56" i="24"/>
  <c r="EN56" i="24"/>
  <c r="EM56" i="24"/>
  <c r="EP56" i="24" s="1"/>
  <c r="DU56" i="24"/>
  <c r="FA56" i="24"/>
  <c r="EB56" i="24"/>
  <c r="EL56" i="24"/>
  <c r="EY56" i="24"/>
  <c r="EN100" i="24"/>
  <c r="DW100" i="24"/>
  <c r="DY100" i="24" s="1"/>
  <c r="EF100" i="24" s="1"/>
  <c r="EM100" i="24"/>
  <c r="EP100" i="24" s="1"/>
  <c r="DU100" i="24"/>
  <c r="DW295" i="24"/>
  <c r="DU295" i="24"/>
  <c r="EY105" i="24"/>
  <c r="DW105" i="24"/>
  <c r="EN105" i="24"/>
  <c r="EM105" i="24"/>
  <c r="EP105" i="24" s="1"/>
  <c r="DU105" i="24"/>
  <c r="EL105" i="24"/>
  <c r="EB105" i="24"/>
  <c r="FA105" i="24"/>
  <c r="EE77" i="24"/>
  <c r="DW264" i="24"/>
  <c r="DU264" i="24"/>
  <c r="EE48" i="24"/>
  <c r="DW34" i="24"/>
  <c r="EN34" i="24"/>
  <c r="EM34" i="24"/>
  <c r="EP34" i="24" s="1"/>
  <c r="DU34" i="24"/>
  <c r="FA34" i="24"/>
  <c r="EL34" i="24"/>
  <c r="EY34" i="24"/>
  <c r="EB34" i="24"/>
  <c r="EN89" i="24"/>
  <c r="DW89" i="24"/>
  <c r="DY89" i="24" s="1"/>
  <c r="EF89" i="24" s="1"/>
  <c r="EM89" i="24"/>
  <c r="EP89" i="24" s="1"/>
  <c r="DU89" i="24"/>
  <c r="DW274" i="24"/>
  <c r="DU274" i="24"/>
  <c r="EE111" i="24"/>
  <c r="EE24" i="24"/>
  <c r="EE134" i="24"/>
  <c r="DW247" i="24"/>
  <c r="DU247" i="24"/>
  <c r="EE142" i="24"/>
  <c r="DW294" i="24"/>
  <c r="DU294" i="24"/>
  <c r="EY185" i="24"/>
  <c r="EE98" i="24"/>
  <c r="EY154" i="24"/>
  <c r="DW154" i="24"/>
  <c r="DY154" i="24" s="1"/>
  <c r="EF154" i="24" s="1"/>
  <c r="EN154" i="24"/>
  <c r="EM154" i="24"/>
  <c r="EP154" i="24" s="1"/>
  <c r="EN57" i="24"/>
  <c r="DW57" i="24"/>
  <c r="EM57" i="24"/>
  <c r="EP57" i="24" s="1"/>
  <c r="DU57" i="24"/>
  <c r="EL57" i="24"/>
  <c r="EY57" i="24"/>
  <c r="EB57" i="24"/>
  <c r="FA57" i="24"/>
  <c r="EL177" i="24"/>
  <c r="DW262" i="24"/>
  <c r="DU262" i="24"/>
  <c r="EE145" i="24"/>
  <c r="DW193" i="24"/>
  <c r="DY193" i="24" s="1"/>
  <c r="EF193" i="24" s="1"/>
  <c r="EN193" i="24"/>
  <c r="EM193" i="24"/>
  <c r="EP193" i="24" s="1"/>
  <c r="DW287" i="24"/>
  <c r="DU287" i="24"/>
  <c r="EL202" i="24"/>
  <c r="FA192" i="24"/>
  <c r="EE123" i="24"/>
  <c r="DW157" i="24"/>
  <c r="DY157" i="24" s="1"/>
  <c r="EF157" i="24" s="1"/>
  <c r="EN157" i="24"/>
  <c r="EM157" i="24"/>
  <c r="EP157" i="24" s="1"/>
  <c r="FA37" i="24"/>
  <c r="EY52" i="24"/>
  <c r="DW31" i="24"/>
  <c r="EN31" i="24"/>
  <c r="EM31" i="24"/>
  <c r="EP31" i="24" s="1"/>
  <c r="DU31" i="24"/>
  <c r="FA31" i="24"/>
  <c r="EY31" i="24"/>
  <c r="EB31" i="24"/>
  <c r="EL31" i="24"/>
  <c r="EL186" i="24"/>
  <c r="EB171" i="24"/>
  <c r="EE99" i="24"/>
  <c r="EE55" i="24"/>
  <c r="EY138" i="24"/>
  <c r="DW206" i="24"/>
  <c r="EN206" i="24"/>
  <c r="EM206" i="24"/>
  <c r="EP206" i="24" s="1"/>
  <c r="EB206" i="24"/>
  <c r="FA206" i="24"/>
  <c r="EY206" i="24"/>
  <c r="EL206" i="24"/>
  <c r="FA50" i="24"/>
  <c r="DW32" i="24"/>
  <c r="EN32" i="24"/>
  <c r="EM32" i="24"/>
  <c r="EP32" i="24" s="1"/>
  <c r="DU32" i="24"/>
  <c r="EY32" i="24"/>
  <c r="EL32" i="24"/>
  <c r="FA32" i="24"/>
  <c r="EB32" i="24"/>
  <c r="EE26" i="24"/>
  <c r="EB81" i="24"/>
  <c r="DW293" i="24"/>
  <c r="DU293" i="24"/>
  <c r="EY63" i="24"/>
  <c r="EB30" i="24"/>
  <c r="EL114" i="24"/>
  <c r="EE174" i="24"/>
  <c r="EE44" i="24"/>
  <c r="FA209" i="24"/>
  <c r="EL201" i="24"/>
  <c r="DW307" i="24"/>
  <c r="DU307" i="24"/>
  <c r="DW68" i="24"/>
  <c r="DY68" i="24" s="1"/>
  <c r="EF68" i="24" s="1"/>
  <c r="EN68" i="24"/>
  <c r="EM68" i="24"/>
  <c r="EP68" i="24" s="1"/>
  <c r="DU68" i="24"/>
  <c r="DW282" i="24"/>
  <c r="DU282" i="24"/>
  <c r="EY80" i="24"/>
  <c r="DW197" i="24"/>
  <c r="DY197" i="24" s="1"/>
  <c r="EF197" i="24" s="1"/>
  <c r="EN197" i="24"/>
  <c r="EM197" i="24"/>
  <c r="EP197" i="24" s="1"/>
  <c r="EY199" i="24"/>
  <c r="EL119" i="24"/>
  <c r="EN119" i="24"/>
  <c r="DW119" i="24"/>
  <c r="EM119" i="24"/>
  <c r="EP119" i="24" s="1"/>
  <c r="FA119" i="24"/>
  <c r="EY119" i="24"/>
  <c r="EB119" i="24"/>
  <c r="FA24" i="24"/>
  <c r="DW24" i="24"/>
  <c r="DY24" i="24" s="1"/>
  <c r="EF24" i="24" s="1"/>
  <c r="EN24" i="24"/>
  <c r="EM24" i="24"/>
  <c r="EP24" i="24" s="1"/>
  <c r="DU24" i="24"/>
  <c r="EE133" i="24"/>
  <c r="DW173" i="24"/>
  <c r="DY173" i="24" s="1"/>
  <c r="EF173" i="24" s="1"/>
  <c r="EN173" i="24"/>
  <c r="EM173" i="24"/>
  <c r="EP173" i="24" s="1"/>
  <c r="DW70" i="24"/>
  <c r="DY70" i="24" s="1"/>
  <c r="EF70" i="24" s="1"/>
  <c r="EN70" i="24"/>
  <c r="EM70" i="24"/>
  <c r="EP70" i="24" s="1"/>
  <c r="DU70" i="24"/>
  <c r="DW28" i="24"/>
  <c r="EN28" i="24"/>
  <c r="EM28" i="24"/>
  <c r="EP28" i="24" s="1"/>
  <c r="DU28" i="24"/>
  <c r="EY28" i="24"/>
  <c r="FA28" i="24"/>
  <c r="EB28" i="24"/>
  <c r="EL28" i="24"/>
  <c r="DW141" i="24"/>
  <c r="EN141" i="24"/>
  <c r="EM141" i="24"/>
  <c r="EP141" i="24" s="1"/>
  <c r="EL141" i="24"/>
  <c r="EY141" i="24"/>
  <c r="FA141" i="24"/>
  <c r="EB141" i="24"/>
  <c r="EE128" i="24"/>
  <c r="FA89" i="24"/>
  <c r="EB143" i="24"/>
  <c r="DW143" i="24"/>
  <c r="EN143" i="24"/>
  <c r="EM143" i="24"/>
  <c r="EP143" i="24" s="1"/>
  <c r="EL143" i="24"/>
  <c r="EY143" i="24"/>
  <c r="FA143" i="24"/>
  <c r="EY120" i="24"/>
  <c r="DW120" i="24"/>
  <c r="EN120" i="24"/>
  <c r="EM120" i="24"/>
  <c r="EP120" i="24" s="1"/>
  <c r="FA120" i="24"/>
  <c r="EL120" i="24"/>
  <c r="EB120" i="24"/>
  <c r="EB154" i="24"/>
  <c r="DW87" i="24"/>
  <c r="EN87" i="24"/>
  <c r="EM87" i="24"/>
  <c r="EP87" i="24" s="1"/>
  <c r="DU87" i="24"/>
  <c r="FA87" i="24"/>
  <c r="EY87" i="24"/>
  <c r="EL87" i="24"/>
  <c r="EB87" i="24"/>
  <c r="EE103" i="24"/>
  <c r="DW102" i="24"/>
  <c r="EN102" i="24"/>
  <c r="EM102" i="24"/>
  <c r="EP102" i="24" s="1"/>
  <c r="DU102" i="24"/>
  <c r="FA102" i="24"/>
  <c r="EY102" i="24"/>
  <c r="EL102" i="24"/>
  <c r="EB102" i="24"/>
  <c r="DW306" i="24"/>
  <c r="DU306" i="24"/>
  <c r="DW10" i="24"/>
  <c r="DY10" i="24" s="1"/>
  <c r="EF10" i="24" s="1"/>
  <c r="EN10" i="24"/>
  <c r="EM10" i="24"/>
  <c r="EP10" i="24" s="1"/>
  <c r="DU10" i="24"/>
  <c r="DW252" i="24"/>
  <c r="DU252" i="24"/>
  <c r="EL29" i="24"/>
  <c r="DW249" i="24"/>
  <c r="DU249" i="24"/>
  <c r="DW272" i="24"/>
  <c r="DU272" i="24"/>
  <c r="EB185" i="24"/>
  <c r="EE60" i="24"/>
  <c r="EB177" i="24"/>
  <c r="DW152" i="24"/>
  <c r="DY152" i="24" s="1"/>
  <c r="EF152" i="24" s="1"/>
  <c r="EN152" i="24"/>
  <c r="EM152" i="24"/>
  <c r="EP152" i="24" s="1"/>
  <c r="EL164" i="24"/>
  <c r="DW230" i="24"/>
  <c r="DU230" i="24"/>
  <c r="EE136" i="24"/>
  <c r="DW163" i="24"/>
  <c r="EN163" i="24"/>
  <c r="EM163" i="24"/>
  <c r="EP163" i="24" s="1"/>
  <c r="FA163" i="24"/>
  <c r="EB163" i="24"/>
  <c r="EL163" i="24"/>
  <c r="EY163" i="24"/>
  <c r="DW53" i="24"/>
  <c r="DY53" i="24" s="1"/>
  <c r="EF53" i="24" s="1"/>
  <c r="EN53" i="24"/>
  <c r="EM53" i="24"/>
  <c r="EP53" i="24" s="1"/>
  <c r="DU53" i="24"/>
  <c r="EB58" i="24"/>
  <c r="DW58" i="24"/>
  <c r="EN58" i="24"/>
  <c r="EM58" i="24"/>
  <c r="EP58" i="24" s="1"/>
  <c r="DU58" i="24"/>
  <c r="FA58" i="24"/>
  <c r="EL58" i="24"/>
  <c r="EY58" i="24"/>
  <c r="DW137" i="24"/>
  <c r="EN137" i="24"/>
  <c r="EM137" i="24"/>
  <c r="EP137" i="24" s="1"/>
  <c r="EY137" i="24"/>
  <c r="EB137" i="24"/>
  <c r="EL137" i="24"/>
  <c r="FA137" i="24"/>
  <c r="DW314" i="24"/>
  <c r="DU314" i="24"/>
  <c r="EB202" i="24"/>
  <c r="FA25" i="24"/>
  <c r="EN25" i="24"/>
  <c r="DW25" i="24"/>
  <c r="DY25" i="24" s="1"/>
  <c r="EF25" i="24" s="1"/>
  <c r="EM25" i="24"/>
  <c r="EP25" i="24" s="1"/>
  <c r="DU25" i="24"/>
  <c r="EY192" i="24"/>
  <c r="EN42" i="24"/>
  <c r="DW42" i="24"/>
  <c r="DY42" i="24" s="1"/>
  <c r="EF42" i="24" s="1"/>
  <c r="EM42" i="24"/>
  <c r="EP42" i="24" s="1"/>
  <c r="DU42" i="24"/>
  <c r="EY54" i="24"/>
  <c r="FA183" i="24"/>
  <c r="EE186" i="24"/>
  <c r="EB175" i="24"/>
  <c r="EY160" i="24"/>
  <c r="DW245" i="24"/>
  <c r="DU245" i="24"/>
  <c r="EY171" i="24"/>
  <c r="EE43" i="24"/>
  <c r="FA197" i="24"/>
  <c r="DW22" i="24"/>
  <c r="EN22" i="24"/>
  <c r="EM22" i="24"/>
  <c r="EP22" i="24" s="1"/>
  <c r="DU22" i="24"/>
  <c r="FA22" i="24"/>
  <c r="EB22" i="24"/>
  <c r="EL22" i="24"/>
  <c r="EY22" i="24"/>
  <c r="EL47" i="24"/>
  <c r="EL138" i="24"/>
  <c r="EN72" i="24"/>
  <c r="DW72" i="24"/>
  <c r="EM72" i="24"/>
  <c r="EP72" i="24" s="1"/>
  <c r="DU72" i="24"/>
  <c r="EY72" i="24"/>
  <c r="EL72" i="24"/>
  <c r="FA72" i="24"/>
  <c r="EB72" i="24"/>
  <c r="EB10" i="24"/>
  <c r="EL75" i="24"/>
  <c r="DW75" i="24"/>
  <c r="EN75" i="24"/>
  <c r="EM75" i="24"/>
  <c r="EP75" i="24" s="1"/>
  <c r="DU75" i="24"/>
  <c r="FA75" i="24"/>
  <c r="EB75" i="24"/>
  <c r="EY75" i="24"/>
  <c r="EL81" i="24"/>
  <c r="DW221" i="24"/>
  <c r="DU221" i="24"/>
  <c r="EE63" i="24"/>
  <c r="FA30" i="24"/>
  <c r="DW234" i="24"/>
  <c r="DU234" i="24"/>
  <c r="DW43" i="24"/>
  <c r="DY43" i="24" s="1"/>
  <c r="EF43" i="24" s="1"/>
  <c r="EN43" i="24"/>
  <c r="EM43" i="24"/>
  <c r="EP43" i="24" s="1"/>
  <c r="DU43" i="24"/>
  <c r="DW167" i="24"/>
  <c r="DY167" i="24" s="1"/>
  <c r="EF167" i="24" s="1"/>
  <c r="EN167" i="24"/>
  <c r="EM167" i="24"/>
  <c r="EP167" i="24" s="1"/>
  <c r="EY114" i="24"/>
  <c r="EB209" i="24"/>
  <c r="EY23" i="24"/>
  <c r="DW174" i="24"/>
  <c r="DY174" i="24" s="1"/>
  <c r="EF174" i="24" s="1"/>
  <c r="EN174" i="24"/>
  <c r="EM174" i="24"/>
  <c r="EP174" i="24" s="1"/>
  <c r="EY201" i="24"/>
  <c r="EB173" i="24"/>
  <c r="DW26" i="24"/>
  <c r="DY26" i="24" s="1"/>
  <c r="EF26" i="24" s="1"/>
  <c r="EN26" i="24"/>
  <c r="EM26" i="24"/>
  <c r="EP26" i="24" s="1"/>
  <c r="DU26" i="24"/>
  <c r="DW84" i="24"/>
  <c r="EN84" i="24"/>
  <c r="EM84" i="24"/>
  <c r="EP84" i="24" s="1"/>
  <c r="DU84" i="24"/>
  <c r="EB84" i="24"/>
  <c r="EY84" i="24"/>
  <c r="FA84" i="24"/>
  <c r="EL84" i="24"/>
  <c r="EY155" i="24"/>
  <c r="EB80" i="24"/>
  <c r="EE199" i="24"/>
  <c r="DW283" i="24"/>
  <c r="DU283" i="24"/>
  <c r="EY129" i="24"/>
  <c r="DW244" i="24"/>
  <c r="DU244" i="24"/>
  <c r="EE39" i="24"/>
  <c r="DW275" i="24"/>
  <c r="DU275" i="24"/>
  <c r="DW145" i="24"/>
  <c r="DY145" i="24" s="1"/>
  <c r="EF145" i="24" s="1"/>
  <c r="EN145" i="24"/>
  <c r="EM145" i="24"/>
  <c r="EP145" i="24" s="1"/>
  <c r="BV106" i="19"/>
  <c r="CB106" i="19" s="1"/>
  <c r="BW106" i="19"/>
  <c r="CC106" i="19" s="1"/>
  <c r="EL216" i="25" l="1"/>
  <c r="EK216" i="25"/>
  <c r="EN216" i="25" s="1"/>
  <c r="FA216" i="25"/>
  <c r="DY216" i="25"/>
  <c r="EG216" i="25" s="1"/>
  <c r="EX216" i="25" s="1"/>
  <c r="DT216" i="25"/>
  <c r="EJ216" i="25"/>
  <c r="CG212" i="25"/>
  <c r="EE212" i="25"/>
  <c r="EG212" i="25"/>
  <c r="EX212" i="25" s="1"/>
  <c r="EF212" i="25"/>
  <c r="EW212" i="25" s="1"/>
  <c r="CH212" i="25"/>
  <c r="DY190" i="24"/>
  <c r="EF190" i="24" s="1"/>
  <c r="EA243" i="24"/>
  <c r="FL243" i="24" s="1"/>
  <c r="EA96" i="24"/>
  <c r="CG96" i="24" s="1"/>
  <c r="EA242" i="24"/>
  <c r="EH242" i="24" s="1"/>
  <c r="EA285" i="24"/>
  <c r="EC285" i="24" s="1"/>
  <c r="ED285" i="24" s="1"/>
  <c r="FL216" i="24"/>
  <c r="EI216" i="24"/>
  <c r="EX216" i="24" s="1"/>
  <c r="EC216" i="24"/>
  <c r="ED216" i="24" s="1"/>
  <c r="EH216" i="24"/>
  <c r="I5" i="24"/>
  <c r="M5" i="24" s="1"/>
  <c r="U5" i="24" s="1"/>
  <c r="CH285" i="25"/>
  <c r="EF285" i="25"/>
  <c r="EW285" i="25" s="1"/>
  <c r="EG285" i="25"/>
  <c r="EX285" i="25" s="1"/>
  <c r="EE285" i="25"/>
  <c r="CH253" i="25"/>
  <c r="EE253" i="25"/>
  <c r="EF253" i="25"/>
  <c r="EW253" i="25" s="1"/>
  <c r="EG253" i="25"/>
  <c r="EX253" i="25" s="1"/>
  <c r="CG262" i="25"/>
  <c r="EF262" i="25"/>
  <c r="EW262" i="25" s="1"/>
  <c r="EG262" i="25"/>
  <c r="EX262" i="25" s="1"/>
  <c r="EE262" i="25"/>
  <c r="CH303" i="25"/>
  <c r="EF303" i="25"/>
  <c r="EW303" i="25" s="1"/>
  <c r="EG303" i="25"/>
  <c r="EX303" i="25" s="1"/>
  <c r="EE303" i="25"/>
  <c r="CH248" i="25"/>
  <c r="EE248" i="25"/>
  <c r="EF248" i="25"/>
  <c r="EW248" i="25" s="1"/>
  <c r="EG248" i="25"/>
  <c r="EX248" i="25" s="1"/>
  <c r="CG242" i="25"/>
  <c r="EE242" i="25"/>
  <c r="EF242" i="25"/>
  <c r="EW242" i="25" s="1"/>
  <c r="EG242" i="25"/>
  <c r="EX242" i="25" s="1"/>
  <c r="CH237" i="25"/>
  <c r="EF237" i="25"/>
  <c r="EW237" i="25" s="1"/>
  <c r="EG237" i="25"/>
  <c r="EX237" i="25" s="1"/>
  <c r="EE237" i="25"/>
  <c r="CG266" i="25"/>
  <c r="EE266" i="25"/>
  <c r="EF266" i="25"/>
  <c r="EW266" i="25" s="1"/>
  <c r="EG266" i="25"/>
  <c r="EX266" i="25" s="1"/>
  <c r="CH264" i="25"/>
  <c r="EE264" i="25"/>
  <c r="EF264" i="25"/>
  <c r="EW264" i="25" s="1"/>
  <c r="EG264" i="25"/>
  <c r="EX264" i="25" s="1"/>
  <c r="CH235" i="25"/>
  <c r="EF235" i="25"/>
  <c r="EW235" i="25" s="1"/>
  <c r="EG235" i="25"/>
  <c r="EX235" i="25" s="1"/>
  <c r="EE235" i="25"/>
  <c r="CG230" i="25"/>
  <c r="EE230" i="25"/>
  <c r="EF230" i="25"/>
  <c r="EW230" i="25" s="1"/>
  <c r="EG230" i="25"/>
  <c r="EX230" i="25" s="1"/>
  <c r="CH300" i="25"/>
  <c r="EE300" i="25"/>
  <c r="EF300" i="25"/>
  <c r="EW300" i="25" s="1"/>
  <c r="EG300" i="25"/>
  <c r="EX300" i="25" s="1"/>
  <c r="CH312" i="25"/>
  <c r="EG312" i="25"/>
  <c r="EX312" i="25" s="1"/>
  <c r="EE312" i="25"/>
  <c r="EF312" i="25"/>
  <c r="EW312" i="25" s="1"/>
  <c r="CG274" i="25"/>
  <c r="EE274" i="25"/>
  <c r="EG274" i="25"/>
  <c r="EX274" i="25" s="1"/>
  <c r="EF274" i="25"/>
  <c r="EW274" i="25" s="1"/>
  <c r="CG246" i="25"/>
  <c r="EE246" i="25"/>
  <c r="EF246" i="25"/>
  <c r="EW246" i="25" s="1"/>
  <c r="EG246" i="25"/>
  <c r="EX246" i="25" s="1"/>
  <c r="CH281" i="25"/>
  <c r="EE281" i="25"/>
  <c r="EG281" i="25"/>
  <c r="EX281" i="25" s="1"/>
  <c r="EF281" i="25"/>
  <c r="EW281" i="25" s="1"/>
  <c r="CH307" i="25"/>
  <c r="EE307" i="25"/>
  <c r="EF307" i="25"/>
  <c r="EW307" i="25" s="1"/>
  <c r="EG307" i="25"/>
  <c r="EX307" i="25" s="1"/>
  <c r="CH217" i="25"/>
  <c r="EE217" i="25"/>
  <c r="EF217" i="25"/>
  <c r="EW217" i="25" s="1"/>
  <c r="EG217" i="25"/>
  <c r="EX217" i="25" s="1"/>
  <c r="CG302" i="25"/>
  <c r="EE302" i="25"/>
  <c r="EF302" i="25"/>
  <c r="EW302" i="25" s="1"/>
  <c r="EG302" i="25"/>
  <c r="EX302" i="25" s="1"/>
  <c r="CH288" i="25"/>
  <c r="EF288" i="25"/>
  <c r="EW288" i="25" s="1"/>
  <c r="EG288" i="25"/>
  <c r="EX288" i="25" s="1"/>
  <c r="EE288" i="25"/>
  <c r="CG270" i="25"/>
  <c r="EE270" i="25"/>
  <c r="EF270" i="25"/>
  <c r="EW270" i="25" s="1"/>
  <c r="EG270" i="25"/>
  <c r="EX270" i="25" s="1"/>
  <c r="CH272" i="25"/>
  <c r="EF272" i="25"/>
  <c r="EW272" i="25" s="1"/>
  <c r="EG272" i="25"/>
  <c r="EX272" i="25" s="1"/>
  <c r="EE272" i="25"/>
  <c r="CH249" i="25"/>
  <c r="EE249" i="25"/>
  <c r="EF249" i="25"/>
  <c r="EW249" i="25" s="1"/>
  <c r="EG249" i="25"/>
  <c r="EX249" i="25" s="1"/>
  <c r="CG273" i="25"/>
  <c r="EE273" i="25"/>
  <c r="EF273" i="25"/>
  <c r="EW273" i="25" s="1"/>
  <c r="EG273" i="25"/>
  <c r="EX273" i="25" s="1"/>
  <c r="CG258" i="25"/>
  <c r="EE258" i="25"/>
  <c r="EF258" i="25"/>
  <c r="EW258" i="25" s="1"/>
  <c r="EG258" i="25"/>
  <c r="EX258" i="25" s="1"/>
  <c r="CH304" i="25"/>
  <c r="EE304" i="25"/>
  <c r="EF304" i="25"/>
  <c r="EW304" i="25" s="1"/>
  <c r="EG304" i="25"/>
  <c r="EX304" i="25" s="1"/>
  <c r="CH259" i="25"/>
  <c r="EE259" i="25"/>
  <c r="EF259" i="25"/>
  <c r="EW259" i="25" s="1"/>
  <c r="EG259" i="25"/>
  <c r="EX259" i="25" s="1"/>
  <c r="CH231" i="25"/>
  <c r="EG231" i="25"/>
  <c r="EX231" i="25" s="1"/>
  <c r="EE231" i="25"/>
  <c r="EF231" i="25"/>
  <c r="EW231" i="25" s="1"/>
  <c r="CH251" i="25"/>
  <c r="EE251" i="25"/>
  <c r="EF251" i="25"/>
  <c r="EW251" i="25" s="1"/>
  <c r="EG251" i="25"/>
  <c r="EX251" i="25" s="1"/>
  <c r="CG226" i="25"/>
  <c r="EE226" i="25"/>
  <c r="EF226" i="25"/>
  <c r="EW226" i="25" s="1"/>
  <c r="EG226" i="25"/>
  <c r="EX226" i="25" s="1"/>
  <c r="CH308" i="25"/>
  <c r="EE308" i="25"/>
  <c r="EF308" i="25"/>
  <c r="EW308" i="25" s="1"/>
  <c r="EG308" i="25"/>
  <c r="EX308" i="25" s="1"/>
  <c r="CH305" i="25"/>
  <c r="EE305" i="25"/>
  <c r="EF305" i="25"/>
  <c r="EW305" i="25" s="1"/>
  <c r="EG305" i="25"/>
  <c r="EX305" i="25" s="1"/>
  <c r="CH260" i="25"/>
  <c r="EF260" i="25"/>
  <c r="EW260" i="25" s="1"/>
  <c r="EG260" i="25"/>
  <c r="EX260" i="25" s="1"/>
  <c r="EE260" i="25"/>
  <c r="CG268" i="25"/>
  <c r="EG268" i="25"/>
  <c r="EX268" i="25" s="1"/>
  <c r="EE268" i="25"/>
  <c r="EF268" i="25"/>
  <c r="EW268" i="25" s="1"/>
  <c r="CG254" i="25"/>
  <c r="EG254" i="25"/>
  <c r="EX254" i="25" s="1"/>
  <c r="EE254" i="25"/>
  <c r="EF254" i="25"/>
  <c r="EW254" i="25" s="1"/>
  <c r="CH263" i="25"/>
  <c r="EE263" i="25"/>
  <c r="EF263" i="25"/>
  <c r="EW263" i="25" s="1"/>
  <c r="EG263" i="25"/>
  <c r="EX263" i="25" s="1"/>
  <c r="CH236" i="25"/>
  <c r="EE236" i="25"/>
  <c r="EF236" i="25"/>
  <c r="EW236" i="25" s="1"/>
  <c r="EG236" i="25"/>
  <c r="EX236" i="25" s="1"/>
  <c r="CH227" i="25"/>
  <c r="EE227" i="25"/>
  <c r="EF227" i="25"/>
  <c r="EW227" i="25" s="1"/>
  <c r="EG227" i="25"/>
  <c r="EX227" i="25" s="1"/>
  <c r="CG238" i="25"/>
  <c r="EE238" i="25"/>
  <c r="EF238" i="25"/>
  <c r="EW238" i="25" s="1"/>
  <c r="EG238" i="25"/>
  <c r="EX238" i="25" s="1"/>
  <c r="CG298" i="25"/>
  <c r="EG298" i="25"/>
  <c r="EX298" i="25" s="1"/>
  <c r="EE298" i="25"/>
  <c r="EF298" i="25"/>
  <c r="EW298" i="25" s="1"/>
  <c r="CH284" i="25"/>
  <c r="EE284" i="25"/>
  <c r="EG284" i="25"/>
  <c r="EX284" i="25" s="1"/>
  <c r="EF284" i="25"/>
  <c r="EW284" i="25" s="1"/>
  <c r="CH286" i="25"/>
  <c r="EE286" i="25"/>
  <c r="EF286" i="25"/>
  <c r="EW286" i="25" s="1"/>
  <c r="EG286" i="25"/>
  <c r="EX286" i="25" s="1"/>
  <c r="CH297" i="25"/>
  <c r="EE297" i="25"/>
  <c r="EF297" i="25"/>
  <c r="EW297" i="25" s="1"/>
  <c r="EG297" i="25"/>
  <c r="EX297" i="25" s="1"/>
  <c r="CG218" i="25"/>
  <c r="EE218" i="25"/>
  <c r="EF218" i="25"/>
  <c r="EW218" i="25" s="1"/>
  <c r="EG218" i="25"/>
  <c r="EX218" i="25" s="1"/>
  <c r="CH232" i="25"/>
  <c r="EF232" i="25"/>
  <c r="EW232" i="25" s="1"/>
  <c r="EG232" i="25"/>
  <c r="EX232" i="25" s="1"/>
  <c r="EE232" i="25"/>
  <c r="CH295" i="25"/>
  <c r="EE295" i="25"/>
  <c r="EG295" i="25"/>
  <c r="EX295" i="25" s="1"/>
  <c r="EF295" i="25"/>
  <c r="EW295" i="25" s="1"/>
  <c r="CH241" i="25"/>
  <c r="EE241" i="25"/>
  <c r="EF241" i="25"/>
  <c r="EW241" i="25" s="1"/>
  <c r="EG241" i="25"/>
  <c r="EX241" i="25" s="1"/>
  <c r="CH287" i="25"/>
  <c r="EF287" i="25"/>
  <c r="EW287" i="25" s="1"/>
  <c r="EG287" i="25"/>
  <c r="EX287" i="25" s="1"/>
  <c r="EE287" i="25"/>
  <c r="CG313" i="25"/>
  <c r="EE313" i="25"/>
  <c r="EF313" i="25"/>
  <c r="EW313" i="25" s="1"/>
  <c r="EG313" i="25"/>
  <c r="EX313" i="25" s="1"/>
  <c r="CH257" i="25"/>
  <c r="EF257" i="25"/>
  <c r="EW257" i="25" s="1"/>
  <c r="EG257" i="25"/>
  <c r="EX257" i="25" s="1"/>
  <c r="EE257" i="25"/>
  <c r="CH301" i="25"/>
  <c r="EE301" i="25"/>
  <c r="EF301" i="25"/>
  <c r="EW301" i="25" s="1"/>
  <c r="EG301" i="25"/>
  <c r="EX301" i="25" s="1"/>
  <c r="CH311" i="25"/>
  <c r="EE311" i="25"/>
  <c r="EF311" i="25"/>
  <c r="EW311" i="25" s="1"/>
  <c r="EG311" i="25"/>
  <c r="EX311" i="25" s="1"/>
  <c r="CH279" i="25"/>
  <c r="EE279" i="25"/>
  <c r="EG279" i="25"/>
  <c r="EX279" i="25" s="1"/>
  <c r="EF279" i="25"/>
  <c r="EW279" i="25" s="1"/>
  <c r="CG229" i="25"/>
  <c r="EE229" i="25"/>
  <c r="EF229" i="25"/>
  <c r="EW229" i="25" s="1"/>
  <c r="EG229" i="25"/>
  <c r="EX229" i="25" s="1"/>
  <c r="CH283" i="25"/>
  <c r="EE283" i="25"/>
  <c r="EF283" i="25"/>
  <c r="EW283" i="25" s="1"/>
  <c r="EG283" i="25"/>
  <c r="EX283" i="25" s="1"/>
  <c r="CG240" i="25"/>
  <c r="EE240" i="25"/>
  <c r="EF240" i="25"/>
  <c r="EW240" i="25" s="1"/>
  <c r="EG240" i="25"/>
  <c r="EX240" i="25" s="1"/>
  <c r="CH265" i="25"/>
  <c r="EF265" i="25"/>
  <c r="EW265" i="25" s="1"/>
  <c r="EG265" i="25"/>
  <c r="EX265" i="25" s="1"/>
  <c r="EE265" i="25"/>
  <c r="CG222" i="25"/>
  <c r="EE222" i="25"/>
  <c r="EF222" i="25"/>
  <c r="EW222" i="25" s="1"/>
  <c r="EG222" i="25"/>
  <c r="EX222" i="25" s="1"/>
  <c r="CH292" i="25"/>
  <c r="EE292" i="25"/>
  <c r="EF292" i="25"/>
  <c r="EW292" i="25" s="1"/>
  <c r="EG292" i="25"/>
  <c r="EX292" i="25" s="1"/>
  <c r="CH243" i="25"/>
  <c r="EF243" i="25"/>
  <c r="EW243" i="25" s="1"/>
  <c r="EG243" i="25"/>
  <c r="EX243" i="25" s="1"/>
  <c r="EE243" i="25"/>
  <c r="CH291" i="25"/>
  <c r="EE291" i="25"/>
  <c r="EF291" i="25"/>
  <c r="EW291" i="25" s="1"/>
  <c r="EG291" i="25"/>
  <c r="EX291" i="25" s="1"/>
  <c r="CH271" i="25"/>
  <c r="EE271" i="25"/>
  <c r="EG271" i="25"/>
  <c r="EX271" i="25" s="1"/>
  <c r="EF271" i="25"/>
  <c r="EW271" i="25" s="1"/>
  <c r="CH276" i="25"/>
  <c r="EE276" i="25"/>
  <c r="EF276" i="25"/>
  <c r="EW276" i="25" s="1"/>
  <c r="EG276" i="25"/>
  <c r="EX276" i="25" s="1"/>
  <c r="CH316" i="25"/>
  <c r="EE316" i="25"/>
  <c r="EF316" i="25"/>
  <c r="EW316" i="25" s="1"/>
  <c r="EG316" i="25"/>
  <c r="EX316" i="25" s="1"/>
  <c r="CH233" i="25"/>
  <c r="EE233" i="25"/>
  <c r="EF233" i="25"/>
  <c r="EW233" i="25" s="1"/>
  <c r="EG233" i="25"/>
  <c r="EX233" i="25" s="1"/>
  <c r="CG225" i="25"/>
  <c r="EE225" i="25"/>
  <c r="EF225" i="25"/>
  <c r="EW225" i="25" s="1"/>
  <c r="EG225" i="25"/>
  <c r="EX225" i="25" s="1"/>
  <c r="CH221" i="25"/>
  <c r="EG221" i="25"/>
  <c r="EX221" i="25" s="1"/>
  <c r="EE221" i="25"/>
  <c r="EF221" i="25"/>
  <c r="EW221" i="25" s="1"/>
  <c r="CG294" i="25"/>
  <c r="EE294" i="25"/>
  <c r="EF294" i="25"/>
  <c r="EW294" i="25" s="1"/>
  <c r="EG294" i="25"/>
  <c r="EX294" i="25" s="1"/>
  <c r="CH247" i="25"/>
  <c r="EE247" i="25"/>
  <c r="EF247" i="25"/>
  <c r="EW247" i="25" s="1"/>
  <c r="EG247" i="25"/>
  <c r="EX247" i="25" s="1"/>
  <c r="CH315" i="25"/>
  <c r="EE315" i="25"/>
  <c r="EF315" i="25"/>
  <c r="EW315" i="25" s="1"/>
  <c r="EG315" i="25"/>
  <c r="EX315" i="25" s="1"/>
  <c r="CH289" i="25"/>
  <c r="EE289" i="25"/>
  <c r="EF289" i="25"/>
  <c r="EW289" i="25" s="1"/>
  <c r="EG289" i="25"/>
  <c r="EX289" i="25" s="1"/>
  <c r="CH277" i="25"/>
  <c r="EF277" i="25"/>
  <c r="EW277" i="25" s="1"/>
  <c r="EG277" i="25"/>
  <c r="EX277" i="25" s="1"/>
  <c r="EE277" i="25"/>
  <c r="CH261" i="25"/>
  <c r="EE261" i="25"/>
  <c r="EF261" i="25"/>
  <c r="EW261" i="25" s="1"/>
  <c r="EG261" i="25"/>
  <c r="EX261" i="25" s="1"/>
  <c r="CG252" i="25"/>
  <c r="EE252" i="25"/>
  <c r="EF252" i="25"/>
  <c r="EW252" i="25" s="1"/>
  <c r="EG252" i="25"/>
  <c r="EX252" i="25" s="1"/>
  <c r="CG267" i="25"/>
  <c r="EE267" i="25"/>
  <c r="EF267" i="25"/>
  <c r="EW267" i="25" s="1"/>
  <c r="EG267" i="25"/>
  <c r="EX267" i="25" s="1"/>
  <c r="CH293" i="25"/>
  <c r="EG293" i="25"/>
  <c r="EX293" i="25" s="1"/>
  <c r="EE293" i="25"/>
  <c r="EF293" i="25"/>
  <c r="EW293" i="25" s="1"/>
  <c r="CH219" i="25"/>
  <c r="EE219" i="25"/>
  <c r="EF219" i="25"/>
  <c r="EW219" i="25" s="1"/>
  <c r="EG219" i="25"/>
  <c r="EX219" i="25" s="1"/>
  <c r="CH280" i="25"/>
  <c r="EE280" i="25"/>
  <c r="EF280" i="25"/>
  <c r="EW280" i="25" s="1"/>
  <c r="EG280" i="25"/>
  <c r="EX280" i="25" s="1"/>
  <c r="CH228" i="25"/>
  <c r="EE228" i="25"/>
  <c r="EF228" i="25"/>
  <c r="EW228" i="25" s="1"/>
  <c r="EG228" i="25"/>
  <c r="EX228" i="25" s="1"/>
  <c r="CG275" i="25"/>
  <c r="EG275" i="25"/>
  <c r="EX275" i="25" s="1"/>
  <c r="EE275" i="25"/>
  <c r="EF275" i="25"/>
  <c r="EW275" i="25" s="1"/>
  <c r="CH299" i="25"/>
  <c r="EE299" i="25"/>
  <c r="EF299" i="25"/>
  <c r="EW299" i="25" s="1"/>
  <c r="EG299" i="25"/>
  <c r="EX299" i="25" s="1"/>
  <c r="CH296" i="25"/>
  <c r="EF296" i="25"/>
  <c r="EW296" i="25" s="1"/>
  <c r="EG296" i="25"/>
  <c r="EX296" i="25" s="1"/>
  <c r="EE296" i="25"/>
  <c r="CH256" i="25"/>
  <c r="EE256" i="25"/>
  <c r="EF256" i="25"/>
  <c r="EW256" i="25" s="1"/>
  <c r="EG256" i="25"/>
  <c r="EX256" i="25" s="1"/>
  <c r="CG290" i="25"/>
  <c r="EG290" i="25"/>
  <c r="EX290" i="25" s="1"/>
  <c r="EE290" i="25"/>
  <c r="EF290" i="25"/>
  <c r="EW290" i="25" s="1"/>
  <c r="CG234" i="25"/>
  <c r="EE234" i="25"/>
  <c r="EF234" i="25"/>
  <c r="EW234" i="25" s="1"/>
  <c r="EG234" i="25"/>
  <c r="EX234" i="25" s="1"/>
  <c r="CH239" i="25"/>
  <c r="EE239" i="25"/>
  <c r="EF239" i="25"/>
  <c r="EW239" i="25" s="1"/>
  <c r="EG239" i="25"/>
  <c r="EX239" i="25" s="1"/>
  <c r="CH224" i="25"/>
  <c r="EG224" i="25"/>
  <c r="EX224" i="25" s="1"/>
  <c r="EE224" i="25"/>
  <c r="EF224" i="25"/>
  <c r="EW224" i="25" s="1"/>
  <c r="CH223" i="25"/>
  <c r="EE223" i="25"/>
  <c r="EF223" i="25"/>
  <c r="EW223" i="25" s="1"/>
  <c r="EG223" i="25"/>
  <c r="EX223" i="25" s="1"/>
  <c r="CH220" i="25"/>
  <c r="EE220" i="25"/>
  <c r="EF220" i="25"/>
  <c r="EW220" i="25" s="1"/>
  <c r="EG220" i="25"/>
  <c r="EX220" i="25" s="1"/>
  <c r="CG278" i="25"/>
  <c r="EE278" i="25"/>
  <c r="EF278" i="25"/>
  <c r="EW278" i="25" s="1"/>
  <c r="EG278" i="25"/>
  <c r="EX278" i="25" s="1"/>
  <c r="CH269" i="25"/>
  <c r="EE269" i="25"/>
  <c r="EF269" i="25"/>
  <c r="EW269" i="25" s="1"/>
  <c r="EG269" i="25"/>
  <c r="EX269" i="25" s="1"/>
  <c r="CH282" i="25"/>
  <c r="EE282" i="25"/>
  <c r="EF282" i="25"/>
  <c r="EW282" i="25" s="1"/>
  <c r="EG282" i="25"/>
  <c r="EX282" i="25" s="1"/>
  <c r="CG314" i="25"/>
  <c r="EE314" i="25"/>
  <c r="EF314" i="25"/>
  <c r="EW314" i="25" s="1"/>
  <c r="EG314" i="25"/>
  <c r="EX314" i="25" s="1"/>
  <c r="CH255" i="25"/>
  <c r="EE255" i="25"/>
  <c r="EF255" i="25"/>
  <c r="EW255" i="25" s="1"/>
  <c r="EG255" i="25"/>
  <c r="EX255" i="25" s="1"/>
  <c r="CH309" i="25"/>
  <c r="EF309" i="25"/>
  <c r="EW309" i="25" s="1"/>
  <c r="EG309" i="25"/>
  <c r="EX309" i="25" s="1"/>
  <c r="EE309" i="25"/>
  <c r="CG310" i="25"/>
  <c r="EE310" i="25"/>
  <c r="EF310" i="25"/>
  <c r="EW310" i="25" s="1"/>
  <c r="EG310" i="25"/>
  <c r="EX310" i="25" s="1"/>
  <c r="CG306" i="25"/>
  <c r="EF306" i="25"/>
  <c r="EW306" i="25" s="1"/>
  <c r="EG306" i="25"/>
  <c r="EX306" i="25" s="1"/>
  <c r="EE306" i="25"/>
  <c r="CG250" i="25"/>
  <c r="EE250" i="25"/>
  <c r="EF250" i="25"/>
  <c r="EW250" i="25" s="1"/>
  <c r="EG250" i="25"/>
  <c r="EX250" i="25" s="1"/>
  <c r="CH245" i="25"/>
  <c r="EG245" i="25"/>
  <c r="EX245" i="25" s="1"/>
  <c r="EE245" i="25"/>
  <c r="EF245" i="25"/>
  <c r="EW245" i="25" s="1"/>
  <c r="CH244" i="25"/>
  <c r="EE244" i="25"/>
  <c r="EF244" i="25"/>
  <c r="EW244" i="25" s="1"/>
  <c r="EG244" i="25"/>
  <c r="EX244" i="25" s="1"/>
  <c r="EG112" i="25"/>
  <c r="EX112" i="25" s="1"/>
  <c r="EE112" i="25"/>
  <c r="CG112" i="25"/>
  <c r="CH112" i="25"/>
  <c r="EF112" i="25"/>
  <c r="EW112" i="25" s="1"/>
  <c r="CH65" i="25"/>
  <c r="CG136" i="25"/>
  <c r="CH115" i="25"/>
  <c r="CG190" i="25"/>
  <c r="CH82" i="25"/>
  <c r="CH51" i="25"/>
  <c r="CH170" i="25"/>
  <c r="CH194" i="25"/>
  <c r="CH192" i="25"/>
  <c r="CH55" i="25"/>
  <c r="CH198" i="25"/>
  <c r="CH185" i="25"/>
  <c r="CH205" i="25"/>
  <c r="CH70" i="25"/>
  <c r="CH200" i="25"/>
  <c r="CG110" i="25"/>
  <c r="CG207" i="25"/>
  <c r="CG169" i="25"/>
  <c r="CH131" i="25"/>
  <c r="CH174" i="25"/>
  <c r="CH147" i="25"/>
  <c r="CH158" i="25"/>
  <c r="CH114" i="25"/>
  <c r="CH171" i="25"/>
  <c r="CH187" i="25"/>
  <c r="CH79" i="25"/>
  <c r="CH122" i="25"/>
  <c r="CH64" i="25"/>
  <c r="CH155" i="25"/>
  <c r="CH148" i="25"/>
  <c r="CG159" i="25"/>
  <c r="CH156" i="25"/>
  <c r="CH119" i="25"/>
  <c r="CG160" i="25"/>
  <c r="CH24" i="25"/>
  <c r="CG204" i="25"/>
  <c r="CG179" i="25"/>
  <c r="CH83" i="25"/>
  <c r="CG203" i="25"/>
  <c r="CH130" i="25"/>
  <c r="CG172" i="25"/>
  <c r="CH6" i="25"/>
  <c r="CG145" i="25"/>
  <c r="CG133" i="25"/>
  <c r="CG120" i="25"/>
  <c r="CH19" i="25"/>
  <c r="CH184" i="25"/>
  <c r="CH48" i="25"/>
  <c r="CG121" i="25"/>
  <c r="CG208" i="25"/>
  <c r="CH99" i="25"/>
  <c r="CH53" i="25"/>
  <c r="CG168" i="25"/>
  <c r="CH15" i="25"/>
  <c r="CG132" i="25"/>
  <c r="CH29" i="25"/>
  <c r="CH35" i="25"/>
  <c r="CG152" i="25"/>
  <c r="CG161" i="25"/>
  <c r="CH96" i="25"/>
  <c r="CG124" i="25"/>
  <c r="CH21" i="25"/>
  <c r="CH32" i="25"/>
  <c r="CH54" i="25"/>
  <c r="CH87" i="25"/>
  <c r="CH18" i="25"/>
  <c r="CH28" i="25"/>
  <c r="CH63" i="25"/>
  <c r="CH26" i="25"/>
  <c r="CH38" i="25"/>
  <c r="CH41" i="25"/>
  <c r="CH36" i="25"/>
  <c r="CH44" i="25"/>
  <c r="CG173" i="25"/>
  <c r="CG196" i="25"/>
  <c r="CG116" i="25"/>
  <c r="CH14" i="25"/>
  <c r="CH17" i="25"/>
  <c r="CH76" i="25"/>
  <c r="CH84" i="25"/>
  <c r="CG202" i="25"/>
  <c r="CH127" i="25"/>
  <c r="CG206" i="25"/>
  <c r="CH69" i="25"/>
  <c r="CH42" i="25"/>
  <c r="CG134" i="25"/>
  <c r="CH43" i="25"/>
  <c r="CG153" i="25"/>
  <c r="CH62" i="25"/>
  <c r="CH12" i="25"/>
  <c r="CG201" i="25"/>
  <c r="CG139" i="25"/>
  <c r="CH61" i="25"/>
  <c r="CH49" i="25"/>
  <c r="CG210" i="25"/>
  <c r="CG167" i="25"/>
  <c r="CH23" i="25"/>
  <c r="CG111" i="25"/>
  <c r="CG123" i="25"/>
  <c r="CH11" i="25"/>
  <c r="CG176" i="25"/>
  <c r="CG195" i="25"/>
  <c r="CH104" i="25"/>
  <c r="CH90" i="25"/>
  <c r="CH173" i="25"/>
  <c r="CH118" i="25"/>
  <c r="CH67" i="25"/>
  <c r="CH57" i="25"/>
  <c r="CG197" i="25"/>
  <c r="CG157" i="25"/>
  <c r="CG151" i="25"/>
  <c r="CH30" i="25"/>
  <c r="CG186" i="25"/>
  <c r="CG166" i="25"/>
  <c r="CG154" i="25"/>
  <c r="CH9" i="25"/>
  <c r="CH16" i="25"/>
  <c r="CG142" i="25"/>
  <c r="CH95" i="25"/>
  <c r="CG135" i="25"/>
  <c r="CG162" i="25"/>
  <c r="CH68" i="25"/>
  <c r="CG141" i="25"/>
  <c r="CG117" i="25"/>
  <c r="CH60" i="25"/>
  <c r="CH39" i="25"/>
  <c r="CG140" i="25"/>
  <c r="CH100" i="25"/>
  <c r="CH80" i="25"/>
  <c r="CG144" i="25"/>
  <c r="CH92" i="25"/>
  <c r="CG188" i="25"/>
  <c r="CG113" i="25"/>
  <c r="CH101" i="25"/>
  <c r="CG165" i="25"/>
  <c r="CH10" i="25"/>
  <c r="CG126" i="25"/>
  <c r="CH93" i="25"/>
  <c r="CG137" i="25"/>
  <c r="CG125" i="25"/>
  <c r="CG191" i="25"/>
  <c r="CG193" i="25"/>
  <c r="CG209" i="25"/>
  <c r="CH85" i="25"/>
  <c r="CH94" i="25"/>
  <c r="CG146" i="25"/>
  <c r="CH46" i="25"/>
  <c r="CG149" i="25"/>
  <c r="CG150" i="25"/>
  <c r="CG129" i="25"/>
  <c r="CG175" i="25"/>
  <c r="CH13" i="25"/>
  <c r="CH75" i="25"/>
  <c r="CH72" i="25"/>
  <c r="EA78" i="24"/>
  <c r="FL78" i="24" s="1"/>
  <c r="CH183" i="25"/>
  <c r="CG183" i="25"/>
  <c r="CH102" i="25"/>
  <c r="CH27" i="25"/>
  <c r="CG128" i="25"/>
  <c r="CH20" i="25"/>
  <c r="CH105" i="25"/>
  <c r="CG189" i="25"/>
  <c r="CG163" i="25"/>
  <c r="CH78" i="25"/>
  <c r="CH137" i="25"/>
  <c r="CH59" i="25"/>
  <c r="CH22" i="25"/>
  <c r="CG180" i="25"/>
  <c r="CG199" i="25"/>
  <c r="CH66" i="25"/>
  <c r="CG177" i="25"/>
  <c r="CG164" i="25"/>
  <c r="CH34" i="25"/>
  <c r="CH86" i="25"/>
  <c r="CG178" i="25"/>
  <c r="CH98" i="25"/>
  <c r="CH50" i="25"/>
  <c r="CH7" i="25"/>
  <c r="CH8" i="25"/>
  <c r="CH74" i="25"/>
  <c r="CH128" i="25"/>
  <c r="CG171" i="25"/>
  <c r="CH97" i="25"/>
  <c r="CH71" i="25"/>
  <c r="CH199" i="25"/>
  <c r="CH33" i="25"/>
  <c r="CH88" i="25"/>
  <c r="CH45" i="25"/>
  <c r="CH164" i="25"/>
  <c r="CH40" i="25"/>
  <c r="CH52" i="25"/>
  <c r="CH91" i="25"/>
  <c r="CH31" i="25"/>
  <c r="CG103" i="25"/>
  <c r="CG86" i="25"/>
  <c r="I110" i="24"/>
  <c r="M110" i="24" s="1"/>
  <c r="CG6" i="25"/>
  <c r="CG39" i="25"/>
  <c r="CG49" i="25"/>
  <c r="CG78" i="25"/>
  <c r="CG24" i="25"/>
  <c r="CG63" i="25"/>
  <c r="CG42" i="25"/>
  <c r="CG38" i="25"/>
  <c r="CG14" i="25"/>
  <c r="CG41" i="25"/>
  <c r="CG10" i="25"/>
  <c r="CG96" i="25"/>
  <c r="EF58" i="25"/>
  <c r="EW58" i="25" s="1"/>
  <c r="FL58" i="25"/>
  <c r="CG101" i="25"/>
  <c r="CG61" i="25"/>
  <c r="CG66" i="25"/>
  <c r="CG44" i="25"/>
  <c r="CG98" i="25"/>
  <c r="CG84" i="25"/>
  <c r="CG45" i="25"/>
  <c r="EF81" i="25"/>
  <c r="EW81" i="25" s="1"/>
  <c r="FL81" i="25"/>
  <c r="EG56" i="25"/>
  <c r="EX56" i="25" s="1"/>
  <c r="FL56" i="25"/>
  <c r="CG17" i="25"/>
  <c r="EF77" i="25"/>
  <c r="EW77" i="25" s="1"/>
  <c r="FL77" i="25"/>
  <c r="EE89" i="25"/>
  <c r="EV89" i="25" s="1"/>
  <c r="FL89" i="25"/>
  <c r="EE103" i="25"/>
  <c r="EV103" i="25" s="1"/>
  <c r="FL103" i="25"/>
  <c r="CG102" i="25"/>
  <c r="CG9" i="25"/>
  <c r="CG105" i="25"/>
  <c r="CG65" i="25"/>
  <c r="CG87" i="25"/>
  <c r="CG95" i="25"/>
  <c r="CG23" i="25"/>
  <c r="CG88" i="25"/>
  <c r="CG55" i="25"/>
  <c r="CG90" i="25"/>
  <c r="CG15" i="25"/>
  <c r="CG82" i="25"/>
  <c r="CG57" i="25"/>
  <c r="CG73" i="25"/>
  <c r="CG8" i="25"/>
  <c r="CG104" i="25"/>
  <c r="CG31" i="25"/>
  <c r="CG21" i="25"/>
  <c r="CG99" i="25"/>
  <c r="CG36" i="25"/>
  <c r="CG59" i="25"/>
  <c r="CG11" i="25"/>
  <c r="CG53" i="25"/>
  <c r="CG29" i="25"/>
  <c r="CG35" i="25"/>
  <c r="CG13" i="25"/>
  <c r="CG51" i="25"/>
  <c r="CG70" i="25"/>
  <c r="CG81" i="25"/>
  <c r="CG25" i="25"/>
  <c r="CG62" i="25"/>
  <c r="CG22" i="25"/>
  <c r="CG97" i="25"/>
  <c r="CG30" i="25"/>
  <c r="CG26" i="25"/>
  <c r="CG79" i="25"/>
  <c r="CG56" i="25"/>
  <c r="CG80" i="25"/>
  <c r="CG50" i="25"/>
  <c r="CG72" i="25"/>
  <c r="CG74" i="25"/>
  <c r="EG47" i="25"/>
  <c r="EX47" i="25" s="1"/>
  <c r="FL47" i="25"/>
  <c r="EG37" i="25"/>
  <c r="EX37" i="25" s="1"/>
  <c r="FL37" i="25"/>
  <c r="CG69" i="25"/>
  <c r="CG19" i="25"/>
  <c r="CG12" i="25"/>
  <c r="CG37" i="25"/>
  <c r="CG68" i="25"/>
  <c r="CG28" i="25"/>
  <c r="CG34" i="25"/>
  <c r="CG60" i="25"/>
  <c r="CG93" i="25"/>
  <c r="CG100" i="25"/>
  <c r="CG76" i="25"/>
  <c r="CG77" i="25"/>
  <c r="EF25" i="25"/>
  <c r="EW25" i="25" s="1"/>
  <c r="FL25" i="25"/>
  <c r="CG32" i="25"/>
  <c r="CG16" i="25"/>
  <c r="CG94" i="25"/>
  <c r="CG58" i="25"/>
  <c r="CG18" i="25"/>
  <c r="CG71" i="25"/>
  <c r="CG48" i="25"/>
  <c r="CG40" i="25"/>
  <c r="CG46" i="25"/>
  <c r="CG89" i="25"/>
  <c r="CG47" i="25"/>
  <c r="CG64" i="25"/>
  <c r="CG7" i="25"/>
  <c r="CG54" i="25"/>
  <c r="EF33" i="25"/>
  <c r="EW33" i="25" s="1"/>
  <c r="FL33" i="25"/>
  <c r="EF73" i="25"/>
  <c r="EW73" i="25" s="1"/>
  <c r="FL73" i="25"/>
  <c r="CG27" i="25"/>
  <c r="CG20" i="25"/>
  <c r="CG43" i="25"/>
  <c r="CG92" i="25"/>
  <c r="CG85" i="25"/>
  <c r="CG67" i="25"/>
  <c r="CG83" i="25"/>
  <c r="CG52" i="25"/>
  <c r="CG91" i="25"/>
  <c r="CG75" i="25"/>
  <c r="EF47" i="25"/>
  <c r="EW47" i="25" s="1"/>
  <c r="EA92" i="24"/>
  <c r="FL92" i="24" s="1"/>
  <c r="EA74" i="24"/>
  <c r="FL74" i="24" s="1"/>
  <c r="EA60" i="24"/>
  <c r="EC60" i="24" s="1"/>
  <c r="ED60" i="24" s="1"/>
  <c r="EE64" i="25"/>
  <c r="EV64" i="25" s="1"/>
  <c r="EA39" i="24"/>
  <c r="CG190" i="24"/>
  <c r="EA169" i="24"/>
  <c r="EA44" i="24"/>
  <c r="EE164" i="25"/>
  <c r="EI164" i="25" s="1"/>
  <c r="EG103" i="25"/>
  <c r="EX103" i="25" s="1"/>
  <c r="EF103" i="25"/>
  <c r="EW103" i="25" s="1"/>
  <c r="EF64" i="25"/>
  <c r="EW64" i="25" s="1"/>
  <c r="EG64" i="25"/>
  <c r="EX64" i="25" s="1"/>
  <c r="EF96" i="25"/>
  <c r="EW96" i="25" s="1"/>
  <c r="EG96" i="25"/>
  <c r="EX96" i="25" s="1"/>
  <c r="EG89" i="25"/>
  <c r="EX89" i="25" s="1"/>
  <c r="EE96" i="25"/>
  <c r="EV96" i="25" s="1"/>
  <c r="EF89" i="25"/>
  <c r="EW89" i="25" s="1"/>
  <c r="EF128" i="25"/>
  <c r="EW128" i="25" s="1"/>
  <c r="EE128" i="25"/>
  <c r="EV128" i="25" s="1"/>
  <c r="EE77" i="25"/>
  <c r="EV77" i="25" s="1"/>
  <c r="EA127" i="24"/>
  <c r="FL127" i="24" s="1"/>
  <c r="EG183" i="25"/>
  <c r="EX183" i="25" s="1"/>
  <c r="EE183" i="25"/>
  <c r="EV183" i="25" s="1"/>
  <c r="EF183" i="25"/>
  <c r="EW183" i="25" s="1"/>
  <c r="EF95" i="25"/>
  <c r="EW95" i="25" s="1"/>
  <c r="EE185" i="25"/>
  <c r="EI185" i="25" s="1"/>
  <c r="EF185" i="25"/>
  <c r="EW185" i="25" s="1"/>
  <c r="EG97" i="25"/>
  <c r="EX97" i="25" s="1"/>
  <c r="EG158" i="25"/>
  <c r="EX158" i="25" s="1"/>
  <c r="EG145" i="25"/>
  <c r="EX145" i="25" s="1"/>
  <c r="EF158" i="25"/>
  <c r="EW158" i="25" s="1"/>
  <c r="EE145" i="25"/>
  <c r="EI145" i="25" s="1"/>
  <c r="EE158" i="25"/>
  <c r="EV158" i="25" s="1"/>
  <c r="EF145" i="25"/>
  <c r="EW145" i="25" s="1"/>
  <c r="EE136" i="25"/>
  <c r="EI136" i="25" s="1"/>
  <c r="EF99" i="25"/>
  <c r="EW99" i="25" s="1"/>
  <c r="EG136" i="25"/>
  <c r="EX136" i="25" s="1"/>
  <c r="EG99" i="25"/>
  <c r="EX99" i="25" s="1"/>
  <c r="EF136" i="25"/>
  <c r="EW136" i="25" s="1"/>
  <c r="EE99" i="25"/>
  <c r="EV99" i="25" s="1"/>
  <c r="EE97" i="25"/>
  <c r="EV97" i="25" s="1"/>
  <c r="EF97" i="25"/>
  <c r="EW97" i="25" s="1"/>
  <c r="EG95" i="25"/>
  <c r="EX95" i="25" s="1"/>
  <c r="EE131" i="25"/>
  <c r="EV131" i="25" s="1"/>
  <c r="EF74" i="25"/>
  <c r="EW74" i="25" s="1"/>
  <c r="EF83" i="25"/>
  <c r="EW83" i="25" s="1"/>
  <c r="EF93" i="25"/>
  <c r="EW93" i="25" s="1"/>
  <c r="EA126" i="24"/>
  <c r="EE95" i="25"/>
  <c r="EV95" i="25" s="1"/>
  <c r="EG185" i="25"/>
  <c r="EX185" i="25" s="1"/>
  <c r="EE17" i="25"/>
  <c r="EI17" i="25" s="1"/>
  <c r="EO17" i="25" s="1"/>
  <c r="EF17" i="25"/>
  <c r="EW17" i="25" s="1"/>
  <c r="EG17" i="25"/>
  <c r="EX17" i="25" s="1"/>
  <c r="EG74" i="25"/>
  <c r="EX74" i="25" s="1"/>
  <c r="EF131" i="25"/>
  <c r="EW131" i="25" s="1"/>
  <c r="EE74" i="25"/>
  <c r="EV74" i="25" s="1"/>
  <c r="EG131" i="25"/>
  <c r="EX131" i="25" s="1"/>
  <c r="EA37" i="24"/>
  <c r="EA52" i="24"/>
  <c r="EA172" i="24"/>
  <c r="FL172" i="24" s="1"/>
  <c r="EG33" i="25"/>
  <c r="EX33" i="25" s="1"/>
  <c r="EF90" i="25"/>
  <c r="EW90" i="25" s="1"/>
  <c r="EE33" i="25"/>
  <c r="EV33" i="25" s="1"/>
  <c r="EG90" i="25"/>
  <c r="EX90" i="25" s="1"/>
  <c r="EE90" i="25"/>
  <c r="EI90" i="25" s="1"/>
  <c r="EO90" i="25" s="1"/>
  <c r="CG216" i="24"/>
  <c r="EG93" i="25"/>
  <c r="EX93" i="25" s="1"/>
  <c r="EE93" i="25"/>
  <c r="EV93" i="25" s="1"/>
  <c r="EA90" i="24"/>
  <c r="EG73" i="25"/>
  <c r="EX73" i="25" s="1"/>
  <c r="EE73" i="25"/>
  <c r="EV73" i="25" s="1"/>
  <c r="EG58" i="25"/>
  <c r="EX58" i="25" s="1"/>
  <c r="EE58" i="25"/>
  <c r="EV58" i="25" s="1"/>
  <c r="CH275" i="25"/>
  <c r="CG287" i="25"/>
  <c r="CH313" i="25"/>
  <c r="CH267" i="25"/>
  <c r="CG231" i="25"/>
  <c r="CG236" i="25"/>
  <c r="CH229" i="25"/>
  <c r="CH240" i="25"/>
  <c r="CH225" i="25"/>
  <c r="CH252" i="25"/>
  <c r="CG286" i="25"/>
  <c r="CH268" i="25"/>
  <c r="CG282" i="25"/>
  <c r="CH273" i="25"/>
  <c r="CG316" i="25"/>
  <c r="CH254" i="25"/>
  <c r="CH274" i="25"/>
  <c r="CG277" i="25"/>
  <c r="CH266" i="25"/>
  <c r="CG279" i="25"/>
  <c r="CG260" i="25"/>
  <c r="CG299" i="25"/>
  <c r="CG251" i="25"/>
  <c r="CG244" i="25"/>
  <c r="CG300" i="25"/>
  <c r="CG220" i="25"/>
  <c r="CG249" i="25"/>
  <c r="CG237" i="25"/>
  <c r="CH270" i="25"/>
  <c r="CG296" i="25"/>
  <c r="CG276" i="25"/>
  <c r="CG297" i="25"/>
  <c r="CG311" i="25"/>
  <c r="CH314" i="25"/>
  <c r="CG293" i="25"/>
  <c r="CG255" i="25"/>
  <c r="CG241" i="25"/>
  <c r="CG221" i="25"/>
  <c r="CH298" i="25"/>
  <c r="CG281" i="25"/>
  <c r="CG217" i="25"/>
  <c r="CG239" i="25"/>
  <c r="CH250" i="25"/>
  <c r="CG308" i="25"/>
  <c r="CG263" i="25"/>
  <c r="CH242" i="25"/>
  <c r="CG256" i="25"/>
  <c r="CG285" i="25"/>
  <c r="CH290" i="25"/>
  <c r="CH278" i="25"/>
  <c r="CG284" i="25"/>
  <c r="CG264" i="25"/>
  <c r="CH310" i="25"/>
  <c r="CG272" i="25"/>
  <c r="CG269" i="25"/>
  <c r="CG291" i="25"/>
  <c r="CH306" i="25"/>
  <c r="CG235" i="25"/>
  <c r="CH302" i="25"/>
  <c r="CG243" i="25"/>
  <c r="CG303" i="25"/>
  <c r="CH230" i="25"/>
  <c r="CH294" i="25"/>
  <c r="CG305" i="25"/>
  <c r="CG219" i="25"/>
  <c r="CG280" i="25"/>
  <c r="CG259" i="25"/>
  <c r="CH226" i="25"/>
  <c r="CH238" i="25"/>
  <c r="CG301" i="25"/>
  <c r="CH218" i="25"/>
  <c r="CG312" i="25"/>
  <c r="CG292" i="25"/>
  <c r="CG309" i="25"/>
  <c r="CG253" i="25"/>
  <c r="CG228" i="25"/>
  <c r="CG247" i="25"/>
  <c r="CG304" i="25"/>
  <c r="CG289" i="25"/>
  <c r="CG295" i="25"/>
  <c r="CG288" i="25"/>
  <c r="CH258" i="25"/>
  <c r="CG257" i="25"/>
  <c r="CG265" i="25"/>
  <c r="CH222" i="25"/>
  <c r="CG307" i="25"/>
  <c r="CG233" i="25"/>
  <c r="CG283" i="25"/>
  <c r="CH246" i="25"/>
  <c r="CG232" i="25"/>
  <c r="CH262" i="25"/>
  <c r="CH234" i="25"/>
  <c r="CG227" i="25"/>
  <c r="CG315" i="25"/>
  <c r="CG224" i="25"/>
  <c r="CG223" i="25"/>
  <c r="CG245" i="25"/>
  <c r="CG248" i="25"/>
  <c r="CG261" i="25"/>
  <c r="CG271" i="25"/>
  <c r="EA63" i="24"/>
  <c r="EA133" i="24"/>
  <c r="EF56" i="25"/>
  <c r="EW56" i="25" s="1"/>
  <c r="EE56" i="25"/>
  <c r="EI56" i="25" s="1"/>
  <c r="EO56" i="25" s="1"/>
  <c r="EE37" i="25"/>
  <c r="EV37" i="25" s="1"/>
  <c r="EF37" i="25"/>
  <c r="EW37" i="25" s="1"/>
  <c r="EF171" i="25"/>
  <c r="EW171" i="25" s="1"/>
  <c r="EV182" i="25"/>
  <c r="FB182" i="25" s="1"/>
  <c r="EG77" i="25"/>
  <c r="EX77" i="25" s="1"/>
  <c r="EF164" i="25"/>
  <c r="EW164" i="25" s="1"/>
  <c r="EG199" i="25"/>
  <c r="EX199" i="25" s="1"/>
  <c r="EE199" i="25"/>
  <c r="EV199" i="25" s="1"/>
  <c r="EE25" i="25"/>
  <c r="EV25" i="25" s="1"/>
  <c r="EK110" i="24"/>
  <c r="EW110" i="24"/>
  <c r="FB110" i="24" s="1"/>
  <c r="EK5" i="24"/>
  <c r="EQ5" i="24" s="1"/>
  <c r="EW5" i="24"/>
  <c r="EZ5" i="24" s="1"/>
  <c r="FB5" i="24" s="1"/>
  <c r="EF194" i="25"/>
  <c r="EW194" i="25" s="1"/>
  <c r="EG23" i="25"/>
  <c r="EX23" i="25" s="1"/>
  <c r="EG87" i="25"/>
  <c r="EX87" i="25" s="1"/>
  <c r="EE34" i="25"/>
  <c r="EV34" i="25" s="1"/>
  <c r="EE47" i="25"/>
  <c r="EV47" i="25" s="1"/>
  <c r="EE42" i="25"/>
  <c r="EI42" i="25" s="1"/>
  <c r="EO42" i="25" s="1"/>
  <c r="EE83" i="25"/>
  <c r="EV83" i="25" s="1"/>
  <c r="EE129" i="25"/>
  <c r="EV129" i="25" s="1"/>
  <c r="EA71" i="24"/>
  <c r="EE156" i="25"/>
  <c r="EI156" i="25" s="1"/>
  <c r="EG156" i="25"/>
  <c r="EX156" i="25" s="1"/>
  <c r="EA55" i="24"/>
  <c r="EG178" i="25"/>
  <c r="EX178" i="25" s="1"/>
  <c r="EA186" i="24"/>
  <c r="EG83" i="25"/>
  <c r="EX83" i="25" s="1"/>
  <c r="EG137" i="25"/>
  <c r="EX137" i="25" s="1"/>
  <c r="EE137" i="25"/>
  <c r="EV137" i="25" s="1"/>
  <c r="EA142" i="24"/>
  <c r="EE141" i="25"/>
  <c r="EV141" i="25" s="1"/>
  <c r="EE81" i="25"/>
  <c r="EV81" i="25" s="1"/>
  <c r="EF156" i="25"/>
  <c r="EW156" i="25" s="1"/>
  <c r="EG81" i="25"/>
  <c r="EX81" i="25" s="1"/>
  <c r="EG194" i="25"/>
  <c r="EX194" i="25" s="1"/>
  <c r="EG141" i="25"/>
  <c r="EX141" i="25" s="1"/>
  <c r="EA199" i="24"/>
  <c r="EA136" i="24"/>
  <c r="EF141" i="25"/>
  <c r="EW141" i="25" s="1"/>
  <c r="EE194" i="25"/>
  <c r="EI194" i="25" s="1"/>
  <c r="EG42" i="25"/>
  <c r="EX42" i="25" s="1"/>
  <c r="EE173" i="25"/>
  <c r="EV173" i="25" s="1"/>
  <c r="EF173" i="25"/>
  <c r="EW173" i="25" s="1"/>
  <c r="EF42" i="25"/>
  <c r="EW42" i="25" s="1"/>
  <c r="EE171" i="25"/>
  <c r="EI171" i="25" s="1"/>
  <c r="EF178" i="25"/>
  <c r="EW178" i="25" s="1"/>
  <c r="EA111" i="24"/>
  <c r="EA48" i="24"/>
  <c r="EA67" i="24"/>
  <c r="EA160" i="24"/>
  <c r="EA30" i="24"/>
  <c r="EA104" i="24"/>
  <c r="EA170" i="24"/>
  <c r="EF111" i="25"/>
  <c r="EW111" i="25" s="1"/>
  <c r="EA83" i="24"/>
  <c r="FL83" i="24" s="1"/>
  <c r="EA14" i="24"/>
  <c r="FL14" i="24" s="1"/>
  <c r="EA147" i="24"/>
  <c r="EA132" i="24"/>
  <c r="EA192" i="24"/>
  <c r="EE178" i="25"/>
  <c r="EV178" i="25" s="1"/>
  <c r="EA124" i="24"/>
  <c r="EF169" i="25"/>
  <c r="EW169" i="25" s="1"/>
  <c r="EG180" i="25"/>
  <c r="EX180" i="25" s="1"/>
  <c r="EG169" i="25"/>
  <c r="EX169" i="25" s="1"/>
  <c r="EE180" i="25"/>
  <c r="EV180" i="25" s="1"/>
  <c r="EE169" i="25"/>
  <c r="EI169" i="25" s="1"/>
  <c r="EF180" i="25"/>
  <c r="EW180" i="25" s="1"/>
  <c r="EG129" i="25"/>
  <c r="EX129" i="25" s="1"/>
  <c r="EF9" i="25"/>
  <c r="EW9" i="25" s="1"/>
  <c r="EG9" i="25"/>
  <c r="EX9" i="25" s="1"/>
  <c r="EF34" i="25"/>
  <c r="EW34" i="25" s="1"/>
  <c r="EG111" i="25"/>
  <c r="EX111" i="25" s="1"/>
  <c r="EG25" i="25"/>
  <c r="EX25" i="25" s="1"/>
  <c r="EF129" i="25"/>
  <c r="EW129" i="25" s="1"/>
  <c r="EE111" i="25"/>
  <c r="EV111" i="25" s="1"/>
  <c r="EF87" i="25"/>
  <c r="EW87" i="25" s="1"/>
  <c r="EE23" i="25"/>
  <c r="EV23" i="25" s="1"/>
  <c r="EF23" i="25"/>
  <c r="EW23" i="25" s="1"/>
  <c r="EF49" i="25"/>
  <c r="EW49" i="25" s="1"/>
  <c r="EE9" i="25"/>
  <c r="EV9" i="25" s="1"/>
  <c r="EG49" i="25"/>
  <c r="EX49" i="25" s="1"/>
  <c r="EE49" i="25"/>
  <c r="EV49" i="25" s="1"/>
  <c r="EG34" i="25"/>
  <c r="EX34" i="25" s="1"/>
  <c r="EE87" i="25"/>
  <c r="EV87" i="25" s="1"/>
  <c r="EG94" i="25"/>
  <c r="EX94" i="25" s="1"/>
  <c r="EF94" i="25"/>
  <c r="EW94" i="25" s="1"/>
  <c r="EE94" i="25"/>
  <c r="EG196" i="25"/>
  <c r="EX196" i="25" s="1"/>
  <c r="EF196" i="25"/>
  <c r="EW196" i="25" s="1"/>
  <c r="EE196" i="25"/>
  <c r="EG118" i="25"/>
  <c r="EX118" i="25" s="1"/>
  <c r="EF118" i="25"/>
  <c r="EW118" i="25" s="1"/>
  <c r="EE118" i="25"/>
  <c r="EE147" i="25"/>
  <c r="EF147" i="25"/>
  <c r="EW147" i="25" s="1"/>
  <c r="EG147" i="25"/>
  <c r="EX147" i="25" s="1"/>
  <c r="EE154" i="25"/>
  <c r="EG154" i="25"/>
  <c r="EX154" i="25" s="1"/>
  <c r="EF154" i="25"/>
  <c r="EW154" i="25" s="1"/>
  <c r="EE62" i="25"/>
  <c r="EG62" i="25"/>
  <c r="EX62" i="25" s="1"/>
  <c r="EF62" i="25"/>
  <c r="EW62" i="25" s="1"/>
  <c r="EF86" i="25"/>
  <c r="EW86" i="25" s="1"/>
  <c r="EE86" i="25"/>
  <c r="EG86" i="25"/>
  <c r="EX86" i="25" s="1"/>
  <c r="EG174" i="25"/>
  <c r="EX174" i="25" s="1"/>
  <c r="EF174" i="25"/>
  <c r="EW174" i="25" s="1"/>
  <c r="EE174" i="25"/>
  <c r="EG160" i="25"/>
  <c r="EX160" i="25" s="1"/>
  <c r="EF160" i="25"/>
  <c r="EW160" i="25" s="1"/>
  <c r="EE160" i="25"/>
  <c r="EE115" i="25"/>
  <c r="EG115" i="25"/>
  <c r="EX115" i="25" s="1"/>
  <c r="EF115" i="25"/>
  <c r="EW115" i="25" s="1"/>
  <c r="EG144" i="25"/>
  <c r="EX144" i="25" s="1"/>
  <c r="EF144" i="25"/>
  <c r="EW144" i="25" s="1"/>
  <c r="EE144" i="25"/>
  <c r="EG187" i="25"/>
  <c r="EX187" i="25" s="1"/>
  <c r="EF187" i="25"/>
  <c r="EW187" i="25" s="1"/>
  <c r="EE187" i="25"/>
  <c r="EE146" i="25"/>
  <c r="EF146" i="25"/>
  <c r="EW146" i="25" s="1"/>
  <c r="EG146" i="25"/>
  <c r="EX146" i="25" s="1"/>
  <c r="EF59" i="25"/>
  <c r="EW59" i="25" s="1"/>
  <c r="EE59" i="25"/>
  <c r="EG59" i="25"/>
  <c r="EX59" i="25" s="1"/>
  <c r="EG18" i="25"/>
  <c r="EX18" i="25" s="1"/>
  <c r="EE18" i="25"/>
  <c r="EF18" i="25"/>
  <c r="EW18" i="25" s="1"/>
  <c r="EE209" i="25"/>
  <c r="EG209" i="25"/>
  <c r="EX209" i="25" s="1"/>
  <c r="EF209" i="25"/>
  <c r="EW209" i="25" s="1"/>
  <c r="EF125" i="25"/>
  <c r="EW125" i="25" s="1"/>
  <c r="EE125" i="25"/>
  <c r="EG125" i="25"/>
  <c r="EX125" i="25" s="1"/>
  <c r="EF207" i="25"/>
  <c r="EW207" i="25" s="1"/>
  <c r="EE207" i="25"/>
  <c r="EG207" i="25"/>
  <c r="EX207" i="25" s="1"/>
  <c r="EG119" i="25"/>
  <c r="EX119" i="25" s="1"/>
  <c r="EF119" i="25"/>
  <c r="EW119" i="25" s="1"/>
  <c r="EE119" i="25"/>
  <c r="EF161" i="25"/>
  <c r="EW161" i="25" s="1"/>
  <c r="EE161" i="25"/>
  <c r="EG161" i="25"/>
  <c r="EX161" i="25" s="1"/>
  <c r="EE66" i="25"/>
  <c r="EG66" i="25"/>
  <c r="EX66" i="25" s="1"/>
  <c r="EF66" i="25"/>
  <c r="EW66" i="25" s="1"/>
  <c r="EE177" i="25"/>
  <c r="EG177" i="25"/>
  <c r="EX177" i="25" s="1"/>
  <c r="EF177" i="25"/>
  <c r="EW177" i="25" s="1"/>
  <c r="EF140" i="25"/>
  <c r="EW140" i="25" s="1"/>
  <c r="EE140" i="25"/>
  <c r="EG140" i="25"/>
  <c r="EX140" i="25" s="1"/>
  <c r="EG188" i="25"/>
  <c r="EX188" i="25" s="1"/>
  <c r="EF188" i="25"/>
  <c r="EW188" i="25" s="1"/>
  <c r="EE188" i="25"/>
  <c r="EV138" i="25"/>
  <c r="FB138" i="25" s="1"/>
  <c r="EI138" i="25"/>
  <c r="EE12" i="25"/>
  <c r="EF12" i="25"/>
  <c r="EW12" i="25" s="1"/>
  <c r="EG12" i="25"/>
  <c r="EX12" i="25" s="1"/>
  <c r="EG69" i="25"/>
  <c r="EX69" i="25" s="1"/>
  <c r="EE69" i="25"/>
  <c r="EF69" i="25"/>
  <c r="EW69" i="25" s="1"/>
  <c r="EE149" i="25"/>
  <c r="EF149" i="25"/>
  <c r="EW149" i="25" s="1"/>
  <c r="EG149" i="25"/>
  <c r="EX149" i="25" s="1"/>
  <c r="EE162" i="25"/>
  <c r="EG162" i="25"/>
  <c r="EX162" i="25" s="1"/>
  <c r="EF162" i="25"/>
  <c r="EW162" i="25" s="1"/>
  <c r="EE78" i="25"/>
  <c r="EG78" i="25"/>
  <c r="EX78" i="25" s="1"/>
  <c r="EF78" i="25"/>
  <c r="EW78" i="25" s="1"/>
  <c r="EG6" i="25"/>
  <c r="EX6" i="25" s="1"/>
  <c r="EF6" i="25"/>
  <c r="EW6" i="25" s="1"/>
  <c r="EE6" i="25"/>
  <c r="EG123" i="25"/>
  <c r="EX123" i="25" s="1"/>
  <c r="EF123" i="25"/>
  <c r="EW123" i="25" s="1"/>
  <c r="EE123" i="25"/>
  <c r="EV181" i="25"/>
  <c r="FB181" i="25" s="1"/>
  <c r="EI181" i="25"/>
  <c r="EG163" i="25"/>
  <c r="EX163" i="25" s="1"/>
  <c r="EF163" i="25"/>
  <c r="EW163" i="25" s="1"/>
  <c r="EE163" i="25"/>
  <c r="EG27" i="25"/>
  <c r="EX27" i="25" s="1"/>
  <c r="EF27" i="25"/>
  <c r="EW27" i="25" s="1"/>
  <c r="EE27" i="25"/>
  <c r="EF40" i="25"/>
  <c r="EW40" i="25" s="1"/>
  <c r="EE40" i="25"/>
  <c r="EG40" i="25"/>
  <c r="EX40" i="25" s="1"/>
  <c r="EF191" i="25"/>
  <c r="EW191" i="25" s="1"/>
  <c r="EG191" i="25"/>
  <c r="EX191" i="25" s="1"/>
  <c r="EE191" i="25"/>
  <c r="EG51" i="25"/>
  <c r="EX51" i="25" s="1"/>
  <c r="EE51" i="25"/>
  <c r="EF51" i="25"/>
  <c r="EW51" i="25" s="1"/>
  <c r="EF63" i="25"/>
  <c r="EW63" i="25" s="1"/>
  <c r="EE63" i="25"/>
  <c r="EG63" i="25"/>
  <c r="EX63" i="25" s="1"/>
  <c r="EE110" i="25"/>
  <c r="EG110" i="25"/>
  <c r="EX110" i="25" s="1"/>
  <c r="EF110" i="25"/>
  <c r="EW110" i="25" s="1"/>
  <c r="EE150" i="25"/>
  <c r="EG150" i="25"/>
  <c r="EX150" i="25" s="1"/>
  <c r="EF150" i="25"/>
  <c r="EW150" i="25" s="1"/>
  <c r="EE186" i="25"/>
  <c r="EG186" i="25"/>
  <c r="EX186" i="25" s="1"/>
  <c r="EF186" i="25"/>
  <c r="EW186" i="25" s="1"/>
  <c r="EF120" i="25"/>
  <c r="EW120" i="25" s="1"/>
  <c r="EE120" i="25"/>
  <c r="EG120" i="25"/>
  <c r="EX120" i="25" s="1"/>
  <c r="EE104" i="25"/>
  <c r="EG104" i="25"/>
  <c r="EX104" i="25" s="1"/>
  <c r="EF104" i="25"/>
  <c r="EW104" i="25" s="1"/>
  <c r="EF8" i="25"/>
  <c r="EW8" i="25" s="1"/>
  <c r="EG8" i="25"/>
  <c r="EX8" i="25" s="1"/>
  <c r="EE8" i="25"/>
  <c r="EE55" i="25"/>
  <c r="EG55" i="25"/>
  <c r="EX55" i="25" s="1"/>
  <c r="EF55" i="25"/>
  <c r="EW55" i="25" s="1"/>
  <c r="EE41" i="25"/>
  <c r="EG41" i="25"/>
  <c r="EX41" i="25" s="1"/>
  <c r="EF41" i="25"/>
  <c r="EW41" i="25" s="1"/>
  <c r="EG151" i="25"/>
  <c r="EX151" i="25" s="1"/>
  <c r="EF151" i="25"/>
  <c r="EW151" i="25" s="1"/>
  <c r="EE151" i="25"/>
  <c r="EG208" i="25"/>
  <c r="EX208" i="25" s="1"/>
  <c r="EF208" i="25"/>
  <c r="EW208" i="25" s="1"/>
  <c r="EE208" i="25"/>
  <c r="EE159" i="25"/>
  <c r="EG159" i="25"/>
  <c r="EX159" i="25" s="1"/>
  <c r="EF159" i="25"/>
  <c r="EW159" i="25" s="1"/>
  <c r="EF43" i="25"/>
  <c r="EW43" i="25" s="1"/>
  <c r="EE43" i="25"/>
  <c r="EG43" i="25"/>
  <c r="EX43" i="25" s="1"/>
  <c r="EE13" i="25"/>
  <c r="EG13" i="25"/>
  <c r="EX13" i="25" s="1"/>
  <c r="EF13" i="25"/>
  <c r="EW13" i="25" s="1"/>
  <c r="EF26" i="25"/>
  <c r="EW26" i="25" s="1"/>
  <c r="EE26" i="25"/>
  <c r="EG26" i="25"/>
  <c r="EX26" i="25" s="1"/>
  <c r="EE21" i="25"/>
  <c r="EG21" i="25"/>
  <c r="EX21" i="25" s="1"/>
  <c r="EF21" i="25"/>
  <c r="EW21" i="25" s="1"/>
  <c r="EE175" i="25"/>
  <c r="EG175" i="25"/>
  <c r="EX175" i="25" s="1"/>
  <c r="EF175" i="25"/>
  <c r="EW175" i="25" s="1"/>
  <c r="EE82" i="25"/>
  <c r="EG82" i="25"/>
  <c r="EX82" i="25" s="1"/>
  <c r="EF82" i="25"/>
  <c r="EW82" i="25" s="1"/>
  <c r="EF176" i="25"/>
  <c r="EW176" i="25" s="1"/>
  <c r="EE176" i="25"/>
  <c r="EG176" i="25"/>
  <c r="EX176" i="25" s="1"/>
  <c r="EF121" i="25"/>
  <c r="EW121" i="25" s="1"/>
  <c r="EE121" i="25"/>
  <c r="EG121" i="25"/>
  <c r="EX121" i="25" s="1"/>
  <c r="EE195" i="25"/>
  <c r="EG195" i="25"/>
  <c r="EX195" i="25" s="1"/>
  <c r="EF195" i="25"/>
  <c r="EW195" i="25" s="1"/>
  <c r="EF24" i="25"/>
  <c r="EW24" i="25" s="1"/>
  <c r="EE24" i="25"/>
  <c r="EG24" i="25"/>
  <c r="EX24" i="25" s="1"/>
  <c r="EG189" i="25"/>
  <c r="EX189" i="25" s="1"/>
  <c r="EF189" i="25"/>
  <c r="EW189" i="25" s="1"/>
  <c r="EE189" i="25"/>
  <c r="EV143" i="25"/>
  <c r="FB143" i="25" s="1"/>
  <c r="EI143" i="25"/>
  <c r="EF57" i="25"/>
  <c r="EW57" i="25" s="1"/>
  <c r="EG57" i="25"/>
  <c r="EX57" i="25" s="1"/>
  <c r="EE57" i="25"/>
  <c r="EE124" i="25"/>
  <c r="EG124" i="25"/>
  <c r="EX124" i="25" s="1"/>
  <c r="EF124" i="25"/>
  <c r="EW124" i="25" s="1"/>
  <c r="EF126" i="25"/>
  <c r="EW126" i="25" s="1"/>
  <c r="EG126" i="25"/>
  <c r="EX126" i="25" s="1"/>
  <c r="EE126" i="25"/>
  <c r="EG135" i="25"/>
  <c r="EX135" i="25" s="1"/>
  <c r="EF135" i="25"/>
  <c r="EW135" i="25" s="1"/>
  <c r="EE135" i="25"/>
  <c r="EF79" i="25"/>
  <c r="EW79" i="25" s="1"/>
  <c r="EG79" i="25"/>
  <c r="EX79" i="25" s="1"/>
  <c r="EE79" i="25"/>
  <c r="EE31" i="25"/>
  <c r="EG31" i="25"/>
  <c r="EX31" i="25" s="1"/>
  <c r="EF31" i="25"/>
  <c r="EW31" i="25" s="1"/>
  <c r="EE105" i="25"/>
  <c r="EG105" i="25"/>
  <c r="EX105" i="25" s="1"/>
  <c r="EF105" i="25"/>
  <c r="EW105" i="25" s="1"/>
  <c r="EF11" i="25"/>
  <c r="EW11" i="25" s="1"/>
  <c r="EE11" i="25"/>
  <c r="EG11" i="25"/>
  <c r="EX11" i="25" s="1"/>
  <c r="EG84" i="25"/>
  <c r="EX84" i="25" s="1"/>
  <c r="EF84" i="25"/>
  <c r="EW84" i="25" s="1"/>
  <c r="EE84" i="25"/>
  <c r="EG133" i="25"/>
  <c r="EX133" i="25" s="1"/>
  <c r="EF133" i="25"/>
  <c r="EW133" i="25" s="1"/>
  <c r="EE133" i="25"/>
  <c r="EG19" i="25"/>
  <c r="EX19" i="25" s="1"/>
  <c r="EF19" i="25"/>
  <c r="EW19" i="25" s="1"/>
  <c r="EE19" i="25"/>
  <c r="EE50" i="25"/>
  <c r="EG50" i="25"/>
  <c r="EX50" i="25" s="1"/>
  <c r="EF50" i="25"/>
  <c r="EW50" i="25" s="1"/>
  <c r="EF71" i="25"/>
  <c r="EW71" i="25" s="1"/>
  <c r="EE71" i="25"/>
  <c r="EG71" i="25"/>
  <c r="EX71" i="25" s="1"/>
  <c r="EF10" i="25"/>
  <c r="EW10" i="25" s="1"/>
  <c r="EE10" i="25"/>
  <c r="EG10" i="25"/>
  <c r="EX10" i="25" s="1"/>
  <c r="EF46" i="25"/>
  <c r="EW46" i="25" s="1"/>
  <c r="EE46" i="25"/>
  <c r="EG46" i="25"/>
  <c r="EX46" i="25" s="1"/>
  <c r="EF155" i="25"/>
  <c r="EW155" i="25" s="1"/>
  <c r="EE155" i="25"/>
  <c r="EG155" i="25"/>
  <c r="EX155" i="25" s="1"/>
  <c r="EG28" i="25"/>
  <c r="EX28" i="25" s="1"/>
  <c r="EF28" i="25"/>
  <c r="EW28" i="25" s="1"/>
  <c r="EE28" i="25"/>
  <c r="EG15" i="25"/>
  <c r="EX15" i="25" s="1"/>
  <c r="EF15" i="25"/>
  <c r="EW15" i="25" s="1"/>
  <c r="EE15" i="25"/>
  <c r="EE202" i="25"/>
  <c r="EG202" i="25"/>
  <c r="EX202" i="25" s="1"/>
  <c r="EF202" i="25"/>
  <c r="EW202" i="25" s="1"/>
  <c r="EF7" i="25"/>
  <c r="EW7" i="25" s="1"/>
  <c r="EE7" i="25"/>
  <c r="EG7" i="25"/>
  <c r="EX7" i="25" s="1"/>
  <c r="EE14" i="25"/>
  <c r="EG14" i="25"/>
  <c r="EX14" i="25" s="1"/>
  <c r="EF14" i="25"/>
  <c r="EW14" i="25" s="1"/>
  <c r="EE205" i="25"/>
  <c r="EG205" i="25"/>
  <c r="EX205" i="25" s="1"/>
  <c r="EF205" i="25"/>
  <c r="EW205" i="25" s="1"/>
  <c r="EE116" i="25"/>
  <c r="EG116" i="25"/>
  <c r="EX116" i="25" s="1"/>
  <c r="EF116" i="25"/>
  <c r="EW116" i="25" s="1"/>
  <c r="EE88" i="25"/>
  <c r="EG88" i="25"/>
  <c r="EX88" i="25" s="1"/>
  <c r="EF88" i="25"/>
  <c r="EW88" i="25" s="1"/>
  <c r="EG142" i="25"/>
  <c r="EX142" i="25" s="1"/>
  <c r="EF142" i="25"/>
  <c r="EW142" i="25" s="1"/>
  <c r="EE142" i="25"/>
  <c r="EE193" i="25"/>
  <c r="EG193" i="25"/>
  <c r="EX193" i="25" s="1"/>
  <c r="EF193" i="25"/>
  <c r="EW193" i="25" s="1"/>
  <c r="EG75" i="25"/>
  <c r="EX75" i="25" s="1"/>
  <c r="EE75" i="25"/>
  <c r="EF75" i="25"/>
  <c r="EW75" i="25" s="1"/>
  <c r="EF190" i="25"/>
  <c r="EW190" i="25" s="1"/>
  <c r="EG190" i="25"/>
  <c r="EX190" i="25" s="1"/>
  <c r="EE190" i="25"/>
  <c r="EF29" i="25"/>
  <c r="EW29" i="25" s="1"/>
  <c r="EE29" i="25"/>
  <c r="EG29" i="25"/>
  <c r="EX29" i="25" s="1"/>
  <c r="EF35" i="25"/>
  <c r="EW35" i="25" s="1"/>
  <c r="EE35" i="25"/>
  <c r="EG35" i="25"/>
  <c r="EX35" i="25" s="1"/>
  <c r="EF92" i="25"/>
  <c r="EW92" i="25" s="1"/>
  <c r="EE92" i="25"/>
  <c r="EG92" i="25"/>
  <c r="EX92" i="25" s="1"/>
  <c r="EF114" i="25"/>
  <c r="EW114" i="25" s="1"/>
  <c r="EE114" i="25"/>
  <c r="EG114" i="25"/>
  <c r="EX114" i="25" s="1"/>
  <c r="EG166" i="25"/>
  <c r="EX166" i="25" s="1"/>
  <c r="EF166" i="25"/>
  <c r="EW166" i="25" s="1"/>
  <c r="EE166" i="25"/>
  <c r="EF206" i="25"/>
  <c r="EW206" i="25" s="1"/>
  <c r="EG206" i="25"/>
  <c r="EX206" i="25" s="1"/>
  <c r="EE206" i="25"/>
  <c r="EF203" i="25"/>
  <c r="EW203" i="25" s="1"/>
  <c r="EE203" i="25"/>
  <c r="EG203" i="25"/>
  <c r="EX203" i="25" s="1"/>
  <c r="EF76" i="25"/>
  <c r="EW76" i="25" s="1"/>
  <c r="EE76" i="25"/>
  <c r="EG76" i="25"/>
  <c r="EX76" i="25" s="1"/>
  <c r="EF36" i="25"/>
  <c r="EW36" i="25" s="1"/>
  <c r="EE36" i="25"/>
  <c r="EG36" i="25"/>
  <c r="EX36" i="25" s="1"/>
  <c r="EG134" i="25"/>
  <c r="EX134" i="25" s="1"/>
  <c r="EE134" i="25"/>
  <c r="EF134" i="25"/>
  <c r="EW134" i="25" s="1"/>
  <c r="EG152" i="25"/>
  <c r="EX152" i="25" s="1"/>
  <c r="EF152" i="25"/>
  <c r="EW152" i="25" s="1"/>
  <c r="EE152" i="25"/>
  <c r="EP182" i="25"/>
  <c r="EE170" i="25"/>
  <c r="EG170" i="25"/>
  <c r="EX170" i="25" s="1"/>
  <c r="EF170" i="25"/>
  <c r="EW170" i="25" s="1"/>
  <c r="EG85" i="25"/>
  <c r="EX85" i="25" s="1"/>
  <c r="EE85" i="25"/>
  <c r="EF85" i="25"/>
  <c r="EW85" i="25" s="1"/>
  <c r="EE168" i="25"/>
  <c r="EG168" i="25"/>
  <c r="EX168" i="25" s="1"/>
  <c r="EF168" i="25"/>
  <c r="EW168" i="25" s="1"/>
  <c r="EE184" i="25"/>
  <c r="EF184" i="25"/>
  <c r="EW184" i="25" s="1"/>
  <c r="EG184" i="25"/>
  <c r="EX184" i="25" s="1"/>
  <c r="EE16" i="25"/>
  <c r="EF16" i="25"/>
  <c r="EW16" i="25" s="1"/>
  <c r="EG16" i="25"/>
  <c r="EX16" i="25" s="1"/>
  <c r="EE167" i="25"/>
  <c r="EG167" i="25"/>
  <c r="EX167" i="25" s="1"/>
  <c r="EF167" i="25"/>
  <c r="EW167" i="25" s="1"/>
  <c r="EG210" i="25"/>
  <c r="EX210" i="25" s="1"/>
  <c r="EF210" i="25"/>
  <c r="EW210" i="25" s="1"/>
  <c r="EE210" i="25"/>
  <c r="EG165" i="25"/>
  <c r="EX165" i="25" s="1"/>
  <c r="EF165" i="25"/>
  <c r="EW165" i="25" s="1"/>
  <c r="EE165" i="25"/>
  <c r="EF30" i="25"/>
  <c r="EW30" i="25" s="1"/>
  <c r="EE30" i="25"/>
  <c r="EG30" i="25"/>
  <c r="EX30" i="25" s="1"/>
  <c r="EG157" i="25"/>
  <c r="EX157" i="25" s="1"/>
  <c r="EF157" i="25"/>
  <c r="EW157" i="25" s="1"/>
  <c r="EE157" i="25"/>
  <c r="EG117" i="25"/>
  <c r="EX117" i="25" s="1"/>
  <c r="EF117" i="25"/>
  <c r="EW117" i="25" s="1"/>
  <c r="EE117" i="25"/>
  <c r="EG122" i="25"/>
  <c r="EX122" i="25" s="1"/>
  <c r="EE122" i="25"/>
  <c r="EF122" i="25"/>
  <c r="EW122" i="25" s="1"/>
  <c r="EF22" i="25"/>
  <c r="EW22" i="25" s="1"/>
  <c r="EE22" i="25"/>
  <c r="EG22" i="25"/>
  <c r="EX22" i="25" s="1"/>
  <c r="EF204" i="25"/>
  <c r="EW204" i="25" s="1"/>
  <c r="EE204" i="25"/>
  <c r="EG204" i="25"/>
  <c r="EX204" i="25" s="1"/>
  <c r="EF98" i="25"/>
  <c r="EW98" i="25" s="1"/>
  <c r="EG98" i="25"/>
  <c r="EX98" i="25" s="1"/>
  <c r="EE98" i="25"/>
  <c r="EF100" i="25"/>
  <c r="EW100" i="25" s="1"/>
  <c r="EE100" i="25"/>
  <c r="EG100" i="25"/>
  <c r="EX100" i="25" s="1"/>
  <c r="EG39" i="25"/>
  <c r="EX39" i="25" s="1"/>
  <c r="EE39" i="25"/>
  <c r="EF39" i="25"/>
  <c r="EW39" i="25" s="1"/>
  <c r="EF153" i="25"/>
  <c r="EW153" i="25" s="1"/>
  <c r="EE153" i="25"/>
  <c r="EG153" i="25"/>
  <c r="EX153" i="25" s="1"/>
  <c r="EE130" i="25"/>
  <c r="EG130" i="25"/>
  <c r="EX130" i="25" s="1"/>
  <c r="EF130" i="25"/>
  <c r="EW130" i="25" s="1"/>
  <c r="EF52" i="25"/>
  <c r="EW52" i="25" s="1"/>
  <c r="EE52" i="25"/>
  <c r="EG52" i="25"/>
  <c r="EX52" i="25" s="1"/>
  <c r="EE72" i="25"/>
  <c r="EF72" i="25"/>
  <c r="EW72" i="25" s="1"/>
  <c r="EG72" i="25"/>
  <c r="EX72" i="25" s="1"/>
  <c r="EF45" i="25"/>
  <c r="EW45" i="25" s="1"/>
  <c r="EE45" i="25"/>
  <c r="EG45" i="25"/>
  <c r="EX45" i="25" s="1"/>
  <c r="EE198" i="25"/>
  <c r="EF198" i="25"/>
  <c r="EW198" i="25" s="1"/>
  <c r="EG198" i="25"/>
  <c r="EX198" i="25" s="1"/>
  <c r="EE60" i="25"/>
  <c r="EG60" i="25"/>
  <c r="EX60" i="25" s="1"/>
  <c r="EF60" i="25"/>
  <c r="EW60" i="25" s="1"/>
  <c r="EF201" i="25"/>
  <c r="EW201" i="25" s="1"/>
  <c r="EE201" i="25"/>
  <c r="EG201" i="25"/>
  <c r="EX201" i="25" s="1"/>
  <c r="EG179" i="25"/>
  <c r="EX179" i="25" s="1"/>
  <c r="EE179" i="25"/>
  <c r="EF179" i="25"/>
  <c r="EW179" i="25" s="1"/>
  <c r="EG53" i="25"/>
  <c r="EX53" i="25" s="1"/>
  <c r="EF53" i="25"/>
  <c r="EW53" i="25" s="1"/>
  <c r="EE53" i="25"/>
  <c r="EF200" i="25"/>
  <c r="EW200" i="25" s="1"/>
  <c r="EE200" i="25"/>
  <c r="EG200" i="25"/>
  <c r="EX200" i="25" s="1"/>
  <c r="EF139" i="25"/>
  <c r="EW139" i="25" s="1"/>
  <c r="EE139" i="25"/>
  <c r="EG139" i="25"/>
  <c r="EX139" i="25" s="1"/>
  <c r="EG113" i="25"/>
  <c r="EX113" i="25" s="1"/>
  <c r="EF113" i="25"/>
  <c r="EW113" i="25" s="1"/>
  <c r="EE113" i="25"/>
  <c r="EE172" i="25"/>
  <c r="EG172" i="25"/>
  <c r="EX172" i="25" s="1"/>
  <c r="EF172" i="25"/>
  <c r="EW172" i="25" s="1"/>
  <c r="EF91" i="25"/>
  <c r="EW91" i="25" s="1"/>
  <c r="EE91" i="25"/>
  <c r="EG91" i="25"/>
  <c r="EX91" i="25" s="1"/>
  <c r="EE68" i="25"/>
  <c r="EF68" i="25"/>
  <c r="EW68" i="25" s="1"/>
  <c r="EG68" i="25"/>
  <c r="EX68" i="25" s="1"/>
  <c r="EG132" i="25"/>
  <c r="EX132" i="25" s="1"/>
  <c r="EE132" i="25"/>
  <c r="EF132" i="25"/>
  <c r="EW132" i="25" s="1"/>
  <c r="EF65" i="25"/>
  <c r="EW65" i="25" s="1"/>
  <c r="EE65" i="25"/>
  <c r="EG65" i="25"/>
  <c r="EX65" i="25" s="1"/>
  <c r="EE101" i="25"/>
  <c r="EG101" i="25"/>
  <c r="EX101" i="25" s="1"/>
  <c r="EF101" i="25"/>
  <c r="EW101" i="25" s="1"/>
  <c r="EG197" i="25"/>
  <c r="EX197" i="25" s="1"/>
  <c r="EE197" i="25"/>
  <c r="EF197" i="25"/>
  <c r="EW197" i="25" s="1"/>
  <c r="EG102" i="25"/>
  <c r="EX102" i="25" s="1"/>
  <c r="EE102" i="25"/>
  <c r="EF102" i="25"/>
  <c r="EW102" i="25" s="1"/>
  <c r="EE48" i="25"/>
  <c r="EG48" i="25"/>
  <c r="EX48" i="25" s="1"/>
  <c r="EF48" i="25"/>
  <c r="EW48" i="25" s="1"/>
  <c r="EF67" i="25"/>
  <c r="EW67" i="25" s="1"/>
  <c r="EE67" i="25"/>
  <c r="EG67" i="25"/>
  <c r="EX67" i="25" s="1"/>
  <c r="EG70" i="25"/>
  <c r="EX70" i="25" s="1"/>
  <c r="EE70" i="25"/>
  <c r="EF70" i="25"/>
  <c r="EW70" i="25" s="1"/>
  <c r="EF148" i="25"/>
  <c r="EW148" i="25" s="1"/>
  <c r="EG148" i="25"/>
  <c r="EX148" i="25" s="1"/>
  <c r="EE148" i="25"/>
  <c r="EF38" i="25"/>
  <c r="EW38" i="25" s="1"/>
  <c r="EE38" i="25"/>
  <c r="EG38" i="25"/>
  <c r="EX38" i="25" s="1"/>
  <c r="EF192" i="25"/>
  <c r="EW192" i="25" s="1"/>
  <c r="EE192" i="25"/>
  <c r="EG192" i="25"/>
  <c r="EX192" i="25" s="1"/>
  <c r="EF32" i="25"/>
  <c r="EW32" i="25" s="1"/>
  <c r="EE32" i="25"/>
  <c r="EG32" i="25"/>
  <c r="EX32" i="25" s="1"/>
  <c r="EF61" i="25"/>
  <c r="EW61" i="25" s="1"/>
  <c r="EG61" i="25"/>
  <c r="EX61" i="25" s="1"/>
  <c r="EE61" i="25"/>
  <c r="EF80" i="25"/>
  <c r="EW80" i="25" s="1"/>
  <c r="EE80" i="25"/>
  <c r="EG80" i="25"/>
  <c r="EX80" i="25" s="1"/>
  <c r="EE54" i="25"/>
  <c r="EG54" i="25"/>
  <c r="EX54" i="25" s="1"/>
  <c r="EF54" i="25"/>
  <c r="EW54" i="25" s="1"/>
  <c r="EF44" i="25"/>
  <c r="EW44" i="25" s="1"/>
  <c r="EE44" i="25"/>
  <c r="EG44" i="25"/>
  <c r="EX44" i="25" s="1"/>
  <c r="EG127" i="25"/>
  <c r="EX127" i="25" s="1"/>
  <c r="EF127" i="25"/>
  <c r="EW127" i="25" s="1"/>
  <c r="EE127" i="25"/>
  <c r="EG20" i="25"/>
  <c r="EX20" i="25" s="1"/>
  <c r="EF20" i="25"/>
  <c r="EW20" i="25" s="1"/>
  <c r="EE20" i="25"/>
  <c r="EA40" i="24"/>
  <c r="EA152" i="24"/>
  <c r="EA13" i="24"/>
  <c r="EA99" i="24"/>
  <c r="EA29" i="24"/>
  <c r="EA62" i="24"/>
  <c r="EA10" i="24"/>
  <c r="EA77" i="24"/>
  <c r="EA43" i="24"/>
  <c r="EA134" i="24"/>
  <c r="FL134" i="24" s="1"/>
  <c r="EA23" i="24"/>
  <c r="EA81" i="24"/>
  <c r="FL81" i="24" s="1"/>
  <c r="EA201" i="24"/>
  <c r="EA159" i="24"/>
  <c r="DY6" i="24"/>
  <c r="EF6" i="24" s="1"/>
  <c r="EA6" i="24"/>
  <c r="DY245" i="24"/>
  <c r="EF245" i="24" s="1"/>
  <c r="EA245" i="24"/>
  <c r="EA128" i="24"/>
  <c r="DY141" i="24"/>
  <c r="EF141" i="24" s="1"/>
  <c r="EA141" i="24"/>
  <c r="DY28" i="24"/>
  <c r="EF28" i="24" s="1"/>
  <c r="EA28" i="24"/>
  <c r="DY282" i="24"/>
  <c r="EF282" i="24" s="1"/>
  <c r="EA282" i="24"/>
  <c r="EA174" i="24"/>
  <c r="EA26" i="24"/>
  <c r="DY32" i="24"/>
  <c r="EF32" i="24" s="1"/>
  <c r="EA32" i="24"/>
  <c r="DY31" i="24"/>
  <c r="EF31" i="24" s="1"/>
  <c r="EA31" i="24"/>
  <c r="EA123" i="24"/>
  <c r="DY299" i="24"/>
  <c r="EF299" i="24" s="1"/>
  <c r="EA299" i="24"/>
  <c r="DY290" i="24"/>
  <c r="EF290" i="24" s="1"/>
  <c r="EA290" i="24"/>
  <c r="DY69" i="24"/>
  <c r="EF69" i="24" s="1"/>
  <c r="EA69" i="24"/>
  <c r="DY95" i="24"/>
  <c r="EF95" i="24" s="1"/>
  <c r="EA95" i="24"/>
  <c r="DY225" i="24"/>
  <c r="EF225" i="24" s="1"/>
  <c r="EA225" i="24"/>
  <c r="DY316" i="24"/>
  <c r="EF316" i="24" s="1"/>
  <c r="EA316" i="24"/>
  <c r="DY251" i="24"/>
  <c r="EF251" i="24" s="1"/>
  <c r="EA251" i="24"/>
  <c r="DY257" i="24"/>
  <c r="EF257" i="24" s="1"/>
  <c r="EA257" i="24"/>
  <c r="DY304" i="24"/>
  <c r="EF304" i="24" s="1"/>
  <c r="EA304" i="24"/>
  <c r="DY168" i="24"/>
  <c r="EF168" i="24" s="1"/>
  <c r="EA168" i="24"/>
  <c r="DY146" i="24"/>
  <c r="EF146" i="24" s="1"/>
  <c r="EA146" i="24"/>
  <c r="DY19" i="24"/>
  <c r="EF19" i="24" s="1"/>
  <c r="EA19" i="24"/>
  <c r="DY182" i="24"/>
  <c r="EF182" i="24" s="1"/>
  <c r="EA182" i="24"/>
  <c r="DY226" i="24"/>
  <c r="EF226" i="24" s="1"/>
  <c r="EA226" i="24"/>
  <c r="DY227" i="24"/>
  <c r="EF227" i="24" s="1"/>
  <c r="EA227" i="24"/>
  <c r="DY85" i="24"/>
  <c r="EF85" i="24" s="1"/>
  <c r="EA85" i="24"/>
  <c r="DY51" i="24"/>
  <c r="EF51" i="24" s="1"/>
  <c r="EA51" i="24"/>
  <c r="DY261" i="24"/>
  <c r="EF261" i="24" s="1"/>
  <c r="EA261" i="24"/>
  <c r="DY195" i="24"/>
  <c r="EF195" i="24" s="1"/>
  <c r="EA195" i="24"/>
  <c r="DY20" i="24"/>
  <c r="EF20" i="24" s="1"/>
  <c r="EA20" i="24"/>
  <c r="DY279" i="24"/>
  <c r="EF279" i="24" s="1"/>
  <c r="EA279" i="24"/>
  <c r="DY93" i="24"/>
  <c r="EF93" i="24" s="1"/>
  <c r="EA93" i="24"/>
  <c r="EA209" i="24"/>
  <c r="EA177" i="24"/>
  <c r="DY269" i="24"/>
  <c r="EF269" i="24" s="1"/>
  <c r="EA269" i="24"/>
  <c r="DY148" i="24"/>
  <c r="EF148" i="24" s="1"/>
  <c r="EA148" i="24"/>
  <c r="EA41" i="24"/>
  <c r="EA53" i="24"/>
  <c r="EA114" i="24"/>
  <c r="EA202" i="24"/>
  <c r="EA161" i="24"/>
  <c r="DY137" i="24"/>
  <c r="EF137" i="24" s="1"/>
  <c r="EA137" i="24"/>
  <c r="DY234" i="24"/>
  <c r="EF234" i="24" s="1"/>
  <c r="EA234" i="24"/>
  <c r="DY249" i="24"/>
  <c r="EF249" i="24" s="1"/>
  <c r="EA249" i="24"/>
  <c r="DY206" i="24"/>
  <c r="EF206" i="24" s="1"/>
  <c r="EA206" i="24"/>
  <c r="DY295" i="24"/>
  <c r="EF295" i="24" s="1"/>
  <c r="EA295" i="24"/>
  <c r="DY256" i="24"/>
  <c r="EF256" i="24" s="1"/>
  <c r="EA256" i="24"/>
  <c r="DY223" i="24"/>
  <c r="EF223" i="24" s="1"/>
  <c r="EA223" i="24"/>
  <c r="DY139" i="24"/>
  <c r="EF139" i="24" s="1"/>
  <c r="EA139" i="24"/>
  <c r="DY179" i="24"/>
  <c r="EF179" i="24" s="1"/>
  <c r="EA179" i="24"/>
  <c r="DY260" i="24"/>
  <c r="EF260" i="24" s="1"/>
  <c r="EA260" i="24"/>
  <c r="DY258" i="24"/>
  <c r="EF258" i="24" s="1"/>
  <c r="EA258" i="24"/>
  <c r="EA122" i="24"/>
  <c r="DY73" i="24"/>
  <c r="EF73" i="24" s="1"/>
  <c r="EA73" i="24"/>
  <c r="DY16" i="24"/>
  <c r="EF16" i="24" s="1"/>
  <c r="EA16" i="24"/>
  <c r="DY21" i="24"/>
  <c r="EF21" i="24" s="1"/>
  <c r="EA21" i="24"/>
  <c r="DY289" i="24"/>
  <c r="EF289" i="24" s="1"/>
  <c r="EA289" i="24"/>
  <c r="DY270" i="24"/>
  <c r="EF270" i="24" s="1"/>
  <c r="EA270" i="24"/>
  <c r="DY222" i="24"/>
  <c r="EF222" i="24" s="1"/>
  <c r="EA222" i="24"/>
  <c r="EA197" i="24"/>
  <c r="EA185" i="24"/>
  <c r="DY276" i="24"/>
  <c r="EF276" i="24" s="1"/>
  <c r="EA276" i="24"/>
  <c r="DY156" i="24"/>
  <c r="EF156" i="24" s="1"/>
  <c r="EA156" i="24"/>
  <c r="DY229" i="24"/>
  <c r="EF229" i="24" s="1"/>
  <c r="EA229" i="24"/>
  <c r="DY300" i="24"/>
  <c r="EF300" i="24" s="1"/>
  <c r="EA300" i="24"/>
  <c r="EA50" i="24"/>
  <c r="DY9" i="24"/>
  <c r="EF9" i="24" s="1"/>
  <c r="EA9" i="24"/>
  <c r="DY84" i="24"/>
  <c r="EF84" i="24" s="1"/>
  <c r="EA84" i="24"/>
  <c r="DY22" i="24"/>
  <c r="EF22" i="24" s="1"/>
  <c r="EA22" i="24"/>
  <c r="DY58" i="24"/>
  <c r="EF58" i="24" s="1"/>
  <c r="EA58" i="24"/>
  <c r="DY306" i="24"/>
  <c r="EF306" i="24" s="1"/>
  <c r="EA306" i="24"/>
  <c r="DY102" i="24"/>
  <c r="EF102" i="24" s="1"/>
  <c r="EA102" i="24"/>
  <c r="DY307" i="24"/>
  <c r="EF307" i="24" s="1"/>
  <c r="EA307" i="24"/>
  <c r="EA145" i="24"/>
  <c r="DY238" i="24"/>
  <c r="EF238" i="24" s="1"/>
  <c r="EA238" i="24"/>
  <c r="DY151" i="24"/>
  <c r="EF151" i="24" s="1"/>
  <c r="EA151" i="24"/>
  <c r="DY305" i="24"/>
  <c r="EF305" i="24" s="1"/>
  <c r="EA305" i="24"/>
  <c r="DY228" i="24"/>
  <c r="EF228" i="24" s="1"/>
  <c r="EA228" i="24"/>
  <c r="DY292" i="24"/>
  <c r="EF292" i="24" s="1"/>
  <c r="EA292" i="24"/>
  <c r="DY188" i="24"/>
  <c r="EF188" i="24" s="1"/>
  <c r="EA188" i="24"/>
  <c r="DY15" i="24"/>
  <c r="EF15" i="24" s="1"/>
  <c r="EA15" i="24"/>
  <c r="EA167" i="24"/>
  <c r="EA61" i="24"/>
  <c r="DY246" i="24"/>
  <c r="EF246" i="24" s="1"/>
  <c r="EA246" i="24"/>
  <c r="EH190" i="24"/>
  <c r="EC190" i="24"/>
  <c r="ED190" i="24" s="1"/>
  <c r="EI190" i="24"/>
  <c r="EX190" i="24" s="1"/>
  <c r="EA100" i="24"/>
  <c r="DY11" i="24"/>
  <c r="EF11" i="24" s="1"/>
  <c r="EA11" i="24"/>
  <c r="DY235" i="24"/>
  <c r="EF235" i="24" s="1"/>
  <c r="EA235" i="24"/>
  <c r="DY239" i="24"/>
  <c r="EF239" i="24" s="1"/>
  <c r="EA239" i="24"/>
  <c r="EA158" i="24"/>
  <c r="DY217" i="24"/>
  <c r="EF217" i="24" s="1"/>
  <c r="EA217" i="24"/>
  <c r="EA54" i="24"/>
  <c r="DY76" i="24"/>
  <c r="EF76" i="24" s="1"/>
  <c r="EA76" i="24"/>
  <c r="DY255" i="24"/>
  <c r="EF255" i="24" s="1"/>
  <c r="EA255" i="24"/>
  <c r="DY278" i="24"/>
  <c r="EF278" i="24" s="1"/>
  <c r="EA278" i="24"/>
  <c r="DY247" i="24"/>
  <c r="EF247" i="24" s="1"/>
  <c r="EA247" i="24"/>
  <c r="DY232" i="24"/>
  <c r="EF232" i="24" s="1"/>
  <c r="EA232" i="24"/>
  <c r="DY259" i="24"/>
  <c r="EF259" i="24" s="1"/>
  <c r="EA259" i="24"/>
  <c r="DY97" i="24"/>
  <c r="EF97" i="24" s="1"/>
  <c r="EA97" i="24"/>
  <c r="DY224" i="24"/>
  <c r="EF224" i="24" s="1"/>
  <c r="EA224" i="24"/>
  <c r="EA155" i="24"/>
  <c r="DY189" i="24"/>
  <c r="EF189" i="24" s="1"/>
  <c r="EA189" i="24"/>
  <c r="DY117" i="24"/>
  <c r="EF117" i="24" s="1"/>
  <c r="EA117" i="24"/>
  <c r="DY27" i="24"/>
  <c r="EF27" i="24" s="1"/>
  <c r="EA27" i="24"/>
  <c r="DY273" i="24"/>
  <c r="EF273" i="24" s="1"/>
  <c r="EA273" i="24"/>
  <c r="DY218" i="24"/>
  <c r="EF218" i="24" s="1"/>
  <c r="EA218" i="24"/>
  <c r="EA173" i="24"/>
  <c r="EA80" i="24"/>
  <c r="DY296" i="24"/>
  <c r="EF296" i="24" s="1"/>
  <c r="EA296" i="24"/>
  <c r="DY241" i="24"/>
  <c r="EF241" i="24" s="1"/>
  <c r="EA241" i="24"/>
  <c r="DY82" i="24"/>
  <c r="EF82" i="24" s="1"/>
  <c r="EA82" i="24"/>
  <c r="DY194" i="24"/>
  <c r="EF194" i="24" s="1"/>
  <c r="EA194" i="24"/>
  <c r="DY88" i="24"/>
  <c r="EF88" i="24" s="1"/>
  <c r="EA88" i="24"/>
  <c r="DY264" i="24"/>
  <c r="EF264" i="24" s="1"/>
  <c r="EA264" i="24"/>
  <c r="DY301" i="24"/>
  <c r="EF301" i="24" s="1"/>
  <c r="EA301" i="24"/>
  <c r="DY252" i="24"/>
  <c r="EF252" i="24" s="1"/>
  <c r="EA252" i="24"/>
  <c r="EA103" i="24"/>
  <c r="DY87" i="24"/>
  <c r="EF87" i="24" s="1"/>
  <c r="EA87" i="24"/>
  <c r="DY120" i="24"/>
  <c r="EF120" i="24" s="1"/>
  <c r="EA120" i="24"/>
  <c r="DY143" i="24"/>
  <c r="EF143" i="24" s="1"/>
  <c r="EA143" i="24"/>
  <c r="DY287" i="24"/>
  <c r="EF287" i="24" s="1"/>
  <c r="EA287" i="24"/>
  <c r="DY262" i="24"/>
  <c r="EF262" i="24" s="1"/>
  <c r="EA262" i="24"/>
  <c r="DY57" i="24"/>
  <c r="EF57" i="24" s="1"/>
  <c r="EA57" i="24"/>
  <c r="EA98" i="24"/>
  <c r="DY105" i="24"/>
  <c r="EF105" i="24" s="1"/>
  <c r="EA105" i="24"/>
  <c r="EA157" i="24"/>
  <c r="EA42" i="24"/>
  <c r="DY310" i="24"/>
  <c r="EF310" i="24" s="1"/>
  <c r="EA310" i="24"/>
  <c r="DY176" i="24"/>
  <c r="EF176" i="24" s="1"/>
  <c r="EA176" i="24"/>
  <c r="DY200" i="24"/>
  <c r="EF200" i="24" s="1"/>
  <c r="EA200" i="24"/>
  <c r="EA47" i="24"/>
  <c r="DY248" i="24"/>
  <c r="EF248" i="24" s="1"/>
  <c r="EA248" i="24"/>
  <c r="DY311" i="24"/>
  <c r="EF311" i="24" s="1"/>
  <c r="EA311" i="24"/>
  <c r="DY180" i="24"/>
  <c r="EF180" i="24" s="1"/>
  <c r="EA180" i="24"/>
  <c r="DY253" i="24"/>
  <c r="EF253" i="24" s="1"/>
  <c r="EA253" i="24"/>
  <c r="DY312" i="24"/>
  <c r="EF312" i="24" s="1"/>
  <c r="EA312" i="24"/>
  <c r="DY265" i="24"/>
  <c r="EF265" i="24" s="1"/>
  <c r="EA265" i="24"/>
  <c r="DY181" i="24"/>
  <c r="EF181" i="24" s="1"/>
  <c r="EA181" i="24"/>
  <c r="EA175" i="24"/>
  <c r="DY36" i="24"/>
  <c r="EF36" i="24" s="1"/>
  <c r="EA36" i="24"/>
  <c r="DY207" i="24"/>
  <c r="EF207" i="24" s="1"/>
  <c r="EA207" i="24"/>
  <c r="EA183" i="24"/>
  <c r="DY45" i="24"/>
  <c r="EF45" i="24" s="1"/>
  <c r="EA45" i="24"/>
  <c r="DY297" i="24"/>
  <c r="EF297" i="24" s="1"/>
  <c r="EA297" i="24"/>
  <c r="DY271" i="24"/>
  <c r="EF271" i="24" s="1"/>
  <c r="EA271" i="24"/>
  <c r="EA171" i="24"/>
  <c r="DY184" i="24"/>
  <c r="EF184" i="24" s="1"/>
  <c r="EA184" i="24"/>
  <c r="DY125" i="24"/>
  <c r="EF125" i="24" s="1"/>
  <c r="EA125" i="24"/>
  <c r="EA68" i="24"/>
  <c r="DY313" i="24"/>
  <c r="EF313" i="24" s="1"/>
  <c r="EA313" i="24"/>
  <c r="DY18" i="24"/>
  <c r="EF18" i="24" s="1"/>
  <c r="EA18" i="24"/>
  <c r="EA33" i="24"/>
  <c r="DY233" i="24"/>
  <c r="EF233" i="24" s="1"/>
  <c r="EA233" i="24"/>
  <c r="DY308" i="24"/>
  <c r="EF308" i="24" s="1"/>
  <c r="EA308" i="24"/>
  <c r="DY38" i="24"/>
  <c r="EF38" i="24" s="1"/>
  <c r="EA38" i="24"/>
  <c r="DY293" i="24"/>
  <c r="EF293" i="24" s="1"/>
  <c r="EA293" i="24"/>
  <c r="DY56" i="24"/>
  <c r="EF56" i="24" s="1"/>
  <c r="EA56" i="24"/>
  <c r="DY208" i="24"/>
  <c r="EF208" i="24" s="1"/>
  <c r="EA208" i="24"/>
  <c r="DY66" i="24"/>
  <c r="EF66" i="24" s="1"/>
  <c r="EA66" i="24"/>
  <c r="DY267" i="24"/>
  <c r="EF267" i="24" s="1"/>
  <c r="EA267" i="24"/>
  <c r="DY210" i="24"/>
  <c r="EF210" i="24" s="1"/>
  <c r="EA210" i="24"/>
  <c r="DY254" i="24"/>
  <c r="EF254" i="24" s="1"/>
  <c r="EA254" i="24"/>
  <c r="DY86" i="24"/>
  <c r="EF86" i="24" s="1"/>
  <c r="EA86" i="24"/>
  <c r="DY205" i="24"/>
  <c r="EF205" i="24" s="1"/>
  <c r="EA205" i="24"/>
  <c r="DY219" i="24"/>
  <c r="EF219" i="24" s="1"/>
  <c r="EA219" i="24"/>
  <c r="DY130" i="24"/>
  <c r="EF130" i="24" s="1"/>
  <c r="EA130" i="24"/>
  <c r="DY49" i="24"/>
  <c r="EF49" i="24" s="1"/>
  <c r="EA49" i="24"/>
  <c r="DY140" i="24"/>
  <c r="EF140" i="24" s="1"/>
  <c r="EA140" i="24"/>
  <c r="DY220" i="24"/>
  <c r="EF220" i="24" s="1"/>
  <c r="EA220" i="24"/>
  <c r="DY113" i="24"/>
  <c r="EF113" i="24" s="1"/>
  <c r="EA113" i="24"/>
  <c r="DY281" i="24"/>
  <c r="EF281" i="24" s="1"/>
  <c r="EA281" i="24"/>
  <c r="DY288" i="24"/>
  <c r="EF288" i="24" s="1"/>
  <c r="EA288" i="24"/>
  <c r="DY165" i="24"/>
  <c r="EF165" i="24" s="1"/>
  <c r="EA165" i="24"/>
  <c r="DY149" i="24"/>
  <c r="EF149" i="24" s="1"/>
  <c r="EA149" i="24"/>
  <c r="DY196" i="24"/>
  <c r="EF196" i="24" s="1"/>
  <c r="EA196" i="24"/>
  <c r="DY46" i="24"/>
  <c r="EF46" i="24" s="1"/>
  <c r="EA46" i="24"/>
  <c r="DY291" i="24"/>
  <c r="EF291" i="24" s="1"/>
  <c r="EA291" i="24"/>
  <c r="DY203" i="24"/>
  <c r="EF203" i="24" s="1"/>
  <c r="EA203" i="24"/>
  <c r="DY162" i="24"/>
  <c r="EF162" i="24" s="1"/>
  <c r="EA162" i="24"/>
  <c r="DY277" i="24"/>
  <c r="EF277" i="24" s="1"/>
  <c r="EA277" i="24"/>
  <c r="DY121" i="24"/>
  <c r="EF121" i="24" s="1"/>
  <c r="EA121" i="24"/>
  <c r="DY244" i="24"/>
  <c r="EF244" i="24" s="1"/>
  <c r="EA244" i="24"/>
  <c r="DY230" i="24"/>
  <c r="EF230" i="24" s="1"/>
  <c r="EA230" i="24"/>
  <c r="DY59" i="24"/>
  <c r="EF59" i="24" s="1"/>
  <c r="EA59" i="24"/>
  <c r="DY283" i="24"/>
  <c r="EF283" i="24" s="1"/>
  <c r="EA283" i="24"/>
  <c r="DY221" i="24"/>
  <c r="EF221" i="24" s="1"/>
  <c r="EA221" i="24"/>
  <c r="DY75" i="24"/>
  <c r="EF75" i="24" s="1"/>
  <c r="EA75" i="24"/>
  <c r="DY119" i="24"/>
  <c r="EF119" i="24" s="1"/>
  <c r="EA119" i="24"/>
  <c r="DY263" i="24"/>
  <c r="EF263" i="24" s="1"/>
  <c r="EA263" i="24"/>
  <c r="DY178" i="24"/>
  <c r="EF178" i="24" s="1"/>
  <c r="EA178" i="24"/>
  <c r="DY236" i="24"/>
  <c r="EF236" i="24" s="1"/>
  <c r="EA236" i="24"/>
  <c r="DY91" i="24"/>
  <c r="EF91" i="24" s="1"/>
  <c r="EA91" i="24"/>
  <c r="EA25" i="24"/>
  <c r="EA8" i="24"/>
  <c r="DY144" i="24"/>
  <c r="EF144" i="24" s="1"/>
  <c r="EA144" i="24"/>
  <c r="DY166" i="24"/>
  <c r="EF166" i="24" s="1"/>
  <c r="EA166" i="24"/>
  <c r="DY298" i="24"/>
  <c r="EF298" i="24" s="1"/>
  <c r="EA298" i="24"/>
  <c r="DY231" i="24"/>
  <c r="EF231" i="24" s="1"/>
  <c r="EA231" i="24"/>
  <c r="EA193" i="24"/>
  <c r="EA89" i="24"/>
  <c r="DY204" i="24"/>
  <c r="EF204" i="24" s="1"/>
  <c r="EA204" i="24"/>
  <c r="EA138" i="24"/>
  <c r="DY12" i="24"/>
  <c r="EF12" i="24" s="1"/>
  <c r="EA12" i="24"/>
  <c r="DY135" i="24"/>
  <c r="EF135" i="24" s="1"/>
  <c r="EA135" i="24"/>
  <c r="DY309" i="24"/>
  <c r="EF309" i="24" s="1"/>
  <c r="EA309" i="24"/>
  <c r="DY116" i="24"/>
  <c r="EF116" i="24" s="1"/>
  <c r="EA116" i="24"/>
  <c r="EA164" i="24"/>
  <c r="DY7" i="24"/>
  <c r="EF7" i="24" s="1"/>
  <c r="EA7" i="24"/>
  <c r="DY94" i="24"/>
  <c r="EF94" i="24" s="1"/>
  <c r="EA94" i="24"/>
  <c r="EA150" i="24"/>
  <c r="DY115" i="24"/>
  <c r="EF115" i="24" s="1"/>
  <c r="EA115" i="24"/>
  <c r="EA129" i="24"/>
  <c r="DY302" i="24"/>
  <c r="EF302" i="24" s="1"/>
  <c r="EA302" i="24"/>
  <c r="DY286" i="24"/>
  <c r="EF286" i="24" s="1"/>
  <c r="EA286" i="24"/>
  <c r="EA112" i="24"/>
  <c r="EA70" i="24"/>
  <c r="DY314" i="24"/>
  <c r="EF314" i="24" s="1"/>
  <c r="EA314" i="24"/>
  <c r="DY274" i="24"/>
  <c r="EF274" i="24" s="1"/>
  <c r="EA274" i="24"/>
  <c r="DY275" i="24"/>
  <c r="EF275" i="24" s="1"/>
  <c r="EA275" i="24"/>
  <c r="DY72" i="24"/>
  <c r="EF72" i="24" s="1"/>
  <c r="EA72" i="24"/>
  <c r="DY163" i="24"/>
  <c r="EF163" i="24" s="1"/>
  <c r="EA163" i="24"/>
  <c r="DY272" i="24"/>
  <c r="EF272" i="24" s="1"/>
  <c r="EA272" i="24"/>
  <c r="DY294" i="24"/>
  <c r="EF294" i="24" s="1"/>
  <c r="EA294" i="24"/>
  <c r="EA24" i="24"/>
  <c r="DY34" i="24"/>
  <c r="EF34" i="24" s="1"/>
  <c r="EA34" i="24"/>
  <c r="EA35" i="24"/>
  <c r="DY266" i="24"/>
  <c r="EF266" i="24" s="1"/>
  <c r="EA266" i="24"/>
  <c r="DY118" i="24"/>
  <c r="EF118" i="24" s="1"/>
  <c r="EA118" i="24"/>
  <c r="DY250" i="24"/>
  <c r="EF250" i="24" s="1"/>
  <c r="EA250" i="24"/>
  <c r="DY131" i="24"/>
  <c r="EF131" i="24" s="1"/>
  <c r="EA131" i="24"/>
  <c r="DY284" i="24"/>
  <c r="EF284" i="24" s="1"/>
  <c r="EA284" i="24"/>
  <c r="DY237" i="24"/>
  <c r="EF237" i="24" s="1"/>
  <c r="EA237" i="24"/>
  <c r="DY101" i="24"/>
  <c r="EF101" i="24" s="1"/>
  <c r="EA101" i="24"/>
  <c r="DY187" i="24"/>
  <c r="EF187" i="24" s="1"/>
  <c r="EA187" i="24"/>
  <c r="DY280" i="24"/>
  <c r="EF280" i="24" s="1"/>
  <c r="EA280" i="24"/>
  <c r="DY79" i="24"/>
  <c r="EF79" i="24" s="1"/>
  <c r="EA79" i="24"/>
  <c r="DY315" i="24"/>
  <c r="EF315" i="24" s="1"/>
  <c r="EA315" i="24"/>
  <c r="DY303" i="24"/>
  <c r="EF303" i="24" s="1"/>
  <c r="EA303" i="24"/>
  <c r="DY268" i="24"/>
  <c r="EF268" i="24" s="1"/>
  <c r="EA268" i="24"/>
  <c r="DY153" i="24"/>
  <c r="EF153" i="24" s="1"/>
  <c r="EA153" i="24"/>
  <c r="DY17" i="24"/>
  <c r="EF17" i="24" s="1"/>
  <c r="EA17" i="24"/>
  <c r="DY198" i="24"/>
  <c r="EF198" i="24" s="1"/>
  <c r="EA198" i="24"/>
  <c r="DY240" i="24"/>
  <c r="EF240" i="24" s="1"/>
  <c r="EA240" i="24"/>
  <c r="DY191" i="24"/>
  <c r="EF191" i="24" s="1"/>
  <c r="EA191" i="24"/>
  <c r="EA154" i="24"/>
  <c r="DY64" i="24"/>
  <c r="EF64" i="24" s="1"/>
  <c r="EA64" i="24"/>
  <c r="EA65" i="24"/>
  <c r="F64" i="19"/>
  <c r="F65" i="19"/>
  <c r="EE216" i="25" l="1"/>
  <c r="EV216" i="25" s="1"/>
  <c r="EF216" i="25"/>
  <c r="EW216" i="25" s="1"/>
  <c r="CG216" i="25"/>
  <c r="CH216" i="25"/>
  <c r="CG242" i="24"/>
  <c r="CG243" i="24"/>
  <c r="EV212" i="25"/>
  <c r="FB212" i="25" s="1"/>
  <c r="EI212" i="25"/>
  <c r="EC96" i="24"/>
  <c r="ED96" i="24" s="1"/>
  <c r="EH96" i="24"/>
  <c r="EW96" i="24" s="1"/>
  <c r="EI96" i="24"/>
  <c r="EX96" i="24" s="1"/>
  <c r="FL96" i="24"/>
  <c r="CG285" i="24"/>
  <c r="EI243" i="24"/>
  <c r="EX243" i="24" s="1"/>
  <c r="EC243" i="24"/>
  <c r="ED243" i="24" s="1"/>
  <c r="EH243" i="24"/>
  <c r="EK243" i="24" s="1"/>
  <c r="EC78" i="24"/>
  <c r="ED78" i="24" s="1"/>
  <c r="EH78" i="24"/>
  <c r="EW78" i="24" s="1"/>
  <c r="EI78" i="24"/>
  <c r="EX78" i="24" s="1"/>
  <c r="EH60" i="24"/>
  <c r="EW60" i="24" s="1"/>
  <c r="EV136" i="25"/>
  <c r="FC136" i="25" s="1"/>
  <c r="FE136" i="25" s="1"/>
  <c r="FF136" i="25" s="1"/>
  <c r="EH285" i="24"/>
  <c r="EK285" i="24" s="1"/>
  <c r="EI60" i="24"/>
  <c r="EX60" i="24" s="1"/>
  <c r="EC242" i="24"/>
  <c r="ED242" i="24" s="1"/>
  <c r="EI242" i="24"/>
  <c r="EX242" i="24" s="1"/>
  <c r="FL242" i="24"/>
  <c r="FL285" i="24"/>
  <c r="EI285" i="24"/>
  <c r="EX285" i="24" s="1"/>
  <c r="EW216" i="24"/>
  <c r="FB216" i="24" s="1"/>
  <c r="EK216" i="24"/>
  <c r="EI89" i="25"/>
  <c r="EO89" i="25" s="1"/>
  <c r="EP89" i="25" s="1"/>
  <c r="S110" i="24"/>
  <c r="T110" i="24" s="1"/>
  <c r="J110" i="24" s="1"/>
  <c r="K110" i="24"/>
  <c r="EC92" i="24"/>
  <c r="ED92" i="24" s="1"/>
  <c r="CG92" i="24"/>
  <c r="EH92" i="24"/>
  <c r="EW92" i="24" s="1"/>
  <c r="FL237" i="24"/>
  <c r="EH237" i="24"/>
  <c r="EI237" i="24"/>
  <c r="EX237" i="24" s="1"/>
  <c r="EC237" i="24"/>
  <c r="ED237" i="24" s="1"/>
  <c r="FL275" i="24"/>
  <c r="EI275" i="24"/>
  <c r="EX275" i="24" s="1"/>
  <c r="EC275" i="24"/>
  <c r="ED275" i="24" s="1"/>
  <c r="EH275" i="24"/>
  <c r="FL221" i="24"/>
  <c r="EH221" i="24"/>
  <c r="EI221" i="24"/>
  <c r="EX221" i="24" s="1"/>
  <c r="EC221" i="24"/>
  <c r="ED221" i="24" s="1"/>
  <c r="FL244" i="24"/>
  <c r="EH244" i="24"/>
  <c r="EI244" i="24"/>
  <c r="EX244" i="24" s="1"/>
  <c r="EC244" i="24"/>
  <c r="ED244" i="24" s="1"/>
  <c r="FL254" i="24"/>
  <c r="EH254" i="24"/>
  <c r="EI254" i="24"/>
  <c r="EX254" i="24" s="1"/>
  <c r="EC254" i="24"/>
  <c r="ED254" i="24" s="1"/>
  <c r="FL265" i="24"/>
  <c r="EH265" i="24"/>
  <c r="EC265" i="24"/>
  <c r="ED265" i="24" s="1"/>
  <c r="EI265" i="24"/>
  <c r="EX265" i="24" s="1"/>
  <c r="FL311" i="24"/>
  <c r="EI311" i="24"/>
  <c r="EX311" i="24" s="1"/>
  <c r="EH311" i="24"/>
  <c r="EC311" i="24"/>
  <c r="ED311" i="24" s="1"/>
  <c r="FL224" i="24"/>
  <c r="EI224" i="24"/>
  <c r="EX224" i="24" s="1"/>
  <c r="EH224" i="24"/>
  <c r="EC224" i="24"/>
  <c r="ED224" i="24" s="1"/>
  <c r="FL247" i="24"/>
  <c r="EH247" i="24"/>
  <c r="EI247" i="24"/>
  <c r="EX247" i="24" s="1"/>
  <c r="EC247" i="24"/>
  <c r="ED247" i="24" s="1"/>
  <c r="FL228" i="24"/>
  <c r="EH228" i="24"/>
  <c r="EC228" i="24"/>
  <c r="ED228" i="24" s="1"/>
  <c r="EI228" i="24"/>
  <c r="EX228" i="24" s="1"/>
  <c r="FL300" i="24"/>
  <c r="EI300" i="24"/>
  <c r="EX300" i="24" s="1"/>
  <c r="EC300" i="24"/>
  <c r="ED300" i="24" s="1"/>
  <c r="EH300" i="24"/>
  <c r="FL261" i="24"/>
  <c r="EH261" i="24"/>
  <c r="EI261" i="24"/>
  <c r="EX261" i="24" s="1"/>
  <c r="EC261" i="24"/>
  <c r="ED261" i="24" s="1"/>
  <c r="FL226" i="24"/>
  <c r="EH226" i="24"/>
  <c r="EI226" i="24"/>
  <c r="EX226" i="24" s="1"/>
  <c r="EC226" i="24"/>
  <c r="ED226" i="24" s="1"/>
  <c r="FL316" i="24"/>
  <c r="EC316" i="24"/>
  <c r="ED316" i="24" s="1"/>
  <c r="EH316" i="24"/>
  <c r="EI316" i="24"/>
  <c r="EX316" i="24" s="1"/>
  <c r="FL290" i="24"/>
  <c r="EH290" i="24"/>
  <c r="EI290" i="24"/>
  <c r="EX290" i="24" s="1"/>
  <c r="EC290" i="24"/>
  <c r="ED290" i="24" s="1"/>
  <c r="FL294" i="24"/>
  <c r="EH294" i="24"/>
  <c r="EI294" i="24"/>
  <c r="EX294" i="24" s="1"/>
  <c r="EC294" i="24"/>
  <c r="ED294" i="24" s="1"/>
  <c r="FL217" i="24"/>
  <c r="EH217" i="24"/>
  <c r="EI217" i="24"/>
  <c r="EX217" i="24" s="1"/>
  <c r="EC217" i="24"/>
  <c r="ED217" i="24" s="1"/>
  <c r="FL307" i="24"/>
  <c r="EI307" i="24"/>
  <c r="EX307" i="24" s="1"/>
  <c r="EC307" i="24"/>
  <c r="ED307" i="24" s="1"/>
  <c r="EH307" i="24"/>
  <c r="FL260" i="24"/>
  <c r="EH260" i="24"/>
  <c r="EI260" i="24"/>
  <c r="EX260" i="24" s="1"/>
  <c r="EC260" i="24"/>
  <c r="ED260" i="24" s="1"/>
  <c r="FL256" i="24"/>
  <c r="EI256" i="24"/>
  <c r="EX256" i="24" s="1"/>
  <c r="EC256" i="24"/>
  <c r="ED256" i="24" s="1"/>
  <c r="EH256" i="24"/>
  <c r="FL234" i="24"/>
  <c r="EI234" i="24"/>
  <c r="EX234" i="24" s="1"/>
  <c r="EH234" i="24"/>
  <c r="EC234" i="24"/>
  <c r="ED234" i="24" s="1"/>
  <c r="FL250" i="24"/>
  <c r="EC250" i="24"/>
  <c r="ED250" i="24" s="1"/>
  <c r="EH250" i="24"/>
  <c r="EI250" i="24"/>
  <c r="EX250" i="24" s="1"/>
  <c r="FL286" i="24"/>
  <c r="EH286" i="24"/>
  <c r="EC286" i="24"/>
  <c r="ED286" i="24" s="1"/>
  <c r="EI286" i="24"/>
  <c r="EX286" i="24" s="1"/>
  <c r="FL310" i="24"/>
  <c r="EH310" i="24"/>
  <c r="EI310" i="24"/>
  <c r="EX310" i="24" s="1"/>
  <c r="EC310" i="24"/>
  <c r="ED310" i="24" s="1"/>
  <c r="FL240" i="24"/>
  <c r="EH240" i="24"/>
  <c r="EI240" i="24"/>
  <c r="EX240" i="24" s="1"/>
  <c r="EC240" i="24"/>
  <c r="ED240" i="24" s="1"/>
  <c r="FL268" i="24"/>
  <c r="EH268" i="24"/>
  <c r="EC268" i="24"/>
  <c r="ED268" i="24" s="1"/>
  <c r="EI268" i="24"/>
  <c r="EX268" i="24" s="1"/>
  <c r="FL280" i="24"/>
  <c r="EI280" i="24"/>
  <c r="EX280" i="24" s="1"/>
  <c r="EH280" i="24"/>
  <c r="EC280" i="24"/>
  <c r="ED280" i="24" s="1"/>
  <c r="FL284" i="24"/>
  <c r="EH284" i="24"/>
  <c r="EI284" i="24"/>
  <c r="EX284" i="24" s="1"/>
  <c r="EC284" i="24"/>
  <c r="ED284" i="24" s="1"/>
  <c r="FL266" i="24"/>
  <c r="EC266" i="24"/>
  <c r="ED266" i="24" s="1"/>
  <c r="EI266" i="24"/>
  <c r="EX266" i="24" s="1"/>
  <c r="EH266" i="24"/>
  <c r="FL272" i="24"/>
  <c r="EI272" i="24"/>
  <c r="EX272" i="24" s="1"/>
  <c r="EC272" i="24"/>
  <c r="ED272" i="24" s="1"/>
  <c r="EH272" i="24"/>
  <c r="FL274" i="24"/>
  <c r="EH274" i="24"/>
  <c r="EI274" i="24"/>
  <c r="EX274" i="24" s="1"/>
  <c r="EC274" i="24"/>
  <c r="ED274" i="24" s="1"/>
  <c r="FL302" i="24"/>
  <c r="EI302" i="24"/>
  <c r="EX302" i="24" s="1"/>
  <c r="EH302" i="24"/>
  <c r="EC302" i="24"/>
  <c r="ED302" i="24" s="1"/>
  <c r="FL231" i="24"/>
  <c r="EI231" i="24"/>
  <c r="EX231" i="24" s="1"/>
  <c r="EH231" i="24"/>
  <c r="EC231" i="24"/>
  <c r="ED231" i="24" s="1"/>
  <c r="FL263" i="24"/>
  <c r="EH263" i="24"/>
  <c r="EC263" i="24"/>
  <c r="ED263" i="24" s="1"/>
  <c r="EI263" i="24"/>
  <c r="EX263" i="24" s="1"/>
  <c r="FL283" i="24"/>
  <c r="EC283" i="24"/>
  <c r="ED283" i="24" s="1"/>
  <c r="EH283" i="24"/>
  <c r="EI283" i="24"/>
  <c r="EX283" i="24" s="1"/>
  <c r="FL291" i="24"/>
  <c r="EC291" i="24"/>
  <c r="ED291" i="24" s="1"/>
  <c r="EH291" i="24"/>
  <c r="EI291" i="24"/>
  <c r="EX291" i="24" s="1"/>
  <c r="FL220" i="24"/>
  <c r="EH220" i="24"/>
  <c r="EI220" i="24"/>
  <c r="EX220" i="24" s="1"/>
  <c r="EC220" i="24"/>
  <c r="ED220" i="24" s="1"/>
  <c r="FL219" i="24"/>
  <c r="EH219" i="24"/>
  <c r="EC219" i="24"/>
  <c r="ED219" i="24" s="1"/>
  <c r="EI219" i="24"/>
  <c r="EX219" i="24" s="1"/>
  <c r="FL313" i="24"/>
  <c r="EH313" i="24"/>
  <c r="EI313" i="24"/>
  <c r="EX313" i="24" s="1"/>
  <c r="EC313" i="24"/>
  <c r="ED313" i="24" s="1"/>
  <c r="FL271" i="24"/>
  <c r="EH271" i="24"/>
  <c r="EC271" i="24"/>
  <c r="ED271" i="24" s="1"/>
  <c r="EI271" i="24"/>
  <c r="EX271" i="24" s="1"/>
  <c r="FL312" i="24"/>
  <c r="EH312" i="24"/>
  <c r="EI312" i="24"/>
  <c r="EX312" i="24" s="1"/>
  <c r="EC312" i="24"/>
  <c r="ED312" i="24" s="1"/>
  <c r="FL248" i="24"/>
  <c r="EH248" i="24"/>
  <c r="EI248" i="24"/>
  <c r="EX248" i="24" s="1"/>
  <c r="EC248" i="24"/>
  <c r="ED248" i="24" s="1"/>
  <c r="FL262" i="24"/>
  <c r="EI262" i="24"/>
  <c r="EX262" i="24" s="1"/>
  <c r="EC262" i="24"/>
  <c r="ED262" i="24" s="1"/>
  <c r="EH262" i="24"/>
  <c r="FL301" i="24"/>
  <c r="EH301" i="24"/>
  <c r="EI301" i="24"/>
  <c r="EX301" i="24" s="1"/>
  <c r="EC301" i="24"/>
  <c r="ED301" i="24" s="1"/>
  <c r="FL218" i="24"/>
  <c r="EI218" i="24"/>
  <c r="EX218" i="24" s="1"/>
  <c r="EC218" i="24"/>
  <c r="ED218" i="24" s="1"/>
  <c r="EH218" i="24"/>
  <c r="FL278" i="24"/>
  <c r="EH278" i="24"/>
  <c r="EI278" i="24"/>
  <c r="EX278" i="24" s="1"/>
  <c r="EC278" i="24"/>
  <c r="ED278" i="24" s="1"/>
  <c r="FL305" i="24"/>
  <c r="EH305" i="24"/>
  <c r="EI305" i="24"/>
  <c r="EX305" i="24" s="1"/>
  <c r="EC305" i="24"/>
  <c r="ED305" i="24" s="1"/>
  <c r="FL229" i="24"/>
  <c r="EH229" i="24"/>
  <c r="EI229" i="24"/>
  <c r="EX229" i="24" s="1"/>
  <c r="EC229" i="24"/>
  <c r="ED229" i="24" s="1"/>
  <c r="FL222" i="24"/>
  <c r="EH222" i="24"/>
  <c r="EI222" i="24"/>
  <c r="EX222" i="24" s="1"/>
  <c r="EC222" i="24"/>
  <c r="ED222" i="24" s="1"/>
  <c r="FL279" i="24"/>
  <c r="EH279" i="24"/>
  <c r="EC279" i="24"/>
  <c r="ED279" i="24" s="1"/>
  <c r="EI279" i="24"/>
  <c r="EX279" i="24" s="1"/>
  <c r="FL304" i="24"/>
  <c r="EC304" i="24"/>
  <c r="ED304" i="24" s="1"/>
  <c r="EH304" i="24"/>
  <c r="EI304" i="24"/>
  <c r="EX304" i="24" s="1"/>
  <c r="FL225" i="24"/>
  <c r="EH225" i="24"/>
  <c r="EC225" i="24"/>
  <c r="ED225" i="24" s="1"/>
  <c r="EI225" i="24"/>
  <c r="EX225" i="24" s="1"/>
  <c r="FL299" i="24"/>
  <c r="EC299" i="24"/>
  <c r="ED299" i="24" s="1"/>
  <c r="EH299" i="24"/>
  <c r="EI299" i="24"/>
  <c r="EX299" i="24" s="1"/>
  <c r="FL245" i="24"/>
  <c r="EH245" i="24"/>
  <c r="EI245" i="24"/>
  <c r="EX245" i="24" s="1"/>
  <c r="EC245" i="24"/>
  <c r="ED245" i="24" s="1"/>
  <c r="FL308" i="24"/>
  <c r="EH308" i="24"/>
  <c r="EI308" i="24"/>
  <c r="EX308" i="24" s="1"/>
  <c r="EC308" i="24"/>
  <c r="ED308" i="24" s="1"/>
  <c r="FL303" i="24"/>
  <c r="EH303" i="24"/>
  <c r="EI303" i="24"/>
  <c r="EX303" i="24" s="1"/>
  <c r="EC303" i="24"/>
  <c r="ED303" i="24" s="1"/>
  <c r="FL267" i="24"/>
  <c r="EC267" i="24"/>
  <c r="ED267" i="24" s="1"/>
  <c r="EH267" i="24"/>
  <c r="EI267" i="24"/>
  <c r="EX267" i="24" s="1"/>
  <c r="FL297" i="24"/>
  <c r="EH297" i="24"/>
  <c r="EI297" i="24"/>
  <c r="EX297" i="24" s="1"/>
  <c r="EC297" i="24"/>
  <c r="ED297" i="24" s="1"/>
  <c r="FL253" i="24"/>
  <c r="EC253" i="24"/>
  <c r="ED253" i="24" s="1"/>
  <c r="EH253" i="24"/>
  <c r="EI253" i="24"/>
  <c r="EX253" i="24" s="1"/>
  <c r="FL287" i="24"/>
  <c r="EH287" i="24"/>
  <c r="EI287" i="24"/>
  <c r="EX287" i="24" s="1"/>
  <c r="EC287" i="24"/>
  <c r="ED287" i="24" s="1"/>
  <c r="FL264" i="24"/>
  <c r="EI264" i="24"/>
  <c r="EX264" i="24" s="1"/>
  <c r="EH264" i="24"/>
  <c r="EC264" i="24"/>
  <c r="ED264" i="24" s="1"/>
  <c r="FL241" i="24"/>
  <c r="EH241" i="24"/>
  <c r="EI241" i="24"/>
  <c r="EX241" i="24" s="1"/>
  <c r="EC241" i="24"/>
  <c r="ED241" i="24" s="1"/>
  <c r="FL273" i="24"/>
  <c r="EH273" i="24"/>
  <c r="EI273" i="24"/>
  <c r="EX273" i="24" s="1"/>
  <c r="EC273" i="24"/>
  <c r="ED273" i="24" s="1"/>
  <c r="FL259" i="24"/>
  <c r="EI259" i="24"/>
  <c r="EX259" i="24" s="1"/>
  <c r="EC259" i="24"/>
  <c r="ED259" i="24" s="1"/>
  <c r="EH259" i="24"/>
  <c r="FL255" i="24"/>
  <c r="EH255" i="24"/>
  <c r="EC255" i="24"/>
  <c r="ED255" i="24" s="1"/>
  <c r="EI255" i="24"/>
  <c r="EX255" i="24" s="1"/>
  <c r="FL239" i="24"/>
  <c r="EI239" i="24"/>
  <c r="EX239" i="24" s="1"/>
  <c r="EC239" i="24"/>
  <c r="ED239" i="24" s="1"/>
  <c r="EH239" i="24"/>
  <c r="FL270" i="24"/>
  <c r="EI270" i="24"/>
  <c r="EX270" i="24" s="1"/>
  <c r="EH270" i="24"/>
  <c r="EC270" i="24"/>
  <c r="ED270" i="24" s="1"/>
  <c r="FL269" i="24"/>
  <c r="EH269" i="24"/>
  <c r="EC269" i="24"/>
  <c r="ED269" i="24" s="1"/>
  <c r="EI269" i="24"/>
  <c r="EX269" i="24" s="1"/>
  <c r="FL257" i="24"/>
  <c r="EH257" i="24"/>
  <c r="EC257" i="24"/>
  <c r="ED257" i="24" s="1"/>
  <c r="EI257" i="24"/>
  <c r="EX257" i="24" s="1"/>
  <c r="FL295" i="24"/>
  <c r="EH295" i="24"/>
  <c r="EI295" i="24"/>
  <c r="EX295" i="24" s="1"/>
  <c r="EC295" i="24"/>
  <c r="ED295" i="24" s="1"/>
  <c r="FL282" i="24"/>
  <c r="EC282" i="24"/>
  <c r="ED282" i="24" s="1"/>
  <c r="EH282" i="24"/>
  <c r="EI282" i="24"/>
  <c r="EX282" i="24" s="1"/>
  <c r="FL314" i="24"/>
  <c r="EH314" i="24"/>
  <c r="EI314" i="24"/>
  <c r="EX314" i="24" s="1"/>
  <c r="EC314" i="24"/>
  <c r="ED314" i="24" s="1"/>
  <c r="FL298" i="24"/>
  <c r="EI298" i="24"/>
  <c r="EX298" i="24" s="1"/>
  <c r="EH298" i="24"/>
  <c r="EC298" i="24"/>
  <c r="ED298" i="24" s="1"/>
  <c r="FL277" i="24"/>
  <c r="EI277" i="24"/>
  <c r="EX277" i="24" s="1"/>
  <c r="EH277" i="24"/>
  <c r="EC277" i="24"/>
  <c r="ED277" i="24" s="1"/>
  <c r="FL288" i="24"/>
  <c r="EH288" i="24"/>
  <c r="EI288" i="24"/>
  <c r="EX288" i="24" s="1"/>
  <c r="EC288" i="24"/>
  <c r="ED288" i="24" s="1"/>
  <c r="FL293" i="24"/>
  <c r="EH293" i="24"/>
  <c r="EI293" i="24"/>
  <c r="EX293" i="24" s="1"/>
  <c r="EC293" i="24"/>
  <c r="ED293" i="24" s="1"/>
  <c r="FL233" i="24"/>
  <c r="EH233" i="24"/>
  <c r="EI233" i="24"/>
  <c r="EX233" i="24" s="1"/>
  <c r="EC233" i="24"/>
  <c r="ED233" i="24" s="1"/>
  <c r="FL252" i="24"/>
  <c r="EH252" i="24"/>
  <c r="EC252" i="24"/>
  <c r="ED252" i="24" s="1"/>
  <c r="EI252" i="24"/>
  <c r="EX252" i="24" s="1"/>
  <c r="FL306" i="24"/>
  <c r="EC306" i="24"/>
  <c r="ED306" i="24" s="1"/>
  <c r="EH306" i="24"/>
  <c r="EI306" i="24"/>
  <c r="EX306" i="24" s="1"/>
  <c r="FL315" i="24"/>
  <c r="EH315" i="24"/>
  <c r="EI315" i="24"/>
  <c r="EX315" i="24" s="1"/>
  <c r="EC315" i="24"/>
  <c r="ED315" i="24" s="1"/>
  <c r="FL281" i="24"/>
  <c r="EH281" i="24"/>
  <c r="EI281" i="24"/>
  <c r="EX281" i="24" s="1"/>
  <c r="EC281" i="24"/>
  <c r="ED281" i="24" s="1"/>
  <c r="FL296" i="24"/>
  <c r="EI296" i="24"/>
  <c r="EX296" i="24" s="1"/>
  <c r="EC296" i="24"/>
  <c r="ED296" i="24" s="1"/>
  <c r="EH296" i="24"/>
  <c r="FL232" i="24"/>
  <c r="EH232" i="24"/>
  <c r="EI232" i="24"/>
  <c r="EX232" i="24" s="1"/>
  <c r="EC232" i="24"/>
  <c r="ED232" i="24" s="1"/>
  <c r="FL235" i="24"/>
  <c r="EH235" i="24"/>
  <c r="EI235" i="24"/>
  <c r="EX235" i="24" s="1"/>
  <c r="EC235" i="24"/>
  <c r="ED235" i="24" s="1"/>
  <c r="FL246" i="24"/>
  <c r="EH246" i="24"/>
  <c r="EI246" i="24"/>
  <c r="EX246" i="24" s="1"/>
  <c r="EC246" i="24"/>
  <c r="ED246" i="24" s="1"/>
  <c r="FL292" i="24"/>
  <c r="EH292" i="24"/>
  <c r="EI292" i="24"/>
  <c r="EX292" i="24" s="1"/>
  <c r="EC292" i="24"/>
  <c r="ED292" i="24" s="1"/>
  <c r="FL238" i="24"/>
  <c r="EH238" i="24"/>
  <c r="EI238" i="24"/>
  <c r="EX238" i="24" s="1"/>
  <c r="EC238" i="24"/>
  <c r="ED238" i="24" s="1"/>
  <c r="FL276" i="24"/>
  <c r="EH276" i="24"/>
  <c r="EI276" i="24"/>
  <c r="EX276" i="24" s="1"/>
  <c r="EC276" i="24"/>
  <c r="ED276" i="24" s="1"/>
  <c r="FL289" i="24"/>
  <c r="EH289" i="24"/>
  <c r="EI289" i="24"/>
  <c r="EX289" i="24" s="1"/>
  <c r="EC289" i="24"/>
  <c r="ED289" i="24" s="1"/>
  <c r="FL227" i="24"/>
  <c r="EH227" i="24"/>
  <c r="EC227" i="24"/>
  <c r="ED227" i="24" s="1"/>
  <c r="EI227" i="24"/>
  <c r="EX227" i="24" s="1"/>
  <c r="FL251" i="24"/>
  <c r="EH251" i="24"/>
  <c r="EI251" i="24"/>
  <c r="EX251" i="24" s="1"/>
  <c r="EC251" i="24"/>
  <c r="ED251" i="24" s="1"/>
  <c r="FL236" i="24"/>
  <c r="EI236" i="24"/>
  <c r="EX236" i="24" s="1"/>
  <c r="EC236" i="24"/>
  <c r="ED236" i="24" s="1"/>
  <c r="EH236" i="24"/>
  <c r="FL230" i="24"/>
  <c r="EH230" i="24"/>
  <c r="EI230" i="24"/>
  <c r="EX230" i="24" s="1"/>
  <c r="EC230" i="24"/>
  <c r="ED230" i="24" s="1"/>
  <c r="FL309" i="24"/>
  <c r="EH309" i="24"/>
  <c r="EI309" i="24"/>
  <c r="EX309" i="24" s="1"/>
  <c r="EC309" i="24"/>
  <c r="ED309" i="24" s="1"/>
  <c r="FL258" i="24"/>
  <c r="EH258" i="24"/>
  <c r="EI258" i="24"/>
  <c r="EX258" i="24" s="1"/>
  <c r="EC258" i="24"/>
  <c r="ED258" i="24" s="1"/>
  <c r="FL223" i="24"/>
  <c r="EH223" i="24"/>
  <c r="EC223" i="24"/>
  <c r="ED223" i="24" s="1"/>
  <c r="EI223" i="24"/>
  <c r="EX223" i="24" s="1"/>
  <c r="FL249" i="24"/>
  <c r="EH249" i="24"/>
  <c r="EI249" i="24"/>
  <c r="EX249" i="24" s="1"/>
  <c r="EC249" i="24"/>
  <c r="ED249" i="24" s="1"/>
  <c r="EK242" i="24"/>
  <c r="EW242" i="24"/>
  <c r="EV299" i="25"/>
  <c r="FB299" i="25" s="1"/>
  <c r="EI299" i="25"/>
  <c r="EV252" i="25"/>
  <c r="FB252" i="25" s="1"/>
  <c r="EI252" i="25"/>
  <c r="EI308" i="25"/>
  <c r="EV308" i="25"/>
  <c r="FB308" i="25" s="1"/>
  <c r="EI281" i="25"/>
  <c r="EV281" i="25"/>
  <c r="FB281" i="25" s="1"/>
  <c r="EI274" i="25"/>
  <c r="EV274" i="25"/>
  <c r="FB274" i="25" s="1"/>
  <c r="EI300" i="25"/>
  <c r="EV300" i="25"/>
  <c r="FB300" i="25" s="1"/>
  <c r="EV303" i="25"/>
  <c r="FB303" i="25" s="1"/>
  <c r="EI303" i="25"/>
  <c r="EI296" i="25"/>
  <c r="EV296" i="25"/>
  <c r="FB296" i="25" s="1"/>
  <c r="EV228" i="25"/>
  <c r="FB228" i="25" s="1"/>
  <c r="EI228" i="25"/>
  <c r="EI219" i="25"/>
  <c r="EV219" i="25"/>
  <c r="FB219" i="25" s="1"/>
  <c r="EI315" i="25"/>
  <c r="EV315" i="25"/>
  <c r="FB315" i="25" s="1"/>
  <c r="EI291" i="25"/>
  <c r="EV291" i="25"/>
  <c r="FB291" i="25" s="1"/>
  <c r="EI292" i="25"/>
  <c r="EV292" i="25"/>
  <c r="FB292" i="25" s="1"/>
  <c r="EI283" i="25"/>
  <c r="EV283" i="25"/>
  <c r="FB283" i="25" s="1"/>
  <c r="EI279" i="25"/>
  <c r="EV279" i="25"/>
  <c r="FB279" i="25" s="1"/>
  <c r="EV298" i="25"/>
  <c r="FB298" i="25" s="1"/>
  <c r="EI298" i="25"/>
  <c r="EI251" i="25"/>
  <c r="EV251" i="25"/>
  <c r="FB251" i="25" s="1"/>
  <c r="EI259" i="25"/>
  <c r="EV259" i="25"/>
  <c r="FB259" i="25" s="1"/>
  <c r="EV266" i="25"/>
  <c r="FB266" i="25" s="1"/>
  <c r="EI266" i="25"/>
  <c r="EI242" i="25"/>
  <c r="EV242" i="25"/>
  <c r="FB242" i="25" s="1"/>
  <c r="EV290" i="25"/>
  <c r="FB290" i="25" s="1"/>
  <c r="EI290" i="25"/>
  <c r="EI301" i="25"/>
  <c r="EV301" i="25"/>
  <c r="FB301" i="25" s="1"/>
  <c r="EV295" i="25"/>
  <c r="FB295" i="25" s="1"/>
  <c r="EI295" i="25"/>
  <c r="EI218" i="25"/>
  <c r="EV218" i="25"/>
  <c r="FB218" i="25" s="1"/>
  <c r="EI286" i="25"/>
  <c r="EV286" i="25"/>
  <c r="FB286" i="25" s="1"/>
  <c r="EI227" i="25"/>
  <c r="EV227" i="25"/>
  <c r="FB227" i="25" s="1"/>
  <c r="EI258" i="25"/>
  <c r="EV258" i="25"/>
  <c r="FB258" i="25" s="1"/>
  <c r="EI253" i="25"/>
  <c r="EV253" i="25"/>
  <c r="FB253" i="25" s="1"/>
  <c r="EV282" i="25"/>
  <c r="FB282" i="25" s="1"/>
  <c r="EI282" i="25"/>
  <c r="EI278" i="25"/>
  <c r="EV278" i="25"/>
  <c r="FB278" i="25" s="1"/>
  <c r="EV223" i="25"/>
  <c r="FB223" i="25" s="1"/>
  <c r="EI223" i="25"/>
  <c r="EV239" i="25"/>
  <c r="FB239" i="25" s="1"/>
  <c r="EI239" i="25"/>
  <c r="EI275" i="25"/>
  <c r="EV275" i="25"/>
  <c r="FB275" i="25" s="1"/>
  <c r="EI294" i="25"/>
  <c r="EV294" i="25"/>
  <c r="FB294" i="25" s="1"/>
  <c r="EI225" i="25"/>
  <c r="EV225" i="25"/>
  <c r="FB225" i="25" s="1"/>
  <c r="EV316" i="25"/>
  <c r="FB316" i="25" s="1"/>
  <c r="EI316" i="25"/>
  <c r="EI243" i="25"/>
  <c r="EV243" i="25"/>
  <c r="FB243" i="25" s="1"/>
  <c r="EV268" i="25"/>
  <c r="FB268" i="25" s="1"/>
  <c r="EI268" i="25"/>
  <c r="EV249" i="25"/>
  <c r="FB249" i="25" s="1"/>
  <c r="EI249" i="25"/>
  <c r="EV270" i="25"/>
  <c r="FB270" i="25" s="1"/>
  <c r="EI270" i="25"/>
  <c r="EI302" i="25"/>
  <c r="EV302" i="25"/>
  <c r="FB302" i="25" s="1"/>
  <c r="EI307" i="25"/>
  <c r="EV307" i="25"/>
  <c r="FB307" i="25" s="1"/>
  <c r="EI312" i="25"/>
  <c r="EV312" i="25"/>
  <c r="FB312" i="25" s="1"/>
  <c r="EI237" i="25"/>
  <c r="EV237" i="25"/>
  <c r="FB237" i="25" s="1"/>
  <c r="EV244" i="25"/>
  <c r="FB244" i="25" s="1"/>
  <c r="EI244" i="25"/>
  <c r="EI250" i="25"/>
  <c r="EV250" i="25"/>
  <c r="FB250" i="25" s="1"/>
  <c r="EI293" i="25"/>
  <c r="EV293" i="25"/>
  <c r="FB293" i="25" s="1"/>
  <c r="EV267" i="25"/>
  <c r="FB267" i="25" s="1"/>
  <c r="EI267" i="25"/>
  <c r="EI261" i="25"/>
  <c r="EV261" i="25"/>
  <c r="FB261" i="25" s="1"/>
  <c r="EV313" i="25"/>
  <c r="FB313" i="25" s="1"/>
  <c r="EI313" i="25"/>
  <c r="EI232" i="25"/>
  <c r="EV232" i="25"/>
  <c r="FB232" i="25" s="1"/>
  <c r="EV263" i="25"/>
  <c r="FB263" i="25" s="1"/>
  <c r="EI263" i="25"/>
  <c r="EV305" i="25"/>
  <c r="FB305" i="25" s="1"/>
  <c r="EI305" i="25"/>
  <c r="EI231" i="25"/>
  <c r="EV231" i="25"/>
  <c r="FB231" i="25" s="1"/>
  <c r="EV246" i="25"/>
  <c r="FB246" i="25" s="1"/>
  <c r="EI246" i="25"/>
  <c r="EV230" i="25"/>
  <c r="FB230" i="25" s="1"/>
  <c r="EI230" i="25"/>
  <c r="EI262" i="25"/>
  <c r="EV262" i="25"/>
  <c r="FB262" i="25" s="1"/>
  <c r="EI285" i="25"/>
  <c r="EV285" i="25"/>
  <c r="FB285" i="25" s="1"/>
  <c r="EI310" i="25"/>
  <c r="EV310" i="25"/>
  <c r="FB310" i="25" s="1"/>
  <c r="EI280" i="25"/>
  <c r="EV280" i="25"/>
  <c r="FB280" i="25" s="1"/>
  <c r="EI289" i="25"/>
  <c r="EV289" i="25"/>
  <c r="FB289" i="25" s="1"/>
  <c r="EV271" i="25"/>
  <c r="FB271" i="25" s="1"/>
  <c r="EI271" i="25"/>
  <c r="EI222" i="25"/>
  <c r="EV222" i="25"/>
  <c r="FB222" i="25" s="1"/>
  <c r="EI240" i="25"/>
  <c r="EV240" i="25"/>
  <c r="FB240" i="25" s="1"/>
  <c r="EI229" i="25"/>
  <c r="EV229" i="25"/>
  <c r="FB229" i="25" s="1"/>
  <c r="EI241" i="25"/>
  <c r="EV241" i="25"/>
  <c r="FB241" i="25" s="1"/>
  <c r="EI226" i="25"/>
  <c r="EV226" i="25"/>
  <c r="FB226" i="25" s="1"/>
  <c r="EI304" i="25"/>
  <c r="EV304" i="25"/>
  <c r="FB304" i="25" s="1"/>
  <c r="EI272" i="25"/>
  <c r="EV272" i="25"/>
  <c r="FB272" i="25" s="1"/>
  <c r="EI288" i="25"/>
  <c r="EV288" i="25"/>
  <c r="FB288" i="25" s="1"/>
  <c r="EV264" i="25"/>
  <c r="FB264" i="25" s="1"/>
  <c r="EI264" i="25"/>
  <c r="EV306" i="25"/>
  <c r="FB306" i="25" s="1"/>
  <c r="EI306" i="25"/>
  <c r="EI255" i="25"/>
  <c r="EV255" i="25"/>
  <c r="FB255" i="25" s="1"/>
  <c r="EV314" i="25"/>
  <c r="FB314" i="25" s="1"/>
  <c r="EI314" i="25"/>
  <c r="EI224" i="25"/>
  <c r="EV224" i="25"/>
  <c r="FB224" i="25" s="1"/>
  <c r="EV221" i="25"/>
  <c r="FB221" i="25" s="1"/>
  <c r="EI221" i="25"/>
  <c r="EV311" i="25"/>
  <c r="FB311" i="25" s="1"/>
  <c r="EI311" i="25"/>
  <c r="EV257" i="25"/>
  <c r="FB257" i="25" s="1"/>
  <c r="EI257" i="25"/>
  <c r="EV287" i="25"/>
  <c r="FB287" i="25" s="1"/>
  <c r="EI287" i="25"/>
  <c r="EI297" i="25"/>
  <c r="EV297" i="25"/>
  <c r="FB297" i="25" s="1"/>
  <c r="EV284" i="25"/>
  <c r="FB284" i="25" s="1"/>
  <c r="EI284" i="25"/>
  <c r="EV238" i="25"/>
  <c r="FB238" i="25" s="1"/>
  <c r="EI238" i="25"/>
  <c r="EV236" i="25"/>
  <c r="FB236" i="25" s="1"/>
  <c r="EI236" i="25"/>
  <c r="EV260" i="25"/>
  <c r="FB260" i="25" s="1"/>
  <c r="EI260" i="25"/>
  <c r="EV273" i="25"/>
  <c r="FB273" i="25" s="1"/>
  <c r="EI273" i="25"/>
  <c r="EI248" i="25"/>
  <c r="EV248" i="25"/>
  <c r="FB248" i="25" s="1"/>
  <c r="EV245" i="25"/>
  <c r="FB245" i="25" s="1"/>
  <c r="EI245" i="25"/>
  <c r="EI309" i="25"/>
  <c r="EV309" i="25"/>
  <c r="FB309" i="25" s="1"/>
  <c r="EV269" i="25"/>
  <c r="FB269" i="25" s="1"/>
  <c r="EI269" i="25"/>
  <c r="EV220" i="25"/>
  <c r="FB220" i="25" s="1"/>
  <c r="EI220" i="25"/>
  <c r="EV234" i="25"/>
  <c r="FB234" i="25" s="1"/>
  <c r="EI234" i="25"/>
  <c r="EV256" i="25"/>
  <c r="FB256" i="25" s="1"/>
  <c r="EI256" i="25"/>
  <c r="EV277" i="25"/>
  <c r="FB277" i="25" s="1"/>
  <c r="EI277" i="25"/>
  <c r="EI247" i="25"/>
  <c r="EV247" i="25"/>
  <c r="FB247" i="25" s="1"/>
  <c r="EV233" i="25"/>
  <c r="FB233" i="25" s="1"/>
  <c r="EI233" i="25"/>
  <c r="EV276" i="25"/>
  <c r="FB276" i="25" s="1"/>
  <c r="EI276" i="25"/>
  <c r="EV265" i="25"/>
  <c r="FB265" i="25" s="1"/>
  <c r="EI265" i="25"/>
  <c r="EV254" i="25"/>
  <c r="FB254" i="25" s="1"/>
  <c r="EI254" i="25"/>
  <c r="EI217" i="25"/>
  <c r="EV217" i="25"/>
  <c r="FB217" i="25" s="1"/>
  <c r="EI235" i="25"/>
  <c r="EV235" i="25"/>
  <c r="FB235" i="25" s="1"/>
  <c r="CG78" i="24"/>
  <c r="EC74" i="24"/>
  <c r="ED74" i="24" s="1"/>
  <c r="EI112" i="25"/>
  <c r="EV112" i="25"/>
  <c r="FB112" i="25" s="1"/>
  <c r="EI103" i="25"/>
  <c r="EO103" i="25" s="1"/>
  <c r="EP103" i="25" s="1"/>
  <c r="EH74" i="24"/>
  <c r="EW74" i="24" s="1"/>
  <c r="BK110" i="24"/>
  <c r="EI74" i="24"/>
  <c r="EX74" i="24" s="1"/>
  <c r="EI64" i="25"/>
  <c r="EO64" i="25" s="1"/>
  <c r="EP64" i="25" s="1"/>
  <c r="CG89" i="24"/>
  <c r="FL89" i="24"/>
  <c r="CG149" i="24"/>
  <c r="FL149" i="24"/>
  <c r="CG120" i="24"/>
  <c r="FL120" i="24"/>
  <c r="CG93" i="24"/>
  <c r="FL93" i="24"/>
  <c r="CG135" i="24"/>
  <c r="FL135" i="24"/>
  <c r="CG193" i="24"/>
  <c r="FL193" i="24"/>
  <c r="CG38" i="24"/>
  <c r="FL38" i="24"/>
  <c r="CG171" i="24"/>
  <c r="FL171" i="24"/>
  <c r="CG207" i="24"/>
  <c r="FL207" i="24"/>
  <c r="CG173" i="24"/>
  <c r="FL173" i="24"/>
  <c r="CG27" i="24"/>
  <c r="FL27" i="24"/>
  <c r="CG167" i="24"/>
  <c r="FL167" i="24"/>
  <c r="CG22" i="24"/>
  <c r="FL22" i="24"/>
  <c r="CG197" i="24"/>
  <c r="FL197" i="24"/>
  <c r="CG41" i="24"/>
  <c r="FL41" i="24"/>
  <c r="CG26" i="24"/>
  <c r="FL26" i="24"/>
  <c r="CG128" i="24"/>
  <c r="FL128" i="24"/>
  <c r="EC23" i="24"/>
  <c r="ED23" i="24" s="1"/>
  <c r="FL23" i="24"/>
  <c r="CG13" i="24"/>
  <c r="FL13" i="24"/>
  <c r="CG132" i="24"/>
  <c r="FL132" i="24"/>
  <c r="CG160" i="24"/>
  <c r="FL160" i="24"/>
  <c r="CG186" i="24"/>
  <c r="FL186" i="24"/>
  <c r="CG52" i="24"/>
  <c r="FL52" i="24"/>
  <c r="CG144" i="24"/>
  <c r="FL144" i="24"/>
  <c r="CG208" i="24"/>
  <c r="FL208" i="24"/>
  <c r="CG145" i="24"/>
  <c r="FL145" i="24"/>
  <c r="CG53" i="24"/>
  <c r="FL53" i="24"/>
  <c r="CG168" i="24"/>
  <c r="FL168" i="24"/>
  <c r="CG87" i="24"/>
  <c r="FL87" i="24"/>
  <c r="CG100" i="24"/>
  <c r="FL100" i="24"/>
  <c r="CG15" i="24"/>
  <c r="FL15" i="24"/>
  <c r="CG16" i="24"/>
  <c r="FL16" i="24"/>
  <c r="CG148" i="24"/>
  <c r="FL148" i="24"/>
  <c r="CG51" i="24"/>
  <c r="FL51" i="24"/>
  <c r="CG182" i="24"/>
  <c r="FL182" i="24"/>
  <c r="CG174" i="24"/>
  <c r="FL174" i="24"/>
  <c r="CG152" i="24"/>
  <c r="FL152" i="24"/>
  <c r="CG147" i="24"/>
  <c r="FL147" i="24"/>
  <c r="EH67" i="24"/>
  <c r="EW67" i="24" s="1"/>
  <c r="FL67" i="24"/>
  <c r="EZ47" i="25"/>
  <c r="FB47" i="25" s="1"/>
  <c r="CG37" i="24"/>
  <c r="FL37" i="24"/>
  <c r="CG60" i="24"/>
  <c r="FL60" i="24"/>
  <c r="CG191" i="24"/>
  <c r="FL191" i="24"/>
  <c r="CG118" i="24"/>
  <c r="FL118" i="24"/>
  <c r="CG18" i="24"/>
  <c r="FL18" i="24"/>
  <c r="CG61" i="24"/>
  <c r="FL61" i="24"/>
  <c r="CG21" i="24"/>
  <c r="FL21" i="24"/>
  <c r="CG7" i="24"/>
  <c r="FL7" i="24"/>
  <c r="CG36" i="24"/>
  <c r="FL36" i="24"/>
  <c r="CG42" i="24"/>
  <c r="FL42" i="24"/>
  <c r="CG117" i="24"/>
  <c r="FL117" i="24"/>
  <c r="CG158" i="24"/>
  <c r="FL158" i="24"/>
  <c r="CG102" i="24"/>
  <c r="FL102" i="24"/>
  <c r="CG84" i="24"/>
  <c r="FL84" i="24"/>
  <c r="CG179" i="24"/>
  <c r="FL179" i="24"/>
  <c r="CG137" i="24"/>
  <c r="FL137" i="24"/>
  <c r="EI43" i="24"/>
  <c r="EX43" i="24" s="1"/>
  <c r="FL43" i="24"/>
  <c r="EC40" i="24"/>
  <c r="ED40" i="24" s="1"/>
  <c r="FL40" i="24"/>
  <c r="CG124" i="24"/>
  <c r="FL124" i="24"/>
  <c r="CG48" i="24"/>
  <c r="FL48" i="24"/>
  <c r="CG55" i="24"/>
  <c r="FL55" i="24"/>
  <c r="CG94" i="24"/>
  <c r="FL94" i="24"/>
  <c r="CG178" i="24"/>
  <c r="FL178" i="24"/>
  <c r="CG194" i="24"/>
  <c r="FL194" i="24"/>
  <c r="CG121" i="24"/>
  <c r="FL121" i="24"/>
  <c r="CG165" i="24"/>
  <c r="FL165" i="24"/>
  <c r="CG82" i="24"/>
  <c r="FL82" i="24"/>
  <c r="CG164" i="24"/>
  <c r="FL164" i="24"/>
  <c r="CG46" i="24"/>
  <c r="FL46" i="24"/>
  <c r="CG140" i="24"/>
  <c r="FL140" i="24"/>
  <c r="CG205" i="24"/>
  <c r="FL205" i="24"/>
  <c r="CG47" i="24"/>
  <c r="FL47" i="24"/>
  <c r="CG157" i="24"/>
  <c r="FL157" i="24"/>
  <c r="CG103" i="24"/>
  <c r="FL103" i="24"/>
  <c r="CG188" i="24"/>
  <c r="FL188" i="24"/>
  <c r="CG151" i="24"/>
  <c r="FL151" i="24"/>
  <c r="CG156" i="24"/>
  <c r="FL156" i="24"/>
  <c r="CG73" i="24"/>
  <c r="FL73" i="24"/>
  <c r="CG20" i="24"/>
  <c r="FL20" i="24"/>
  <c r="CG85" i="24"/>
  <c r="FL85" i="24"/>
  <c r="CG19" i="24"/>
  <c r="FL19" i="24"/>
  <c r="CG95" i="24"/>
  <c r="FL95" i="24"/>
  <c r="CG123" i="24"/>
  <c r="FL123" i="24"/>
  <c r="CG6" i="24"/>
  <c r="FL6" i="24"/>
  <c r="EH77" i="24"/>
  <c r="EW77" i="24" s="1"/>
  <c r="FL77" i="24"/>
  <c r="CG111" i="24"/>
  <c r="FL111" i="24"/>
  <c r="CG133" i="24"/>
  <c r="FL133" i="24"/>
  <c r="CG44" i="24"/>
  <c r="FL44" i="24"/>
  <c r="CG79" i="24"/>
  <c r="FL79" i="24"/>
  <c r="CG203" i="24"/>
  <c r="FL203" i="24"/>
  <c r="CG130" i="24"/>
  <c r="FL130" i="24"/>
  <c r="CG183" i="24"/>
  <c r="FL183" i="24"/>
  <c r="CG57" i="24"/>
  <c r="FL57" i="24"/>
  <c r="CG80" i="24"/>
  <c r="FL80" i="24"/>
  <c r="CG54" i="24"/>
  <c r="FL54" i="24"/>
  <c r="CG97" i="24"/>
  <c r="FL97" i="24"/>
  <c r="CG65" i="24"/>
  <c r="FL65" i="24"/>
  <c r="CG198" i="24"/>
  <c r="FL198" i="24"/>
  <c r="CG187" i="24"/>
  <c r="FL187" i="24"/>
  <c r="CG131" i="24"/>
  <c r="FL131" i="24"/>
  <c r="CG163" i="24"/>
  <c r="FL163" i="24"/>
  <c r="CG129" i="24"/>
  <c r="FL129" i="24"/>
  <c r="CG68" i="24"/>
  <c r="FL68" i="24"/>
  <c r="CG64" i="24"/>
  <c r="FL64" i="24"/>
  <c r="CG34" i="24"/>
  <c r="FL34" i="24"/>
  <c r="CG115" i="24"/>
  <c r="FL115" i="24"/>
  <c r="CG116" i="24"/>
  <c r="FL116" i="24"/>
  <c r="CG138" i="24"/>
  <c r="FL138" i="24"/>
  <c r="CG125" i="24"/>
  <c r="FL125" i="24"/>
  <c r="CG175" i="24"/>
  <c r="FL175" i="24"/>
  <c r="CG200" i="24"/>
  <c r="FL200" i="24"/>
  <c r="CG105" i="24"/>
  <c r="FL105" i="24"/>
  <c r="CG189" i="24"/>
  <c r="FL189" i="24"/>
  <c r="CG9" i="24"/>
  <c r="FL9" i="24"/>
  <c r="CG139" i="24"/>
  <c r="FL139" i="24"/>
  <c r="CG206" i="24"/>
  <c r="FL206" i="24"/>
  <c r="CG161" i="24"/>
  <c r="FL161" i="24"/>
  <c r="CG31" i="24"/>
  <c r="FL31" i="24"/>
  <c r="CG28" i="24"/>
  <c r="FL28" i="24"/>
  <c r="CG10" i="24"/>
  <c r="FL10" i="24"/>
  <c r="EI136" i="24"/>
  <c r="EX136" i="24" s="1"/>
  <c r="FL136" i="24"/>
  <c r="EH142" i="24"/>
  <c r="EW142" i="24" s="1"/>
  <c r="FL142" i="24"/>
  <c r="CG63" i="24"/>
  <c r="FL63" i="24"/>
  <c r="CG90" i="24"/>
  <c r="FL90" i="24"/>
  <c r="CG39" i="24"/>
  <c r="FL39" i="24"/>
  <c r="CG8" i="24"/>
  <c r="FL8" i="24"/>
  <c r="CG210" i="24"/>
  <c r="FL210" i="24"/>
  <c r="CG56" i="24"/>
  <c r="FL56" i="24"/>
  <c r="CG12" i="24"/>
  <c r="FL12" i="24"/>
  <c r="CG25" i="24"/>
  <c r="FL25" i="24"/>
  <c r="CG35" i="24"/>
  <c r="FL35" i="24"/>
  <c r="CG91" i="24"/>
  <c r="FL91" i="24"/>
  <c r="CG119" i="24"/>
  <c r="FL119" i="24"/>
  <c r="CG59" i="24"/>
  <c r="FL59" i="24"/>
  <c r="CG17" i="24"/>
  <c r="FL17" i="24"/>
  <c r="CG101" i="24"/>
  <c r="FL101" i="24"/>
  <c r="CG72" i="24"/>
  <c r="FL72" i="24"/>
  <c r="CG70" i="24"/>
  <c r="FL70" i="24"/>
  <c r="CG204" i="24"/>
  <c r="FL204" i="24"/>
  <c r="CG166" i="24"/>
  <c r="FL166" i="24"/>
  <c r="CG75" i="24"/>
  <c r="FL75" i="24"/>
  <c r="CG162" i="24"/>
  <c r="FL162" i="24"/>
  <c r="CG196" i="24"/>
  <c r="FL196" i="24"/>
  <c r="CG49" i="24"/>
  <c r="FL49" i="24"/>
  <c r="CG86" i="24"/>
  <c r="FL86" i="24"/>
  <c r="CG66" i="24"/>
  <c r="FL66" i="24"/>
  <c r="CG45" i="24"/>
  <c r="FL45" i="24"/>
  <c r="CG181" i="24"/>
  <c r="FL181" i="24"/>
  <c r="CG180" i="24"/>
  <c r="FL180" i="24"/>
  <c r="CG143" i="24"/>
  <c r="FL143" i="24"/>
  <c r="CG88" i="24"/>
  <c r="FL88" i="24"/>
  <c r="CG76" i="24"/>
  <c r="FL76" i="24"/>
  <c r="CG122" i="24"/>
  <c r="FL122" i="24"/>
  <c r="CG202" i="24"/>
  <c r="FL202" i="24"/>
  <c r="CG177" i="24"/>
  <c r="FL177" i="24"/>
  <c r="CG195" i="24"/>
  <c r="FL195" i="24"/>
  <c r="CG146" i="24"/>
  <c r="FL146" i="24"/>
  <c r="CG69" i="24"/>
  <c r="FL69" i="24"/>
  <c r="EH159" i="24"/>
  <c r="EW159" i="24" s="1"/>
  <c r="FL159" i="24"/>
  <c r="EC62" i="24"/>
  <c r="ED62" i="24" s="1"/>
  <c r="FL62" i="24"/>
  <c r="CG170" i="24"/>
  <c r="FL170" i="24"/>
  <c r="CG199" i="24"/>
  <c r="FL199" i="24"/>
  <c r="CG71" i="24"/>
  <c r="FL71" i="24"/>
  <c r="CG126" i="24"/>
  <c r="FL126" i="24"/>
  <c r="EC169" i="24"/>
  <c r="ED169" i="24" s="1"/>
  <c r="FL169" i="24"/>
  <c r="CG153" i="24"/>
  <c r="FL153" i="24"/>
  <c r="CG113" i="24"/>
  <c r="FL113" i="24"/>
  <c r="CG11" i="24"/>
  <c r="FL11" i="24"/>
  <c r="CG185" i="24"/>
  <c r="FL185" i="24"/>
  <c r="CG99" i="24"/>
  <c r="FL99" i="24"/>
  <c r="CG30" i="24"/>
  <c r="FL30" i="24"/>
  <c r="CG154" i="24"/>
  <c r="FL154" i="24"/>
  <c r="CG24" i="24"/>
  <c r="FL24" i="24"/>
  <c r="CG112" i="24"/>
  <c r="FL112" i="24"/>
  <c r="CG150" i="24"/>
  <c r="FL150" i="24"/>
  <c r="CG33" i="24"/>
  <c r="FL33" i="24"/>
  <c r="CG184" i="24"/>
  <c r="FL184" i="24"/>
  <c r="CG176" i="24"/>
  <c r="FL176" i="24"/>
  <c r="CG98" i="24"/>
  <c r="FL98" i="24"/>
  <c r="CG155" i="24"/>
  <c r="FL155" i="24"/>
  <c r="CG58" i="24"/>
  <c r="FL58" i="24"/>
  <c r="CG50" i="24"/>
  <c r="FL50" i="24"/>
  <c r="CG114" i="24"/>
  <c r="FL114" i="24"/>
  <c r="CG209" i="24"/>
  <c r="FL209" i="24"/>
  <c r="CG32" i="24"/>
  <c r="FL32" i="24"/>
  <c r="CG141" i="24"/>
  <c r="FL141" i="24"/>
  <c r="CG201" i="24"/>
  <c r="FL201" i="24"/>
  <c r="EI29" i="24"/>
  <c r="EX29" i="24" s="1"/>
  <c r="FL29" i="24"/>
  <c r="CG192" i="24"/>
  <c r="FL192" i="24"/>
  <c r="CG104" i="24"/>
  <c r="FL104" i="24"/>
  <c r="EI39" i="24"/>
  <c r="EX39" i="24" s="1"/>
  <c r="EH39" i="24"/>
  <c r="EW39" i="24" s="1"/>
  <c r="EC39" i="24"/>
  <c r="ED39" i="24" s="1"/>
  <c r="EI92" i="24"/>
  <c r="EX92" i="24" s="1"/>
  <c r="CG74" i="24"/>
  <c r="EH132" i="24"/>
  <c r="EK132" i="24" s="1"/>
  <c r="EH44" i="24"/>
  <c r="EW44" i="24" s="1"/>
  <c r="EC44" i="24"/>
  <c r="ED44" i="24" s="1"/>
  <c r="EI44" i="24"/>
  <c r="EX44" i="24" s="1"/>
  <c r="EV17" i="25"/>
  <c r="EZ17" i="25" s="1"/>
  <c r="FB17" i="25" s="1"/>
  <c r="EI33" i="25"/>
  <c r="EO33" i="25" s="1"/>
  <c r="EP33" i="25" s="1"/>
  <c r="EI169" i="24"/>
  <c r="EX169" i="24" s="1"/>
  <c r="EH169" i="24"/>
  <c r="CG169" i="24"/>
  <c r="EI132" i="24"/>
  <c r="EX132" i="24" s="1"/>
  <c r="EH160" i="24"/>
  <c r="EK160" i="24" s="1"/>
  <c r="EI160" i="24"/>
  <c r="EX160" i="24" s="1"/>
  <c r="EI127" i="24"/>
  <c r="EX127" i="24" s="1"/>
  <c r="EC160" i="24"/>
  <c r="ED160" i="24" s="1"/>
  <c r="EC132" i="24"/>
  <c r="ED132" i="24" s="1"/>
  <c r="EV164" i="25"/>
  <c r="FB164" i="25" s="1"/>
  <c r="EC52" i="24"/>
  <c r="ED52" i="24" s="1"/>
  <c r="EI52" i="24"/>
  <c r="EX52" i="24" s="1"/>
  <c r="EH52" i="24"/>
  <c r="EW52" i="24" s="1"/>
  <c r="EI133" i="24"/>
  <c r="EX133" i="24" s="1"/>
  <c r="EC133" i="24"/>
  <c r="ED133" i="24" s="1"/>
  <c r="EH133" i="24"/>
  <c r="EW133" i="24" s="1"/>
  <c r="EC104" i="24"/>
  <c r="ED104" i="24" s="1"/>
  <c r="EC37" i="24"/>
  <c r="ED37" i="24" s="1"/>
  <c r="EZ103" i="25"/>
  <c r="FB103" i="25" s="1"/>
  <c r="EC127" i="24"/>
  <c r="ED127" i="24" s="1"/>
  <c r="EI58" i="25"/>
  <c r="EO58" i="25" s="1"/>
  <c r="EP58" i="25" s="1"/>
  <c r="EH152" i="24"/>
  <c r="EK152" i="24" s="1"/>
  <c r="EZ64" i="25"/>
  <c r="FB64" i="25" s="1"/>
  <c r="EI77" i="25"/>
  <c r="EO77" i="25" s="1"/>
  <c r="EP77" i="25" s="1"/>
  <c r="EH127" i="24"/>
  <c r="EK127" i="24" s="1"/>
  <c r="CG127" i="24"/>
  <c r="EI55" i="24"/>
  <c r="EX55" i="24" s="1"/>
  <c r="EH83" i="24"/>
  <c r="EK83" i="24" s="1"/>
  <c r="EQ83" i="24" s="1"/>
  <c r="EZ89" i="25"/>
  <c r="FB89" i="25" s="1"/>
  <c r="EH48" i="24"/>
  <c r="EK48" i="24" s="1"/>
  <c r="EQ48" i="24" s="1"/>
  <c r="EZ96" i="25"/>
  <c r="FB96" i="25" s="1"/>
  <c r="EH37" i="24"/>
  <c r="EK37" i="24" s="1"/>
  <c r="EQ37" i="24" s="1"/>
  <c r="EI37" i="24"/>
  <c r="EX37" i="24" s="1"/>
  <c r="EV90" i="25"/>
  <c r="EZ90" i="25" s="1"/>
  <c r="FB90" i="25" s="1"/>
  <c r="EI172" i="24"/>
  <c r="EX172" i="24" s="1"/>
  <c r="EI96" i="25"/>
  <c r="EO96" i="25" s="1"/>
  <c r="EI183" i="25"/>
  <c r="EP183" i="25" s="1"/>
  <c r="EH29" i="24"/>
  <c r="EK29" i="24" s="1"/>
  <c r="EQ29" i="24" s="1"/>
  <c r="EI201" i="24"/>
  <c r="EX201" i="24" s="1"/>
  <c r="EI128" i="25"/>
  <c r="EP128" i="25" s="1"/>
  <c r="EV145" i="25"/>
  <c r="FB145" i="25" s="1"/>
  <c r="EH126" i="24"/>
  <c r="EK126" i="24" s="1"/>
  <c r="FB183" i="25"/>
  <c r="EI99" i="25"/>
  <c r="EO99" i="25" s="1"/>
  <c r="EP99" i="25" s="1"/>
  <c r="EI126" i="24"/>
  <c r="EX126" i="24" s="1"/>
  <c r="EC126" i="24"/>
  <c r="ED126" i="24" s="1"/>
  <c r="FB128" i="25"/>
  <c r="EH63" i="24"/>
  <c r="EW63" i="24" s="1"/>
  <c r="EV185" i="25"/>
  <c r="FB185" i="25" s="1"/>
  <c r="EC111" i="24"/>
  <c r="ED111" i="24" s="1"/>
  <c r="EC63" i="24"/>
  <c r="ED63" i="24" s="1"/>
  <c r="EH30" i="24"/>
  <c r="EK30" i="24" s="1"/>
  <c r="EQ30" i="24" s="1"/>
  <c r="EI63" i="24"/>
  <c r="EX63" i="24" s="1"/>
  <c r="EI30" i="24"/>
  <c r="EX30" i="24" s="1"/>
  <c r="EC30" i="24"/>
  <c r="ED30" i="24" s="1"/>
  <c r="EI83" i="24"/>
  <c r="EX83" i="24" s="1"/>
  <c r="EH111" i="24"/>
  <c r="EW111" i="24" s="1"/>
  <c r="EI111" i="24"/>
  <c r="EX111" i="24" s="1"/>
  <c r="EI47" i="25"/>
  <c r="EO47" i="25" s="1"/>
  <c r="EI37" i="25"/>
  <c r="EO37" i="25" s="1"/>
  <c r="EP37" i="25" s="1"/>
  <c r="EZ33" i="25"/>
  <c r="FB33" i="25" s="1"/>
  <c r="EZ95" i="25"/>
  <c r="FB95" i="25" s="1"/>
  <c r="EZ97" i="25"/>
  <c r="FB97" i="25" s="1"/>
  <c r="FB158" i="25"/>
  <c r="EI81" i="24"/>
  <c r="EX81" i="24" s="1"/>
  <c r="EH71" i="24"/>
  <c r="EK71" i="24" s="1"/>
  <c r="EQ71" i="24" s="1"/>
  <c r="EI95" i="25"/>
  <c r="EO95" i="25" s="1"/>
  <c r="EI74" i="25"/>
  <c r="EO74" i="25" s="1"/>
  <c r="EP74" i="25" s="1"/>
  <c r="EI97" i="25"/>
  <c r="EO97" i="25" s="1"/>
  <c r="EP97" i="25" s="1"/>
  <c r="EI158" i="25"/>
  <c r="FC158" i="25" s="1"/>
  <c r="FE158" i="25" s="1"/>
  <c r="FF158" i="25" s="1"/>
  <c r="EI93" i="25"/>
  <c r="EO93" i="25" s="1"/>
  <c r="EP93" i="25" s="1"/>
  <c r="FB131" i="25"/>
  <c r="EI131" i="25"/>
  <c r="EP131" i="25" s="1"/>
  <c r="EZ99" i="25"/>
  <c r="FB99" i="25" s="1"/>
  <c r="FC182" i="25"/>
  <c r="FE182" i="25" s="1"/>
  <c r="FF182" i="25" s="1"/>
  <c r="EC172" i="24"/>
  <c r="ED172" i="24" s="1"/>
  <c r="CG172" i="24"/>
  <c r="EZ58" i="25"/>
  <c r="FB58" i="25" s="1"/>
  <c r="EH172" i="24"/>
  <c r="EW172" i="24" s="1"/>
  <c r="EI71" i="24"/>
  <c r="EX71" i="24" s="1"/>
  <c r="EZ74" i="25"/>
  <c r="FB74" i="25" s="1"/>
  <c r="EC71" i="24"/>
  <c r="ED71" i="24" s="1"/>
  <c r="EZ93" i="25"/>
  <c r="FB93" i="25" s="1"/>
  <c r="EI173" i="25"/>
  <c r="EP173" i="25" s="1"/>
  <c r="EI137" i="25"/>
  <c r="FC137" i="25" s="1"/>
  <c r="FE137" i="25" s="1"/>
  <c r="FF137" i="25" s="1"/>
  <c r="EV42" i="25"/>
  <c r="EZ42" i="25" s="1"/>
  <c r="FB42" i="25" s="1"/>
  <c r="EI192" i="24"/>
  <c r="EX192" i="24" s="1"/>
  <c r="CG275" i="24"/>
  <c r="CG265" i="24"/>
  <c r="I216" i="24"/>
  <c r="EC192" i="24"/>
  <c r="ED192" i="24" s="1"/>
  <c r="CG240" i="24"/>
  <c r="CG14" i="24"/>
  <c r="CG29" i="24"/>
  <c r="CG252" i="24"/>
  <c r="EI104" i="24"/>
  <c r="EX104" i="24" s="1"/>
  <c r="EH192" i="24"/>
  <c r="EW192" i="24" s="1"/>
  <c r="EV56" i="25"/>
  <c r="EZ56" i="25" s="1"/>
  <c r="FB56" i="25" s="1"/>
  <c r="CG277" i="24"/>
  <c r="CG239" i="24"/>
  <c r="CG293" i="24"/>
  <c r="CG278" i="24"/>
  <c r="CG249" i="24"/>
  <c r="EH104" i="24"/>
  <c r="EK104" i="24" s="1"/>
  <c r="EQ104" i="24" s="1"/>
  <c r="CG297" i="24"/>
  <c r="EZ73" i="25"/>
  <c r="FB73" i="25" s="1"/>
  <c r="EH90" i="24"/>
  <c r="EC90" i="24"/>
  <c r="ED90" i="24" s="1"/>
  <c r="EI90" i="24"/>
  <c r="EX90" i="24" s="1"/>
  <c r="CG251" i="24"/>
  <c r="CG290" i="24"/>
  <c r="CG232" i="24"/>
  <c r="CG222" i="24"/>
  <c r="CG272" i="24"/>
  <c r="CG40" i="24"/>
  <c r="CG62" i="24"/>
  <c r="CG254" i="24"/>
  <c r="CG260" i="24"/>
  <c r="CG219" i="24"/>
  <c r="CG269" i="24"/>
  <c r="CG231" i="24"/>
  <c r="CG223" i="24"/>
  <c r="CG314" i="24"/>
  <c r="CG83" i="24"/>
  <c r="CG264" i="24"/>
  <c r="CG292" i="24"/>
  <c r="CG263" i="24"/>
  <c r="CG281" i="24"/>
  <c r="CG77" i="24"/>
  <c r="CG273" i="24"/>
  <c r="CG271" i="24"/>
  <c r="CG230" i="24"/>
  <c r="CG258" i="24"/>
  <c r="CG234" i="24"/>
  <c r="CG298" i="24"/>
  <c r="CG283" i="24"/>
  <c r="CG142" i="24"/>
  <c r="CG227" i="24"/>
  <c r="CG228" i="24"/>
  <c r="CG287" i="24"/>
  <c r="CG279" i="24"/>
  <c r="CG303" i="24"/>
  <c r="CG315" i="24"/>
  <c r="CG246" i="24"/>
  <c r="CG244" i="24"/>
  <c r="CG304" i="24"/>
  <c r="CG256" i="24"/>
  <c r="CG81" i="24"/>
  <c r="CG253" i="24"/>
  <c r="CG312" i="24"/>
  <c r="CG274" i="24"/>
  <c r="CG309" i="24"/>
  <c r="CG276" i="24"/>
  <c r="CG313" i="24"/>
  <c r="CG316" i="24"/>
  <c r="CG302" i="24"/>
  <c r="EI142" i="24"/>
  <c r="EX142" i="24" s="1"/>
  <c r="EC136" i="24"/>
  <c r="ED136" i="24" s="1"/>
  <c r="CG301" i="24"/>
  <c r="CG307" i="24"/>
  <c r="CG218" i="24"/>
  <c r="CG257" i="24"/>
  <c r="CG295" i="24"/>
  <c r="CG268" i="24"/>
  <c r="CG294" i="24"/>
  <c r="CG220" i="24"/>
  <c r="CG308" i="24"/>
  <c r="CG289" i="24"/>
  <c r="CG267" i="24"/>
  <c r="CG224" i="24"/>
  <c r="CG262" i="24"/>
  <c r="CG235" i="24"/>
  <c r="CG259" i="24"/>
  <c r="CG221" i="24"/>
  <c r="EH40" i="24"/>
  <c r="EW40" i="24" s="1"/>
  <c r="EC142" i="24"/>
  <c r="ED142" i="24" s="1"/>
  <c r="EV156" i="25"/>
  <c r="FB156" i="25" s="1"/>
  <c r="CG229" i="24"/>
  <c r="CG136" i="24"/>
  <c r="CG238" i="24"/>
  <c r="CG241" i="24"/>
  <c r="CG261" i="24"/>
  <c r="CG236" i="24"/>
  <c r="CG255" i="24"/>
  <c r="CG226" i="24"/>
  <c r="CG282" i="24"/>
  <c r="CG233" i="24"/>
  <c r="CG280" i="24"/>
  <c r="CG310" i="24"/>
  <c r="CG306" i="24"/>
  <c r="CG300" i="24"/>
  <c r="CG225" i="24"/>
  <c r="CG250" i="24"/>
  <c r="CG43" i="24"/>
  <c r="EH136" i="24"/>
  <c r="EK136" i="24" s="1"/>
  <c r="EI73" i="25"/>
  <c r="EO73" i="25" s="1"/>
  <c r="EP73" i="25" s="1"/>
  <c r="CG134" i="24"/>
  <c r="CG247" i="24"/>
  <c r="CG296" i="24"/>
  <c r="CG311" i="24"/>
  <c r="CG286" i="24"/>
  <c r="CG217" i="24"/>
  <c r="CG237" i="24"/>
  <c r="CG270" i="24"/>
  <c r="CG305" i="24"/>
  <c r="CG291" i="24"/>
  <c r="CG23" i="24"/>
  <c r="CG288" i="24"/>
  <c r="CG248" i="24"/>
  <c r="CG284" i="24"/>
  <c r="CG299" i="24"/>
  <c r="CG159" i="24"/>
  <c r="CG266" i="24"/>
  <c r="CG245" i="24"/>
  <c r="CG67" i="24"/>
  <c r="EZ77" i="25"/>
  <c r="FB77" i="25" s="1"/>
  <c r="EI25" i="25"/>
  <c r="EO25" i="25" s="1"/>
  <c r="EP25" i="25" s="1"/>
  <c r="EZ37" i="25"/>
  <c r="FB37" i="25" s="1"/>
  <c r="EI40" i="24"/>
  <c r="EX40" i="24" s="1"/>
  <c r="EI48" i="24"/>
  <c r="EX48" i="24" s="1"/>
  <c r="EC83" i="24"/>
  <c r="ED83" i="24" s="1"/>
  <c r="EI129" i="25"/>
  <c r="EP129" i="25" s="1"/>
  <c r="EI186" i="24"/>
  <c r="EX186" i="24" s="1"/>
  <c r="EC48" i="24"/>
  <c r="ED48" i="24" s="1"/>
  <c r="EI34" i="25"/>
  <c r="EO34" i="25" s="1"/>
  <c r="EP34" i="25" s="1"/>
  <c r="EC43" i="24"/>
  <c r="ED43" i="24" s="1"/>
  <c r="EH186" i="24"/>
  <c r="EK186" i="24" s="1"/>
  <c r="EH43" i="24"/>
  <c r="EW43" i="24" s="1"/>
  <c r="EC186" i="24"/>
  <c r="ED186" i="24" s="1"/>
  <c r="EI9" i="25"/>
  <c r="EO9" i="25" s="1"/>
  <c r="EP9" i="25" s="1"/>
  <c r="EH170" i="24"/>
  <c r="EW170" i="24" s="1"/>
  <c r="EH99" i="24"/>
  <c r="EW99" i="24" s="1"/>
  <c r="EH55" i="24"/>
  <c r="EW55" i="24" s="1"/>
  <c r="EI170" i="24"/>
  <c r="EX170" i="24" s="1"/>
  <c r="EC55" i="24"/>
  <c r="ED55" i="24" s="1"/>
  <c r="EC170" i="24"/>
  <c r="ED170" i="24" s="1"/>
  <c r="EZ83" i="25"/>
  <c r="FB83" i="25" s="1"/>
  <c r="EH23" i="24"/>
  <c r="EW23" i="24" s="1"/>
  <c r="EH124" i="24"/>
  <c r="EK124" i="24" s="1"/>
  <c r="EI14" i="24"/>
  <c r="EX14" i="24" s="1"/>
  <c r="EC67" i="24"/>
  <c r="ED67" i="24" s="1"/>
  <c r="EI83" i="25"/>
  <c r="EO83" i="25" s="1"/>
  <c r="EP83" i="25" s="1"/>
  <c r="EC99" i="24"/>
  <c r="ED99" i="24" s="1"/>
  <c r="EH14" i="24"/>
  <c r="EW14" i="24" s="1"/>
  <c r="EI67" i="24"/>
  <c r="EX67" i="24" s="1"/>
  <c r="EC124" i="24"/>
  <c r="ED124" i="24" s="1"/>
  <c r="EI99" i="24"/>
  <c r="EX99" i="24" s="1"/>
  <c r="EI23" i="24"/>
  <c r="EX23" i="24" s="1"/>
  <c r="EC14" i="24"/>
  <c r="ED14" i="24" s="1"/>
  <c r="EI124" i="24"/>
  <c r="EX124" i="24" s="1"/>
  <c r="EI81" i="25"/>
  <c r="EO81" i="25" s="1"/>
  <c r="EP81" i="25" s="1"/>
  <c r="EV169" i="25"/>
  <c r="FC169" i="25" s="1"/>
  <c r="FE169" i="25" s="1"/>
  <c r="FF169" i="25" s="1"/>
  <c r="EI199" i="25"/>
  <c r="FC199" i="25" s="1"/>
  <c r="FE199" i="25" s="1"/>
  <c r="FF199" i="25" s="1"/>
  <c r="EI178" i="25"/>
  <c r="EP178" i="25" s="1"/>
  <c r="FB199" i="25"/>
  <c r="EV194" i="25"/>
  <c r="FB194" i="25" s="1"/>
  <c r="EI141" i="25"/>
  <c r="FC141" i="25" s="1"/>
  <c r="FE141" i="25" s="1"/>
  <c r="FF141" i="25" s="1"/>
  <c r="EV171" i="25"/>
  <c r="FB171" i="25" s="1"/>
  <c r="ER5" i="24"/>
  <c r="FC5" i="24"/>
  <c r="FE5" i="24" s="1"/>
  <c r="FF5" i="24" s="1"/>
  <c r="U110" i="24"/>
  <c r="N110" i="24"/>
  <c r="ER110" i="24"/>
  <c r="FC110" i="24"/>
  <c r="FE110" i="24" s="1"/>
  <c r="FF110" i="24" s="1"/>
  <c r="FB178" i="25"/>
  <c r="FB141" i="25"/>
  <c r="FB137" i="25"/>
  <c r="EC159" i="24"/>
  <c r="ED159" i="24" s="1"/>
  <c r="EI159" i="24"/>
  <c r="EX159" i="24" s="1"/>
  <c r="EI152" i="24"/>
  <c r="EX152" i="24" s="1"/>
  <c r="EC81" i="24"/>
  <c r="ED81" i="24" s="1"/>
  <c r="EC29" i="24"/>
  <c r="ED29" i="24" s="1"/>
  <c r="EC152" i="24"/>
  <c r="ED152" i="24" s="1"/>
  <c r="EZ81" i="25"/>
  <c r="FB81" i="25" s="1"/>
  <c r="EC199" i="24"/>
  <c r="ED199" i="24" s="1"/>
  <c r="EH199" i="24"/>
  <c r="EK199" i="24" s="1"/>
  <c r="EH147" i="24"/>
  <c r="EK147" i="24" s="1"/>
  <c r="EH81" i="24"/>
  <c r="EW81" i="24" s="1"/>
  <c r="EI147" i="24"/>
  <c r="EX147" i="24" s="1"/>
  <c r="EI199" i="24"/>
  <c r="EX199" i="24" s="1"/>
  <c r="EC147" i="24"/>
  <c r="ED147" i="24" s="1"/>
  <c r="FB173" i="25"/>
  <c r="FB129" i="25"/>
  <c r="EC201" i="24"/>
  <c r="ED201" i="24" s="1"/>
  <c r="FB180" i="25"/>
  <c r="EH134" i="24"/>
  <c r="EK134" i="24" s="1"/>
  <c r="EI49" i="25"/>
  <c r="EO49" i="25" s="1"/>
  <c r="EP49" i="25" s="1"/>
  <c r="EI180" i="25"/>
  <c r="FC180" i="25" s="1"/>
  <c r="FE180" i="25" s="1"/>
  <c r="FF180" i="25" s="1"/>
  <c r="EI87" i="25"/>
  <c r="EO87" i="25" s="1"/>
  <c r="EP87" i="25" s="1"/>
  <c r="EI77" i="24"/>
  <c r="EX77" i="24" s="1"/>
  <c r="EZ9" i="25"/>
  <c r="FB9" i="25" s="1"/>
  <c r="EC77" i="24"/>
  <c r="ED77" i="24" s="1"/>
  <c r="EH13" i="24"/>
  <c r="EK13" i="24" s="1"/>
  <c r="EQ13" i="24" s="1"/>
  <c r="EC13" i="24"/>
  <c r="ED13" i="24" s="1"/>
  <c r="EI13" i="24"/>
  <c r="EX13" i="24" s="1"/>
  <c r="EZ49" i="25"/>
  <c r="FB49" i="25" s="1"/>
  <c r="EZ23" i="25"/>
  <c r="FB23" i="25" s="1"/>
  <c r="EZ25" i="25"/>
  <c r="FB25" i="25" s="1"/>
  <c r="FB111" i="25"/>
  <c r="EI23" i="25"/>
  <c r="EO23" i="25" s="1"/>
  <c r="EP23" i="25" s="1"/>
  <c r="EI111" i="25"/>
  <c r="EP111" i="25" s="1"/>
  <c r="EZ87" i="25"/>
  <c r="FB87" i="25" s="1"/>
  <c r="EZ34" i="25"/>
  <c r="FB34" i="25" s="1"/>
  <c r="EH201" i="24"/>
  <c r="EK201" i="24" s="1"/>
  <c r="EH62" i="24"/>
  <c r="EW62" i="24" s="1"/>
  <c r="EP185" i="25"/>
  <c r="EV70" i="25"/>
  <c r="EZ70" i="25" s="1"/>
  <c r="FB70" i="25" s="1"/>
  <c r="EI70" i="25"/>
  <c r="EO70" i="25" s="1"/>
  <c r="EV48" i="25"/>
  <c r="EZ48" i="25" s="1"/>
  <c r="FB48" i="25" s="1"/>
  <c r="EI48" i="25"/>
  <c r="EO48" i="25" s="1"/>
  <c r="EV200" i="25"/>
  <c r="FB200" i="25" s="1"/>
  <c r="EI200" i="25"/>
  <c r="EV53" i="25"/>
  <c r="EZ53" i="25" s="1"/>
  <c r="FB53" i="25" s="1"/>
  <c r="EI53" i="25"/>
  <c r="EO53" i="25" s="1"/>
  <c r="EV204" i="25"/>
  <c r="FB204" i="25" s="1"/>
  <c r="EI204" i="25"/>
  <c r="EV22" i="25"/>
  <c r="EZ22" i="25" s="1"/>
  <c r="FB22" i="25" s="1"/>
  <c r="EI22" i="25"/>
  <c r="EO22" i="25" s="1"/>
  <c r="EV157" i="25"/>
  <c r="FB157" i="25" s="1"/>
  <c r="EI157" i="25"/>
  <c r="EV165" i="25"/>
  <c r="FB165" i="25" s="1"/>
  <c r="EI165" i="25"/>
  <c r="EV190" i="25"/>
  <c r="FB190" i="25" s="1"/>
  <c r="EI190" i="25"/>
  <c r="EV142" i="25"/>
  <c r="FB142" i="25" s="1"/>
  <c r="EI142" i="25"/>
  <c r="EV116" i="25"/>
  <c r="FB116" i="25" s="1"/>
  <c r="EI116" i="25"/>
  <c r="EV14" i="25"/>
  <c r="EZ14" i="25" s="1"/>
  <c r="FB14" i="25" s="1"/>
  <c r="EI14" i="25"/>
  <c r="EO14" i="25" s="1"/>
  <c r="EV28" i="25"/>
  <c r="EZ28" i="25" s="1"/>
  <c r="FB28" i="25" s="1"/>
  <c r="EI28" i="25"/>
  <c r="EO28" i="25" s="1"/>
  <c r="EV79" i="25"/>
  <c r="EZ79" i="25" s="1"/>
  <c r="FB79" i="25" s="1"/>
  <c r="EI79" i="25"/>
  <c r="EO79" i="25" s="1"/>
  <c r="EP156" i="25"/>
  <c r="EV159" i="25"/>
  <c r="FB159" i="25" s="1"/>
  <c r="EI159" i="25"/>
  <c r="EV149" i="25"/>
  <c r="FB149" i="25" s="1"/>
  <c r="EI149" i="25"/>
  <c r="EV12" i="25"/>
  <c r="EZ12" i="25" s="1"/>
  <c r="FB12" i="25" s="1"/>
  <c r="EI12" i="25"/>
  <c r="EO12" i="25" s="1"/>
  <c r="EV146" i="25"/>
  <c r="FB146" i="25" s="1"/>
  <c r="EI146" i="25"/>
  <c r="EI62" i="24"/>
  <c r="EX62" i="24" s="1"/>
  <c r="EV65" i="25"/>
  <c r="EZ65" i="25" s="1"/>
  <c r="FB65" i="25" s="1"/>
  <c r="EI65" i="25"/>
  <c r="EO65" i="25" s="1"/>
  <c r="EV139" i="25"/>
  <c r="FB139" i="25" s="1"/>
  <c r="EI139" i="25"/>
  <c r="EV201" i="25"/>
  <c r="FB201" i="25" s="1"/>
  <c r="EI201" i="25"/>
  <c r="EV153" i="25"/>
  <c r="FB153" i="25" s="1"/>
  <c r="EI153" i="25"/>
  <c r="EV122" i="25"/>
  <c r="FB122" i="25" s="1"/>
  <c r="EI122" i="25"/>
  <c r="EV206" i="25"/>
  <c r="FB206" i="25" s="1"/>
  <c r="EI206" i="25"/>
  <c r="EV114" i="25"/>
  <c r="FB114" i="25" s="1"/>
  <c r="EI114" i="25"/>
  <c r="EV92" i="25"/>
  <c r="EZ92" i="25" s="1"/>
  <c r="FB92" i="25" s="1"/>
  <c r="EI92" i="25"/>
  <c r="EO92" i="25" s="1"/>
  <c r="EV29" i="25"/>
  <c r="EZ29" i="25" s="1"/>
  <c r="FB29" i="25" s="1"/>
  <c r="EI29" i="25"/>
  <c r="EO29" i="25" s="1"/>
  <c r="EV7" i="25"/>
  <c r="EZ7" i="25" s="1"/>
  <c r="FB7" i="25" s="1"/>
  <c r="EI7" i="25"/>
  <c r="EO7" i="25" s="1"/>
  <c r="EV15" i="25"/>
  <c r="EZ15" i="25" s="1"/>
  <c r="FB15" i="25" s="1"/>
  <c r="EI15" i="25"/>
  <c r="EO15" i="25" s="1"/>
  <c r="EP169" i="25"/>
  <c r="EV133" i="25"/>
  <c r="FB133" i="25" s="1"/>
  <c r="EI133" i="25"/>
  <c r="EV11" i="25"/>
  <c r="EZ11" i="25" s="1"/>
  <c r="FB11" i="25" s="1"/>
  <c r="EI11" i="25"/>
  <c r="EO11" i="25" s="1"/>
  <c r="EV186" i="25"/>
  <c r="FB186" i="25" s="1"/>
  <c r="EI186" i="25"/>
  <c r="EP145" i="25"/>
  <c r="FC181" i="25"/>
  <c r="FE181" i="25" s="1"/>
  <c r="FF181" i="25" s="1"/>
  <c r="EP181" i="25"/>
  <c r="EV123" i="25"/>
  <c r="FB123" i="25" s="1"/>
  <c r="EI123" i="25"/>
  <c r="EV162" i="25"/>
  <c r="FB162" i="25" s="1"/>
  <c r="EI162" i="25"/>
  <c r="EV209" i="25"/>
  <c r="FB209" i="25" s="1"/>
  <c r="EI209" i="25"/>
  <c r="EV144" i="25"/>
  <c r="FB144" i="25" s="1"/>
  <c r="EI144" i="25"/>
  <c r="EV115" i="25"/>
  <c r="FB115" i="25" s="1"/>
  <c r="EI115" i="25"/>
  <c r="EV86" i="25"/>
  <c r="EZ86" i="25" s="1"/>
  <c r="FB86" i="25" s="1"/>
  <c r="EI86" i="25"/>
  <c r="EO86" i="25" s="1"/>
  <c r="EV118" i="25"/>
  <c r="FB118" i="25" s="1"/>
  <c r="EI118" i="25"/>
  <c r="EV20" i="25"/>
  <c r="EZ20" i="25" s="1"/>
  <c r="FB20" i="25" s="1"/>
  <c r="EI20" i="25"/>
  <c r="EO20" i="25" s="1"/>
  <c r="EV80" i="25"/>
  <c r="EZ80" i="25" s="1"/>
  <c r="FB80" i="25" s="1"/>
  <c r="EI80" i="25"/>
  <c r="EO80" i="25" s="1"/>
  <c r="EV32" i="25"/>
  <c r="EZ32" i="25" s="1"/>
  <c r="FB32" i="25" s="1"/>
  <c r="EI32" i="25"/>
  <c r="EO32" i="25" s="1"/>
  <c r="EV192" i="25"/>
  <c r="FB192" i="25" s="1"/>
  <c r="EI192" i="25"/>
  <c r="EV148" i="25"/>
  <c r="FB148" i="25" s="1"/>
  <c r="EI148" i="25"/>
  <c r="EV68" i="25"/>
  <c r="EZ68" i="25" s="1"/>
  <c r="FB68" i="25" s="1"/>
  <c r="EI68" i="25"/>
  <c r="EO68" i="25" s="1"/>
  <c r="EV113" i="25"/>
  <c r="FB113" i="25" s="1"/>
  <c r="EI113" i="25"/>
  <c r="EV45" i="25"/>
  <c r="EZ45" i="25" s="1"/>
  <c r="FB45" i="25" s="1"/>
  <c r="EI45" i="25"/>
  <c r="EO45" i="25" s="1"/>
  <c r="EP164" i="25"/>
  <c r="EV170" i="25"/>
  <c r="FB170" i="25" s="1"/>
  <c r="EI170" i="25"/>
  <c r="EV71" i="25"/>
  <c r="EZ71" i="25" s="1"/>
  <c r="FB71" i="25" s="1"/>
  <c r="EI71" i="25"/>
  <c r="EO71" i="25" s="1"/>
  <c r="EV50" i="25"/>
  <c r="EZ50" i="25" s="1"/>
  <c r="FB50" i="25" s="1"/>
  <c r="EI50" i="25"/>
  <c r="EO50" i="25" s="1"/>
  <c r="EV121" i="25"/>
  <c r="FB121" i="25" s="1"/>
  <c r="EI121" i="25"/>
  <c r="EV26" i="25"/>
  <c r="EZ26" i="25" s="1"/>
  <c r="FB26" i="25" s="1"/>
  <c r="EI26" i="25"/>
  <c r="EO26" i="25" s="1"/>
  <c r="EV208" i="25"/>
  <c r="FB208" i="25" s="1"/>
  <c r="EI208" i="25"/>
  <c r="EV41" i="25"/>
  <c r="EZ41" i="25" s="1"/>
  <c r="FB41" i="25" s="1"/>
  <c r="EI41" i="25"/>
  <c r="EO41" i="25" s="1"/>
  <c r="EV150" i="25"/>
  <c r="FB150" i="25" s="1"/>
  <c r="EI150" i="25"/>
  <c r="EV6" i="25"/>
  <c r="EZ6" i="25" s="1"/>
  <c r="FB6" i="25" s="1"/>
  <c r="EI6" i="25"/>
  <c r="EO6" i="25" s="1"/>
  <c r="EV188" i="25"/>
  <c r="FB188" i="25" s="1"/>
  <c r="EI188" i="25"/>
  <c r="EV177" i="25"/>
  <c r="FB177" i="25" s="1"/>
  <c r="EI177" i="25"/>
  <c r="EP90" i="25"/>
  <c r="EV154" i="25"/>
  <c r="FB154" i="25" s="1"/>
  <c r="EI154" i="25"/>
  <c r="EV44" i="25"/>
  <c r="EZ44" i="25" s="1"/>
  <c r="FB44" i="25" s="1"/>
  <c r="EI44" i="25"/>
  <c r="EO44" i="25" s="1"/>
  <c r="EV38" i="25"/>
  <c r="EZ38" i="25" s="1"/>
  <c r="FB38" i="25" s="1"/>
  <c r="EI38" i="25"/>
  <c r="EO38" i="25" s="1"/>
  <c r="EV172" i="25"/>
  <c r="FB172" i="25" s="1"/>
  <c r="EI172" i="25"/>
  <c r="EV60" i="25"/>
  <c r="EZ60" i="25" s="1"/>
  <c r="FB60" i="25" s="1"/>
  <c r="EI60" i="25"/>
  <c r="EO60" i="25" s="1"/>
  <c r="EV100" i="25"/>
  <c r="EZ100" i="25" s="1"/>
  <c r="FB100" i="25" s="1"/>
  <c r="EI100" i="25"/>
  <c r="EO100" i="25" s="1"/>
  <c r="EV98" i="25"/>
  <c r="EZ98" i="25" s="1"/>
  <c r="FB98" i="25" s="1"/>
  <c r="EI98" i="25"/>
  <c r="EO98" i="25" s="1"/>
  <c r="EV184" i="25"/>
  <c r="FB184" i="25" s="1"/>
  <c r="EI184" i="25"/>
  <c r="EV134" i="25"/>
  <c r="FB134" i="25" s="1"/>
  <c r="EI134" i="25"/>
  <c r="EV76" i="25"/>
  <c r="EZ76" i="25" s="1"/>
  <c r="FB76" i="25" s="1"/>
  <c r="EI76" i="25"/>
  <c r="EO76" i="25" s="1"/>
  <c r="EP136" i="25"/>
  <c r="EV126" i="25"/>
  <c r="FB126" i="25" s="1"/>
  <c r="EI126" i="25"/>
  <c r="FC143" i="25"/>
  <c r="FE143" i="25" s="1"/>
  <c r="FF143" i="25" s="1"/>
  <c r="EP143" i="25"/>
  <c r="EV24" i="25"/>
  <c r="EZ24" i="25" s="1"/>
  <c r="FB24" i="25" s="1"/>
  <c r="EI24" i="25"/>
  <c r="EO24" i="25" s="1"/>
  <c r="EV195" i="25"/>
  <c r="FB195" i="25" s="1"/>
  <c r="EI195" i="25"/>
  <c r="EV175" i="25"/>
  <c r="FB175" i="25" s="1"/>
  <c r="EI175" i="25"/>
  <c r="EV43" i="25"/>
  <c r="EZ43" i="25" s="1"/>
  <c r="FB43" i="25" s="1"/>
  <c r="EI43" i="25"/>
  <c r="EO43" i="25" s="1"/>
  <c r="EV104" i="25"/>
  <c r="EZ104" i="25" s="1"/>
  <c r="FB104" i="25" s="1"/>
  <c r="EI104" i="25"/>
  <c r="EO104" i="25" s="1"/>
  <c r="EV120" i="25"/>
  <c r="FB120" i="25" s="1"/>
  <c r="EI120" i="25"/>
  <c r="EV119" i="25"/>
  <c r="FB119" i="25" s="1"/>
  <c r="EI119" i="25"/>
  <c r="EP194" i="25"/>
  <c r="EV59" i="25"/>
  <c r="EZ59" i="25" s="1"/>
  <c r="FB59" i="25" s="1"/>
  <c r="EI59" i="25"/>
  <c r="EO59" i="25" s="1"/>
  <c r="EV160" i="25"/>
  <c r="FB160" i="25" s="1"/>
  <c r="EI160" i="25"/>
  <c r="EV102" i="25"/>
  <c r="EZ102" i="25" s="1"/>
  <c r="FB102" i="25" s="1"/>
  <c r="EI102" i="25"/>
  <c r="EO102" i="25" s="1"/>
  <c r="EP171" i="25"/>
  <c r="EV52" i="25"/>
  <c r="EZ52" i="25" s="1"/>
  <c r="FB52" i="25" s="1"/>
  <c r="EI52" i="25"/>
  <c r="EO52" i="25" s="1"/>
  <c r="EV117" i="25"/>
  <c r="FB117" i="25" s="1"/>
  <c r="EI117" i="25"/>
  <c r="EV210" i="25"/>
  <c r="FB210" i="25" s="1"/>
  <c r="EI210" i="25"/>
  <c r="EV193" i="25"/>
  <c r="FB193" i="25" s="1"/>
  <c r="EI193" i="25"/>
  <c r="EV205" i="25"/>
  <c r="FB205" i="25" s="1"/>
  <c r="EI205" i="25"/>
  <c r="EV19" i="25"/>
  <c r="EZ19" i="25" s="1"/>
  <c r="FB19" i="25" s="1"/>
  <c r="EI19" i="25"/>
  <c r="EO19" i="25" s="1"/>
  <c r="EV13" i="25"/>
  <c r="EZ13" i="25" s="1"/>
  <c r="FB13" i="25" s="1"/>
  <c r="EI13" i="25"/>
  <c r="EO13" i="25" s="1"/>
  <c r="EV40" i="25"/>
  <c r="EZ40" i="25" s="1"/>
  <c r="FB40" i="25" s="1"/>
  <c r="EI40" i="25"/>
  <c r="EO40" i="25" s="1"/>
  <c r="EP56" i="25"/>
  <c r="EV78" i="25"/>
  <c r="EZ78" i="25" s="1"/>
  <c r="FB78" i="25" s="1"/>
  <c r="EI78" i="25"/>
  <c r="EO78" i="25" s="1"/>
  <c r="EP138" i="25"/>
  <c r="FC138" i="25"/>
  <c r="FE138" i="25" s="1"/>
  <c r="FF138" i="25" s="1"/>
  <c r="EV140" i="25"/>
  <c r="FB140" i="25" s="1"/>
  <c r="EI140" i="25"/>
  <c r="EV66" i="25"/>
  <c r="EZ66" i="25" s="1"/>
  <c r="FB66" i="25" s="1"/>
  <c r="EI66" i="25"/>
  <c r="EO66" i="25" s="1"/>
  <c r="EV125" i="25"/>
  <c r="FB125" i="25" s="1"/>
  <c r="EI125" i="25"/>
  <c r="EV18" i="25"/>
  <c r="EZ18" i="25" s="1"/>
  <c r="FB18" i="25" s="1"/>
  <c r="EI18" i="25"/>
  <c r="EO18" i="25" s="1"/>
  <c r="EV174" i="25"/>
  <c r="FB174" i="25" s="1"/>
  <c r="EI174" i="25"/>
  <c r="EV54" i="25"/>
  <c r="EZ54" i="25" s="1"/>
  <c r="FB54" i="25" s="1"/>
  <c r="EI54" i="25"/>
  <c r="EO54" i="25" s="1"/>
  <c r="EV61" i="25"/>
  <c r="EZ61" i="25" s="1"/>
  <c r="FB61" i="25" s="1"/>
  <c r="EI61" i="25"/>
  <c r="EO61" i="25" s="1"/>
  <c r="EV197" i="25"/>
  <c r="FB197" i="25" s="1"/>
  <c r="EI197" i="25"/>
  <c r="EV132" i="25"/>
  <c r="FB132" i="25" s="1"/>
  <c r="EI132" i="25"/>
  <c r="EV91" i="25"/>
  <c r="EZ91" i="25" s="1"/>
  <c r="FB91" i="25" s="1"/>
  <c r="EI91" i="25"/>
  <c r="EO91" i="25" s="1"/>
  <c r="EV179" i="25"/>
  <c r="FB179" i="25" s="1"/>
  <c r="EI179" i="25"/>
  <c r="EV39" i="25"/>
  <c r="EZ39" i="25" s="1"/>
  <c r="FB39" i="25" s="1"/>
  <c r="EI39" i="25"/>
  <c r="EO39" i="25" s="1"/>
  <c r="EV30" i="25"/>
  <c r="EZ30" i="25" s="1"/>
  <c r="FB30" i="25" s="1"/>
  <c r="EI30" i="25"/>
  <c r="EO30" i="25" s="1"/>
  <c r="EV35" i="25"/>
  <c r="EZ35" i="25" s="1"/>
  <c r="FB35" i="25" s="1"/>
  <c r="EI35" i="25"/>
  <c r="EO35" i="25" s="1"/>
  <c r="EV75" i="25"/>
  <c r="EZ75" i="25" s="1"/>
  <c r="FB75" i="25" s="1"/>
  <c r="EI75" i="25"/>
  <c r="EO75" i="25" s="1"/>
  <c r="EV124" i="25"/>
  <c r="FB124" i="25" s="1"/>
  <c r="EI124" i="25"/>
  <c r="EV82" i="25"/>
  <c r="EZ82" i="25" s="1"/>
  <c r="FB82" i="25" s="1"/>
  <c r="EI82" i="25"/>
  <c r="EO82" i="25" s="1"/>
  <c r="EV8" i="25"/>
  <c r="EZ8" i="25" s="1"/>
  <c r="FB8" i="25" s="1"/>
  <c r="EI8" i="25"/>
  <c r="EO8" i="25" s="1"/>
  <c r="EV110" i="25"/>
  <c r="FB110" i="25" s="1"/>
  <c r="EI110" i="25"/>
  <c r="EV63" i="25"/>
  <c r="EZ63" i="25" s="1"/>
  <c r="FB63" i="25" s="1"/>
  <c r="EI63" i="25"/>
  <c r="EO63" i="25" s="1"/>
  <c r="EV163" i="25"/>
  <c r="FB163" i="25" s="1"/>
  <c r="EI163" i="25"/>
  <c r="EV161" i="25"/>
  <c r="FB161" i="25" s="1"/>
  <c r="EI161" i="25"/>
  <c r="EV187" i="25"/>
  <c r="FB187" i="25" s="1"/>
  <c r="EI187" i="25"/>
  <c r="EV94" i="25"/>
  <c r="EZ94" i="25" s="1"/>
  <c r="FB94" i="25" s="1"/>
  <c r="EI94" i="25"/>
  <c r="EO94" i="25" s="1"/>
  <c r="EV127" i="25"/>
  <c r="FB127" i="25" s="1"/>
  <c r="EI127" i="25"/>
  <c r="EV67" i="25"/>
  <c r="EZ67" i="25" s="1"/>
  <c r="FB67" i="25" s="1"/>
  <c r="EI67" i="25"/>
  <c r="EO67" i="25" s="1"/>
  <c r="EV130" i="25"/>
  <c r="FB130" i="25" s="1"/>
  <c r="EI130" i="25"/>
  <c r="EV167" i="25"/>
  <c r="FB167" i="25" s="1"/>
  <c r="EI167" i="25"/>
  <c r="EV85" i="25"/>
  <c r="EZ85" i="25" s="1"/>
  <c r="FB85" i="25" s="1"/>
  <c r="EI85" i="25"/>
  <c r="EO85" i="25" s="1"/>
  <c r="EV152" i="25"/>
  <c r="FB152" i="25" s="1"/>
  <c r="EI152" i="25"/>
  <c r="EV88" i="25"/>
  <c r="EZ88" i="25" s="1"/>
  <c r="FB88" i="25" s="1"/>
  <c r="EI88" i="25"/>
  <c r="EO88" i="25" s="1"/>
  <c r="EV202" i="25"/>
  <c r="FB202" i="25" s="1"/>
  <c r="EI202" i="25"/>
  <c r="EV155" i="25"/>
  <c r="FB155" i="25" s="1"/>
  <c r="EI155" i="25"/>
  <c r="EV46" i="25"/>
  <c r="EZ46" i="25" s="1"/>
  <c r="FB46" i="25" s="1"/>
  <c r="EI46" i="25"/>
  <c r="EO46" i="25" s="1"/>
  <c r="EV10" i="25"/>
  <c r="EZ10" i="25" s="1"/>
  <c r="FB10" i="25" s="1"/>
  <c r="EI10" i="25"/>
  <c r="EO10" i="25" s="1"/>
  <c r="EV105" i="25"/>
  <c r="EZ105" i="25" s="1"/>
  <c r="FB105" i="25" s="1"/>
  <c r="EI105" i="25"/>
  <c r="EO105" i="25" s="1"/>
  <c r="EV31" i="25"/>
  <c r="EZ31" i="25" s="1"/>
  <c r="FB31" i="25" s="1"/>
  <c r="EI31" i="25"/>
  <c r="EO31" i="25" s="1"/>
  <c r="EV189" i="25"/>
  <c r="FB189" i="25" s="1"/>
  <c r="EI189" i="25"/>
  <c r="EV176" i="25"/>
  <c r="FB176" i="25" s="1"/>
  <c r="EI176" i="25"/>
  <c r="EV151" i="25"/>
  <c r="FB151" i="25" s="1"/>
  <c r="EI151" i="25"/>
  <c r="EV55" i="25"/>
  <c r="EZ55" i="25" s="1"/>
  <c r="FB55" i="25" s="1"/>
  <c r="EI55" i="25"/>
  <c r="EO55" i="25" s="1"/>
  <c r="EV51" i="25"/>
  <c r="EZ51" i="25" s="1"/>
  <c r="FB51" i="25" s="1"/>
  <c r="EI51" i="25"/>
  <c r="EO51" i="25" s="1"/>
  <c r="EV62" i="25"/>
  <c r="EZ62" i="25" s="1"/>
  <c r="FB62" i="25" s="1"/>
  <c r="EI62" i="25"/>
  <c r="EO62" i="25" s="1"/>
  <c r="EV147" i="25"/>
  <c r="FB147" i="25" s="1"/>
  <c r="EI147" i="25"/>
  <c r="EV101" i="25"/>
  <c r="EZ101" i="25" s="1"/>
  <c r="FB101" i="25" s="1"/>
  <c r="EI101" i="25"/>
  <c r="EO101" i="25" s="1"/>
  <c r="EP42" i="25"/>
  <c r="EV198" i="25"/>
  <c r="FB198" i="25" s="1"/>
  <c r="EI198" i="25"/>
  <c r="EV72" i="25"/>
  <c r="EZ72" i="25" s="1"/>
  <c r="FB72" i="25" s="1"/>
  <c r="EI72" i="25"/>
  <c r="EO72" i="25" s="1"/>
  <c r="EV16" i="25"/>
  <c r="EZ16" i="25" s="1"/>
  <c r="FB16" i="25" s="1"/>
  <c r="EI16" i="25"/>
  <c r="EO16" i="25" s="1"/>
  <c r="EV168" i="25"/>
  <c r="FB168" i="25" s="1"/>
  <c r="EI168" i="25"/>
  <c r="EV36" i="25"/>
  <c r="EZ36" i="25" s="1"/>
  <c r="FB36" i="25" s="1"/>
  <c r="EI36" i="25"/>
  <c r="EO36" i="25" s="1"/>
  <c r="EV203" i="25"/>
  <c r="FB203" i="25" s="1"/>
  <c r="EI203" i="25"/>
  <c r="EV166" i="25"/>
  <c r="FB166" i="25" s="1"/>
  <c r="EI166" i="25"/>
  <c r="EV84" i="25"/>
  <c r="EZ84" i="25" s="1"/>
  <c r="FB84" i="25" s="1"/>
  <c r="EI84" i="25"/>
  <c r="EO84" i="25" s="1"/>
  <c r="EV135" i="25"/>
  <c r="FB135" i="25" s="1"/>
  <c r="EI135" i="25"/>
  <c r="EV57" i="25"/>
  <c r="EZ57" i="25" s="1"/>
  <c r="FB57" i="25" s="1"/>
  <c r="EI57" i="25"/>
  <c r="EO57" i="25" s="1"/>
  <c r="EV21" i="25"/>
  <c r="EZ21" i="25" s="1"/>
  <c r="FB21" i="25" s="1"/>
  <c r="EI21" i="25"/>
  <c r="EO21" i="25" s="1"/>
  <c r="EV191" i="25"/>
  <c r="FB191" i="25" s="1"/>
  <c r="EI191" i="25"/>
  <c r="EV27" i="25"/>
  <c r="EZ27" i="25" s="1"/>
  <c r="FB27" i="25" s="1"/>
  <c r="EI27" i="25"/>
  <c r="EO27" i="25" s="1"/>
  <c r="EV69" i="25"/>
  <c r="EZ69" i="25" s="1"/>
  <c r="FB69" i="25" s="1"/>
  <c r="EI69" i="25"/>
  <c r="EO69" i="25" s="1"/>
  <c r="EP17" i="25"/>
  <c r="EV207" i="25"/>
  <c r="FB207" i="25" s="1"/>
  <c r="EI207" i="25"/>
  <c r="EV196" i="25"/>
  <c r="FB196" i="25" s="1"/>
  <c r="EI196" i="25"/>
  <c r="EH10" i="24"/>
  <c r="EK10" i="24" s="1"/>
  <c r="EQ10" i="24" s="1"/>
  <c r="EI10" i="24"/>
  <c r="EX10" i="24" s="1"/>
  <c r="EC10" i="24"/>
  <c r="ED10" i="24" s="1"/>
  <c r="EI134" i="24"/>
  <c r="EX134" i="24" s="1"/>
  <c r="EC134" i="24"/>
  <c r="ED134" i="24" s="1"/>
  <c r="EH79" i="24"/>
  <c r="EC79" i="24"/>
  <c r="ED79" i="24" s="1"/>
  <c r="EI79" i="24"/>
  <c r="EX79" i="24" s="1"/>
  <c r="EI72" i="24"/>
  <c r="EX72" i="24" s="1"/>
  <c r="EH72" i="24"/>
  <c r="EC72" i="24"/>
  <c r="ED72" i="24" s="1"/>
  <c r="EH115" i="24"/>
  <c r="EC115" i="24"/>
  <c r="ED115" i="24" s="1"/>
  <c r="EI115" i="24"/>
  <c r="EX115" i="24" s="1"/>
  <c r="EC116" i="24"/>
  <c r="ED116" i="24" s="1"/>
  <c r="EH116" i="24"/>
  <c r="EI116" i="24"/>
  <c r="EX116" i="24" s="1"/>
  <c r="EC91" i="24"/>
  <c r="ED91" i="24" s="1"/>
  <c r="EI91" i="24"/>
  <c r="EX91" i="24" s="1"/>
  <c r="EH91" i="24"/>
  <c r="EC121" i="24"/>
  <c r="ED121" i="24" s="1"/>
  <c r="EI121" i="24"/>
  <c r="EX121" i="24" s="1"/>
  <c r="EH121" i="24"/>
  <c r="EH46" i="24"/>
  <c r="EC46" i="24"/>
  <c r="ED46" i="24" s="1"/>
  <c r="EI46" i="24"/>
  <c r="EX46" i="24" s="1"/>
  <c r="EI113" i="24"/>
  <c r="EX113" i="24" s="1"/>
  <c r="EH113" i="24"/>
  <c r="EC113" i="24"/>
  <c r="ED113" i="24" s="1"/>
  <c r="EI86" i="24"/>
  <c r="EX86" i="24" s="1"/>
  <c r="EC86" i="24"/>
  <c r="ED86" i="24" s="1"/>
  <c r="EH86" i="24"/>
  <c r="EC33" i="24"/>
  <c r="ED33" i="24" s="1"/>
  <c r="EI33" i="24"/>
  <c r="EX33" i="24" s="1"/>
  <c r="EH33" i="24"/>
  <c r="EI45" i="24"/>
  <c r="EX45" i="24" s="1"/>
  <c r="EH45" i="24"/>
  <c r="EC45" i="24"/>
  <c r="ED45" i="24" s="1"/>
  <c r="EH105" i="24"/>
  <c r="EI105" i="24"/>
  <c r="EX105" i="24" s="1"/>
  <c r="EC105" i="24"/>
  <c r="ED105" i="24" s="1"/>
  <c r="EH120" i="24"/>
  <c r="EI120" i="24"/>
  <c r="EX120" i="24" s="1"/>
  <c r="EC120" i="24"/>
  <c r="ED120" i="24" s="1"/>
  <c r="EI27" i="24"/>
  <c r="EX27" i="24" s="1"/>
  <c r="EC27" i="24"/>
  <c r="ED27" i="24" s="1"/>
  <c r="EH27" i="24"/>
  <c r="EH97" i="24"/>
  <c r="EI97" i="24"/>
  <c r="EX97" i="24" s="1"/>
  <c r="EC97" i="24"/>
  <c r="ED97" i="24" s="1"/>
  <c r="EH100" i="24"/>
  <c r="EC100" i="24"/>
  <c r="ED100" i="24" s="1"/>
  <c r="EI100" i="24"/>
  <c r="EX100" i="24" s="1"/>
  <c r="EH61" i="24"/>
  <c r="EC61" i="24"/>
  <c r="ED61" i="24" s="1"/>
  <c r="EI61" i="24"/>
  <c r="EX61" i="24" s="1"/>
  <c r="EH84" i="24"/>
  <c r="EC84" i="24"/>
  <c r="ED84" i="24" s="1"/>
  <c r="EI84" i="24"/>
  <c r="EX84" i="24" s="1"/>
  <c r="EC197" i="24"/>
  <c r="ED197" i="24" s="1"/>
  <c r="EI197" i="24"/>
  <c r="EX197" i="24" s="1"/>
  <c r="EH197" i="24"/>
  <c r="EC21" i="24"/>
  <c r="ED21" i="24" s="1"/>
  <c r="EH21" i="24"/>
  <c r="EI21" i="24"/>
  <c r="EX21" i="24" s="1"/>
  <c r="EI139" i="24"/>
  <c r="EX139" i="24" s="1"/>
  <c r="EC139" i="24"/>
  <c r="ED139" i="24" s="1"/>
  <c r="EH139" i="24"/>
  <c r="EC20" i="24"/>
  <c r="ED20" i="24" s="1"/>
  <c r="EI20" i="24"/>
  <c r="EX20" i="24" s="1"/>
  <c r="EH20" i="24"/>
  <c r="EH26" i="24"/>
  <c r="EC26" i="24"/>
  <c r="ED26" i="24" s="1"/>
  <c r="EI26" i="24"/>
  <c r="EX26" i="24" s="1"/>
  <c r="EI154" i="24"/>
  <c r="EX154" i="24" s="1"/>
  <c r="EH154" i="24"/>
  <c r="EC154" i="24"/>
  <c r="ED154" i="24" s="1"/>
  <c r="EC17" i="24"/>
  <c r="ED17" i="24" s="1"/>
  <c r="EI17" i="24"/>
  <c r="EX17" i="24" s="1"/>
  <c r="EH17" i="24"/>
  <c r="EI35" i="24"/>
  <c r="EX35" i="24" s="1"/>
  <c r="EH35" i="24"/>
  <c r="EC35" i="24"/>
  <c r="ED35" i="24" s="1"/>
  <c r="EI70" i="24"/>
  <c r="EX70" i="24" s="1"/>
  <c r="EH70" i="24"/>
  <c r="EC70" i="24"/>
  <c r="ED70" i="24" s="1"/>
  <c r="EH138" i="24"/>
  <c r="EI138" i="24"/>
  <c r="EX138" i="24" s="1"/>
  <c r="EC138" i="24"/>
  <c r="ED138" i="24" s="1"/>
  <c r="EI119" i="24"/>
  <c r="EX119" i="24" s="1"/>
  <c r="EC119" i="24"/>
  <c r="ED119" i="24" s="1"/>
  <c r="EH119" i="24"/>
  <c r="EI18" i="24"/>
  <c r="EX18" i="24" s="1"/>
  <c r="EH18" i="24"/>
  <c r="EC18" i="24"/>
  <c r="ED18" i="24" s="1"/>
  <c r="EC184" i="24"/>
  <c r="ED184" i="24" s="1"/>
  <c r="EI184" i="24"/>
  <c r="EX184" i="24" s="1"/>
  <c r="EH184" i="24"/>
  <c r="EC189" i="24"/>
  <c r="ED189" i="24" s="1"/>
  <c r="EH189" i="24"/>
  <c r="EI189" i="24"/>
  <c r="EX189" i="24" s="1"/>
  <c r="EH158" i="24"/>
  <c r="EI158" i="24"/>
  <c r="EX158" i="24" s="1"/>
  <c r="EC158" i="24"/>
  <c r="ED158" i="24" s="1"/>
  <c r="EI167" i="24"/>
  <c r="EX167" i="24" s="1"/>
  <c r="EH167" i="24"/>
  <c r="EC167" i="24"/>
  <c r="ED167" i="24" s="1"/>
  <c r="EH188" i="24"/>
  <c r="EC188" i="24"/>
  <c r="ED188" i="24" s="1"/>
  <c r="EI188" i="24"/>
  <c r="EX188" i="24" s="1"/>
  <c r="EH50" i="24"/>
  <c r="EC50" i="24"/>
  <c r="ED50" i="24" s="1"/>
  <c r="EI50" i="24"/>
  <c r="EX50" i="24" s="1"/>
  <c r="EH122" i="24"/>
  <c r="EI122" i="24"/>
  <c r="EX122" i="24" s="1"/>
  <c r="EC122" i="24"/>
  <c r="ED122" i="24" s="1"/>
  <c r="EI161" i="24"/>
  <c r="EX161" i="24" s="1"/>
  <c r="EH161" i="24"/>
  <c r="EC161" i="24"/>
  <c r="ED161" i="24" s="1"/>
  <c r="EC168" i="24"/>
  <c r="ED168" i="24" s="1"/>
  <c r="EH168" i="24"/>
  <c r="EI168" i="24"/>
  <c r="EX168" i="24" s="1"/>
  <c r="EC174" i="24"/>
  <c r="ED174" i="24" s="1"/>
  <c r="EH174" i="24"/>
  <c r="EI174" i="24"/>
  <c r="EX174" i="24" s="1"/>
  <c r="EC141" i="24"/>
  <c r="ED141" i="24" s="1"/>
  <c r="EH141" i="24"/>
  <c r="EI141" i="24"/>
  <c r="EX141" i="24" s="1"/>
  <c r="EH191" i="24"/>
  <c r="EI191" i="24"/>
  <c r="EX191" i="24" s="1"/>
  <c r="EC191" i="24"/>
  <c r="ED191" i="24" s="1"/>
  <c r="EC112" i="24"/>
  <c r="ED112" i="24" s="1"/>
  <c r="EI112" i="24"/>
  <c r="EX112" i="24" s="1"/>
  <c r="EH112" i="24"/>
  <c r="EI150" i="24"/>
  <c r="EX150" i="24" s="1"/>
  <c r="EH150" i="24"/>
  <c r="EC150" i="24"/>
  <c r="ED150" i="24" s="1"/>
  <c r="EC204" i="24"/>
  <c r="ED204" i="24" s="1"/>
  <c r="EH204" i="24"/>
  <c r="EI204" i="24"/>
  <c r="EX204" i="24" s="1"/>
  <c r="EH166" i="24"/>
  <c r="EC166" i="24"/>
  <c r="ED166" i="24" s="1"/>
  <c r="EI166" i="24"/>
  <c r="EX166" i="24" s="1"/>
  <c r="EH59" i="24"/>
  <c r="EC59" i="24"/>
  <c r="ED59" i="24" s="1"/>
  <c r="EI59" i="24"/>
  <c r="EX59" i="24" s="1"/>
  <c r="EH196" i="24"/>
  <c r="EI196" i="24"/>
  <c r="EX196" i="24" s="1"/>
  <c r="EC196" i="24"/>
  <c r="ED196" i="24" s="1"/>
  <c r="EH38" i="24"/>
  <c r="EI38" i="24"/>
  <c r="EX38" i="24" s="1"/>
  <c r="EC38" i="24"/>
  <c r="ED38" i="24" s="1"/>
  <c r="EI183" i="24"/>
  <c r="EX183" i="24" s="1"/>
  <c r="EC183" i="24"/>
  <c r="ED183" i="24" s="1"/>
  <c r="EH183" i="24"/>
  <c r="EH200" i="24"/>
  <c r="EC200" i="24"/>
  <c r="ED200" i="24" s="1"/>
  <c r="EI200" i="24"/>
  <c r="EX200" i="24" s="1"/>
  <c r="EI98" i="24"/>
  <c r="EX98" i="24" s="1"/>
  <c r="EC98" i="24"/>
  <c r="ED98" i="24" s="1"/>
  <c r="EH98" i="24"/>
  <c r="EH87" i="24"/>
  <c r="EI87" i="24"/>
  <c r="EX87" i="24" s="1"/>
  <c r="EC87" i="24"/>
  <c r="ED87" i="24" s="1"/>
  <c r="EH117" i="24"/>
  <c r="EI117" i="24"/>
  <c r="EX117" i="24" s="1"/>
  <c r="EC117" i="24"/>
  <c r="ED117" i="24" s="1"/>
  <c r="EI15" i="24"/>
  <c r="EX15" i="24" s="1"/>
  <c r="EH15" i="24"/>
  <c r="EC15" i="24"/>
  <c r="ED15" i="24" s="1"/>
  <c r="EH185" i="24"/>
  <c r="EI185" i="24"/>
  <c r="EX185" i="24" s="1"/>
  <c r="EC185" i="24"/>
  <c r="ED185" i="24" s="1"/>
  <c r="EI16" i="24"/>
  <c r="EX16" i="24" s="1"/>
  <c r="EC16" i="24"/>
  <c r="ED16" i="24" s="1"/>
  <c r="EH16" i="24"/>
  <c r="EH202" i="24"/>
  <c r="EC202" i="24"/>
  <c r="ED202" i="24" s="1"/>
  <c r="EI202" i="24"/>
  <c r="EX202" i="24" s="1"/>
  <c r="EI177" i="24"/>
  <c r="EX177" i="24" s="1"/>
  <c r="EH177" i="24"/>
  <c r="EC177" i="24"/>
  <c r="ED177" i="24" s="1"/>
  <c r="EH195" i="24"/>
  <c r="EC195" i="24"/>
  <c r="ED195" i="24" s="1"/>
  <c r="EI195" i="24"/>
  <c r="EX195" i="24" s="1"/>
  <c r="EI153" i="24"/>
  <c r="EX153" i="24" s="1"/>
  <c r="EH153" i="24"/>
  <c r="EC153" i="24"/>
  <c r="ED153" i="24" s="1"/>
  <c r="EH94" i="24"/>
  <c r="EC94" i="24"/>
  <c r="ED94" i="24" s="1"/>
  <c r="EI94" i="24"/>
  <c r="EX94" i="24" s="1"/>
  <c r="EC178" i="24"/>
  <c r="ED178" i="24" s="1"/>
  <c r="EI178" i="24"/>
  <c r="EX178" i="24" s="1"/>
  <c r="EH178" i="24"/>
  <c r="EC210" i="24"/>
  <c r="ED210" i="24" s="1"/>
  <c r="EI210" i="24"/>
  <c r="EX210" i="24" s="1"/>
  <c r="EH210" i="24"/>
  <c r="EC171" i="24"/>
  <c r="ED171" i="24" s="1"/>
  <c r="EI171" i="24"/>
  <c r="EX171" i="24" s="1"/>
  <c r="EH171" i="24"/>
  <c r="EC57" i="24"/>
  <c r="ED57" i="24" s="1"/>
  <c r="EH57" i="24"/>
  <c r="EI57" i="24"/>
  <c r="EX57" i="24" s="1"/>
  <c r="EC88" i="24"/>
  <c r="ED88" i="24" s="1"/>
  <c r="EH88" i="24"/>
  <c r="EI88" i="24"/>
  <c r="EX88" i="24" s="1"/>
  <c r="EH155" i="24"/>
  <c r="EI155" i="24"/>
  <c r="EX155" i="24" s="1"/>
  <c r="EC155" i="24"/>
  <c r="ED155" i="24" s="1"/>
  <c r="EH145" i="24"/>
  <c r="EC145" i="24"/>
  <c r="ED145" i="24" s="1"/>
  <c r="EI145" i="24"/>
  <c r="EX145" i="24" s="1"/>
  <c r="EH58" i="24"/>
  <c r="EI58" i="24"/>
  <c r="EX58" i="24" s="1"/>
  <c r="EC58" i="24"/>
  <c r="ED58" i="24" s="1"/>
  <c r="EH114" i="24"/>
  <c r="EC114" i="24"/>
  <c r="ED114" i="24" s="1"/>
  <c r="EI114" i="24"/>
  <c r="EX114" i="24" s="1"/>
  <c r="EH209" i="24"/>
  <c r="EC209" i="24"/>
  <c r="ED209" i="24" s="1"/>
  <c r="EI209" i="24"/>
  <c r="EX209" i="24" s="1"/>
  <c r="EC182" i="24"/>
  <c r="ED182" i="24" s="1"/>
  <c r="EI182" i="24"/>
  <c r="EX182" i="24" s="1"/>
  <c r="EH182" i="24"/>
  <c r="EH123" i="24"/>
  <c r="EC123" i="24"/>
  <c r="ED123" i="24" s="1"/>
  <c r="EI123" i="24"/>
  <c r="EX123" i="24" s="1"/>
  <c r="EC128" i="24"/>
  <c r="ED128" i="24" s="1"/>
  <c r="EI128" i="24"/>
  <c r="EX128" i="24" s="1"/>
  <c r="EH128" i="24"/>
  <c r="EC187" i="24"/>
  <c r="ED187" i="24" s="1"/>
  <c r="EI187" i="24"/>
  <c r="EX187" i="24" s="1"/>
  <c r="EH187" i="24"/>
  <c r="EC131" i="24"/>
  <c r="ED131" i="24" s="1"/>
  <c r="EI131" i="24"/>
  <c r="EX131" i="24" s="1"/>
  <c r="EH131" i="24"/>
  <c r="EH89" i="24"/>
  <c r="EC89" i="24"/>
  <c r="ED89" i="24" s="1"/>
  <c r="EI89" i="24"/>
  <c r="EX89" i="24" s="1"/>
  <c r="EH144" i="24"/>
  <c r="EC144" i="24"/>
  <c r="ED144" i="24" s="1"/>
  <c r="EI144" i="24"/>
  <c r="EX144" i="24" s="1"/>
  <c r="EC75" i="24"/>
  <c r="ED75" i="24" s="1"/>
  <c r="EH75" i="24"/>
  <c r="EI75" i="24"/>
  <c r="EX75" i="24" s="1"/>
  <c r="EC162" i="24"/>
  <c r="ED162" i="24" s="1"/>
  <c r="EI162" i="24"/>
  <c r="EX162" i="24" s="1"/>
  <c r="EH162" i="24"/>
  <c r="EH203" i="24"/>
  <c r="EC203" i="24"/>
  <c r="ED203" i="24" s="1"/>
  <c r="EI203" i="24"/>
  <c r="EX203" i="24" s="1"/>
  <c r="EC149" i="24"/>
  <c r="ED149" i="24" s="1"/>
  <c r="EI149" i="24"/>
  <c r="EX149" i="24" s="1"/>
  <c r="EH149" i="24"/>
  <c r="EC140" i="24"/>
  <c r="ED140" i="24" s="1"/>
  <c r="EI140" i="24"/>
  <c r="EX140" i="24" s="1"/>
  <c r="EH140" i="24"/>
  <c r="EI36" i="24"/>
  <c r="EX36" i="24" s="1"/>
  <c r="EH36" i="24"/>
  <c r="EC36" i="24"/>
  <c r="ED36" i="24" s="1"/>
  <c r="EC103" i="24"/>
  <c r="ED103" i="24" s="1"/>
  <c r="EH103" i="24"/>
  <c r="EI103" i="24"/>
  <c r="EX103" i="24" s="1"/>
  <c r="EH76" i="24"/>
  <c r="EC76" i="24"/>
  <c r="ED76" i="24" s="1"/>
  <c r="EI76" i="24"/>
  <c r="EX76" i="24" s="1"/>
  <c r="EW190" i="24"/>
  <c r="FB190" i="24" s="1"/>
  <c r="EK190" i="24"/>
  <c r="EI73" i="24"/>
  <c r="EX73" i="24" s="1"/>
  <c r="EC73" i="24"/>
  <c r="ED73" i="24" s="1"/>
  <c r="EH73" i="24"/>
  <c r="EI53" i="24"/>
  <c r="EX53" i="24" s="1"/>
  <c r="EC53" i="24"/>
  <c r="ED53" i="24" s="1"/>
  <c r="EH53" i="24"/>
  <c r="EC93" i="24"/>
  <c r="ED93" i="24" s="1"/>
  <c r="EI93" i="24"/>
  <c r="EX93" i="24" s="1"/>
  <c r="EH93" i="24"/>
  <c r="EH31" i="24"/>
  <c r="EI31" i="24"/>
  <c r="EX31" i="24" s="1"/>
  <c r="EC31" i="24"/>
  <c r="ED31" i="24" s="1"/>
  <c r="EH6" i="24"/>
  <c r="EI6" i="24"/>
  <c r="EX6" i="24" s="1"/>
  <c r="EC6" i="24"/>
  <c r="ED6" i="24" s="1"/>
  <c r="EI118" i="24"/>
  <c r="EX118" i="24" s="1"/>
  <c r="EH118" i="24"/>
  <c r="EC118" i="24"/>
  <c r="ED118" i="24" s="1"/>
  <c r="EI34" i="24"/>
  <c r="EX34" i="24" s="1"/>
  <c r="EH34" i="24"/>
  <c r="EC34" i="24"/>
  <c r="ED34" i="24" s="1"/>
  <c r="EH7" i="24"/>
  <c r="EC7" i="24"/>
  <c r="ED7" i="24" s="1"/>
  <c r="EI7" i="24"/>
  <c r="EX7" i="24" s="1"/>
  <c r="EI135" i="24"/>
  <c r="EX135" i="24" s="1"/>
  <c r="EH135" i="24"/>
  <c r="EC135" i="24"/>
  <c r="ED135" i="24" s="1"/>
  <c r="EC193" i="24"/>
  <c r="ED193" i="24" s="1"/>
  <c r="EI193" i="24"/>
  <c r="EX193" i="24" s="1"/>
  <c r="EH193" i="24"/>
  <c r="EI130" i="24"/>
  <c r="EX130" i="24" s="1"/>
  <c r="EC130" i="24"/>
  <c r="ED130" i="24" s="1"/>
  <c r="EH130" i="24"/>
  <c r="EC208" i="24"/>
  <c r="ED208" i="24" s="1"/>
  <c r="EI208" i="24"/>
  <c r="EX208" i="24" s="1"/>
  <c r="EH208" i="24"/>
  <c r="EC207" i="24"/>
  <c r="ED207" i="24" s="1"/>
  <c r="EI207" i="24"/>
  <c r="EX207" i="24" s="1"/>
  <c r="EH207" i="24"/>
  <c r="EI47" i="24"/>
  <c r="EX47" i="24" s="1"/>
  <c r="EH47" i="24"/>
  <c r="EC47" i="24"/>
  <c r="ED47" i="24" s="1"/>
  <c r="EH176" i="24"/>
  <c r="EC176" i="24"/>
  <c r="ED176" i="24" s="1"/>
  <c r="EI176" i="24"/>
  <c r="EX176" i="24" s="1"/>
  <c r="EC194" i="24"/>
  <c r="ED194" i="24" s="1"/>
  <c r="EH194" i="24"/>
  <c r="EI194" i="24"/>
  <c r="EX194" i="24" s="1"/>
  <c r="EH80" i="24"/>
  <c r="EI80" i="24"/>
  <c r="EX80" i="24" s="1"/>
  <c r="EC80" i="24"/>
  <c r="ED80" i="24" s="1"/>
  <c r="EC22" i="24"/>
  <c r="ED22" i="24" s="1"/>
  <c r="EI22" i="24"/>
  <c r="EX22" i="24" s="1"/>
  <c r="EH22" i="24"/>
  <c r="EI41" i="24"/>
  <c r="EX41" i="24" s="1"/>
  <c r="EC41" i="24"/>
  <c r="ED41" i="24" s="1"/>
  <c r="EH41" i="24"/>
  <c r="EI85" i="24"/>
  <c r="EX85" i="24" s="1"/>
  <c r="EC85" i="24"/>
  <c r="ED85" i="24" s="1"/>
  <c r="EH85" i="24"/>
  <c r="EI19" i="24"/>
  <c r="EX19" i="24" s="1"/>
  <c r="EC19" i="24"/>
  <c r="ED19" i="24" s="1"/>
  <c r="EH19" i="24"/>
  <c r="EC95" i="24"/>
  <c r="ED95" i="24" s="1"/>
  <c r="EH95" i="24"/>
  <c r="EI95" i="24"/>
  <c r="EX95" i="24" s="1"/>
  <c r="EI65" i="24"/>
  <c r="EX65" i="24" s="1"/>
  <c r="EC65" i="24"/>
  <c r="ED65" i="24" s="1"/>
  <c r="EH65" i="24"/>
  <c r="EC101" i="24"/>
  <c r="ED101" i="24" s="1"/>
  <c r="EH101" i="24"/>
  <c r="EI101" i="24"/>
  <c r="EX101" i="24" s="1"/>
  <c r="EC163" i="24"/>
  <c r="ED163" i="24" s="1"/>
  <c r="EH163" i="24"/>
  <c r="EI163" i="24"/>
  <c r="EX163" i="24" s="1"/>
  <c r="EH8" i="24"/>
  <c r="EC8" i="24"/>
  <c r="ED8" i="24" s="1"/>
  <c r="EI8" i="24"/>
  <c r="EX8" i="24" s="1"/>
  <c r="EC165" i="24"/>
  <c r="ED165" i="24" s="1"/>
  <c r="EI165" i="24"/>
  <c r="EX165" i="24" s="1"/>
  <c r="EH165" i="24"/>
  <c r="EI49" i="24"/>
  <c r="EX49" i="24" s="1"/>
  <c r="EC49" i="24"/>
  <c r="ED49" i="24" s="1"/>
  <c r="EH49" i="24"/>
  <c r="EC205" i="24"/>
  <c r="ED205" i="24" s="1"/>
  <c r="EI205" i="24"/>
  <c r="EX205" i="24" s="1"/>
  <c r="EH205" i="24"/>
  <c r="EH68" i="24"/>
  <c r="EI68" i="24"/>
  <c r="EX68" i="24" s="1"/>
  <c r="EC68" i="24"/>
  <c r="ED68" i="24" s="1"/>
  <c r="EH175" i="24"/>
  <c r="EC175" i="24"/>
  <c r="ED175" i="24" s="1"/>
  <c r="EI175" i="24"/>
  <c r="EX175" i="24" s="1"/>
  <c r="EI42" i="24"/>
  <c r="EX42" i="24" s="1"/>
  <c r="EH42" i="24"/>
  <c r="EC42" i="24"/>
  <c r="ED42" i="24" s="1"/>
  <c r="EC143" i="24"/>
  <c r="ED143" i="24" s="1"/>
  <c r="EI143" i="24"/>
  <c r="EX143" i="24" s="1"/>
  <c r="EH143" i="24"/>
  <c r="EI173" i="24"/>
  <c r="EX173" i="24" s="1"/>
  <c r="EH173" i="24"/>
  <c r="EC173" i="24"/>
  <c r="ED173" i="24" s="1"/>
  <c r="EC54" i="24"/>
  <c r="ED54" i="24" s="1"/>
  <c r="EI54" i="24"/>
  <c r="EX54" i="24" s="1"/>
  <c r="EH54" i="24"/>
  <c r="EI11" i="24"/>
  <c r="EX11" i="24" s="1"/>
  <c r="EC11" i="24"/>
  <c r="ED11" i="24" s="1"/>
  <c r="EH11" i="24"/>
  <c r="EC102" i="24"/>
  <c r="ED102" i="24" s="1"/>
  <c r="EI102" i="24"/>
  <c r="EX102" i="24" s="1"/>
  <c r="EH102" i="24"/>
  <c r="EH156" i="24"/>
  <c r="EC156" i="24"/>
  <c r="ED156" i="24" s="1"/>
  <c r="EI156" i="24"/>
  <c r="EX156" i="24" s="1"/>
  <c r="EC179" i="24"/>
  <c r="ED179" i="24" s="1"/>
  <c r="EI179" i="24"/>
  <c r="EX179" i="24" s="1"/>
  <c r="EH179" i="24"/>
  <c r="EC148" i="24"/>
  <c r="ED148" i="24" s="1"/>
  <c r="EH148" i="24"/>
  <c r="EI148" i="24"/>
  <c r="EX148" i="24" s="1"/>
  <c r="EI51" i="24"/>
  <c r="EX51" i="24" s="1"/>
  <c r="EC51" i="24"/>
  <c r="ED51" i="24" s="1"/>
  <c r="EH51" i="24"/>
  <c r="EH32" i="24"/>
  <c r="EI32" i="24"/>
  <c r="EX32" i="24" s="1"/>
  <c r="EC32" i="24"/>
  <c r="ED32" i="24" s="1"/>
  <c r="EI64" i="24"/>
  <c r="EX64" i="24" s="1"/>
  <c r="EH64" i="24"/>
  <c r="EC64" i="24"/>
  <c r="ED64" i="24" s="1"/>
  <c r="EH198" i="24"/>
  <c r="EC198" i="24"/>
  <c r="ED198" i="24" s="1"/>
  <c r="EI198" i="24"/>
  <c r="EX198" i="24" s="1"/>
  <c r="EC24" i="24"/>
  <c r="ED24" i="24" s="1"/>
  <c r="EH24" i="24"/>
  <c r="EI24" i="24"/>
  <c r="EX24" i="24" s="1"/>
  <c r="EI129" i="24"/>
  <c r="EX129" i="24" s="1"/>
  <c r="EH129" i="24"/>
  <c r="EC129" i="24"/>
  <c r="ED129" i="24" s="1"/>
  <c r="EC164" i="24"/>
  <c r="ED164" i="24" s="1"/>
  <c r="EI164" i="24"/>
  <c r="EX164" i="24" s="1"/>
  <c r="EH164" i="24"/>
  <c r="EI12" i="24"/>
  <c r="EX12" i="24" s="1"/>
  <c r="EH12" i="24"/>
  <c r="EC12" i="24"/>
  <c r="ED12" i="24" s="1"/>
  <c r="EC25" i="24"/>
  <c r="ED25" i="24" s="1"/>
  <c r="EH25" i="24"/>
  <c r="EI25" i="24"/>
  <c r="EX25" i="24" s="1"/>
  <c r="EC66" i="24"/>
  <c r="ED66" i="24" s="1"/>
  <c r="EI66" i="24"/>
  <c r="EX66" i="24" s="1"/>
  <c r="EH66" i="24"/>
  <c r="EC56" i="24"/>
  <c r="ED56" i="24" s="1"/>
  <c r="EH56" i="24"/>
  <c r="EI56" i="24"/>
  <c r="EX56" i="24" s="1"/>
  <c r="EH125" i="24"/>
  <c r="EC125" i="24"/>
  <c r="ED125" i="24" s="1"/>
  <c r="EI125" i="24"/>
  <c r="EX125" i="24" s="1"/>
  <c r="EH181" i="24"/>
  <c r="EI181" i="24"/>
  <c r="EX181" i="24" s="1"/>
  <c r="EC181" i="24"/>
  <c r="ED181" i="24" s="1"/>
  <c r="EI180" i="24"/>
  <c r="EX180" i="24" s="1"/>
  <c r="EH180" i="24"/>
  <c r="EC180" i="24"/>
  <c r="ED180" i="24" s="1"/>
  <c r="EI157" i="24"/>
  <c r="EX157" i="24" s="1"/>
  <c r="EH157" i="24"/>
  <c r="EC157" i="24"/>
  <c r="ED157" i="24" s="1"/>
  <c r="EI82" i="24"/>
  <c r="EX82" i="24" s="1"/>
  <c r="EH82" i="24"/>
  <c r="EC82" i="24"/>
  <c r="ED82" i="24" s="1"/>
  <c r="EC151" i="24"/>
  <c r="ED151" i="24" s="1"/>
  <c r="EH151" i="24"/>
  <c r="EI151" i="24"/>
  <c r="EX151" i="24" s="1"/>
  <c r="EI9" i="24"/>
  <c r="EX9" i="24" s="1"/>
  <c r="EC9" i="24"/>
  <c r="ED9" i="24" s="1"/>
  <c r="EH9" i="24"/>
  <c r="EC206" i="24"/>
  <c r="ED206" i="24" s="1"/>
  <c r="EH206" i="24"/>
  <c r="EI206" i="24"/>
  <c r="EX206" i="24" s="1"/>
  <c r="EI137" i="24"/>
  <c r="EX137" i="24" s="1"/>
  <c r="EH137" i="24"/>
  <c r="EC137" i="24"/>
  <c r="ED137" i="24" s="1"/>
  <c r="EC146" i="24"/>
  <c r="ED146" i="24" s="1"/>
  <c r="EI146" i="24"/>
  <c r="EX146" i="24" s="1"/>
  <c r="EH146" i="24"/>
  <c r="EI69" i="24"/>
  <c r="EX69" i="24" s="1"/>
  <c r="EH69" i="24"/>
  <c r="EC69" i="24"/>
  <c r="ED69" i="24" s="1"/>
  <c r="EH28" i="24"/>
  <c r="EC28" i="24"/>
  <c r="ED28" i="24" s="1"/>
  <c r="EI28" i="24"/>
  <c r="EX28" i="24" s="1"/>
  <c r="AZ106" i="19"/>
  <c r="BL106" i="19" s="1"/>
  <c r="BM106" i="19" s="1"/>
  <c r="BZ106" i="19" s="1"/>
  <c r="BK106" i="19"/>
  <c r="B289" i="2"/>
  <c r="BI106" i="19"/>
  <c r="BJ106" i="19"/>
  <c r="BC106" i="19"/>
  <c r="BB106" i="19"/>
  <c r="BD106" i="19"/>
  <c r="BG106" i="19"/>
  <c r="BU106" i="19"/>
  <c r="CA106" i="19" s="1"/>
  <c r="BH106" i="19"/>
  <c r="BA106" i="19"/>
  <c r="BF106" i="19"/>
  <c r="BS106" i="19"/>
  <c r="BE106" i="19"/>
  <c r="EI216" i="25" l="1"/>
  <c r="FB216" i="25"/>
  <c r="EK96" i="24"/>
  <c r="EQ96" i="24" s="1"/>
  <c r="EK92" i="24"/>
  <c r="EQ92" i="24" s="1"/>
  <c r="ER92" i="24" s="1"/>
  <c r="EZ96" i="24"/>
  <c r="FB96" i="24" s="1"/>
  <c r="EP212" i="25"/>
  <c r="FC212" i="25"/>
  <c r="FE212" i="25" s="1"/>
  <c r="FF212" i="25" s="1"/>
  <c r="EW243" i="24"/>
  <c r="FB243" i="24" s="1"/>
  <c r="EK67" i="24"/>
  <c r="EQ67" i="24" s="1"/>
  <c r="ER67" i="24" s="1"/>
  <c r="EK159" i="24"/>
  <c r="ER159" i="24" s="1"/>
  <c r="EW132" i="24"/>
  <c r="FB132" i="24" s="1"/>
  <c r="O110" i="24"/>
  <c r="BZ110" i="24" s="1"/>
  <c r="EW285" i="24"/>
  <c r="FB285" i="24" s="1"/>
  <c r="EZ92" i="24"/>
  <c r="FB92" i="24" s="1"/>
  <c r="EZ78" i="24"/>
  <c r="FB78" i="24" s="1"/>
  <c r="EK78" i="24"/>
  <c r="EQ78" i="24" s="1"/>
  <c r="ER78" i="24" s="1"/>
  <c r="FB242" i="24"/>
  <c r="EK60" i="24"/>
  <c r="EQ60" i="24" s="1"/>
  <c r="EZ60" i="24"/>
  <c r="FB60" i="24" s="1"/>
  <c r="FB136" i="25"/>
  <c r="EK77" i="24"/>
  <c r="EQ77" i="24" s="1"/>
  <c r="ER77" i="24" s="1"/>
  <c r="EK74" i="24"/>
  <c r="EQ74" i="24" s="1"/>
  <c r="ER74" i="24" s="1"/>
  <c r="FC216" i="24"/>
  <c r="FE216" i="24" s="1"/>
  <c r="FF216" i="24" s="1"/>
  <c r="ER216" i="24"/>
  <c r="BK216" i="24"/>
  <c r="K216" i="24"/>
  <c r="ER285" i="24"/>
  <c r="EW245" i="24"/>
  <c r="FB245" i="24" s="1"/>
  <c r="EK245" i="24"/>
  <c r="EW225" i="24"/>
  <c r="FB225" i="24" s="1"/>
  <c r="EK225" i="24"/>
  <c r="EW279" i="24"/>
  <c r="FB279" i="24" s="1"/>
  <c r="EK279" i="24"/>
  <c r="EK229" i="24"/>
  <c r="EW229" i="24"/>
  <c r="FB229" i="24" s="1"/>
  <c r="EW278" i="24"/>
  <c r="FB278" i="24" s="1"/>
  <c r="EK278" i="24"/>
  <c r="EK301" i="24"/>
  <c r="EW301" i="24"/>
  <c r="FB301" i="24" s="1"/>
  <c r="EK248" i="24"/>
  <c r="EW248" i="24"/>
  <c r="FB248" i="24" s="1"/>
  <c r="EK271" i="24"/>
  <c r="EW271" i="24"/>
  <c r="FB271" i="24" s="1"/>
  <c r="EK219" i="24"/>
  <c r="EW219" i="24"/>
  <c r="FB219" i="24" s="1"/>
  <c r="EK263" i="24"/>
  <c r="EW263" i="24"/>
  <c r="FB263" i="24" s="1"/>
  <c r="EK284" i="24"/>
  <c r="EW284" i="24"/>
  <c r="FB284" i="24" s="1"/>
  <c r="EW268" i="24"/>
  <c r="FB268" i="24" s="1"/>
  <c r="EK268" i="24"/>
  <c r="EW310" i="24"/>
  <c r="FB310" i="24" s="1"/>
  <c r="EK310" i="24"/>
  <c r="EK294" i="24"/>
  <c r="EW294" i="24"/>
  <c r="FB294" i="24" s="1"/>
  <c r="EK275" i="24"/>
  <c r="EW275" i="24"/>
  <c r="FB275" i="24" s="1"/>
  <c r="EW249" i="24"/>
  <c r="FB249" i="24" s="1"/>
  <c r="EK249" i="24"/>
  <c r="EK258" i="24"/>
  <c r="EW258" i="24"/>
  <c r="FB258" i="24" s="1"/>
  <c r="EK230" i="24"/>
  <c r="EW230" i="24"/>
  <c r="FB230" i="24" s="1"/>
  <c r="EW306" i="24"/>
  <c r="FB306" i="24" s="1"/>
  <c r="EK306" i="24"/>
  <c r="EW298" i="24"/>
  <c r="FB298" i="24" s="1"/>
  <c r="EK298" i="24"/>
  <c r="EK282" i="24"/>
  <c r="EW282" i="24"/>
  <c r="FB282" i="24" s="1"/>
  <c r="EW270" i="24"/>
  <c r="FB270" i="24" s="1"/>
  <c r="EK270" i="24"/>
  <c r="EK264" i="24"/>
  <c r="EW264" i="24"/>
  <c r="FB264" i="24" s="1"/>
  <c r="EW253" i="24"/>
  <c r="FB253" i="24" s="1"/>
  <c r="EK253" i="24"/>
  <c r="EK267" i="24"/>
  <c r="EW267" i="24"/>
  <c r="FB267" i="24" s="1"/>
  <c r="EW316" i="24"/>
  <c r="FB316" i="24" s="1"/>
  <c r="EK316" i="24"/>
  <c r="EK224" i="24"/>
  <c r="EW224" i="24"/>
  <c r="FB224" i="24" s="1"/>
  <c r="EW251" i="24"/>
  <c r="FB251" i="24" s="1"/>
  <c r="EK251" i="24"/>
  <c r="EW289" i="24"/>
  <c r="FB289" i="24" s="1"/>
  <c r="EK289" i="24"/>
  <c r="EK238" i="24"/>
  <c r="EW238" i="24"/>
  <c r="FB238" i="24" s="1"/>
  <c r="EK246" i="24"/>
  <c r="EW246" i="24"/>
  <c r="FB246" i="24" s="1"/>
  <c r="EK232" i="24"/>
  <c r="EW232" i="24"/>
  <c r="FB232" i="24" s="1"/>
  <c r="EK281" i="24"/>
  <c r="EW281" i="24"/>
  <c r="FB281" i="24" s="1"/>
  <c r="EK233" i="24"/>
  <c r="EW233" i="24"/>
  <c r="FB233" i="24" s="1"/>
  <c r="EW288" i="24"/>
  <c r="FB288" i="24" s="1"/>
  <c r="EK288" i="24"/>
  <c r="EW257" i="24"/>
  <c r="FB257" i="24" s="1"/>
  <c r="EK257" i="24"/>
  <c r="EW255" i="24"/>
  <c r="FB255" i="24" s="1"/>
  <c r="EK255" i="24"/>
  <c r="EK273" i="24"/>
  <c r="EW273" i="24"/>
  <c r="FB273" i="24" s="1"/>
  <c r="EK218" i="24"/>
  <c r="EW218" i="24"/>
  <c r="FB218" i="24" s="1"/>
  <c r="EW262" i="24"/>
  <c r="FB262" i="24" s="1"/>
  <c r="EK262" i="24"/>
  <c r="EK266" i="24"/>
  <c r="EW266" i="24"/>
  <c r="FB266" i="24" s="1"/>
  <c r="ER243" i="24"/>
  <c r="EK261" i="24"/>
  <c r="EW261" i="24"/>
  <c r="FB261" i="24" s="1"/>
  <c r="EK228" i="24"/>
  <c r="EW228" i="24"/>
  <c r="FB228" i="24" s="1"/>
  <c r="EK265" i="24"/>
  <c r="EW265" i="24"/>
  <c r="FB265" i="24" s="1"/>
  <c r="EK244" i="24"/>
  <c r="EW244" i="24"/>
  <c r="FB244" i="24" s="1"/>
  <c r="EK236" i="24"/>
  <c r="EW236" i="24"/>
  <c r="FB236" i="24" s="1"/>
  <c r="EK299" i="24"/>
  <c r="EW299" i="24"/>
  <c r="FB299" i="24" s="1"/>
  <c r="EW304" i="24"/>
  <c r="FB304" i="24" s="1"/>
  <c r="EK304" i="24"/>
  <c r="EK283" i="24"/>
  <c r="EW283" i="24"/>
  <c r="FB283" i="24" s="1"/>
  <c r="EW231" i="24"/>
  <c r="FB231" i="24" s="1"/>
  <c r="EK231" i="24"/>
  <c r="EK280" i="24"/>
  <c r="EW280" i="24"/>
  <c r="FB280" i="24" s="1"/>
  <c r="EK234" i="24"/>
  <c r="EW234" i="24"/>
  <c r="FB234" i="24" s="1"/>
  <c r="EK296" i="24"/>
  <c r="EW296" i="24"/>
  <c r="FB296" i="24" s="1"/>
  <c r="EK239" i="24"/>
  <c r="EW239" i="24"/>
  <c r="FB239" i="24" s="1"/>
  <c r="EW259" i="24"/>
  <c r="FB259" i="24" s="1"/>
  <c r="EK259" i="24"/>
  <c r="EW308" i="24"/>
  <c r="FB308" i="24" s="1"/>
  <c r="EK308" i="24"/>
  <c r="EK222" i="24"/>
  <c r="EW222" i="24"/>
  <c r="FB222" i="24" s="1"/>
  <c r="EK305" i="24"/>
  <c r="EW305" i="24"/>
  <c r="FB305" i="24" s="1"/>
  <c r="EW312" i="24"/>
  <c r="FB312" i="24" s="1"/>
  <c r="EK312" i="24"/>
  <c r="EK313" i="24"/>
  <c r="EW313" i="24"/>
  <c r="FB313" i="24" s="1"/>
  <c r="EK220" i="24"/>
  <c r="EW220" i="24"/>
  <c r="FB220" i="24" s="1"/>
  <c r="EW274" i="24"/>
  <c r="FB274" i="24" s="1"/>
  <c r="EK274" i="24"/>
  <c r="EK240" i="24"/>
  <c r="EW240" i="24"/>
  <c r="FB240" i="24" s="1"/>
  <c r="EK286" i="24"/>
  <c r="EW286" i="24"/>
  <c r="FB286" i="24" s="1"/>
  <c r="EK260" i="24"/>
  <c r="EW260" i="24"/>
  <c r="FB260" i="24" s="1"/>
  <c r="EK217" i="24"/>
  <c r="EW217" i="24"/>
  <c r="FB217" i="24" s="1"/>
  <c r="EW300" i="24"/>
  <c r="FB300" i="24" s="1"/>
  <c r="EK300" i="24"/>
  <c r="EK223" i="24"/>
  <c r="EW223" i="24"/>
  <c r="FB223" i="24" s="1"/>
  <c r="EK309" i="24"/>
  <c r="EW309" i="24"/>
  <c r="FB309" i="24" s="1"/>
  <c r="EK277" i="24"/>
  <c r="EW277" i="24"/>
  <c r="FB277" i="24" s="1"/>
  <c r="EK311" i="24"/>
  <c r="EW311" i="24"/>
  <c r="FB311" i="24" s="1"/>
  <c r="ER242" i="24"/>
  <c r="FC242" i="24"/>
  <c r="FE242" i="24" s="1"/>
  <c r="FF242" i="24" s="1"/>
  <c r="EK227" i="24"/>
  <c r="EW227" i="24"/>
  <c r="FB227" i="24" s="1"/>
  <c r="EW276" i="24"/>
  <c r="FB276" i="24" s="1"/>
  <c r="EK276" i="24"/>
  <c r="EK292" i="24"/>
  <c r="EW292" i="24"/>
  <c r="FB292" i="24" s="1"/>
  <c r="EW235" i="24"/>
  <c r="FB235" i="24" s="1"/>
  <c r="EK235" i="24"/>
  <c r="EK315" i="24"/>
  <c r="EW315" i="24"/>
  <c r="FB315" i="24" s="1"/>
  <c r="EK252" i="24"/>
  <c r="EW252" i="24"/>
  <c r="FB252" i="24" s="1"/>
  <c r="EW293" i="24"/>
  <c r="FB293" i="24" s="1"/>
  <c r="EK293" i="24"/>
  <c r="EW314" i="24"/>
  <c r="FB314" i="24" s="1"/>
  <c r="EK314" i="24"/>
  <c r="EW295" i="24"/>
  <c r="FB295" i="24" s="1"/>
  <c r="EK295" i="24"/>
  <c r="EK269" i="24"/>
  <c r="EW269" i="24"/>
  <c r="FB269" i="24" s="1"/>
  <c r="EW241" i="24"/>
  <c r="FB241" i="24" s="1"/>
  <c r="EK241" i="24"/>
  <c r="EW287" i="24"/>
  <c r="FB287" i="24" s="1"/>
  <c r="EK287" i="24"/>
  <c r="EK297" i="24"/>
  <c r="EW297" i="24"/>
  <c r="FB297" i="24" s="1"/>
  <c r="EK303" i="24"/>
  <c r="EW303" i="24"/>
  <c r="FB303" i="24" s="1"/>
  <c r="EK272" i="24"/>
  <c r="EW272" i="24"/>
  <c r="FB272" i="24" s="1"/>
  <c r="EK256" i="24"/>
  <c r="EW256" i="24"/>
  <c r="FB256" i="24" s="1"/>
  <c r="EK307" i="24"/>
  <c r="EW307" i="24"/>
  <c r="FB307" i="24" s="1"/>
  <c r="EW290" i="24"/>
  <c r="FB290" i="24" s="1"/>
  <c r="EK290" i="24"/>
  <c r="EK226" i="24"/>
  <c r="EW226" i="24"/>
  <c r="FB226" i="24" s="1"/>
  <c r="EW247" i="24"/>
  <c r="FB247" i="24" s="1"/>
  <c r="EK247" i="24"/>
  <c r="EK254" i="24"/>
  <c r="EW254" i="24"/>
  <c r="FB254" i="24" s="1"/>
  <c r="EK221" i="24"/>
  <c r="EW221" i="24"/>
  <c r="FB221" i="24" s="1"/>
  <c r="EW237" i="24"/>
  <c r="FB237" i="24" s="1"/>
  <c r="EK237" i="24"/>
  <c r="EK291" i="24"/>
  <c r="EW291" i="24"/>
  <c r="FB291" i="24" s="1"/>
  <c r="EW302" i="24"/>
  <c r="FB302" i="24" s="1"/>
  <c r="EK302" i="24"/>
  <c r="EK250" i="24"/>
  <c r="EW250" i="24"/>
  <c r="FB250" i="24" s="1"/>
  <c r="EP217" i="25"/>
  <c r="FC217" i="25"/>
  <c r="FE217" i="25" s="1"/>
  <c r="FF217" i="25" s="1"/>
  <c r="EP256" i="25"/>
  <c r="FC256" i="25"/>
  <c r="FE256" i="25" s="1"/>
  <c r="FF256" i="25" s="1"/>
  <c r="EP273" i="25"/>
  <c r="FC273" i="25"/>
  <c r="FE273" i="25" s="1"/>
  <c r="FF273" i="25" s="1"/>
  <c r="FC221" i="25"/>
  <c r="FE221" i="25" s="1"/>
  <c r="FF221" i="25" s="1"/>
  <c r="EP221" i="25"/>
  <c r="FC226" i="25"/>
  <c r="FE226" i="25" s="1"/>
  <c r="FF226" i="25" s="1"/>
  <c r="EP226" i="25"/>
  <c r="EP240" i="25"/>
  <c r="FC240" i="25"/>
  <c r="FE240" i="25" s="1"/>
  <c r="FF240" i="25" s="1"/>
  <c r="EP249" i="25"/>
  <c r="FC249" i="25"/>
  <c r="FE249" i="25" s="1"/>
  <c r="FF249" i="25" s="1"/>
  <c r="FC282" i="25"/>
  <c r="FE282" i="25" s="1"/>
  <c r="FF282" i="25" s="1"/>
  <c r="EP282" i="25"/>
  <c r="EP227" i="25"/>
  <c r="FC227" i="25"/>
  <c r="FE227" i="25" s="1"/>
  <c r="FF227" i="25" s="1"/>
  <c r="EP301" i="25"/>
  <c r="FC301" i="25"/>
  <c r="FE301" i="25" s="1"/>
  <c r="FF301" i="25" s="1"/>
  <c r="FC279" i="25"/>
  <c r="FE279" i="25" s="1"/>
  <c r="FF279" i="25" s="1"/>
  <c r="EP279" i="25"/>
  <c r="FC233" i="25"/>
  <c r="FE233" i="25" s="1"/>
  <c r="FF233" i="25" s="1"/>
  <c r="EP233" i="25"/>
  <c r="EP284" i="25"/>
  <c r="FC284" i="25"/>
  <c r="FE284" i="25" s="1"/>
  <c r="FF284" i="25" s="1"/>
  <c r="FC311" i="25"/>
  <c r="FE311" i="25" s="1"/>
  <c r="FF311" i="25" s="1"/>
  <c r="EP311" i="25"/>
  <c r="EP306" i="25"/>
  <c r="FC306" i="25"/>
  <c r="FE306" i="25" s="1"/>
  <c r="FF306" i="25" s="1"/>
  <c r="EP280" i="25"/>
  <c r="FC280" i="25"/>
  <c r="FE280" i="25" s="1"/>
  <c r="FF280" i="25" s="1"/>
  <c r="FC246" i="25"/>
  <c r="FE246" i="25" s="1"/>
  <c r="FF246" i="25" s="1"/>
  <c r="EP246" i="25"/>
  <c r="EP263" i="25"/>
  <c r="FC263" i="25"/>
  <c r="FE263" i="25" s="1"/>
  <c r="FF263" i="25" s="1"/>
  <c r="EP312" i="25"/>
  <c r="FC312" i="25"/>
  <c r="FE312" i="25" s="1"/>
  <c r="FF312" i="25" s="1"/>
  <c r="FC243" i="25"/>
  <c r="FE243" i="25" s="1"/>
  <c r="FF243" i="25" s="1"/>
  <c r="EP243" i="25"/>
  <c r="EP275" i="25"/>
  <c r="FC275" i="25"/>
  <c r="FE275" i="25" s="1"/>
  <c r="FF275" i="25" s="1"/>
  <c r="EP259" i="25"/>
  <c r="FC259" i="25"/>
  <c r="FE259" i="25" s="1"/>
  <c r="FF259" i="25" s="1"/>
  <c r="EP315" i="25"/>
  <c r="FC315" i="25"/>
  <c r="FE315" i="25" s="1"/>
  <c r="FF315" i="25" s="1"/>
  <c r="EP296" i="25"/>
  <c r="FC296" i="25"/>
  <c r="FE296" i="25" s="1"/>
  <c r="FF296" i="25" s="1"/>
  <c r="EP281" i="25"/>
  <c r="FC281" i="25"/>
  <c r="FE281" i="25" s="1"/>
  <c r="FF281" i="25" s="1"/>
  <c r="EP254" i="25"/>
  <c r="FC254" i="25"/>
  <c r="FE254" i="25" s="1"/>
  <c r="FF254" i="25" s="1"/>
  <c r="EP234" i="25"/>
  <c r="FC234" i="25"/>
  <c r="FE234" i="25" s="1"/>
  <c r="FF234" i="25" s="1"/>
  <c r="EP309" i="25"/>
  <c r="FC309" i="25"/>
  <c r="FE309" i="25" s="1"/>
  <c r="FF309" i="25" s="1"/>
  <c r="EP288" i="25"/>
  <c r="FC288" i="25"/>
  <c r="FE288" i="25" s="1"/>
  <c r="FF288" i="25" s="1"/>
  <c r="FC222" i="25"/>
  <c r="FE222" i="25" s="1"/>
  <c r="FF222" i="25" s="1"/>
  <c r="EP222" i="25"/>
  <c r="EP261" i="25"/>
  <c r="FC261" i="25"/>
  <c r="FE261" i="25" s="1"/>
  <c r="FF261" i="25" s="1"/>
  <c r="EP316" i="25"/>
  <c r="FC316" i="25"/>
  <c r="FE316" i="25" s="1"/>
  <c r="FF316" i="25" s="1"/>
  <c r="EP239" i="25"/>
  <c r="FC239" i="25"/>
  <c r="FE239" i="25" s="1"/>
  <c r="FF239" i="25" s="1"/>
  <c r="EP253" i="25"/>
  <c r="FC253" i="25"/>
  <c r="FE253" i="25" s="1"/>
  <c r="FF253" i="25" s="1"/>
  <c r="FC286" i="25"/>
  <c r="FE286" i="25" s="1"/>
  <c r="FF286" i="25" s="1"/>
  <c r="EP286" i="25"/>
  <c r="EP290" i="25"/>
  <c r="FC290" i="25"/>
  <c r="FE290" i="25" s="1"/>
  <c r="FF290" i="25" s="1"/>
  <c r="EP283" i="25"/>
  <c r="FC283" i="25"/>
  <c r="FE283" i="25" s="1"/>
  <c r="FF283" i="25" s="1"/>
  <c r="EP303" i="25"/>
  <c r="FC303" i="25"/>
  <c r="FE303" i="25" s="1"/>
  <c r="FF303" i="25" s="1"/>
  <c r="EP245" i="25"/>
  <c r="FC245" i="25"/>
  <c r="FE245" i="25" s="1"/>
  <c r="FF245" i="25" s="1"/>
  <c r="FC260" i="25"/>
  <c r="FE260" i="25" s="1"/>
  <c r="FF260" i="25" s="1"/>
  <c r="EP260" i="25"/>
  <c r="FC224" i="25"/>
  <c r="FE224" i="25" s="1"/>
  <c r="FF224" i="25" s="1"/>
  <c r="EP224" i="25"/>
  <c r="EP241" i="25"/>
  <c r="FC241" i="25"/>
  <c r="FE241" i="25" s="1"/>
  <c r="FF241" i="25" s="1"/>
  <c r="FC271" i="25"/>
  <c r="FE271" i="25" s="1"/>
  <c r="FF271" i="25" s="1"/>
  <c r="EP271" i="25"/>
  <c r="EP267" i="25"/>
  <c r="FC267" i="25"/>
  <c r="FE267" i="25" s="1"/>
  <c r="FF267" i="25" s="1"/>
  <c r="EP250" i="25"/>
  <c r="FC250" i="25"/>
  <c r="FE250" i="25" s="1"/>
  <c r="FF250" i="25" s="1"/>
  <c r="EP307" i="25"/>
  <c r="FC307" i="25"/>
  <c r="FE307" i="25" s="1"/>
  <c r="FF307" i="25" s="1"/>
  <c r="EP268" i="25"/>
  <c r="FC268" i="25"/>
  <c r="FE268" i="25" s="1"/>
  <c r="FF268" i="25" s="1"/>
  <c r="FC251" i="25"/>
  <c r="FE251" i="25" s="1"/>
  <c r="FF251" i="25" s="1"/>
  <c r="EP251" i="25"/>
  <c r="EP299" i="25"/>
  <c r="FC299" i="25"/>
  <c r="FE299" i="25" s="1"/>
  <c r="FF299" i="25" s="1"/>
  <c r="FC247" i="25"/>
  <c r="FE247" i="25" s="1"/>
  <c r="FF247" i="25" s="1"/>
  <c r="EP247" i="25"/>
  <c r="EP220" i="25"/>
  <c r="FC220" i="25"/>
  <c r="FE220" i="25" s="1"/>
  <c r="FF220" i="25" s="1"/>
  <c r="EP297" i="25"/>
  <c r="FC297" i="25"/>
  <c r="FE297" i="25" s="1"/>
  <c r="FF297" i="25" s="1"/>
  <c r="EP314" i="25"/>
  <c r="FC314" i="25"/>
  <c r="FE314" i="25" s="1"/>
  <c r="FF314" i="25" s="1"/>
  <c r="FC272" i="25"/>
  <c r="FE272" i="25" s="1"/>
  <c r="FF272" i="25" s="1"/>
  <c r="EP272" i="25"/>
  <c r="FC310" i="25"/>
  <c r="FE310" i="25" s="1"/>
  <c r="FF310" i="25" s="1"/>
  <c r="EP310" i="25"/>
  <c r="EP285" i="25"/>
  <c r="FC285" i="25"/>
  <c r="FE285" i="25" s="1"/>
  <c r="FF285" i="25" s="1"/>
  <c r="FC232" i="25"/>
  <c r="FE232" i="25" s="1"/>
  <c r="FF232" i="25" s="1"/>
  <c r="EP232" i="25"/>
  <c r="EP244" i="25"/>
  <c r="FC244" i="25"/>
  <c r="FE244" i="25" s="1"/>
  <c r="FF244" i="25" s="1"/>
  <c r="FC223" i="25"/>
  <c r="FE223" i="25" s="1"/>
  <c r="FF223" i="25" s="1"/>
  <c r="EP223" i="25"/>
  <c r="FC218" i="25"/>
  <c r="FE218" i="25" s="1"/>
  <c r="FF218" i="25" s="1"/>
  <c r="EP218" i="25"/>
  <c r="EP242" i="25"/>
  <c r="FC242" i="25"/>
  <c r="FE242" i="25" s="1"/>
  <c r="FF242" i="25" s="1"/>
  <c r="EP292" i="25"/>
  <c r="FC292" i="25"/>
  <c r="FE292" i="25" s="1"/>
  <c r="FF292" i="25" s="1"/>
  <c r="EP308" i="25"/>
  <c r="FC308" i="25"/>
  <c r="FE308" i="25" s="1"/>
  <c r="FF308" i="25" s="1"/>
  <c r="EP265" i="25"/>
  <c r="FC265" i="25"/>
  <c r="FE265" i="25" s="1"/>
  <c r="FF265" i="25" s="1"/>
  <c r="FC277" i="25"/>
  <c r="FE277" i="25" s="1"/>
  <c r="FF277" i="25" s="1"/>
  <c r="EP277" i="25"/>
  <c r="EP236" i="25"/>
  <c r="FC236" i="25"/>
  <c r="FE236" i="25" s="1"/>
  <c r="FF236" i="25" s="1"/>
  <c r="EP287" i="25"/>
  <c r="FC287" i="25"/>
  <c r="FE287" i="25" s="1"/>
  <c r="FF287" i="25" s="1"/>
  <c r="EP264" i="25"/>
  <c r="FC264" i="25"/>
  <c r="FE264" i="25" s="1"/>
  <c r="FF264" i="25" s="1"/>
  <c r="EP313" i="25"/>
  <c r="FC313" i="25"/>
  <c r="FE313" i="25" s="1"/>
  <c r="FF313" i="25" s="1"/>
  <c r="FC302" i="25"/>
  <c r="FE302" i="25" s="1"/>
  <c r="FF302" i="25" s="1"/>
  <c r="EP302" i="25"/>
  <c r="EP225" i="25"/>
  <c r="FC225" i="25"/>
  <c r="FE225" i="25" s="1"/>
  <c r="FF225" i="25" s="1"/>
  <c r="FC295" i="25"/>
  <c r="FE295" i="25" s="1"/>
  <c r="FF295" i="25" s="1"/>
  <c r="EP295" i="25"/>
  <c r="FC266" i="25"/>
  <c r="FE266" i="25" s="1"/>
  <c r="FF266" i="25" s="1"/>
  <c r="EP266" i="25"/>
  <c r="EP298" i="25"/>
  <c r="FC298" i="25"/>
  <c r="FE298" i="25" s="1"/>
  <c r="FF298" i="25" s="1"/>
  <c r="FC219" i="25"/>
  <c r="FE219" i="25" s="1"/>
  <c r="FF219" i="25" s="1"/>
  <c r="EP219" i="25"/>
  <c r="FC300" i="25"/>
  <c r="FE300" i="25" s="1"/>
  <c r="FF300" i="25" s="1"/>
  <c r="EP300" i="25"/>
  <c r="FC235" i="25"/>
  <c r="FE235" i="25" s="1"/>
  <c r="FF235" i="25" s="1"/>
  <c r="EP235" i="25"/>
  <c r="EP269" i="25"/>
  <c r="FC269" i="25"/>
  <c r="FE269" i="25" s="1"/>
  <c r="FF269" i="25" s="1"/>
  <c r="EP304" i="25"/>
  <c r="FC304" i="25"/>
  <c r="FE304" i="25" s="1"/>
  <c r="FF304" i="25" s="1"/>
  <c r="EP229" i="25"/>
  <c r="FC229" i="25"/>
  <c r="FE229" i="25" s="1"/>
  <c r="FF229" i="25" s="1"/>
  <c r="EP289" i="25"/>
  <c r="FC289" i="25"/>
  <c r="FE289" i="25" s="1"/>
  <c r="FF289" i="25" s="1"/>
  <c r="FC262" i="25"/>
  <c r="FE262" i="25" s="1"/>
  <c r="FF262" i="25" s="1"/>
  <c r="EP262" i="25"/>
  <c r="FC231" i="25"/>
  <c r="FE231" i="25" s="1"/>
  <c r="FF231" i="25" s="1"/>
  <c r="EP231" i="25"/>
  <c r="EP293" i="25"/>
  <c r="FC293" i="25"/>
  <c r="FE293" i="25" s="1"/>
  <c r="FF293" i="25" s="1"/>
  <c r="EP270" i="25"/>
  <c r="FC270" i="25"/>
  <c r="FE270" i="25" s="1"/>
  <c r="FF270" i="25" s="1"/>
  <c r="FC258" i="25"/>
  <c r="FE258" i="25" s="1"/>
  <c r="FF258" i="25" s="1"/>
  <c r="EP258" i="25"/>
  <c r="EP291" i="25"/>
  <c r="FC291" i="25"/>
  <c r="FE291" i="25" s="1"/>
  <c r="FF291" i="25" s="1"/>
  <c r="EP228" i="25"/>
  <c r="FC228" i="25"/>
  <c r="FE228" i="25" s="1"/>
  <c r="FF228" i="25" s="1"/>
  <c r="EP216" i="25"/>
  <c r="FC216" i="25"/>
  <c r="FE216" i="25" s="1"/>
  <c r="FF216" i="25" s="1"/>
  <c r="EP276" i="25"/>
  <c r="FC276" i="25"/>
  <c r="FE276" i="25" s="1"/>
  <c r="FF276" i="25" s="1"/>
  <c r="EP248" i="25"/>
  <c r="FC248" i="25"/>
  <c r="FE248" i="25" s="1"/>
  <c r="FF248" i="25" s="1"/>
  <c r="EP238" i="25"/>
  <c r="FC238" i="25"/>
  <c r="FE238" i="25" s="1"/>
  <c r="FF238" i="25" s="1"/>
  <c r="FC257" i="25"/>
  <c r="FE257" i="25" s="1"/>
  <c r="FF257" i="25" s="1"/>
  <c r="EP257" i="25"/>
  <c r="EP255" i="25"/>
  <c r="FC255" i="25"/>
  <c r="FE255" i="25" s="1"/>
  <c r="FF255" i="25" s="1"/>
  <c r="FC230" i="25"/>
  <c r="FE230" i="25" s="1"/>
  <c r="FF230" i="25" s="1"/>
  <c r="EP230" i="25"/>
  <c r="EP305" i="25"/>
  <c r="FC305" i="25"/>
  <c r="FE305" i="25" s="1"/>
  <c r="FF305" i="25" s="1"/>
  <c r="EP237" i="25"/>
  <c r="FC237" i="25"/>
  <c r="FE237" i="25" s="1"/>
  <c r="FF237" i="25" s="1"/>
  <c r="FC294" i="25"/>
  <c r="FE294" i="25" s="1"/>
  <c r="FF294" i="25" s="1"/>
  <c r="EP294" i="25"/>
  <c r="FC278" i="25"/>
  <c r="FE278" i="25" s="1"/>
  <c r="FF278" i="25" s="1"/>
  <c r="EP278" i="25"/>
  <c r="FC274" i="25"/>
  <c r="FE274" i="25" s="1"/>
  <c r="FF274" i="25" s="1"/>
  <c r="EP274" i="25"/>
  <c r="EP252" i="25"/>
  <c r="FC252" i="25"/>
  <c r="FE252" i="25" s="1"/>
  <c r="FF252" i="25" s="1"/>
  <c r="EZ74" i="24"/>
  <c r="FB74" i="24" s="1"/>
  <c r="EK142" i="24"/>
  <c r="FC142" i="24" s="1"/>
  <c r="FE142" i="24" s="1"/>
  <c r="FF142" i="24" s="1"/>
  <c r="FC112" i="25"/>
  <c r="FE112" i="25" s="1"/>
  <c r="FF112" i="25" s="1"/>
  <c r="EP112" i="25"/>
  <c r="EZ43" i="24"/>
  <c r="FB43" i="24" s="1"/>
  <c r="EK39" i="24"/>
  <c r="EQ39" i="24" s="1"/>
  <c r="ER39" i="24" s="1"/>
  <c r="EZ39" i="24"/>
  <c r="FB39" i="24" s="1"/>
  <c r="EW152" i="24"/>
  <c r="FB152" i="24" s="1"/>
  <c r="EK52" i="24"/>
  <c r="EQ52" i="24" s="1"/>
  <c r="ER52" i="24" s="1"/>
  <c r="FC47" i="25"/>
  <c r="FE47" i="25" s="1"/>
  <c r="FF47" i="25" s="1"/>
  <c r="EK63" i="24"/>
  <c r="EQ63" i="24" s="1"/>
  <c r="ER63" i="24" s="1"/>
  <c r="EZ55" i="24"/>
  <c r="FB55" i="24" s="1"/>
  <c r="EW37" i="24"/>
  <c r="EZ37" i="24" s="1"/>
  <c r="FB37" i="24" s="1"/>
  <c r="EK44" i="24"/>
  <c r="EQ44" i="24" s="1"/>
  <c r="ER44" i="24" s="1"/>
  <c r="EZ44" i="24"/>
  <c r="FB44" i="24" s="1"/>
  <c r="FC96" i="25"/>
  <c r="FE96" i="25" s="1"/>
  <c r="FF96" i="25" s="1"/>
  <c r="EW83" i="24"/>
  <c r="EZ83" i="24" s="1"/>
  <c r="FB83" i="24" s="1"/>
  <c r="EW186" i="24"/>
  <c r="FB186" i="24" s="1"/>
  <c r="EW134" i="24"/>
  <c r="FC134" i="24" s="1"/>
  <c r="FE134" i="24" s="1"/>
  <c r="FF134" i="24" s="1"/>
  <c r="EW160" i="24"/>
  <c r="FB160" i="24" s="1"/>
  <c r="FB133" i="24"/>
  <c r="FC164" i="25"/>
  <c r="FE164" i="25" s="1"/>
  <c r="FF164" i="25" s="1"/>
  <c r="EK169" i="24"/>
  <c r="EW169" i="24"/>
  <c r="FB169" i="24" s="1"/>
  <c r="EK133" i="24"/>
  <c r="ER133" i="24" s="1"/>
  <c r="EK111" i="24"/>
  <c r="FC111" i="24" s="1"/>
  <c r="FE111" i="24" s="1"/>
  <c r="FF111" i="24" s="1"/>
  <c r="EZ52" i="24"/>
  <c r="FB52" i="24" s="1"/>
  <c r="EW126" i="24"/>
  <c r="FB126" i="24" s="1"/>
  <c r="EW127" i="24"/>
  <c r="FB127" i="24" s="1"/>
  <c r="FC128" i="25"/>
  <c r="FE128" i="25" s="1"/>
  <c r="FF128" i="25" s="1"/>
  <c r="FC64" i="25"/>
  <c r="FE64" i="25" s="1"/>
  <c r="FF64" i="25" s="1"/>
  <c r="FC103" i="25"/>
  <c r="FE103" i="25" s="1"/>
  <c r="FF103" i="25" s="1"/>
  <c r="EP96" i="25"/>
  <c r="EW104" i="24"/>
  <c r="EZ104" i="24" s="1"/>
  <c r="FB104" i="24" s="1"/>
  <c r="EW136" i="24"/>
  <c r="FB136" i="24" s="1"/>
  <c r="FC89" i="25"/>
  <c r="FE89" i="25" s="1"/>
  <c r="FF89" i="25" s="1"/>
  <c r="EW48" i="24"/>
  <c r="EZ48" i="24" s="1"/>
  <c r="EW30" i="24"/>
  <c r="EZ30" i="24" s="1"/>
  <c r="FB30" i="24" s="1"/>
  <c r="FC93" i="25"/>
  <c r="FE93" i="25" s="1"/>
  <c r="FF93" i="25" s="1"/>
  <c r="FC145" i="25"/>
  <c r="FE145" i="25" s="1"/>
  <c r="FF145" i="25" s="1"/>
  <c r="FB111" i="24"/>
  <c r="EP47" i="25"/>
  <c r="FC156" i="25"/>
  <c r="FE156" i="25" s="1"/>
  <c r="FF156" i="25" s="1"/>
  <c r="FC183" i="25"/>
  <c r="FE183" i="25" s="1"/>
  <c r="FF183" i="25" s="1"/>
  <c r="EK14" i="24"/>
  <c r="EQ14" i="24" s="1"/>
  <c r="FB192" i="24"/>
  <c r="EZ63" i="24"/>
  <c r="FB63" i="24" s="1"/>
  <c r="EK55" i="24"/>
  <c r="EQ55" i="24" s="1"/>
  <c r="ER55" i="24" s="1"/>
  <c r="EK40" i="24"/>
  <c r="EQ40" i="24" s="1"/>
  <c r="ER40" i="24" s="1"/>
  <c r="EW71" i="24"/>
  <c r="EZ71" i="24" s="1"/>
  <c r="FB172" i="24"/>
  <c r="EW29" i="24"/>
  <c r="EZ29" i="24" s="1"/>
  <c r="FB29" i="24" s="1"/>
  <c r="EW199" i="24"/>
  <c r="FB199" i="24" s="1"/>
  <c r="EZ14" i="24"/>
  <c r="FB14" i="24" s="1"/>
  <c r="FC131" i="25"/>
  <c r="FE131" i="25" s="1"/>
  <c r="FF131" i="25" s="1"/>
  <c r="FC74" i="25"/>
  <c r="FE74" i="25" s="1"/>
  <c r="FF74" i="25" s="1"/>
  <c r="EK62" i="24"/>
  <c r="EQ62" i="24" s="1"/>
  <c r="ER62" i="24" s="1"/>
  <c r="FC185" i="25"/>
  <c r="FE185" i="25" s="1"/>
  <c r="FF185" i="25" s="1"/>
  <c r="EZ81" i="24"/>
  <c r="FB81" i="24" s="1"/>
  <c r="EK192" i="24"/>
  <c r="ER192" i="24" s="1"/>
  <c r="EK172" i="24"/>
  <c r="ER172" i="24" s="1"/>
  <c r="FB159" i="24"/>
  <c r="EW147" i="24"/>
  <c r="FC147" i="24" s="1"/>
  <c r="FE147" i="24" s="1"/>
  <c r="FF147" i="24" s="1"/>
  <c r="FC173" i="25"/>
  <c r="FE173" i="25" s="1"/>
  <c r="FF173" i="25" s="1"/>
  <c r="FC17" i="25"/>
  <c r="FE17" i="25" s="1"/>
  <c r="FF17" i="25" s="1"/>
  <c r="FC33" i="25"/>
  <c r="FE33" i="25" s="1"/>
  <c r="FF33" i="25" s="1"/>
  <c r="EP158" i="25"/>
  <c r="FC97" i="25"/>
  <c r="FE97" i="25" s="1"/>
  <c r="FF97" i="25" s="1"/>
  <c r="FB170" i="24"/>
  <c r="FC95" i="25"/>
  <c r="FE95" i="25" s="1"/>
  <c r="FF95" i="25" s="1"/>
  <c r="EP95" i="25"/>
  <c r="EK170" i="24"/>
  <c r="FC170" i="24" s="1"/>
  <c r="FE170" i="24" s="1"/>
  <c r="FF170" i="24" s="1"/>
  <c r="EK81" i="24"/>
  <c r="EQ81" i="24" s="1"/>
  <c r="ER81" i="24" s="1"/>
  <c r="EK43" i="24"/>
  <c r="EQ43" i="24" s="1"/>
  <c r="ER43" i="24" s="1"/>
  <c r="EK23" i="24"/>
  <c r="EQ23" i="24" s="1"/>
  <c r="ER23" i="24" s="1"/>
  <c r="FC99" i="25"/>
  <c r="FE99" i="25" s="1"/>
  <c r="FF99" i="25" s="1"/>
  <c r="FC90" i="25"/>
  <c r="FE90" i="25" s="1"/>
  <c r="FF90" i="25" s="1"/>
  <c r="EP199" i="25"/>
  <c r="FC77" i="25"/>
  <c r="FE77" i="25" s="1"/>
  <c r="FF77" i="25" s="1"/>
  <c r="FC58" i="25"/>
  <c r="FE58" i="25" s="1"/>
  <c r="FF58" i="25" s="1"/>
  <c r="EP137" i="25"/>
  <c r="FC37" i="25"/>
  <c r="FE37" i="25" s="1"/>
  <c r="FF37" i="25" s="1"/>
  <c r="FC42" i="25"/>
  <c r="FE42" i="25" s="1"/>
  <c r="FF42" i="25" s="1"/>
  <c r="FC73" i="25"/>
  <c r="FE73" i="25" s="1"/>
  <c r="FF73" i="25" s="1"/>
  <c r="FC56" i="25"/>
  <c r="FE56" i="25" s="1"/>
  <c r="FF56" i="25" s="1"/>
  <c r="EW10" i="24"/>
  <c r="EZ10" i="24" s="1"/>
  <c r="FB10" i="24" s="1"/>
  <c r="FB169" i="25"/>
  <c r="FC178" i="25"/>
  <c r="FE178" i="25" s="1"/>
  <c r="FF178" i="25" s="1"/>
  <c r="EZ40" i="24"/>
  <c r="FB40" i="24" s="1"/>
  <c r="FC194" i="25"/>
  <c r="FE194" i="25" s="1"/>
  <c r="FF194" i="25" s="1"/>
  <c r="S216" i="24"/>
  <c r="T216" i="24" s="1"/>
  <c r="M216" i="24"/>
  <c r="N216" i="24" s="1"/>
  <c r="EK90" i="24"/>
  <c r="EQ90" i="24" s="1"/>
  <c r="EW90" i="24"/>
  <c r="EZ90" i="24" s="1"/>
  <c r="FB90" i="24" s="1"/>
  <c r="FB142" i="24"/>
  <c r="EK99" i="24"/>
  <c r="EQ99" i="24" s="1"/>
  <c r="ER99" i="24" s="1"/>
  <c r="EW124" i="24"/>
  <c r="FB124" i="24" s="1"/>
  <c r="FC171" i="25"/>
  <c r="FE171" i="25" s="1"/>
  <c r="FF171" i="25" s="1"/>
  <c r="EZ99" i="24"/>
  <c r="FB99" i="24" s="1"/>
  <c r="FC83" i="25"/>
  <c r="FE83" i="25" s="1"/>
  <c r="FF83" i="25" s="1"/>
  <c r="FC129" i="25"/>
  <c r="FE129" i="25" s="1"/>
  <c r="FF129" i="25" s="1"/>
  <c r="EP141" i="25"/>
  <c r="EZ23" i="24"/>
  <c r="FB23" i="24" s="1"/>
  <c r="EW201" i="24"/>
  <c r="FB201" i="24" s="1"/>
  <c r="EZ67" i="24"/>
  <c r="FB67" i="24" s="1"/>
  <c r="EZ77" i="24"/>
  <c r="FB77" i="24" s="1"/>
  <c r="FC25" i="25"/>
  <c r="FE25" i="25" s="1"/>
  <c r="FF25" i="25" s="1"/>
  <c r="Q110" i="24"/>
  <c r="AP110" i="24"/>
  <c r="P110" i="24"/>
  <c r="V110" i="24"/>
  <c r="W110" i="24"/>
  <c r="AE110" i="24"/>
  <c r="AI110" i="24"/>
  <c r="X110" i="24"/>
  <c r="AA110" i="24" s="1"/>
  <c r="AB110" i="24" s="1"/>
  <c r="AC110" i="24" s="1"/>
  <c r="FC49" i="25"/>
  <c r="FE49" i="25" s="1"/>
  <c r="FF49" i="25" s="1"/>
  <c r="FC34" i="25"/>
  <c r="FE34" i="25" s="1"/>
  <c r="FF34" i="25" s="1"/>
  <c r="FC81" i="25"/>
  <c r="FE81" i="25" s="1"/>
  <c r="FF81" i="25" s="1"/>
  <c r="EP180" i="25"/>
  <c r="FC87" i="25"/>
  <c r="FE87" i="25" s="1"/>
  <c r="FF87" i="25" s="1"/>
  <c r="FC9" i="25"/>
  <c r="FE9" i="25" s="1"/>
  <c r="FF9" i="25" s="1"/>
  <c r="FC111" i="25"/>
  <c r="FE111" i="25" s="1"/>
  <c r="FF111" i="25" s="1"/>
  <c r="FC23" i="25"/>
  <c r="FE23" i="25" s="1"/>
  <c r="FF23" i="25" s="1"/>
  <c r="EW13" i="24"/>
  <c r="EZ13" i="24" s="1"/>
  <c r="FB13" i="24" s="1"/>
  <c r="EZ62" i="24"/>
  <c r="FB62" i="24" s="1"/>
  <c r="FC72" i="25"/>
  <c r="FE72" i="25" s="1"/>
  <c r="FF72" i="25" s="1"/>
  <c r="EP72" i="25"/>
  <c r="EP10" i="25"/>
  <c r="FC10" i="25"/>
  <c r="FE10" i="25" s="1"/>
  <c r="FF10" i="25" s="1"/>
  <c r="EP210" i="25"/>
  <c r="FC210" i="25"/>
  <c r="FE210" i="25" s="1"/>
  <c r="FF210" i="25" s="1"/>
  <c r="FC195" i="25"/>
  <c r="FE195" i="25" s="1"/>
  <c r="FF195" i="25" s="1"/>
  <c r="EP195" i="25"/>
  <c r="EP134" i="25"/>
  <c r="FC134" i="25"/>
  <c r="FE134" i="25" s="1"/>
  <c r="FF134" i="25" s="1"/>
  <c r="FC60" i="25"/>
  <c r="FE60" i="25" s="1"/>
  <c r="FF60" i="25" s="1"/>
  <c r="EP60" i="25"/>
  <c r="EP154" i="25"/>
  <c r="FC154" i="25"/>
  <c r="FE154" i="25" s="1"/>
  <c r="FF154" i="25" s="1"/>
  <c r="EP150" i="25"/>
  <c r="FC150" i="25"/>
  <c r="FE150" i="25" s="1"/>
  <c r="FF150" i="25" s="1"/>
  <c r="FC113" i="25"/>
  <c r="FE113" i="25" s="1"/>
  <c r="FF113" i="25" s="1"/>
  <c r="EP113" i="25"/>
  <c r="FC148" i="25"/>
  <c r="FE148" i="25" s="1"/>
  <c r="FF148" i="25" s="1"/>
  <c r="EP148" i="25"/>
  <c r="EP20" i="25"/>
  <c r="FC20" i="25"/>
  <c r="FE20" i="25" s="1"/>
  <c r="FF20" i="25" s="1"/>
  <c r="EP142" i="25"/>
  <c r="FC142" i="25"/>
  <c r="FE142" i="25" s="1"/>
  <c r="FF142" i="25" s="1"/>
  <c r="EP53" i="25"/>
  <c r="FC53" i="25"/>
  <c r="FE53" i="25" s="1"/>
  <c r="FF53" i="25" s="1"/>
  <c r="EP196" i="25"/>
  <c r="FC196" i="25"/>
  <c r="FE196" i="25" s="1"/>
  <c r="FF196" i="25" s="1"/>
  <c r="FC16" i="25"/>
  <c r="FE16" i="25" s="1"/>
  <c r="FF16" i="25" s="1"/>
  <c r="EP16" i="25"/>
  <c r="FC202" i="25"/>
  <c r="FE202" i="25" s="1"/>
  <c r="FF202" i="25" s="1"/>
  <c r="EP202" i="25"/>
  <c r="FC152" i="25"/>
  <c r="FE152" i="25" s="1"/>
  <c r="FF152" i="25" s="1"/>
  <c r="EP152" i="25"/>
  <c r="EP167" i="25"/>
  <c r="FC167" i="25"/>
  <c r="FE167" i="25" s="1"/>
  <c r="FF167" i="25" s="1"/>
  <c r="FC127" i="25"/>
  <c r="FE127" i="25" s="1"/>
  <c r="FF127" i="25" s="1"/>
  <c r="EP127" i="25"/>
  <c r="FC163" i="25"/>
  <c r="FE163" i="25" s="1"/>
  <c r="FF163" i="25" s="1"/>
  <c r="EP163" i="25"/>
  <c r="FC110" i="25"/>
  <c r="FE110" i="25" s="1"/>
  <c r="FF110" i="25" s="1"/>
  <c r="EP110" i="25"/>
  <c r="FC124" i="25"/>
  <c r="FE124" i="25" s="1"/>
  <c r="FF124" i="25" s="1"/>
  <c r="EP124" i="25"/>
  <c r="EP125" i="25"/>
  <c r="FC125" i="25"/>
  <c r="FE125" i="25" s="1"/>
  <c r="FF125" i="25" s="1"/>
  <c r="FC52" i="25"/>
  <c r="FE52" i="25" s="1"/>
  <c r="FF52" i="25" s="1"/>
  <c r="EP52" i="25"/>
  <c r="FC126" i="25"/>
  <c r="FE126" i="25" s="1"/>
  <c r="FF126" i="25" s="1"/>
  <c r="EP126" i="25"/>
  <c r="FC184" i="25"/>
  <c r="FE184" i="25" s="1"/>
  <c r="FF184" i="25" s="1"/>
  <c r="EP184" i="25"/>
  <c r="EP188" i="25"/>
  <c r="FC188" i="25"/>
  <c r="FE188" i="25" s="1"/>
  <c r="FF188" i="25" s="1"/>
  <c r="EP86" i="25"/>
  <c r="FC86" i="25"/>
  <c r="FE86" i="25" s="1"/>
  <c r="FF86" i="25" s="1"/>
  <c r="EP114" i="25"/>
  <c r="FC114" i="25"/>
  <c r="FE114" i="25" s="1"/>
  <c r="FF114" i="25" s="1"/>
  <c r="EP65" i="25"/>
  <c r="FC65" i="25"/>
  <c r="FE65" i="25" s="1"/>
  <c r="FF65" i="25" s="1"/>
  <c r="FC79" i="25"/>
  <c r="FE79" i="25" s="1"/>
  <c r="FF79" i="25" s="1"/>
  <c r="EP79" i="25"/>
  <c r="FC166" i="25"/>
  <c r="FE166" i="25" s="1"/>
  <c r="FF166" i="25" s="1"/>
  <c r="EP166" i="25"/>
  <c r="FC203" i="25"/>
  <c r="FE203" i="25" s="1"/>
  <c r="FF203" i="25" s="1"/>
  <c r="EP203" i="25"/>
  <c r="FC198" i="25"/>
  <c r="FE198" i="25" s="1"/>
  <c r="FF198" i="25" s="1"/>
  <c r="EP198" i="25"/>
  <c r="EP51" i="25"/>
  <c r="FC51" i="25"/>
  <c r="FE51" i="25" s="1"/>
  <c r="FF51" i="25" s="1"/>
  <c r="FC55" i="25"/>
  <c r="FE55" i="25" s="1"/>
  <c r="FF55" i="25" s="1"/>
  <c r="EP55" i="25"/>
  <c r="FC31" i="25"/>
  <c r="FE31" i="25" s="1"/>
  <c r="FF31" i="25" s="1"/>
  <c r="EP31" i="25"/>
  <c r="EP82" i="25"/>
  <c r="FC82" i="25"/>
  <c r="FE82" i="25" s="1"/>
  <c r="FF82" i="25" s="1"/>
  <c r="EP61" i="25"/>
  <c r="FC61" i="25"/>
  <c r="FE61" i="25" s="1"/>
  <c r="FF61" i="25" s="1"/>
  <c r="FC140" i="25"/>
  <c r="FE140" i="25" s="1"/>
  <c r="FF140" i="25" s="1"/>
  <c r="EP140" i="25"/>
  <c r="EP193" i="25"/>
  <c r="FC193" i="25"/>
  <c r="FE193" i="25" s="1"/>
  <c r="FF193" i="25" s="1"/>
  <c r="FC117" i="25"/>
  <c r="FE117" i="25" s="1"/>
  <c r="FF117" i="25" s="1"/>
  <c r="EP117" i="25"/>
  <c r="FC175" i="25"/>
  <c r="FE175" i="25" s="1"/>
  <c r="FF175" i="25" s="1"/>
  <c r="EP175" i="25"/>
  <c r="FC172" i="25"/>
  <c r="FE172" i="25" s="1"/>
  <c r="FF172" i="25" s="1"/>
  <c r="EP172" i="25"/>
  <c r="EP26" i="25"/>
  <c r="FC26" i="25"/>
  <c r="FE26" i="25" s="1"/>
  <c r="FF26" i="25" s="1"/>
  <c r="EP68" i="25"/>
  <c r="FC68" i="25"/>
  <c r="FE68" i="25" s="1"/>
  <c r="FF68" i="25" s="1"/>
  <c r="EP192" i="25"/>
  <c r="FC192" i="25"/>
  <c r="FE192" i="25" s="1"/>
  <c r="FF192" i="25" s="1"/>
  <c r="EP209" i="25"/>
  <c r="FC209" i="25"/>
  <c r="FE209" i="25" s="1"/>
  <c r="FF209" i="25" s="1"/>
  <c r="FC186" i="25"/>
  <c r="FE186" i="25" s="1"/>
  <c r="FF186" i="25" s="1"/>
  <c r="EP186" i="25"/>
  <c r="FC7" i="25"/>
  <c r="FE7" i="25" s="1"/>
  <c r="FF7" i="25" s="1"/>
  <c r="EP7" i="25"/>
  <c r="EP122" i="25"/>
  <c r="FC122" i="25"/>
  <c r="FE122" i="25" s="1"/>
  <c r="FF122" i="25" s="1"/>
  <c r="EP146" i="25"/>
  <c r="FC146" i="25"/>
  <c r="FE146" i="25" s="1"/>
  <c r="FF146" i="25" s="1"/>
  <c r="EP12" i="25"/>
  <c r="FC12" i="25"/>
  <c r="FE12" i="25" s="1"/>
  <c r="FF12" i="25" s="1"/>
  <c r="FC190" i="25"/>
  <c r="FE190" i="25" s="1"/>
  <c r="FF190" i="25" s="1"/>
  <c r="EP190" i="25"/>
  <c r="FC22" i="25"/>
  <c r="FE22" i="25" s="1"/>
  <c r="FF22" i="25" s="1"/>
  <c r="EP22" i="25"/>
  <c r="EP200" i="25"/>
  <c r="FC200" i="25"/>
  <c r="FE200" i="25" s="1"/>
  <c r="FF200" i="25" s="1"/>
  <c r="EP21" i="25"/>
  <c r="FC21" i="25"/>
  <c r="FE21" i="25" s="1"/>
  <c r="FF21" i="25" s="1"/>
  <c r="EP57" i="25"/>
  <c r="FC57" i="25"/>
  <c r="FE57" i="25" s="1"/>
  <c r="FF57" i="25" s="1"/>
  <c r="FC46" i="25"/>
  <c r="FE46" i="25" s="1"/>
  <c r="FF46" i="25" s="1"/>
  <c r="EP46" i="25"/>
  <c r="EP8" i="25"/>
  <c r="FC8" i="25"/>
  <c r="FE8" i="25" s="1"/>
  <c r="FF8" i="25" s="1"/>
  <c r="FC35" i="25"/>
  <c r="FE35" i="25" s="1"/>
  <c r="FF35" i="25" s="1"/>
  <c r="EP35" i="25"/>
  <c r="EP91" i="25"/>
  <c r="FC91" i="25"/>
  <c r="FE91" i="25" s="1"/>
  <c r="FF91" i="25" s="1"/>
  <c r="EP40" i="25"/>
  <c r="FC40" i="25"/>
  <c r="FE40" i="25" s="1"/>
  <c r="FF40" i="25" s="1"/>
  <c r="EP19" i="25"/>
  <c r="FC19" i="25"/>
  <c r="FE19" i="25" s="1"/>
  <c r="FF19" i="25" s="1"/>
  <c r="FC6" i="25"/>
  <c r="FE6" i="25" s="1"/>
  <c r="FF6" i="25" s="1"/>
  <c r="EP6" i="25"/>
  <c r="EP41" i="25"/>
  <c r="FC41" i="25"/>
  <c r="FE41" i="25" s="1"/>
  <c r="FF41" i="25" s="1"/>
  <c r="EP123" i="25"/>
  <c r="FC123" i="25"/>
  <c r="FE123" i="25" s="1"/>
  <c r="FF123" i="25" s="1"/>
  <c r="EP11" i="25"/>
  <c r="FC11" i="25"/>
  <c r="FE11" i="25" s="1"/>
  <c r="FF11" i="25" s="1"/>
  <c r="EP29" i="25"/>
  <c r="FC29" i="25"/>
  <c r="FE29" i="25" s="1"/>
  <c r="FF29" i="25" s="1"/>
  <c r="FC206" i="25"/>
  <c r="FE206" i="25" s="1"/>
  <c r="FF206" i="25" s="1"/>
  <c r="EP206" i="25"/>
  <c r="EP139" i="25"/>
  <c r="FC139" i="25"/>
  <c r="FE139" i="25" s="1"/>
  <c r="FF139" i="25" s="1"/>
  <c r="EP36" i="25"/>
  <c r="FC36" i="25"/>
  <c r="FE36" i="25" s="1"/>
  <c r="FF36" i="25" s="1"/>
  <c r="FC189" i="25"/>
  <c r="FE189" i="25" s="1"/>
  <c r="FF189" i="25" s="1"/>
  <c r="EP189" i="25"/>
  <c r="EP105" i="25"/>
  <c r="FC105" i="25"/>
  <c r="FE105" i="25" s="1"/>
  <c r="FF105" i="25" s="1"/>
  <c r="FC94" i="25"/>
  <c r="FE94" i="25" s="1"/>
  <c r="FF94" i="25" s="1"/>
  <c r="EP94" i="25"/>
  <c r="FC30" i="25"/>
  <c r="FE30" i="25" s="1"/>
  <c r="FF30" i="25" s="1"/>
  <c r="EP30" i="25"/>
  <c r="FC197" i="25"/>
  <c r="FE197" i="25" s="1"/>
  <c r="FF197" i="25" s="1"/>
  <c r="EP197" i="25"/>
  <c r="EP54" i="25"/>
  <c r="FC54" i="25"/>
  <c r="FE54" i="25" s="1"/>
  <c r="FF54" i="25" s="1"/>
  <c r="FC174" i="25"/>
  <c r="FE174" i="25" s="1"/>
  <c r="FF174" i="25" s="1"/>
  <c r="EP174" i="25"/>
  <c r="FC24" i="25"/>
  <c r="FE24" i="25" s="1"/>
  <c r="FF24" i="25" s="1"/>
  <c r="EP24" i="25"/>
  <c r="FC98" i="25"/>
  <c r="FE98" i="25" s="1"/>
  <c r="FF98" i="25" s="1"/>
  <c r="EP98" i="25"/>
  <c r="FC121" i="25"/>
  <c r="FE121" i="25" s="1"/>
  <c r="FF121" i="25" s="1"/>
  <c r="EP121" i="25"/>
  <c r="EP50" i="25"/>
  <c r="FC50" i="25"/>
  <c r="FE50" i="25" s="1"/>
  <c r="FF50" i="25" s="1"/>
  <c r="FC32" i="25"/>
  <c r="FE32" i="25" s="1"/>
  <c r="FF32" i="25" s="1"/>
  <c r="EP32" i="25"/>
  <c r="EP149" i="25"/>
  <c r="FC149" i="25"/>
  <c r="FE149" i="25" s="1"/>
  <c r="FF149" i="25" s="1"/>
  <c r="FC14" i="25"/>
  <c r="FE14" i="25" s="1"/>
  <c r="FF14" i="25" s="1"/>
  <c r="EP14" i="25"/>
  <c r="FC165" i="25"/>
  <c r="FE165" i="25" s="1"/>
  <c r="FF165" i="25" s="1"/>
  <c r="EP165" i="25"/>
  <c r="FC204" i="25"/>
  <c r="FE204" i="25" s="1"/>
  <c r="FF204" i="25" s="1"/>
  <c r="EP204" i="25"/>
  <c r="EP207" i="25"/>
  <c r="FC207" i="25"/>
  <c r="FE207" i="25" s="1"/>
  <c r="FF207" i="25" s="1"/>
  <c r="FC27" i="25"/>
  <c r="FE27" i="25" s="1"/>
  <c r="FF27" i="25" s="1"/>
  <c r="EP27" i="25"/>
  <c r="FC135" i="25"/>
  <c r="FE135" i="25" s="1"/>
  <c r="FF135" i="25" s="1"/>
  <c r="EP135" i="25"/>
  <c r="FC84" i="25"/>
  <c r="FE84" i="25" s="1"/>
  <c r="FF84" i="25" s="1"/>
  <c r="EP84" i="25"/>
  <c r="EP147" i="25"/>
  <c r="FC147" i="25"/>
  <c r="FE147" i="25" s="1"/>
  <c r="FF147" i="25" s="1"/>
  <c r="EP155" i="25"/>
  <c r="FC155" i="25"/>
  <c r="FE155" i="25" s="1"/>
  <c r="FF155" i="25" s="1"/>
  <c r="FC88" i="25"/>
  <c r="FE88" i="25" s="1"/>
  <c r="FF88" i="25" s="1"/>
  <c r="EP88" i="25"/>
  <c r="FC85" i="25"/>
  <c r="FE85" i="25" s="1"/>
  <c r="FF85" i="25" s="1"/>
  <c r="EP85" i="25"/>
  <c r="FC67" i="25"/>
  <c r="FE67" i="25" s="1"/>
  <c r="FF67" i="25" s="1"/>
  <c r="EP67" i="25"/>
  <c r="EP39" i="25"/>
  <c r="FC39" i="25"/>
  <c r="FE39" i="25" s="1"/>
  <c r="FF39" i="25" s="1"/>
  <c r="FC132" i="25"/>
  <c r="FE132" i="25" s="1"/>
  <c r="FF132" i="25" s="1"/>
  <c r="EP132" i="25"/>
  <c r="FC205" i="25"/>
  <c r="FE205" i="25" s="1"/>
  <c r="FF205" i="25" s="1"/>
  <c r="EP205" i="25"/>
  <c r="FC102" i="25"/>
  <c r="FE102" i="25" s="1"/>
  <c r="FF102" i="25" s="1"/>
  <c r="EP102" i="25"/>
  <c r="EP160" i="25"/>
  <c r="FC160" i="25"/>
  <c r="FE160" i="25" s="1"/>
  <c r="FF160" i="25" s="1"/>
  <c r="FC120" i="25"/>
  <c r="FE120" i="25" s="1"/>
  <c r="FF120" i="25" s="1"/>
  <c r="EP120" i="25"/>
  <c r="EP44" i="25"/>
  <c r="FC44" i="25"/>
  <c r="FE44" i="25" s="1"/>
  <c r="FF44" i="25" s="1"/>
  <c r="FC177" i="25"/>
  <c r="FE177" i="25" s="1"/>
  <c r="FF177" i="25" s="1"/>
  <c r="EP177" i="25"/>
  <c r="EP208" i="25"/>
  <c r="FC208" i="25"/>
  <c r="FE208" i="25" s="1"/>
  <c r="FF208" i="25" s="1"/>
  <c r="EP170" i="25"/>
  <c r="FC170" i="25"/>
  <c r="FE170" i="25" s="1"/>
  <c r="FF170" i="25" s="1"/>
  <c r="EP45" i="25"/>
  <c r="FC45" i="25"/>
  <c r="FE45" i="25" s="1"/>
  <c r="FF45" i="25" s="1"/>
  <c r="FC115" i="25"/>
  <c r="FE115" i="25" s="1"/>
  <c r="FF115" i="25" s="1"/>
  <c r="EP115" i="25"/>
  <c r="EP162" i="25"/>
  <c r="FC162" i="25"/>
  <c r="FE162" i="25" s="1"/>
  <c r="FF162" i="25" s="1"/>
  <c r="EP201" i="25"/>
  <c r="FC201" i="25"/>
  <c r="FE201" i="25" s="1"/>
  <c r="FF201" i="25" s="1"/>
  <c r="EP69" i="25"/>
  <c r="FC69" i="25"/>
  <c r="FE69" i="25" s="1"/>
  <c r="FF69" i="25" s="1"/>
  <c r="FC151" i="25"/>
  <c r="FE151" i="25" s="1"/>
  <c r="FF151" i="25" s="1"/>
  <c r="EP151" i="25"/>
  <c r="EP176" i="25"/>
  <c r="FC176" i="25"/>
  <c r="FE176" i="25" s="1"/>
  <c r="FF176" i="25" s="1"/>
  <c r="EP130" i="25"/>
  <c r="FC130" i="25"/>
  <c r="FE130" i="25" s="1"/>
  <c r="FF130" i="25" s="1"/>
  <c r="FC187" i="25"/>
  <c r="FE187" i="25" s="1"/>
  <c r="FF187" i="25" s="1"/>
  <c r="EP187" i="25"/>
  <c r="EP161" i="25"/>
  <c r="FC161" i="25"/>
  <c r="FE161" i="25" s="1"/>
  <c r="FF161" i="25" s="1"/>
  <c r="EP179" i="25"/>
  <c r="FC179" i="25"/>
  <c r="FE179" i="25" s="1"/>
  <c r="FF179" i="25" s="1"/>
  <c r="FC66" i="25"/>
  <c r="FE66" i="25" s="1"/>
  <c r="FF66" i="25" s="1"/>
  <c r="EP66" i="25"/>
  <c r="EP78" i="25"/>
  <c r="FC78" i="25"/>
  <c r="FE78" i="25" s="1"/>
  <c r="FF78" i="25" s="1"/>
  <c r="FC119" i="25"/>
  <c r="FE119" i="25" s="1"/>
  <c r="FF119" i="25" s="1"/>
  <c r="EP119" i="25"/>
  <c r="EP76" i="25"/>
  <c r="FC76" i="25"/>
  <c r="FE76" i="25" s="1"/>
  <c r="FF76" i="25" s="1"/>
  <c r="EP100" i="25"/>
  <c r="FC100" i="25"/>
  <c r="FE100" i="25" s="1"/>
  <c r="FF100" i="25" s="1"/>
  <c r="EP71" i="25"/>
  <c r="FC71" i="25"/>
  <c r="FE71" i="25" s="1"/>
  <c r="FF71" i="25" s="1"/>
  <c r="EP80" i="25"/>
  <c r="FC80" i="25"/>
  <c r="FE80" i="25" s="1"/>
  <c r="FF80" i="25" s="1"/>
  <c r="EP15" i="25"/>
  <c r="FC15" i="25"/>
  <c r="FE15" i="25" s="1"/>
  <c r="FF15" i="25" s="1"/>
  <c r="FC153" i="25"/>
  <c r="FE153" i="25" s="1"/>
  <c r="FF153" i="25" s="1"/>
  <c r="EP153" i="25"/>
  <c r="EP159" i="25"/>
  <c r="FC159" i="25"/>
  <c r="FE159" i="25" s="1"/>
  <c r="FF159" i="25" s="1"/>
  <c r="FC28" i="25"/>
  <c r="FE28" i="25" s="1"/>
  <c r="FF28" i="25" s="1"/>
  <c r="EP28" i="25"/>
  <c r="EP116" i="25"/>
  <c r="FC116" i="25"/>
  <c r="FE116" i="25" s="1"/>
  <c r="FF116" i="25" s="1"/>
  <c r="EP157" i="25"/>
  <c r="FC157" i="25"/>
  <c r="FE157" i="25" s="1"/>
  <c r="FF157" i="25" s="1"/>
  <c r="EP70" i="25"/>
  <c r="FC70" i="25"/>
  <c r="FE70" i="25" s="1"/>
  <c r="FF70" i="25" s="1"/>
  <c r="FC191" i="25"/>
  <c r="FE191" i="25" s="1"/>
  <c r="FF191" i="25" s="1"/>
  <c r="EP191" i="25"/>
  <c r="EP168" i="25"/>
  <c r="FC168" i="25"/>
  <c r="FE168" i="25" s="1"/>
  <c r="FF168" i="25" s="1"/>
  <c r="EP101" i="25"/>
  <c r="FC101" i="25"/>
  <c r="FE101" i="25" s="1"/>
  <c r="FF101" i="25" s="1"/>
  <c r="FC62" i="25"/>
  <c r="FE62" i="25" s="1"/>
  <c r="FF62" i="25" s="1"/>
  <c r="EP62" i="25"/>
  <c r="FC63" i="25"/>
  <c r="FE63" i="25" s="1"/>
  <c r="FF63" i="25" s="1"/>
  <c r="EP63" i="25"/>
  <c r="FC75" i="25"/>
  <c r="FE75" i="25" s="1"/>
  <c r="FF75" i="25" s="1"/>
  <c r="EP75" i="25"/>
  <c r="EP18" i="25"/>
  <c r="FC18" i="25"/>
  <c r="FE18" i="25" s="1"/>
  <c r="FF18" i="25" s="1"/>
  <c r="FC13" i="25"/>
  <c r="FE13" i="25" s="1"/>
  <c r="FF13" i="25" s="1"/>
  <c r="EP13" i="25"/>
  <c r="FC59" i="25"/>
  <c r="FE59" i="25" s="1"/>
  <c r="FF59" i="25" s="1"/>
  <c r="EP59" i="25"/>
  <c r="FC104" i="25"/>
  <c r="FE104" i="25" s="1"/>
  <c r="FF104" i="25" s="1"/>
  <c r="EP104" i="25"/>
  <c r="FC43" i="25"/>
  <c r="FE43" i="25" s="1"/>
  <c r="FF43" i="25" s="1"/>
  <c r="EP43" i="25"/>
  <c r="EP38" i="25"/>
  <c r="FC38" i="25"/>
  <c r="FE38" i="25" s="1"/>
  <c r="FF38" i="25" s="1"/>
  <c r="EP118" i="25"/>
  <c r="FC118" i="25"/>
  <c r="FE118" i="25" s="1"/>
  <c r="FF118" i="25" s="1"/>
  <c r="EP144" i="25"/>
  <c r="FC144" i="25"/>
  <c r="FE144" i="25" s="1"/>
  <c r="FF144" i="25" s="1"/>
  <c r="EP133" i="25"/>
  <c r="FC133" i="25"/>
  <c r="FE133" i="25" s="1"/>
  <c r="FF133" i="25" s="1"/>
  <c r="EP92" i="25"/>
  <c r="FC92" i="25"/>
  <c r="FE92" i="25" s="1"/>
  <c r="FF92" i="25" s="1"/>
  <c r="FC48" i="25"/>
  <c r="FE48" i="25" s="1"/>
  <c r="FF48" i="25" s="1"/>
  <c r="EP48" i="25"/>
  <c r="EW125" i="24"/>
  <c r="FB125" i="24" s="1"/>
  <c r="EK125" i="24"/>
  <c r="EK151" i="24"/>
  <c r="EW151" i="24"/>
  <c r="FB151" i="24" s="1"/>
  <c r="EK137" i="24"/>
  <c r="EW137" i="24"/>
  <c r="FB137" i="24" s="1"/>
  <c r="EW180" i="24"/>
  <c r="FB180" i="24" s="1"/>
  <c r="EK180" i="24"/>
  <c r="EK129" i="24"/>
  <c r="EW129" i="24"/>
  <c r="FB129" i="24" s="1"/>
  <c r="EW64" i="24"/>
  <c r="EZ64" i="24" s="1"/>
  <c r="FB64" i="24" s="1"/>
  <c r="EK64" i="24"/>
  <c r="EQ64" i="24" s="1"/>
  <c r="EK205" i="24"/>
  <c r="EW205" i="24"/>
  <c r="FB205" i="24" s="1"/>
  <c r="EW7" i="24"/>
  <c r="EZ7" i="24" s="1"/>
  <c r="FB7" i="24" s="1"/>
  <c r="EK7" i="24"/>
  <c r="EQ7" i="24" s="1"/>
  <c r="ER30" i="24"/>
  <c r="EK187" i="24"/>
  <c r="EW187" i="24"/>
  <c r="FB187" i="24" s="1"/>
  <c r="EW128" i="24"/>
  <c r="FB128" i="24" s="1"/>
  <c r="EK128" i="24"/>
  <c r="EW88" i="24"/>
  <c r="EZ88" i="24" s="1"/>
  <c r="FB88" i="24" s="1"/>
  <c r="EK88" i="24"/>
  <c r="EQ88" i="24" s="1"/>
  <c r="EK188" i="24"/>
  <c r="EW188" i="24"/>
  <c r="FB188" i="24" s="1"/>
  <c r="EK189" i="24"/>
  <c r="EW189" i="24"/>
  <c r="FB189" i="24" s="1"/>
  <c r="EW20" i="24"/>
  <c r="EZ20" i="24" s="1"/>
  <c r="FB20" i="24" s="1"/>
  <c r="EK20" i="24"/>
  <c r="EQ20" i="24" s="1"/>
  <c r="EK120" i="24"/>
  <c r="EW120" i="24"/>
  <c r="FB120" i="24" s="1"/>
  <c r="EW86" i="24"/>
  <c r="EZ86" i="24" s="1"/>
  <c r="FB86" i="24" s="1"/>
  <c r="EK86" i="24"/>
  <c r="EQ86" i="24" s="1"/>
  <c r="EW113" i="24"/>
  <c r="FB113" i="24" s="1"/>
  <c r="EK113" i="24"/>
  <c r="EK46" i="24"/>
  <c r="EQ46" i="24" s="1"/>
  <c r="EW46" i="24"/>
  <c r="EZ46" i="24" s="1"/>
  <c r="FB46" i="24" s="1"/>
  <c r="EW116" i="24"/>
  <c r="FB116" i="24" s="1"/>
  <c r="EK116" i="24"/>
  <c r="EK206" i="24"/>
  <c r="EW206" i="24"/>
  <c r="FB206" i="24" s="1"/>
  <c r="EK157" i="24"/>
  <c r="EW157" i="24"/>
  <c r="FB157" i="24" s="1"/>
  <c r="EK25" i="24"/>
  <c r="EQ25" i="24" s="1"/>
  <c r="EW25" i="24"/>
  <c r="EZ25" i="24" s="1"/>
  <c r="FB25" i="24" s="1"/>
  <c r="EW54" i="24"/>
  <c r="EZ54" i="24" s="1"/>
  <c r="FB54" i="24" s="1"/>
  <c r="EK54" i="24"/>
  <c r="EQ54" i="24" s="1"/>
  <c r="EK173" i="24"/>
  <c r="EW173" i="24"/>
  <c r="FB173" i="24" s="1"/>
  <c r="EK163" i="24"/>
  <c r="EW163" i="24"/>
  <c r="FB163" i="24" s="1"/>
  <c r="EW65" i="24"/>
  <c r="EZ65" i="24" s="1"/>
  <c r="FB65" i="24" s="1"/>
  <c r="EK65" i="24"/>
  <c r="EQ65" i="24" s="1"/>
  <c r="EK118" i="24"/>
  <c r="EW118" i="24"/>
  <c r="FB118" i="24" s="1"/>
  <c r="EK53" i="24"/>
  <c r="EQ53" i="24" s="1"/>
  <c r="EW53" i="24"/>
  <c r="EZ53" i="24" s="1"/>
  <c r="FB53" i="24" s="1"/>
  <c r="EW155" i="24"/>
  <c r="FB155" i="24" s="1"/>
  <c r="EK155" i="24"/>
  <c r="EK210" i="24"/>
  <c r="EW210" i="24"/>
  <c r="FB210" i="24" s="1"/>
  <c r="EW98" i="24"/>
  <c r="EZ98" i="24" s="1"/>
  <c r="FB98" i="24" s="1"/>
  <c r="EK98" i="24"/>
  <c r="EQ98" i="24" s="1"/>
  <c r="EK200" i="24"/>
  <c r="EW200" i="24"/>
  <c r="FB200" i="24" s="1"/>
  <c r="ER199" i="24"/>
  <c r="EK70" i="24"/>
  <c r="EQ70" i="24" s="1"/>
  <c r="EW70" i="24"/>
  <c r="EZ70" i="24" s="1"/>
  <c r="FB70" i="24" s="1"/>
  <c r="EW26" i="24"/>
  <c r="EZ26" i="24" s="1"/>
  <c r="FB26" i="24" s="1"/>
  <c r="EK26" i="24"/>
  <c r="EQ26" i="24" s="1"/>
  <c r="EK97" i="24"/>
  <c r="EQ97" i="24" s="1"/>
  <c r="EW97" i="24"/>
  <c r="EZ97" i="24" s="1"/>
  <c r="FB97" i="24" s="1"/>
  <c r="EK28" i="24"/>
  <c r="EQ28" i="24" s="1"/>
  <c r="EW28" i="24"/>
  <c r="EZ28" i="24" s="1"/>
  <c r="FB28" i="24" s="1"/>
  <c r="EK146" i="24"/>
  <c r="EW146" i="24"/>
  <c r="FB146" i="24" s="1"/>
  <c r="EK82" i="24"/>
  <c r="EQ82" i="24" s="1"/>
  <c r="EW82" i="24"/>
  <c r="EZ82" i="24" s="1"/>
  <c r="FB82" i="24" s="1"/>
  <c r="ER134" i="24"/>
  <c r="EW164" i="24"/>
  <c r="FB164" i="24" s="1"/>
  <c r="EK164" i="24"/>
  <c r="EW32" i="24"/>
  <c r="EZ32" i="24" s="1"/>
  <c r="FB32" i="24" s="1"/>
  <c r="EK32" i="24"/>
  <c r="EQ32" i="24" s="1"/>
  <c r="EW143" i="24"/>
  <c r="FB143" i="24" s="1"/>
  <c r="EK143" i="24"/>
  <c r="EK68" i="24"/>
  <c r="EQ68" i="24" s="1"/>
  <c r="EW68" i="24"/>
  <c r="EZ68" i="24" s="1"/>
  <c r="FB68" i="24" s="1"/>
  <c r="EK95" i="24"/>
  <c r="EQ95" i="24" s="1"/>
  <c r="EW95" i="24"/>
  <c r="EZ95" i="24" s="1"/>
  <c r="FB95" i="24" s="1"/>
  <c r="ER96" i="24"/>
  <c r="EK194" i="24"/>
  <c r="EW194" i="24"/>
  <c r="FB194" i="24" s="1"/>
  <c r="EW208" i="24"/>
  <c r="FB208" i="24" s="1"/>
  <c r="EK208" i="24"/>
  <c r="EK135" i="24"/>
  <c r="EW135" i="24"/>
  <c r="FB135" i="24" s="1"/>
  <c r="EW89" i="24"/>
  <c r="EZ89" i="24" s="1"/>
  <c r="FB89" i="24" s="1"/>
  <c r="EK89" i="24"/>
  <c r="EQ89" i="24" s="1"/>
  <c r="EW123" i="24"/>
  <c r="FB123" i="24" s="1"/>
  <c r="EK123" i="24"/>
  <c r="EW58" i="24"/>
  <c r="EZ58" i="24" s="1"/>
  <c r="FB58" i="24" s="1"/>
  <c r="EK58" i="24"/>
  <c r="EQ58" i="24" s="1"/>
  <c r="EW57" i="24"/>
  <c r="EZ57" i="24" s="1"/>
  <c r="FB57" i="24" s="1"/>
  <c r="EK57" i="24"/>
  <c r="EQ57" i="24" s="1"/>
  <c r="ER10" i="24"/>
  <c r="EK174" i="24"/>
  <c r="EW174" i="24"/>
  <c r="FB174" i="24" s="1"/>
  <c r="EK158" i="24"/>
  <c r="EW158" i="24"/>
  <c r="FB158" i="24" s="1"/>
  <c r="ER71" i="24"/>
  <c r="EK18" i="24"/>
  <c r="EQ18" i="24" s="1"/>
  <c r="EW18" i="24"/>
  <c r="EZ18" i="24" s="1"/>
  <c r="FB18" i="24" s="1"/>
  <c r="EK154" i="24"/>
  <c r="EW154" i="24"/>
  <c r="FB154" i="24" s="1"/>
  <c r="EW84" i="24"/>
  <c r="EZ84" i="24" s="1"/>
  <c r="FB84" i="24" s="1"/>
  <c r="EK84" i="24"/>
  <c r="EQ84" i="24" s="1"/>
  <c r="EW91" i="24"/>
  <c r="EZ91" i="24" s="1"/>
  <c r="FB91" i="24" s="1"/>
  <c r="EK91" i="24"/>
  <c r="EQ91" i="24" s="1"/>
  <c r="EW148" i="24"/>
  <c r="FB148" i="24" s="1"/>
  <c r="EK148" i="24"/>
  <c r="ER132" i="24"/>
  <c r="EW85" i="24"/>
  <c r="EZ85" i="24" s="1"/>
  <c r="FB85" i="24" s="1"/>
  <c r="EK85" i="24"/>
  <c r="EQ85" i="24" s="1"/>
  <c r="EK47" i="24"/>
  <c r="EQ47" i="24" s="1"/>
  <c r="EW47" i="24"/>
  <c r="EZ47" i="24" s="1"/>
  <c r="FB47" i="24" s="1"/>
  <c r="EK130" i="24"/>
  <c r="EW130" i="24"/>
  <c r="FB130" i="24" s="1"/>
  <c r="EK36" i="24"/>
  <c r="EQ36" i="24" s="1"/>
  <c r="EW36" i="24"/>
  <c r="EZ36" i="24" s="1"/>
  <c r="FB36" i="24" s="1"/>
  <c r="EW131" i="24"/>
  <c r="FB131" i="24" s="1"/>
  <c r="EK131" i="24"/>
  <c r="EK114" i="24"/>
  <c r="EW114" i="24"/>
  <c r="FB114" i="24" s="1"/>
  <c r="EK196" i="24"/>
  <c r="EW196" i="24"/>
  <c r="FB196" i="24" s="1"/>
  <c r="EK166" i="24"/>
  <c r="EW166" i="24"/>
  <c r="FB166" i="24" s="1"/>
  <c r="EK150" i="24"/>
  <c r="EW150" i="24"/>
  <c r="FB150" i="24" s="1"/>
  <c r="EK161" i="24"/>
  <c r="EW161" i="24"/>
  <c r="FB161" i="24" s="1"/>
  <c r="EK50" i="24"/>
  <c r="EQ50" i="24" s="1"/>
  <c r="EW50" i="24"/>
  <c r="EZ50" i="24" s="1"/>
  <c r="FB50" i="24" s="1"/>
  <c r="EW197" i="24"/>
  <c r="FB197" i="24" s="1"/>
  <c r="EK197" i="24"/>
  <c r="EW27" i="24"/>
  <c r="EZ27" i="24" s="1"/>
  <c r="FB27" i="24" s="1"/>
  <c r="EK27" i="24"/>
  <c r="EQ27" i="24" s="1"/>
  <c r="EW45" i="24"/>
  <c r="EZ45" i="24" s="1"/>
  <c r="FB45" i="24" s="1"/>
  <c r="EK45" i="24"/>
  <c r="EQ45" i="24" s="1"/>
  <c r="EK198" i="24"/>
  <c r="EW198" i="24"/>
  <c r="FB198" i="24" s="1"/>
  <c r="EW165" i="24"/>
  <c r="FB165" i="24" s="1"/>
  <c r="EK165" i="24"/>
  <c r="EK193" i="24"/>
  <c r="EW193" i="24"/>
  <c r="FB193" i="24" s="1"/>
  <c r="EK34" i="24"/>
  <c r="EQ34" i="24" s="1"/>
  <c r="EW34" i="24"/>
  <c r="EZ34" i="24" s="1"/>
  <c r="FB34" i="24" s="1"/>
  <c r="EW31" i="24"/>
  <c r="EZ31" i="24" s="1"/>
  <c r="FB31" i="24" s="1"/>
  <c r="EK31" i="24"/>
  <c r="EQ31" i="24" s="1"/>
  <c r="EK76" i="24"/>
  <c r="EQ76" i="24" s="1"/>
  <c r="EW76" i="24"/>
  <c r="EZ76" i="24" s="1"/>
  <c r="FB76" i="24" s="1"/>
  <c r="EW140" i="24"/>
  <c r="FB140" i="24" s="1"/>
  <c r="EK140" i="24"/>
  <c r="EW203" i="24"/>
  <c r="FB203" i="24" s="1"/>
  <c r="EK203" i="24"/>
  <c r="ER147" i="24"/>
  <c r="EK178" i="24"/>
  <c r="EW178" i="24"/>
  <c r="FB178" i="24" s="1"/>
  <c r="EK153" i="24"/>
  <c r="EW153" i="24"/>
  <c r="FB153" i="24" s="1"/>
  <c r="EK195" i="24"/>
  <c r="EW195" i="24"/>
  <c r="FB195" i="24" s="1"/>
  <c r="EW185" i="24"/>
  <c r="FB185" i="24" s="1"/>
  <c r="EK185" i="24"/>
  <c r="EK59" i="24"/>
  <c r="EQ59" i="24" s="1"/>
  <c r="EW59" i="24"/>
  <c r="EZ59" i="24" s="1"/>
  <c r="FB59" i="24" s="1"/>
  <c r="EW167" i="24"/>
  <c r="FB167" i="24" s="1"/>
  <c r="EK167" i="24"/>
  <c r="EK184" i="24"/>
  <c r="EW184" i="24"/>
  <c r="FB184" i="24" s="1"/>
  <c r="ER152" i="24"/>
  <c r="EW100" i="24"/>
  <c r="EZ100" i="24" s="1"/>
  <c r="FB100" i="24" s="1"/>
  <c r="EK100" i="24"/>
  <c r="EQ100" i="24" s="1"/>
  <c r="EK72" i="24"/>
  <c r="EQ72" i="24" s="1"/>
  <c r="EW72" i="24"/>
  <c r="EZ72" i="24" s="1"/>
  <c r="FB72" i="24" s="1"/>
  <c r="EW79" i="24"/>
  <c r="EZ79" i="24" s="1"/>
  <c r="FB79" i="24" s="1"/>
  <c r="EK79" i="24"/>
  <c r="EQ79" i="24" s="1"/>
  <c r="EW9" i="24"/>
  <c r="EZ9" i="24" s="1"/>
  <c r="FB9" i="24" s="1"/>
  <c r="EK9" i="24"/>
  <c r="EQ9" i="24" s="1"/>
  <c r="EK56" i="24"/>
  <c r="EQ56" i="24" s="1"/>
  <c r="EW56" i="24"/>
  <c r="EZ56" i="24" s="1"/>
  <c r="FB56" i="24" s="1"/>
  <c r="EK51" i="24"/>
  <c r="EQ51" i="24" s="1"/>
  <c r="EW51" i="24"/>
  <c r="EZ51" i="24" s="1"/>
  <c r="FB51" i="24" s="1"/>
  <c r="EW11" i="24"/>
  <c r="EZ11" i="24" s="1"/>
  <c r="FB11" i="24" s="1"/>
  <c r="EK11" i="24"/>
  <c r="EQ11" i="24" s="1"/>
  <c r="EK49" i="24"/>
  <c r="EQ49" i="24" s="1"/>
  <c r="EW49" i="24"/>
  <c r="EZ49" i="24" s="1"/>
  <c r="FB49" i="24" s="1"/>
  <c r="EK8" i="24"/>
  <c r="EQ8" i="24" s="1"/>
  <c r="EW8" i="24"/>
  <c r="EZ8" i="24" s="1"/>
  <c r="FB8" i="24" s="1"/>
  <c r="ER136" i="24"/>
  <c r="EW22" i="24"/>
  <c r="EZ22" i="24" s="1"/>
  <c r="FB22" i="24" s="1"/>
  <c r="EK22" i="24"/>
  <c r="EQ22" i="24" s="1"/>
  <c r="EW80" i="24"/>
  <c r="EZ80" i="24" s="1"/>
  <c r="FB80" i="24" s="1"/>
  <c r="EK80" i="24"/>
  <c r="EQ80" i="24" s="1"/>
  <c r="EW93" i="24"/>
  <c r="EZ93" i="24" s="1"/>
  <c r="FB93" i="24" s="1"/>
  <c r="EK93" i="24"/>
  <c r="EQ93" i="24" s="1"/>
  <c r="EK103" i="24"/>
  <c r="EQ103" i="24" s="1"/>
  <c r="EW103" i="24"/>
  <c r="EZ103" i="24" s="1"/>
  <c r="FB103" i="24" s="1"/>
  <c r="EK149" i="24"/>
  <c r="EW149" i="24"/>
  <c r="FB149" i="24" s="1"/>
  <c r="EW75" i="24"/>
  <c r="EZ75" i="24" s="1"/>
  <c r="FB75" i="24" s="1"/>
  <c r="EK75" i="24"/>
  <c r="EQ75" i="24" s="1"/>
  <c r="EW144" i="24"/>
  <c r="FB144" i="24" s="1"/>
  <c r="EK144" i="24"/>
  <c r="EK182" i="24"/>
  <c r="EW182" i="24"/>
  <c r="FB182" i="24" s="1"/>
  <c r="EK209" i="24"/>
  <c r="EW209" i="24"/>
  <c r="FB209" i="24" s="1"/>
  <c r="ER104" i="24"/>
  <c r="EW94" i="24"/>
  <c r="EZ94" i="24" s="1"/>
  <c r="FB94" i="24" s="1"/>
  <c r="EK94" i="24"/>
  <c r="EQ94" i="24" s="1"/>
  <c r="ER127" i="24"/>
  <c r="EK202" i="24"/>
  <c r="EW202" i="24"/>
  <c r="FB202" i="24" s="1"/>
  <c r="EK16" i="24"/>
  <c r="EQ16" i="24" s="1"/>
  <c r="EW16" i="24"/>
  <c r="EZ16" i="24" s="1"/>
  <c r="FB16" i="24" s="1"/>
  <c r="EK87" i="24"/>
  <c r="EQ87" i="24" s="1"/>
  <c r="EW87" i="24"/>
  <c r="EZ87" i="24" s="1"/>
  <c r="FB87" i="24" s="1"/>
  <c r="EW183" i="24"/>
  <c r="FB183" i="24" s="1"/>
  <c r="EK183" i="24"/>
  <c r="EW38" i="24"/>
  <c r="EZ38" i="24" s="1"/>
  <c r="FB38" i="24" s="1"/>
  <c r="EK38" i="24"/>
  <c r="EQ38" i="24" s="1"/>
  <c r="EW141" i="24"/>
  <c r="FB141" i="24" s="1"/>
  <c r="EK141" i="24"/>
  <c r="EK138" i="24"/>
  <c r="EW138" i="24"/>
  <c r="FB138" i="24" s="1"/>
  <c r="EK17" i="24"/>
  <c r="EQ17" i="24" s="1"/>
  <c r="EW17" i="24"/>
  <c r="EZ17" i="24" s="1"/>
  <c r="FB17" i="24" s="1"/>
  <c r="ER48" i="24"/>
  <c r="EW105" i="24"/>
  <c r="EZ105" i="24" s="1"/>
  <c r="FB105" i="24" s="1"/>
  <c r="EK105" i="24"/>
  <c r="EQ105" i="24" s="1"/>
  <c r="ER29" i="24"/>
  <c r="EW121" i="24"/>
  <c r="FB121" i="24" s="1"/>
  <c r="EK121" i="24"/>
  <c r="EW69" i="24"/>
  <c r="EZ69" i="24" s="1"/>
  <c r="FB69" i="24" s="1"/>
  <c r="EK69" i="24"/>
  <c r="EQ69" i="24" s="1"/>
  <c r="EK181" i="24"/>
  <c r="EW181" i="24"/>
  <c r="FB181" i="24" s="1"/>
  <c r="EK24" i="24"/>
  <c r="EQ24" i="24" s="1"/>
  <c r="EW24" i="24"/>
  <c r="EZ24" i="24" s="1"/>
  <c r="FB24" i="24" s="1"/>
  <c r="EW179" i="24"/>
  <c r="FB179" i="24" s="1"/>
  <c r="EK179" i="24"/>
  <c r="EW102" i="24"/>
  <c r="EZ102" i="24" s="1"/>
  <c r="FB102" i="24" s="1"/>
  <c r="EK102" i="24"/>
  <c r="EQ102" i="24" s="1"/>
  <c r="EK175" i="24"/>
  <c r="EW175" i="24"/>
  <c r="FB175" i="24" s="1"/>
  <c r="EK101" i="24"/>
  <c r="EQ101" i="24" s="1"/>
  <c r="EW101" i="24"/>
  <c r="EZ101" i="24" s="1"/>
  <c r="FB101" i="24" s="1"/>
  <c r="ER83" i="24"/>
  <c r="EK19" i="24"/>
  <c r="EQ19" i="24" s="1"/>
  <c r="EW19" i="24"/>
  <c r="EZ19" i="24" s="1"/>
  <c r="FB19" i="24" s="1"/>
  <c r="EW73" i="24"/>
  <c r="EZ73" i="24" s="1"/>
  <c r="FB73" i="24" s="1"/>
  <c r="EK73" i="24"/>
  <c r="EQ73" i="24" s="1"/>
  <c r="ER126" i="24"/>
  <c r="EK15" i="24"/>
  <c r="EQ15" i="24" s="1"/>
  <c r="EW15" i="24"/>
  <c r="EZ15" i="24" s="1"/>
  <c r="FB15" i="24" s="1"/>
  <c r="EW117" i="24"/>
  <c r="FB117" i="24" s="1"/>
  <c r="EK117" i="24"/>
  <c r="EK122" i="24"/>
  <c r="EW122" i="24"/>
  <c r="FB122" i="24" s="1"/>
  <c r="EK119" i="24"/>
  <c r="EW119" i="24"/>
  <c r="FB119" i="24" s="1"/>
  <c r="EW35" i="24"/>
  <c r="EZ35" i="24" s="1"/>
  <c r="FB35" i="24" s="1"/>
  <c r="EK35" i="24"/>
  <c r="EQ35" i="24" s="1"/>
  <c r="EW33" i="24"/>
  <c r="EZ33" i="24" s="1"/>
  <c r="FB33" i="24" s="1"/>
  <c r="EK33" i="24"/>
  <c r="EQ33" i="24" s="1"/>
  <c r="EW115" i="24"/>
  <c r="FB115" i="24" s="1"/>
  <c r="EK115" i="24"/>
  <c r="EK66" i="24"/>
  <c r="EQ66" i="24" s="1"/>
  <c r="EW66" i="24"/>
  <c r="EZ66" i="24" s="1"/>
  <c r="FB66" i="24" s="1"/>
  <c r="EK12" i="24"/>
  <c r="EQ12" i="24" s="1"/>
  <c r="EW12" i="24"/>
  <c r="EZ12" i="24" s="1"/>
  <c r="FB12" i="24" s="1"/>
  <c r="EW156" i="24"/>
  <c r="FB156" i="24" s="1"/>
  <c r="EK156" i="24"/>
  <c r="EW42" i="24"/>
  <c r="EZ42" i="24" s="1"/>
  <c r="FB42" i="24" s="1"/>
  <c r="EK42" i="24"/>
  <c r="EQ42" i="24" s="1"/>
  <c r="EW41" i="24"/>
  <c r="EZ41" i="24" s="1"/>
  <c r="FB41" i="24" s="1"/>
  <c r="EK41" i="24"/>
  <c r="EQ41" i="24" s="1"/>
  <c r="ER160" i="24"/>
  <c r="ER186" i="24"/>
  <c r="EW176" i="24"/>
  <c r="FB176" i="24" s="1"/>
  <c r="EK176" i="24"/>
  <c r="EK207" i="24"/>
  <c r="EW207" i="24"/>
  <c r="FB207" i="24" s="1"/>
  <c r="ER37" i="24"/>
  <c r="EK6" i="24"/>
  <c r="EQ6" i="24" s="1"/>
  <c r="EW6" i="24"/>
  <c r="EZ6" i="24" s="1"/>
  <c r="FB6" i="24" s="1"/>
  <c r="ER190" i="24"/>
  <c r="FC190" i="24"/>
  <c r="FE190" i="24" s="1"/>
  <c r="FF190" i="24" s="1"/>
  <c r="EK162" i="24"/>
  <c r="EW162" i="24"/>
  <c r="FB162" i="24" s="1"/>
  <c r="EK145" i="24"/>
  <c r="EW145" i="24"/>
  <c r="FB145" i="24" s="1"/>
  <c r="EK171" i="24"/>
  <c r="EW171" i="24"/>
  <c r="FB171" i="24" s="1"/>
  <c r="EW177" i="24"/>
  <c r="FB177" i="24" s="1"/>
  <c r="EK177" i="24"/>
  <c r="ER201" i="24"/>
  <c r="EK204" i="24"/>
  <c r="EW204" i="24"/>
  <c r="FB204" i="24" s="1"/>
  <c r="EW112" i="24"/>
  <c r="FB112" i="24" s="1"/>
  <c r="EK112" i="24"/>
  <c r="EK191" i="24"/>
  <c r="EW191" i="24"/>
  <c r="FB191" i="24" s="1"/>
  <c r="EW168" i="24"/>
  <c r="FB168" i="24" s="1"/>
  <c r="EK168" i="24"/>
  <c r="EK139" i="24"/>
  <c r="EW139" i="24"/>
  <c r="FB139" i="24" s="1"/>
  <c r="EK21" i="24"/>
  <c r="EQ21" i="24" s="1"/>
  <c r="EW21" i="24"/>
  <c r="EZ21" i="24" s="1"/>
  <c r="FB21" i="24" s="1"/>
  <c r="ER13" i="24"/>
  <c r="EW61" i="24"/>
  <c r="EZ61" i="24" s="1"/>
  <c r="FB61" i="24" s="1"/>
  <c r="EK61" i="24"/>
  <c r="EQ61" i="24" s="1"/>
  <c r="ER124" i="24"/>
  <c r="F66" i="19"/>
  <c r="J9" i="8"/>
  <c r="U216" i="24" l="1"/>
  <c r="Y110" i="24"/>
  <c r="FC96" i="24"/>
  <c r="FE96" i="24" s="1"/>
  <c r="FF96" i="24" s="1"/>
  <c r="FC159" i="24"/>
  <c r="FE159" i="24" s="1"/>
  <c r="FF159" i="24" s="1"/>
  <c r="FC243" i="24"/>
  <c r="FE243" i="24" s="1"/>
  <c r="FF243" i="24" s="1"/>
  <c r="FC132" i="24"/>
  <c r="FE132" i="24" s="1"/>
  <c r="FF132" i="24" s="1"/>
  <c r="ER142" i="24"/>
  <c r="CL212" i="24"/>
  <c r="DQ212" i="24"/>
  <c r="ES212" i="24"/>
  <c r="EV212" i="24" s="1"/>
  <c r="CW212" i="24"/>
  <c r="CX212" i="24" s="1"/>
  <c r="CY212" i="24"/>
  <c r="CU212" i="24"/>
  <c r="FC285" i="24"/>
  <c r="FE285" i="24" s="1"/>
  <c r="FF285" i="24" s="1"/>
  <c r="F212" i="24"/>
  <c r="FC92" i="24"/>
  <c r="FE92" i="24" s="1"/>
  <c r="FF92" i="24" s="1"/>
  <c r="FC78" i="24"/>
  <c r="FE78" i="24" s="1"/>
  <c r="FF78" i="24" s="1"/>
  <c r="FC60" i="24"/>
  <c r="FE60" i="24" s="1"/>
  <c r="FF60" i="24" s="1"/>
  <c r="ER60" i="24"/>
  <c r="FC74" i="24"/>
  <c r="FE74" i="24" s="1"/>
  <c r="FF74" i="24" s="1"/>
  <c r="ER221" i="24"/>
  <c r="FC221" i="24"/>
  <c r="FE221" i="24" s="1"/>
  <c r="FF221" i="24" s="1"/>
  <c r="ER290" i="24"/>
  <c r="FC290" i="24"/>
  <c r="FE290" i="24" s="1"/>
  <c r="FF290" i="24" s="1"/>
  <c r="ER276" i="24"/>
  <c r="FC276" i="24"/>
  <c r="FE276" i="24" s="1"/>
  <c r="FF276" i="24" s="1"/>
  <c r="FC277" i="24"/>
  <c r="FE277" i="24" s="1"/>
  <c r="FF277" i="24" s="1"/>
  <c r="ER277" i="24"/>
  <c r="ER286" i="24"/>
  <c r="FC286" i="24"/>
  <c r="FE286" i="24" s="1"/>
  <c r="FF286" i="24" s="1"/>
  <c r="FC313" i="24"/>
  <c r="FE313" i="24" s="1"/>
  <c r="FF313" i="24" s="1"/>
  <c r="ER313" i="24"/>
  <c r="ER304" i="24"/>
  <c r="FC304" i="24"/>
  <c r="FE304" i="24" s="1"/>
  <c r="FF304" i="24" s="1"/>
  <c r="ER244" i="24"/>
  <c r="FC244" i="24"/>
  <c r="FE244" i="24" s="1"/>
  <c r="FF244" i="24" s="1"/>
  <c r="ER230" i="24"/>
  <c r="FC230" i="24"/>
  <c r="FE230" i="24" s="1"/>
  <c r="FF230" i="24" s="1"/>
  <c r="ER294" i="24"/>
  <c r="FC294" i="24"/>
  <c r="FE294" i="24" s="1"/>
  <c r="FF294" i="24" s="1"/>
  <c r="ER225" i="24"/>
  <c r="FC225" i="24"/>
  <c r="FE225" i="24" s="1"/>
  <c r="FF225" i="24" s="1"/>
  <c r="FC250" i="24"/>
  <c r="FE250" i="24" s="1"/>
  <c r="FF250" i="24" s="1"/>
  <c r="ER250" i="24"/>
  <c r="ER303" i="24"/>
  <c r="FC303" i="24"/>
  <c r="FE303" i="24" s="1"/>
  <c r="FF303" i="24" s="1"/>
  <c r="ER269" i="24"/>
  <c r="FC269" i="24"/>
  <c r="FE269" i="24" s="1"/>
  <c r="FF269" i="24" s="1"/>
  <c r="ER252" i="24"/>
  <c r="FC252" i="24"/>
  <c r="FE252" i="24" s="1"/>
  <c r="FF252" i="24" s="1"/>
  <c r="ER300" i="24"/>
  <c r="FC300" i="24"/>
  <c r="FE300" i="24" s="1"/>
  <c r="FF300" i="24" s="1"/>
  <c r="ER312" i="24"/>
  <c r="FC312" i="24"/>
  <c r="FE312" i="24" s="1"/>
  <c r="FF312" i="24" s="1"/>
  <c r="FC259" i="24"/>
  <c r="FE259" i="24" s="1"/>
  <c r="FF259" i="24" s="1"/>
  <c r="ER259" i="24"/>
  <c r="ER280" i="24"/>
  <c r="FC280" i="24"/>
  <c r="FE280" i="24" s="1"/>
  <c r="FF280" i="24" s="1"/>
  <c r="ER273" i="24"/>
  <c r="FC273" i="24"/>
  <c r="FE273" i="24" s="1"/>
  <c r="FF273" i="24" s="1"/>
  <c r="ER233" i="24"/>
  <c r="FC233" i="24"/>
  <c r="FE233" i="24" s="1"/>
  <c r="FF233" i="24" s="1"/>
  <c r="FC238" i="24"/>
  <c r="FE238" i="24" s="1"/>
  <c r="FF238" i="24" s="1"/>
  <c r="ER238" i="24"/>
  <c r="ER263" i="24"/>
  <c r="FC263" i="24"/>
  <c r="FE263" i="24" s="1"/>
  <c r="FF263" i="24" s="1"/>
  <c r="ER301" i="24"/>
  <c r="FC301" i="24"/>
  <c r="FE301" i="24" s="1"/>
  <c r="FF301" i="24" s="1"/>
  <c r="ER302" i="24"/>
  <c r="FC302" i="24"/>
  <c r="FE302" i="24" s="1"/>
  <c r="FF302" i="24" s="1"/>
  <c r="FC254" i="24"/>
  <c r="FE254" i="24" s="1"/>
  <c r="FF254" i="24" s="1"/>
  <c r="ER254" i="24"/>
  <c r="FC295" i="24"/>
  <c r="FE295" i="24" s="1"/>
  <c r="FF295" i="24" s="1"/>
  <c r="ER295" i="24"/>
  <c r="ER240" i="24"/>
  <c r="FC240" i="24"/>
  <c r="FE240" i="24" s="1"/>
  <c r="FF240" i="24" s="1"/>
  <c r="ER231" i="24"/>
  <c r="FC231" i="24"/>
  <c r="FE231" i="24" s="1"/>
  <c r="FF231" i="24" s="1"/>
  <c r="FC265" i="24"/>
  <c r="FE265" i="24" s="1"/>
  <c r="FF265" i="24" s="1"/>
  <c r="ER265" i="24"/>
  <c r="ER266" i="24"/>
  <c r="FC266" i="24"/>
  <c r="FE266" i="24" s="1"/>
  <c r="FF266" i="24" s="1"/>
  <c r="FC255" i="24"/>
  <c r="FE255" i="24" s="1"/>
  <c r="FF255" i="24" s="1"/>
  <c r="ER255" i="24"/>
  <c r="FC289" i="24"/>
  <c r="FE289" i="24" s="1"/>
  <c r="FF289" i="24" s="1"/>
  <c r="ER289" i="24"/>
  <c r="FC267" i="24"/>
  <c r="FE267" i="24" s="1"/>
  <c r="FF267" i="24" s="1"/>
  <c r="ER267" i="24"/>
  <c r="ER282" i="24"/>
  <c r="FC282" i="24"/>
  <c r="FE282" i="24" s="1"/>
  <c r="FF282" i="24" s="1"/>
  <c r="FC258" i="24"/>
  <c r="FE258" i="24" s="1"/>
  <c r="FF258" i="24" s="1"/>
  <c r="ER258" i="24"/>
  <c r="ER310" i="24"/>
  <c r="FC310" i="24"/>
  <c r="FE310" i="24" s="1"/>
  <c r="FF310" i="24" s="1"/>
  <c r="ER278" i="24"/>
  <c r="FC278" i="24"/>
  <c r="FE278" i="24" s="1"/>
  <c r="FF278" i="24" s="1"/>
  <c r="FC245" i="24"/>
  <c r="FE245" i="24" s="1"/>
  <c r="FF245" i="24" s="1"/>
  <c r="ER245" i="24"/>
  <c r="ER307" i="24"/>
  <c r="FC307" i="24"/>
  <c r="FE307" i="24" s="1"/>
  <c r="FF307" i="24" s="1"/>
  <c r="ER297" i="24"/>
  <c r="FC297" i="24"/>
  <c r="FE297" i="24" s="1"/>
  <c r="FF297" i="24" s="1"/>
  <c r="ER315" i="24"/>
  <c r="FC315" i="24"/>
  <c r="FE315" i="24" s="1"/>
  <c r="FF315" i="24" s="1"/>
  <c r="ER227" i="24"/>
  <c r="FC227" i="24"/>
  <c r="FE227" i="24" s="1"/>
  <c r="FF227" i="24" s="1"/>
  <c r="ER309" i="24"/>
  <c r="FC309" i="24"/>
  <c r="FE309" i="24" s="1"/>
  <c r="FF309" i="24" s="1"/>
  <c r="FC274" i="24"/>
  <c r="FE274" i="24" s="1"/>
  <c r="FF274" i="24" s="1"/>
  <c r="ER274" i="24"/>
  <c r="ER299" i="24"/>
  <c r="FC299" i="24"/>
  <c r="FE299" i="24" s="1"/>
  <c r="FF299" i="24" s="1"/>
  <c r="ER262" i="24"/>
  <c r="FC262" i="24"/>
  <c r="FE262" i="24" s="1"/>
  <c r="FF262" i="24" s="1"/>
  <c r="FC281" i="24"/>
  <c r="FE281" i="24" s="1"/>
  <c r="FF281" i="24" s="1"/>
  <c r="ER281" i="24"/>
  <c r="ER253" i="24"/>
  <c r="FC253" i="24"/>
  <c r="FE253" i="24" s="1"/>
  <c r="FF253" i="24" s="1"/>
  <c r="ER298" i="24"/>
  <c r="FC298" i="24"/>
  <c r="FE298" i="24" s="1"/>
  <c r="FF298" i="24" s="1"/>
  <c r="FC249" i="24"/>
  <c r="FE249" i="24" s="1"/>
  <c r="FF249" i="24" s="1"/>
  <c r="ER249" i="24"/>
  <c r="ER219" i="24"/>
  <c r="FC219" i="24"/>
  <c r="FE219" i="24" s="1"/>
  <c r="FF219" i="24" s="1"/>
  <c r="FC247" i="24"/>
  <c r="FE247" i="24" s="1"/>
  <c r="FF247" i="24" s="1"/>
  <c r="ER247" i="24"/>
  <c r="FC287" i="24"/>
  <c r="FE287" i="24" s="1"/>
  <c r="FF287" i="24" s="1"/>
  <c r="ER287" i="24"/>
  <c r="FC314" i="24"/>
  <c r="FE314" i="24" s="1"/>
  <c r="FF314" i="24" s="1"/>
  <c r="ER314" i="24"/>
  <c r="FC235" i="24"/>
  <c r="FE235" i="24" s="1"/>
  <c r="FF235" i="24" s="1"/>
  <c r="ER235" i="24"/>
  <c r="ER311" i="24"/>
  <c r="FC311" i="24"/>
  <c r="FE311" i="24" s="1"/>
  <c r="FF311" i="24" s="1"/>
  <c r="ER217" i="24"/>
  <c r="FC217" i="24"/>
  <c r="FE217" i="24" s="1"/>
  <c r="FF217" i="24" s="1"/>
  <c r="ER305" i="24"/>
  <c r="FC305" i="24"/>
  <c r="FE305" i="24" s="1"/>
  <c r="FF305" i="24" s="1"/>
  <c r="ER239" i="24"/>
  <c r="FC239" i="24"/>
  <c r="FE239" i="24" s="1"/>
  <c r="FF239" i="24" s="1"/>
  <c r="FC228" i="24"/>
  <c r="FE228" i="24" s="1"/>
  <c r="FF228" i="24" s="1"/>
  <c r="ER228" i="24"/>
  <c r="ER257" i="24"/>
  <c r="FC257" i="24"/>
  <c r="FE257" i="24" s="1"/>
  <c r="FF257" i="24" s="1"/>
  <c r="FC251" i="24"/>
  <c r="FE251" i="24" s="1"/>
  <c r="FF251" i="24" s="1"/>
  <c r="ER251" i="24"/>
  <c r="ER268" i="24"/>
  <c r="FC268" i="24"/>
  <c r="FE268" i="24" s="1"/>
  <c r="FF268" i="24" s="1"/>
  <c r="ER291" i="24"/>
  <c r="FC291" i="24"/>
  <c r="FE291" i="24" s="1"/>
  <c r="FF291" i="24" s="1"/>
  <c r="ER237" i="24"/>
  <c r="FC237" i="24"/>
  <c r="FE237" i="24" s="1"/>
  <c r="FF237" i="24" s="1"/>
  <c r="ER256" i="24"/>
  <c r="FC256" i="24"/>
  <c r="FE256" i="24" s="1"/>
  <c r="FF256" i="24" s="1"/>
  <c r="ER223" i="24"/>
  <c r="FC223" i="24"/>
  <c r="FE223" i="24" s="1"/>
  <c r="FF223" i="24" s="1"/>
  <c r="ER283" i="24"/>
  <c r="FC283" i="24"/>
  <c r="FE283" i="24" s="1"/>
  <c r="FF283" i="24" s="1"/>
  <c r="FC236" i="24"/>
  <c r="FE236" i="24" s="1"/>
  <c r="FF236" i="24" s="1"/>
  <c r="ER236" i="24"/>
  <c r="FC232" i="24"/>
  <c r="FE232" i="24" s="1"/>
  <c r="FF232" i="24" s="1"/>
  <c r="ER232" i="24"/>
  <c r="FC306" i="24"/>
  <c r="FE306" i="24" s="1"/>
  <c r="FF306" i="24" s="1"/>
  <c r="ER306" i="24"/>
  <c r="FC271" i="24"/>
  <c r="FE271" i="24" s="1"/>
  <c r="FF271" i="24" s="1"/>
  <c r="ER271" i="24"/>
  <c r="FC229" i="24"/>
  <c r="FE229" i="24" s="1"/>
  <c r="FF229" i="24" s="1"/>
  <c r="ER229" i="24"/>
  <c r="FC241" i="24"/>
  <c r="FE241" i="24" s="1"/>
  <c r="FF241" i="24" s="1"/>
  <c r="ER241" i="24"/>
  <c r="FC293" i="24"/>
  <c r="FE293" i="24" s="1"/>
  <c r="FF293" i="24" s="1"/>
  <c r="ER293" i="24"/>
  <c r="ER260" i="24"/>
  <c r="FC260" i="24"/>
  <c r="FE260" i="24" s="1"/>
  <c r="FF260" i="24" s="1"/>
  <c r="ER220" i="24"/>
  <c r="FC220" i="24"/>
  <c r="FE220" i="24" s="1"/>
  <c r="FF220" i="24" s="1"/>
  <c r="ER222" i="24"/>
  <c r="FC222" i="24"/>
  <c r="FE222" i="24" s="1"/>
  <c r="FF222" i="24" s="1"/>
  <c r="ER296" i="24"/>
  <c r="FC296" i="24"/>
  <c r="FE296" i="24" s="1"/>
  <c r="FF296" i="24" s="1"/>
  <c r="FC261" i="24"/>
  <c r="FE261" i="24" s="1"/>
  <c r="FF261" i="24" s="1"/>
  <c r="ER261" i="24"/>
  <c r="ER218" i="24"/>
  <c r="FC218" i="24"/>
  <c r="FE218" i="24" s="1"/>
  <c r="FF218" i="24" s="1"/>
  <c r="FC288" i="24"/>
  <c r="FE288" i="24" s="1"/>
  <c r="FF288" i="24" s="1"/>
  <c r="ER288" i="24"/>
  <c r="FC224" i="24"/>
  <c r="FE224" i="24" s="1"/>
  <c r="FF224" i="24" s="1"/>
  <c r="ER224" i="24"/>
  <c r="ER264" i="24"/>
  <c r="FC264" i="24"/>
  <c r="FE264" i="24" s="1"/>
  <c r="FF264" i="24" s="1"/>
  <c r="FC275" i="24"/>
  <c r="FE275" i="24" s="1"/>
  <c r="FF275" i="24" s="1"/>
  <c r="ER275" i="24"/>
  <c r="FC279" i="24"/>
  <c r="FE279" i="24" s="1"/>
  <c r="FF279" i="24" s="1"/>
  <c r="ER279" i="24"/>
  <c r="FC226" i="24"/>
  <c r="FE226" i="24" s="1"/>
  <c r="FF226" i="24" s="1"/>
  <c r="ER226" i="24"/>
  <c r="ER272" i="24"/>
  <c r="FC272" i="24"/>
  <c r="FE272" i="24" s="1"/>
  <c r="FF272" i="24" s="1"/>
  <c r="ER292" i="24"/>
  <c r="FC292" i="24"/>
  <c r="FE292" i="24" s="1"/>
  <c r="FF292" i="24" s="1"/>
  <c r="FC308" i="24"/>
  <c r="FE308" i="24" s="1"/>
  <c r="FF308" i="24" s="1"/>
  <c r="ER308" i="24"/>
  <c r="FC234" i="24"/>
  <c r="FE234" i="24" s="1"/>
  <c r="FF234" i="24" s="1"/>
  <c r="ER234" i="24"/>
  <c r="FC246" i="24"/>
  <c r="FE246" i="24" s="1"/>
  <c r="FF246" i="24" s="1"/>
  <c r="ER246" i="24"/>
  <c r="FC316" i="24"/>
  <c r="FE316" i="24" s="1"/>
  <c r="FF316" i="24" s="1"/>
  <c r="ER316" i="24"/>
  <c r="ER270" i="24"/>
  <c r="FC270" i="24"/>
  <c r="FE270" i="24" s="1"/>
  <c r="FF270" i="24" s="1"/>
  <c r="FC284" i="24"/>
  <c r="FE284" i="24" s="1"/>
  <c r="FF284" i="24" s="1"/>
  <c r="ER284" i="24"/>
  <c r="ER248" i="24"/>
  <c r="FC248" i="24"/>
  <c r="FE248" i="24" s="1"/>
  <c r="FF248" i="24" s="1"/>
  <c r="FC39" i="24"/>
  <c r="FE39" i="24" s="1"/>
  <c r="FF39" i="24" s="1"/>
  <c r="FC152" i="24"/>
  <c r="FE152" i="24" s="1"/>
  <c r="FF152" i="24" s="1"/>
  <c r="FC44" i="24"/>
  <c r="FE44" i="24" s="1"/>
  <c r="FF44" i="24" s="1"/>
  <c r="FC199" i="24"/>
  <c r="FE199" i="24" s="1"/>
  <c r="FF199" i="24" s="1"/>
  <c r="FC160" i="24"/>
  <c r="FE160" i="24" s="1"/>
  <c r="FF160" i="24" s="1"/>
  <c r="FB134" i="24"/>
  <c r="ER111" i="24"/>
  <c r="FC23" i="24"/>
  <c r="FE23" i="24" s="1"/>
  <c r="FF23" i="24" s="1"/>
  <c r="FC192" i="24"/>
  <c r="FE192" i="24" s="1"/>
  <c r="FF192" i="24" s="1"/>
  <c r="FC186" i="24"/>
  <c r="FE186" i="24" s="1"/>
  <c r="FF186" i="24" s="1"/>
  <c r="FC133" i="24"/>
  <c r="FE133" i="24" s="1"/>
  <c r="FF133" i="24" s="1"/>
  <c r="FC126" i="24"/>
  <c r="FE126" i="24" s="1"/>
  <c r="FF126" i="24" s="1"/>
  <c r="FC127" i="24"/>
  <c r="FE127" i="24" s="1"/>
  <c r="FF127" i="24" s="1"/>
  <c r="FC52" i="24"/>
  <c r="FE52" i="24" s="1"/>
  <c r="FF52" i="24" s="1"/>
  <c r="ER169" i="24"/>
  <c r="FC169" i="24"/>
  <c r="FE169" i="24" s="1"/>
  <c r="FF169" i="24" s="1"/>
  <c r="FC104" i="24"/>
  <c r="FE104" i="24" s="1"/>
  <c r="FF104" i="24" s="1"/>
  <c r="FC63" i="24"/>
  <c r="FE63" i="24" s="1"/>
  <c r="FF63" i="24" s="1"/>
  <c r="FC201" i="24"/>
  <c r="FE201" i="24" s="1"/>
  <c r="FF201" i="24" s="1"/>
  <c r="FC14" i="24"/>
  <c r="FE14" i="24" s="1"/>
  <c r="FF14" i="24" s="1"/>
  <c r="FC136" i="24"/>
  <c r="FE136" i="24" s="1"/>
  <c r="FF136" i="24" s="1"/>
  <c r="FC124" i="24"/>
  <c r="FE124" i="24" s="1"/>
  <c r="FF124" i="24" s="1"/>
  <c r="ER170" i="24"/>
  <c r="ER14" i="24"/>
  <c r="FB147" i="24"/>
  <c r="FC29" i="24"/>
  <c r="FE29" i="24" s="1"/>
  <c r="FF29" i="24" s="1"/>
  <c r="FC43" i="24"/>
  <c r="FE43" i="24" s="1"/>
  <c r="FF43" i="24" s="1"/>
  <c r="FC81" i="24"/>
  <c r="FE81" i="24" s="1"/>
  <c r="FF81" i="24" s="1"/>
  <c r="FC37" i="24"/>
  <c r="FE37" i="24" s="1"/>
  <c r="FF37" i="24" s="1"/>
  <c r="FC30" i="24"/>
  <c r="FE30" i="24" s="1"/>
  <c r="FF30" i="24" s="1"/>
  <c r="FC55" i="24"/>
  <c r="FE55" i="24" s="1"/>
  <c r="FF55" i="24" s="1"/>
  <c r="FB71" i="24"/>
  <c r="FC71" i="24"/>
  <c r="FE71" i="24" s="1"/>
  <c r="FF71" i="24" s="1"/>
  <c r="FB48" i="24"/>
  <c r="FC48" i="24"/>
  <c r="FE48" i="24" s="1"/>
  <c r="FF48" i="24" s="1"/>
  <c r="FC77" i="24"/>
  <c r="FE77" i="24" s="1"/>
  <c r="FF77" i="24" s="1"/>
  <c r="FC172" i="24"/>
  <c r="FE172" i="24" s="1"/>
  <c r="FF172" i="24" s="1"/>
  <c r="FC40" i="24"/>
  <c r="FE40" i="24" s="1"/>
  <c r="FF40" i="24" s="1"/>
  <c r="FC99" i="24"/>
  <c r="FE99" i="24" s="1"/>
  <c r="FF99" i="24" s="1"/>
  <c r="FC83" i="24"/>
  <c r="FE83" i="24" s="1"/>
  <c r="FF83" i="24" s="1"/>
  <c r="FC90" i="24"/>
  <c r="FE90" i="24" s="1"/>
  <c r="FF90" i="24" s="1"/>
  <c r="ER90" i="24"/>
  <c r="J216" i="24"/>
  <c r="O216" i="24"/>
  <c r="BZ216" i="24" s="1"/>
  <c r="FC67" i="24"/>
  <c r="FE67" i="24" s="1"/>
  <c r="FF67" i="24" s="1"/>
  <c r="FC13" i="24"/>
  <c r="FE13" i="24" s="1"/>
  <c r="FF13" i="24" s="1"/>
  <c r="AJ110" i="24"/>
  <c r="AG110" i="24"/>
  <c r="AF110" i="24"/>
  <c r="FJ263" i="24"/>
  <c r="FJ170" i="24"/>
  <c r="FI184" i="24"/>
  <c r="FJ114" i="24"/>
  <c r="FJ232" i="24"/>
  <c r="FJ142" i="24"/>
  <c r="FI206" i="24"/>
  <c r="FJ117" i="24"/>
  <c r="FJ159" i="24"/>
  <c r="FJ192" i="24"/>
  <c r="FI209" i="24"/>
  <c r="FJ132" i="24"/>
  <c r="FJ301" i="24"/>
  <c r="FI141" i="24"/>
  <c r="FI144" i="24"/>
  <c r="FI152" i="24"/>
  <c r="FJ242" i="24"/>
  <c r="FJ306" i="24"/>
  <c r="FI167" i="24"/>
  <c r="FI208" i="24"/>
  <c r="FJ287" i="24"/>
  <c r="FJ146" i="24"/>
  <c r="FJ225" i="24"/>
  <c r="FJ299" i="24"/>
  <c r="FJ294" i="24"/>
  <c r="FJ155" i="24"/>
  <c r="FJ238" i="24"/>
  <c r="FI189" i="24"/>
  <c r="FJ311" i="24"/>
  <c r="FI130" i="24"/>
  <c r="FI150" i="24"/>
  <c r="FI197" i="24"/>
  <c r="FJ234" i="24"/>
  <c r="FJ255" i="24"/>
  <c r="FJ169" i="24"/>
  <c r="FI170" i="24"/>
  <c r="FI108" i="24"/>
  <c r="FJ228" i="24"/>
  <c r="FJ133" i="24"/>
  <c r="FJ199" i="24"/>
  <c r="FI116" i="24"/>
  <c r="FJ154" i="24"/>
  <c r="FI174" i="24"/>
  <c r="FJ131" i="24"/>
  <c r="FJ291" i="24"/>
  <c r="FI207" i="24"/>
  <c r="FI132" i="24"/>
  <c r="FI204" i="24"/>
  <c r="FJ261" i="24"/>
  <c r="FJ112" i="24"/>
  <c r="FJ136" i="24"/>
  <c r="FJ270" i="24"/>
  <c r="FJ122" i="24"/>
  <c r="FI175" i="24"/>
  <c r="FJ265" i="24"/>
  <c r="FJ175" i="24"/>
  <c r="FJ217" i="24"/>
  <c r="FJ115" i="24"/>
  <c r="FJ229" i="24"/>
  <c r="FJ123" i="24"/>
  <c r="FI143" i="24"/>
  <c r="FJ315" i="24"/>
  <c r="FJ245" i="24"/>
  <c r="FJ187" i="24"/>
  <c r="FJ237" i="24"/>
  <c r="FJ227" i="24"/>
  <c r="FI169" i="24"/>
  <c r="FJ249" i="24"/>
  <c r="FJ216" i="24"/>
  <c r="FJ116" i="24"/>
  <c r="FJ290" i="24"/>
  <c r="FI110" i="24"/>
  <c r="FJ153" i="24"/>
  <c r="FJ283" i="24"/>
  <c r="FI182" i="24"/>
  <c r="FJ126" i="24"/>
  <c r="FJ280" i="24"/>
  <c r="FI115" i="24"/>
  <c r="FJ174" i="24"/>
  <c r="FJ250" i="24"/>
  <c r="FI165" i="24"/>
  <c r="FI139" i="24"/>
  <c r="FJ296" i="24"/>
  <c r="FJ113" i="24"/>
  <c r="FI188" i="24"/>
  <c r="FJ239" i="24"/>
  <c r="FJ276" i="24"/>
  <c r="FJ186" i="24"/>
  <c r="FJ246" i="24"/>
  <c r="FI140" i="24"/>
  <c r="FJ171" i="24"/>
  <c r="FI210" i="24"/>
  <c r="FJ244" i="24"/>
  <c r="FI121" i="24"/>
  <c r="FI149" i="24"/>
  <c r="FJ304" i="24"/>
  <c r="FJ272" i="24"/>
  <c r="FI179" i="24"/>
  <c r="FJ222" i="24"/>
  <c r="FI138" i="24"/>
  <c r="FJ148" i="24"/>
  <c r="FJ190" i="24"/>
  <c r="FI114" i="24"/>
  <c r="FJ277" i="24"/>
  <c r="FJ266" i="24"/>
  <c r="FJ144" i="24"/>
  <c r="FI125" i="24"/>
  <c r="FJ278" i="24"/>
  <c r="FI193" i="24"/>
  <c r="FI123" i="24"/>
  <c r="FI191" i="24"/>
  <c r="FJ297" i="24"/>
  <c r="FJ163" i="24"/>
  <c r="FI160" i="24"/>
  <c r="FI194" i="24"/>
  <c r="FJ121" i="24"/>
  <c r="FJ240" i="24"/>
  <c r="FJ300" i="24"/>
  <c r="FI171" i="24"/>
  <c r="FJ120" i="24"/>
  <c r="FI177" i="24"/>
  <c r="FJ260" i="24"/>
  <c r="FI199" i="24"/>
  <c r="FI124" i="24"/>
  <c r="FJ194" i="24"/>
  <c r="FI126" i="24"/>
  <c r="FJ292" i="24"/>
  <c r="FI181" i="24"/>
  <c r="CE108" i="24"/>
  <c r="FI201" i="24"/>
  <c r="FI133" i="24"/>
  <c r="FI145" i="24"/>
  <c r="FI176" i="24"/>
  <c r="FI113" i="24"/>
  <c r="FJ256" i="24"/>
  <c r="FI172" i="24"/>
  <c r="FJ251" i="24"/>
  <c r="FI159" i="24"/>
  <c r="FI111" i="24"/>
  <c r="FJ273" i="24"/>
  <c r="FI186" i="24"/>
  <c r="FI112" i="24"/>
  <c r="FJ189" i="24"/>
  <c r="FJ289" i="24"/>
  <c r="FI155" i="24"/>
  <c r="FI183" i="24"/>
  <c r="FJ147" i="24"/>
  <c r="FJ254" i="24"/>
  <c r="FJ201" i="24"/>
  <c r="FJ149" i="24"/>
  <c r="FJ314" i="24"/>
  <c r="FI135" i="24"/>
  <c r="FJ197" i="24"/>
  <c r="FI137" i="24"/>
  <c r="FJ129" i="24"/>
  <c r="FI173" i="24"/>
  <c r="FI122" i="24"/>
  <c r="FI153" i="24"/>
  <c r="FJ235" i="24"/>
  <c r="CF110" i="24"/>
  <c r="FI196" i="24"/>
  <c r="FJ128" i="24"/>
  <c r="FJ134" i="24"/>
  <c r="FI146" i="24"/>
  <c r="FJ172" i="24"/>
  <c r="FJ110" i="24"/>
  <c r="FJ243" i="24"/>
  <c r="FI198" i="24"/>
  <c r="FI117" i="24"/>
  <c r="FJ236" i="24"/>
  <c r="FI162" i="24"/>
  <c r="FJ259" i="24"/>
  <c r="FI178" i="24"/>
  <c r="FI129" i="24"/>
  <c r="FJ293" i="24"/>
  <c r="FJ264" i="24"/>
  <c r="FI163" i="24"/>
  <c r="FJ140" i="24"/>
  <c r="FI202" i="24"/>
  <c r="FJ310" i="24"/>
  <c r="FI147" i="24"/>
  <c r="FJ150" i="24"/>
  <c r="FI157" i="24"/>
  <c r="FJ258" i="24"/>
  <c r="FI195" i="24"/>
  <c r="FI120" i="24"/>
  <c r="FI119" i="24"/>
  <c r="FJ143" i="24"/>
  <c r="FI185" i="24"/>
  <c r="CF216" i="24"/>
  <c r="FI192" i="24"/>
  <c r="FI128" i="24"/>
  <c r="FJ286" i="24"/>
  <c r="FJ164" i="24"/>
  <c r="FJ281" i="24"/>
  <c r="FJ233" i="24"/>
  <c r="FI164" i="24"/>
  <c r="FJ188" i="24"/>
  <c r="FJ111" i="24"/>
  <c r="FJ220" i="24"/>
  <c r="FI154" i="24"/>
  <c r="FJ313" i="24"/>
  <c r="FJ257" i="24"/>
  <c r="FI158" i="24"/>
  <c r="FJ152" i="24"/>
  <c r="FJ248" i="24"/>
  <c r="FJ230" i="24"/>
  <c r="FI134" i="24"/>
  <c r="FJ176" i="24"/>
  <c r="FI127" i="24"/>
  <c r="FJ295" i="24"/>
  <c r="FI205" i="24"/>
  <c r="FI161" i="24"/>
  <c r="FJ312" i="24"/>
  <c r="FI190" i="24"/>
  <c r="FJ218" i="24"/>
  <c r="FJ298" i="24"/>
  <c r="FJ282" i="24"/>
  <c r="FI200" i="24"/>
  <c r="FJ160" i="24"/>
  <c r="FI151" i="24"/>
  <c r="FJ226" i="24"/>
  <c r="FJ275" i="24"/>
  <c r="FJ184" i="24"/>
  <c r="FJ305" i="24"/>
  <c r="FJ127" i="24"/>
  <c r="FJ247" i="24"/>
  <c r="FI148" i="24"/>
  <c r="FJ221" i="24"/>
  <c r="FI136" i="24"/>
  <c r="FI166" i="24"/>
  <c r="FJ267" i="24"/>
  <c r="FJ141" i="24"/>
  <c r="FJ309" i="24"/>
  <c r="FJ252" i="24"/>
  <c r="FI156" i="24"/>
  <c r="FJ124" i="24"/>
  <c r="FJ130" i="24"/>
  <c r="FJ231" i="24"/>
  <c r="FJ303" i="24"/>
  <c r="FI142" i="24"/>
  <c r="FJ223" i="24"/>
  <c r="FJ308" i="24"/>
  <c r="FI131" i="24"/>
  <c r="FJ307" i="24"/>
  <c r="FJ253" i="24"/>
  <c r="FI187" i="24"/>
  <c r="FI118" i="24"/>
  <c r="FI168" i="24"/>
  <c r="FI203" i="24"/>
  <c r="FJ302" i="24"/>
  <c r="FJ316" i="24"/>
  <c r="FJ145" i="24"/>
  <c r="FJ219" i="24"/>
  <c r="FJ158" i="24"/>
  <c r="FJ138" i="24"/>
  <c r="FJ196" i="24"/>
  <c r="CE110" i="24"/>
  <c r="FI180" i="24"/>
  <c r="FC62" i="24"/>
  <c r="FE62" i="24" s="1"/>
  <c r="FF62" i="24" s="1"/>
  <c r="FC10" i="24"/>
  <c r="FE10" i="24" s="1"/>
  <c r="FF10" i="24" s="1"/>
  <c r="ER6" i="24"/>
  <c r="FC6" i="24"/>
  <c r="FE6" i="24" s="1"/>
  <c r="FF6" i="24" s="1"/>
  <c r="ER207" i="24"/>
  <c r="FC207" i="24"/>
  <c r="FE207" i="24" s="1"/>
  <c r="FF207" i="24" s="1"/>
  <c r="ER115" i="24"/>
  <c r="FC115" i="24"/>
  <c r="FE115" i="24" s="1"/>
  <c r="FF115" i="24" s="1"/>
  <c r="ER117" i="24"/>
  <c r="FC117" i="24"/>
  <c r="FE117" i="24" s="1"/>
  <c r="FF117" i="24" s="1"/>
  <c r="ER19" i="24"/>
  <c r="FC19" i="24"/>
  <c r="FE19" i="24" s="1"/>
  <c r="FF19" i="24" s="1"/>
  <c r="FC179" i="24"/>
  <c r="FE179" i="24" s="1"/>
  <c r="FF179" i="24" s="1"/>
  <c r="ER179" i="24"/>
  <c r="ER75" i="24"/>
  <c r="FC75" i="24"/>
  <c r="FE75" i="24" s="1"/>
  <c r="FF75" i="24" s="1"/>
  <c r="ER80" i="24"/>
  <c r="FC80" i="24"/>
  <c r="FE80" i="24" s="1"/>
  <c r="FF80" i="24" s="1"/>
  <c r="ER49" i="24"/>
  <c r="FC49" i="24"/>
  <c r="FE49" i="24" s="1"/>
  <c r="FF49" i="24" s="1"/>
  <c r="ER59" i="24"/>
  <c r="FC59" i="24"/>
  <c r="FE59" i="24" s="1"/>
  <c r="FF59" i="24" s="1"/>
  <c r="ER178" i="24"/>
  <c r="FC178" i="24"/>
  <c r="FE178" i="24" s="1"/>
  <c r="FF178" i="24" s="1"/>
  <c r="ER27" i="24"/>
  <c r="FC27" i="24"/>
  <c r="FE27" i="24" s="1"/>
  <c r="FF27" i="24" s="1"/>
  <c r="ER161" i="24"/>
  <c r="FC161" i="24"/>
  <c r="FE161" i="24" s="1"/>
  <c r="FF161" i="24" s="1"/>
  <c r="ER150" i="24"/>
  <c r="FC150" i="24"/>
  <c r="FE150" i="24" s="1"/>
  <c r="FF150" i="24" s="1"/>
  <c r="ER18" i="24"/>
  <c r="FC18" i="24"/>
  <c r="FE18" i="24" s="1"/>
  <c r="FF18" i="24" s="1"/>
  <c r="ER158" i="24"/>
  <c r="FC158" i="24"/>
  <c r="FE158" i="24" s="1"/>
  <c r="FF158" i="24" s="1"/>
  <c r="ER194" i="24"/>
  <c r="FC194" i="24"/>
  <c r="FE194" i="24" s="1"/>
  <c r="FF194" i="24" s="1"/>
  <c r="ER95" i="24"/>
  <c r="FC95" i="24"/>
  <c r="FE95" i="24" s="1"/>
  <c r="FF95" i="24" s="1"/>
  <c r="ER146" i="24"/>
  <c r="FC146" i="24"/>
  <c r="FE146" i="24" s="1"/>
  <c r="FF146" i="24" s="1"/>
  <c r="ER97" i="24"/>
  <c r="FC97" i="24"/>
  <c r="FE97" i="24" s="1"/>
  <c r="FF97" i="24" s="1"/>
  <c r="ER70" i="24"/>
  <c r="FC70" i="24"/>
  <c r="FE70" i="24" s="1"/>
  <c r="FF70" i="24" s="1"/>
  <c r="ER210" i="24"/>
  <c r="FC210" i="24"/>
  <c r="FE210" i="24" s="1"/>
  <c r="FF210" i="24" s="1"/>
  <c r="ER187" i="24"/>
  <c r="FC187" i="24"/>
  <c r="FE187" i="24" s="1"/>
  <c r="FF187" i="24" s="1"/>
  <c r="ER7" i="24"/>
  <c r="FC7" i="24"/>
  <c r="FE7" i="24" s="1"/>
  <c r="FF7" i="24" s="1"/>
  <c r="ER125" i="24"/>
  <c r="FC125" i="24"/>
  <c r="FE125" i="24" s="1"/>
  <c r="FF125" i="24" s="1"/>
  <c r="ER21" i="24"/>
  <c r="FC21" i="24"/>
  <c r="FE21" i="24" s="1"/>
  <c r="FF21" i="24" s="1"/>
  <c r="ER176" i="24"/>
  <c r="FC176" i="24"/>
  <c r="FE176" i="24" s="1"/>
  <c r="FF176" i="24" s="1"/>
  <c r="ER122" i="24"/>
  <c r="FC122" i="24"/>
  <c r="FE122" i="24" s="1"/>
  <c r="FF122" i="24" s="1"/>
  <c r="ER209" i="24"/>
  <c r="FC209" i="24"/>
  <c r="FE209" i="24" s="1"/>
  <c r="FF209" i="24" s="1"/>
  <c r="ER103" i="24"/>
  <c r="FC103" i="24"/>
  <c r="FE103" i="24" s="1"/>
  <c r="FF103" i="24" s="1"/>
  <c r="ER9" i="24"/>
  <c r="FC9" i="24"/>
  <c r="FE9" i="24" s="1"/>
  <c r="FF9" i="24" s="1"/>
  <c r="ER31" i="24"/>
  <c r="FC31" i="24"/>
  <c r="FE31" i="24" s="1"/>
  <c r="FF31" i="24" s="1"/>
  <c r="ER130" i="24"/>
  <c r="FC130" i="24"/>
  <c r="FE130" i="24" s="1"/>
  <c r="FF130" i="24" s="1"/>
  <c r="FC148" i="24"/>
  <c r="FE148" i="24" s="1"/>
  <c r="FF148" i="24" s="1"/>
  <c r="ER148" i="24"/>
  <c r="ER84" i="24"/>
  <c r="FC84" i="24"/>
  <c r="FE84" i="24" s="1"/>
  <c r="FF84" i="24" s="1"/>
  <c r="ER82" i="24"/>
  <c r="FC82" i="24"/>
  <c r="FE82" i="24" s="1"/>
  <c r="FF82" i="24" s="1"/>
  <c r="ER26" i="24"/>
  <c r="FC26" i="24"/>
  <c r="FE26" i="24" s="1"/>
  <c r="FF26" i="24" s="1"/>
  <c r="ER200" i="24"/>
  <c r="FC200" i="24"/>
  <c r="FE200" i="24" s="1"/>
  <c r="FF200" i="24" s="1"/>
  <c r="ER157" i="24"/>
  <c r="FC157" i="24"/>
  <c r="FE157" i="24" s="1"/>
  <c r="FF157" i="24" s="1"/>
  <c r="ER205" i="24"/>
  <c r="FC205" i="24"/>
  <c r="FE205" i="24" s="1"/>
  <c r="FF205" i="24" s="1"/>
  <c r="ER137" i="24"/>
  <c r="FC137" i="24"/>
  <c r="FE137" i="24" s="1"/>
  <c r="FF137" i="24" s="1"/>
  <c r="ER162" i="24"/>
  <c r="FC162" i="24"/>
  <c r="FE162" i="24" s="1"/>
  <c r="FF162" i="24" s="1"/>
  <c r="ER156" i="24"/>
  <c r="FC156" i="24"/>
  <c r="FE156" i="24" s="1"/>
  <c r="FF156" i="24" s="1"/>
  <c r="ER35" i="24"/>
  <c r="FC35" i="24"/>
  <c r="FE35" i="24" s="1"/>
  <c r="FF35" i="24" s="1"/>
  <c r="ER105" i="24"/>
  <c r="FC105" i="24"/>
  <c r="FE105" i="24" s="1"/>
  <c r="FF105" i="24" s="1"/>
  <c r="ER17" i="24"/>
  <c r="FC17" i="24"/>
  <c r="FE17" i="24" s="1"/>
  <c r="FF17" i="24" s="1"/>
  <c r="ER16" i="24"/>
  <c r="FC16" i="24"/>
  <c r="FE16" i="24" s="1"/>
  <c r="FF16" i="24" s="1"/>
  <c r="ER56" i="24"/>
  <c r="FC56" i="24"/>
  <c r="FE56" i="24" s="1"/>
  <c r="FF56" i="24" s="1"/>
  <c r="ER72" i="24"/>
  <c r="FC72" i="24"/>
  <c r="FE72" i="24" s="1"/>
  <c r="FF72" i="24" s="1"/>
  <c r="ER166" i="24"/>
  <c r="FC166" i="24"/>
  <c r="FE166" i="24" s="1"/>
  <c r="FF166" i="24" s="1"/>
  <c r="ER114" i="24"/>
  <c r="FC114" i="24"/>
  <c r="FE114" i="24" s="1"/>
  <c r="FF114" i="24" s="1"/>
  <c r="ER131" i="24"/>
  <c r="FC131" i="24"/>
  <c r="FE131" i="24" s="1"/>
  <c r="FF131" i="24" s="1"/>
  <c r="ER68" i="24"/>
  <c r="FC68" i="24"/>
  <c r="FE68" i="24" s="1"/>
  <c r="FF68" i="24" s="1"/>
  <c r="ER28" i="24"/>
  <c r="FC28" i="24"/>
  <c r="FE28" i="24" s="1"/>
  <c r="FF28" i="24" s="1"/>
  <c r="ER98" i="24"/>
  <c r="FC98" i="24"/>
  <c r="FE98" i="24" s="1"/>
  <c r="FF98" i="24" s="1"/>
  <c r="ER61" i="24"/>
  <c r="FC61" i="24"/>
  <c r="FE61" i="24" s="1"/>
  <c r="FF61" i="24" s="1"/>
  <c r="ER139" i="24"/>
  <c r="FC139" i="24"/>
  <c r="FE139" i="24" s="1"/>
  <c r="FF139" i="24" s="1"/>
  <c r="ER191" i="24"/>
  <c r="FC191" i="24"/>
  <c r="FE191" i="24" s="1"/>
  <c r="FF191" i="24" s="1"/>
  <c r="ER145" i="24"/>
  <c r="FC145" i="24"/>
  <c r="FE145" i="24" s="1"/>
  <c r="FF145" i="24" s="1"/>
  <c r="ER15" i="24"/>
  <c r="FC15" i="24"/>
  <c r="FE15" i="24" s="1"/>
  <c r="FF15" i="24" s="1"/>
  <c r="ER175" i="24"/>
  <c r="FC175" i="24"/>
  <c r="FE175" i="24" s="1"/>
  <c r="FF175" i="24" s="1"/>
  <c r="ER38" i="24"/>
  <c r="FC38" i="24"/>
  <c r="FE38" i="24" s="1"/>
  <c r="FF38" i="24" s="1"/>
  <c r="ER94" i="24"/>
  <c r="FC94" i="24"/>
  <c r="FE94" i="24" s="1"/>
  <c r="FF94" i="24" s="1"/>
  <c r="ER182" i="24"/>
  <c r="FC182" i="24"/>
  <c r="FE182" i="24" s="1"/>
  <c r="FF182" i="24" s="1"/>
  <c r="ER22" i="24"/>
  <c r="FC22" i="24"/>
  <c r="FE22" i="24" s="1"/>
  <c r="FF22" i="24" s="1"/>
  <c r="ER11" i="24"/>
  <c r="FC11" i="24"/>
  <c r="FE11" i="24" s="1"/>
  <c r="FF11" i="24" s="1"/>
  <c r="ER140" i="24"/>
  <c r="FC140" i="24"/>
  <c r="FE140" i="24" s="1"/>
  <c r="FF140" i="24" s="1"/>
  <c r="ER165" i="24"/>
  <c r="FC165" i="24"/>
  <c r="FE165" i="24" s="1"/>
  <c r="FF165" i="24" s="1"/>
  <c r="ER57" i="24"/>
  <c r="FC57" i="24"/>
  <c r="FE57" i="24" s="1"/>
  <c r="FF57" i="24" s="1"/>
  <c r="ER89" i="24"/>
  <c r="FC89" i="24"/>
  <c r="FE89" i="24" s="1"/>
  <c r="FF89" i="24" s="1"/>
  <c r="ER155" i="24"/>
  <c r="FC155" i="24"/>
  <c r="FE155" i="24" s="1"/>
  <c r="FF155" i="24" s="1"/>
  <c r="ER118" i="24"/>
  <c r="FC118" i="24"/>
  <c r="FE118" i="24" s="1"/>
  <c r="FF118" i="24" s="1"/>
  <c r="ER65" i="24"/>
  <c r="FC65" i="24"/>
  <c r="FE65" i="24" s="1"/>
  <c r="FF65" i="24" s="1"/>
  <c r="ER206" i="24"/>
  <c r="FC206" i="24"/>
  <c r="FE206" i="24" s="1"/>
  <c r="FF206" i="24" s="1"/>
  <c r="ER129" i="24"/>
  <c r="FC129" i="24"/>
  <c r="FE129" i="24" s="1"/>
  <c r="FF129" i="24" s="1"/>
  <c r="ER151" i="24"/>
  <c r="FC151" i="24"/>
  <c r="FE151" i="24" s="1"/>
  <c r="FF151" i="24" s="1"/>
  <c r="ER112" i="24"/>
  <c r="FC112" i="24"/>
  <c r="FE112" i="24" s="1"/>
  <c r="FF112" i="24" s="1"/>
  <c r="ER42" i="24"/>
  <c r="FC42" i="24"/>
  <c r="FE42" i="24" s="1"/>
  <c r="FF42" i="24" s="1"/>
  <c r="ER101" i="24"/>
  <c r="FC101" i="24"/>
  <c r="FE101" i="24" s="1"/>
  <c r="FF101" i="24" s="1"/>
  <c r="ER69" i="24"/>
  <c r="FC69" i="24"/>
  <c r="FE69" i="24" s="1"/>
  <c r="FF69" i="24" s="1"/>
  <c r="ER138" i="24"/>
  <c r="FC138" i="24"/>
  <c r="FE138" i="24" s="1"/>
  <c r="FF138" i="24" s="1"/>
  <c r="ER87" i="24"/>
  <c r="FC87" i="24"/>
  <c r="FE87" i="24" s="1"/>
  <c r="FF87" i="24" s="1"/>
  <c r="ER202" i="24"/>
  <c r="FC202" i="24"/>
  <c r="FE202" i="24" s="1"/>
  <c r="FF202" i="24" s="1"/>
  <c r="ER184" i="24"/>
  <c r="FC184" i="24"/>
  <c r="FE184" i="24" s="1"/>
  <c r="FF184" i="24" s="1"/>
  <c r="ER195" i="24"/>
  <c r="FC195" i="24"/>
  <c r="FE195" i="24" s="1"/>
  <c r="FF195" i="24" s="1"/>
  <c r="ER193" i="24"/>
  <c r="FC193" i="24"/>
  <c r="FE193" i="24" s="1"/>
  <c r="FF193" i="24" s="1"/>
  <c r="ER45" i="24"/>
  <c r="FC45" i="24"/>
  <c r="FE45" i="24" s="1"/>
  <c r="FF45" i="24" s="1"/>
  <c r="ER197" i="24"/>
  <c r="FC197" i="24"/>
  <c r="FE197" i="24" s="1"/>
  <c r="FF197" i="24" s="1"/>
  <c r="ER196" i="24"/>
  <c r="FC196" i="24"/>
  <c r="FE196" i="24" s="1"/>
  <c r="FF196" i="24" s="1"/>
  <c r="ER116" i="24"/>
  <c r="FC116" i="24"/>
  <c r="FE116" i="24" s="1"/>
  <c r="FF116" i="24" s="1"/>
  <c r="ER46" i="24"/>
  <c r="FC46" i="24"/>
  <c r="FE46" i="24" s="1"/>
  <c r="FF46" i="24" s="1"/>
  <c r="ER64" i="24"/>
  <c r="FC64" i="24"/>
  <c r="FE64" i="24" s="1"/>
  <c r="FF64" i="24" s="1"/>
  <c r="ER180" i="24"/>
  <c r="FC180" i="24"/>
  <c r="FE180" i="24" s="1"/>
  <c r="ER168" i="24"/>
  <c r="FC168" i="24"/>
  <c r="FE168" i="24" s="1"/>
  <c r="FF168" i="24" s="1"/>
  <c r="ER66" i="24"/>
  <c r="FC66" i="24"/>
  <c r="FE66" i="24" s="1"/>
  <c r="FF66" i="24" s="1"/>
  <c r="ER73" i="24"/>
  <c r="FC73" i="24"/>
  <c r="FE73" i="24" s="1"/>
  <c r="FF73" i="24" s="1"/>
  <c r="ER24" i="24"/>
  <c r="FC24" i="24"/>
  <c r="FE24" i="24" s="1"/>
  <c r="FF24" i="24" s="1"/>
  <c r="ER183" i="24"/>
  <c r="FC183" i="24"/>
  <c r="FE183" i="24" s="1"/>
  <c r="FF183" i="24" s="1"/>
  <c r="ER100" i="24"/>
  <c r="FC100" i="24"/>
  <c r="FE100" i="24" s="1"/>
  <c r="FF100" i="24" s="1"/>
  <c r="ER198" i="24"/>
  <c r="FC198" i="24"/>
  <c r="FE198" i="24" s="1"/>
  <c r="FF198" i="24" s="1"/>
  <c r="ER91" i="24"/>
  <c r="FC91" i="24"/>
  <c r="FE91" i="24" s="1"/>
  <c r="FF91" i="24" s="1"/>
  <c r="ER58" i="24"/>
  <c r="FC58" i="24"/>
  <c r="FE58" i="24" s="1"/>
  <c r="FF58" i="24" s="1"/>
  <c r="ER164" i="24"/>
  <c r="FC164" i="24"/>
  <c r="FE164" i="24" s="1"/>
  <c r="FF164" i="24" s="1"/>
  <c r="ER25" i="24"/>
  <c r="FC25" i="24"/>
  <c r="FE25" i="24" s="1"/>
  <c r="FF25" i="24" s="1"/>
  <c r="ER113" i="24"/>
  <c r="FC113" i="24"/>
  <c r="FE113" i="24" s="1"/>
  <c r="FF113" i="24" s="1"/>
  <c r="FC120" i="24"/>
  <c r="FE120" i="24" s="1"/>
  <c r="FF120" i="24" s="1"/>
  <c r="ER120" i="24"/>
  <c r="FC189" i="24"/>
  <c r="FE189" i="24" s="1"/>
  <c r="FF189" i="24" s="1"/>
  <c r="ER189" i="24"/>
  <c r="ER88" i="24"/>
  <c r="FC88" i="24"/>
  <c r="FE88" i="24" s="1"/>
  <c r="FF88" i="24" s="1"/>
  <c r="ER128" i="24"/>
  <c r="FC128" i="24"/>
  <c r="FE128" i="24" s="1"/>
  <c r="FF128" i="24" s="1"/>
  <c r="ER177" i="24"/>
  <c r="FC177" i="24"/>
  <c r="FE177" i="24" s="1"/>
  <c r="FF177" i="24" s="1"/>
  <c r="ER33" i="24"/>
  <c r="FC33" i="24"/>
  <c r="FE33" i="24" s="1"/>
  <c r="FF33" i="24" s="1"/>
  <c r="ER102" i="24"/>
  <c r="FC102" i="24"/>
  <c r="FE102" i="24" s="1"/>
  <c r="FF102" i="24" s="1"/>
  <c r="ER121" i="24"/>
  <c r="FC121" i="24"/>
  <c r="FE121" i="24" s="1"/>
  <c r="FF121" i="24" s="1"/>
  <c r="ER144" i="24"/>
  <c r="FC144" i="24"/>
  <c r="FE144" i="24" s="1"/>
  <c r="FF144" i="24" s="1"/>
  <c r="ER93" i="24"/>
  <c r="FC93" i="24"/>
  <c r="FE93" i="24" s="1"/>
  <c r="FF93" i="24" s="1"/>
  <c r="ER8" i="24"/>
  <c r="FC8" i="24"/>
  <c r="FE8" i="24" s="1"/>
  <c r="FF8" i="24" s="1"/>
  <c r="ER51" i="24"/>
  <c r="FC51" i="24"/>
  <c r="FE51" i="24" s="1"/>
  <c r="FF51" i="24" s="1"/>
  <c r="ER167" i="24"/>
  <c r="FC167" i="24"/>
  <c r="FE167" i="24" s="1"/>
  <c r="FF167" i="24" s="1"/>
  <c r="ER153" i="24"/>
  <c r="FC153" i="24"/>
  <c r="FE153" i="24" s="1"/>
  <c r="FF153" i="24" s="1"/>
  <c r="ER34" i="24"/>
  <c r="FC34" i="24"/>
  <c r="FE34" i="24" s="1"/>
  <c r="FF34" i="24" s="1"/>
  <c r="ER50" i="24"/>
  <c r="FC50" i="24"/>
  <c r="FE50" i="24" s="1"/>
  <c r="FF50" i="24" s="1"/>
  <c r="ER85" i="24"/>
  <c r="FC85" i="24"/>
  <c r="FE85" i="24" s="1"/>
  <c r="FF85" i="24" s="1"/>
  <c r="ER154" i="24"/>
  <c r="FC154" i="24"/>
  <c r="FE154" i="24" s="1"/>
  <c r="FF154" i="24" s="1"/>
  <c r="ER174" i="24"/>
  <c r="FC174" i="24"/>
  <c r="FE174" i="24" s="1"/>
  <c r="FF174" i="24" s="1"/>
  <c r="ER143" i="24"/>
  <c r="FC143" i="24"/>
  <c r="FE143" i="24" s="1"/>
  <c r="FF143" i="24" s="1"/>
  <c r="ER32" i="24"/>
  <c r="FC32" i="24"/>
  <c r="FE32" i="24" s="1"/>
  <c r="FF32" i="24" s="1"/>
  <c r="ER163" i="24"/>
  <c r="FC163" i="24"/>
  <c r="FE163" i="24" s="1"/>
  <c r="FF163" i="24" s="1"/>
  <c r="FC173" i="24"/>
  <c r="FE173" i="24" s="1"/>
  <c r="FF173" i="24" s="1"/>
  <c r="ER173" i="24"/>
  <c r="ER20" i="24"/>
  <c r="FC20" i="24"/>
  <c r="FE20" i="24" s="1"/>
  <c r="FF20" i="24" s="1"/>
  <c r="ER204" i="24"/>
  <c r="FC204" i="24"/>
  <c r="FE204" i="24" s="1"/>
  <c r="FF204" i="24" s="1"/>
  <c r="ER171" i="24"/>
  <c r="FC171" i="24"/>
  <c r="FE171" i="24" s="1"/>
  <c r="FF171" i="24" s="1"/>
  <c r="ER41" i="24"/>
  <c r="FC41" i="24"/>
  <c r="FE41" i="24" s="1"/>
  <c r="FF41" i="24" s="1"/>
  <c r="ER12" i="24"/>
  <c r="FC12" i="24"/>
  <c r="FE12" i="24" s="1"/>
  <c r="FF12" i="24" s="1"/>
  <c r="ER119" i="24"/>
  <c r="FC119" i="24"/>
  <c r="FE119" i="24" s="1"/>
  <c r="FF119" i="24" s="1"/>
  <c r="ER181" i="24"/>
  <c r="FC181" i="24"/>
  <c r="FE181" i="24" s="1"/>
  <c r="FF181" i="24" s="1"/>
  <c r="ER141" i="24"/>
  <c r="FC141" i="24"/>
  <c r="FE141" i="24" s="1"/>
  <c r="FF141" i="24" s="1"/>
  <c r="ER149" i="24"/>
  <c r="FC149" i="24"/>
  <c r="FE149" i="24" s="1"/>
  <c r="FF149" i="24" s="1"/>
  <c r="ER79" i="24"/>
  <c r="FC79" i="24"/>
  <c r="FE79" i="24" s="1"/>
  <c r="FF79" i="24" s="1"/>
  <c r="ER185" i="24"/>
  <c r="FC185" i="24"/>
  <c r="FE185" i="24" s="1"/>
  <c r="FF185" i="24" s="1"/>
  <c r="FC203" i="24"/>
  <c r="FE203" i="24" s="1"/>
  <c r="FF203" i="24" s="1"/>
  <c r="ER203" i="24"/>
  <c r="ER76" i="24"/>
  <c r="FC76" i="24"/>
  <c r="FE76" i="24" s="1"/>
  <c r="FF76" i="24" s="1"/>
  <c r="ER36" i="24"/>
  <c r="FC36" i="24"/>
  <c r="FE36" i="24" s="1"/>
  <c r="FF36" i="24" s="1"/>
  <c r="ER47" i="24"/>
  <c r="FC47" i="24"/>
  <c r="FE47" i="24" s="1"/>
  <c r="FF47" i="24" s="1"/>
  <c r="ER123" i="24"/>
  <c r="FC123" i="24"/>
  <c r="FE123" i="24" s="1"/>
  <c r="FF123" i="24" s="1"/>
  <c r="ER135" i="24"/>
  <c r="FC135" i="24"/>
  <c r="FE135" i="24" s="1"/>
  <c r="FF135" i="24" s="1"/>
  <c r="ER208" i="24"/>
  <c r="FC208" i="24"/>
  <c r="FE208" i="24" s="1"/>
  <c r="FF208" i="24" s="1"/>
  <c r="ER53" i="24"/>
  <c r="FC53" i="24"/>
  <c r="FE53" i="24" s="1"/>
  <c r="FF53" i="24" s="1"/>
  <c r="ER54" i="24"/>
  <c r="FC54" i="24"/>
  <c r="FE54" i="24" s="1"/>
  <c r="FF54" i="24" s="1"/>
  <c r="ER86" i="24"/>
  <c r="FC86" i="24"/>
  <c r="FE86" i="24" s="1"/>
  <c r="FF86" i="24" s="1"/>
  <c r="ER188" i="24"/>
  <c r="FC188" i="24"/>
  <c r="FE188" i="24" s="1"/>
  <c r="FF188" i="24" s="1"/>
  <c r="B199" i="2"/>
  <c r="C50" i="16" s="1"/>
  <c r="FJ118" i="24" l="1"/>
  <c r="FJ224" i="24"/>
  <c r="FJ274" i="24"/>
  <c r="FJ137" i="24"/>
  <c r="FJ156" i="24"/>
  <c r="FJ262" i="24"/>
  <c r="FJ269" i="24"/>
  <c r="FJ165" i="24"/>
  <c r="FJ271" i="24"/>
  <c r="FJ161" i="24"/>
  <c r="FJ151" i="24"/>
  <c r="FJ182" i="24"/>
  <c r="FJ288" i="24"/>
  <c r="FJ193" i="24"/>
  <c r="FJ202" i="24"/>
  <c r="FJ191" i="24"/>
  <c r="FJ200" i="24"/>
  <c r="FJ241" i="24"/>
  <c r="FJ139" i="24"/>
  <c r="FJ209" i="24"/>
  <c r="FJ135" i="24"/>
  <c r="FJ284" i="24"/>
  <c r="FJ178" i="24"/>
  <c r="FJ185" i="24"/>
  <c r="FJ268" i="24"/>
  <c r="FJ166" i="24"/>
  <c r="FJ162" i="24"/>
  <c r="FJ157" i="24"/>
  <c r="FJ285" i="24"/>
  <c r="CZ212" i="24"/>
  <c r="CS212" i="24"/>
  <c r="FD212" i="24" s="1"/>
  <c r="CN212" i="24"/>
  <c r="DA212" i="24" s="1"/>
  <c r="DT212" i="24"/>
  <c r="BO212" i="24"/>
  <c r="BR212" i="24" s="1"/>
  <c r="H212" i="24"/>
  <c r="AM212" i="24"/>
  <c r="FJ119" i="24"/>
  <c r="FJ203" i="24"/>
  <c r="FJ279" i="24"/>
  <c r="FJ173" i="24"/>
  <c r="FJ125" i="24"/>
  <c r="AT110" i="24"/>
  <c r="BA110" i="24" s="1"/>
  <c r="FJ179" i="24"/>
  <c r="FJ168" i="24"/>
  <c r="FJ181" i="24"/>
  <c r="FJ177" i="24"/>
  <c r="FJ167" i="24"/>
  <c r="FJ198" i="24"/>
  <c r="FJ210" i="24"/>
  <c r="B114" i="2"/>
  <c r="B118" i="2" s="1"/>
  <c r="E16" i="1" s="1"/>
  <c r="FJ207" i="24"/>
  <c r="FJ183" i="24"/>
  <c r="FJ206" i="24"/>
  <c r="FJ195" i="24"/>
  <c r="FJ208" i="24"/>
  <c r="AE216" i="24"/>
  <c r="AI216" i="24"/>
  <c r="X216" i="24"/>
  <c r="AA216" i="24" s="1"/>
  <c r="AB216" i="24" s="1"/>
  <c r="AC216" i="24" s="1"/>
  <c r="V216" i="24"/>
  <c r="W216" i="24"/>
  <c r="Q216" i="24"/>
  <c r="P216" i="24"/>
  <c r="AP216" i="24"/>
  <c r="FJ205" i="24"/>
  <c r="FJ204" i="24"/>
  <c r="AN110" i="24"/>
  <c r="AK110" i="24"/>
  <c r="FF180" i="24"/>
  <c r="FJ180" i="24"/>
  <c r="B265" i="2"/>
  <c r="D50" i="16" s="1"/>
  <c r="E46" i="1"/>
  <c r="A265" i="2"/>
  <c r="BH110" i="24" l="1"/>
  <c r="BI110" i="24"/>
  <c r="Y216" i="24"/>
  <c r="DC212" i="24"/>
  <c r="E57" i="1" s="1"/>
  <c r="DI212" i="24"/>
  <c r="DB212" i="24"/>
  <c r="DE212" i="24" s="1"/>
  <c r="DF212" i="24" s="1"/>
  <c r="DG212" i="24" s="1"/>
  <c r="DM212" i="24"/>
  <c r="AJ216" i="24"/>
  <c r="AF216" i="24"/>
  <c r="AG216" i="24"/>
  <c r="FI312" i="24"/>
  <c r="FI302" i="24"/>
  <c r="FI285" i="24"/>
  <c r="FI301" i="24"/>
  <c r="FI234" i="24"/>
  <c r="FI267" i="24"/>
  <c r="FI230" i="24"/>
  <c r="FI293" i="24"/>
  <c r="FI281" i="24"/>
  <c r="FI276" i="24"/>
  <c r="FI294" i="24"/>
  <c r="FI266" i="24"/>
  <c r="FI227" i="24"/>
  <c r="FI287" i="24"/>
  <c r="FI237" i="24"/>
  <c r="FI289" i="24"/>
  <c r="FI246" i="24"/>
  <c r="FI251" i="24"/>
  <c r="FI217" i="24"/>
  <c r="FI243" i="24"/>
  <c r="FI232" i="24"/>
  <c r="FI256" i="24"/>
  <c r="FI316" i="24"/>
  <c r="FI261" i="24"/>
  <c r="FI296" i="24"/>
  <c r="FI240" i="24"/>
  <c r="FI288" i="24"/>
  <c r="FI307" i="24"/>
  <c r="FI314" i="24"/>
  <c r="FI263" i="24"/>
  <c r="FI298" i="24"/>
  <c r="FI218" i="24"/>
  <c r="FI220" i="24"/>
  <c r="FI216" i="24"/>
  <c r="FI221" i="24"/>
  <c r="FI235" i="24"/>
  <c r="FI225" i="24"/>
  <c r="FI297" i="24"/>
  <c r="FI229" i="24"/>
  <c r="FI231" i="24"/>
  <c r="FI249" i="24"/>
  <c r="FI269" i="24"/>
  <c r="FI291" i="24"/>
  <c r="FI248" i="24"/>
  <c r="FI250" i="24"/>
  <c r="FI241" i="24"/>
  <c r="FI223" i="24"/>
  <c r="FI260" i="24"/>
  <c r="FI268" i="24"/>
  <c r="FI278" i="24"/>
  <c r="FI265" i="24"/>
  <c r="FI228" i="24"/>
  <c r="FI279" i="24"/>
  <c r="FI247" i="24"/>
  <c r="CE216" i="24"/>
  <c r="FI310" i="24"/>
  <c r="FI238" i="24"/>
  <c r="FI264" i="24"/>
  <c r="FI239" i="24"/>
  <c r="FI308" i="24"/>
  <c r="FI299" i="24"/>
  <c r="FI219" i="24"/>
  <c r="FI259" i="24"/>
  <c r="FI286" i="24"/>
  <c r="FI262" i="24"/>
  <c r="FI222" i="24"/>
  <c r="FI304" i="24"/>
  <c r="FI236" i="24"/>
  <c r="FI258" i="24"/>
  <c r="FI252" i="24"/>
  <c r="FI242" i="24"/>
  <c r="FI255" i="24"/>
  <c r="FI309" i="24"/>
  <c r="FI272" i="24"/>
  <c r="FI277" i="24"/>
  <c r="FI282" i="24"/>
  <c r="FI283" i="24"/>
  <c r="FI271" i="24"/>
  <c r="FI226" i="24"/>
  <c r="FI245" i="24"/>
  <c r="FI311" i="24"/>
  <c r="FI224" i="24"/>
  <c r="FI244" i="24"/>
  <c r="FI295" i="24"/>
  <c r="FI292" i="24"/>
  <c r="FI313" i="24"/>
  <c r="FI274" i="24"/>
  <c r="FI233" i="24"/>
  <c r="FI253" i="24"/>
  <c r="FI280" i="24"/>
  <c r="FI303" i="24"/>
  <c r="FI270" i="24"/>
  <c r="FI300" i="24"/>
  <c r="FI284" i="24"/>
  <c r="FI254" i="24"/>
  <c r="FI290" i="24"/>
  <c r="FI315" i="24"/>
  <c r="FI257" i="24"/>
  <c r="FI275" i="24"/>
  <c r="FI306" i="24"/>
  <c r="FI305" i="24"/>
  <c r="FI273" i="24"/>
  <c r="BL110" i="24"/>
  <c r="AS110" i="24"/>
  <c r="BJ110" i="24"/>
  <c r="AQ110" i="24"/>
  <c r="BU110" i="24"/>
  <c r="AX110" i="24"/>
  <c r="BW110" i="24"/>
  <c r="DN212" i="24" l="1"/>
  <c r="DX212" i="24" s="1"/>
  <c r="DK212" i="24"/>
  <c r="DJ212" i="24"/>
  <c r="AT216" i="24"/>
  <c r="BA216" i="24" s="1"/>
  <c r="AN216" i="24"/>
  <c r="AK216" i="24"/>
  <c r="AU110" i="24"/>
  <c r="BB110" i="24" s="1"/>
  <c r="AW110" i="24"/>
  <c r="BW216" i="24" l="1"/>
  <c r="BI216" i="24"/>
  <c r="BL216" i="24" s="1"/>
  <c r="DO212" i="24"/>
  <c r="DR212" i="24"/>
  <c r="EE212" i="24"/>
  <c r="BH216" i="24"/>
  <c r="BU216" i="24"/>
  <c r="BJ216" i="24"/>
  <c r="AX216" i="24"/>
  <c r="AS216" i="24"/>
  <c r="AQ216" i="24"/>
  <c r="AY110" i="24"/>
  <c r="AZ110" i="24" s="1"/>
  <c r="BD110" i="24"/>
  <c r="BE110" i="24"/>
  <c r="BT110" i="24" s="1"/>
  <c r="DW212" i="24" l="1"/>
  <c r="EM212" i="24"/>
  <c r="EP212" i="24" s="1"/>
  <c r="EN212" i="24"/>
  <c r="FI212" i="24"/>
  <c r="DU212" i="24"/>
  <c r="EB212" i="24"/>
  <c r="EL212" i="24"/>
  <c r="EY212" i="24"/>
  <c r="FA212" i="24"/>
  <c r="AU216" i="24"/>
  <c r="BB216" i="24" s="1"/>
  <c r="AW216" i="24"/>
  <c r="BS110" i="24"/>
  <c r="BX110" i="24" s="1"/>
  <c r="BG110" i="24"/>
  <c r="DY212" i="24" l="1"/>
  <c r="EF212" i="24" s="1"/>
  <c r="EA212" i="24"/>
  <c r="L4" i="29"/>
  <c r="W3" i="29" s="1"/>
  <c r="BM110" i="24"/>
  <c r="BN110" i="24" s="1"/>
  <c r="BE216" i="24"/>
  <c r="BT216" i="24" s="1"/>
  <c r="BD216" i="24"/>
  <c r="AY216" i="24"/>
  <c r="AZ216" i="24" s="1"/>
  <c r="BY110" i="24"/>
  <c r="CA110" i="24" s="1"/>
  <c r="CB110" i="24" s="1"/>
  <c r="EH212" i="24" l="1"/>
  <c r="EC212" i="24"/>
  <c r="ED212" i="24" s="1"/>
  <c r="EI212" i="24"/>
  <c r="EX212" i="24" s="1"/>
  <c r="FL212" i="24"/>
  <c r="CG212" i="24"/>
  <c r="I212" i="24" s="1"/>
  <c r="B41" i="29"/>
  <c r="D41" i="29" s="1"/>
  <c r="BG216" i="24"/>
  <c r="BM216" i="24" s="1"/>
  <c r="BS216" i="24"/>
  <c r="BX216" i="24" s="1"/>
  <c r="I388" i="29"/>
  <c r="J507" i="29"/>
  <c r="I318" i="29"/>
  <c r="J157" i="29"/>
  <c r="J196" i="29"/>
  <c r="I481" i="29"/>
  <c r="I511" i="29"/>
  <c r="I152" i="29"/>
  <c r="I345" i="29"/>
  <c r="I495" i="29"/>
  <c r="I129" i="29"/>
  <c r="I435" i="29"/>
  <c r="I469" i="29"/>
  <c r="I133" i="29"/>
  <c r="J550" i="29"/>
  <c r="I611" i="29"/>
  <c r="J306" i="29"/>
  <c r="J464" i="29"/>
  <c r="J482" i="29"/>
  <c r="I560" i="29"/>
  <c r="J541" i="29"/>
  <c r="I217" i="29"/>
  <c r="J25" i="29"/>
  <c r="J564" i="29"/>
  <c r="J123" i="29"/>
  <c r="I238" i="29"/>
  <c r="I321" i="29"/>
  <c r="I550" i="29"/>
  <c r="I104" i="29"/>
  <c r="J524" i="29"/>
  <c r="I527" i="29"/>
  <c r="I513" i="29"/>
  <c r="I276" i="29"/>
  <c r="J86" i="29"/>
  <c r="I632" i="29"/>
  <c r="J609" i="29"/>
  <c r="I360" i="29"/>
  <c r="I69" i="29"/>
  <c r="J437" i="29"/>
  <c r="I361" i="29"/>
  <c r="I164" i="29"/>
  <c r="J254" i="29"/>
  <c r="I300" i="29"/>
  <c r="I194" i="29"/>
  <c r="I42" i="29"/>
  <c r="J601" i="29"/>
  <c r="I428" i="29"/>
  <c r="J506" i="29"/>
  <c r="J38" i="29"/>
  <c r="J375" i="29"/>
  <c r="J430" i="29"/>
  <c r="I517" i="29"/>
  <c r="J250" i="29"/>
  <c r="I38" i="29"/>
  <c r="J372" i="29"/>
  <c r="J516" i="29"/>
  <c r="J314" i="29"/>
  <c r="I431" i="29"/>
  <c r="J521" i="29"/>
  <c r="I608" i="29"/>
  <c r="I461" i="29"/>
  <c r="I105" i="29"/>
  <c r="I475" i="29"/>
  <c r="J101" i="29"/>
  <c r="J361" i="29"/>
  <c r="J73" i="29"/>
  <c r="I233" i="29"/>
  <c r="I602" i="29"/>
  <c r="I604" i="29"/>
  <c r="J279" i="29"/>
  <c r="I525" i="29"/>
  <c r="I569" i="29"/>
  <c r="I319" i="29"/>
  <c r="I75" i="29"/>
  <c r="J119" i="29"/>
  <c r="J152" i="29"/>
  <c r="J590" i="29"/>
  <c r="I64" i="29"/>
  <c r="J585" i="29"/>
  <c r="J455" i="29"/>
  <c r="I440" i="29"/>
  <c r="J83" i="29"/>
  <c r="I239" i="29"/>
  <c r="J339" i="29"/>
  <c r="J300" i="29"/>
  <c r="I599" i="29"/>
  <c r="I379" i="29"/>
  <c r="I579" i="29"/>
  <c r="I524" i="29"/>
  <c r="I561" i="29"/>
  <c r="I267" i="29"/>
  <c r="I582" i="29"/>
  <c r="I314" i="29"/>
  <c r="J287" i="29"/>
  <c r="J393" i="29"/>
  <c r="J131" i="29"/>
  <c r="I220" i="29"/>
  <c r="I107" i="29"/>
  <c r="I137" i="29"/>
  <c r="J124" i="29"/>
  <c r="J535" i="29"/>
  <c r="I474" i="29"/>
  <c r="J344" i="29"/>
  <c r="I106" i="29"/>
  <c r="I412" i="29"/>
  <c r="J510" i="29"/>
  <c r="J331" i="29"/>
  <c r="J45" i="29"/>
  <c r="I203" i="29"/>
  <c r="J198" i="29"/>
  <c r="J569" i="29"/>
  <c r="I92" i="29"/>
  <c r="J177" i="29"/>
  <c r="J527" i="29"/>
  <c r="I576" i="29"/>
  <c r="J309" i="29"/>
  <c r="I515" i="29"/>
  <c r="I349" i="29"/>
  <c r="J357" i="29"/>
  <c r="J68" i="29"/>
  <c r="J226" i="29"/>
  <c r="I274" i="29"/>
  <c r="I154" i="29"/>
  <c r="J409" i="29"/>
  <c r="I355" i="29"/>
  <c r="J589" i="29"/>
  <c r="I393" i="29"/>
  <c r="J42" i="29"/>
  <c r="J360" i="29"/>
  <c r="I391" i="29"/>
  <c r="J401" i="29"/>
  <c r="I554" i="29"/>
  <c r="I464" i="29"/>
  <c r="J350" i="29"/>
  <c r="J284" i="29"/>
  <c r="I55" i="29"/>
  <c r="J330" i="29"/>
  <c r="I390" i="29"/>
  <c r="J548" i="29"/>
  <c r="I398" i="29"/>
  <c r="I135" i="29"/>
  <c r="J70" i="29"/>
  <c r="I472" i="29"/>
  <c r="I505" i="29"/>
  <c r="J171" i="29"/>
  <c r="J325" i="29"/>
  <c r="I504" i="29"/>
  <c r="I357" i="29"/>
  <c r="I130" i="29"/>
  <c r="I273" i="29"/>
  <c r="J607" i="29"/>
  <c r="I593" i="29"/>
  <c r="I97" i="29"/>
  <c r="J194" i="29"/>
  <c r="J195" i="29"/>
  <c r="J90" i="29"/>
  <c r="I91" i="29"/>
  <c r="I483" i="29"/>
  <c r="J588" i="29"/>
  <c r="J435" i="29"/>
  <c r="J130" i="29"/>
  <c r="I271" i="29"/>
  <c r="J258" i="29"/>
  <c r="I375" i="29"/>
  <c r="I538" i="29"/>
  <c r="I364" i="29"/>
  <c r="J263" i="29"/>
  <c r="I383" i="29"/>
  <c r="I502" i="29"/>
  <c r="J320" i="29"/>
  <c r="J425" i="29"/>
  <c r="I493" i="29"/>
  <c r="I555" i="29"/>
  <c r="I497" i="29"/>
  <c r="J52" i="29"/>
  <c r="J277" i="29"/>
  <c r="J442" i="29"/>
  <c r="J504" i="29"/>
  <c r="I329" i="29"/>
  <c r="I77" i="29"/>
  <c r="J602" i="29"/>
  <c r="I313" i="29"/>
  <c r="I114" i="29"/>
  <c r="I304" i="29"/>
  <c r="J253" i="29"/>
  <c r="J576" i="29"/>
  <c r="J346" i="29"/>
  <c r="J519" i="29"/>
  <c r="J203" i="29"/>
  <c r="I119" i="29"/>
  <c r="J210" i="29"/>
  <c r="I242" i="29"/>
  <c r="I596" i="29"/>
  <c r="J359" i="29"/>
  <c r="I162" i="29"/>
  <c r="I261" i="29"/>
  <c r="I459" i="29"/>
  <c r="I585" i="29"/>
  <c r="I406" i="29"/>
  <c r="J493" i="29"/>
  <c r="I577" i="29"/>
  <c r="J65" i="29"/>
  <c r="J160" i="29"/>
  <c r="J72" i="29"/>
  <c r="I277" i="29"/>
  <c r="J252" i="29"/>
  <c r="I334" i="29"/>
  <c r="I373" i="29"/>
  <c r="I374" i="29"/>
  <c r="I592" i="29"/>
  <c r="J322" i="29"/>
  <c r="J575" i="29"/>
  <c r="J231" i="29"/>
  <c r="J221" i="29"/>
  <c r="I150" i="29"/>
  <c r="I327" i="29"/>
  <c r="I446" i="29"/>
  <c r="J61" i="29"/>
  <c r="I117" i="29"/>
  <c r="J102" i="29"/>
  <c r="I370" i="29"/>
  <c r="I422" i="29"/>
  <c r="I199" i="29"/>
  <c r="I284" i="29"/>
  <c r="J354" i="29"/>
  <c r="I49" i="29"/>
  <c r="I102" i="29"/>
  <c r="J161" i="29"/>
  <c r="J562" i="29"/>
  <c r="J563" i="29"/>
  <c r="J79" i="29"/>
  <c r="J381" i="29"/>
  <c r="J474" i="29"/>
  <c r="I248" i="29"/>
  <c r="I32" i="29"/>
  <c r="J338" i="29"/>
  <c r="J530" i="29"/>
  <c r="I74" i="29"/>
  <c r="J53" i="29"/>
  <c r="I542" i="29"/>
  <c r="J584" i="29"/>
  <c r="I303" i="29"/>
  <c r="I587" i="29"/>
  <c r="J297" i="29"/>
  <c r="I240" i="29"/>
  <c r="J176" i="29"/>
  <c r="J158" i="29"/>
  <c r="J247" i="29"/>
  <c r="J289" i="29"/>
  <c r="I414" i="29"/>
  <c r="J587" i="29"/>
  <c r="J491" i="29"/>
  <c r="J579" i="29"/>
  <c r="I403" i="29"/>
  <c r="J366" i="29"/>
  <c r="J486" i="29"/>
  <c r="I170" i="29"/>
  <c r="I432" i="29"/>
  <c r="I603" i="29"/>
  <c r="I58" i="29"/>
  <c r="J168" i="29"/>
  <c r="I479" i="29"/>
  <c r="I454" i="29"/>
  <c r="I567" i="29"/>
  <c r="J423" i="29"/>
  <c r="I378" i="29"/>
  <c r="J389" i="29"/>
  <c r="I24" i="29"/>
  <c r="J369" i="29"/>
  <c r="I168" i="29"/>
  <c r="I213" i="29"/>
  <c r="I558" i="29"/>
  <c r="I251" i="29"/>
  <c r="J432" i="29"/>
  <c r="J311" i="29"/>
  <c r="I487" i="29"/>
  <c r="I138" i="29"/>
  <c r="J345" i="29"/>
  <c r="J262" i="29"/>
  <c r="J106" i="29"/>
  <c r="I266" i="29"/>
  <c r="I306" i="29"/>
  <c r="I54" i="29"/>
  <c r="E54" i="1"/>
  <c r="I336" i="29"/>
  <c r="I18" i="29"/>
  <c r="I275" i="29"/>
  <c r="J379" i="29"/>
  <c r="J449" i="29"/>
  <c r="J32" i="29"/>
  <c r="J417" i="29"/>
  <c r="I37" i="29"/>
  <c r="I282" i="29"/>
  <c r="J334" i="29"/>
  <c r="J60" i="29"/>
  <c r="J374" i="29"/>
  <c r="J436" i="29"/>
  <c r="I320" i="29"/>
  <c r="I407" i="29"/>
  <c r="J385" i="29"/>
  <c r="I441" i="29"/>
  <c r="I589" i="29"/>
  <c r="I547" i="29"/>
  <c r="I389" i="29"/>
  <c r="I293" i="29"/>
  <c r="I404" i="29"/>
  <c r="I365" i="29"/>
  <c r="J467" i="29"/>
  <c r="I581" i="29"/>
  <c r="I292" i="29"/>
  <c r="J164" i="29"/>
  <c r="I160" i="29"/>
  <c r="I521" i="29"/>
  <c r="I79" i="29"/>
  <c r="I399" i="29"/>
  <c r="J336" i="29"/>
  <c r="I546" i="29"/>
  <c r="J243" i="29"/>
  <c r="I229" i="29"/>
  <c r="I280" i="29"/>
  <c r="J348" i="29"/>
  <c r="J597" i="29"/>
  <c r="J139" i="29"/>
  <c r="J492" i="29"/>
  <c r="I132" i="29"/>
  <c r="I559" i="29"/>
  <c r="I433" i="29"/>
  <c r="J233" i="29"/>
  <c r="J407" i="29"/>
  <c r="J571" i="29"/>
  <c r="J501" i="29"/>
  <c r="J44" i="29"/>
  <c r="I312" i="29"/>
  <c r="J460" i="29"/>
  <c r="I331" i="29"/>
  <c r="J111" i="29"/>
  <c r="J328" i="29"/>
  <c r="J377" i="29"/>
  <c r="J135" i="29"/>
  <c r="I333" i="29"/>
  <c r="I457" i="29"/>
  <c r="I514" i="29"/>
  <c r="I605" i="29"/>
  <c r="J595" i="29"/>
  <c r="J145" i="29"/>
  <c r="J421" i="29"/>
  <c r="J605" i="29"/>
  <c r="J303" i="29"/>
  <c r="I439" i="29"/>
  <c r="I573" i="29"/>
  <c r="I144" i="29"/>
  <c r="I197" i="29"/>
  <c r="I241" i="29"/>
  <c r="I510" i="29"/>
  <c r="J556" i="29"/>
  <c r="I536" i="29"/>
  <c r="I445" i="29"/>
  <c r="I609" i="29"/>
  <c r="I353" i="29"/>
  <c r="I245" i="29"/>
  <c r="I122" i="29"/>
  <c r="I359" i="29"/>
  <c r="I316" i="29"/>
  <c r="I13" i="29"/>
  <c r="J275" i="29"/>
  <c r="I78" i="29"/>
  <c r="I473" i="29"/>
  <c r="I20" i="29"/>
  <c r="J20" i="29"/>
  <c r="I448" i="29"/>
  <c r="J539" i="29"/>
  <c r="I366" i="29"/>
  <c r="J450" i="29"/>
  <c r="I444" i="29"/>
  <c r="I15" i="29"/>
  <c r="J384" i="29"/>
  <c r="I568" i="29"/>
  <c r="J537" i="29"/>
  <c r="I143" i="29"/>
  <c r="I410" i="29"/>
  <c r="I408" i="29"/>
  <c r="J30" i="29"/>
  <c r="J367" i="29"/>
  <c r="J351" i="29"/>
  <c r="J302" i="29"/>
  <c r="J472" i="29"/>
  <c r="I337" i="29"/>
  <c r="J480" i="29"/>
  <c r="I392" i="29"/>
  <c r="J91" i="29"/>
  <c r="J136" i="29"/>
  <c r="J445" i="29"/>
  <c r="J465" i="29"/>
  <c r="J536" i="29"/>
  <c r="I315" i="29"/>
  <c r="I405" i="29"/>
  <c r="I61" i="29"/>
  <c r="J117" i="29"/>
  <c r="I201" i="29"/>
  <c r="I612" i="29"/>
  <c r="G622" i="29"/>
  <c r="J318" i="29"/>
  <c r="I421" i="29"/>
  <c r="I484" i="29"/>
  <c r="J390" i="29"/>
  <c r="J433" i="29"/>
  <c r="I232" i="29"/>
  <c r="J559" i="29"/>
  <c r="I580" i="29"/>
  <c r="I299" i="29"/>
  <c r="J608" i="29"/>
  <c r="I317" i="29"/>
  <c r="J326" i="29"/>
  <c r="I413" i="29"/>
  <c r="I286" i="29"/>
  <c r="I174" i="29"/>
  <c r="J185" i="29"/>
  <c r="I171" i="29"/>
  <c r="J553" i="29"/>
  <c r="J380" i="29"/>
  <c r="J466" i="29"/>
  <c r="I185" i="29"/>
  <c r="I372" i="29"/>
  <c r="J84" i="29"/>
  <c r="I437" i="29"/>
  <c r="J606" i="29"/>
  <c r="I184" i="29"/>
  <c r="I350" i="29"/>
  <c r="J458" i="29"/>
  <c r="J19" i="29"/>
  <c r="J85" i="29"/>
  <c r="J228" i="29"/>
  <c r="J522" i="29"/>
  <c r="J503" i="29"/>
  <c r="J175" i="29"/>
  <c r="I397" i="29"/>
  <c r="J500" i="29"/>
  <c r="J146" i="29"/>
  <c r="J35" i="29"/>
  <c r="I134" i="29"/>
  <c r="I578" i="29"/>
  <c r="I551" i="29"/>
  <c r="I116" i="29"/>
  <c r="J517" i="29"/>
  <c r="J496" i="29"/>
  <c r="I65" i="29"/>
  <c r="I209" i="29"/>
  <c r="I145" i="29"/>
  <c r="J129" i="29"/>
  <c r="J16" i="29"/>
  <c r="I33" i="29"/>
  <c r="J128" i="29"/>
  <c r="J446" i="29"/>
  <c r="I436" i="29"/>
  <c r="J534" i="29"/>
  <c r="I305" i="29"/>
  <c r="I482" i="29"/>
  <c r="I76" i="29"/>
  <c r="J133" i="29"/>
  <c r="J321" i="29"/>
  <c r="I395" i="29"/>
  <c r="I236" i="29"/>
  <c r="J402" i="29"/>
  <c r="J77" i="29"/>
  <c r="J163" i="29"/>
  <c r="J426" i="29"/>
  <c r="I471" i="29"/>
  <c r="I67" i="29"/>
  <c r="I386" i="29"/>
  <c r="I425" i="29"/>
  <c r="I476" i="29"/>
  <c r="I25" i="29"/>
  <c r="J80" i="29"/>
  <c r="I491" i="29"/>
  <c r="J438" i="29"/>
  <c r="I56" i="29"/>
  <c r="J89" i="29"/>
  <c r="I499" i="29"/>
  <c r="I565" i="29"/>
  <c r="I109" i="29"/>
  <c r="I453" i="29"/>
  <c r="J444" i="29"/>
  <c r="I532" i="29"/>
  <c r="J54" i="29"/>
  <c r="J304" i="29"/>
  <c r="J580" i="29"/>
  <c r="I540" i="29"/>
  <c r="I206" i="29"/>
  <c r="J469" i="29"/>
  <c r="I583" i="29"/>
  <c r="J358" i="29"/>
  <c r="I158" i="29"/>
  <c r="J192" i="29"/>
  <c r="I252" i="29"/>
  <c r="I151" i="29"/>
  <c r="I595" i="29"/>
  <c r="I443" i="29"/>
  <c r="I562" i="29"/>
  <c r="J422" i="29"/>
  <c r="J179" i="29"/>
  <c r="J285" i="29"/>
  <c r="I344" i="29"/>
  <c r="I411" i="29"/>
  <c r="J40" i="29"/>
  <c r="I376" i="29"/>
  <c r="I255" i="29"/>
  <c r="J199" i="29"/>
  <c r="I215" i="29"/>
  <c r="I307" i="29"/>
  <c r="J411" i="29"/>
  <c r="I523" i="29"/>
  <c r="I72" i="29"/>
  <c r="I85" i="29"/>
  <c r="I387" i="29"/>
  <c r="J412" i="29"/>
  <c r="J137" i="29"/>
  <c r="J74" i="29"/>
  <c r="I533" i="29"/>
  <c r="J484" i="29"/>
  <c r="J546" i="29"/>
  <c r="J36" i="29"/>
  <c r="I465" i="29"/>
  <c r="J497" i="29"/>
  <c r="J544" i="29"/>
  <c r="J298" i="29"/>
  <c r="I156" i="29"/>
  <c r="I51" i="29"/>
  <c r="I552" i="29"/>
  <c r="J249" i="29"/>
  <c r="I458" i="29"/>
  <c r="I548" i="29"/>
  <c r="J386" i="29"/>
  <c r="I358" i="29"/>
  <c r="J272" i="29"/>
  <c r="I294" i="29"/>
  <c r="J28" i="29"/>
  <c r="I382" i="29"/>
  <c r="J591" i="29"/>
  <c r="I189" i="29"/>
  <c r="I48" i="29"/>
  <c r="J582" i="29"/>
  <c r="I343" i="29"/>
  <c r="J327" i="29"/>
  <c r="I534" i="29"/>
  <c r="J578" i="29"/>
  <c r="J343" i="29"/>
  <c r="J125" i="29"/>
  <c r="I169" i="29"/>
  <c r="J27" i="29"/>
  <c r="I342" i="29"/>
  <c r="I485" i="29"/>
  <c r="J463" i="29"/>
  <c r="J462" i="29"/>
  <c r="I478" i="29"/>
  <c r="I178" i="29"/>
  <c r="I400" i="29"/>
  <c r="J349" i="29"/>
  <c r="I427" i="29"/>
  <c r="J232" i="29"/>
  <c r="J542" i="29"/>
  <c r="J481" i="29"/>
  <c r="J489" i="29"/>
  <c r="I351" i="29"/>
  <c r="J64" i="29"/>
  <c r="J363" i="29"/>
  <c r="I52" i="29"/>
  <c r="I244" i="29"/>
  <c r="I442" i="29"/>
  <c r="J394" i="29"/>
  <c r="I460" i="29"/>
  <c r="J568" i="29"/>
  <c r="I600" i="29"/>
  <c r="J230" i="29"/>
  <c r="J305" i="29"/>
  <c r="J404" i="29"/>
  <c r="I352" i="29"/>
  <c r="J281" i="29"/>
  <c r="I62" i="29"/>
  <c r="J554" i="29"/>
  <c r="I623" i="29"/>
  <c r="J397" i="29"/>
  <c r="J520" i="29"/>
  <c r="J362" i="29"/>
  <c r="I19" i="29"/>
  <c r="J41" i="29"/>
  <c r="I191" i="29"/>
  <c r="I208" i="29"/>
  <c r="I449" i="29"/>
  <c r="I46" i="29"/>
  <c r="I234" i="29"/>
  <c r="I123" i="29"/>
  <c r="J167" i="29"/>
  <c r="J103" i="29"/>
  <c r="J212" i="29"/>
  <c r="I173" i="29"/>
  <c r="J26" i="29"/>
  <c r="J188" i="29"/>
  <c r="I332" i="29"/>
  <c r="J270" i="29"/>
  <c r="I57" i="29"/>
  <c r="J213" i="29"/>
  <c r="I17" i="29"/>
  <c r="J209" i="29"/>
  <c r="I41" i="29"/>
  <c r="J291" i="29"/>
  <c r="I371" i="29"/>
  <c r="I503" i="29"/>
  <c r="I509" i="29"/>
  <c r="J315" i="29"/>
  <c r="I363" i="29"/>
  <c r="J88" i="29"/>
  <c r="J126" i="29"/>
  <c r="I80" i="29"/>
  <c r="I356" i="29"/>
  <c r="J97" i="29"/>
  <c r="J109" i="29"/>
  <c r="I526" i="29"/>
  <c r="I501" i="29"/>
  <c r="J256" i="29"/>
  <c r="I205" i="29"/>
  <c r="I47" i="29"/>
  <c r="J528" i="29"/>
  <c r="J335" i="29"/>
  <c r="J47" i="29"/>
  <c r="J29" i="29"/>
  <c r="J242" i="29"/>
  <c r="I246" i="29"/>
  <c r="J549" i="29"/>
  <c r="I225" i="29"/>
  <c r="J278" i="29"/>
  <c r="I35" i="29"/>
  <c r="J169" i="29"/>
  <c r="J205" i="29"/>
  <c r="J222" i="29"/>
  <c r="I588" i="29"/>
  <c r="J365" i="29"/>
  <c r="J182" i="29"/>
  <c r="I396" i="29"/>
  <c r="J392" i="29"/>
  <c r="I530" i="29"/>
  <c r="I228" i="29"/>
  <c r="J416" i="29"/>
  <c r="J329" i="29"/>
  <c r="J547" i="29"/>
  <c r="I279" i="29"/>
  <c r="J116" i="29"/>
  <c r="I179" i="29"/>
  <c r="J95" i="29"/>
  <c r="J98" i="29"/>
  <c r="J93" i="29"/>
  <c r="I237" i="29"/>
  <c r="J67" i="29"/>
  <c r="J217" i="29"/>
  <c r="J76" i="29"/>
  <c r="I60" i="29"/>
  <c r="I16" i="29"/>
  <c r="J457" i="29"/>
  <c r="J418" i="29"/>
  <c r="I30" i="29"/>
  <c r="I153" i="29"/>
  <c r="I149" i="29"/>
  <c r="I101" i="29"/>
  <c r="I572" i="29"/>
  <c r="I470" i="29"/>
  <c r="I26" i="29"/>
  <c r="J154" i="29"/>
  <c r="J356" i="29"/>
  <c r="J81" i="29"/>
  <c r="I338" i="29"/>
  <c r="I256" i="29"/>
  <c r="J251" i="29"/>
  <c r="J475" i="29"/>
  <c r="I218" i="29"/>
  <c r="J479" i="29"/>
  <c r="J403" i="29"/>
  <c r="I126" i="29"/>
  <c r="J276" i="29"/>
  <c r="J264" i="29"/>
  <c r="I381" i="29"/>
  <c r="I268" i="29"/>
  <c r="I254" i="29"/>
  <c r="I348" i="29"/>
  <c r="I624" i="29"/>
  <c r="I166" i="29"/>
  <c r="J112" i="29"/>
  <c r="J245" i="29"/>
  <c r="J560" i="29"/>
  <c r="J323" i="29"/>
  <c r="I247" i="29"/>
  <c r="I98" i="29"/>
  <c r="I270" i="29"/>
  <c r="J593" i="29"/>
  <c r="I295" i="29"/>
  <c r="J147" i="29"/>
  <c r="I207" i="29"/>
  <c r="J428" i="29"/>
  <c r="J420" i="29"/>
  <c r="I597" i="29"/>
  <c r="I146" i="29"/>
  <c r="I447" i="29"/>
  <c r="I88" i="29"/>
  <c r="J200" i="29"/>
  <c r="J260" i="29"/>
  <c r="I31" i="29"/>
  <c r="J573" i="29"/>
  <c r="J50" i="29"/>
  <c r="J513" i="29"/>
  <c r="I161" i="29"/>
  <c r="J237" i="29"/>
  <c r="J355" i="29"/>
  <c r="J483" i="29"/>
  <c r="J148" i="29"/>
  <c r="I219" i="29"/>
  <c r="I257" i="29"/>
  <c r="J92" i="29"/>
  <c r="I553" i="29"/>
  <c r="J166" i="29"/>
  <c r="I297" i="29"/>
  <c r="I269" i="29"/>
  <c r="J219" i="29"/>
  <c r="I628" i="29"/>
  <c r="I328" i="29"/>
  <c r="I456" i="29"/>
  <c r="J257" i="29"/>
  <c r="J69" i="29"/>
  <c r="I455" i="29"/>
  <c r="I182" i="29"/>
  <c r="I71" i="29"/>
  <c r="J312" i="29"/>
  <c r="I486" i="29"/>
  <c r="I607" i="29"/>
  <c r="I380" i="29"/>
  <c r="J594" i="29"/>
  <c r="I462" i="29"/>
  <c r="J307" i="29"/>
  <c r="J488" i="29"/>
  <c r="J505" i="29"/>
  <c r="I498" i="29"/>
  <c r="I265" i="29"/>
  <c r="J448" i="29"/>
  <c r="J561" i="29"/>
  <c r="J427" i="29"/>
  <c r="I211" i="29"/>
  <c r="J603" i="29"/>
  <c r="I556" i="29"/>
  <c r="J261" i="29"/>
  <c r="I296" i="29"/>
  <c r="J509" i="29"/>
  <c r="J197" i="29"/>
  <c r="J159" i="29"/>
  <c r="J162" i="29"/>
  <c r="J255" i="29"/>
  <c r="I346" i="29"/>
  <c r="J273" i="29"/>
  <c r="I28" i="29"/>
  <c r="I262" i="29"/>
  <c r="J512" i="29"/>
  <c r="I167" i="29"/>
  <c r="I204" i="29"/>
  <c r="J225" i="29"/>
  <c r="I289" i="29"/>
  <c r="I163" i="29"/>
  <c r="J57" i="29"/>
  <c r="I235" i="29"/>
  <c r="J508" i="29"/>
  <c r="J39" i="29"/>
  <c r="J405" i="29"/>
  <c r="I128" i="29"/>
  <c r="J337" i="29"/>
  <c r="J51" i="29"/>
  <c r="J18" i="29"/>
  <c r="J268" i="29"/>
  <c r="I141" i="29"/>
  <c r="I93" i="29"/>
  <c r="J499" i="29"/>
  <c r="J211" i="29"/>
  <c r="J141" i="29"/>
  <c r="J583" i="29"/>
  <c r="J470" i="29"/>
  <c r="J529" i="29"/>
  <c r="J58" i="29"/>
  <c r="I230" i="29"/>
  <c r="J319" i="29"/>
  <c r="J113" i="29"/>
  <c r="I157" i="29"/>
  <c r="J347" i="29"/>
  <c r="I82" i="29"/>
  <c r="I212" i="29"/>
  <c r="I200" i="29"/>
  <c r="I311" i="29"/>
  <c r="J105" i="29"/>
  <c r="I221" i="29"/>
  <c r="J453" i="29"/>
  <c r="J478" i="29"/>
  <c r="J43" i="29"/>
  <c r="J94" i="29"/>
  <c r="J485" i="29"/>
  <c r="J596" i="29"/>
  <c r="J138" i="29"/>
  <c r="I142" i="29"/>
  <c r="I298" i="29"/>
  <c r="I216" i="29"/>
  <c r="J600" i="29"/>
  <c r="J628" i="29"/>
  <c r="J240" i="29"/>
  <c r="J316" i="29"/>
  <c r="J540" i="29"/>
  <c r="I606" i="29"/>
  <c r="J395" i="29"/>
  <c r="J216" i="29"/>
  <c r="J459" i="29"/>
  <c r="J391" i="29"/>
  <c r="I259" i="29"/>
  <c r="J543" i="29"/>
  <c r="I196" i="29"/>
  <c r="I430" i="29"/>
  <c r="J244" i="29"/>
  <c r="I531" i="29"/>
  <c r="J290" i="29"/>
  <c r="I544" i="29"/>
  <c r="J75" i="29"/>
  <c r="J295" i="29"/>
  <c r="J523" i="29"/>
  <c r="I584" i="29"/>
  <c r="J241" i="29"/>
  <c r="I263" i="29"/>
  <c r="I369" i="29"/>
  <c r="I258" i="29"/>
  <c r="J364" i="29"/>
  <c r="J186" i="29"/>
  <c r="J37" i="29"/>
  <c r="J238" i="29"/>
  <c r="J239" i="29"/>
  <c r="I103" i="29"/>
  <c r="I155" i="29"/>
  <c r="I420" i="29"/>
  <c r="I339" i="29"/>
  <c r="I626" i="29"/>
  <c r="J15" i="29"/>
  <c r="J34" i="29"/>
  <c r="I264" i="29"/>
  <c r="I535" i="29"/>
  <c r="I118" i="29"/>
  <c r="J441" i="29"/>
  <c r="I610" i="29"/>
  <c r="I415" i="29"/>
  <c r="J190" i="29"/>
  <c r="J398" i="29"/>
  <c r="J623" i="29"/>
  <c r="J502" i="29"/>
  <c r="I494" i="29"/>
  <c r="I467" i="29"/>
  <c r="I508" i="29"/>
  <c r="I385" i="29"/>
  <c r="J333" i="29"/>
  <c r="J202" i="29"/>
  <c r="J156" i="29"/>
  <c r="I516" i="29"/>
  <c r="I278" i="29"/>
  <c r="I202" i="29"/>
  <c r="J515" i="29"/>
  <c r="J173" i="29"/>
  <c r="I564" i="29"/>
  <c r="J494" i="29"/>
  <c r="J332" i="29"/>
  <c r="I394" i="29"/>
  <c r="J439" i="29"/>
  <c r="I549" i="29"/>
  <c r="J269" i="29"/>
  <c r="I243" i="29"/>
  <c r="I224" i="29"/>
  <c r="J267" i="29"/>
  <c r="I231" i="29"/>
  <c r="I73" i="29"/>
  <c r="J108" i="29"/>
  <c r="I100" i="29"/>
  <c r="I507" i="29"/>
  <c r="I496" i="29"/>
  <c r="J599" i="29"/>
  <c r="J142" i="29"/>
  <c r="J149" i="29"/>
  <c r="J31" i="29"/>
  <c r="J626" i="29"/>
  <c r="I84" i="29"/>
  <c r="J220" i="29"/>
  <c r="I172" i="29"/>
  <c r="J324" i="29"/>
  <c r="I89" i="29"/>
  <c r="I330" i="29"/>
  <c r="J17" i="29"/>
  <c r="J414" i="29"/>
  <c r="J518" i="29"/>
  <c r="I426" i="29"/>
  <c r="J132" i="29"/>
  <c r="I63" i="29"/>
  <c r="J286" i="29"/>
  <c r="J22" i="29"/>
  <c r="I325" i="29"/>
  <c r="J259" i="29"/>
  <c r="I111" i="29"/>
  <c r="J236" i="29"/>
  <c r="I468" i="29"/>
  <c r="J227" i="29"/>
  <c r="J400" i="29"/>
  <c r="I418" i="29"/>
  <c r="I302" i="29"/>
  <c r="J246" i="29"/>
  <c r="J352" i="29"/>
  <c r="I347" i="29"/>
  <c r="J14" i="29"/>
  <c r="I480" i="29"/>
  <c r="I522" i="29"/>
  <c r="I377" i="29"/>
  <c r="J308" i="29"/>
  <c r="I291" i="29"/>
  <c r="I539" i="29"/>
  <c r="J193" i="29"/>
  <c r="I335" i="29"/>
  <c r="I424" i="29"/>
  <c r="I108" i="29"/>
  <c r="J288" i="29"/>
  <c r="I340" i="29"/>
  <c r="I308" i="29"/>
  <c r="J424" i="29"/>
  <c r="J214" i="29"/>
  <c r="J342" i="29"/>
  <c r="J82" i="29"/>
  <c r="J447" i="29"/>
  <c r="I341" i="29"/>
  <c r="J180" i="29"/>
  <c r="J473" i="29"/>
  <c r="J46" i="29"/>
  <c r="I490" i="29"/>
  <c r="I324" i="29"/>
  <c r="J96" i="29"/>
  <c r="J408" i="29"/>
  <c r="J293" i="29"/>
  <c r="I148" i="29"/>
  <c r="J206" i="29"/>
  <c r="J187" i="29"/>
  <c r="I59" i="29"/>
  <c r="J371" i="29"/>
  <c r="I417" i="29"/>
  <c r="I195" i="29"/>
  <c r="I416" i="29"/>
  <c r="I574" i="29"/>
  <c r="J296" i="29"/>
  <c r="J570" i="29"/>
  <c r="I124" i="29"/>
  <c r="I99" i="29"/>
  <c r="J477" i="29"/>
  <c r="J495" i="29"/>
  <c r="J78" i="29"/>
  <c r="I354" i="29"/>
  <c r="J368" i="29"/>
  <c r="J413" i="29"/>
  <c r="J134" i="29"/>
  <c r="I489" i="29"/>
  <c r="I34" i="29"/>
  <c r="J292" i="29"/>
  <c r="I110" i="29"/>
  <c r="I83" i="29"/>
  <c r="J23" i="29"/>
  <c r="I520" i="29"/>
  <c r="J155" i="29"/>
  <c r="J545" i="29"/>
  <c r="J140" i="29"/>
  <c r="J533" i="29"/>
  <c r="J63" i="29"/>
  <c r="J178" i="29"/>
  <c r="I175" i="29"/>
  <c r="I463" i="29"/>
  <c r="I165" i="29"/>
  <c r="J604" i="29"/>
  <c r="I96" i="29"/>
  <c r="J598" i="29"/>
  <c r="I423" i="29"/>
  <c r="J565" i="29"/>
  <c r="I512" i="29"/>
  <c r="I557" i="29"/>
  <c r="I613" i="29"/>
  <c r="I541" i="29"/>
  <c r="I131" i="29"/>
  <c r="J410" i="29"/>
  <c r="J170" i="29"/>
  <c r="J611" i="29"/>
  <c r="I113" i="29"/>
  <c r="J234" i="29"/>
  <c r="I466" i="29"/>
  <c r="I452" i="29"/>
  <c r="J555" i="29"/>
  <c r="J388" i="29"/>
  <c r="I27" i="29"/>
  <c r="J613" i="29"/>
  <c r="I367" i="29"/>
  <c r="I81" i="29"/>
  <c r="I272" i="29"/>
  <c r="J431" i="29"/>
  <c r="I362" i="29"/>
  <c r="I86" i="29"/>
  <c r="I159" i="29"/>
  <c r="I594" i="29"/>
  <c r="I95" i="29"/>
  <c r="J151" i="29"/>
  <c r="I451" i="29"/>
  <c r="J376" i="29"/>
  <c r="I186" i="29"/>
  <c r="J55" i="29"/>
  <c r="J120" i="29"/>
  <c r="I188" i="29"/>
  <c r="J150" i="29"/>
  <c r="I309" i="29"/>
  <c r="I125" i="29"/>
  <c r="J382" i="29"/>
  <c r="I384" i="29"/>
  <c r="J208" i="29"/>
  <c r="I223" i="29"/>
  <c r="I120" i="29"/>
  <c r="I140" i="29"/>
  <c r="I591" i="29"/>
  <c r="J317" i="29"/>
  <c r="I283" i="29"/>
  <c r="J271" i="29"/>
  <c r="J71" i="29"/>
  <c r="J399" i="29"/>
  <c r="J440" i="29"/>
  <c r="J266" i="29"/>
  <c r="J370" i="29"/>
  <c r="I112" i="29"/>
  <c r="J434" i="29"/>
  <c r="J174" i="29"/>
  <c r="J592" i="29"/>
  <c r="J378" i="29"/>
  <c r="J340" i="29"/>
  <c r="J586" i="29"/>
  <c r="I14" i="29"/>
  <c r="J248" i="29"/>
  <c r="J490" i="29"/>
  <c r="I192" i="29"/>
  <c r="I70" i="29"/>
  <c r="I87" i="29"/>
  <c r="J87" i="29"/>
  <c r="J104" i="29"/>
  <c r="I68" i="29"/>
  <c r="J299" i="29"/>
  <c r="I601" i="29"/>
  <c r="J566" i="29"/>
  <c r="I537" i="29"/>
  <c r="I180" i="29"/>
  <c r="J341" i="29"/>
  <c r="I409" i="29"/>
  <c r="J21" i="29"/>
  <c r="I590" i="29"/>
  <c r="I402" i="29"/>
  <c r="J282" i="29"/>
  <c r="J454" i="29"/>
  <c r="I401" i="29"/>
  <c r="J476" i="29"/>
  <c r="I529" i="29"/>
  <c r="I222" i="29"/>
  <c r="I519" i="29"/>
  <c r="I285" i="29"/>
  <c r="I176" i="29"/>
  <c r="J33" i="29"/>
  <c r="I281" i="29"/>
  <c r="I310" i="29"/>
  <c r="J461" i="29"/>
  <c r="J66" i="29"/>
  <c r="J115" i="29"/>
  <c r="J373" i="29"/>
  <c r="I40" i="29"/>
  <c r="J419" i="29"/>
  <c r="J511" i="29"/>
  <c r="J415" i="29"/>
  <c r="I518" i="29"/>
  <c r="I39" i="29"/>
  <c r="J577" i="29"/>
  <c r="I288" i="29"/>
  <c r="I434" i="29"/>
  <c r="J49" i="29"/>
  <c r="I545" i="29"/>
  <c r="I147" i="29"/>
  <c r="I500" i="29"/>
  <c r="J110" i="29"/>
  <c r="I438" i="29"/>
  <c r="J625" i="29"/>
  <c r="I566" i="29"/>
  <c r="I419" i="29"/>
  <c r="J567" i="29"/>
  <c r="I45" i="29"/>
  <c r="I543" i="29"/>
  <c r="J204" i="29"/>
  <c r="I249" i="29"/>
  <c r="J201" i="29"/>
  <c r="I121" i="29"/>
  <c r="I136" i="29"/>
  <c r="J456" i="29"/>
  <c r="J468" i="29"/>
  <c r="I575" i="29"/>
  <c r="I250" i="29"/>
  <c r="I227" i="29"/>
  <c r="I226" i="29"/>
  <c r="J525" i="29"/>
  <c r="J383" i="29"/>
  <c r="J215" i="29"/>
  <c r="I287" i="29"/>
  <c r="I50" i="29"/>
  <c r="I506" i="29"/>
  <c r="I598" i="29"/>
  <c r="J387" i="29"/>
  <c r="J452" i="29"/>
  <c r="I528" i="29"/>
  <c r="J487" i="29"/>
  <c r="I563" i="29"/>
  <c r="J153" i="29"/>
  <c r="J396" i="29"/>
  <c r="J429" i="29"/>
  <c r="J62" i="29"/>
  <c r="J191" i="29"/>
  <c r="J557" i="29"/>
  <c r="I53" i="29"/>
  <c r="I94" i="29"/>
  <c r="J498" i="29"/>
  <c r="J118" i="29"/>
  <c r="I210" i="29"/>
  <c r="J183" i="29"/>
  <c r="J59" i="29"/>
  <c r="J552" i="29"/>
  <c r="J514" i="29"/>
  <c r="J56" i="29"/>
  <c r="J143" i="29"/>
  <c r="I187" i="29"/>
  <c r="I301" i="29"/>
  <c r="J406" i="29"/>
  <c r="J558" i="29"/>
  <c r="J144" i="29"/>
  <c r="J224" i="29"/>
  <c r="I260" i="29"/>
  <c r="J223" i="29"/>
  <c r="I198" i="29"/>
  <c r="I290" i="29"/>
  <c r="I627" i="29"/>
  <c r="I29" i="29"/>
  <c r="J526" i="29"/>
  <c r="I477" i="29"/>
  <c r="I21" i="29"/>
  <c r="I326" i="29"/>
  <c r="J581" i="29"/>
  <c r="I183" i="29"/>
  <c r="J24" i="29"/>
  <c r="I190" i="29"/>
  <c r="J48" i="29"/>
  <c r="J184" i="29"/>
  <c r="I625" i="29"/>
  <c r="I492" i="29"/>
  <c r="I586" i="29"/>
  <c r="J100" i="29"/>
  <c r="J13" i="29"/>
  <c r="J624" i="29"/>
  <c r="I90" i="29"/>
  <c r="J353" i="29"/>
  <c r="I571" i="29"/>
  <c r="J114" i="29"/>
  <c r="J471" i="29"/>
  <c r="J165" i="29"/>
  <c r="J551" i="29"/>
  <c r="J235" i="29"/>
  <c r="I139" i="29"/>
  <c r="I322" i="29"/>
  <c r="I429" i="29"/>
  <c r="J301" i="29"/>
  <c r="J451" i="29"/>
  <c r="J99" i="29"/>
  <c r="I570" i="29"/>
  <c r="J229" i="29"/>
  <c r="I181" i="29"/>
  <c r="I253" i="29"/>
  <c r="J218" i="29"/>
  <c r="I66" i="29"/>
  <c r="I193" i="29"/>
  <c r="J572" i="29"/>
  <c r="J627" i="29"/>
  <c r="J274" i="29"/>
  <c r="J189" i="29"/>
  <c r="J283" i="29"/>
  <c r="J532" i="29"/>
  <c r="J313" i="29"/>
  <c r="I450" i="29"/>
  <c r="J443" i="29"/>
  <c r="I36" i="29"/>
  <c r="J610" i="29"/>
  <c r="J280" i="29"/>
  <c r="J310" i="29"/>
  <c r="J574" i="29"/>
  <c r="I323" i="29"/>
  <c r="J538" i="29"/>
  <c r="J122" i="29"/>
  <c r="J181" i="29"/>
  <c r="J107" i="29"/>
  <c r="I23" i="29"/>
  <c r="J531" i="29"/>
  <c r="J612" i="29"/>
  <c r="J121" i="29"/>
  <c r="I488" i="29"/>
  <c r="I115" i="29"/>
  <c r="J265" i="29"/>
  <c r="I127" i="29"/>
  <c r="J172" i="29"/>
  <c r="I214" i="29"/>
  <c r="I44" i="29"/>
  <c r="I43" i="29"/>
  <c r="I368" i="29"/>
  <c r="J127" i="29"/>
  <c r="J207" i="29"/>
  <c r="J294" i="29"/>
  <c r="I177" i="29"/>
  <c r="I22" i="29"/>
  <c r="K212" i="24" l="1"/>
  <c r="BK212" i="24"/>
  <c r="S212" i="24"/>
  <c r="T212" i="24" s="1"/>
  <c r="M212" i="24"/>
  <c r="EK212" i="24"/>
  <c r="EW212" i="24"/>
  <c r="FB212" i="24" s="1"/>
  <c r="BN216" i="24"/>
  <c r="BY216" i="24"/>
  <c r="CA216" i="24" s="1"/>
  <c r="CB216" i="24" s="1"/>
  <c r="X623" i="29"/>
  <c r="Y623" i="29" s="1"/>
  <c r="AH623" i="29"/>
  <c r="W628" i="29"/>
  <c r="AG628" i="29"/>
  <c r="V622" i="29"/>
  <c r="K622" i="29"/>
  <c r="P622" i="29"/>
  <c r="R622" i="29"/>
  <c r="U622" i="29"/>
  <c r="T622" i="29"/>
  <c r="Q622" i="29"/>
  <c r="I622" i="29"/>
  <c r="O622" i="29"/>
  <c r="S622" i="29"/>
  <c r="J622" i="29"/>
  <c r="L622" i="29"/>
  <c r="AH625" i="29"/>
  <c r="X625" i="29"/>
  <c r="Y625" i="29" s="1"/>
  <c r="X624" i="29"/>
  <c r="Y624" i="29" s="1"/>
  <c r="AH624" i="29"/>
  <c r="AH627" i="29"/>
  <c r="X627" i="29"/>
  <c r="Y627" i="29" s="1"/>
  <c r="AH628" i="29"/>
  <c r="X628" i="29"/>
  <c r="Y628" i="29" s="1"/>
  <c r="W623" i="29"/>
  <c r="J633" i="29" s="1"/>
  <c r="AG623" i="29"/>
  <c r="K633" i="29" s="1"/>
  <c r="W627" i="29"/>
  <c r="AG627" i="29"/>
  <c r="X626" i="29"/>
  <c r="Y626" i="29" s="1"/>
  <c r="AH626" i="29"/>
  <c r="AG624" i="29"/>
  <c r="K634" i="29" s="1"/>
  <c r="W624" i="29"/>
  <c r="J634" i="29" s="1"/>
  <c r="W626" i="29"/>
  <c r="J636" i="29" s="1"/>
  <c r="AG626" i="29"/>
  <c r="K636" i="29" s="1"/>
  <c r="AG625" i="29"/>
  <c r="K635" i="29" s="1"/>
  <c r="W625" i="29"/>
  <c r="J635" i="29" s="1"/>
  <c r="BK5" i="24"/>
  <c r="S5" i="24"/>
  <c r="T5" i="24" s="1"/>
  <c r="J5" i="24" s="1"/>
  <c r="ER212" i="24" l="1"/>
  <c r="FC212" i="24"/>
  <c r="FE212" i="24" s="1"/>
  <c r="U212" i="24"/>
  <c r="N212" i="24"/>
  <c r="J212" i="24"/>
  <c r="O212" i="24"/>
  <c r="BZ212" i="24" s="1"/>
  <c r="AD622" i="29"/>
  <c r="X622" i="29"/>
  <c r="Y622" i="29" s="1"/>
  <c r="AH622" i="29"/>
  <c r="AE622" i="29"/>
  <c r="W622" i="29"/>
  <c r="J632" i="29" s="1"/>
  <c r="AG622" i="29"/>
  <c r="K632" i="29" s="1"/>
  <c r="N5" i="24"/>
  <c r="P5" i="24" s="1"/>
  <c r="FI24" i="24" s="1"/>
  <c r="O5" i="24"/>
  <c r="BZ5" i="24" s="1"/>
  <c r="V5" i="24"/>
  <c r="W5" i="24"/>
  <c r="Y5" i="24" l="1"/>
  <c r="AE212" i="24"/>
  <c r="AI212" i="24"/>
  <c r="X212" i="24"/>
  <c r="AA212" i="24" s="1"/>
  <c r="AB212" i="24" s="1"/>
  <c r="AC212" i="24" s="1"/>
  <c r="Q212" i="24"/>
  <c r="AP212" i="24"/>
  <c r="P212" i="24"/>
  <c r="V212" i="24"/>
  <c r="W212" i="24"/>
  <c r="FF212" i="24"/>
  <c r="FJ212" i="24"/>
  <c r="Q5" i="24"/>
  <c r="R5" i="24" s="1"/>
  <c r="FI58" i="24"/>
  <c r="FJ62" i="24"/>
  <c r="FJ77" i="24"/>
  <c r="FJ35" i="24"/>
  <c r="FI51" i="24"/>
  <c r="FJ69" i="24"/>
  <c r="FJ24" i="24"/>
  <c r="FJ72" i="24"/>
  <c r="FI91" i="24"/>
  <c r="FI54" i="24"/>
  <c r="FI18" i="24"/>
  <c r="FJ27" i="24"/>
  <c r="FJ41" i="24"/>
  <c r="FJ103" i="24"/>
  <c r="FI60" i="24"/>
  <c r="FJ51" i="24"/>
  <c r="FJ5" i="24"/>
  <c r="FI87" i="24"/>
  <c r="FJ21" i="24"/>
  <c r="FI63" i="24"/>
  <c r="FJ29" i="24"/>
  <c r="FJ38" i="24"/>
  <c r="FI85" i="24"/>
  <c r="FJ64" i="24"/>
  <c r="FI36" i="24"/>
  <c r="FJ63" i="24"/>
  <c r="FI15" i="24"/>
  <c r="FJ99" i="24"/>
  <c r="FJ42" i="24"/>
  <c r="FJ19" i="24"/>
  <c r="FI62" i="24"/>
  <c r="FJ48" i="24"/>
  <c r="FI19" i="24"/>
  <c r="FJ88" i="24"/>
  <c r="FI11" i="24"/>
  <c r="FJ57" i="24"/>
  <c r="FI55" i="24"/>
  <c r="FI14" i="24"/>
  <c r="FI61" i="24"/>
  <c r="FJ45" i="24"/>
  <c r="FI69" i="24"/>
  <c r="FI89" i="24"/>
  <c r="FI70" i="24"/>
  <c r="FJ92" i="24"/>
  <c r="FI9" i="24"/>
  <c r="FI50" i="24"/>
  <c r="FJ60" i="24"/>
  <c r="FI47" i="24"/>
  <c r="FJ49" i="24"/>
  <c r="FI72" i="24"/>
  <c r="CF5" i="24"/>
  <c r="FJ58" i="24"/>
  <c r="FI90" i="24"/>
  <c r="FJ32" i="24"/>
  <c r="FJ95" i="24"/>
  <c r="FJ23" i="24"/>
  <c r="FI81" i="24"/>
  <c r="FJ16" i="24"/>
  <c r="FJ85" i="24"/>
  <c r="FJ82" i="24"/>
  <c r="FJ61" i="24"/>
  <c r="FJ71" i="24"/>
  <c r="FJ90" i="24"/>
  <c r="FI43" i="24"/>
  <c r="FJ12" i="24"/>
  <c r="FI25" i="24"/>
  <c r="FJ83" i="24"/>
  <c r="FJ40" i="24"/>
  <c r="FI68" i="24"/>
  <c r="FI59" i="24"/>
  <c r="FJ87" i="24"/>
  <c r="FI42" i="24"/>
  <c r="FI57" i="24"/>
  <c r="FI95" i="24"/>
  <c r="FI33" i="24"/>
  <c r="FI77" i="24"/>
  <c r="FJ43" i="24"/>
  <c r="FJ74" i="24"/>
  <c r="FJ6" i="24"/>
  <c r="FI92" i="24"/>
  <c r="FI103" i="24"/>
  <c r="FJ76" i="24"/>
  <c r="FJ56" i="24"/>
  <c r="FJ84" i="24"/>
  <c r="FI49" i="24"/>
  <c r="FJ78" i="24"/>
  <c r="FJ54" i="24"/>
  <c r="FI41" i="24"/>
  <c r="FI40" i="24"/>
  <c r="FJ89" i="24"/>
  <c r="FJ18" i="24"/>
  <c r="FI79" i="24"/>
  <c r="FI26" i="24"/>
  <c r="FI80" i="24"/>
  <c r="FI35" i="24"/>
  <c r="FJ37" i="24"/>
  <c r="FI27" i="24"/>
  <c r="FJ36" i="24"/>
  <c r="FI32" i="24"/>
  <c r="FI39" i="24"/>
  <c r="FJ44" i="24"/>
  <c r="FI30" i="24"/>
  <c r="FI78" i="24"/>
  <c r="FJ101" i="24"/>
  <c r="FJ104" i="24"/>
  <c r="FI13" i="24"/>
  <c r="FI7" i="24"/>
  <c r="FI45" i="24"/>
  <c r="FI48" i="24"/>
  <c r="FJ13" i="24"/>
  <c r="FI34" i="24"/>
  <c r="FJ33" i="24"/>
  <c r="FI8" i="24"/>
  <c r="FJ52" i="24"/>
  <c r="FJ86" i="24"/>
  <c r="CE5" i="24"/>
  <c r="FJ73" i="24"/>
  <c r="FJ17" i="24"/>
  <c r="FJ80" i="24"/>
  <c r="FJ20" i="24"/>
  <c r="FJ46" i="24"/>
  <c r="FJ22" i="24"/>
  <c r="FI94" i="24"/>
  <c r="FI97" i="24"/>
  <c r="FI88" i="24"/>
  <c r="FI105" i="24"/>
  <c r="FI22" i="24"/>
  <c r="FI46" i="24"/>
  <c r="FI38" i="24"/>
  <c r="FJ15" i="24"/>
  <c r="FI96" i="24"/>
  <c r="FI5" i="24"/>
  <c r="FI37" i="24"/>
  <c r="FJ81" i="24"/>
  <c r="FJ97" i="24"/>
  <c r="FJ34" i="24"/>
  <c r="FJ100" i="24"/>
  <c r="FI23" i="24"/>
  <c r="FI93" i="24"/>
  <c r="FI53" i="24"/>
  <c r="FI44" i="24"/>
  <c r="FI71" i="24"/>
  <c r="FJ50" i="24"/>
  <c r="FI99" i="24"/>
  <c r="FI104" i="24"/>
  <c r="FJ102" i="24"/>
  <c r="FJ25" i="24"/>
  <c r="FI83" i="24"/>
  <c r="FJ14" i="24"/>
  <c r="FI102" i="24"/>
  <c r="FJ31" i="24"/>
  <c r="FJ96" i="24"/>
  <c r="FJ59" i="24"/>
  <c r="FI100" i="24"/>
  <c r="FJ67" i="24"/>
  <c r="FI16" i="24"/>
  <c r="FJ70" i="24"/>
  <c r="FI31" i="24"/>
  <c r="FJ39" i="24"/>
  <c r="FI73" i="24"/>
  <c r="FJ55" i="24"/>
  <c r="FJ79" i="24"/>
  <c r="FI101" i="24"/>
  <c r="FI98" i="24"/>
  <c r="FJ7" i="24"/>
  <c r="FI29" i="24"/>
  <c r="FI86" i="24"/>
  <c r="FI21" i="24"/>
  <c r="FI66" i="24"/>
  <c r="FI64" i="24"/>
  <c r="FI10" i="24"/>
  <c r="FI12" i="24"/>
  <c r="FJ26" i="24"/>
  <c r="FJ30" i="24"/>
  <c r="FJ94" i="24"/>
  <c r="FJ8" i="24"/>
  <c r="AP5" i="24"/>
  <c r="FJ91" i="24"/>
  <c r="FJ66" i="24"/>
  <c r="FI17" i="24"/>
  <c r="FJ53" i="24"/>
  <c r="FJ98" i="24"/>
  <c r="FJ11" i="24"/>
  <c r="FI74" i="24"/>
  <c r="FI20" i="24"/>
  <c r="FI52" i="24"/>
  <c r="FI67" i="24"/>
  <c r="FI84" i="24"/>
  <c r="FI65" i="24"/>
  <c r="FJ47" i="24"/>
  <c r="FJ9" i="24"/>
  <c r="FI75" i="24"/>
  <c r="FJ75" i="24"/>
  <c r="FJ65" i="24"/>
  <c r="FI28" i="24"/>
  <c r="FI76" i="24"/>
  <c r="FJ93" i="24"/>
  <c r="FI56" i="24"/>
  <c r="FI82" i="24"/>
  <c r="FJ105" i="24"/>
  <c r="FJ28" i="24"/>
  <c r="FJ10" i="24"/>
  <c r="FJ68" i="24"/>
  <c r="FI6" i="24"/>
  <c r="AE5" i="24"/>
  <c r="AI5" i="24"/>
  <c r="X5" i="24"/>
  <c r="AA5" i="24" s="1"/>
  <c r="AB5" i="24" s="1"/>
  <c r="AC5" i="24" s="1"/>
  <c r="Y212" i="24" l="1"/>
  <c r="AA3" i="29" s="1"/>
  <c r="AJ212" i="24"/>
  <c r="AT212" i="24" s="1"/>
  <c r="AG212" i="24"/>
  <c r="AF212" i="24"/>
  <c r="AJ5" i="24"/>
  <c r="AG5" i="24"/>
  <c r="AF5" i="24"/>
  <c r="AK212" i="24" l="1"/>
  <c r="AN212" i="24"/>
  <c r="BI212" i="24" s="1"/>
  <c r="BA212" i="24"/>
  <c r="AT5" i="24"/>
  <c r="BA5" i="24" s="1"/>
  <c r="AV5" i="24"/>
  <c r="AN5" i="24"/>
  <c r="AK5" i="24"/>
  <c r="BH5" i="24" l="1"/>
  <c r="BI5" i="24"/>
  <c r="BL5" i="24" s="1"/>
  <c r="BU5" i="24"/>
  <c r="AQ212" i="24"/>
  <c r="CE212" i="24"/>
  <c r="BL212" i="24"/>
  <c r="AS212" i="24"/>
  <c r="BJ212" i="24"/>
  <c r="BW212" i="24"/>
  <c r="BU212" i="24"/>
  <c r="BH212" i="24"/>
  <c r="AX212" i="24"/>
  <c r="AS5" i="24"/>
  <c r="BJ5" i="24"/>
  <c r="AQ5" i="24"/>
  <c r="AX5" i="24"/>
  <c r="BW5" i="24"/>
  <c r="AU212" i="24" l="1"/>
  <c r="BB212" i="24" s="1"/>
  <c r="AW212" i="24"/>
  <c r="AU5" i="24"/>
  <c r="BB5" i="24" s="1"/>
  <c r="AW5" i="24"/>
  <c r="BE212" i="24" l="1"/>
  <c r="BT212" i="24" s="1"/>
  <c r="AY212" i="24"/>
  <c r="AZ212" i="24" s="1"/>
  <c r="BD212" i="24"/>
  <c r="BE5" i="24"/>
  <c r="BT5" i="24" s="1"/>
  <c r="BD5" i="24"/>
  <c r="AY5" i="24"/>
  <c r="AZ5" i="24" s="1"/>
  <c r="BG212" i="24" l="1"/>
  <c r="BS212" i="24"/>
  <c r="BX212" i="24" s="1"/>
  <c r="BS5" i="24"/>
  <c r="BV5" i="24" s="1"/>
  <c r="BX5" i="24" s="1"/>
  <c r="BG5" i="24"/>
  <c r="BM5" i="24" s="1"/>
  <c r="BY212" i="24" l="1"/>
  <c r="CA212" i="24" s="1"/>
  <c r="BM212" i="24"/>
  <c r="BN212" i="24" s="1"/>
  <c r="BY5" i="24"/>
  <c r="CA5" i="24" s="1"/>
  <c r="CB5" i="24" s="1"/>
  <c r="BN5" i="24"/>
  <c r="CB212" i="24" l="1"/>
  <c r="CF212" i="24"/>
  <c r="EM5" i="25" l="1"/>
  <c r="CX5" i="25" l="1"/>
  <c r="CS5" i="25"/>
  <c r="CT5" i="25"/>
  <c r="CU5" i="25" l="1"/>
  <c r="CW5" i="25"/>
  <c r="CV5" i="25"/>
  <c r="DS5" i="25"/>
  <c r="FD5" i="25"/>
  <c r="CY5" i="25"/>
  <c r="CO5" i="25" l="1"/>
  <c r="CZ5" i="25" s="1"/>
  <c r="DB5" i="25" s="1"/>
  <c r="DA5" i="25" l="1"/>
  <c r="DD5" i="25" s="1"/>
  <c r="DE5" i="25" s="1"/>
  <c r="DF5" i="25" s="1"/>
  <c r="DM5" i="25" s="1"/>
  <c r="DW5" i="25" s="1"/>
  <c r="DH5" i="25"/>
  <c r="DJ5" i="25" l="1"/>
  <c r="DI5" i="25"/>
  <c r="EB5" i="25"/>
  <c r="EA5" i="25"/>
  <c r="DQ5" i="25" l="1"/>
  <c r="DV5" i="25" s="1"/>
  <c r="DN5" i="25"/>
  <c r="FA5" i="25" l="1"/>
  <c r="EJ5" i="25"/>
  <c r="EL5" i="25"/>
  <c r="EY5" i="25"/>
  <c r="EK5" i="25"/>
  <c r="EN5" i="25" s="1"/>
  <c r="DT5" i="25"/>
  <c r="DX5" i="25"/>
  <c r="EC5" i="25" s="1"/>
  <c r="DY5" i="25"/>
  <c r="FL5" i="25" s="1"/>
  <c r="CH5" i="25" l="1"/>
  <c r="CG5" i="25"/>
  <c r="EF5" i="25"/>
  <c r="EW5" i="25" s="1"/>
  <c r="EG5" i="25"/>
  <c r="EX5" i="25" s="1"/>
  <c r="EE5" i="25"/>
  <c r="J5" i="25" l="1"/>
  <c r="N5" i="25" s="1"/>
  <c r="EV5" i="25"/>
  <c r="EZ5" i="25" s="1"/>
  <c r="FB5" i="25" s="1"/>
  <c r="EI5" i="25"/>
  <c r="EO5" i="25" s="1"/>
  <c r="L5" i="25" l="1"/>
  <c r="BI5" i="25"/>
  <c r="EP5" i="25"/>
  <c r="FC5" i="25"/>
  <c r="FE5" i="25" s="1"/>
  <c r="FF5" i="25" s="1"/>
  <c r="P5" i="25"/>
  <c r="O5" i="25"/>
  <c r="T5" i="25"/>
  <c r="Q5" i="25" l="1"/>
  <c r="BZ5" i="25"/>
  <c r="R5" i="25"/>
  <c r="AO5" i="25"/>
  <c r="S5" i="25"/>
  <c r="K5" i="25" s="1"/>
  <c r="U5" i="25"/>
  <c r="V5" i="25" l="1"/>
  <c r="X5" i="25" s="1"/>
  <c r="FI63" i="25"/>
  <c r="FJ62" i="25"/>
  <c r="FI39" i="25"/>
  <c r="FI79" i="25"/>
  <c r="FJ71" i="25"/>
  <c r="FI14" i="25"/>
  <c r="FJ57" i="25"/>
  <c r="FI56" i="25"/>
  <c r="FI43" i="25"/>
  <c r="FI60" i="25"/>
  <c r="FI69" i="25"/>
  <c r="FJ33" i="25"/>
  <c r="FJ98" i="25"/>
  <c r="FJ94" i="25"/>
  <c r="FJ89" i="25"/>
  <c r="FI16" i="25"/>
  <c r="FJ40" i="25"/>
  <c r="FI24" i="25"/>
  <c r="FI38" i="25"/>
  <c r="FJ48" i="25"/>
  <c r="FJ42" i="25"/>
  <c r="FJ8" i="25"/>
  <c r="FJ12" i="25"/>
  <c r="FJ83" i="25"/>
  <c r="FJ26" i="25"/>
  <c r="FJ60" i="25"/>
  <c r="FJ101" i="25"/>
  <c r="FJ73" i="25"/>
  <c r="FJ19" i="25"/>
  <c r="FJ69" i="25"/>
  <c r="FJ53" i="25"/>
  <c r="FI94" i="25"/>
  <c r="FI15" i="25"/>
  <c r="FI95" i="25"/>
  <c r="FI17" i="25"/>
  <c r="CE5" i="25"/>
  <c r="FI47" i="25"/>
  <c r="FJ27" i="25"/>
  <c r="FI20" i="25"/>
  <c r="FI66" i="25"/>
  <c r="FJ97" i="25"/>
  <c r="FI75" i="25"/>
  <c r="FJ88" i="25"/>
  <c r="FJ15" i="25"/>
  <c r="FJ16" i="25"/>
  <c r="FJ86" i="25"/>
  <c r="FJ52" i="25"/>
  <c r="FI102" i="25"/>
  <c r="FI32" i="25"/>
  <c r="FI104" i="25"/>
  <c r="FJ22" i="25"/>
  <c r="FJ96" i="25"/>
  <c r="FI55" i="25"/>
  <c r="FI54" i="25"/>
  <c r="FI40" i="25"/>
  <c r="FJ63" i="25"/>
  <c r="FJ32" i="25"/>
  <c r="FJ92" i="25"/>
  <c r="FI35" i="25"/>
  <c r="FI71" i="25"/>
  <c r="FJ25" i="25"/>
  <c r="FI96" i="25"/>
  <c r="FI61" i="25"/>
  <c r="FI22" i="25"/>
  <c r="FI19" i="25"/>
  <c r="FJ38" i="25"/>
  <c r="FI82" i="25"/>
  <c r="FJ76" i="25"/>
  <c r="FJ20" i="25"/>
  <c r="FI8" i="25"/>
  <c r="FI84" i="25"/>
  <c r="FI41" i="25"/>
  <c r="FI59" i="25"/>
  <c r="FJ78" i="25"/>
  <c r="FJ11" i="25"/>
  <c r="FJ100" i="25"/>
  <c r="FJ66" i="25"/>
  <c r="FI76" i="25"/>
  <c r="FI45" i="25"/>
  <c r="FI92" i="25"/>
  <c r="FI70" i="25"/>
  <c r="FI74" i="25"/>
  <c r="FI27" i="25"/>
  <c r="FJ43" i="25"/>
  <c r="FJ34" i="25"/>
  <c r="FI7" i="25"/>
  <c r="FI87" i="25"/>
  <c r="FJ75" i="25"/>
  <c r="FJ64" i="25"/>
  <c r="FI52" i="25"/>
  <c r="FI18" i="25"/>
  <c r="FI53" i="25"/>
  <c r="FI28" i="25"/>
  <c r="FJ37" i="25"/>
  <c r="FJ90" i="25"/>
  <c r="FI10" i="25"/>
  <c r="FI97" i="25"/>
  <c r="FJ36" i="25"/>
  <c r="FI49" i="25"/>
  <c r="FI44" i="25"/>
  <c r="FJ24" i="25"/>
  <c r="FJ58" i="25"/>
  <c r="FJ45" i="25"/>
  <c r="FI25" i="25"/>
  <c r="FI67" i="25"/>
  <c r="FJ72" i="25"/>
  <c r="FI85" i="25"/>
  <c r="FJ55" i="25"/>
  <c r="FI103" i="25"/>
  <c r="FI83" i="25"/>
  <c r="FJ91" i="25"/>
  <c r="FI42" i="25"/>
  <c r="FI5" i="25"/>
  <c r="FI23" i="25"/>
  <c r="FJ93" i="25"/>
  <c r="FJ29" i="25"/>
  <c r="FI80" i="25"/>
  <c r="FJ61" i="25"/>
  <c r="FI58" i="25"/>
  <c r="FJ56" i="25"/>
  <c r="FJ28" i="25"/>
  <c r="FI34" i="25"/>
  <c r="FI91" i="25"/>
  <c r="FI62" i="25"/>
  <c r="FI36" i="25"/>
  <c r="FJ7" i="25"/>
  <c r="FJ47" i="25"/>
  <c r="FI46" i="25"/>
  <c r="FI101" i="25"/>
  <c r="FI30" i="25"/>
  <c r="FJ30" i="25"/>
  <c r="FJ14" i="25"/>
  <c r="FI48" i="25"/>
  <c r="FJ74" i="25"/>
  <c r="FI50" i="25"/>
  <c r="FJ84" i="25"/>
  <c r="FI6" i="25"/>
  <c r="FI90" i="25"/>
  <c r="FI21" i="25"/>
  <c r="FJ23" i="25"/>
  <c r="FJ18" i="25"/>
  <c r="FI105" i="25"/>
  <c r="FJ67" i="25"/>
  <c r="FI78" i="25"/>
  <c r="FI81" i="25"/>
  <c r="FJ65" i="25"/>
  <c r="FJ13" i="25"/>
  <c r="FJ31" i="25"/>
  <c r="FI89" i="25"/>
  <c r="FI13" i="25"/>
  <c r="FI29" i="25"/>
  <c r="FI64" i="25"/>
  <c r="FJ87" i="25"/>
  <c r="FI93" i="25"/>
  <c r="FJ105" i="25"/>
  <c r="FJ104" i="25"/>
  <c r="CF5" i="25"/>
  <c r="FJ9" i="25"/>
  <c r="FJ85" i="25"/>
  <c r="FJ21" i="25"/>
  <c r="FI72" i="25"/>
  <c r="FJ68" i="25"/>
  <c r="FJ5" i="25"/>
  <c r="FJ95" i="25"/>
  <c r="FJ10" i="25"/>
  <c r="FI11" i="25"/>
  <c r="FJ6" i="25"/>
  <c r="FJ51" i="25"/>
  <c r="FI31" i="25"/>
  <c r="FI37" i="25"/>
  <c r="FJ59" i="25"/>
  <c r="FJ77" i="25"/>
  <c r="FI73" i="25"/>
  <c r="FJ103" i="25"/>
  <c r="FI9" i="25"/>
  <c r="FJ70" i="25"/>
  <c r="FJ49" i="25"/>
  <c r="FJ50" i="25"/>
  <c r="FJ17" i="25"/>
  <c r="FJ35" i="25"/>
  <c r="FJ39" i="25"/>
  <c r="FJ99" i="25"/>
  <c r="FJ81" i="25"/>
  <c r="FI100" i="25"/>
  <c r="FI33" i="25"/>
  <c r="FI86" i="25"/>
  <c r="FI68" i="25"/>
  <c r="FI57" i="25"/>
  <c r="FJ80" i="25"/>
  <c r="FJ41" i="25"/>
  <c r="FI12" i="25"/>
  <c r="FJ54" i="25"/>
  <c r="FJ44" i="25"/>
  <c r="FI99" i="25"/>
  <c r="FJ102" i="25"/>
  <c r="FI26" i="25"/>
  <c r="FI88" i="25"/>
  <c r="FI98" i="25"/>
  <c r="FI77" i="25"/>
  <c r="FJ82" i="25"/>
  <c r="FI51" i="25"/>
  <c r="FJ79" i="25"/>
  <c r="FI65" i="25"/>
  <c r="FJ46" i="25"/>
  <c r="W5" i="25" l="1"/>
  <c r="Z5" i="25" s="1"/>
  <c r="AA5" i="25" s="1"/>
  <c r="AB5" i="25" s="1"/>
  <c r="AI5" i="25" s="1"/>
  <c r="AD5" i="25"/>
  <c r="AE5" i="25" s="1"/>
  <c r="AS5" i="25" l="1"/>
  <c r="AW5" i="25" s="1"/>
  <c r="AF5" i="25"/>
  <c r="AM5" i="25" s="1"/>
  <c r="BF5" i="25" l="1"/>
  <c r="BG5" i="25"/>
  <c r="BJ5" i="25" s="1"/>
  <c r="AX5" i="25"/>
  <c r="AJ5" i="25"/>
  <c r="AR5" i="25"/>
  <c r="BH5" i="25"/>
  <c r="AP5" i="25"/>
  <c r="BU5" i="25"/>
  <c r="BW5" i="25"/>
  <c r="AT5" i="25" l="1"/>
  <c r="AY5" i="25" s="1"/>
  <c r="AU5" i="25"/>
  <c r="BC5" i="25" l="1"/>
  <c r="BT5" i="25" s="1"/>
  <c r="BB5" i="25"/>
  <c r="BS5" i="25" s="1"/>
  <c r="BA5" i="25"/>
  <c r="BR5" i="25" l="1"/>
  <c r="BV5" i="25" s="1"/>
  <c r="BX5" i="25" s="1"/>
  <c r="BE5" i="25"/>
  <c r="BK5" i="25" s="1"/>
  <c r="BY5" i="25" l="1"/>
  <c r="CA5" i="25" s="1"/>
  <c r="CB5" i="25" s="1"/>
  <c r="BL5" i="25"/>
  <c r="G17" i="25"/>
  <c r="F192" i="25"/>
  <c r="G192" i="25"/>
  <c r="G63" i="25"/>
  <c r="F122" i="25"/>
  <c r="G122" i="25"/>
  <c r="F137" i="25"/>
  <c r="G137" i="25"/>
  <c r="G80" i="25"/>
  <c r="F93" i="25"/>
  <c r="BM93" i="25" s="1"/>
  <c r="G93" i="25"/>
  <c r="F138" i="24"/>
  <c r="F272" i="24"/>
  <c r="F157" i="24"/>
  <c r="F111" i="24"/>
  <c r="F145" i="24"/>
  <c r="BO145" i="24" s="1"/>
  <c r="BR145" i="24" s="1"/>
  <c r="F223" i="24"/>
  <c r="F253" i="24"/>
  <c r="F143" i="24"/>
  <c r="F160" i="24"/>
  <c r="BO160" i="24" s="1"/>
  <c r="BR160" i="24" s="1"/>
  <c r="F62" i="24"/>
  <c r="F158" i="24"/>
  <c r="BO158" i="24" s="1"/>
  <c r="BR158" i="24" s="1"/>
  <c r="F292" i="24"/>
  <c r="F67" i="24"/>
  <c r="F224" i="24"/>
  <c r="F104" i="24"/>
  <c r="F22" i="24"/>
  <c r="I22" i="24" s="1"/>
  <c r="F241" i="24"/>
  <c r="F252" i="24"/>
  <c r="F114" i="24"/>
  <c r="F101" i="24"/>
  <c r="I101" i="24" s="1"/>
  <c r="F250" i="24"/>
  <c r="F165" i="24"/>
  <c r="F169" i="24"/>
  <c r="F97" i="24"/>
  <c r="F96" i="24"/>
  <c r="F14" i="24"/>
  <c r="BO14" i="24" s="1"/>
  <c r="BR14" i="24" s="1"/>
  <c r="F233" i="24"/>
  <c r="F298" i="24"/>
  <c r="F263" i="24"/>
  <c r="F237" i="25"/>
  <c r="G237" i="25"/>
  <c r="BN237" i="25" s="1"/>
  <c r="F42" i="25"/>
  <c r="G42" i="25"/>
  <c r="F71" i="25"/>
  <c r="G71" i="25"/>
  <c r="F16" i="25"/>
  <c r="BM16" i="25" s="1"/>
  <c r="G16" i="25"/>
  <c r="G53" i="25"/>
  <c r="BN53" i="25" s="1"/>
  <c r="F94" i="25"/>
  <c r="G94" i="25"/>
  <c r="I94" i="25" s="1"/>
  <c r="F38" i="25"/>
  <c r="BM38" i="25" s="1"/>
  <c r="G38" i="25"/>
  <c r="I38" i="25" s="1"/>
  <c r="F145" i="25"/>
  <c r="G145" i="25"/>
  <c r="F190" i="25"/>
  <c r="G190" i="25"/>
  <c r="I190" i="25" s="1"/>
  <c r="F236" i="25"/>
  <c r="G236" i="25"/>
  <c r="BN236" i="25" s="1"/>
  <c r="F105" i="25"/>
  <c r="G105" i="25"/>
  <c r="G87" i="25"/>
  <c r="BN87" i="25" s="1"/>
  <c r="F83" i="25"/>
  <c r="BM83" i="25" s="1"/>
  <c r="G83" i="25"/>
  <c r="BN83" i="25" s="1"/>
  <c r="G29" i="25"/>
  <c r="BN29" i="25" s="1"/>
  <c r="G82" i="25"/>
  <c r="BN82" i="25" s="1"/>
  <c r="F125" i="25"/>
  <c r="G125" i="25"/>
  <c r="BN125" i="25" s="1"/>
  <c r="F9" i="25"/>
  <c r="G9" i="25"/>
  <c r="F162" i="25"/>
  <c r="G162" i="25"/>
  <c r="G111" i="25"/>
  <c r="F163" i="25"/>
  <c r="G163" i="25"/>
  <c r="I163" i="25" s="1"/>
  <c r="F157" i="25"/>
  <c r="G157" i="25"/>
  <c r="I157" i="25" s="1"/>
  <c r="F245" i="25"/>
  <c r="G245" i="25"/>
  <c r="I245" i="25" s="1"/>
  <c r="F129" i="25"/>
  <c r="G129" i="25"/>
  <c r="F241" i="25"/>
  <c r="G241" i="25"/>
  <c r="BN241" i="25" s="1"/>
  <c r="F58" i="25"/>
  <c r="BM58" i="25" s="1"/>
  <c r="G58" i="25"/>
  <c r="BN58" i="25" s="1"/>
  <c r="G69" i="25"/>
  <c r="BN69" i="25" s="1"/>
  <c r="F8" i="25"/>
  <c r="G8" i="25"/>
  <c r="BN8" i="25" s="1"/>
  <c r="F186" i="25"/>
  <c r="BM186" i="25" s="1"/>
  <c r="G186" i="25"/>
  <c r="I186" i="25" s="1"/>
  <c r="F164" i="25"/>
  <c r="G164" i="25"/>
  <c r="BN164" i="25" s="1"/>
  <c r="F202" i="25"/>
  <c r="BM202" i="25" s="1"/>
  <c r="G202" i="25"/>
  <c r="I202" i="25" s="1"/>
  <c r="F195" i="25"/>
  <c r="G195" i="25"/>
  <c r="G257" i="25"/>
  <c r="BN257" i="25" s="1"/>
  <c r="F279" i="25"/>
  <c r="BM279" i="25" s="1"/>
  <c r="G279" i="25"/>
  <c r="I279" i="25" s="1"/>
  <c r="F11" i="25"/>
  <c r="G11" i="25"/>
  <c r="G30" i="25"/>
  <c r="BN30" i="25" s="1"/>
  <c r="F23" i="25"/>
  <c r="G23" i="25"/>
  <c r="BN23" i="25" s="1"/>
  <c r="F52" i="25"/>
  <c r="G52" i="25"/>
  <c r="I52" i="25" s="1"/>
  <c r="G310" i="25"/>
  <c r="I310" i="25" s="1"/>
  <c r="G34" i="25"/>
  <c r="F270" i="25"/>
  <c r="G270" i="25"/>
  <c r="I270" i="25" s="1"/>
  <c r="F226" i="25"/>
  <c r="G226" i="25"/>
  <c r="F53" i="25"/>
  <c r="BM53" i="25" s="1"/>
  <c r="F257" i="25"/>
  <c r="F188" i="24"/>
  <c r="F29" i="25"/>
  <c r="F277" i="24"/>
  <c r="F41" i="24"/>
  <c r="F74" i="24"/>
  <c r="BO74" i="24" s="1"/>
  <c r="BR74" i="24" s="1"/>
  <c r="F147" i="24"/>
  <c r="BO147" i="24" s="1"/>
  <c r="BR147" i="24" s="1"/>
  <c r="F261" i="24"/>
  <c r="F190" i="24"/>
  <c r="I190" i="24" s="1"/>
  <c r="F159" i="24"/>
  <c r="F286" i="24"/>
  <c r="F259" i="24"/>
  <c r="F77" i="24"/>
  <c r="F21" i="24"/>
  <c r="I21" i="24" s="1"/>
  <c r="F88" i="24"/>
  <c r="F56" i="24"/>
  <c r="F24" i="24"/>
  <c r="BO24" i="24" s="1"/>
  <c r="BR24" i="24" s="1"/>
  <c r="F38" i="24"/>
  <c r="F6" i="24"/>
  <c r="BO6" i="24" s="1"/>
  <c r="BR6" i="24" s="1"/>
  <c r="F134" i="24"/>
  <c r="F225" i="24"/>
  <c r="F268" i="24"/>
  <c r="F274" i="24"/>
  <c r="F130" i="24"/>
  <c r="F132" i="24"/>
  <c r="I132" i="24" s="1"/>
  <c r="F75" i="24"/>
  <c r="BO75" i="24" s="1"/>
  <c r="BR75" i="24" s="1"/>
  <c r="F129" i="24"/>
  <c r="BO129" i="24" s="1"/>
  <c r="BR129" i="24" s="1"/>
  <c r="F162" i="24"/>
  <c r="I162" i="24" s="1"/>
  <c r="F266" i="24"/>
  <c r="F296" i="24"/>
  <c r="F206" i="24"/>
  <c r="BO206" i="24" s="1"/>
  <c r="BR206" i="24" s="1"/>
  <c r="F192" i="24"/>
  <c r="BO192" i="24" s="1"/>
  <c r="BR192" i="24" s="1"/>
  <c r="F251" i="24"/>
  <c r="F71" i="24"/>
  <c r="F39" i="24"/>
  <c r="F7" i="24"/>
  <c r="I7" i="24" s="1"/>
  <c r="F94" i="24"/>
  <c r="BO94" i="24" s="1"/>
  <c r="BR94" i="24" s="1"/>
  <c r="F125" i="24"/>
  <c r="BO125" i="24" s="1"/>
  <c r="BR125" i="24" s="1"/>
  <c r="F281" i="24"/>
  <c r="F254" i="24"/>
  <c r="F228" i="24"/>
  <c r="F194" i="24"/>
  <c r="BO194" i="24" s="1"/>
  <c r="BR194" i="24" s="1"/>
  <c r="F12" i="24"/>
  <c r="F99" i="24"/>
  <c r="F117" i="24"/>
  <c r="F186" i="24"/>
  <c r="F133" i="24"/>
  <c r="F246" i="24"/>
  <c r="F118" i="24"/>
  <c r="F243" i="24"/>
  <c r="F45" i="24"/>
  <c r="I45" i="24" s="1"/>
  <c r="F54" i="24"/>
  <c r="F191" i="24"/>
  <c r="I191" i="24" s="1"/>
  <c r="F314" i="24"/>
  <c r="F177" i="24"/>
  <c r="BO177" i="24" s="1"/>
  <c r="BR177" i="24" s="1"/>
  <c r="F33" i="24"/>
  <c r="F100" i="24"/>
  <c r="BO100" i="24" s="1"/>
  <c r="BR100" i="24" s="1"/>
  <c r="F68" i="24"/>
  <c r="F36" i="24"/>
  <c r="BO36" i="24" s="1"/>
  <c r="BR36" i="24" s="1"/>
  <c r="F50" i="24"/>
  <c r="BO50" i="24" s="1"/>
  <c r="BR50" i="24" s="1"/>
  <c r="F18" i="24"/>
  <c r="F146" i="24"/>
  <c r="F280" i="24"/>
  <c r="F302" i="24"/>
  <c r="F176" i="24"/>
  <c r="F267" i="24"/>
  <c r="F46" i="24"/>
  <c r="F163" i="24"/>
  <c r="BO163" i="24" s="1"/>
  <c r="BR163" i="24" s="1"/>
  <c r="F142" i="24"/>
  <c r="I142" i="24" s="1"/>
  <c r="F198" i="24"/>
  <c r="BO198" i="24" s="1"/>
  <c r="BR198" i="24" s="1"/>
  <c r="F276" i="24"/>
  <c r="F115" i="24"/>
  <c r="F255" i="25"/>
  <c r="G255" i="25"/>
  <c r="I255" i="25" s="1"/>
  <c r="F266" i="25"/>
  <c r="G266" i="25"/>
  <c r="BN266" i="25" s="1"/>
  <c r="F182" i="25"/>
  <c r="G182" i="25"/>
  <c r="F210" i="25"/>
  <c r="G210" i="25"/>
  <c r="F269" i="25"/>
  <c r="G269" i="25"/>
  <c r="BN269" i="25" s="1"/>
  <c r="F152" i="25"/>
  <c r="BM152" i="25" s="1"/>
  <c r="G152" i="25"/>
  <c r="F300" i="25"/>
  <c r="G300" i="25"/>
  <c r="BN300" i="25" s="1"/>
  <c r="F37" i="25"/>
  <c r="G37" i="25"/>
  <c r="F180" i="25"/>
  <c r="BM180" i="25" s="1"/>
  <c r="G180" i="25"/>
  <c r="F165" i="25"/>
  <c r="G165" i="25"/>
  <c r="F189" i="25"/>
  <c r="G189" i="25"/>
  <c r="I189" i="25" s="1"/>
  <c r="G277" i="25"/>
  <c r="BN277" i="25" s="1"/>
  <c r="F70" i="25"/>
  <c r="G70" i="25"/>
  <c r="BN70" i="25" s="1"/>
  <c r="F232" i="25"/>
  <c r="BM232" i="25" s="1"/>
  <c r="G232" i="25"/>
  <c r="F6" i="25"/>
  <c r="BM6" i="25" s="1"/>
  <c r="G6" i="25"/>
  <c r="F265" i="25"/>
  <c r="G265" i="25"/>
  <c r="I265" i="25" s="1"/>
  <c r="F31" i="25"/>
  <c r="G31" i="25"/>
  <c r="I31" i="25" s="1"/>
  <c r="F59" i="25"/>
  <c r="G59" i="25"/>
  <c r="I59" i="25" s="1"/>
  <c r="F188" i="25"/>
  <c r="G188" i="25"/>
  <c r="F167" i="24"/>
  <c r="BO167" i="24" s="1"/>
  <c r="BR167" i="24" s="1"/>
  <c r="F237" i="24"/>
  <c r="F30" i="25"/>
  <c r="BM30" i="25" s="1"/>
  <c r="F230" i="24"/>
  <c r="F307" i="24"/>
  <c r="F83" i="24"/>
  <c r="BO83" i="24" s="1"/>
  <c r="BR83" i="24" s="1"/>
  <c r="F19" i="24"/>
  <c r="F170" i="24"/>
  <c r="F304" i="24"/>
  <c r="F205" i="24"/>
  <c r="F70" i="24"/>
  <c r="BO70" i="24" s="1"/>
  <c r="BR70" i="24" s="1"/>
  <c r="F131" i="24"/>
  <c r="BO131" i="24" s="1"/>
  <c r="BR131" i="24" s="1"/>
  <c r="F123" i="24"/>
  <c r="F201" i="24"/>
  <c r="F255" i="24"/>
  <c r="F52" i="24"/>
  <c r="F37" i="24"/>
  <c r="F285" i="24"/>
  <c r="F232" i="24"/>
  <c r="F103" i="24"/>
  <c r="F202" i="24"/>
  <c r="F137" i="24"/>
  <c r="F122" i="24"/>
  <c r="F44" i="24"/>
  <c r="I44" i="24" s="1"/>
  <c r="F309" i="24"/>
  <c r="F256" i="24"/>
  <c r="F152" i="24"/>
  <c r="BO152" i="24" s="1"/>
  <c r="BR152" i="24" s="1"/>
  <c r="F63" i="24"/>
  <c r="F273" i="24"/>
  <c r="F82" i="24"/>
  <c r="F179" i="24"/>
  <c r="F116" i="24"/>
  <c r="F119" i="24"/>
  <c r="I119" i="24" s="1"/>
  <c r="F55" i="24"/>
  <c r="BO55" i="24" s="1"/>
  <c r="BR55" i="24" s="1"/>
  <c r="F265" i="24"/>
  <c r="F171" i="24"/>
  <c r="F295" i="24"/>
  <c r="F13" i="25"/>
  <c r="G13" i="25"/>
  <c r="I13" i="25" s="1"/>
  <c r="F26" i="25"/>
  <c r="G26" i="25"/>
  <c r="BN26" i="25" s="1"/>
  <c r="F77" i="25"/>
  <c r="G77" i="25"/>
  <c r="I77" i="25" s="1"/>
  <c r="F203" i="25"/>
  <c r="BM203" i="25" s="1"/>
  <c r="G203" i="25"/>
  <c r="BN203" i="25" s="1"/>
  <c r="F206" i="25"/>
  <c r="G206" i="25"/>
  <c r="BN206" i="25" s="1"/>
  <c r="F160" i="25"/>
  <c r="G160" i="25"/>
  <c r="BN160" i="25" s="1"/>
  <c r="F280" i="25"/>
  <c r="G280" i="25"/>
  <c r="BN280" i="25" s="1"/>
  <c r="F174" i="25"/>
  <c r="G174" i="25"/>
  <c r="F208" i="25"/>
  <c r="G208" i="25"/>
  <c r="I208" i="25" s="1"/>
  <c r="F132" i="25"/>
  <c r="G132" i="25"/>
  <c r="I132" i="25" s="1"/>
  <c r="F194" i="25"/>
  <c r="G194" i="25"/>
  <c r="I194" i="25" s="1"/>
  <c r="F120" i="25"/>
  <c r="G120" i="25"/>
  <c r="I120" i="25" s="1"/>
  <c r="G218" i="25"/>
  <c r="BN218" i="25" s="1"/>
  <c r="F315" i="25"/>
  <c r="BM315" i="25" s="1"/>
  <c r="G315" i="25"/>
  <c r="BN315" i="25" s="1"/>
  <c r="F271" i="25"/>
  <c r="G271" i="25"/>
  <c r="I271" i="25" s="1"/>
  <c r="F62" i="25"/>
  <c r="G62" i="25"/>
  <c r="I62" i="25" s="1"/>
  <c r="F204" i="25"/>
  <c r="G204" i="25"/>
  <c r="I204" i="25" s="1"/>
  <c r="F74" i="25"/>
  <c r="G74" i="25"/>
  <c r="F177" i="25"/>
  <c r="G177" i="25"/>
  <c r="I177" i="25" s="1"/>
  <c r="F246" i="25"/>
  <c r="BM246" i="25" s="1"/>
  <c r="G246" i="25"/>
  <c r="F126" i="25"/>
  <c r="G126" i="25"/>
  <c r="G15" i="25"/>
  <c r="I15" i="25" s="1"/>
  <c r="F176" i="25"/>
  <c r="G176" i="25"/>
  <c r="F73" i="25"/>
  <c r="G73" i="25"/>
  <c r="F159" i="25"/>
  <c r="BM159" i="25" s="1"/>
  <c r="G159" i="25"/>
  <c r="BN159" i="25" s="1"/>
  <c r="F185" i="25"/>
  <c r="G185" i="25"/>
  <c r="BN185" i="25" s="1"/>
  <c r="F141" i="25"/>
  <c r="BM141" i="25" s="1"/>
  <c r="G141" i="25"/>
  <c r="BN141" i="25" s="1"/>
  <c r="F151" i="25"/>
  <c r="BM151" i="25" s="1"/>
  <c r="G151" i="25"/>
  <c r="BN151" i="25" s="1"/>
  <c r="F168" i="25"/>
  <c r="BM168" i="25" s="1"/>
  <c r="G168" i="25"/>
  <c r="BN168" i="25" s="1"/>
  <c r="F193" i="25"/>
  <c r="BM193" i="25" s="1"/>
  <c r="G193" i="25"/>
  <c r="BN193" i="25" s="1"/>
  <c r="F143" i="25"/>
  <c r="G143" i="25"/>
  <c r="BN143" i="25" s="1"/>
  <c r="F169" i="25"/>
  <c r="G169" i="25"/>
  <c r="BN169" i="25" s="1"/>
  <c r="F273" i="25"/>
  <c r="G273" i="25"/>
  <c r="BN273" i="25" s="1"/>
  <c r="F239" i="25"/>
  <c r="BM239" i="25" s="1"/>
  <c r="G239" i="25"/>
  <c r="I239" i="25" s="1"/>
  <c r="F44" i="25"/>
  <c r="BM44" i="25" s="1"/>
  <c r="G44" i="25"/>
  <c r="I44" i="25" s="1"/>
  <c r="F81" i="25"/>
  <c r="BM81" i="25" s="1"/>
  <c r="G81" i="25"/>
  <c r="I81" i="25" s="1"/>
  <c r="F219" i="25"/>
  <c r="G219" i="25"/>
  <c r="I219" i="25" s="1"/>
  <c r="F230" i="25"/>
  <c r="G230" i="25"/>
  <c r="BN230" i="25" s="1"/>
  <c r="F104" i="25"/>
  <c r="G104" i="25"/>
  <c r="I104" i="25" s="1"/>
  <c r="F21" i="25"/>
  <c r="G21" i="25"/>
  <c r="BN21" i="25" s="1"/>
  <c r="F179" i="25"/>
  <c r="G179" i="25"/>
  <c r="BN179" i="25" s="1"/>
  <c r="F198" i="25"/>
  <c r="G198" i="25"/>
  <c r="I198" i="25" s="1"/>
  <c r="F96" i="25"/>
  <c r="G96" i="25"/>
  <c r="F197" i="25"/>
  <c r="G197" i="25"/>
  <c r="BN197" i="25" s="1"/>
  <c r="F118" i="25"/>
  <c r="G118" i="25"/>
  <c r="BN118" i="25" s="1"/>
  <c r="F115" i="25"/>
  <c r="G115" i="25"/>
  <c r="BN115" i="25" s="1"/>
  <c r="F205" i="25"/>
  <c r="G205" i="25"/>
  <c r="BN205" i="25" s="1"/>
  <c r="F183" i="25"/>
  <c r="G183" i="25"/>
  <c r="BN183" i="25" s="1"/>
  <c r="F200" i="25"/>
  <c r="G200" i="25"/>
  <c r="BN200" i="25" s="1"/>
  <c r="F114" i="25"/>
  <c r="G114" i="25"/>
  <c r="BN114" i="25" s="1"/>
  <c r="F207" i="25"/>
  <c r="G207" i="25"/>
  <c r="BN207" i="25" s="1"/>
  <c r="F130" i="25"/>
  <c r="G130" i="25"/>
  <c r="BN130" i="25" s="1"/>
  <c r="F116" i="25"/>
  <c r="G116" i="25"/>
  <c r="BN116" i="25" s="1"/>
  <c r="F218" i="25"/>
  <c r="BM218" i="25" s="1"/>
  <c r="F168" i="24"/>
  <c r="BO168" i="24" s="1"/>
  <c r="BR168" i="24" s="1"/>
  <c r="F43" i="24"/>
  <c r="F86" i="24"/>
  <c r="BO86" i="24" s="1"/>
  <c r="BR86" i="24" s="1"/>
  <c r="F239" i="24"/>
  <c r="F73" i="24"/>
  <c r="F51" i="24"/>
  <c r="F195" i="24"/>
  <c r="BO195" i="24" s="1"/>
  <c r="BR195" i="24" s="1"/>
  <c r="F290" i="24"/>
  <c r="F291" i="24"/>
  <c r="F102" i="24"/>
  <c r="F257" i="24"/>
  <c r="F151" i="24"/>
  <c r="F164" i="24"/>
  <c r="BO164" i="24" s="1"/>
  <c r="BR164" i="24" s="1"/>
  <c r="F84" i="24"/>
  <c r="F20" i="24"/>
  <c r="F120" i="24"/>
  <c r="F141" i="24"/>
  <c r="F126" i="24"/>
  <c r="BO126" i="24" s="1"/>
  <c r="BR126" i="24" s="1"/>
  <c r="F283" i="24"/>
  <c r="F16" i="24"/>
  <c r="F187" i="24"/>
  <c r="F258" i="24"/>
  <c r="F247" i="24"/>
  <c r="F76" i="24"/>
  <c r="F58" i="24"/>
  <c r="F282" i="24"/>
  <c r="F185" i="24"/>
  <c r="BO185" i="24" s="1"/>
  <c r="BR185" i="24" s="1"/>
  <c r="F181" i="24"/>
  <c r="BO181" i="24" s="1"/>
  <c r="BR181" i="24" s="1"/>
  <c r="F95" i="24"/>
  <c r="F31" i="24"/>
  <c r="F182" i="24"/>
  <c r="F271" i="24"/>
  <c r="F69" i="24"/>
  <c r="F269" i="24"/>
  <c r="F175" i="24"/>
  <c r="BO175" i="24" s="1"/>
  <c r="BR175" i="24" s="1"/>
  <c r="F299" i="24"/>
  <c r="F87" i="24"/>
  <c r="F23" i="24"/>
  <c r="F174" i="24"/>
  <c r="F308" i="24"/>
  <c r="F204" i="24"/>
  <c r="F290" i="25"/>
  <c r="G290" i="25"/>
  <c r="BN290" i="25" s="1"/>
  <c r="F117" i="25"/>
  <c r="G117" i="25"/>
  <c r="I117" i="25" s="1"/>
  <c r="F297" i="25"/>
  <c r="G297" i="25"/>
  <c r="I297" i="25" s="1"/>
  <c r="F312" i="25"/>
  <c r="G312" i="25"/>
  <c r="BN312" i="25" s="1"/>
  <c r="F221" i="25"/>
  <c r="G221" i="25"/>
  <c r="I221" i="25" s="1"/>
  <c r="F49" i="25"/>
  <c r="G49" i="25"/>
  <c r="F35" i="25"/>
  <c r="G35" i="25"/>
  <c r="BN35" i="25" s="1"/>
  <c r="F48" i="25"/>
  <c r="BM48" i="25" s="1"/>
  <c r="G48" i="25"/>
  <c r="BN48" i="25" s="1"/>
  <c r="F85" i="25"/>
  <c r="G85" i="25"/>
  <c r="BN85" i="25" s="1"/>
  <c r="F91" i="25"/>
  <c r="G91" i="25"/>
  <c r="BN91" i="25" s="1"/>
  <c r="F20" i="25"/>
  <c r="G20" i="25"/>
  <c r="BN20" i="25" s="1"/>
  <c r="F57" i="25"/>
  <c r="G57" i="25"/>
  <c r="BN57" i="25" s="1"/>
  <c r="F98" i="25"/>
  <c r="G98" i="25"/>
  <c r="BN98" i="25" s="1"/>
  <c r="F24" i="25"/>
  <c r="G24" i="25"/>
  <c r="BN24" i="25" s="1"/>
  <c r="F22" i="25"/>
  <c r="G22" i="25"/>
  <c r="BN22" i="25" s="1"/>
  <c r="F123" i="25"/>
  <c r="G123" i="25"/>
  <c r="BN123" i="25" s="1"/>
  <c r="F140" i="25"/>
  <c r="G140" i="25"/>
  <c r="BN140" i="25" s="1"/>
  <c r="F149" i="25"/>
  <c r="G149" i="25"/>
  <c r="BN149" i="25" s="1"/>
  <c r="F127" i="25"/>
  <c r="G127" i="25"/>
  <c r="BN127" i="25" s="1"/>
  <c r="F153" i="25"/>
  <c r="G153" i="25"/>
  <c r="BN153" i="25" s="1"/>
  <c r="F196" i="25"/>
  <c r="G196" i="25"/>
  <c r="BN196" i="25" s="1"/>
  <c r="F135" i="25"/>
  <c r="G135" i="25"/>
  <c r="BN135" i="25" s="1"/>
  <c r="F307" i="25"/>
  <c r="G307" i="25"/>
  <c r="I307" i="25" s="1"/>
  <c r="F99" i="25"/>
  <c r="G99" i="25"/>
  <c r="F43" i="25"/>
  <c r="G43" i="25"/>
  <c r="BN43" i="25" s="1"/>
  <c r="F40" i="25"/>
  <c r="G40" i="25"/>
  <c r="BN40" i="25" s="1"/>
  <c r="F54" i="25"/>
  <c r="G54" i="25"/>
  <c r="BN54" i="25" s="1"/>
  <c r="F139" i="25"/>
  <c r="G139" i="25"/>
  <c r="BN139" i="25" s="1"/>
  <c r="F156" i="25"/>
  <c r="G156" i="25"/>
  <c r="I156" i="25" s="1"/>
  <c r="F278" i="25"/>
  <c r="G278" i="25"/>
  <c r="I278" i="25" s="1"/>
  <c r="F32" i="25"/>
  <c r="G32" i="25"/>
  <c r="F311" i="25"/>
  <c r="G311" i="25"/>
  <c r="I311" i="25" s="1"/>
  <c r="F150" i="25"/>
  <c r="G150" i="25"/>
  <c r="F260" i="25"/>
  <c r="G260" i="25"/>
  <c r="I260" i="25" s="1"/>
  <c r="F227" i="25"/>
  <c r="G227" i="25"/>
  <c r="I227" i="25" s="1"/>
  <c r="G97" i="25"/>
  <c r="F46" i="25"/>
  <c r="G46" i="25"/>
  <c r="BN46" i="25" s="1"/>
  <c r="F79" i="25"/>
  <c r="G79" i="25"/>
  <c r="BN79" i="25" s="1"/>
  <c r="F68" i="25"/>
  <c r="G68" i="25"/>
  <c r="BN68" i="25" s="1"/>
  <c r="F18" i="25"/>
  <c r="G18" i="25"/>
  <c r="BN18" i="25" s="1"/>
  <c r="F51" i="25"/>
  <c r="G51" i="25"/>
  <c r="BN51" i="25" s="1"/>
  <c r="F72" i="25"/>
  <c r="G72" i="25"/>
  <c r="BN72" i="25" s="1"/>
  <c r="F67" i="25"/>
  <c r="G67" i="25"/>
  <c r="BN67" i="25" s="1"/>
  <c r="F171" i="25"/>
  <c r="G171" i="25"/>
  <c r="BN171" i="25" s="1"/>
  <c r="F295" i="25"/>
  <c r="G295" i="25"/>
  <c r="BN295" i="25" s="1"/>
  <c r="F82" i="25"/>
  <c r="BM82" i="25" s="1"/>
  <c r="F34" i="25"/>
  <c r="BM34" i="25" s="1"/>
  <c r="F80" i="25"/>
  <c r="BM80" i="25" s="1"/>
  <c r="F284" i="24"/>
  <c r="F311" i="24"/>
  <c r="F148" i="24"/>
  <c r="BO148" i="24" s="1"/>
  <c r="BR148" i="24" s="1"/>
  <c r="F127" i="24"/>
  <c r="BO127" i="24" s="1"/>
  <c r="BR127" i="24" s="1"/>
  <c r="F150" i="24"/>
  <c r="BO150" i="24" s="1"/>
  <c r="BR150" i="24" s="1"/>
  <c r="F87" i="25"/>
  <c r="BM87" i="25" s="1"/>
  <c r="F61" i="24"/>
  <c r="BO61" i="24" s="1"/>
  <c r="BR61" i="24" s="1"/>
  <c r="F42" i="24"/>
  <c r="BO42" i="24" s="1"/>
  <c r="BR42" i="24" s="1"/>
  <c r="F60" i="24"/>
  <c r="BO60" i="24" s="1"/>
  <c r="BR60" i="24" s="1"/>
  <c r="F53" i="24"/>
  <c r="BO53" i="24" s="1"/>
  <c r="BR53" i="24" s="1"/>
  <c r="F81" i="24"/>
  <c r="BO81" i="24" s="1"/>
  <c r="BR81" i="24" s="1"/>
  <c r="F92" i="24"/>
  <c r="F293" i="24"/>
  <c r="F240" i="24"/>
  <c r="F200" i="24"/>
  <c r="F15" i="24"/>
  <c r="F166" i="24"/>
  <c r="F300" i="24"/>
  <c r="F17" i="24"/>
  <c r="F34" i="24"/>
  <c r="F221" i="24"/>
  <c r="F270" i="24"/>
  <c r="F13" i="24"/>
  <c r="F313" i="24"/>
  <c r="F260" i="24"/>
  <c r="F156" i="24"/>
  <c r="F90" i="24"/>
  <c r="F245" i="24"/>
  <c r="F217" i="24"/>
  <c r="F275" i="24"/>
  <c r="F8" i="24"/>
  <c r="F199" i="24"/>
  <c r="F155" i="24"/>
  <c r="F220" i="24"/>
  <c r="F180" i="24"/>
  <c r="F27" i="24"/>
  <c r="F178" i="24"/>
  <c r="BO178" i="24" s="1"/>
  <c r="BR178" i="24" s="1"/>
  <c r="F312" i="24"/>
  <c r="F208" i="24"/>
  <c r="F89" i="24"/>
  <c r="F113" i="24"/>
  <c r="F306" i="24"/>
  <c r="F128" i="24"/>
  <c r="F231" i="24"/>
  <c r="F286" i="25"/>
  <c r="G286" i="25"/>
  <c r="F276" i="25"/>
  <c r="G276" i="25"/>
  <c r="I276" i="25" s="1"/>
  <c r="F288" i="25"/>
  <c r="G288" i="25"/>
  <c r="BN288" i="25" s="1"/>
  <c r="F259" i="25"/>
  <c r="BM259" i="25" s="1"/>
  <c r="G259" i="25"/>
  <c r="I259" i="25" s="1"/>
  <c r="F308" i="25"/>
  <c r="G308" i="25"/>
  <c r="F283" i="25"/>
  <c r="G283" i="25"/>
  <c r="I283" i="25" s="1"/>
  <c r="F301" i="25"/>
  <c r="G301" i="25"/>
  <c r="F287" i="25"/>
  <c r="G287" i="25"/>
  <c r="I287" i="25" s="1"/>
  <c r="F268" i="25"/>
  <c r="G268" i="25"/>
  <c r="F12" i="25"/>
  <c r="G12" i="25"/>
  <c r="F314" i="25"/>
  <c r="G314" i="25"/>
  <c r="F274" i="25"/>
  <c r="G274" i="25"/>
  <c r="BN274" i="25" s="1"/>
  <c r="F263" i="25"/>
  <c r="G263" i="25"/>
  <c r="F253" i="25"/>
  <c r="G253" i="25"/>
  <c r="BN253" i="25" s="1"/>
  <c r="F100" i="25"/>
  <c r="G100" i="25"/>
  <c r="I100" i="25" s="1"/>
  <c r="F76" i="25"/>
  <c r="G76" i="25"/>
  <c r="I76" i="25" s="1"/>
  <c r="F84" i="25"/>
  <c r="G84" i="25"/>
  <c r="BN84" i="25" s="1"/>
  <c r="F90" i="25"/>
  <c r="G90" i="25"/>
  <c r="F45" i="25"/>
  <c r="G45" i="25"/>
  <c r="F64" i="25"/>
  <c r="G64" i="25"/>
  <c r="F14" i="25"/>
  <c r="G14" i="25"/>
  <c r="F36" i="25"/>
  <c r="G36" i="25"/>
  <c r="I36" i="25" s="1"/>
  <c r="F306" i="25"/>
  <c r="G306" i="25"/>
  <c r="F231" i="25"/>
  <c r="G231" i="25"/>
  <c r="BN231" i="25" s="1"/>
  <c r="F285" i="25"/>
  <c r="G285" i="25"/>
  <c r="F101" i="25"/>
  <c r="G101" i="25"/>
  <c r="F19" i="25"/>
  <c r="G19" i="25"/>
  <c r="F187" i="25"/>
  <c r="G187" i="25"/>
  <c r="F55" i="25"/>
  <c r="G55" i="25"/>
  <c r="G50" i="25"/>
  <c r="F142" i="25"/>
  <c r="G142" i="25"/>
  <c r="F166" i="25"/>
  <c r="G166" i="25"/>
  <c r="F256" i="25"/>
  <c r="BM256" i="25" s="1"/>
  <c r="G256" i="25"/>
  <c r="I256" i="25" s="1"/>
  <c r="F41" i="25"/>
  <c r="G41" i="25"/>
  <c r="BN41" i="25" s="1"/>
  <c r="F133" i="25"/>
  <c r="G133" i="25"/>
  <c r="I133" i="25" s="1"/>
  <c r="F119" i="25"/>
  <c r="G119" i="25"/>
  <c r="BN119" i="25" s="1"/>
  <c r="F131" i="25"/>
  <c r="G131" i="25"/>
  <c r="I131" i="25" s="1"/>
  <c r="F167" i="25"/>
  <c r="G167" i="25"/>
  <c r="F184" i="25"/>
  <c r="G184" i="25"/>
  <c r="F209" i="25"/>
  <c r="G209" i="25"/>
  <c r="F175" i="25"/>
  <c r="G175" i="25"/>
  <c r="F201" i="25"/>
  <c r="G201" i="25"/>
  <c r="F289" i="25"/>
  <c r="G289" i="25"/>
  <c r="I289" i="25" s="1"/>
  <c r="F238" i="25"/>
  <c r="G238" i="25"/>
  <c r="I238" i="25" s="1"/>
  <c r="F234" i="25"/>
  <c r="G234" i="25"/>
  <c r="F313" i="25"/>
  <c r="G313" i="25"/>
  <c r="I313" i="25" s="1"/>
  <c r="F304" i="25"/>
  <c r="G304" i="25"/>
  <c r="F60" i="25"/>
  <c r="G60" i="25"/>
  <c r="F75" i="25"/>
  <c r="G75" i="25"/>
  <c r="I75" i="25" s="1"/>
  <c r="F95" i="25"/>
  <c r="G95" i="25"/>
  <c r="I95" i="25" s="1"/>
  <c r="F264" i="25"/>
  <c r="G264" i="25"/>
  <c r="BN264" i="25" s="1"/>
  <c r="F235" i="25"/>
  <c r="G235" i="25"/>
  <c r="I235" i="25" s="1"/>
  <c r="F183" i="24"/>
  <c r="BO183" i="24" s="1"/>
  <c r="BR183" i="24" s="1"/>
  <c r="F105" i="24"/>
  <c r="F63" i="25"/>
  <c r="BM63" i="25" s="1"/>
  <c r="F26" i="24"/>
  <c r="BO26" i="24" s="1"/>
  <c r="BR26" i="24" s="1"/>
  <c r="F9" i="24"/>
  <c r="F48" i="24"/>
  <c r="BO48" i="24" s="1"/>
  <c r="BR48" i="24" s="1"/>
  <c r="F11" i="24"/>
  <c r="BO11" i="24" s="1"/>
  <c r="BR11" i="24" s="1"/>
  <c r="F28" i="24"/>
  <c r="BO28" i="24" s="1"/>
  <c r="BR28" i="24" s="1"/>
  <c r="F78" i="24"/>
  <c r="BO78" i="24" s="1"/>
  <c r="BR78" i="24" s="1"/>
  <c r="F29" i="24"/>
  <c r="BO29" i="24" s="1"/>
  <c r="BR29" i="24" s="1"/>
  <c r="F277" i="25"/>
  <c r="BM277" i="25" s="1"/>
  <c r="F310" i="25"/>
  <c r="BM310" i="25" s="1"/>
  <c r="F111" i="25"/>
  <c r="BM111" i="25" s="1"/>
  <c r="F69" i="25"/>
  <c r="BM69" i="25" s="1"/>
  <c r="F25" i="24"/>
  <c r="F226" i="24"/>
  <c r="F149" i="24"/>
  <c r="F124" i="24"/>
  <c r="F227" i="24"/>
  <c r="F47" i="24"/>
  <c r="F121" i="24"/>
  <c r="F278" i="24"/>
  <c r="F210" i="24"/>
  <c r="F287" i="24"/>
  <c r="F65" i="24"/>
  <c r="BO65" i="24" s="1"/>
  <c r="BR65" i="24" s="1"/>
  <c r="F66" i="24"/>
  <c r="F218" i="24"/>
  <c r="F264" i="24"/>
  <c r="F219" i="24"/>
  <c r="F57" i="24"/>
  <c r="F80" i="24"/>
  <c r="F294" i="24"/>
  <c r="F197" i="24"/>
  <c r="F189" i="24"/>
  <c r="F49" i="24"/>
  <c r="F93" i="24"/>
  <c r="F154" i="24"/>
  <c r="F288" i="24"/>
  <c r="F184" i="24"/>
  <c r="F40" i="24"/>
  <c r="F305" i="24"/>
  <c r="F316" i="24"/>
  <c r="F203" i="24"/>
  <c r="F139" i="24"/>
  <c r="F222" i="24"/>
  <c r="F235" i="24"/>
  <c r="F32" i="24"/>
  <c r="F297" i="24"/>
  <c r="F244" i="24"/>
  <c r="F140" i="24"/>
  <c r="F240" i="25"/>
  <c r="G240" i="25"/>
  <c r="BN240" i="25" s="1"/>
  <c r="F284" i="25"/>
  <c r="G284" i="25"/>
  <c r="F267" i="25"/>
  <c r="G267" i="25"/>
  <c r="F251" i="25"/>
  <c r="G251" i="25"/>
  <c r="F33" i="25"/>
  <c r="G33" i="25"/>
  <c r="F27" i="25"/>
  <c r="G27" i="25"/>
  <c r="F154" i="25"/>
  <c r="G154" i="25"/>
  <c r="F261" i="25"/>
  <c r="G261" i="25"/>
  <c r="F249" i="25"/>
  <c r="G249" i="25"/>
  <c r="F217" i="25"/>
  <c r="G217" i="25"/>
  <c r="BN217" i="25" s="1"/>
  <c r="F28" i="25"/>
  <c r="G28" i="25"/>
  <c r="F65" i="25"/>
  <c r="G65" i="25"/>
  <c r="F228" i="25"/>
  <c r="G228" i="25"/>
  <c r="F299" i="25"/>
  <c r="BM299" i="25" s="1"/>
  <c r="G299" i="25"/>
  <c r="F155" i="25"/>
  <c r="G155" i="25"/>
  <c r="F172" i="25"/>
  <c r="G172" i="25"/>
  <c r="F181" i="25"/>
  <c r="G181" i="25"/>
  <c r="I181" i="25" s="1"/>
  <c r="F191" i="25"/>
  <c r="G191" i="25"/>
  <c r="F178" i="25"/>
  <c r="G178" i="25"/>
  <c r="F173" i="25"/>
  <c r="G173" i="25"/>
  <c r="F309" i="25"/>
  <c r="G309" i="25"/>
  <c r="F7" i="25"/>
  <c r="G7" i="25"/>
  <c r="F92" i="25"/>
  <c r="G92" i="25"/>
  <c r="F78" i="25"/>
  <c r="G78" i="25"/>
  <c r="F229" i="25"/>
  <c r="G229" i="25"/>
  <c r="BN229" i="25" s="1"/>
  <c r="F303" i="25"/>
  <c r="BM303" i="25" s="1"/>
  <c r="G303" i="25"/>
  <c r="F282" i="25"/>
  <c r="G282" i="25"/>
  <c r="BN282" i="25" s="1"/>
  <c r="F172" i="24"/>
  <c r="BO172" i="24" s="1"/>
  <c r="BR172" i="24" s="1"/>
  <c r="F50" i="25"/>
  <c r="BM50" i="25" s="1"/>
  <c r="F17" i="25"/>
  <c r="BM17" i="25" s="1"/>
  <c r="F97" i="25"/>
  <c r="BM97" i="25" s="1"/>
  <c r="F59" i="24"/>
  <c r="BO59" i="24" s="1"/>
  <c r="BR59" i="24" s="1"/>
  <c r="F15" i="25"/>
  <c r="BM15" i="25" s="1"/>
  <c r="F85" i="24"/>
  <c r="F10" i="24"/>
  <c r="F229" i="24"/>
  <c r="F136" i="24"/>
  <c r="F79" i="24"/>
  <c r="F289" i="24"/>
  <c r="F236" i="24"/>
  <c r="F196" i="24"/>
  <c r="F98" i="24"/>
  <c r="BO98" i="24" s="1"/>
  <c r="BR98" i="24" s="1"/>
  <c r="F310" i="24"/>
  <c r="F209" i="24"/>
  <c r="F193" i="24"/>
  <c r="F315" i="24"/>
  <c r="F30" i="24"/>
  <c r="F249" i="24"/>
  <c r="F135" i="24"/>
  <c r="F279" i="24"/>
  <c r="F35" i="24"/>
  <c r="F207" i="24"/>
  <c r="F238" i="24"/>
  <c r="F112" i="24"/>
  <c r="F72" i="24"/>
  <c r="F262" i="24"/>
  <c r="F173" i="24"/>
  <c r="F234" i="24"/>
  <c r="F303" i="24"/>
  <c r="F91" i="24"/>
  <c r="F301" i="24"/>
  <c r="F248" i="24"/>
  <c r="F144" i="24"/>
  <c r="F64" i="24"/>
  <c r="F242" i="24"/>
  <c r="F153" i="24"/>
  <c r="F161" i="24"/>
  <c r="F250" i="25"/>
  <c r="G250" i="25"/>
  <c r="F25" i="25"/>
  <c r="G25" i="25"/>
  <c r="F66" i="25"/>
  <c r="G66" i="25"/>
  <c r="F39" i="25"/>
  <c r="G39" i="25"/>
  <c r="F61" i="25"/>
  <c r="G61" i="25"/>
  <c r="F170" i="25"/>
  <c r="G170" i="25"/>
  <c r="F272" i="25"/>
  <c r="G272" i="25"/>
  <c r="F242" i="25"/>
  <c r="G242" i="25"/>
  <c r="I242" i="25" s="1"/>
  <c r="F252" i="25"/>
  <c r="G252" i="25"/>
  <c r="F225" i="25"/>
  <c r="G225" i="25"/>
  <c r="F247" i="25"/>
  <c r="G247" i="25"/>
  <c r="BN247" i="25" s="1"/>
  <c r="F316" i="25"/>
  <c r="G316" i="25"/>
  <c r="F293" i="25"/>
  <c r="G293" i="25"/>
  <c r="F281" i="25"/>
  <c r="G281" i="25"/>
  <c r="I281" i="25" s="1"/>
  <c r="F89" i="25"/>
  <c r="G89" i="25"/>
  <c r="F47" i="25"/>
  <c r="G47" i="25"/>
  <c r="F56" i="25"/>
  <c r="G56" i="25"/>
  <c r="I56" i="25" s="1"/>
  <c r="F86" i="25"/>
  <c r="G86" i="25"/>
  <c r="G110" i="25"/>
  <c r="BN110" i="25" s="1"/>
  <c r="BQ110" i="25" s="1"/>
  <c r="F305" i="25"/>
  <c r="G305" i="25"/>
  <c r="F124" i="25"/>
  <c r="G124" i="25"/>
  <c r="F121" i="25"/>
  <c r="G121" i="25"/>
  <c r="F136" i="25"/>
  <c r="G136" i="25"/>
  <c r="F161" i="25"/>
  <c r="G161" i="25"/>
  <c r="F292" i="25"/>
  <c r="G292" i="25"/>
  <c r="F243" i="25"/>
  <c r="G243" i="25"/>
  <c r="G216" i="25"/>
  <c r="BN216" i="25" s="1"/>
  <c r="BQ216" i="25" s="1"/>
  <c r="F298" i="25"/>
  <c r="G298" i="25"/>
  <c r="BN298" i="25" s="1"/>
  <c r="F113" i="25"/>
  <c r="G113" i="25"/>
  <c r="F148" i="25"/>
  <c r="G148" i="25"/>
  <c r="F233" i="25"/>
  <c r="G233" i="25"/>
  <c r="BN233" i="25" s="1"/>
  <c r="F291" i="25"/>
  <c r="G291" i="25"/>
  <c r="I291" i="25" s="1"/>
  <c r="F262" i="25"/>
  <c r="BM262" i="25" s="1"/>
  <c r="G262" i="25"/>
  <c r="F144" i="25"/>
  <c r="G144" i="25"/>
  <c r="F199" i="25"/>
  <c r="G199" i="25"/>
  <c r="I199" i="25" s="1"/>
  <c r="F146" i="25"/>
  <c r="G146" i="25"/>
  <c r="BN146" i="25" s="1"/>
  <c r="F220" i="25"/>
  <c r="G220" i="25"/>
  <c r="I220" i="25" s="1"/>
  <c r="F258" i="25"/>
  <c r="G258" i="25"/>
  <c r="BN258" i="25" s="1"/>
  <c r="F296" i="25"/>
  <c r="G296" i="25"/>
  <c r="I296" i="25" s="1"/>
  <c r="F248" i="25"/>
  <c r="G248" i="25"/>
  <c r="I248" i="25" s="1"/>
  <c r="F134" i="25"/>
  <c r="G134" i="25"/>
  <c r="I134" i="25" s="1"/>
  <c r="F128" i="25"/>
  <c r="G128" i="25"/>
  <c r="BN128" i="25" s="1"/>
  <c r="F302" i="25"/>
  <c r="G302" i="25"/>
  <c r="I302" i="25" s="1"/>
  <c r="F254" i="25"/>
  <c r="G254" i="25"/>
  <c r="I254" i="25" s="1"/>
  <c r="F112" i="25"/>
  <c r="G112" i="25"/>
  <c r="F103" i="25"/>
  <c r="G103" i="25"/>
  <c r="F88" i="25"/>
  <c r="G88" i="25"/>
  <c r="F147" i="25"/>
  <c r="G147" i="25"/>
  <c r="F138" i="25"/>
  <c r="G138" i="25"/>
  <c r="I138" i="25" s="1"/>
  <c r="F224" i="25"/>
  <c r="BM224" i="25" s="1"/>
  <c r="G224" i="25"/>
  <c r="BN224" i="25" s="1"/>
  <c r="F275" i="25"/>
  <c r="G275" i="25"/>
  <c r="I275" i="25" s="1"/>
  <c r="F223" i="25"/>
  <c r="G223" i="25"/>
  <c r="I223" i="25" s="1"/>
  <c r="F158" i="25"/>
  <c r="G158" i="25"/>
  <c r="F222" i="25"/>
  <c r="G222" i="25"/>
  <c r="I222" i="25" s="1"/>
  <c r="F102" i="25"/>
  <c r="G102" i="25"/>
  <c r="F10" i="25"/>
  <c r="BM10" i="25" s="1"/>
  <c r="G10" i="25"/>
  <c r="F244" i="25"/>
  <c r="G244" i="25"/>
  <c r="I244" i="25" s="1"/>
  <c r="F294" i="25"/>
  <c r="G294" i="25"/>
  <c r="I294" i="25" s="1"/>
  <c r="BO281" i="24" l="1"/>
  <c r="BR281" i="24" s="1"/>
  <c r="BO235" i="24"/>
  <c r="BR235" i="24" s="1"/>
  <c r="I236" i="24"/>
  <c r="BO259" i="24"/>
  <c r="BR259" i="24" s="1"/>
  <c r="I294" i="24"/>
  <c r="BK294" i="24" s="1"/>
  <c r="BO274" i="24"/>
  <c r="BR274" i="24" s="1"/>
  <c r="BO241" i="24"/>
  <c r="BR241" i="24" s="1"/>
  <c r="U248" i="24"/>
  <c r="U227" i="24"/>
  <c r="I257" i="24"/>
  <c r="M257" i="24" s="1"/>
  <c r="N257" i="24" s="1"/>
  <c r="U257" i="24"/>
  <c r="BO298" i="24"/>
  <c r="BR298" i="24" s="1"/>
  <c r="U287" i="24"/>
  <c r="U219" i="24"/>
  <c r="BO291" i="24"/>
  <c r="BR291" i="24" s="1"/>
  <c r="BO250" i="24"/>
  <c r="BR250" i="24" s="1"/>
  <c r="BO311" i="24"/>
  <c r="BR311" i="24" s="1"/>
  <c r="I264" i="24"/>
  <c r="BO285" i="24"/>
  <c r="BR285" i="24" s="1"/>
  <c r="BO228" i="24"/>
  <c r="BR228" i="24" s="1"/>
  <c r="BO302" i="24"/>
  <c r="BR302" i="24" s="1"/>
  <c r="BO277" i="24"/>
  <c r="BR277" i="24" s="1"/>
  <c r="U312" i="24"/>
  <c r="BO243" i="24"/>
  <c r="BR243" i="24" s="1"/>
  <c r="BO284" i="24"/>
  <c r="BR284" i="24" s="1"/>
  <c r="BO223" i="24"/>
  <c r="BR223" i="24" s="1"/>
  <c r="BO251" i="24"/>
  <c r="BR251" i="24" s="1"/>
  <c r="U225" i="24"/>
  <c r="I233" i="24"/>
  <c r="BK233" i="24" s="1"/>
  <c r="BO275" i="24"/>
  <c r="BR275" i="24" s="1"/>
  <c r="BO283" i="24"/>
  <c r="BR283" i="24" s="1"/>
  <c r="BO307" i="24"/>
  <c r="BR307" i="24" s="1"/>
  <c r="I292" i="24"/>
  <c r="U292" i="24" s="1"/>
  <c r="BQ218" i="25"/>
  <c r="BO105" i="24"/>
  <c r="BR105" i="24" s="1"/>
  <c r="BQ82" i="25"/>
  <c r="BQ69" i="25"/>
  <c r="BQ87" i="25"/>
  <c r="J29" i="25"/>
  <c r="BI29" i="25" s="1"/>
  <c r="J257" i="25"/>
  <c r="N257" i="25" s="1"/>
  <c r="T257" i="25" s="1"/>
  <c r="J179" i="25"/>
  <c r="BI179" i="25" s="1"/>
  <c r="J143" i="25"/>
  <c r="N143" i="25" s="1"/>
  <c r="P143" i="25" s="1"/>
  <c r="I69" i="25"/>
  <c r="J293" i="25"/>
  <c r="N293" i="25" s="1"/>
  <c r="T293" i="25" s="1"/>
  <c r="BQ30" i="25"/>
  <c r="I274" i="25"/>
  <c r="I43" i="25"/>
  <c r="J110" i="25"/>
  <c r="N110" i="25" s="1"/>
  <c r="O110" i="25" s="1"/>
  <c r="J265" i="25"/>
  <c r="BI265" i="25" s="1"/>
  <c r="BQ193" i="25"/>
  <c r="J11" i="25"/>
  <c r="L11" i="25" s="1"/>
  <c r="BN202" i="25"/>
  <c r="BQ202" i="25" s="1"/>
  <c r="BQ141" i="25"/>
  <c r="I253" i="25"/>
  <c r="BN186" i="25"/>
  <c r="BQ186" i="25" s="1"/>
  <c r="J129" i="25"/>
  <c r="N129" i="25" s="1"/>
  <c r="O129" i="25" s="1"/>
  <c r="I41" i="24"/>
  <c r="M41" i="24" s="1"/>
  <c r="BN81" i="25"/>
  <c r="BQ81" i="25" s="1"/>
  <c r="I40" i="25"/>
  <c r="I35" i="25"/>
  <c r="I230" i="25"/>
  <c r="I141" i="25"/>
  <c r="J77" i="25"/>
  <c r="BI77" i="25" s="1"/>
  <c r="BN52" i="25"/>
  <c r="I257" i="25"/>
  <c r="BQ224" i="25"/>
  <c r="J258" i="25"/>
  <c r="BI258" i="25" s="1"/>
  <c r="J131" i="25"/>
  <c r="N131" i="25" s="1"/>
  <c r="I290" i="25"/>
  <c r="BQ159" i="25"/>
  <c r="J237" i="25"/>
  <c r="L237" i="25" s="1"/>
  <c r="BO45" i="24"/>
  <c r="BR45" i="24" s="1"/>
  <c r="BN235" i="25"/>
  <c r="I119" i="25"/>
  <c r="BN156" i="25"/>
  <c r="I149" i="25"/>
  <c r="I280" i="25"/>
  <c r="I203" i="25"/>
  <c r="J189" i="25"/>
  <c r="BI189" i="25" s="1"/>
  <c r="BQ53" i="25"/>
  <c r="I164" i="25"/>
  <c r="I8" i="25"/>
  <c r="I241" i="25"/>
  <c r="I125" i="25"/>
  <c r="I87" i="25"/>
  <c r="I55" i="24"/>
  <c r="BK55" i="24" s="1"/>
  <c r="J28" i="25"/>
  <c r="BI28" i="25" s="1"/>
  <c r="I24" i="25"/>
  <c r="I193" i="25"/>
  <c r="J177" i="25"/>
  <c r="N177" i="25" s="1"/>
  <c r="T177" i="25" s="1"/>
  <c r="J280" i="25"/>
  <c r="L280" i="25" s="1"/>
  <c r="I72" i="25"/>
  <c r="I54" i="25"/>
  <c r="I207" i="25"/>
  <c r="BN239" i="25"/>
  <c r="BQ239" i="25" s="1"/>
  <c r="BN95" i="25"/>
  <c r="J104" i="25"/>
  <c r="L104" i="25" s="1"/>
  <c r="I206" i="25"/>
  <c r="I277" i="25"/>
  <c r="I83" i="25"/>
  <c r="J94" i="25"/>
  <c r="BI94" i="25" s="1"/>
  <c r="BO233" i="24"/>
  <c r="BR233" i="24" s="1"/>
  <c r="I160" i="24"/>
  <c r="S160" i="24" s="1"/>
  <c r="T160" i="24" s="1"/>
  <c r="I233" i="25"/>
  <c r="BN276" i="25"/>
  <c r="I171" i="25"/>
  <c r="I18" i="25"/>
  <c r="I79" i="25"/>
  <c r="I135" i="25"/>
  <c r="I153" i="25"/>
  <c r="I123" i="25"/>
  <c r="I57" i="25"/>
  <c r="I91" i="25"/>
  <c r="I48" i="25"/>
  <c r="I205" i="25"/>
  <c r="BN44" i="25"/>
  <c r="BQ44" i="25" s="1"/>
  <c r="I185" i="25"/>
  <c r="I218" i="25"/>
  <c r="BN77" i="25"/>
  <c r="BN13" i="25"/>
  <c r="I269" i="25"/>
  <c r="BM257" i="25"/>
  <c r="BQ257" i="25" s="1"/>
  <c r="I236" i="25"/>
  <c r="BM143" i="25"/>
  <c r="BQ143" i="25" s="1"/>
  <c r="BN131" i="25"/>
  <c r="BN133" i="25"/>
  <c r="BN256" i="25"/>
  <c r="BQ256" i="25" s="1"/>
  <c r="I231" i="25"/>
  <c r="BN287" i="25"/>
  <c r="I130" i="25"/>
  <c r="I197" i="25"/>
  <c r="BN198" i="25"/>
  <c r="BN104" i="25"/>
  <c r="I160" i="25"/>
  <c r="I26" i="25"/>
  <c r="BN245" i="25"/>
  <c r="BN38" i="25"/>
  <c r="BQ38" i="25" s="1"/>
  <c r="BN220" i="25"/>
  <c r="I146" i="25"/>
  <c r="I41" i="25"/>
  <c r="BN36" i="25"/>
  <c r="BN76" i="25"/>
  <c r="BN311" i="25"/>
  <c r="BQ48" i="25"/>
  <c r="I200" i="25"/>
  <c r="I179" i="25"/>
  <c r="I143" i="25"/>
  <c r="I151" i="25"/>
  <c r="BN177" i="25"/>
  <c r="BN270" i="25"/>
  <c r="I23" i="25"/>
  <c r="BN294" i="25"/>
  <c r="I128" i="25"/>
  <c r="I84" i="25"/>
  <c r="BN100" i="25"/>
  <c r="BN259" i="25"/>
  <c r="BQ259" i="25" s="1"/>
  <c r="BN227" i="25"/>
  <c r="I139" i="25"/>
  <c r="I115" i="25"/>
  <c r="I159" i="25"/>
  <c r="BN271" i="25"/>
  <c r="I300" i="25"/>
  <c r="I58" i="25"/>
  <c r="BN302" i="25"/>
  <c r="I67" i="25"/>
  <c r="I51" i="25"/>
  <c r="I68" i="25"/>
  <c r="I46" i="25"/>
  <c r="I196" i="25"/>
  <c r="I127" i="25"/>
  <c r="I140" i="25"/>
  <c r="I22" i="25"/>
  <c r="I98" i="25"/>
  <c r="I20" i="25"/>
  <c r="I85" i="25"/>
  <c r="I312" i="25"/>
  <c r="I315" i="25"/>
  <c r="I70" i="25"/>
  <c r="BN189" i="25"/>
  <c r="BN255" i="25"/>
  <c r="J190" i="25"/>
  <c r="L190" i="25" s="1"/>
  <c r="BN94" i="25"/>
  <c r="BQ277" i="25"/>
  <c r="I183" i="25"/>
  <c r="I273" i="25"/>
  <c r="BM29" i="25"/>
  <c r="BQ29" i="25" s="1"/>
  <c r="BN310" i="25"/>
  <c r="BQ310" i="25" s="1"/>
  <c r="BQ58" i="25"/>
  <c r="I237" i="25"/>
  <c r="BN134" i="25"/>
  <c r="BN283" i="25"/>
  <c r="I116" i="25"/>
  <c r="I118" i="25"/>
  <c r="I21" i="25"/>
  <c r="BQ315" i="25"/>
  <c r="I30" i="25"/>
  <c r="I82" i="25"/>
  <c r="I258" i="25"/>
  <c r="BN248" i="25"/>
  <c r="I282" i="25"/>
  <c r="BN75" i="25"/>
  <c r="BN307" i="25"/>
  <c r="I114" i="25"/>
  <c r="BN265" i="25"/>
  <c r="I266" i="25"/>
  <c r="BK264" i="24"/>
  <c r="S264" i="24"/>
  <c r="T264" i="24" s="1"/>
  <c r="P257" i="24"/>
  <c r="Q257" i="24"/>
  <c r="BK44" i="24"/>
  <c r="S44" i="24"/>
  <c r="T44" i="24" s="1"/>
  <c r="BK236" i="24"/>
  <c r="S236" i="24"/>
  <c r="T236" i="24" s="1"/>
  <c r="M236" i="24"/>
  <c r="N236" i="24" s="1"/>
  <c r="AL291" i="25"/>
  <c r="CC291" i="25"/>
  <c r="H291" i="25"/>
  <c r="J291" i="25"/>
  <c r="L291" i="25" s="1"/>
  <c r="BM291" i="25"/>
  <c r="BN305" i="25"/>
  <c r="I305" i="25"/>
  <c r="BN275" i="25"/>
  <c r="BN161" i="25"/>
  <c r="K72" i="24"/>
  <c r="AM72" i="24"/>
  <c r="H72" i="24"/>
  <c r="CE72" i="24"/>
  <c r="CF72" i="24"/>
  <c r="I72" i="24"/>
  <c r="M72" i="24" s="1"/>
  <c r="N72" i="24" s="1"/>
  <c r="BO72" i="24"/>
  <c r="BR72" i="24" s="1"/>
  <c r="K30" i="24"/>
  <c r="AM30" i="24"/>
  <c r="H30" i="24"/>
  <c r="I30" i="24"/>
  <c r="M30" i="24" s="1"/>
  <c r="N30" i="24" s="1"/>
  <c r="BO30" i="24"/>
  <c r="BR30" i="24" s="1"/>
  <c r="CE289" i="24"/>
  <c r="CF289" i="24"/>
  <c r="H289" i="24"/>
  <c r="AM289" i="24"/>
  <c r="I289" i="24"/>
  <c r="K289" i="24" s="1"/>
  <c r="BO289" i="24"/>
  <c r="BR289" i="24" s="1"/>
  <c r="I28" i="25"/>
  <c r="BN28" i="25"/>
  <c r="CC154" i="25"/>
  <c r="AL154" i="25"/>
  <c r="H154" i="25"/>
  <c r="J154" i="25"/>
  <c r="L154" i="25" s="1"/>
  <c r="BM154" i="25"/>
  <c r="I267" i="25"/>
  <c r="BN267" i="25"/>
  <c r="AM219" i="24"/>
  <c r="H219" i="24"/>
  <c r="CE219" i="24"/>
  <c r="CF219" i="24"/>
  <c r="I219" i="24"/>
  <c r="M219" i="24" s="1"/>
  <c r="N219" i="24" s="1"/>
  <c r="BO219" i="24"/>
  <c r="BR219" i="24" s="1"/>
  <c r="CF121" i="24"/>
  <c r="AM121" i="24"/>
  <c r="H121" i="24"/>
  <c r="CE121" i="24"/>
  <c r="I121" i="24"/>
  <c r="M121" i="24" s="1"/>
  <c r="N121" i="24" s="1"/>
  <c r="BO121" i="24"/>
  <c r="BR121" i="24" s="1"/>
  <c r="CF9" i="24"/>
  <c r="CE9" i="24"/>
  <c r="AM9" i="24"/>
  <c r="K9" i="24"/>
  <c r="H9" i="24"/>
  <c r="I9" i="24"/>
  <c r="I187" i="25"/>
  <c r="BN187" i="25"/>
  <c r="AL222" i="25"/>
  <c r="H222" i="25"/>
  <c r="CC222" i="25"/>
  <c r="BM222" i="25"/>
  <c r="J222" i="25"/>
  <c r="CE103" i="25"/>
  <c r="H103" i="25"/>
  <c r="CF103" i="25"/>
  <c r="AL103" i="25"/>
  <c r="CC103" i="25"/>
  <c r="J103" i="25"/>
  <c r="CC128" i="25"/>
  <c r="H128" i="25"/>
  <c r="AL128" i="25"/>
  <c r="J128" i="25"/>
  <c r="I148" i="25"/>
  <c r="BN199" i="25"/>
  <c r="CC136" i="25"/>
  <c r="AL136" i="25"/>
  <c r="H136" i="25"/>
  <c r="J136" i="25"/>
  <c r="BM136" i="25"/>
  <c r="H56" i="25"/>
  <c r="AL56" i="25"/>
  <c r="CC56" i="25"/>
  <c r="BM56" i="25"/>
  <c r="J56" i="25"/>
  <c r="L56" i="25" s="1"/>
  <c r="BN293" i="25"/>
  <c r="I293" i="25"/>
  <c r="H252" i="25"/>
  <c r="AL252" i="25"/>
  <c r="CC252" i="25"/>
  <c r="BM252" i="25"/>
  <c r="J252" i="25"/>
  <c r="L252" i="25" s="1"/>
  <c r="I61" i="25"/>
  <c r="H250" i="25"/>
  <c r="CC250" i="25"/>
  <c r="AL250" i="25"/>
  <c r="BM250" i="25"/>
  <c r="J250" i="25"/>
  <c r="L250" i="25" s="1"/>
  <c r="H91" i="24"/>
  <c r="CF91" i="24"/>
  <c r="AM91" i="24"/>
  <c r="CE91" i="24"/>
  <c r="K91" i="24"/>
  <c r="I91" i="24"/>
  <c r="AM207" i="24"/>
  <c r="CF207" i="24"/>
  <c r="CE207" i="24"/>
  <c r="H207" i="24"/>
  <c r="I207" i="24"/>
  <c r="K207" i="24" s="1"/>
  <c r="BO207" i="24"/>
  <c r="BR207" i="24" s="1"/>
  <c r="AM209" i="24"/>
  <c r="H209" i="24"/>
  <c r="I209" i="24"/>
  <c r="K209" i="24" s="1"/>
  <c r="BO209" i="24"/>
  <c r="BR209" i="24" s="1"/>
  <c r="H229" i="24"/>
  <c r="CF229" i="24"/>
  <c r="AM229" i="24"/>
  <c r="CE229" i="24"/>
  <c r="I229" i="24"/>
  <c r="K229" i="24" s="1"/>
  <c r="BO229" i="24"/>
  <c r="BR229" i="24" s="1"/>
  <c r="CE17" i="25"/>
  <c r="CF17" i="25"/>
  <c r="CC17" i="25"/>
  <c r="AL17" i="25"/>
  <c r="H17" i="25"/>
  <c r="J17" i="25"/>
  <c r="H303" i="25"/>
  <c r="AL303" i="25"/>
  <c r="CC303" i="25"/>
  <c r="J303" i="25"/>
  <c r="L303" i="25" s="1"/>
  <c r="I7" i="25"/>
  <c r="H191" i="25"/>
  <c r="AL191" i="25"/>
  <c r="CC191" i="25"/>
  <c r="BM191" i="25"/>
  <c r="I299" i="25"/>
  <c r="BN299" i="25"/>
  <c r="BQ299" i="25" s="1"/>
  <c r="AL217" i="25"/>
  <c r="CC217" i="25"/>
  <c r="H217" i="25"/>
  <c r="J217" i="25"/>
  <c r="L217" i="25" s="1"/>
  <c r="BM217" i="25"/>
  <c r="BQ217" i="25" s="1"/>
  <c r="I27" i="25"/>
  <c r="BN27" i="25"/>
  <c r="H284" i="25"/>
  <c r="AL284" i="25"/>
  <c r="CC284" i="25"/>
  <c r="J284" i="25"/>
  <c r="BM284" i="25"/>
  <c r="CF140" i="24"/>
  <c r="CE140" i="24"/>
  <c r="AM140" i="24"/>
  <c r="H140" i="24"/>
  <c r="I140" i="24"/>
  <c r="K140" i="24" s="1"/>
  <c r="BO140" i="24"/>
  <c r="BR140" i="24" s="1"/>
  <c r="AM316" i="24"/>
  <c r="H316" i="24"/>
  <c r="CE316" i="24"/>
  <c r="I316" i="24"/>
  <c r="K316" i="24" s="1"/>
  <c r="CE189" i="24"/>
  <c r="AM189" i="24"/>
  <c r="CF189" i="24"/>
  <c r="H189" i="24"/>
  <c r="I189" i="24"/>
  <c r="BO189" i="24"/>
  <c r="BR189" i="24" s="1"/>
  <c r="H66" i="24"/>
  <c r="AM66" i="24"/>
  <c r="K66" i="24"/>
  <c r="I66" i="24"/>
  <c r="BO66" i="24"/>
  <c r="BR66" i="24" s="1"/>
  <c r="CE124" i="24"/>
  <c r="H124" i="24"/>
  <c r="CF124" i="24"/>
  <c r="AM124" i="24"/>
  <c r="BO124" i="24"/>
  <c r="BR124" i="24" s="1"/>
  <c r="I124" i="24"/>
  <c r="K124" i="24" s="1"/>
  <c r="CC310" i="25"/>
  <c r="H310" i="25"/>
  <c r="AL310" i="25"/>
  <c r="J310" i="25"/>
  <c r="L310" i="25" s="1"/>
  <c r="H29" i="24"/>
  <c r="CF29" i="24"/>
  <c r="CE29" i="24"/>
  <c r="AM29" i="24"/>
  <c r="K29" i="24"/>
  <c r="I29" i="24"/>
  <c r="BO79" i="24"/>
  <c r="BR79" i="24" s="1"/>
  <c r="AM105" i="24"/>
  <c r="K105" i="24"/>
  <c r="H105" i="24"/>
  <c r="I105" i="24"/>
  <c r="H60" i="25"/>
  <c r="CC60" i="25"/>
  <c r="AL60" i="25"/>
  <c r="J60" i="25"/>
  <c r="L60" i="25" s="1"/>
  <c r="BM60" i="25"/>
  <c r="BN238" i="25"/>
  <c r="I209" i="25"/>
  <c r="BN209" i="25"/>
  <c r="BN50" i="25"/>
  <c r="BQ50" i="25" s="1"/>
  <c r="AL19" i="25"/>
  <c r="CC19" i="25"/>
  <c r="CE19" i="25"/>
  <c r="CF19" i="25"/>
  <c r="H19" i="25"/>
  <c r="J19" i="25"/>
  <c r="L19" i="25" s="1"/>
  <c r="BM19" i="25"/>
  <c r="CC231" i="25"/>
  <c r="H231" i="25"/>
  <c r="AL231" i="25"/>
  <c r="BM231" i="25"/>
  <c r="BQ231" i="25" s="1"/>
  <c r="J231" i="25"/>
  <c r="H64" i="25"/>
  <c r="AL64" i="25"/>
  <c r="CC64" i="25"/>
  <c r="J64" i="25"/>
  <c r="BM64" i="25"/>
  <c r="AL84" i="25"/>
  <c r="CC84" i="25"/>
  <c r="CF84" i="25"/>
  <c r="CE84" i="25"/>
  <c r="H84" i="25"/>
  <c r="BM84" i="25"/>
  <c r="BQ84" i="25" s="1"/>
  <c r="J84" i="25"/>
  <c r="CC76" i="25"/>
  <c r="H76" i="25"/>
  <c r="AL76" i="25"/>
  <c r="CF76" i="25"/>
  <c r="CE76" i="25"/>
  <c r="BM76" i="25"/>
  <c r="J76" i="25"/>
  <c r="L76" i="25" s="1"/>
  <c r="H100" i="25"/>
  <c r="CF100" i="25"/>
  <c r="CE100" i="25"/>
  <c r="AL100" i="25"/>
  <c r="CC100" i="25"/>
  <c r="BM100" i="25"/>
  <c r="J100" i="25"/>
  <c r="L100" i="25" s="1"/>
  <c r="CC253" i="25"/>
  <c r="H253" i="25"/>
  <c r="AL253" i="25"/>
  <c r="BM253" i="25"/>
  <c r="BQ253" i="25" s="1"/>
  <c r="J253" i="25"/>
  <c r="L253" i="25" s="1"/>
  <c r="I268" i="25"/>
  <c r="BN268" i="25"/>
  <c r="AL301" i="25"/>
  <c r="H301" i="25"/>
  <c r="CC301" i="25"/>
  <c r="BM301" i="25"/>
  <c r="J301" i="25"/>
  <c r="L301" i="25" s="1"/>
  <c r="I308" i="25"/>
  <c r="BN308" i="25"/>
  <c r="H288" i="25"/>
  <c r="AL288" i="25"/>
  <c r="CC288" i="25"/>
  <c r="J288" i="25"/>
  <c r="L288" i="25" s="1"/>
  <c r="I286" i="25"/>
  <c r="BN286" i="25"/>
  <c r="H113" i="24"/>
  <c r="CF113" i="24"/>
  <c r="CE113" i="24"/>
  <c r="AM113" i="24"/>
  <c r="I113" i="24"/>
  <c r="K113" i="24" s="1"/>
  <c r="BO113" i="24"/>
  <c r="BR113" i="24" s="1"/>
  <c r="CF155" i="24"/>
  <c r="CE155" i="24"/>
  <c r="AM155" i="24"/>
  <c r="H155" i="24"/>
  <c r="I155" i="24"/>
  <c r="K155" i="24" s="1"/>
  <c r="BO155" i="24"/>
  <c r="BR155" i="24" s="1"/>
  <c r="CE260" i="24"/>
  <c r="H260" i="24"/>
  <c r="CF260" i="24"/>
  <c r="AM260" i="24"/>
  <c r="I260" i="24"/>
  <c r="K260" i="24" s="1"/>
  <c r="BO260" i="24"/>
  <c r="BR260" i="24" s="1"/>
  <c r="AM166" i="24"/>
  <c r="H166" i="24"/>
  <c r="I166" i="24"/>
  <c r="K166" i="24" s="1"/>
  <c r="AM60" i="24"/>
  <c r="H60" i="24"/>
  <c r="CE60" i="24"/>
  <c r="K60" i="24"/>
  <c r="CF60" i="24"/>
  <c r="I60" i="24"/>
  <c r="H148" i="24"/>
  <c r="CF148" i="24"/>
  <c r="AM148" i="24"/>
  <c r="CE148" i="24"/>
  <c r="I148" i="24"/>
  <c r="K148" i="24" s="1"/>
  <c r="H171" i="25"/>
  <c r="AL171" i="25"/>
  <c r="CC171" i="25"/>
  <c r="BM171" i="25"/>
  <c r="BQ171" i="25" s="1"/>
  <c r="AL67" i="25"/>
  <c r="H67" i="25"/>
  <c r="CC67" i="25"/>
  <c r="CE67" i="25"/>
  <c r="CF67" i="25"/>
  <c r="J67" i="25"/>
  <c r="L67" i="25" s="1"/>
  <c r="BM67" i="25"/>
  <c r="BQ67" i="25" s="1"/>
  <c r="H72" i="25"/>
  <c r="CC72" i="25"/>
  <c r="AL72" i="25"/>
  <c r="BM72" i="25"/>
  <c r="BQ72" i="25" s="1"/>
  <c r="J72" i="25"/>
  <c r="L72" i="25" s="1"/>
  <c r="CC51" i="25"/>
  <c r="CF51" i="25"/>
  <c r="CE51" i="25"/>
  <c r="AL51" i="25"/>
  <c r="H51" i="25"/>
  <c r="J51" i="25"/>
  <c r="BM51" i="25"/>
  <c r="BQ51" i="25" s="1"/>
  <c r="H18" i="25"/>
  <c r="AL18" i="25"/>
  <c r="CC18" i="25"/>
  <c r="CE18" i="25"/>
  <c r="CF18" i="25"/>
  <c r="J18" i="25"/>
  <c r="BM18" i="25"/>
  <c r="BQ18" i="25" s="1"/>
  <c r="CC68" i="25"/>
  <c r="CE68" i="25"/>
  <c r="CF68" i="25"/>
  <c r="AL68" i="25"/>
  <c r="H68" i="25"/>
  <c r="BM68" i="25"/>
  <c r="BQ68" i="25" s="1"/>
  <c r="J68" i="25"/>
  <c r="L68" i="25" s="1"/>
  <c r="CC79" i="25"/>
  <c r="AL79" i="25"/>
  <c r="H79" i="25"/>
  <c r="J79" i="25"/>
  <c r="BM79" i="25"/>
  <c r="BQ79" i="25" s="1"/>
  <c r="H46" i="25"/>
  <c r="AL46" i="25"/>
  <c r="CC46" i="25"/>
  <c r="CF46" i="25"/>
  <c r="CE46" i="25"/>
  <c r="J46" i="25"/>
  <c r="L46" i="25" s="1"/>
  <c r="BM46" i="25"/>
  <c r="BQ46" i="25" s="1"/>
  <c r="H156" i="25"/>
  <c r="CC156" i="25"/>
  <c r="AL156" i="25"/>
  <c r="BM156" i="25"/>
  <c r="J156" i="25"/>
  <c r="L156" i="25" s="1"/>
  <c r="AL139" i="25"/>
  <c r="CC139" i="25"/>
  <c r="H139" i="25"/>
  <c r="J139" i="25"/>
  <c r="BM139" i="25"/>
  <c r="BQ139" i="25" s="1"/>
  <c r="CF54" i="25"/>
  <c r="AL54" i="25"/>
  <c r="CC54" i="25"/>
  <c r="CE54" i="25"/>
  <c r="H54" i="25"/>
  <c r="BM54" i="25"/>
  <c r="BQ54" i="25" s="1"/>
  <c r="H40" i="25"/>
  <c r="AL40" i="25"/>
  <c r="CC40" i="25"/>
  <c r="CE40" i="25"/>
  <c r="CF40" i="25"/>
  <c r="J40" i="25"/>
  <c r="L40" i="25" s="1"/>
  <c r="BM40" i="25"/>
  <c r="BQ40" i="25" s="1"/>
  <c r="CE43" i="25"/>
  <c r="AL43" i="25"/>
  <c r="CC43" i="25"/>
  <c r="CF43" i="25"/>
  <c r="H43" i="25"/>
  <c r="BM43" i="25"/>
  <c r="BQ43" i="25" s="1"/>
  <c r="AL312" i="25"/>
  <c r="CC312" i="25"/>
  <c r="H312" i="25"/>
  <c r="BM312" i="25"/>
  <c r="BQ312" i="25" s="1"/>
  <c r="J312" i="25"/>
  <c r="BN297" i="25"/>
  <c r="BN117" i="25"/>
  <c r="CF174" i="24"/>
  <c r="H174" i="24"/>
  <c r="CE174" i="24"/>
  <c r="AM174" i="24"/>
  <c r="I174" i="24"/>
  <c r="K174" i="24" s="1"/>
  <c r="BO174" i="24"/>
  <c r="BR174" i="24" s="1"/>
  <c r="AM151" i="24"/>
  <c r="H151" i="24"/>
  <c r="BO151" i="24"/>
  <c r="BR151" i="24" s="1"/>
  <c r="CE239" i="24"/>
  <c r="CF239" i="24"/>
  <c r="AM239" i="24"/>
  <c r="H239" i="24"/>
  <c r="I239" i="24"/>
  <c r="K239" i="24" s="1"/>
  <c r="BO239" i="24"/>
  <c r="BR239" i="24" s="1"/>
  <c r="BO49" i="24"/>
  <c r="BR49" i="24" s="1"/>
  <c r="CC205" i="25"/>
  <c r="AL205" i="25"/>
  <c r="H205" i="25"/>
  <c r="J205" i="25"/>
  <c r="L205" i="25" s="1"/>
  <c r="BM205" i="25"/>
  <c r="BQ205" i="25" s="1"/>
  <c r="BN96" i="25"/>
  <c r="I96" i="25"/>
  <c r="BN219" i="25"/>
  <c r="H273" i="25"/>
  <c r="AL273" i="25"/>
  <c r="CC273" i="25"/>
  <c r="J273" i="25"/>
  <c r="N273" i="25" s="1"/>
  <c r="BM273" i="25"/>
  <c r="BQ273" i="25" s="1"/>
  <c r="I168" i="25"/>
  <c r="BQ151" i="25"/>
  <c r="BN15" i="25"/>
  <c r="BQ15" i="25" s="1"/>
  <c r="AM52" i="24"/>
  <c r="H52" i="24"/>
  <c r="K52" i="24"/>
  <c r="CE52" i="24"/>
  <c r="CF52" i="24"/>
  <c r="I52" i="24"/>
  <c r="M52" i="24" s="1"/>
  <c r="N52" i="24" s="1"/>
  <c r="BK45" i="24"/>
  <c r="S45" i="24"/>
  <c r="T45" i="24" s="1"/>
  <c r="M45" i="24"/>
  <c r="N45" i="24" s="1"/>
  <c r="K88" i="24"/>
  <c r="AM88" i="24"/>
  <c r="H88" i="24"/>
  <c r="I88" i="24"/>
  <c r="M88" i="24" s="1"/>
  <c r="N88" i="24" s="1"/>
  <c r="BO88" i="24"/>
  <c r="BR88" i="24" s="1"/>
  <c r="BM288" i="25"/>
  <c r="BQ288" i="25" s="1"/>
  <c r="I42" i="25"/>
  <c r="BN42" i="25"/>
  <c r="CE169" i="24"/>
  <c r="AM169" i="24"/>
  <c r="CF169" i="24"/>
  <c r="H169" i="24"/>
  <c r="I169" i="24"/>
  <c r="K169" i="24" s="1"/>
  <c r="BO169" i="24"/>
  <c r="BR169" i="24" s="1"/>
  <c r="I161" i="25"/>
  <c r="BN242" i="25"/>
  <c r="BO180" i="24"/>
  <c r="BR180" i="24" s="1"/>
  <c r="J169" i="25"/>
  <c r="L169" i="25" s="1"/>
  <c r="J54" i="25"/>
  <c r="BM45" i="25"/>
  <c r="J191" i="25"/>
  <c r="I85" i="24"/>
  <c r="H296" i="25"/>
  <c r="AL296" i="25"/>
  <c r="CC296" i="25"/>
  <c r="J296" i="25"/>
  <c r="N296" i="25" s="1"/>
  <c r="BM296" i="25"/>
  <c r="BN225" i="25"/>
  <c r="I225" i="25"/>
  <c r="AL170" i="25"/>
  <c r="CC170" i="25"/>
  <c r="H170" i="25"/>
  <c r="BM170" i="25"/>
  <c r="J170" i="25"/>
  <c r="N170" i="25" s="1"/>
  <c r="I178" i="25"/>
  <c r="BN178" i="25"/>
  <c r="AL155" i="25"/>
  <c r="CC155" i="25"/>
  <c r="H155" i="25"/>
  <c r="J155" i="25"/>
  <c r="L155" i="25" s="1"/>
  <c r="BM155" i="25"/>
  <c r="CC244" i="25"/>
  <c r="H244" i="25"/>
  <c r="AL244" i="25"/>
  <c r="J244" i="25"/>
  <c r="BM244" i="25"/>
  <c r="BN158" i="25"/>
  <c r="AL138" i="25"/>
  <c r="CC138" i="25"/>
  <c r="H138" i="25"/>
  <c r="BM138" i="25"/>
  <c r="J138" i="25"/>
  <c r="L138" i="25" s="1"/>
  <c r="I112" i="25"/>
  <c r="BN112" i="25"/>
  <c r="AL199" i="25"/>
  <c r="CC199" i="25"/>
  <c r="H199" i="25"/>
  <c r="J199" i="25"/>
  <c r="N199" i="25" s="1"/>
  <c r="BM199" i="25"/>
  <c r="H233" i="25"/>
  <c r="AL233" i="25"/>
  <c r="CC233" i="25"/>
  <c r="J233" i="25"/>
  <c r="BM233" i="25"/>
  <c r="BQ233" i="25" s="1"/>
  <c r="H298" i="25"/>
  <c r="AL298" i="25"/>
  <c r="CC298" i="25"/>
  <c r="J298" i="25"/>
  <c r="J216" i="25"/>
  <c r="BN148" i="25"/>
  <c r="BN138" i="25"/>
  <c r="AL243" i="25"/>
  <c r="CC243" i="25"/>
  <c r="H243" i="25"/>
  <c r="BM243" i="25"/>
  <c r="J243" i="25"/>
  <c r="N243" i="25" s="1"/>
  <c r="I121" i="25"/>
  <c r="BN47" i="25"/>
  <c r="I47" i="25"/>
  <c r="H316" i="25"/>
  <c r="AL316" i="25"/>
  <c r="CC316" i="25"/>
  <c r="T322" i="25"/>
  <c r="J316" i="25"/>
  <c r="BM316" i="25"/>
  <c r="H39" i="25"/>
  <c r="CC39" i="25"/>
  <c r="AL39" i="25"/>
  <c r="CE39" i="25"/>
  <c r="CF39" i="25"/>
  <c r="J39" i="25"/>
  <c r="L39" i="25" s="1"/>
  <c r="BM39" i="25"/>
  <c r="AM242" i="24"/>
  <c r="H242" i="24"/>
  <c r="CF242" i="24"/>
  <c r="BO242" i="24"/>
  <c r="BR242" i="24" s="1"/>
  <c r="I242" i="24"/>
  <c r="H173" i="24"/>
  <c r="AM173" i="24"/>
  <c r="BO173" i="24"/>
  <c r="BR173" i="24" s="1"/>
  <c r="I173" i="24"/>
  <c r="K173" i="24" s="1"/>
  <c r="AM135" i="24"/>
  <c r="H135" i="24"/>
  <c r="I135" i="24"/>
  <c r="CF196" i="24"/>
  <c r="CE196" i="24"/>
  <c r="AM196" i="24"/>
  <c r="H196" i="24"/>
  <c r="I196" i="24"/>
  <c r="K196" i="24" s="1"/>
  <c r="BO196" i="24"/>
  <c r="BR196" i="24" s="1"/>
  <c r="H15" i="25"/>
  <c r="CF15" i="25"/>
  <c r="CE15" i="25"/>
  <c r="AL15" i="25"/>
  <c r="CC15" i="25"/>
  <c r="H309" i="25"/>
  <c r="AL309" i="25"/>
  <c r="CC309" i="25"/>
  <c r="J309" i="25"/>
  <c r="BM309" i="25"/>
  <c r="BN181" i="25"/>
  <c r="H228" i="25"/>
  <c r="AL228" i="25"/>
  <c r="CC228" i="25"/>
  <c r="BM228" i="25"/>
  <c r="J228" i="25"/>
  <c r="I249" i="25"/>
  <c r="BN249" i="25"/>
  <c r="CC33" i="25"/>
  <c r="AL33" i="25"/>
  <c r="CF33" i="25"/>
  <c r="CE33" i="25"/>
  <c r="H33" i="25"/>
  <c r="BM33" i="25"/>
  <c r="J33" i="25"/>
  <c r="AM32" i="24"/>
  <c r="CE32" i="24"/>
  <c r="CF32" i="24"/>
  <c r="K32" i="24"/>
  <c r="H32" i="24"/>
  <c r="I32" i="24"/>
  <c r="M32" i="24" s="1"/>
  <c r="BO32" i="24"/>
  <c r="BR32" i="24" s="1"/>
  <c r="CF184" i="24"/>
  <c r="H184" i="24"/>
  <c r="AM184" i="24"/>
  <c r="CE184" i="24"/>
  <c r="I184" i="24"/>
  <c r="K184" i="24" s="1"/>
  <c r="BO184" i="24"/>
  <c r="BR184" i="24" s="1"/>
  <c r="K80" i="24"/>
  <c r="H80" i="24"/>
  <c r="AM80" i="24"/>
  <c r="BO80" i="24"/>
  <c r="BR80" i="24" s="1"/>
  <c r="I80" i="24"/>
  <c r="M264" i="24"/>
  <c r="N264" i="24" s="1"/>
  <c r="AM210" i="24"/>
  <c r="H210" i="24"/>
  <c r="I210" i="24"/>
  <c r="K210" i="24" s="1"/>
  <c r="BO210" i="24"/>
  <c r="BR210" i="24" s="1"/>
  <c r="AM25" i="24"/>
  <c r="CE25" i="24"/>
  <c r="K25" i="24"/>
  <c r="CF25" i="24"/>
  <c r="H25" i="24"/>
  <c r="BO25" i="24"/>
  <c r="BR25" i="24" s="1"/>
  <c r="H111" i="25"/>
  <c r="AL111" i="25"/>
  <c r="CC111" i="25"/>
  <c r="J111" i="25"/>
  <c r="BM251" i="25"/>
  <c r="CC63" i="25"/>
  <c r="AL63" i="25"/>
  <c r="H63" i="25"/>
  <c r="CF63" i="25"/>
  <c r="CE63" i="25"/>
  <c r="J63" i="25"/>
  <c r="CC95" i="25"/>
  <c r="AL95" i="25"/>
  <c r="H95" i="25"/>
  <c r="CF95" i="25"/>
  <c r="CE95" i="25"/>
  <c r="BM95" i="25"/>
  <c r="J95" i="25"/>
  <c r="N95" i="25" s="1"/>
  <c r="AL75" i="25"/>
  <c r="CF75" i="25"/>
  <c r="CE75" i="25"/>
  <c r="CC75" i="25"/>
  <c r="H75" i="25"/>
  <c r="BM75" i="25"/>
  <c r="J75" i="25"/>
  <c r="L75" i="25" s="1"/>
  <c r="I304" i="25"/>
  <c r="BN304" i="25"/>
  <c r="AL234" i="25"/>
  <c r="H234" i="25"/>
  <c r="CC234" i="25"/>
  <c r="BM234" i="25"/>
  <c r="J234" i="25"/>
  <c r="CC184" i="25"/>
  <c r="AL184" i="25"/>
  <c r="H184" i="25"/>
  <c r="J184" i="25"/>
  <c r="BM184" i="25"/>
  <c r="BN101" i="25"/>
  <c r="I101" i="25"/>
  <c r="I45" i="25"/>
  <c r="BN45" i="25"/>
  <c r="H312" i="24"/>
  <c r="CE312" i="24"/>
  <c r="AM312" i="24"/>
  <c r="I312" i="24"/>
  <c r="M312" i="24" s="1"/>
  <c r="N312" i="24" s="1"/>
  <c r="BO312" i="24"/>
  <c r="BR312" i="24" s="1"/>
  <c r="CF275" i="24"/>
  <c r="AM275" i="24"/>
  <c r="H275" i="24"/>
  <c r="I275" i="24"/>
  <c r="H270" i="24"/>
  <c r="CE270" i="24"/>
  <c r="CF270" i="24"/>
  <c r="AM270" i="24"/>
  <c r="I270" i="24"/>
  <c r="M270" i="24" s="1"/>
  <c r="N270" i="24" s="1"/>
  <c r="BO270" i="24"/>
  <c r="BR270" i="24" s="1"/>
  <c r="CF240" i="24"/>
  <c r="H240" i="24"/>
  <c r="AM240" i="24"/>
  <c r="CE240" i="24"/>
  <c r="I240" i="24"/>
  <c r="K240" i="24" s="1"/>
  <c r="BO240" i="24"/>
  <c r="BR240" i="24" s="1"/>
  <c r="BO245" i="24"/>
  <c r="BR245" i="24" s="1"/>
  <c r="H295" i="25"/>
  <c r="AL295" i="25"/>
  <c r="CC295" i="25"/>
  <c r="J295" i="25"/>
  <c r="BM295" i="25"/>
  <c r="BQ295" i="25" s="1"/>
  <c r="AL260" i="25"/>
  <c r="CC260" i="25"/>
  <c r="H260" i="25"/>
  <c r="J260" i="25"/>
  <c r="L260" i="25" s="1"/>
  <c r="BM260" i="25"/>
  <c r="CC278" i="25"/>
  <c r="H278" i="25"/>
  <c r="AL278" i="25"/>
  <c r="BM278" i="25"/>
  <c r="J278" i="25"/>
  <c r="AL221" i="25"/>
  <c r="CC221" i="25"/>
  <c r="H221" i="25"/>
  <c r="BM221" i="25"/>
  <c r="J221" i="25"/>
  <c r="AM299" i="24"/>
  <c r="H299" i="24"/>
  <c r="I299" i="24"/>
  <c r="BO299" i="24"/>
  <c r="BR299" i="24" s="1"/>
  <c r="H120" i="24"/>
  <c r="CF120" i="24"/>
  <c r="CE120" i="24"/>
  <c r="AM120" i="24"/>
  <c r="I120" i="24"/>
  <c r="M120" i="24" s="1"/>
  <c r="BO120" i="24"/>
  <c r="BR120" i="24" s="1"/>
  <c r="AM290" i="24"/>
  <c r="CF290" i="24"/>
  <c r="H290" i="24"/>
  <c r="I290" i="24"/>
  <c r="M290" i="24" s="1"/>
  <c r="N290" i="24" s="1"/>
  <c r="BO290" i="24"/>
  <c r="BR290" i="24" s="1"/>
  <c r="BO58" i="24"/>
  <c r="BR58" i="24" s="1"/>
  <c r="BN244" i="25"/>
  <c r="H114" i="25"/>
  <c r="AL114" i="25"/>
  <c r="CC114" i="25"/>
  <c r="J114" i="25"/>
  <c r="N114" i="25" s="1"/>
  <c r="BM114" i="25"/>
  <c r="BQ114" i="25" s="1"/>
  <c r="I169" i="25"/>
  <c r="H204" i="25"/>
  <c r="CC204" i="25"/>
  <c r="AL204" i="25"/>
  <c r="BM204" i="25"/>
  <c r="J204" i="25"/>
  <c r="N204" i="25" s="1"/>
  <c r="BQ203" i="25"/>
  <c r="AM171" i="24"/>
  <c r="H171" i="24"/>
  <c r="CE171" i="24"/>
  <c r="CF171" i="24"/>
  <c r="I171" i="24"/>
  <c r="BO171" i="24"/>
  <c r="BR171" i="24" s="1"/>
  <c r="CF230" i="24"/>
  <c r="AM230" i="24"/>
  <c r="H230" i="24"/>
  <c r="CE230" i="24"/>
  <c r="I230" i="24"/>
  <c r="BO230" i="24"/>
  <c r="BR230" i="24" s="1"/>
  <c r="I210" i="25"/>
  <c r="BN210" i="25"/>
  <c r="BK142" i="24"/>
  <c r="S142" i="24"/>
  <c r="T142" i="24" s="1"/>
  <c r="CE254" i="24"/>
  <c r="CF254" i="24"/>
  <c r="H254" i="24"/>
  <c r="AM254" i="24"/>
  <c r="BO254" i="24"/>
  <c r="BR254" i="24" s="1"/>
  <c r="I254" i="24"/>
  <c r="BK132" i="24"/>
  <c r="S132" i="24"/>
  <c r="T132" i="24" s="1"/>
  <c r="M132" i="24"/>
  <c r="N132" i="24" s="1"/>
  <c r="CE134" i="24"/>
  <c r="AM134" i="24"/>
  <c r="H134" i="24"/>
  <c r="CF134" i="24"/>
  <c r="I134" i="24"/>
  <c r="K134" i="24" s="1"/>
  <c r="BO134" i="24"/>
  <c r="BR134" i="24" s="1"/>
  <c r="BK21" i="24"/>
  <c r="S21" i="24"/>
  <c r="T21" i="24" s="1"/>
  <c r="BN121" i="25"/>
  <c r="I247" i="25"/>
  <c r="I78" i="24"/>
  <c r="AL262" i="25"/>
  <c r="H262" i="25"/>
  <c r="CC262" i="25"/>
  <c r="J262" i="25"/>
  <c r="L262" i="25" s="1"/>
  <c r="AL275" i="25"/>
  <c r="CC275" i="25"/>
  <c r="H275" i="25"/>
  <c r="J275" i="25"/>
  <c r="N275" i="25" s="1"/>
  <c r="BM275" i="25"/>
  <c r="I88" i="25"/>
  <c r="BN88" i="25"/>
  <c r="AL305" i="25"/>
  <c r="CC305" i="25"/>
  <c r="H305" i="25"/>
  <c r="BM305" i="25"/>
  <c r="J305" i="25"/>
  <c r="N305" i="25" s="1"/>
  <c r="BN10" i="25"/>
  <c r="BQ10" i="25" s="1"/>
  <c r="CC223" i="25"/>
  <c r="H223" i="25"/>
  <c r="AL223" i="25"/>
  <c r="BM223" i="25"/>
  <c r="J223" i="25"/>
  <c r="I147" i="25"/>
  <c r="BN147" i="25"/>
  <c r="CC302" i="25"/>
  <c r="H302" i="25"/>
  <c r="AL302" i="25"/>
  <c r="J302" i="25"/>
  <c r="L302" i="25" s="1"/>
  <c r="BM302" i="25"/>
  <c r="AL248" i="25"/>
  <c r="CC248" i="25"/>
  <c r="H248" i="25"/>
  <c r="BM248" i="25"/>
  <c r="J248" i="25"/>
  <c r="N248" i="25" s="1"/>
  <c r="I144" i="25"/>
  <c r="I298" i="25"/>
  <c r="BN292" i="25"/>
  <c r="I292" i="25"/>
  <c r="AL124" i="25"/>
  <c r="CC124" i="25"/>
  <c r="H124" i="25"/>
  <c r="J124" i="25"/>
  <c r="L124" i="25" s="1"/>
  <c r="BM124" i="25"/>
  <c r="I110" i="25"/>
  <c r="AL89" i="25"/>
  <c r="CC89" i="25"/>
  <c r="H89" i="25"/>
  <c r="J89" i="25"/>
  <c r="N89" i="25" s="1"/>
  <c r="BM89" i="25"/>
  <c r="H272" i="25"/>
  <c r="CC272" i="25"/>
  <c r="AL272" i="25"/>
  <c r="BM272" i="25"/>
  <c r="J272" i="25"/>
  <c r="L272" i="25" s="1"/>
  <c r="BN66" i="25"/>
  <c r="I66" i="25"/>
  <c r="H248" i="24"/>
  <c r="AM248" i="24"/>
  <c r="CE248" i="24"/>
  <c r="CF248" i="24"/>
  <c r="I248" i="24"/>
  <c r="M248" i="24" s="1"/>
  <c r="CE112" i="24"/>
  <c r="CF112" i="24"/>
  <c r="AM112" i="24"/>
  <c r="H112" i="24"/>
  <c r="BO112" i="24"/>
  <c r="BR112" i="24" s="1"/>
  <c r="H315" i="24"/>
  <c r="CE315" i="24"/>
  <c r="AM315" i="24"/>
  <c r="BO315" i="24"/>
  <c r="BR315" i="24" s="1"/>
  <c r="I315" i="24"/>
  <c r="K315" i="24" s="1"/>
  <c r="H79" i="24"/>
  <c r="AM79" i="24"/>
  <c r="K79" i="24"/>
  <c r="I79" i="24"/>
  <c r="M79" i="24" s="1"/>
  <c r="H172" i="24"/>
  <c r="CF172" i="24"/>
  <c r="CE172" i="24"/>
  <c r="AM172" i="24"/>
  <c r="I172" i="24"/>
  <c r="M172" i="24" s="1"/>
  <c r="N172" i="24" s="1"/>
  <c r="H282" i="25"/>
  <c r="AL282" i="25"/>
  <c r="CC282" i="25"/>
  <c r="BM282" i="25"/>
  <c r="BQ282" i="25" s="1"/>
  <c r="J282" i="25"/>
  <c r="N282" i="25" s="1"/>
  <c r="H78" i="25"/>
  <c r="AL78" i="25"/>
  <c r="CC78" i="25"/>
  <c r="CF78" i="25"/>
  <c r="CE78" i="25"/>
  <c r="BM78" i="25"/>
  <c r="J78" i="25"/>
  <c r="L78" i="25" s="1"/>
  <c r="I173" i="25"/>
  <c r="BN173" i="25"/>
  <c r="AL172" i="25"/>
  <c r="CC172" i="25"/>
  <c r="H172" i="25"/>
  <c r="J172" i="25"/>
  <c r="BM172" i="25"/>
  <c r="I65" i="25"/>
  <c r="BN65" i="25"/>
  <c r="CC261" i="25"/>
  <c r="H261" i="25"/>
  <c r="AL261" i="25"/>
  <c r="BM261" i="25"/>
  <c r="J261" i="25"/>
  <c r="N261" i="25" s="1"/>
  <c r="I251" i="25"/>
  <c r="BN251" i="25"/>
  <c r="H139" i="24"/>
  <c r="AM139" i="24"/>
  <c r="I139" i="24"/>
  <c r="BO139" i="24"/>
  <c r="BR139" i="24" s="1"/>
  <c r="AM93" i="24"/>
  <c r="CF93" i="24"/>
  <c r="CE93" i="24"/>
  <c r="K93" i="24"/>
  <c r="H93" i="24"/>
  <c r="BO93" i="24"/>
  <c r="BR93" i="24" s="1"/>
  <c r="I93" i="24"/>
  <c r="H264" i="24"/>
  <c r="K264" i="24"/>
  <c r="CE264" i="24"/>
  <c r="CF264" i="24"/>
  <c r="AM264" i="24"/>
  <c r="BO264" i="24"/>
  <c r="BR264" i="24" s="1"/>
  <c r="K47" i="24"/>
  <c r="H47" i="24"/>
  <c r="AM47" i="24"/>
  <c r="CF47" i="24"/>
  <c r="CE47" i="24"/>
  <c r="I47" i="24"/>
  <c r="M47" i="24" s="1"/>
  <c r="N47" i="24" s="1"/>
  <c r="BO47" i="24"/>
  <c r="BR47" i="24" s="1"/>
  <c r="K28" i="24"/>
  <c r="AM28" i="24"/>
  <c r="H28" i="24"/>
  <c r="CE28" i="24"/>
  <c r="CF28" i="24"/>
  <c r="I28" i="24"/>
  <c r="AM48" i="24"/>
  <c r="K48" i="24"/>
  <c r="H48" i="24"/>
  <c r="CE48" i="24"/>
  <c r="CF48" i="24"/>
  <c r="I48" i="24"/>
  <c r="M48" i="24" s="1"/>
  <c r="N48" i="24" s="1"/>
  <c r="CC201" i="25"/>
  <c r="AL201" i="25"/>
  <c r="H201" i="25"/>
  <c r="J201" i="25"/>
  <c r="N201" i="25" s="1"/>
  <c r="BM201" i="25"/>
  <c r="BN167" i="25"/>
  <c r="I167" i="25"/>
  <c r="AL166" i="25"/>
  <c r="CC166" i="25"/>
  <c r="H166" i="25"/>
  <c r="J166" i="25"/>
  <c r="BM166" i="25"/>
  <c r="I55" i="25"/>
  <c r="BN55" i="25"/>
  <c r="H285" i="25"/>
  <c r="AL285" i="25"/>
  <c r="CC285" i="25"/>
  <c r="BM285" i="25"/>
  <c r="J285" i="25"/>
  <c r="I306" i="25"/>
  <c r="BN306" i="25"/>
  <c r="AL90" i="25"/>
  <c r="CC90" i="25"/>
  <c r="H90" i="25"/>
  <c r="J90" i="25"/>
  <c r="L90" i="25" s="1"/>
  <c r="BM90" i="25"/>
  <c r="I263" i="25"/>
  <c r="BN263" i="25"/>
  <c r="H314" i="25"/>
  <c r="AL314" i="25"/>
  <c r="CC314" i="25"/>
  <c r="BM314" i="25"/>
  <c r="J314" i="25"/>
  <c r="N314" i="25" s="1"/>
  <c r="AL287" i="25"/>
  <c r="H287" i="25"/>
  <c r="CC287" i="25"/>
  <c r="J287" i="25"/>
  <c r="L287" i="25" s="1"/>
  <c r="BM287" i="25"/>
  <c r="CC259" i="25"/>
  <c r="H259" i="25"/>
  <c r="AL259" i="25"/>
  <c r="J259" i="25"/>
  <c r="N259" i="25" s="1"/>
  <c r="CF128" i="24"/>
  <c r="CE128" i="24"/>
  <c r="AM128" i="24"/>
  <c r="H128" i="24"/>
  <c r="I128" i="24"/>
  <c r="K128" i="24" s="1"/>
  <c r="H180" i="24"/>
  <c r="AM180" i="24"/>
  <c r="I180" i="24"/>
  <c r="M180" i="24" s="1"/>
  <c r="AM90" i="24"/>
  <c r="K90" i="24"/>
  <c r="H90" i="24"/>
  <c r="CF90" i="24"/>
  <c r="CE90" i="24"/>
  <c r="I90" i="24"/>
  <c r="M90" i="24" s="1"/>
  <c r="BO90" i="24"/>
  <c r="BR90" i="24" s="1"/>
  <c r="K17" i="24"/>
  <c r="H17" i="24"/>
  <c r="AM17" i="24"/>
  <c r="CF17" i="24"/>
  <c r="CE17" i="24"/>
  <c r="I17" i="24"/>
  <c r="BO17" i="24"/>
  <c r="BR17" i="24" s="1"/>
  <c r="K61" i="24"/>
  <c r="H61" i="24"/>
  <c r="AM61" i="24"/>
  <c r="I61" i="24"/>
  <c r="M61" i="24" s="1"/>
  <c r="N61" i="24" s="1"/>
  <c r="BO316" i="24"/>
  <c r="BR316" i="24" s="1"/>
  <c r="CC34" i="25"/>
  <c r="AL34" i="25"/>
  <c r="CF34" i="25"/>
  <c r="H34" i="25"/>
  <c r="CE34" i="25"/>
  <c r="J34" i="25"/>
  <c r="N34" i="25" s="1"/>
  <c r="I295" i="25"/>
  <c r="H227" i="25"/>
  <c r="AL227" i="25"/>
  <c r="CC227" i="25"/>
  <c r="J227" i="25"/>
  <c r="L227" i="25" s="1"/>
  <c r="BM227" i="25"/>
  <c r="BN260" i="25"/>
  <c r="BN278" i="25"/>
  <c r="BN221" i="25"/>
  <c r="AM204" i="24"/>
  <c r="H204" i="24"/>
  <c r="BO204" i="24"/>
  <c r="BR204" i="24" s="1"/>
  <c r="I204" i="24"/>
  <c r="K204" i="24" s="1"/>
  <c r="CE69" i="24"/>
  <c r="K69" i="24"/>
  <c r="H69" i="24"/>
  <c r="AM69" i="24"/>
  <c r="CF69" i="24"/>
  <c r="I69" i="24"/>
  <c r="BO69" i="24"/>
  <c r="BR69" i="24" s="1"/>
  <c r="AM31" i="24"/>
  <c r="CF31" i="24"/>
  <c r="CE31" i="24"/>
  <c r="K31" i="24"/>
  <c r="H31" i="24"/>
  <c r="I31" i="24"/>
  <c r="BO31" i="24"/>
  <c r="BR31" i="24" s="1"/>
  <c r="BK257" i="24"/>
  <c r="S257" i="24"/>
  <c r="T257" i="24" s="1"/>
  <c r="BM292" i="25"/>
  <c r="BN223" i="25"/>
  <c r="AL116" i="25"/>
  <c r="H116" i="25"/>
  <c r="CC116" i="25"/>
  <c r="J116" i="25"/>
  <c r="BM116" i="25"/>
  <c r="BQ116" i="25" s="1"/>
  <c r="AL118" i="25"/>
  <c r="CC118" i="25"/>
  <c r="H118" i="25"/>
  <c r="J118" i="25"/>
  <c r="BM118" i="25"/>
  <c r="BQ118" i="25" s="1"/>
  <c r="AL96" i="25"/>
  <c r="CC96" i="25"/>
  <c r="H96" i="25"/>
  <c r="J96" i="25"/>
  <c r="L96" i="25" s="1"/>
  <c r="BM96" i="25"/>
  <c r="CC21" i="25"/>
  <c r="H21" i="25"/>
  <c r="AL21" i="25"/>
  <c r="J21" i="25"/>
  <c r="N21" i="25" s="1"/>
  <c r="BM21" i="25"/>
  <c r="BQ21" i="25" s="1"/>
  <c r="I176" i="25"/>
  <c r="BN176" i="25"/>
  <c r="AL126" i="25"/>
  <c r="CC126" i="25"/>
  <c r="H126" i="25"/>
  <c r="BM126" i="25"/>
  <c r="H174" i="25"/>
  <c r="AL174" i="25"/>
  <c r="CC174" i="25"/>
  <c r="AM201" i="24"/>
  <c r="H201" i="24"/>
  <c r="BO201" i="24"/>
  <c r="BR201" i="24" s="1"/>
  <c r="I201" i="24"/>
  <c r="AM77" i="24"/>
  <c r="CF77" i="24"/>
  <c r="CE77" i="24"/>
  <c r="H77" i="24"/>
  <c r="K77" i="24"/>
  <c r="BO77" i="24"/>
  <c r="BR77" i="24" s="1"/>
  <c r="I77" i="24"/>
  <c r="BQ83" i="25"/>
  <c r="I240" i="25"/>
  <c r="M233" i="24"/>
  <c r="N233" i="24" s="1"/>
  <c r="I288" i="25"/>
  <c r="BO52" i="24"/>
  <c r="BR52" i="24" s="1"/>
  <c r="BM298" i="25"/>
  <c r="BQ298" i="25" s="1"/>
  <c r="J43" i="25"/>
  <c r="BK22" i="24"/>
  <c r="S22" i="24"/>
  <c r="T22" i="24" s="1"/>
  <c r="CC178" i="25"/>
  <c r="AL178" i="25"/>
  <c r="H178" i="25"/>
  <c r="BM178" i="25"/>
  <c r="J178" i="25"/>
  <c r="N178" i="25" s="1"/>
  <c r="AL267" i="25"/>
  <c r="CC267" i="25"/>
  <c r="H267" i="25"/>
  <c r="J267" i="25"/>
  <c r="N267" i="25" s="1"/>
  <c r="BM267" i="25"/>
  <c r="CF244" i="24"/>
  <c r="AM244" i="24"/>
  <c r="H244" i="24"/>
  <c r="CE244" i="24"/>
  <c r="I244" i="24"/>
  <c r="BO244" i="24"/>
  <c r="BR244" i="24" s="1"/>
  <c r="H65" i="24"/>
  <c r="CF65" i="24"/>
  <c r="CE65" i="24"/>
  <c r="K65" i="24"/>
  <c r="AM65" i="24"/>
  <c r="I65" i="24"/>
  <c r="AL187" i="25"/>
  <c r="CC187" i="25"/>
  <c r="H187" i="25"/>
  <c r="J187" i="25"/>
  <c r="BM187" i="25"/>
  <c r="H14" i="25"/>
  <c r="CC14" i="25"/>
  <c r="AL14" i="25"/>
  <c r="J14" i="25"/>
  <c r="N14" i="25" s="1"/>
  <c r="BM14" i="25"/>
  <c r="AM89" i="24"/>
  <c r="CE89" i="24"/>
  <c r="CF89" i="24"/>
  <c r="K89" i="24"/>
  <c r="H89" i="24"/>
  <c r="I89" i="24"/>
  <c r="BO89" i="24"/>
  <c r="BR89" i="24" s="1"/>
  <c r="H199" i="24"/>
  <c r="AM199" i="24"/>
  <c r="I199" i="24"/>
  <c r="M199" i="24" s="1"/>
  <c r="N199" i="24" s="1"/>
  <c r="AM313" i="24"/>
  <c r="CE313" i="24"/>
  <c r="CF313" i="24"/>
  <c r="H313" i="24"/>
  <c r="I313" i="24"/>
  <c r="M313" i="24" s="1"/>
  <c r="BO313" i="24"/>
  <c r="BR313" i="24" s="1"/>
  <c r="H15" i="24"/>
  <c r="AM15" i="24"/>
  <c r="CE15" i="24"/>
  <c r="CF15" i="24"/>
  <c r="K15" i="24"/>
  <c r="I15" i="24"/>
  <c r="BO15" i="24"/>
  <c r="BR15" i="24" s="1"/>
  <c r="BO91" i="24"/>
  <c r="BR91" i="24" s="1"/>
  <c r="CF53" i="24"/>
  <c r="AM53" i="24"/>
  <c r="CE53" i="24"/>
  <c r="K53" i="24"/>
  <c r="H53" i="24"/>
  <c r="I53" i="24"/>
  <c r="M53" i="24" s="1"/>
  <c r="N53" i="24" s="1"/>
  <c r="BO154" i="24"/>
  <c r="BR154" i="24" s="1"/>
  <c r="AM127" i="24"/>
  <c r="H127" i="24"/>
  <c r="I127" i="24"/>
  <c r="M127" i="24" s="1"/>
  <c r="N127" i="24" s="1"/>
  <c r="BO199" i="24"/>
  <c r="BR199" i="24" s="1"/>
  <c r="BN97" i="25"/>
  <c r="BQ97" i="25" s="1"/>
  <c r="I97" i="25"/>
  <c r="I150" i="25"/>
  <c r="BN150" i="25"/>
  <c r="CC32" i="25"/>
  <c r="CF32" i="25"/>
  <c r="CE32" i="25"/>
  <c r="H32" i="25"/>
  <c r="AL32" i="25"/>
  <c r="J32" i="25"/>
  <c r="N32" i="25" s="1"/>
  <c r="BM32" i="25"/>
  <c r="BN99" i="25"/>
  <c r="I99" i="25"/>
  <c r="H49" i="25"/>
  <c r="CF49" i="25"/>
  <c r="CE49" i="25"/>
  <c r="CC49" i="25"/>
  <c r="AL49" i="25"/>
  <c r="BM49" i="25"/>
  <c r="J49" i="25"/>
  <c r="L49" i="25" s="1"/>
  <c r="AM23" i="24"/>
  <c r="K23" i="24"/>
  <c r="H23" i="24"/>
  <c r="I23" i="24"/>
  <c r="BO23" i="24"/>
  <c r="BR23" i="24" s="1"/>
  <c r="CF86" i="24"/>
  <c r="K86" i="24"/>
  <c r="H86" i="24"/>
  <c r="AM86" i="24"/>
  <c r="CE86" i="24"/>
  <c r="I86" i="24"/>
  <c r="M86" i="24" s="1"/>
  <c r="N86" i="24" s="1"/>
  <c r="I224" i="25"/>
  <c r="H183" i="25"/>
  <c r="AL183" i="25"/>
  <c r="CC183" i="25"/>
  <c r="BM183" i="25"/>
  <c r="BQ183" i="25" s="1"/>
  <c r="J183" i="25"/>
  <c r="L183" i="25" s="1"/>
  <c r="H179" i="25"/>
  <c r="AL179" i="25"/>
  <c r="CC179" i="25"/>
  <c r="BM179" i="25"/>
  <c r="BQ179" i="25" s="1"/>
  <c r="BQ168" i="25"/>
  <c r="I246" i="25"/>
  <c r="BN246" i="25"/>
  <c r="BQ246" i="25" s="1"/>
  <c r="H59" i="25"/>
  <c r="AL59" i="25"/>
  <c r="CC59" i="25"/>
  <c r="CE59" i="25"/>
  <c r="CF59" i="25"/>
  <c r="BM59" i="25"/>
  <c r="J59" i="25"/>
  <c r="L59" i="25" s="1"/>
  <c r="I232" i="25"/>
  <c r="BN232" i="25"/>
  <c r="BQ232" i="25" s="1"/>
  <c r="I180" i="25"/>
  <c r="BN180" i="25"/>
  <c r="BQ180" i="25" s="1"/>
  <c r="CC255" i="25"/>
  <c r="H255" i="25"/>
  <c r="AL255" i="25"/>
  <c r="J255" i="25"/>
  <c r="N255" i="25" s="1"/>
  <c r="BM255" i="25"/>
  <c r="I162" i="25"/>
  <c r="BN162" i="25"/>
  <c r="BO135" i="24"/>
  <c r="BR135" i="24" s="1"/>
  <c r="J304" i="25"/>
  <c r="L304" i="25" s="1"/>
  <c r="CC88" i="25"/>
  <c r="AL88" i="25"/>
  <c r="H88" i="25"/>
  <c r="J88" i="25"/>
  <c r="BM88" i="25"/>
  <c r="H161" i="24"/>
  <c r="AM161" i="24"/>
  <c r="I161" i="24"/>
  <c r="K161" i="24" s="1"/>
  <c r="AM303" i="24"/>
  <c r="H303" i="24"/>
  <c r="CE303" i="24"/>
  <c r="CF303" i="24"/>
  <c r="I303" i="24"/>
  <c r="M303" i="24" s="1"/>
  <c r="BO303" i="24"/>
  <c r="BR303" i="24" s="1"/>
  <c r="H10" i="24"/>
  <c r="CF10" i="24"/>
  <c r="CE10" i="24"/>
  <c r="K10" i="24"/>
  <c r="AM10" i="24"/>
  <c r="I10" i="24"/>
  <c r="M10" i="24" s="1"/>
  <c r="AL28" i="25"/>
  <c r="H28" i="25"/>
  <c r="CE28" i="25"/>
  <c r="CF28" i="25"/>
  <c r="CC28" i="25"/>
  <c r="BM28" i="25"/>
  <c r="I154" i="25"/>
  <c r="H197" i="24"/>
  <c r="CF197" i="24"/>
  <c r="CE197" i="24"/>
  <c r="AM197" i="24"/>
  <c r="I197" i="24"/>
  <c r="BO197" i="24"/>
  <c r="BR197" i="24" s="1"/>
  <c r="H149" i="24"/>
  <c r="CF149" i="24"/>
  <c r="CE149" i="24"/>
  <c r="AM149" i="24"/>
  <c r="I149" i="24"/>
  <c r="K149" i="24" s="1"/>
  <c r="BO149" i="24"/>
  <c r="BR149" i="24" s="1"/>
  <c r="H264" i="25"/>
  <c r="AL264" i="25"/>
  <c r="CC264" i="25"/>
  <c r="J264" i="25"/>
  <c r="L264" i="25" s="1"/>
  <c r="BM264" i="25"/>
  <c r="BQ264" i="25" s="1"/>
  <c r="AL313" i="25"/>
  <c r="CC313" i="25"/>
  <c r="H313" i="25"/>
  <c r="J313" i="25"/>
  <c r="L313" i="25" s="1"/>
  <c r="I175" i="25"/>
  <c r="BN175" i="25"/>
  <c r="I142" i="25"/>
  <c r="BN142" i="25"/>
  <c r="I12" i="25"/>
  <c r="BN12" i="25"/>
  <c r="CC294" i="25"/>
  <c r="H294" i="25"/>
  <c r="AL294" i="25"/>
  <c r="J294" i="25"/>
  <c r="BM294" i="25"/>
  <c r="CC224" i="25"/>
  <c r="H224" i="25"/>
  <c r="AL224" i="25"/>
  <c r="J224" i="25"/>
  <c r="L224" i="25" s="1"/>
  <c r="BN103" i="25"/>
  <c r="I103" i="25"/>
  <c r="BN254" i="25"/>
  <c r="CC146" i="25"/>
  <c r="H146" i="25"/>
  <c r="AL146" i="25"/>
  <c r="J146" i="25"/>
  <c r="L146" i="25" s="1"/>
  <c r="BM146" i="25"/>
  <c r="BQ146" i="25" s="1"/>
  <c r="BN291" i="25"/>
  <c r="BN296" i="25"/>
  <c r="I113" i="25"/>
  <c r="BN136" i="25"/>
  <c r="I136" i="25"/>
  <c r="BN56" i="25"/>
  <c r="CC293" i="25"/>
  <c r="H293" i="25"/>
  <c r="AL293" i="25"/>
  <c r="BM293" i="25"/>
  <c r="BN252" i="25"/>
  <c r="I252" i="25"/>
  <c r="CF61" i="25"/>
  <c r="H61" i="25"/>
  <c r="AL61" i="25"/>
  <c r="CC61" i="25"/>
  <c r="CE61" i="25"/>
  <c r="J61" i="25"/>
  <c r="BM61" i="25"/>
  <c r="BN250" i="25"/>
  <c r="I250" i="25"/>
  <c r="AM64" i="24"/>
  <c r="CE64" i="24"/>
  <c r="CF64" i="24"/>
  <c r="K64" i="24"/>
  <c r="H64" i="24"/>
  <c r="BO64" i="24"/>
  <c r="BR64" i="24" s="1"/>
  <c r="I64" i="24"/>
  <c r="AM262" i="24"/>
  <c r="CE262" i="24"/>
  <c r="H262" i="24"/>
  <c r="I262" i="24"/>
  <c r="BO262" i="24"/>
  <c r="BR262" i="24" s="1"/>
  <c r="AM249" i="24"/>
  <c r="H249" i="24"/>
  <c r="CE249" i="24"/>
  <c r="CF249" i="24"/>
  <c r="I249" i="24"/>
  <c r="K249" i="24" s="1"/>
  <c r="BO249" i="24"/>
  <c r="BR249" i="24" s="1"/>
  <c r="CE236" i="24"/>
  <c r="H236" i="24"/>
  <c r="K236" i="24"/>
  <c r="CF236" i="24"/>
  <c r="AM236" i="24"/>
  <c r="BO236" i="24"/>
  <c r="BR236" i="24" s="1"/>
  <c r="I303" i="25"/>
  <c r="BN303" i="25"/>
  <c r="BQ303" i="25" s="1"/>
  <c r="AL7" i="25"/>
  <c r="CC7" i="25"/>
  <c r="H7" i="25"/>
  <c r="CF7" i="25"/>
  <c r="CE7" i="25"/>
  <c r="J7" i="25"/>
  <c r="L7" i="25" s="1"/>
  <c r="BM7" i="25"/>
  <c r="I191" i="25"/>
  <c r="BN191" i="25"/>
  <c r="AL299" i="25"/>
  <c r="CC299" i="25"/>
  <c r="H299" i="25"/>
  <c r="J299" i="25"/>
  <c r="L299" i="25" s="1"/>
  <c r="H27" i="25"/>
  <c r="AL27" i="25"/>
  <c r="CC27" i="25"/>
  <c r="BM27" i="25"/>
  <c r="J27" i="25"/>
  <c r="I284" i="25"/>
  <c r="BN284" i="25"/>
  <c r="CF235" i="24"/>
  <c r="H235" i="24"/>
  <c r="AM235" i="24"/>
  <c r="CE235" i="24"/>
  <c r="I235" i="24"/>
  <c r="CE288" i="24"/>
  <c r="AM288" i="24"/>
  <c r="H288" i="24"/>
  <c r="I288" i="24"/>
  <c r="K288" i="24" s="1"/>
  <c r="BO288" i="24"/>
  <c r="BR288" i="24" s="1"/>
  <c r="CE57" i="24"/>
  <c r="CF57" i="24"/>
  <c r="K57" i="24"/>
  <c r="H57" i="24"/>
  <c r="AM57" i="24"/>
  <c r="I57" i="24"/>
  <c r="BO57" i="24"/>
  <c r="BR57" i="24" s="1"/>
  <c r="CE278" i="24"/>
  <c r="H278" i="24"/>
  <c r="CF278" i="24"/>
  <c r="AM278" i="24"/>
  <c r="I278" i="24"/>
  <c r="K278" i="24" s="1"/>
  <c r="BO278" i="24"/>
  <c r="BR278" i="24" s="1"/>
  <c r="H69" i="25"/>
  <c r="CE69" i="25"/>
  <c r="AL69" i="25"/>
  <c r="CC69" i="25"/>
  <c r="CF69" i="25"/>
  <c r="J69" i="25"/>
  <c r="L69" i="25" s="1"/>
  <c r="K26" i="24"/>
  <c r="CF26" i="24"/>
  <c r="CE26" i="24"/>
  <c r="AM26" i="24"/>
  <c r="H26" i="24"/>
  <c r="I26" i="24"/>
  <c r="I60" i="25"/>
  <c r="BN60" i="25"/>
  <c r="BN313" i="25"/>
  <c r="AL209" i="25"/>
  <c r="CC209" i="25"/>
  <c r="H209" i="25"/>
  <c r="BM209" i="25"/>
  <c r="J209" i="25"/>
  <c r="L209" i="25" s="1"/>
  <c r="H131" i="25"/>
  <c r="AL131" i="25"/>
  <c r="CC131" i="25"/>
  <c r="BM131" i="25"/>
  <c r="CC119" i="25"/>
  <c r="H119" i="25"/>
  <c r="AL119" i="25"/>
  <c r="J119" i="25"/>
  <c r="BM119" i="25"/>
  <c r="BQ119" i="25" s="1"/>
  <c r="AL133" i="25"/>
  <c r="CC133" i="25"/>
  <c r="H133" i="25"/>
  <c r="BM133" i="25"/>
  <c r="J133" i="25"/>
  <c r="L133" i="25" s="1"/>
  <c r="AL41" i="25"/>
  <c r="H41" i="25"/>
  <c r="CC41" i="25"/>
  <c r="CE41" i="25"/>
  <c r="CF41" i="25"/>
  <c r="J41" i="25"/>
  <c r="BM41" i="25"/>
  <c r="BQ41" i="25" s="1"/>
  <c r="AL256" i="25"/>
  <c r="H256" i="25"/>
  <c r="CC256" i="25"/>
  <c r="J256" i="25"/>
  <c r="I19" i="25"/>
  <c r="AL36" i="25"/>
  <c r="CC36" i="25"/>
  <c r="CF36" i="25"/>
  <c r="CE36" i="25"/>
  <c r="H36" i="25"/>
  <c r="BM36" i="25"/>
  <c r="J36" i="25"/>
  <c r="I64" i="25"/>
  <c r="BN64" i="25"/>
  <c r="AL274" i="25"/>
  <c r="CC274" i="25"/>
  <c r="H274" i="25"/>
  <c r="BM274" i="25"/>
  <c r="BQ274" i="25" s="1"/>
  <c r="J274" i="25"/>
  <c r="L274" i="25" s="1"/>
  <c r="H268" i="25"/>
  <c r="AL268" i="25"/>
  <c r="CC268" i="25"/>
  <c r="J268" i="25"/>
  <c r="L268" i="25" s="1"/>
  <c r="BM268" i="25"/>
  <c r="I301" i="25"/>
  <c r="BN301" i="25"/>
  <c r="H308" i="25"/>
  <c r="AL308" i="25"/>
  <c r="CC308" i="25"/>
  <c r="J308" i="25"/>
  <c r="CC286" i="25"/>
  <c r="H286" i="25"/>
  <c r="AL286" i="25"/>
  <c r="J286" i="25"/>
  <c r="BM286" i="25"/>
  <c r="AM178" i="24"/>
  <c r="H178" i="24"/>
  <c r="I178" i="24"/>
  <c r="H217" i="24"/>
  <c r="AM217" i="24"/>
  <c r="CE217" i="24"/>
  <c r="BO217" i="24"/>
  <c r="BR217" i="24" s="1"/>
  <c r="I217" i="24"/>
  <c r="K217" i="24" s="1"/>
  <c r="H221" i="24"/>
  <c r="CF221" i="24"/>
  <c r="AM221" i="24"/>
  <c r="CE221" i="24"/>
  <c r="I221" i="24"/>
  <c r="K221" i="24" s="1"/>
  <c r="BO221" i="24"/>
  <c r="BR221" i="24" s="1"/>
  <c r="CE293" i="24"/>
  <c r="CF293" i="24"/>
  <c r="H293" i="24"/>
  <c r="AM293" i="24"/>
  <c r="BO293" i="24"/>
  <c r="BR293" i="24" s="1"/>
  <c r="I293" i="24"/>
  <c r="K293" i="24" s="1"/>
  <c r="H135" i="25"/>
  <c r="AL135" i="25"/>
  <c r="CC135" i="25"/>
  <c r="J135" i="25"/>
  <c r="L135" i="25" s="1"/>
  <c r="BM135" i="25"/>
  <c r="BQ135" i="25" s="1"/>
  <c r="AL196" i="25"/>
  <c r="CC196" i="25"/>
  <c r="H196" i="25"/>
  <c r="J196" i="25"/>
  <c r="BM196" i="25"/>
  <c r="BQ196" i="25" s="1"/>
  <c r="CC153" i="25"/>
  <c r="H153" i="25"/>
  <c r="AL153" i="25"/>
  <c r="J153" i="25"/>
  <c r="H127" i="25"/>
  <c r="AL127" i="25"/>
  <c r="CC127" i="25"/>
  <c r="BM127" i="25"/>
  <c r="BQ127" i="25" s="1"/>
  <c r="J127" i="25"/>
  <c r="L127" i="25" s="1"/>
  <c r="AL149" i="25"/>
  <c r="CC149" i="25"/>
  <c r="H149" i="25"/>
  <c r="J149" i="25"/>
  <c r="BM149" i="25"/>
  <c r="BQ149" i="25" s="1"/>
  <c r="AL140" i="25"/>
  <c r="CC140" i="25"/>
  <c r="H140" i="25"/>
  <c r="BM140" i="25"/>
  <c r="BQ140" i="25" s="1"/>
  <c r="J140" i="25"/>
  <c r="L140" i="25" s="1"/>
  <c r="H123" i="25"/>
  <c r="AL123" i="25"/>
  <c r="CC123" i="25"/>
  <c r="J123" i="25"/>
  <c r="BM123" i="25"/>
  <c r="BQ123" i="25" s="1"/>
  <c r="H22" i="25"/>
  <c r="AL22" i="25"/>
  <c r="CC22" i="25"/>
  <c r="J22" i="25"/>
  <c r="L22" i="25" s="1"/>
  <c r="BM22" i="25"/>
  <c r="BQ22" i="25" s="1"/>
  <c r="CE24" i="25"/>
  <c r="AL24" i="25"/>
  <c r="H24" i="25"/>
  <c r="CC24" i="25"/>
  <c r="CF24" i="25"/>
  <c r="J24" i="25"/>
  <c r="BM24" i="25"/>
  <c r="BQ24" i="25" s="1"/>
  <c r="CC98" i="25"/>
  <c r="H98" i="25"/>
  <c r="AL98" i="25"/>
  <c r="BM98" i="25"/>
  <c r="BQ98" i="25" s="1"/>
  <c r="J98" i="25"/>
  <c r="CC57" i="25"/>
  <c r="CF57" i="25"/>
  <c r="CE57" i="25"/>
  <c r="H57" i="25"/>
  <c r="AL57" i="25"/>
  <c r="BM57" i="25"/>
  <c r="BQ57" i="25" s="1"/>
  <c r="J57" i="25"/>
  <c r="L57" i="25" s="1"/>
  <c r="H20" i="25"/>
  <c r="CF20" i="25"/>
  <c r="CE20" i="25"/>
  <c r="CC20" i="25"/>
  <c r="AL20" i="25"/>
  <c r="J20" i="25"/>
  <c r="L20" i="25" s="1"/>
  <c r="BM20" i="25"/>
  <c r="BQ20" i="25" s="1"/>
  <c r="CC91" i="25"/>
  <c r="AL91" i="25"/>
  <c r="CF91" i="25"/>
  <c r="H91" i="25"/>
  <c r="CE91" i="25"/>
  <c r="J91" i="25"/>
  <c r="CC85" i="25"/>
  <c r="H85" i="25"/>
  <c r="CF85" i="25"/>
  <c r="CE85" i="25"/>
  <c r="AL85" i="25"/>
  <c r="J85" i="25"/>
  <c r="BM85" i="25"/>
  <c r="BQ85" i="25" s="1"/>
  <c r="CF48" i="25"/>
  <c r="CE48" i="25"/>
  <c r="H48" i="25"/>
  <c r="AL48" i="25"/>
  <c r="CC48" i="25"/>
  <c r="J48" i="25"/>
  <c r="CE35" i="25"/>
  <c r="CF35" i="25"/>
  <c r="H35" i="25"/>
  <c r="CC35" i="25"/>
  <c r="AL35" i="25"/>
  <c r="BM35" i="25"/>
  <c r="BQ35" i="25" s="1"/>
  <c r="J35" i="25"/>
  <c r="H175" i="24"/>
  <c r="CF175" i="24"/>
  <c r="AM175" i="24"/>
  <c r="CE175" i="24"/>
  <c r="I175" i="24"/>
  <c r="K95" i="24"/>
  <c r="H95" i="24"/>
  <c r="AM95" i="24"/>
  <c r="CE95" i="24"/>
  <c r="CF95" i="24"/>
  <c r="I95" i="24"/>
  <c r="BO95" i="24"/>
  <c r="BR95" i="24" s="1"/>
  <c r="CE258" i="24"/>
  <c r="H258" i="24"/>
  <c r="CF258" i="24"/>
  <c r="AM258" i="24"/>
  <c r="I258" i="24"/>
  <c r="BO258" i="24"/>
  <c r="BR258" i="24" s="1"/>
  <c r="BM66" i="25"/>
  <c r="BM92" i="25"/>
  <c r="BN222" i="25"/>
  <c r="CC207" i="25"/>
  <c r="AL207" i="25"/>
  <c r="H207" i="25"/>
  <c r="J207" i="25"/>
  <c r="BM207" i="25"/>
  <c r="BQ207" i="25" s="1"/>
  <c r="CC230" i="25"/>
  <c r="H230" i="25"/>
  <c r="AL230" i="25"/>
  <c r="J230" i="25"/>
  <c r="L230" i="25" s="1"/>
  <c r="BM230" i="25"/>
  <c r="BQ230" i="25" s="1"/>
  <c r="BN74" i="25"/>
  <c r="I74" i="25"/>
  <c r="AL62" i="25"/>
  <c r="CC62" i="25"/>
  <c r="H62" i="25"/>
  <c r="BM62" i="25"/>
  <c r="J62" i="25"/>
  <c r="N62" i="25" s="1"/>
  <c r="CF237" i="24"/>
  <c r="AM237" i="24"/>
  <c r="H237" i="24"/>
  <c r="CE237" i="24"/>
  <c r="BO237" i="24"/>
  <c r="BR237" i="24" s="1"/>
  <c r="I237" i="24"/>
  <c r="M237" i="24" s="1"/>
  <c r="N237" i="24" s="1"/>
  <c r="BK162" i="24"/>
  <c r="S162" i="24"/>
  <c r="T162" i="24" s="1"/>
  <c r="M162" i="24"/>
  <c r="N162" i="24" s="1"/>
  <c r="I16" i="25"/>
  <c r="BN16" i="25"/>
  <c r="BQ16" i="25" s="1"/>
  <c r="I50" i="25"/>
  <c r="BM220" i="25"/>
  <c r="BO166" i="24"/>
  <c r="BR166" i="24" s="1"/>
  <c r="BM91" i="25"/>
  <c r="BQ91" i="25" s="1"/>
  <c r="BM103" i="25"/>
  <c r="J87" i="25"/>
  <c r="N87" i="25" s="1"/>
  <c r="AL113" i="25"/>
  <c r="CC113" i="25"/>
  <c r="H113" i="25"/>
  <c r="J113" i="25"/>
  <c r="N113" i="25" s="1"/>
  <c r="BM113" i="25"/>
  <c r="AL225" i="25"/>
  <c r="CC225" i="25"/>
  <c r="H225" i="25"/>
  <c r="BM225" i="25"/>
  <c r="J225" i="25"/>
  <c r="L225" i="25" s="1"/>
  <c r="CC25" i="25"/>
  <c r="AL25" i="25"/>
  <c r="CE25" i="25"/>
  <c r="CF25" i="25"/>
  <c r="H25" i="25"/>
  <c r="BM25" i="25"/>
  <c r="J25" i="25"/>
  <c r="L25" i="25" s="1"/>
  <c r="H310" i="24"/>
  <c r="AM310" i="24"/>
  <c r="I310" i="24"/>
  <c r="M310" i="24" s="1"/>
  <c r="BO310" i="24"/>
  <c r="BR310" i="24" s="1"/>
  <c r="CC97" i="25"/>
  <c r="H97" i="25"/>
  <c r="AL97" i="25"/>
  <c r="J97" i="25"/>
  <c r="L97" i="25" s="1"/>
  <c r="I92" i="25"/>
  <c r="BN92" i="25"/>
  <c r="I155" i="25"/>
  <c r="BN155" i="25"/>
  <c r="H305" i="24"/>
  <c r="AM305" i="24"/>
  <c r="CE305" i="24"/>
  <c r="I305" i="24"/>
  <c r="K305" i="24" s="1"/>
  <c r="BO305" i="24"/>
  <c r="BR305" i="24" s="1"/>
  <c r="H158" i="25"/>
  <c r="AL158" i="25"/>
  <c r="CC158" i="25"/>
  <c r="J158" i="25"/>
  <c r="N158" i="25" s="1"/>
  <c r="H112" i="25"/>
  <c r="CC112" i="25"/>
  <c r="AL112" i="25"/>
  <c r="BM112" i="25"/>
  <c r="J112" i="25"/>
  <c r="L112" i="25" s="1"/>
  <c r="H134" i="25"/>
  <c r="AL134" i="25"/>
  <c r="CC134" i="25"/>
  <c r="J134" i="25"/>
  <c r="L134" i="25" s="1"/>
  <c r="BM134" i="25"/>
  <c r="H258" i="25"/>
  <c r="AL258" i="25"/>
  <c r="CC258" i="25"/>
  <c r="BM258" i="25"/>
  <c r="BQ258" i="25" s="1"/>
  <c r="I216" i="25"/>
  <c r="BN113" i="25"/>
  <c r="BN243" i="25"/>
  <c r="I243" i="25"/>
  <c r="H121" i="25"/>
  <c r="AL121" i="25"/>
  <c r="CC121" i="25"/>
  <c r="J121" i="25"/>
  <c r="L121" i="25" s="1"/>
  <c r="BM121" i="25"/>
  <c r="H47" i="25"/>
  <c r="CF47" i="25"/>
  <c r="CE47" i="25"/>
  <c r="AL47" i="25"/>
  <c r="CC47" i="25"/>
  <c r="J47" i="25"/>
  <c r="BM47" i="25"/>
  <c r="BN316" i="25"/>
  <c r="I316" i="25"/>
  <c r="AL242" i="25"/>
  <c r="CC242" i="25"/>
  <c r="H242" i="25"/>
  <c r="BM242" i="25"/>
  <c r="J242" i="25"/>
  <c r="BN39" i="25"/>
  <c r="I39" i="25"/>
  <c r="H301" i="24"/>
  <c r="AM301" i="24"/>
  <c r="CE301" i="24"/>
  <c r="CF301" i="24"/>
  <c r="I301" i="24"/>
  <c r="BO301" i="24"/>
  <c r="BR301" i="24" s="1"/>
  <c r="AM238" i="24"/>
  <c r="H238" i="24"/>
  <c r="I238" i="24"/>
  <c r="M238" i="24" s="1"/>
  <c r="N238" i="24" s="1"/>
  <c r="BO238" i="24"/>
  <c r="BR238" i="24" s="1"/>
  <c r="H193" i="24"/>
  <c r="AM193" i="24"/>
  <c r="I193" i="24"/>
  <c r="M193" i="24" s="1"/>
  <c r="BO193" i="24"/>
  <c r="BR193" i="24" s="1"/>
  <c r="H136" i="24"/>
  <c r="AM136" i="24"/>
  <c r="CF136" i="24"/>
  <c r="CE136" i="24"/>
  <c r="I136" i="24"/>
  <c r="BO136" i="24"/>
  <c r="BR136" i="24" s="1"/>
  <c r="CC50" i="25"/>
  <c r="AL50" i="25"/>
  <c r="H50" i="25"/>
  <c r="CE50" i="25"/>
  <c r="CF50" i="25"/>
  <c r="J50" i="25"/>
  <c r="AL229" i="25"/>
  <c r="CC229" i="25"/>
  <c r="H229" i="25"/>
  <c r="J229" i="25"/>
  <c r="N229" i="25" s="1"/>
  <c r="BM229" i="25"/>
  <c r="BQ229" i="25" s="1"/>
  <c r="I309" i="25"/>
  <c r="BN309" i="25"/>
  <c r="AL181" i="25"/>
  <c r="CC181" i="25"/>
  <c r="H181" i="25"/>
  <c r="BM181" i="25"/>
  <c r="J181" i="25"/>
  <c r="I228" i="25"/>
  <c r="BN228" i="25"/>
  <c r="AL249" i="25"/>
  <c r="CC249" i="25"/>
  <c r="H249" i="25"/>
  <c r="J249" i="25"/>
  <c r="L249" i="25" s="1"/>
  <c r="BM249" i="25"/>
  <c r="BN33" i="25"/>
  <c r="I33" i="25"/>
  <c r="H240" i="25"/>
  <c r="CC240" i="25"/>
  <c r="AL240" i="25"/>
  <c r="J240" i="25"/>
  <c r="N240" i="25" s="1"/>
  <c r="BM240" i="25"/>
  <c r="BQ240" i="25" s="1"/>
  <c r="H203" i="24"/>
  <c r="AM203" i="24"/>
  <c r="I203" i="24"/>
  <c r="K203" i="24" s="1"/>
  <c r="BO203" i="24"/>
  <c r="BR203" i="24" s="1"/>
  <c r="H49" i="24"/>
  <c r="AM49" i="24"/>
  <c r="CF49" i="24"/>
  <c r="CE49" i="24"/>
  <c r="K49" i="24"/>
  <c r="I49" i="24"/>
  <c r="H218" i="24"/>
  <c r="CF218" i="24"/>
  <c r="AM218" i="24"/>
  <c r="I218" i="24"/>
  <c r="M218" i="24" s="1"/>
  <c r="BO218" i="24"/>
  <c r="BR218" i="24" s="1"/>
  <c r="CF227" i="24"/>
  <c r="AM227" i="24"/>
  <c r="CE227" i="24"/>
  <c r="H227" i="24"/>
  <c r="BO227" i="24"/>
  <c r="BR227" i="24" s="1"/>
  <c r="I227" i="24"/>
  <c r="M227" i="24" s="1"/>
  <c r="BM158" i="25"/>
  <c r="AL277" i="25"/>
  <c r="CC277" i="25"/>
  <c r="H277" i="25"/>
  <c r="J277" i="25"/>
  <c r="L277" i="25" s="1"/>
  <c r="H78" i="24"/>
  <c r="AM78" i="24"/>
  <c r="K78" i="24"/>
  <c r="H11" i="24"/>
  <c r="CF11" i="24"/>
  <c r="CE11" i="24"/>
  <c r="AM11" i="24"/>
  <c r="K11" i="24"/>
  <c r="I11" i="24"/>
  <c r="CE183" i="24"/>
  <c r="H183" i="24"/>
  <c r="CF183" i="24"/>
  <c r="AM183" i="24"/>
  <c r="I183" i="24"/>
  <c r="H235" i="25"/>
  <c r="AL235" i="25"/>
  <c r="CC235" i="25"/>
  <c r="J235" i="25"/>
  <c r="L235" i="25" s="1"/>
  <c r="BM235" i="25"/>
  <c r="AL304" i="25"/>
  <c r="CC304" i="25"/>
  <c r="H304" i="25"/>
  <c r="I234" i="25"/>
  <c r="BN234" i="25"/>
  <c r="AL289" i="25"/>
  <c r="CC289" i="25"/>
  <c r="H289" i="25"/>
  <c r="BM289" i="25"/>
  <c r="J289" i="25"/>
  <c r="I184" i="25"/>
  <c r="BN184" i="25"/>
  <c r="AL101" i="25"/>
  <c r="CC101" i="25"/>
  <c r="H101" i="25"/>
  <c r="J101" i="25"/>
  <c r="BM101" i="25"/>
  <c r="H45" i="25"/>
  <c r="AL45" i="25"/>
  <c r="CC45" i="25"/>
  <c r="J45" i="25"/>
  <c r="L45" i="25" s="1"/>
  <c r="H306" i="24"/>
  <c r="AM306" i="24"/>
  <c r="I306" i="24"/>
  <c r="M306" i="24" s="1"/>
  <c r="H220" i="24"/>
  <c r="CE220" i="24"/>
  <c r="CF220" i="24"/>
  <c r="AM220" i="24"/>
  <c r="BO220" i="24"/>
  <c r="BR220" i="24" s="1"/>
  <c r="I220" i="24"/>
  <c r="K220" i="24" s="1"/>
  <c r="AM156" i="24"/>
  <c r="H156" i="24"/>
  <c r="I156" i="24"/>
  <c r="BO156" i="24"/>
  <c r="BR156" i="24" s="1"/>
  <c r="CE300" i="24"/>
  <c r="CF300" i="24"/>
  <c r="H300" i="24"/>
  <c r="AM300" i="24"/>
  <c r="I300" i="24"/>
  <c r="BO300" i="24"/>
  <c r="BR300" i="24" s="1"/>
  <c r="CF42" i="24"/>
  <c r="AM42" i="24"/>
  <c r="CE42" i="24"/>
  <c r="K42" i="24"/>
  <c r="H42" i="24"/>
  <c r="I42" i="24"/>
  <c r="AM311" i="24"/>
  <c r="H311" i="24"/>
  <c r="CE311" i="24"/>
  <c r="I311" i="24"/>
  <c r="K311" i="24" s="1"/>
  <c r="H80" i="25"/>
  <c r="CC80" i="25"/>
  <c r="AL80" i="25"/>
  <c r="J80" i="25"/>
  <c r="L80" i="25" s="1"/>
  <c r="AL311" i="25"/>
  <c r="CC311" i="25"/>
  <c r="H311" i="25"/>
  <c r="J311" i="25"/>
  <c r="L311" i="25" s="1"/>
  <c r="BM311" i="25"/>
  <c r="AL307" i="25"/>
  <c r="CC307" i="25"/>
  <c r="H307" i="25"/>
  <c r="J307" i="25"/>
  <c r="BM307" i="25"/>
  <c r="CE308" i="24"/>
  <c r="AM308" i="24"/>
  <c r="H308" i="24"/>
  <c r="I308" i="24"/>
  <c r="K308" i="24" s="1"/>
  <c r="BO308" i="24"/>
  <c r="BR308" i="24" s="1"/>
  <c r="AM271" i="24"/>
  <c r="H271" i="24"/>
  <c r="CE271" i="24"/>
  <c r="BO271" i="24"/>
  <c r="BR271" i="24" s="1"/>
  <c r="I271" i="24"/>
  <c r="M271" i="24" s="1"/>
  <c r="N271" i="24" s="1"/>
  <c r="AM181" i="24"/>
  <c r="CF181" i="24"/>
  <c r="H181" i="24"/>
  <c r="CE181" i="24"/>
  <c r="I181" i="24"/>
  <c r="M181" i="24" s="1"/>
  <c r="N181" i="24" s="1"/>
  <c r="CE58" i="24"/>
  <c r="K58" i="24"/>
  <c r="H58" i="24"/>
  <c r="AM58" i="24"/>
  <c r="CF58" i="24"/>
  <c r="I58" i="24"/>
  <c r="K84" i="24"/>
  <c r="H84" i="24"/>
  <c r="AM84" i="24"/>
  <c r="CF84" i="24"/>
  <c r="CE84" i="24"/>
  <c r="BO84" i="24"/>
  <c r="BR84" i="24" s="1"/>
  <c r="I84" i="24"/>
  <c r="K51" i="24"/>
  <c r="AM51" i="24"/>
  <c r="H51" i="24"/>
  <c r="CF51" i="24"/>
  <c r="CE51" i="24"/>
  <c r="I51" i="24"/>
  <c r="BO51" i="24"/>
  <c r="BR51" i="24" s="1"/>
  <c r="K43" i="24"/>
  <c r="H43" i="24"/>
  <c r="AM43" i="24"/>
  <c r="CE43" i="24"/>
  <c r="CF43" i="24"/>
  <c r="I43" i="24"/>
  <c r="M43" i="24" s="1"/>
  <c r="N43" i="24" s="1"/>
  <c r="BO43" i="24"/>
  <c r="BR43" i="24" s="1"/>
  <c r="I158" i="25"/>
  <c r="AL115" i="25"/>
  <c r="H115" i="25"/>
  <c r="CC115" i="25"/>
  <c r="J115" i="25"/>
  <c r="BM115" i="25"/>
  <c r="BQ115" i="25" s="1"/>
  <c r="BN7" i="25"/>
  <c r="CF44" i="24"/>
  <c r="K44" i="24"/>
  <c r="H44" i="24"/>
  <c r="AM44" i="24"/>
  <c r="CE44" i="24"/>
  <c r="M44" i="24"/>
  <c r="N44" i="24" s="1"/>
  <c r="BO44" i="24"/>
  <c r="BR44" i="24" s="1"/>
  <c r="AL31" i="25"/>
  <c r="CC31" i="25"/>
  <c r="CE31" i="25"/>
  <c r="CF31" i="25"/>
  <c r="H31" i="25"/>
  <c r="J31" i="25"/>
  <c r="N31" i="25" s="1"/>
  <c r="BM31" i="25"/>
  <c r="CF115" i="24"/>
  <c r="CE115" i="24"/>
  <c r="AM115" i="24"/>
  <c r="H115" i="24"/>
  <c r="I115" i="24"/>
  <c r="BO115" i="24"/>
  <c r="BR115" i="24" s="1"/>
  <c r="BK191" i="24"/>
  <c r="S191" i="24"/>
  <c r="T191" i="24" s="1"/>
  <c r="M191" i="24"/>
  <c r="N191" i="24" s="1"/>
  <c r="CE246" i="24"/>
  <c r="CF246" i="24"/>
  <c r="H246" i="24"/>
  <c r="AM246" i="24"/>
  <c r="I246" i="24"/>
  <c r="BO246" i="24"/>
  <c r="BR246" i="24" s="1"/>
  <c r="I229" i="25"/>
  <c r="BK101" i="24"/>
  <c r="S101" i="24"/>
  <c r="T101" i="24" s="1"/>
  <c r="BK292" i="24"/>
  <c r="S292" i="24"/>
  <c r="T292" i="24" s="1"/>
  <c r="M292" i="24"/>
  <c r="N292" i="24" s="1"/>
  <c r="BN289" i="25"/>
  <c r="BN19" i="25"/>
  <c r="BN154" i="25"/>
  <c r="BN61" i="25"/>
  <c r="BM313" i="25"/>
  <c r="BM308" i="25"/>
  <c r="BM128" i="25"/>
  <c r="BQ128" i="25" s="1"/>
  <c r="BM174" i="25"/>
  <c r="BO128" i="24"/>
  <c r="BR128" i="24" s="1"/>
  <c r="I151" i="24"/>
  <c r="K151" i="24" s="1"/>
  <c r="H102" i="25"/>
  <c r="AL102" i="25"/>
  <c r="CC102" i="25"/>
  <c r="J102" i="25"/>
  <c r="BM102" i="25"/>
  <c r="AL254" i="25"/>
  <c r="CC254" i="25"/>
  <c r="H254" i="25"/>
  <c r="BM254" i="25"/>
  <c r="J254" i="25"/>
  <c r="L254" i="25" s="1"/>
  <c r="H161" i="25"/>
  <c r="AL161" i="25"/>
  <c r="CC161" i="25"/>
  <c r="J161" i="25"/>
  <c r="N161" i="25" s="1"/>
  <c r="BM161" i="25"/>
  <c r="AL86" i="25"/>
  <c r="H86" i="25"/>
  <c r="CC86" i="25"/>
  <c r="BM86" i="25"/>
  <c r="J86" i="25"/>
  <c r="BN170" i="25"/>
  <c r="I170" i="25"/>
  <c r="AM35" i="24"/>
  <c r="CF35" i="24"/>
  <c r="CE35" i="24"/>
  <c r="K35" i="24"/>
  <c r="H35" i="24"/>
  <c r="I35" i="24"/>
  <c r="BO35" i="24"/>
  <c r="BR35" i="24" s="1"/>
  <c r="AL10" i="25"/>
  <c r="H10" i="25"/>
  <c r="CC10" i="25"/>
  <c r="J10" i="25"/>
  <c r="L10" i="25" s="1"/>
  <c r="H147" i="25"/>
  <c r="AL147" i="25"/>
  <c r="CC147" i="25"/>
  <c r="J147" i="25"/>
  <c r="N147" i="25" s="1"/>
  <c r="BM147" i="25"/>
  <c r="AL220" i="25"/>
  <c r="CC220" i="25"/>
  <c r="H220" i="25"/>
  <c r="J220" i="25"/>
  <c r="L220" i="25" s="1"/>
  <c r="CC144" i="25"/>
  <c r="AL144" i="25"/>
  <c r="H144" i="25"/>
  <c r="BM144" i="25"/>
  <c r="J144" i="25"/>
  <c r="AL148" i="25"/>
  <c r="H148" i="25"/>
  <c r="CC148" i="25"/>
  <c r="J148" i="25"/>
  <c r="N148" i="25" s="1"/>
  <c r="BM148" i="25"/>
  <c r="AL292" i="25"/>
  <c r="CC292" i="25"/>
  <c r="H292" i="25"/>
  <c r="J292" i="25"/>
  <c r="N292" i="25" s="1"/>
  <c r="BN124" i="25"/>
  <c r="I124" i="25"/>
  <c r="BN89" i="25"/>
  <c r="I89" i="25"/>
  <c r="H247" i="25"/>
  <c r="AL247" i="25"/>
  <c r="CC247" i="25"/>
  <c r="J247" i="25"/>
  <c r="N247" i="25" s="1"/>
  <c r="BN272" i="25"/>
  <c r="I272" i="25"/>
  <c r="H66" i="25"/>
  <c r="AL66" i="25"/>
  <c r="CC66" i="25"/>
  <c r="CF66" i="25"/>
  <c r="CE66" i="25"/>
  <c r="J66" i="25"/>
  <c r="L66" i="25" s="1"/>
  <c r="CF153" i="24"/>
  <c r="AM153" i="24"/>
  <c r="H153" i="24"/>
  <c r="CE153" i="24"/>
  <c r="I153" i="24"/>
  <c r="K153" i="24" s="1"/>
  <c r="BO153" i="24"/>
  <c r="BR153" i="24" s="1"/>
  <c r="CE234" i="24"/>
  <c r="H234" i="24"/>
  <c r="CF234" i="24"/>
  <c r="AM234" i="24"/>
  <c r="I234" i="24"/>
  <c r="M234" i="24" s="1"/>
  <c r="BO234" i="24"/>
  <c r="BR234" i="24" s="1"/>
  <c r="CE279" i="24"/>
  <c r="AM279" i="24"/>
  <c r="H279" i="24"/>
  <c r="I279" i="24"/>
  <c r="M279" i="24" s="1"/>
  <c r="BO279" i="24"/>
  <c r="BR279" i="24" s="1"/>
  <c r="AM98" i="24"/>
  <c r="K98" i="24"/>
  <c r="H98" i="24"/>
  <c r="I98" i="24"/>
  <c r="AM85" i="24"/>
  <c r="CF85" i="24"/>
  <c r="CE85" i="24"/>
  <c r="K85" i="24"/>
  <c r="H85" i="24"/>
  <c r="BO85" i="24"/>
  <c r="BR85" i="24" s="1"/>
  <c r="K59" i="24"/>
  <c r="AM59" i="24"/>
  <c r="H59" i="24"/>
  <c r="CF59" i="24"/>
  <c r="CE59" i="24"/>
  <c r="I59" i="24"/>
  <c r="I78" i="25"/>
  <c r="BN78" i="25"/>
  <c r="CC173" i="25"/>
  <c r="H173" i="25"/>
  <c r="AL173" i="25"/>
  <c r="J173" i="25"/>
  <c r="N173" i="25" s="1"/>
  <c r="BM173" i="25"/>
  <c r="I172" i="25"/>
  <c r="BN172" i="25"/>
  <c r="H65" i="25"/>
  <c r="AL65" i="25"/>
  <c r="CC65" i="25"/>
  <c r="BM65" i="25"/>
  <c r="J65" i="25"/>
  <c r="L65" i="25" s="1"/>
  <c r="I261" i="25"/>
  <c r="BN261" i="25"/>
  <c r="AL251" i="25"/>
  <c r="CC251" i="25"/>
  <c r="H251" i="25"/>
  <c r="J251" i="25"/>
  <c r="L251" i="25" s="1"/>
  <c r="AM297" i="24"/>
  <c r="H297" i="24"/>
  <c r="I297" i="24"/>
  <c r="BO297" i="24"/>
  <c r="BR297" i="24" s="1"/>
  <c r="AM40" i="24"/>
  <c r="K40" i="24"/>
  <c r="H40" i="24"/>
  <c r="CE40" i="24"/>
  <c r="CF40" i="24"/>
  <c r="BO40" i="24"/>
  <c r="BR40" i="24" s="1"/>
  <c r="I40" i="24"/>
  <c r="M40" i="24" s="1"/>
  <c r="H294" i="24"/>
  <c r="CE294" i="24"/>
  <c r="CF294" i="24"/>
  <c r="AM294" i="24"/>
  <c r="BO294" i="24"/>
  <c r="BR294" i="24" s="1"/>
  <c r="CF287" i="24"/>
  <c r="AM287" i="24"/>
  <c r="H287" i="24"/>
  <c r="I287" i="24"/>
  <c r="M287" i="24" s="1"/>
  <c r="BO287" i="24"/>
  <c r="BR287" i="24" s="1"/>
  <c r="CE226" i="24"/>
  <c r="CF226" i="24"/>
  <c r="AM226" i="24"/>
  <c r="H226" i="24"/>
  <c r="I226" i="24"/>
  <c r="M226" i="24" s="1"/>
  <c r="BO226" i="24"/>
  <c r="BR226" i="24" s="1"/>
  <c r="BO10" i="24"/>
  <c r="BR10" i="24" s="1"/>
  <c r="BO9" i="24"/>
  <c r="BR9" i="24" s="1"/>
  <c r="I201" i="25"/>
  <c r="BN201" i="25"/>
  <c r="AL167" i="25"/>
  <c r="CC167" i="25"/>
  <c r="H167" i="25"/>
  <c r="J167" i="25"/>
  <c r="N167" i="25" s="1"/>
  <c r="BM167" i="25"/>
  <c r="I166" i="25"/>
  <c r="BN166" i="25"/>
  <c r="H55" i="25"/>
  <c r="AL55" i="25"/>
  <c r="CC55" i="25"/>
  <c r="J55" i="25"/>
  <c r="BM55" i="25"/>
  <c r="I285" i="25"/>
  <c r="BN285" i="25"/>
  <c r="H306" i="25"/>
  <c r="AL306" i="25"/>
  <c r="CC306" i="25"/>
  <c r="J306" i="25"/>
  <c r="N306" i="25" s="1"/>
  <c r="BM306" i="25"/>
  <c r="I90" i="25"/>
  <c r="BN90" i="25"/>
  <c r="H263" i="25"/>
  <c r="AL263" i="25"/>
  <c r="CC263" i="25"/>
  <c r="J263" i="25"/>
  <c r="BM263" i="25"/>
  <c r="I314" i="25"/>
  <c r="BN314" i="25"/>
  <c r="H283" i="25"/>
  <c r="CC283" i="25"/>
  <c r="AL283" i="25"/>
  <c r="J283" i="25"/>
  <c r="N283" i="25" s="1"/>
  <c r="BM283" i="25"/>
  <c r="AL276" i="25"/>
  <c r="CC276" i="25"/>
  <c r="H276" i="25"/>
  <c r="J276" i="25"/>
  <c r="N276" i="25" s="1"/>
  <c r="BM276" i="25"/>
  <c r="H208" i="24"/>
  <c r="AM208" i="24"/>
  <c r="I208" i="24"/>
  <c r="BO208" i="24"/>
  <c r="BR208" i="24" s="1"/>
  <c r="CE8" i="24"/>
  <c r="H8" i="24"/>
  <c r="CF8" i="24"/>
  <c r="AM8" i="24"/>
  <c r="K8" i="24"/>
  <c r="I8" i="24"/>
  <c r="BO8" i="24"/>
  <c r="BR8" i="24" s="1"/>
  <c r="CE13" i="24"/>
  <c r="AM13" i="24"/>
  <c r="K13" i="24"/>
  <c r="H13" i="24"/>
  <c r="CF13" i="24"/>
  <c r="BO13" i="24"/>
  <c r="BR13" i="24" s="1"/>
  <c r="I13" i="24"/>
  <c r="AM200" i="24"/>
  <c r="H200" i="24"/>
  <c r="I200" i="24"/>
  <c r="M200" i="24" s="1"/>
  <c r="BO200" i="24"/>
  <c r="BR200" i="24" s="1"/>
  <c r="AM81" i="24"/>
  <c r="K81" i="24"/>
  <c r="H81" i="24"/>
  <c r="I81" i="24"/>
  <c r="CF150" i="24"/>
  <c r="CE150" i="24"/>
  <c r="AM150" i="24"/>
  <c r="H150" i="24"/>
  <c r="I150" i="24"/>
  <c r="M150" i="24" s="1"/>
  <c r="N150" i="24" s="1"/>
  <c r="AM284" i="24"/>
  <c r="H284" i="24"/>
  <c r="I284" i="24"/>
  <c r="H117" i="25"/>
  <c r="AL117" i="25"/>
  <c r="CC117" i="25"/>
  <c r="BM117" i="25"/>
  <c r="CC290" i="25"/>
  <c r="H290" i="25"/>
  <c r="AL290" i="25"/>
  <c r="J290" i="25"/>
  <c r="BM290" i="25"/>
  <c r="BQ290" i="25" s="1"/>
  <c r="K87" i="24"/>
  <c r="H87" i="24"/>
  <c r="AM87" i="24"/>
  <c r="I87" i="24"/>
  <c r="BO87" i="24"/>
  <c r="BR87" i="24" s="1"/>
  <c r="H187" i="24"/>
  <c r="CF187" i="24"/>
  <c r="CE187" i="24"/>
  <c r="AM187" i="24"/>
  <c r="I187" i="24"/>
  <c r="K187" i="24" s="1"/>
  <c r="BO187" i="24"/>
  <c r="BR187" i="24" s="1"/>
  <c r="H200" i="25"/>
  <c r="CC200" i="25"/>
  <c r="AL200" i="25"/>
  <c r="BM200" i="25"/>
  <c r="BQ200" i="25" s="1"/>
  <c r="J200" i="25"/>
  <c r="L200" i="25" s="1"/>
  <c r="AL198" i="25"/>
  <c r="CC198" i="25"/>
  <c r="H198" i="25"/>
  <c r="J198" i="25"/>
  <c r="N198" i="25" s="1"/>
  <c r="BM198" i="25"/>
  <c r="BK119" i="24"/>
  <c r="S119" i="24"/>
  <c r="T119" i="24" s="1"/>
  <c r="M119" i="24"/>
  <c r="N119" i="24" s="1"/>
  <c r="CE159" i="24"/>
  <c r="H159" i="24"/>
  <c r="AM159" i="24"/>
  <c r="CF159" i="24"/>
  <c r="I159" i="24"/>
  <c r="BO159" i="24"/>
  <c r="BR159" i="24" s="1"/>
  <c r="H188" i="24"/>
  <c r="CE188" i="24"/>
  <c r="AM188" i="24"/>
  <c r="CF188" i="24"/>
  <c r="BO188" i="24"/>
  <c r="BR188" i="24" s="1"/>
  <c r="I188" i="24"/>
  <c r="M188" i="24" s="1"/>
  <c r="N188" i="24" s="1"/>
  <c r="BN144" i="25"/>
  <c r="I71" i="25"/>
  <c r="BN71" i="25"/>
  <c r="AM263" i="24"/>
  <c r="CE263" i="24"/>
  <c r="H263" i="24"/>
  <c r="BO263" i="24"/>
  <c r="BR263" i="24" s="1"/>
  <c r="K104" i="24"/>
  <c r="H104" i="24"/>
  <c r="AM104" i="24"/>
  <c r="I104" i="24"/>
  <c r="BO104" i="24"/>
  <c r="BR104" i="24" s="1"/>
  <c r="I10" i="25"/>
  <c r="BN281" i="25"/>
  <c r="I122" i="25"/>
  <c r="BN122" i="25"/>
  <c r="BM304" i="25"/>
  <c r="BM153" i="25"/>
  <c r="BQ153" i="25" s="1"/>
  <c r="BO248" i="24"/>
  <c r="BR248" i="24" s="1"/>
  <c r="J117" i="25"/>
  <c r="L117" i="25" s="1"/>
  <c r="J15" i="25"/>
  <c r="L15" i="25" s="1"/>
  <c r="I25" i="24"/>
  <c r="M25" i="24" s="1"/>
  <c r="N25" i="24" s="1"/>
  <c r="I112" i="24"/>
  <c r="I263" i="24"/>
  <c r="J171" i="25"/>
  <c r="L171" i="25" s="1"/>
  <c r="I102" i="25"/>
  <c r="BN102" i="25"/>
  <c r="I262" i="25"/>
  <c r="BN262" i="25"/>
  <c r="BQ262" i="25" s="1"/>
  <c r="BN86" i="25"/>
  <c r="I86" i="25"/>
  <c r="AL281" i="25"/>
  <c r="CC281" i="25"/>
  <c r="H281" i="25"/>
  <c r="BM281" i="25"/>
  <c r="J281" i="25"/>
  <c r="L281" i="25" s="1"/>
  <c r="BN25" i="25"/>
  <c r="I25" i="25"/>
  <c r="H144" i="24"/>
  <c r="CF144" i="24"/>
  <c r="CE144" i="24"/>
  <c r="AM144" i="24"/>
  <c r="I144" i="24"/>
  <c r="BO144" i="24"/>
  <c r="BR144" i="24" s="1"/>
  <c r="H92" i="25"/>
  <c r="AL92" i="25"/>
  <c r="CC92" i="25"/>
  <c r="J92" i="25"/>
  <c r="N92" i="25" s="1"/>
  <c r="AM222" i="24"/>
  <c r="H222" i="24"/>
  <c r="CE222" i="24"/>
  <c r="CF222" i="24"/>
  <c r="I222" i="24"/>
  <c r="BO222" i="24"/>
  <c r="BR222" i="24" s="1"/>
  <c r="H154" i="24"/>
  <c r="CF154" i="24"/>
  <c r="CE154" i="24"/>
  <c r="AM154" i="24"/>
  <c r="I154" i="24"/>
  <c r="CC238" i="25"/>
  <c r="H238" i="25"/>
  <c r="AL238" i="25"/>
  <c r="J238" i="25"/>
  <c r="N238" i="25" s="1"/>
  <c r="BM238" i="25"/>
  <c r="H175" i="25"/>
  <c r="AL175" i="25"/>
  <c r="CC175" i="25"/>
  <c r="BM175" i="25"/>
  <c r="J175" i="25"/>
  <c r="CC142" i="25"/>
  <c r="H142" i="25"/>
  <c r="AL142" i="25"/>
  <c r="BM142" i="25"/>
  <c r="J142" i="25"/>
  <c r="L142" i="25" s="1"/>
  <c r="I14" i="25"/>
  <c r="BN14" i="25"/>
  <c r="AL12" i="25"/>
  <c r="CC12" i="25"/>
  <c r="H12" i="25"/>
  <c r="CF12" i="25"/>
  <c r="CE12" i="25"/>
  <c r="J12" i="25"/>
  <c r="L12" i="25" s="1"/>
  <c r="BM12" i="25"/>
  <c r="CE231" i="24"/>
  <c r="CF231" i="24"/>
  <c r="H231" i="24"/>
  <c r="AM231" i="24"/>
  <c r="I231" i="24"/>
  <c r="M231" i="24" s="1"/>
  <c r="BO231" i="24"/>
  <c r="BR231" i="24" s="1"/>
  <c r="AM27" i="24"/>
  <c r="CF27" i="24"/>
  <c r="K27" i="24"/>
  <c r="CE27" i="24"/>
  <c r="H27" i="24"/>
  <c r="I27" i="24"/>
  <c r="M27" i="24" s="1"/>
  <c r="N27" i="24" s="1"/>
  <c r="BO27" i="24"/>
  <c r="BR27" i="24" s="1"/>
  <c r="AM245" i="24"/>
  <c r="H245" i="24"/>
  <c r="CE245" i="24"/>
  <c r="I245" i="24"/>
  <c r="AM34" i="24"/>
  <c r="CE34" i="24"/>
  <c r="CF34" i="24"/>
  <c r="K34" i="24"/>
  <c r="H34" i="24"/>
  <c r="BO34" i="24"/>
  <c r="BR34" i="24" s="1"/>
  <c r="I34" i="24"/>
  <c r="AM92" i="24"/>
  <c r="K92" i="24"/>
  <c r="H92" i="24"/>
  <c r="BO92" i="24"/>
  <c r="BR92" i="24" s="1"/>
  <c r="I92" i="24"/>
  <c r="AL87" i="25"/>
  <c r="CF87" i="25"/>
  <c r="CE87" i="25"/>
  <c r="H87" i="25"/>
  <c r="CC87" i="25"/>
  <c r="AL82" i="25"/>
  <c r="CC82" i="25"/>
  <c r="H82" i="25"/>
  <c r="J82" i="25"/>
  <c r="N82" i="25" s="1"/>
  <c r="H150" i="25"/>
  <c r="AL150" i="25"/>
  <c r="CC150" i="25"/>
  <c r="BM150" i="25"/>
  <c r="J150" i="25"/>
  <c r="L150" i="25" s="1"/>
  <c r="BN32" i="25"/>
  <c r="I32" i="25"/>
  <c r="H99" i="25"/>
  <c r="AL99" i="25"/>
  <c r="CC99" i="25"/>
  <c r="CF99" i="25"/>
  <c r="CE99" i="25"/>
  <c r="J99" i="25"/>
  <c r="L99" i="25" s="1"/>
  <c r="BM99" i="25"/>
  <c r="I49" i="25"/>
  <c r="BN49" i="25"/>
  <c r="H297" i="25"/>
  <c r="AL297" i="25"/>
  <c r="CC297" i="25"/>
  <c r="J297" i="25"/>
  <c r="BM297" i="25"/>
  <c r="H269" i="24"/>
  <c r="AM269" i="24"/>
  <c r="CE269" i="24"/>
  <c r="I269" i="24"/>
  <c r="BO269" i="24"/>
  <c r="BR269" i="24" s="1"/>
  <c r="AM182" i="24"/>
  <c r="H182" i="24"/>
  <c r="I182" i="24"/>
  <c r="M182" i="24" s="1"/>
  <c r="N182" i="24" s="1"/>
  <c r="BO182" i="24"/>
  <c r="BR182" i="24" s="1"/>
  <c r="H76" i="24"/>
  <c r="CE76" i="24"/>
  <c r="CF76" i="24"/>
  <c r="AM76" i="24"/>
  <c r="K76" i="24"/>
  <c r="I76" i="24"/>
  <c r="M76" i="24" s="1"/>
  <c r="N76" i="24" s="1"/>
  <c r="BO76" i="24"/>
  <c r="BR76" i="24" s="1"/>
  <c r="K16" i="24"/>
  <c r="H16" i="24"/>
  <c r="AM16" i="24"/>
  <c r="CF16" i="24"/>
  <c r="CE16" i="24"/>
  <c r="I16" i="24"/>
  <c r="M16" i="24" s="1"/>
  <c r="BO16" i="24"/>
  <c r="BR16" i="24" s="1"/>
  <c r="H141" i="24"/>
  <c r="CF141" i="24"/>
  <c r="CE141" i="24"/>
  <c r="AM141" i="24"/>
  <c r="I141" i="24"/>
  <c r="K141" i="24" s="1"/>
  <c r="BO141" i="24"/>
  <c r="BR141" i="24" s="1"/>
  <c r="CF164" i="24"/>
  <c r="CE164" i="24"/>
  <c r="AM164" i="24"/>
  <c r="H164" i="24"/>
  <c r="I164" i="24"/>
  <c r="K164" i="24" s="1"/>
  <c r="K73" i="24"/>
  <c r="H73" i="24"/>
  <c r="AM73" i="24"/>
  <c r="I73" i="24"/>
  <c r="BO73" i="24"/>
  <c r="BR73" i="24" s="1"/>
  <c r="BM247" i="25"/>
  <c r="BQ247" i="25" s="1"/>
  <c r="CC130" i="25"/>
  <c r="AL130" i="25"/>
  <c r="H130" i="25"/>
  <c r="J130" i="25"/>
  <c r="L130" i="25" s="1"/>
  <c r="BM130" i="25"/>
  <c r="BQ130" i="25" s="1"/>
  <c r="H197" i="25"/>
  <c r="AL197" i="25"/>
  <c r="CC197" i="25"/>
  <c r="J197" i="25"/>
  <c r="BM197" i="25"/>
  <c r="BQ197" i="25" s="1"/>
  <c r="H104" i="25"/>
  <c r="AL104" i="25"/>
  <c r="CC104" i="25"/>
  <c r="BM104" i="25"/>
  <c r="H219" i="25"/>
  <c r="AL219" i="25"/>
  <c r="CC219" i="25"/>
  <c r="J219" i="25"/>
  <c r="L219" i="25" s="1"/>
  <c r="BM219" i="25"/>
  <c r="BN73" i="25"/>
  <c r="I73" i="25"/>
  <c r="AL271" i="25"/>
  <c r="H271" i="25"/>
  <c r="CC271" i="25"/>
  <c r="BM271" i="25"/>
  <c r="J271" i="25"/>
  <c r="L271" i="25" s="1"/>
  <c r="H137" i="24"/>
  <c r="AM137" i="24"/>
  <c r="BO137" i="24"/>
  <c r="BR137" i="24" s="1"/>
  <c r="I137" i="24"/>
  <c r="K137" i="24" s="1"/>
  <c r="H265" i="25"/>
  <c r="AL265" i="25"/>
  <c r="CC265" i="25"/>
  <c r="BM265" i="25"/>
  <c r="BK7" i="24"/>
  <c r="S7" i="24"/>
  <c r="T7" i="24" s="1"/>
  <c r="BK190" i="24"/>
  <c r="S190" i="24"/>
  <c r="T190" i="24" s="1"/>
  <c r="BO161" i="24"/>
  <c r="BR161" i="24" s="1"/>
  <c r="I226" i="25"/>
  <c r="BN226" i="25"/>
  <c r="I217" i="25"/>
  <c r="CF253" i="24"/>
  <c r="AM253" i="24"/>
  <c r="H253" i="24"/>
  <c r="CE253" i="24"/>
  <c r="I253" i="24"/>
  <c r="K253" i="24" s="1"/>
  <c r="BO253" i="24"/>
  <c r="BR253" i="24" s="1"/>
  <c r="H157" i="24"/>
  <c r="AM157" i="24"/>
  <c r="I157" i="24"/>
  <c r="K157" i="24" s="1"/>
  <c r="BO157" i="24"/>
  <c r="BR157" i="24" s="1"/>
  <c r="I264" i="25"/>
  <c r="BO306" i="24"/>
  <c r="BR306" i="24" s="1"/>
  <c r="J126" i="25"/>
  <c r="J174" i="25"/>
  <c r="N174" i="25" s="1"/>
  <c r="J73" i="25"/>
  <c r="L73" i="25" s="1"/>
  <c r="AM179" i="24"/>
  <c r="H179" i="24"/>
  <c r="H309" i="24"/>
  <c r="CE309" i="24"/>
  <c r="AM309" i="24"/>
  <c r="I309" i="24"/>
  <c r="K309" i="24" s="1"/>
  <c r="H232" i="24"/>
  <c r="AM232" i="24"/>
  <c r="CE232" i="24"/>
  <c r="I232" i="24"/>
  <c r="K232" i="24" s="1"/>
  <c r="CF304" i="24"/>
  <c r="AM304" i="24"/>
  <c r="H304" i="24"/>
  <c r="I304" i="24"/>
  <c r="K304" i="24" s="1"/>
  <c r="AL30" i="25"/>
  <c r="CC30" i="25"/>
  <c r="H30" i="25"/>
  <c r="J30" i="25"/>
  <c r="N30" i="25" s="1"/>
  <c r="H300" i="25"/>
  <c r="CC300" i="25"/>
  <c r="AL300" i="25"/>
  <c r="H266" i="25"/>
  <c r="AL266" i="25"/>
  <c r="CC266" i="25"/>
  <c r="CF176" i="24"/>
  <c r="CE176" i="24"/>
  <c r="AM176" i="24"/>
  <c r="H176" i="24"/>
  <c r="AM118" i="24"/>
  <c r="H118" i="24"/>
  <c r="H117" i="24"/>
  <c r="AM117" i="24"/>
  <c r="I117" i="24"/>
  <c r="AM12" i="24"/>
  <c r="K12" i="24"/>
  <c r="CE12" i="24"/>
  <c r="H12" i="24"/>
  <c r="CF12" i="24"/>
  <c r="CE266" i="24"/>
  <c r="CF266" i="24"/>
  <c r="H266" i="24"/>
  <c r="AM266" i="24"/>
  <c r="I266" i="24"/>
  <c r="K266" i="24" s="1"/>
  <c r="H225" i="24"/>
  <c r="AM225" i="24"/>
  <c r="I225" i="24"/>
  <c r="M225" i="24" s="1"/>
  <c r="N225" i="24" s="1"/>
  <c r="AM286" i="24"/>
  <c r="H286" i="24"/>
  <c r="CE286" i="24"/>
  <c r="I286" i="24"/>
  <c r="K286" i="24" s="1"/>
  <c r="AM41" i="24"/>
  <c r="CF41" i="24"/>
  <c r="CE41" i="24"/>
  <c r="K41" i="24"/>
  <c r="H41" i="24"/>
  <c r="BN34" i="25"/>
  <c r="BQ34" i="25" s="1"/>
  <c r="I34" i="25"/>
  <c r="H129" i="25"/>
  <c r="AL129" i="25"/>
  <c r="CC129" i="25"/>
  <c r="CC245" i="25"/>
  <c r="AL245" i="25"/>
  <c r="H245" i="25"/>
  <c r="CC105" i="25"/>
  <c r="AL105" i="25"/>
  <c r="H105" i="25"/>
  <c r="AL236" i="25"/>
  <c r="CC236" i="25"/>
  <c r="H236" i="25"/>
  <c r="J236" i="25"/>
  <c r="L236" i="25" s="1"/>
  <c r="CC145" i="25"/>
  <c r="H145" i="25"/>
  <c r="AL145" i="25"/>
  <c r="K22" i="24"/>
  <c r="H22" i="24"/>
  <c r="AM22" i="24"/>
  <c r="CE224" i="24"/>
  <c r="AM224" i="24"/>
  <c r="H224" i="24"/>
  <c r="AM143" i="24"/>
  <c r="H143" i="24"/>
  <c r="CE143" i="24"/>
  <c r="CF143" i="24"/>
  <c r="BN93" i="25"/>
  <c r="BQ93" i="25" s="1"/>
  <c r="I93" i="25"/>
  <c r="BN63" i="25"/>
  <c r="BQ63" i="25" s="1"/>
  <c r="I63" i="25"/>
  <c r="BN192" i="25"/>
  <c r="I192" i="25"/>
  <c r="J71" i="25"/>
  <c r="N71" i="25" s="1"/>
  <c r="BO12" i="24"/>
  <c r="BR12" i="24" s="1"/>
  <c r="BM94" i="25"/>
  <c r="BM162" i="25"/>
  <c r="BM169" i="25"/>
  <c r="BQ169" i="25" s="1"/>
  <c r="BO162" i="24"/>
  <c r="BR162" i="24" s="1"/>
  <c r="J125" i="25"/>
  <c r="L125" i="25" s="1"/>
  <c r="J203" i="25"/>
  <c r="L203" i="25" s="1"/>
  <c r="J13" i="25"/>
  <c r="N13" i="25" s="1"/>
  <c r="I147" i="24"/>
  <c r="M147" i="24" s="1"/>
  <c r="N147" i="24" s="1"/>
  <c r="I130" i="24"/>
  <c r="M130" i="24" s="1"/>
  <c r="BM13" i="25"/>
  <c r="BO119" i="24"/>
  <c r="BR119" i="24" s="1"/>
  <c r="BO33" i="24"/>
  <c r="BR33" i="24" s="1"/>
  <c r="BO19" i="24"/>
  <c r="BR19" i="24" s="1"/>
  <c r="BM8" i="25"/>
  <c r="BQ8" i="25" s="1"/>
  <c r="BM129" i="25"/>
  <c r="BO256" i="24"/>
  <c r="BR256" i="24" s="1"/>
  <c r="BO82" i="24"/>
  <c r="BR82" i="24" s="1"/>
  <c r="BO116" i="24"/>
  <c r="BR116" i="24" s="1"/>
  <c r="BO280" i="24"/>
  <c r="BR280" i="24" s="1"/>
  <c r="BO247" i="24"/>
  <c r="BR247" i="24" s="1"/>
  <c r="BM270" i="25"/>
  <c r="BM71" i="25"/>
  <c r="BM206" i="25"/>
  <c r="BQ206" i="25" s="1"/>
  <c r="I205" i="24"/>
  <c r="M205" i="24" s="1"/>
  <c r="N205" i="24" s="1"/>
  <c r="I116" i="24"/>
  <c r="M116" i="24" s="1"/>
  <c r="I97" i="24"/>
  <c r="M97" i="24" s="1"/>
  <c r="I194" i="24"/>
  <c r="K194" i="24" s="1"/>
  <c r="AM282" i="24"/>
  <c r="CE282" i="24"/>
  <c r="CF282" i="24"/>
  <c r="H282" i="24"/>
  <c r="I282" i="24"/>
  <c r="K282" i="24" s="1"/>
  <c r="AM126" i="24"/>
  <c r="H126" i="24"/>
  <c r="I126" i="24"/>
  <c r="AM102" i="24"/>
  <c r="K102" i="24"/>
  <c r="H102" i="24"/>
  <c r="I102" i="24"/>
  <c r="AL218" i="25"/>
  <c r="CC218" i="25"/>
  <c r="H218" i="25"/>
  <c r="J218" i="25"/>
  <c r="L218" i="25" s="1"/>
  <c r="CC176" i="25"/>
  <c r="AL176" i="25"/>
  <c r="H176" i="25"/>
  <c r="I126" i="25"/>
  <c r="BN126" i="25"/>
  <c r="H74" i="25"/>
  <c r="CC74" i="25"/>
  <c r="AL74" i="25"/>
  <c r="BN204" i="25"/>
  <c r="BN62" i="25"/>
  <c r="H120" i="25"/>
  <c r="AL120" i="25"/>
  <c r="CC120" i="25"/>
  <c r="J120" i="25"/>
  <c r="L120" i="25" s="1"/>
  <c r="CC194" i="25"/>
  <c r="AL194" i="25"/>
  <c r="H194" i="25"/>
  <c r="AL132" i="25"/>
  <c r="CC132" i="25"/>
  <c r="H132" i="25"/>
  <c r="CC208" i="25"/>
  <c r="AL208" i="25"/>
  <c r="H208" i="25"/>
  <c r="J208" i="25"/>
  <c r="L208" i="25" s="1"/>
  <c r="H55" i="24"/>
  <c r="K55" i="24"/>
  <c r="AM55" i="24"/>
  <c r="H63" i="24"/>
  <c r="K63" i="24"/>
  <c r="AM63" i="24"/>
  <c r="CF63" i="24"/>
  <c r="CE63" i="24"/>
  <c r="I63" i="24"/>
  <c r="K103" i="24"/>
  <c r="H103" i="24"/>
  <c r="AM103" i="24"/>
  <c r="I103" i="24"/>
  <c r="CF131" i="24"/>
  <c r="H131" i="24"/>
  <c r="AM131" i="24"/>
  <c r="CE131" i="24"/>
  <c r="I131" i="24"/>
  <c r="K131" i="24" s="1"/>
  <c r="H188" i="25"/>
  <c r="AL188" i="25"/>
  <c r="CC188" i="25"/>
  <c r="J188" i="25"/>
  <c r="L188" i="25" s="1"/>
  <c r="BN59" i="25"/>
  <c r="BN31" i="25"/>
  <c r="I6" i="25"/>
  <c r="BN6" i="25"/>
  <c r="BQ6" i="25" s="1"/>
  <c r="BN165" i="25"/>
  <c r="I165" i="25"/>
  <c r="CF198" i="24"/>
  <c r="AM198" i="24"/>
  <c r="CE198" i="24"/>
  <c r="H198" i="24"/>
  <c r="CE267" i="24"/>
  <c r="H267" i="24"/>
  <c r="AM267" i="24"/>
  <c r="H146" i="24"/>
  <c r="CF146" i="24"/>
  <c r="CE146" i="24"/>
  <c r="AM146" i="24"/>
  <c r="AM100" i="24"/>
  <c r="CE100" i="24"/>
  <c r="CF100" i="24"/>
  <c r="H100" i="24"/>
  <c r="K100" i="24"/>
  <c r="I100" i="24"/>
  <c r="H314" i="24"/>
  <c r="CF314" i="24"/>
  <c r="AM314" i="24"/>
  <c r="CE314" i="24"/>
  <c r="I314" i="24"/>
  <c r="H186" i="24"/>
  <c r="AM186" i="24"/>
  <c r="H99" i="24"/>
  <c r="AM99" i="24"/>
  <c r="CF99" i="24"/>
  <c r="K99" i="24"/>
  <c r="CE99" i="24"/>
  <c r="I99" i="24"/>
  <c r="CF125" i="24"/>
  <c r="CE125" i="24"/>
  <c r="AM125" i="24"/>
  <c r="H125" i="24"/>
  <c r="CE39" i="24"/>
  <c r="K39" i="24"/>
  <c r="AM39" i="24"/>
  <c r="H39" i="24"/>
  <c r="CF39" i="24"/>
  <c r="H296" i="24"/>
  <c r="AM296" i="24"/>
  <c r="CE296" i="24"/>
  <c r="CF296" i="24"/>
  <c r="AM75" i="24"/>
  <c r="K75" i="24"/>
  <c r="H75" i="24"/>
  <c r="CE75" i="24"/>
  <c r="CF75" i="24"/>
  <c r="CF38" i="24"/>
  <c r="CE38" i="24"/>
  <c r="K38" i="24"/>
  <c r="H38" i="24"/>
  <c r="AM38" i="24"/>
  <c r="I38" i="24"/>
  <c r="CF259" i="24"/>
  <c r="AM259" i="24"/>
  <c r="H259" i="24"/>
  <c r="CE259" i="24"/>
  <c r="I259" i="24"/>
  <c r="K259" i="24" s="1"/>
  <c r="AM261" i="24"/>
  <c r="H261" i="24"/>
  <c r="CE261" i="24"/>
  <c r="CF261" i="24"/>
  <c r="K74" i="24"/>
  <c r="AM74" i="24"/>
  <c r="H74" i="24"/>
  <c r="H277" i="24"/>
  <c r="CF277" i="24"/>
  <c r="AM277" i="24"/>
  <c r="I277" i="24"/>
  <c r="AL53" i="25"/>
  <c r="CC53" i="25"/>
  <c r="CE53" i="25"/>
  <c r="CF53" i="25"/>
  <c r="H53" i="25"/>
  <c r="J53" i="25"/>
  <c r="L53" i="25" s="1"/>
  <c r="CE11" i="25"/>
  <c r="AL11" i="25"/>
  <c r="CC11" i="25"/>
  <c r="H11" i="25"/>
  <c r="CF11" i="25"/>
  <c r="CC279" i="25"/>
  <c r="H279" i="25"/>
  <c r="AL279" i="25"/>
  <c r="I195" i="25"/>
  <c r="BN195" i="25"/>
  <c r="H157" i="25"/>
  <c r="AL157" i="25"/>
  <c r="CC157" i="25"/>
  <c r="AL163" i="25"/>
  <c r="CC163" i="25"/>
  <c r="H163" i="25"/>
  <c r="H190" i="25"/>
  <c r="AL190" i="25"/>
  <c r="CC190" i="25"/>
  <c r="I53" i="25"/>
  <c r="AM241" i="24"/>
  <c r="H241" i="24"/>
  <c r="CE241" i="24"/>
  <c r="I241" i="24"/>
  <c r="AL137" i="25"/>
  <c r="CC137" i="25"/>
  <c r="H137" i="25"/>
  <c r="BO170" i="24"/>
  <c r="BR170" i="24" s="1"/>
  <c r="BO190" i="24"/>
  <c r="BR190" i="24" s="1"/>
  <c r="J145" i="25"/>
  <c r="J165" i="25"/>
  <c r="L165" i="25" s="1"/>
  <c r="BO102" i="24"/>
  <c r="BR102" i="24" s="1"/>
  <c r="BO142" i="24"/>
  <c r="BR142" i="24" s="1"/>
  <c r="BM26" i="25"/>
  <c r="BQ26" i="25" s="1"/>
  <c r="BM11" i="25"/>
  <c r="BO179" i="24"/>
  <c r="BR179" i="24" s="1"/>
  <c r="BO143" i="24"/>
  <c r="BR143" i="24" s="1"/>
  <c r="J246" i="25"/>
  <c r="N246" i="25" s="1"/>
  <c r="I71" i="24"/>
  <c r="J210" i="25"/>
  <c r="L210" i="25" s="1"/>
  <c r="I74" i="24"/>
  <c r="I39" i="24"/>
  <c r="I179" i="24"/>
  <c r="I206" i="24"/>
  <c r="K206" i="24" s="1"/>
  <c r="I146" i="24"/>
  <c r="K146" i="24" s="1"/>
  <c r="I198" i="24"/>
  <c r="K198" i="24" s="1"/>
  <c r="I176" i="24"/>
  <c r="I12" i="24"/>
  <c r="CE247" i="24"/>
  <c r="CF247" i="24"/>
  <c r="H247" i="24"/>
  <c r="AM247" i="24"/>
  <c r="I247" i="24"/>
  <c r="K247" i="24" s="1"/>
  <c r="CF20" i="24"/>
  <c r="K20" i="24"/>
  <c r="H20" i="24"/>
  <c r="AM20" i="24"/>
  <c r="CE20" i="24"/>
  <c r="CF195" i="24"/>
  <c r="AM195" i="24"/>
  <c r="CE195" i="24"/>
  <c r="H195" i="24"/>
  <c r="AL177" i="25"/>
  <c r="H177" i="25"/>
  <c r="CC177" i="25"/>
  <c r="CE295" i="24"/>
  <c r="CF295" i="24"/>
  <c r="AM295" i="24"/>
  <c r="H295" i="24"/>
  <c r="I295" i="24"/>
  <c r="K295" i="24" s="1"/>
  <c r="AM122" i="24"/>
  <c r="CF122" i="24"/>
  <c r="CE122" i="24"/>
  <c r="H122" i="24"/>
  <c r="CF255" i="24"/>
  <c r="AM255" i="24"/>
  <c r="CE255" i="24"/>
  <c r="H255" i="24"/>
  <c r="I255" i="24"/>
  <c r="K255" i="24" s="1"/>
  <c r="AM19" i="24"/>
  <c r="CF19" i="24"/>
  <c r="CE19" i="24"/>
  <c r="K19" i="24"/>
  <c r="H19" i="24"/>
  <c r="I19" i="24"/>
  <c r="M19" i="24" s="1"/>
  <c r="H307" i="24"/>
  <c r="AM307" i="24"/>
  <c r="I307" i="24"/>
  <c r="M307" i="24" s="1"/>
  <c r="N307" i="24" s="1"/>
  <c r="AM167" i="24"/>
  <c r="CF167" i="24"/>
  <c r="CE167" i="24"/>
  <c r="H167" i="24"/>
  <c r="I167" i="24"/>
  <c r="K167" i="24" s="1"/>
  <c r="CC70" i="25"/>
  <c r="AL70" i="25"/>
  <c r="CE70" i="25"/>
  <c r="CF70" i="25"/>
  <c r="H70" i="25"/>
  <c r="CE37" i="25"/>
  <c r="CF37" i="25"/>
  <c r="CC37" i="25"/>
  <c r="AL37" i="25"/>
  <c r="H37" i="25"/>
  <c r="J37" i="25"/>
  <c r="BN152" i="25"/>
  <c r="BQ152" i="25" s="1"/>
  <c r="I152" i="25"/>
  <c r="CC182" i="25"/>
  <c r="H182" i="25"/>
  <c r="AL182" i="25"/>
  <c r="CE276" i="24"/>
  <c r="AM276" i="24"/>
  <c r="H276" i="24"/>
  <c r="I276" i="24"/>
  <c r="K276" i="24" s="1"/>
  <c r="CF280" i="24"/>
  <c r="H280" i="24"/>
  <c r="AM280" i="24"/>
  <c r="CE280" i="24"/>
  <c r="I280" i="24"/>
  <c r="AM191" i="24"/>
  <c r="K191" i="24"/>
  <c r="H191" i="24"/>
  <c r="CE133" i="24"/>
  <c r="H133" i="24"/>
  <c r="CF133" i="24"/>
  <c r="AM133" i="24"/>
  <c r="I133" i="24"/>
  <c r="M133" i="24" s="1"/>
  <c r="N133" i="24" s="1"/>
  <c r="CE251" i="24"/>
  <c r="CF251" i="24"/>
  <c r="H251" i="24"/>
  <c r="AM251" i="24"/>
  <c r="I251" i="24"/>
  <c r="K251" i="24" s="1"/>
  <c r="CF192" i="24"/>
  <c r="CE192" i="24"/>
  <c r="AM192" i="24"/>
  <c r="H192" i="24"/>
  <c r="I192" i="24"/>
  <c r="H129" i="24"/>
  <c r="CF129" i="24"/>
  <c r="CE129" i="24"/>
  <c r="AM129" i="24"/>
  <c r="K6" i="24"/>
  <c r="H6" i="24"/>
  <c r="AM6" i="24"/>
  <c r="I6" i="24"/>
  <c r="M6" i="24" s="1"/>
  <c r="N6" i="24" s="1"/>
  <c r="M21" i="24"/>
  <c r="N21" i="24" s="1"/>
  <c r="CF190" i="24"/>
  <c r="CE190" i="24"/>
  <c r="K190" i="24"/>
  <c r="AM190" i="24"/>
  <c r="H190" i="24"/>
  <c r="BO232" i="24"/>
  <c r="BR232" i="24" s="1"/>
  <c r="BN279" i="25"/>
  <c r="BQ279" i="25" s="1"/>
  <c r="CF58" i="25"/>
  <c r="CE58" i="25"/>
  <c r="AL58" i="25"/>
  <c r="CC58" i="25"/>
  <c r="H58" i="25"/>
  <c r="J58" i="25"/>
  <c r="H241" i="25"/>
  <c r="AL241" i="25"/>
  <c r="CC241" i="25"/>
  <c r="H9" i="25"/>
  <c r="CE9" i="25"/>
  <c r="CF9" i="25"/>
  <c r="AL9" i="25"/>
  <c r="CC9" i="25"/>
  <c r="H125" i="25"/>
  <c r="AL125" i="25"/>
  <c r="CC125" i="25"/>
  <c r="I29" i="25"/>
  <c r="M22" i="24"/>
  <c r="N22" i="24" s="1"/>
  <c r="H223" i="24"/>
  <c r="CE223" i="24"/>
  <c r="CF223" i="24"/>
  <c r="AM223" i="24"/>
  <c r="I223" i="24"/>
  <c r="K223" i="24" s="1"/>
  <c r="AM111" i="24"/>
  <c r="H111" i="24"/>
  <c r="J315" i="25"/>
  <c r="L315" i="25" s="1"/>
  <c r="J44" i="25"/>
  <c r="L44" i="25" s="1"/>
  <c r="BO286" i="24"/>
  <c r="BR286" i="24" s="1"/>
  <c r="I285" i="24"/>
  <c r="K285" i="24" s="1"/>
  <c r="J182" i="25"/>
  <c r="J279" i="25"/>
  <c r="J241" i="25"/>
  <c r="BM23" i="25"/>
  <c r="BQ23" i="25" s="1"/>
  <c r="J157" i="25"/>
  <c r="J81" i="25"/>
  <c r="L81" i="25" s="1"/>
  <c r="BO99" i="24"/>
  <c r="BR99" i="24" s="1"/>
  <c r="BM160" i="25"/>
  <c r="BQ160" i="25" s="1"/>
  <c r="J105" i="25"/>
  <c r="L105" i="25" s="1"/>
  <c r="J176" i="25"/>
  <c r="BO132" i="24"/>
  <c r="BR132" i="24" s="1"/>
  <c r="BM105" i="25"/>
  <c r="BO103" i="24"/>
  <c r="BR103" i="24" s="1"/>
  <c r="BO133" i="24"/>
  <c r="BR133" i="24" s="1"/>
  <c r="BO38" i="24"/>
  <c r="BR38" i="24" s="1"/>
  <c r="BM300" i="25"/>
  <c r="BQ300" i="25" s="1"/>
  <c r="BM194" i="25"/>
  <c r="I118" i="24"/>
  <c r="K118" i="24" s="1"/>
  <c r="BM9" i="25"/>
  <c r="BO191" i="24"/>
  <c r="BR191" i="24" s="1"/>
  <c r="BO276" i="24"/>
  <c r="BR276" i="24" s="1"/>
  <c r="BO266" i="24"/>
  <c r="BR266" i="24" s="1"/>
  <c r="BO224" i="24"/>
  <c r="BR224" i="24" s="1"/>
  <c r="I129" i="24"/>
  <c r="M129" i="24" s="1"/>
  <c r="N129" i="24" s="1"/>
  <c r="AL73" i="25"/>
  <c r="H73" i="25"/>
  <c r="CF73" i="25"/>
  <c r="CE73" i="25"/>
  <c r="CC73" i="25"/>
  <c r="AL246" i="25"/>
  <c r="CC246" i="25"/>
  <c r="H246" i="25"/>
  <c r="BN120" i="25"/>
  <c r="BN194" i="25"/>
  <c r="BN132" i="25"/>
  <c r="BN208" i="25"/>
  <c r="H116" i="24"/>
  <c r="CF116" i="24"/>
  <c r="AM116" i="24"/>
  <c r="CE116" i="24"/>
  <c r="CE256" i="24"/>
  <c r="H256" i="24"/>
  <c r="CF256" i="24"/>
  <c r="AM256" i="24"/>
  <c r="I256" i="24"/>
  <c r="AM205" i="24"/>
  <c r="H205" i="24"/>
  <c r="CC232" i="25"/>
  <c r="H232" i="25"/>
  <c r="AL232" i="25"/>
  <c r="J232" i="25"/>
  <c r="N232" i="25" s="1"/>
  <c r="CC180" i="25"/>
  <c r="H180" i="25"/>
  <c r="AL180" i="25"/>
  <c r="CC210" i="25"/>
  <c r="AL210" i="25"/>
  <c r="H210" i="25"/>
  <c r="H163" i="24"/>
  <c r="AM163" i="24"/>
  <c r="I163" i="24"/>
  <c r="M163" i="24" s="1"/>
  <c r="N163" i="24" s="1"/>
  <c r="CF302" i="24"/>
  <c r="AM302" i="24"/>
  <c r="H302" i="24"/>
  <c r="I302" i="24"/>
  <c r="K302" i="24" s="1"/>
  <c r="K50" i="24"/>
  <c r="H50" i="24"/>
  <c r="AM50" i="24"/>
  <c r="CF50" i="24"/>
  <c r="CE50" i="24"/>
  <c r="AM162" i="24"/>
  <c r="K162" i="24"/>
  <c r="H162" i="24"/>
  <c r="H56" i="24"/>
  <c r="AM56" i="24"/>
  <c r="K56" i="24"/>
  <c r="H21" i="24"/>
  <c r="K21" i="24"/>
  <c r="AM21" i="24"/>
  <c r="BM177" i="25"/>
  <c r="BM266" i="25"/>
  <c r="BQ266" i="25" s="1"/>
  <c r="AL226" i="25"/>
  <c r="CC226" i="25"/>
  <c r="H226" i="25"/>
  <c r="BN157" i="25"/>
  <c r="BN163" i="25"/>
  <c r="CC162" i="25"/>
  <c r="AL162" i="25"/>
  <c r="H162" i="25"/>
  <c r="BN190" i="25"/>
  <c r="AL16" i="25"/>
  <c r="CC16" i="25"/>
  <c r="H16" i="25"/>
  <c r="CF16" i="25"/>
  <c r="CE16" i="25"/>
  <c r="AL71" i="25"/>
  <c r="H71" i="25"/>
  <c r="CC71" i="25"/>
  <c r="H42" i="25"/>
  <c r="AL42" i="25"/>
  <c r="CC42" i="25"/>
  <c r="CE42" i="25"/>
  <c r="CF42" i="25"/>
  <c r="K96" i="24"/>
  <c r="H96" i="24"/>
  <c r="AM96" i="24"/>
  <c r="CF96" i="24"/>
  <c r="CE96" i="24"/>
  <c r="AM97" i="24"/>
  <c r="H97" i="24"/>
  <c r="K97" i="24"/>
  <c r="CF145" i="24"/>
  <c r="CE145" i="24"/>
  <c r="AM145" i="24"/>
  <c r="H145" i="24"/>
  <c r="I145" i="24"/>
  <c r="H138" i="24"/>
  <c r="CF138" i="24"/>
  <c r="AM138" i="24"/>
  <c r="CE138" i="24"/>
  <c r="AL122" i="25"/>
  <c r="CC122" i="25"/>
  <c r="H122" i="25"/>
  <c r="J122" i="25"/>
  <c r="L122" i="25" s="1"/>
  <c r="BM73" i="25"/>
  <c r="BO21" i="24"/>
  <c r="BR21" i="24" s="1"/>
  <c r="BO39" i="24"/>
  <c r="BR39" i="24" s="1"/>
  <c r="BO225" i="24"/>
  <c r="BR225" i="24" s="1"/>
  <c r="BM195" i="25"/>
  <c r="BO295" i="24"/>
  <c r="BR295" i="24" s="1"/>
  <c r="BO309" i="24"/>
  <c r="BR309" i="24" s="1"/>
  <c r="J300" i="25"/>
  <c r="L300" i="25" s="1"/>
  <c r="J245" i="25"/>
  <c r="J137" i="25"/>
  <c r="J6" i="25"/>
  <c r="N6" i="25" s="1"/>
  <c r="T6" i="25" s="1"/>
  <c r="BM52" i="25"/>
  <c r="BO186" i="24"/>
  <c r="BR186" i="24" s="1"/>
  <c r="BO176" i="24"/>
  <c r="BR176" i="24" s="1"/>
  <c r="J23" i="25"/>
  <c r="L23" i="25" s="1"/>
  <c r="I20" i="24"/>
  <c r="I111" i="24"/>
  <c r="J163" i="25"/>
  <c r="J180" i="25"/>
  <c r="J132" i="25"/>
  <c r="J74" i="25"/>
  <c r="L74" i="25" s="1"/>
  <c r="I195" i="24"/>
  <c r="K195" i="24" s="1"/>
  <c r="J206" i="25"/>
  <c r="N206" i="25" s="1"/>
  <c r="H291" i="24"/>
  <c r="AM291" i="24"/>
  <c r="CE291" i="24"/>
  <c r="I291" i="24"/>
  <c r="K291" i="24" s="1"/>
  <c r="H169" i="25"/>
  <c r="AL169" i="25"/>
  <c r="CC169" i="25"/>
  <c r="CC143" i="25"/>
  <c r="AL143" i="25"/>
  <c r="H143" i="25"/>
  <c r="AL193" i="25"/>
  <c r="H193" i="25"/>
  <c r="CC193" i="25"/>
  <c r="CC168" i="25"/>
  <c r="AL168" i="25"/>
  <c r="H168" i="25"/>
  <c r="AL151" i="25"/>
  <c r="H151" i="25"/>
  <c r="CC151" i="25"/>
  <c r="CC141" i="25"/>
  <c r="H141" i="25"/>
  <c r="AL141" i="25"/>
  <c r="AL185" i="25"/>
  <c r="CC185" i="25"/>
  <c r="H185" i="25"/>
  <c r="AL159" i="25"/>
  <c r="CC159" i="25"/>
  <c r="H159" i="25"/>
  <c r="BN174" i="25"/>
  <c r="I174" i="25"/>
  <c r="CF265" i="24"/>
  <c r="AM265" i="24"/>
  <c r="H265" i="24"/>
  <c r="CE265" i="24"/>
  <c r="I265" i="24"/>
  <c r="CF273" i="24"/>
  <c r="AM273" i="24"/>
  <c r="CE273" i="24"/>
  <c r="H273" i="24"/>
  <c r="I273" i="24"/>
  <c r="H202" i="24"/>
  <c r="AM202" i="24"/>
  <c r="AM37" i="24"/>
  <c r="CF37" i="24"/>
  <c r="CE37" i="24"/>
  <c r="K37" i="24"/>
  <c r="H37" i="24"/>
  <c r="CF123" i="24"/>
  <c r="CE123" i="24"/>
  <c r="AM123" i="24"/>
  <c r="H123" i="24"/>
  <c r="I123" i="24"/>
  <c r="AL269" i="25"/>
  <c r="CC269" i="25"/>
  <c r="H269" i="25"/>
  <c r="J269" i="25"/>
  <c r="L269" i="25" s="1"/>
  <c r="K142" i="24"/>
  <c r="H142" i="24"/>
  <c r="CF142" i="24"/>
  <c r="CE142" i="24"/>
  <c r="AM142" i="24"/>
  <c r="H18" i="24"/>
  <c r="AM18" i="24"/>
  <c r="CF18" i="24"/>
  <c r="CE18" i="24"/>
  <c r="K18" i="24"/>
  <c r="I18" i="24"/>
  <c r="M18" i="24" s="1"/>
  <c r="N18" i="24" s="1"/>
  <c r="CF228" i="24"/>
  <c r="H228" i="24"/>
  <c r="AM228" i="24"/>
  <c r="CE228" i="24"/>
  <c r="M7" i="24"/>
  <c r="N7" i="24" s="1"/>
  <c r="CE24" i="24"/>
  <c r="CF24" i="24"/>
  <c r="K24" i="24"/>
  <c r="AM24" i="24"/>
  <c r="H24" i="24"/>
  <c r="I24" i="24"/>
  <c r="M24" i="24" s="1"/>
  <c r="N24" i="24" s="1"/>
  <c r="M190" i="24"/>
  <c r="N190" i="24" s="1"/>
  <c r="H147" i="24"/>
  <c r="CE147" i="24"/>
  <c r="AM147" i="24"/>
  <c r="CF147" i="24"/>
  <c r="H257" i="25"/>
  <c r="AL257" i="25"/>
  <c r="CC257" i="25"/>
  <c r="AL270" i="25"/>
  <c r="CC270" i="25"/>
  <c r="H270" i="25"/>
  <c r="BN129" i="25"/>
  <c r="I129" i="25"/>
  <c r="I111" i="25"/>
  <c r="BN111" i="25"/>
  <c r="BQ111" i="25" s="1"/>
  <c r="AL83" i="25"/>
  <c r="H83" i="25"/>
  <c r="CC83" i="25"/>
  <c r="CF83" i="25"/>
  <c r="CE83" i="25"/>
  <c r="J83" i="25"/>
  <c r="L83" i="25" s="1"/>
  <c r="I105" i="25"/>
  <c r="BN105" i="25"/>
  <c r="I145" i="25"/>
  <c r="BN145" i="25"/>
  <c r="AM14" i="24"/>
  <c r="K14" i="24"/>
  <c r="H14" i="24"/>
  <c r="I14" i="24"/>
  <c r="M14" i="24" s="1"/>
  <c r="N14" i="24" s="1"/>
  <c r="AM101" i="24"/>
  <c r="K101" i="24"/>
  <c r="H101" i="24"/>
  <c r="CF252" i="24"/>
  <c r="H252" i="24"/>
  <c r="AM252" i="24"/>
  <c r="CE252" i="24"/>
  <c r="K62" i="24"/>
  <c r="H62" i="24"/>
  <c r="AM62" i="24"/>
  <c r="I62" i="24"/>
  <c r="M62" i="24" s="1"/>
  <c r="N62" i="24" s="1"/>
  <c r="CE160" i="24"/>
  <c r="AM160" i="24"/>
  <c r="H160" i="24"/>
  <c r="CF160" i="24"/>
  <c r="CE272" i="24"/>
  <c r="AM272" i="24"/>
  <c r="H272" i="24"/>
  <c r="I272" i="24"/>
  <c r="M272" i="24" s="1"/>
  <c r="N272" i="24" s="1"/>
  <c r="CC93" i="25"/>
  <c r="AL93" i="25"/>
  <c r="CF93" i="25"/>
  <c r="H93" i="25"/>
  <c r="CE93" i="25"/>
  <c r="J93" i="25"/>
  <c r="L93" i="25" s="1"/>
  <c r="AL192" i="25"/>
  <c r="CC192" i="25"/>
  <c r="H192" i="25"/>
  <c r="J192" i="25"/>
  <c r="N192" i="25" s="1"/>
  <c r="T192" i="25" s="1"/>
  <c r="J194" i="25"/>
  <c r="L194" i="25" s="1"/>
  <c r="J193" i="25"/>
  <c r="L193" i="25" s="1"/>
  <c r="BO272" i="24"/>
  <c r="BR272" i="24" s="1"/>
  <c r="BM157" i="25"/>
  <c r="BM132" i="25"/>
  <c r="BO68" i="24"/>
  <c r="BR68" i="24" s="1"/>
  <c r="BO41" i="24"/>
  <c r="BR41" i="24" s="1"/>
  <c r="BO205" i="24"/>
  <c r="BR205" i="24" s="1"/>
  <c r="BM210" i="25"/>
  <c r="BM125" i="25"/>
  <c r="BQ125" i="25" s="1"/>
  <c r="BM190" i="25"/>
  <c r="BO96" i="24"/>
  <c r="BR96" i="24" s="1"/>
  <c r="BO101" i="24"/>
  <c r="BR101" i="24" s="1"/>
  <c r="BO255" i="24"/>
  <c r="BR255" i="24" s="1"/>
  <c r="BO314" i="24"/>
  <c r="BR314" i="24" s="1"/>
  <c r="BO20" i="24"/>
  <c r="BR20" i="24" s="1"/>
  <c r="BO62" i="24"/>
  <c r="BR62" i="24" s="1"/>
  <c r="BM42" i="25"/>
  <c r="BO138" i="24"/>
  <c r="BR138" i="24" s="1"/>
  <c r="BO117" i="24"/>
  <c r="BR117" i="24" s="1"/>
  <c r="I50" i="24"/>
  <c r="BM163" i="25"/>
  <c r="BO282" i="24"/>
  <c r="BR282" i="24" s="1"/>
  <c r="BO122" i="24"/>
  <c r="BR122" i="24" s="1"/>
  <c r="BM192" i="25"/>
  <c r="BO123" i="24"/>
  <c r="BR123" i="24" s="1"/>
  <c r="BO267" i="24"/>
  <c r="BR267" i="24" s="1"/>
  <c r="BM145" i="25"/>
  <c r="BO7" i="24"/>
  <c r="BR7" i="24" s="1"/>
  <c r="I75" i="24"/>
  <c r="I122" i="24"/>
  <c r="K122" i="24" s="1"/>
  <c r="I261" i="24"/>
  <c r="I228" i="24"/>
  <c r="K228" i="24" s="1"/>
  <c r="I138" i="24"/>
  <c r="K138" i="24" s="1"/>
  <c r="I296" i="24"/>
  <c r="I267" i="24"/>
  <c r="I202" i="24"/>
  <c r="I252" i="24"/>
  <c r="K252" i="24" s="1"/>
  <c r="H160" i="25"/>
  <c r="AL160" i="25"/>
  <c r="CC160" i="25"/>
  <c r="J160" i="25"/>
  <c r="H206" i="25"/>
  <c r="CC206" i="25"/>
  <c r="AL206" i="25"/>
  <c r="H203" i="25"/>
  <c r="AL203" i="25"/>
  <c r="CC203" i="25"/>
  <c r="AL77" i="25"/>
  <c r="CC77" i="25"/>
  <c r="H77" i="25"/>
  <c r="CC26" i="25"/>
  <c r="AL26" i="25"/>
  <c r="CE26" i="25"/>
  <c r="CF26" i="25"/>
  <c r="H26" i="25"/>
  <c r="J26" i="25"/>
  <c r="L26" i="25" s="1"/>
  <c r="H13" i="25"/>
  <c r="CC13" i="25"/>
  <c r="AL13" i="25"/>
  <c r="CE13" i="25"/>
  <c r="CF13" i="25"/>
  <c r="AM82" i="24"/>
  <c r="CF82" i="24"/>
  <c r="CE82" i="24"/>
  <c r="K82" i="24"/>
  <c r="H82" i="24"/>
  <c r="I82" i="24"/>
  <c r="CE285" i="24"/>
  <c r="H285" i="24"/>
  <c r="AM285" i="24"/>
  <c r="AM170" i="24"/>
  <c r="H170" i="24"/>
  <c r="AM83" i="24"/>
  <c r="CF83" i="24"/>
  <c r="CE83" i="24"/>
  <c r="H83" i="24"/>
  <c r="K83" i="24"/>
  <c r="I83" i="24"/>
  <c r="M83" i="24" s="1"/>
  <c r="BN188" i="25"/>
  <c r="I188" i="25"/>
  <c r="H6" i="25"/>
  <c r="CC6" i="25"/>
  <c r="AL6" i="25"/>
  <c r="AL165" i="25"/>
  <c r="H165" i="25"/>
  <c r="CC165" i="25"/>
  <c r="AM68" i="24"/>
  <c r="CE68" i="24"/>
  <c r="CF68" i="24"/>
  <c r="K68" i="24"/>
  <c r="H68" i="24"/>
  <c r="I68" i="24"/>
  <c r="M68" i="24" s="1"/>
  <c r="N68" i="24" s="1"/>
  <c r="AM33" i="24"/>
  <c r="CE33" i="24"/>
  <c r="CF33" i="24"/>
  <c r="K33" i="24"/>
  <c r="H33" i="24"/>
  <c r="CE177" i="24"/>
  <c r="H177" i="24"/>
  <c r="AM177" i="24"/>
  <c r="CF177" i="24"/>
  <c r="I177" i="24"/>
  <c r="K177" i="24" s="1"/>
  <c r="AM54" i="24"/>
  <c r="CE54" i="24"/>
  <c r="CF54" i="24"/>
  <c r="K54" i="24"/>
  <c r="H54" i="24"/>
  <c r="I54" i="24"/>
  <c r="CE243" i="24"/>
  <c r="H243" i="24"/>
  <c r="AM243" i="24"/>
  <c r="H194" i="24"/>
  <c r="CE194" i="24"/>
  <c r="AM194" i="24"/>
  <c r="CF194" i="24"/>
  <c r="CF7" i="24"/>
  <c r="K7" i="24"/>
  <c r="AM7" i="24"/>
  <c r="H7" i="24"/>
  <c r="CE7" i="24"/>
  <c r="AM71" i="24"/>
  <c r="CE71" i="24"/>
  <c r="CF71" i="24"/>
  <c r="K71" i="24"/>
  <c r="H71" i="24"/>
  <c r="CF130" i="24"/>
  <c r="CE130" i="24"/>
  <c r="AM130" i="24"/>
  <c r="H130" i="24"/>
  <c r="AM268" i="24"/>
  <c r="CE268" i="24"/>
  <c r="H268" i="24"/>
  <c r="I268" i="24"/>
  <c r="M268" i="24" s="1"/>
  <c r="N268" i="24" s="1"/>
  <c r="BO202" i="24"/>
  <c r="BR202" i="24" s="1"/>
  <c r="H52" i="25"/>
  <c r="AL52" i="25"/>
  <c r="CC52" i="25"/>
  <c r="H23" i="25"/>
  <c r="CC23" i="25"/>
  <c r="AL23" i="25"/>
  <c r="CF23" i="25"/>
  <c r="CE23" i="25"/>
  <c r="BN11" i="25"/>
  <c r="I11" i="25"/>
  <c r="H195" i="25"/>
  <c r="AL195" i="25"/>
  <c r="CC195" i="25"/>
  <c r="J195" i="25"/>
  <c r="CC202" i="25"/>
  <c r="AL202" i="25"/>
  <c r="H202" i="25"/>
  <c r="J202" i="25"/>
  <c r="L202" i="25" s="1"/>
  <c r="H164" i="25"/>
  <c r="AL164" i="25"/>
  <c r="CC164" i="25"/>
  <c r="J164" i="25"/>
  <c r="L164" i="25" s="1"/>
  <c r="H186" i="25"/>
  <c r="AL186" i="25"/>
  <c r="CC186" i="25"/>
  <c r="H8" i="25"/>
  <c r="CC8" i="25"/>
  <c r="AL8" i="25"/>
  <c r="CF8" i="25"/>
  <c r="CE8" i="25"/>
  <c r="J8" i="25"/>
  <c r="L8" i="25" s="1"/>
  <c r="H237" i="25"/>
  <c r="AL237" i="25"/>
  <c r="CC237" i="25"/>
  <c r="H233" i="24"/>
  <c r="AM233" i="24"/>
  <c r="CF250" i="24"/>
  <c r="H250" i="24"/>
  <c r="AM250" i="24"/>
  <c r="I250" i="24"/>
  <c r="AM114" i="24"/>
  <c r="H114" i="24"/>
  <c r="CF114" i="24"/>
  <c r="CE114" i="24"/>
  <c r="I114" i="24"/>
  <c r="CF67" i="24"/>
  <c r="CE67" i="24"/>
  <c r="AM67" i="24"/>
  <c r="K67" i="24"/>
  <c r="H67" i="24"/>
  <c r="I67" i="24"/>
  <c r="CF158" i="24"/>
  <c r="CE158" i="24"/>
  <c r="AM158" i="24"/>
  <c r="H158" i="24"/>
  <c r="I158" i="24"/>
  <c r="K158" i="24" s="1"/>
  <c r="BN80" i="25"/>
  <c r="BQ80" i="25" s="1"/>
  <c r="I80" i="25"/>
  <c r="BN137" i="25"/>
  <c r="I137" i="25"/>
  <c r="BO265" i="24"/>
  <c r="BR265" i="24" s="1"/>
  <c r="BM269" i="25"/>
  <c r="BQ269" i="25" s="1"/>
  <c r="BO130" i="24"/>
  <c r="BR130" i="24" s="1"/>
  <c r="BO97" i="24"/>
  <c r="BR97" i="24" s="1"/>
  <c r="BO111" i="24"/>
  <c r="BR111" i="24" s="1"/>
  <c r="BM208" i="25"/>
  <c r="BO261" i="24"/>
  <c r="BR261" i="24" s="1"/>
  <c r="J270" i="25"/>
  <c r="I170" i="24"/>
  <c r="K170" i="24" s="1"/>
  <c r="J266" i="25"/>
  <c r="J16" i="25"/>
  <c r="BM226" i="25"/>
  <c r="BO118" i="24"/>
  <c r="BR118" i="24" s="1"/>
  <c r="J185" i="25"/>
  <c r="J186" i="25"/>
  <c r="N186" i="25" s="1"/>
  <c r="J52" i="25"/>
  <c r="J70" i="25"/>
  <c r="I96" i="24"/>
  <c r="J151" i="25"/>
  <c r="I224" i="24"/>
  <c r="I125" i="24"/>
  <c r="K125" i="24" s="1"/>
  <c r="I33" i="24"/>
  <c r="J159" i="25"/>
  <c r="I143" i="24"/>
  <c r="H185" i="24"/>
  <c r="AM185" i="24"/>
  <c r="I185" i="24"/>
  <c r="K185" i="24" s="1"/>
  <c r="CE283" i="24"/>
  <c r="CF283" i="24"/>
  <c r="H283" i="24"/>
  <c r="AM283" i="24"/>
  <c r="I283" i="24"/>
  <c r="H257" i="24"/>
  <c r="K257" i="24"/>
  <c r="AM257" i="24"/>
  <c r="CE257" i="24"/>
  <c r="H168" i="24"/>
  <c r="AM168" i="24"/>
  <c r="AL81" i="25"/>
  <c r="CC81" i="25"/>
  <c r="H81" i="25"/>
  <c r="H44" i="25"/>
  <c r="CE44" i="25"/>
  <c r="CC44" i="25"/>
  <c r="AL44" i="25"/>
  <c r="CF44" i="25"/>
  <c r="AL239" i="25"/>
  <c r="CC239" i="25"/>
  <c r="H239" i="25"/>
  <c r="J239" i="25"/>
  <c r="L239" i="25" s="1"/>
  <c r="H315" i="25"/>
  <c r="AL315" i="25"/>
  <c r="CC315" i="25"/>
  <c r="H280" i="25"/>
  <c r="AL280" i="25"/>
  <c r="CC280" i="25"/>
  <c r="K119" i="24"/>
  <c r="H119" i="24"/>
  <c r="AM119" i="24"/>
  <c r="CF152" i="24"/>
  <c r="CE152" i="24"/>
  <c r="AM152" i="24"/>
  <c r="H152" i="24"/>
  <c r="K70" i="24"/>
  <c r="AM70" i="24"/>
  <c r="H70" i="24"/>
  <c r="CE70" i="24"/>
  <c r="CF70" i="24"/>
  <c r="I70" i="24"/>
  <c r="AL189" i="25"/>
  <c r="CC189" i="25"/>
  <c r="H189" i="25"/>
  <c r="BN37" i="25"/>
  <c r="I37" i="25"/>
  <c r="CC152" i="25"/>
  <c r="AL152" i="25"/>
  <c r="H152" i="25"/>
  <c r="J152" i="25"/>
  <c r="L152" i="25" s="1"/>
  <c r="BN182" i="25"/>
  <c r="I182" i="25"/>
  <c r="M142" i="24"/>
  <c r="AM46" i="24"/>
  <c r="CE46" i="24"/>
  <c r="CF46" i="24"/>
  <c r="K46" i="24"/>
  <c r="H46" i="24"/>
  <c r="I46" i="24"/>
  <c r="H36" i="24"/>
  <c r="CE36" i="24"/>
  <c r="CF36" i="24"/>
  <c r="AM36" i="24"/>
  <c r="K36" i="24"/>
  <c r="I36" i="24"/>
  <c r="AM45" i="24"/>
  <c r="K45" i="24"/>
  <c r="H45" i="24"/>
  <c r="CE281" i="24"/>
  <c r="CF281" i="24"/>
  <c r="AM281" i="24"/>
  <c r="H281" i="24"/>
  <c r="I281" i="24"/>
  <c r="K94" i="24"/>
  <c r="AM94" i="24"/>
  <c r="H94" i="24"/>
  <c r="CF94" i="24"/>
  <c r="CE94" i="24"/>
  <c r="I94" i="24"/>
  <c r="AM206" i="24"/>
  <c r="H206" i="24"/>
  <c r="AM132" i="24"/>
  <c r="K132" i="24"/>
  <c r="H132" i="24"/>
  <c r="CE274" i="24"/>
  <c r="H274" i="24"/>
  <c r="AM274" i="24"/>
  <c r="I274" i="24"/>
  <c r="K274" i="24" s="1"/>
  <c r="BO268" i="24"/>
  <c r="BR268" i="24" s="1"/>
  <c r="CF29" i="25"/>
  <c r="H29" i="25"/>
  <c r="AL29" i="25"/>
  <c r="CC29" i="25"/>
  <c r="CE29" i="25"/>
  <c r="BN9" i="25"/>
  <c r="I9" i="25"/>
  <c r="AL38" i="25"/>
  <c r="CC38" i="25"/>
  <c r="CE38" i="25"/>
  <c r="CF38" i="25"/>
  <c r="H38" i="25"/>
  <c r="J38" i="25"/>
  <c r="L38" i="25" s="1"/>
  <c r="CF94" i="25"/>
  <c r="AL94" i="25"/>
  <c r="CC94" i="25"/>
  <c r="CE94" i="25"/>
  <c r="H94" i="25"/>
  <c r="CE298" i="24"/>
  <c r="CF298" i="24"/>
  <c r="H298" i="24"/>
  <c r="AM298" i="24"/>
  <c r="I298" i="24"/>
  <c r="K298" i="24" s="1"/>
  <c r="H165" i="24"/>
  <c r="AM165" i="24"/>
  <c r="I165" i="24"/>
  <c r="M101" i="24"/>
  <c r="CE292" i="24"/>
  <c r="AM292" i="24"/>
  <c r="H292" i="24"/>
  <c r="K292" i="24"/>
  <c r="BN17" i="25"/>
  <c r="BQ17" i="25" s="1"/>
  <c r="I17" i="25"/>
  <c r="I243" i="24"/>
  <c r="BM280" i="25"/>
  <c r="BQ280" i="25" s="1"/>
  <c r="BM122" i="25"/>
  <c r="BM165" i="25"/>
  <c r="BM164" i="25"/>
  <c r="BQ164" i="25" s="1"/>
  <c r="BO165" i="24"/>
  <c r="BR165" i="24" s="1"/>
  <c r="BM185" i="25"/>
  <c r="BQ185" i="25" s="1"/>
  <c r="I186" i="24"/>
  <c r="J42" i="25"/>
  <c r="J141" i="25"/>
  <c r="J9" i="25"/>
  <c r="BO46" i="24"/>
  <c r="BR46" i="24" s="1"/>
  <c r="BM189" i="25"/>
  <c r="BM70" i="25"/>
  <c r="BQ70" i="25" s="1"/>
  <c r="BO18" i="24"/>
  <c r="BR18" i="24" s="1"/>
  <c r="BO56" i="24"/>
  <c r="BR56" i="24" s="1"/>
  <c r="BM241" i="25"/>
  <c r="BQ241" i="25" s="1"/>
  <c r="BO146" i="24"/>
  <c r="BR146" i="24" s="1"/>
  <c r="BM237" i="25"/>
  <c r="BQ237" i="25" s="1"/>
  <c r="BO71" i="24"/>
  <c r="BR71" i="24" s="1"/>
  <c r="BO37" i="24"/>
  <c r="BR37" i="24" s="1"/>
  <c r="BM188" i="25"/>
  <c r="BM176" i="25"/>
  <c r="J226" i="25"/>
  <c r="I152" i="24"/>
  <c r="K152" i="24" s="1"/>
  <c r="I37" i="24"/>
  <c r="J162" i="25"/>
  <c r="BO54" i="24"/>
  <c r="BR54" i="24" s="1"/>
  <c r="BM245" i="25"/>
  <c r="BM74" i="25"/>
  <c r="BO63" i="24"/>
  <c r="BR63" i="24" s="1"/>
  <c r="BO273" i="24"/>
  <c r="BR273" i="24" s="1"/>
  <c r="BM182" i="25"/>
  <c r="BM236" i="25"/>
  <c r="BQ236" i="25" s="1"/>
  <c r="BM137" i="25"/>
  <c r="BO252" i="24"/>
  <c r="BR252" i="24" s="1"/>
  <c r="BO257" i="24"/>
  <c r="BR257" i="24" s="1"/>
  <c r="BO22" i="24"/>
  <c r="BR22" i="24" s="1"/>
  <c r="BO296" i="24"/>
  <c r="BR296" i="24" s="1"/>
  <c r="BM77" i="25"/>
  <c r="BO304" i="24"/>
  <c r="BR304" i="24" s="1"/>
  <c r="BM37" i="25"/>
  <c r="BO114" i="24"/>
  <c r="BR114" i="24" s="1"/>
  <c r="BO292" i="24"/>
  <c r="BR292" i="24" s="1"/>
  <c r="BO67" i="24"/>
  <c r="BR67" i="24" s="1"/>
  <c r="BM120" i="25"/>
  <c r="I168" i="24"/>
  <c r="I56" i="24"/>
  <c r="J168" i="25"/>
  <c r="U283" i="24" l="1"/>
  <c r="U267" i="24"/>
  <c r="U237" i="24"/>
  <c r="U238" i="24"/>
  <c r="M294" i="24"/>
  <c r="U251" i="24"/>
  <c r="U271" i="24"/>
  <c r="U268" i="24"/>
  <c r="U306" i="24"/>
  <c r="U278" i="24"/>
  <c r="U226" i="24"/>
  <c r="U313" i="24"/>
  <c r="U279" i="24"/>
  <c r="U290" i="24"/>
  <c r="U218" i="24"/>
  <c r="U264" i="24"/>
  <c r="U232" i="24"/>
  <c r="U236" i="24"/>
  <c r="V236" i="24" s="1"/>
  <c r="U310" i="24"/>
  <c r="U272" i="24"/>
  <c r="U252" i="24"/>
  <c r="K294" i="24"/>
  <c r="S233" i="24"/>
  <c r="T233" i="24" s="1"/>
  <c r="J233" i="24" s="1"/>
  <c r="S294" i="24"/>
  <c r="T294" i="24" s="1"/>
  <c r="U234" i="24"/>
  <c r="U276" i="24"/>
  <c r="U233" i="24"/>
  <c r="K233" i="24"/>
  <c r="U307" i="24"/>
  <c r="U303" i="24"/>
  <c r="U231" i="24"/>
  <c r="U270" i="24"/>
  <c r="BQ227" i="25"/>
  <c r="N190" i="25"/>
  <c r="T190" i="25" s="1"/>
  <c r="BI190" i="25"/>
  <c r="L94" i="25"/>
  <c r="K160" i="24"/>
  <c r="BK160" i="24"/>
  <c r="L29" i="25"/>
  <c r="BI257" i="25"/>
  <c r="BQ177" i="25"/>
  <c r="N94" i="25"/>
  <c r="T94" i="25" s="1"/>
  <c r="U94" i="25" s="1"/>
  <c r="BQ104" i="25"/>
  <c r="M55" i="24"/>
  <c r="N55" i="24" s="1"/>
  <c r="AP55" i="24" s="1"/>
  <c r="BQ270" i="25"/>
  <c r="S55" i="24"/>
  <c r="T55" i="24" s="1"/>
  <c r="J55" i="24" s="1"/>
  <c r="L257" i="25"/>
  <c r="BQ161" i="25"/>
  <c r="N262" i="25"/>
  <c r="T262" i="25" s="1"/>
  <c r="M160" i="24"/>
  <c r="N160" i="24" s="1"/>
  <c r="P160" i="24" s="1"/>
  <c r="U45" i="24"/>
  <c r="V45" i="24" s="1"/>
  <c r="BQ225" i="25"/>
  <c r="BK41" i="24"/>
  <c r="BQ42" i="25"/>
  <c r="BQ308" i="25"/>
  <c r="S41" i="24"/>
  <c r="T41" i="24" s="1"/>
  <c r="J41" i="24" s="1"/>
  <c r="BQ242" i="25"/>
  <c r="V233" i="24"/>
  <c r="N155" i="25"/>
  <c r="T155" i="25" s="1"/>
  <c r="BQ297" i="25"/>
  <c r="N11" i="25"/>
  <c r="T11" i="25" s="1"/>
  <c r="U11" i="25" s="1"/>
  <c r="BI280" i="25"/>
  <c r="BI11" i="25"/>
  <c r="N280" i="25"/>
  <c r="T280" i="25" s="1"/>
  <c r="U280" i="25" s="1"/>
  <c r="U119" i="24"/>
  <c r="V119" i="24" s="1"/>
  <c r="U162" i="24"/>
  <c r="V162" i="24" s="1"/>
  <c r="K130" i="24"/>
  <c r="U132" i="24"/>
  <c r="V132" i="24" s="1"/>
  <c r="BQ162" i="25"/>
  <c r="BQ37" i="25"/>
  <c r="K116" i="24"/>
  <c r="M289" i="24"/>
  <c r="N289" i="24" s="1"/>
  <c r="P289" i="24" s="1"/>
  <c r="BI143" i="25"/>
  <c r="L177" i="25"/>
  <c r="L143" i="25"/>
  <c r="BQ88" i="25"/>
  <c r="N189" i="25"/>
  <c r="T189" i="25" s="1"/>
  <c r="U189" i="25" s="1"/>
  <c r="BI237" i="25"/>
  <c r="N29" i="25"/>
  <c r="T29" i="25" s="1"/>
  <c r="U29" i="25" s="1"/>
  <c r="N237" i="25"/>
  <c r="T237" i="25" s="1"/>
  <c r="U237" i="25" s="1"/>
  <c r="BQ263" i="25"/>
  <c r="BQ189" i="25"/>
  <c r="L258" i="25"/>
  <c r="N258" i="25"/>
  <c r="P258" i="25" s="1"/>
  <c r="BQ73" i="25"/>
  <c r="T13" i="25"/>
  <c r="U13" i="25" s="1"/>
  <c r="BQ74" i="25"/>
  <c r="BQ148" i="25"/>
  <c r="BQ302" i="25"/>
  <c r="BQ255" i="25"/>
  <c r="BI293" i="25"/>
  <c r="BQ265" i="25"/>
  <c r="M223" i="24"/>
  <c r="U223" i="24" s="1"/>
  <c r="BQ219" i="25"/>
  <c r="L87" i="25"/>
  <c r="K225" i="24"/>
  <c r="BQ55" i="25"/>
  <c r="L293" i="25"/>
  <c r="BQ120" i="25"/>
  <c r="BQ167" i="25"/>
  <c r="BQ187" i="25"/>
  <c r="BQ293" i="25"/>
  <c r="T143" i="25"/>
  <c r="U143" i="25" s="1"/>
  <c r="BI177" i="25"/>
  <c r="BQ117" i="25"/>
  <c r="BQ96" i="25"/>
  <c r="N179" i="25"/>
  <c r="P179" i="25" s="1"/>
  <c r="BQ220" i="25"/>
  <c r="BQ275" i="25"/>
  <c r="N265" i="25"/>
  <c r="T265" i="25" s="1"/>
  <c r="U265" i="25" s="1"/>
  <c r="BQ313" i="25"/>
  <c r="L265" i="25"/>
  <c r="L179" i="25"/>
  <c r="BQ165" i="25"/>
  <c r="BQ137" i="25"/>
  <c r="K147" i="24"/>
  <c r="BQ122" i="25"/>
  <c r="BQ66" i="25"/>
  <c r="BI129" i="25"/>
  <c r="L206" i="25"/>
  <c r="U191" i="24"/>
  <c r="V191" i="24" s="1"/>
  <c r="BQ294" i="25"/>
  <c r="BQ103" i="25"/>
  <c r="O143" i="25"/>
  <c r="AO143" i="25" s="1"/>
  <c r="N97" i="25"/>
  <c r="T97" i="25" s="1"/>
  <c r="BQ77" i="25"/>
  <c r="L189" i="25"/>
  <c r="BQ306" i="25"/>
  <c r="L110" i="25"/>
  <c r="BQ112" i="25"/>
  <c r="N28" i="25"/>
  <c r="T28" i="25" s="1"/>
  <c r="U28" i="25" s="1"/>
  <c r="T110" i="25"/>
  <c r="U110" i="25" s="1"/>
  <c r="P110" i="25"/>
  <c r="BZ110" i="25" s="1"/>
  <c r="BQ176" i="25"/>
  <c r="BQ13" i="25"/>
  <c r="L129" i="25"/>
  <c r="BQ158" i="25"/>
  <c r="L28" i="25"/>
  <c r="N291" i="25"/>
  <c r="T291" i="25" s="1"/>
  <c r="BQ95" i="25"/>
  <c r="N77" i="25"/>
  <c r="L77" i="25"/>
  <c r="BQ94" i="25"/>
  <c r="BQ283" i="25"/>
  <c r="BQ311" i="25"/>
  <c r="BQ134" i="25"/>
  <c r="BQ292" i="25"/>
  <c r="BI110" i="25"/>
  <c r="BQ245" i="25"/>
  <c r="BQ304" i="25"/>
  <c r="P129" i="25"/>
  <c r="BZ129" i="25" s="1"/>
  <c r="T129" i="25"/>
  <c r="U129" i="25" s="1"/>
  <c r="BQ52" i="25"/>
  <c r="BQ47" i="25"/>
  <c r="BQ133" i="25"/>
  <c r="BQ76" i="25"/>
  <c r="BQ121" i="25"/>
  <c r="K188" i="24"/>
  <c r="M251" i="24"/>
  <c r="N251" i="24" s="1"/>
  <c r="AP251" i="24" s="1"/>
  <c r="M137" i="24"/>
  <c r="N137" i="24" s="1"/>
  <c r="K127" i="24"/>
  <c r="BQ100" i="25"/>
  <c r="BQ195" i="25"/>
  <c r="BQ156" i="25"/>
  <c r="M167" i="24"/>
  <c r="N167" i="24" s="1"/>
  <c r="P167" i="24" s="1"/>
  <c r="BQ192" i="25"/>
  <c r="BQ178" i="25"/>
  <c r="BQ99" i="25"/>
  <c r="BQ267" i="25"/>
  <c r="BQ157" i="25"/>
  <c r="BQ150" i="25"/>
  <c r="BQ181" i="25"/>
  <c r="BQ305" i="25"/>
  <c r="BQ226" i="25"/>
  <c r="N104" i="25"/>
  <c r="T104" i="25" s="1"/>
  <c r="U104" i="25" s="1"/>
  <c r="BI131" i="25"/>
  <c r="N154" i="25"/>
  <c r="P154" i="25" s="1"/>
  <c r="BQ238" i="25"/>
  <c r="L173" i="25"/>
  <c r="BQ307" i="25"/>
  <c r="BQ147" i="25"/>
  <c r="T131" i="25"/>
  <c r="U131" i="25" s="1"/>
  <c r="BQ210" i="25"/>
  <c r="BQ198" i="25"/>
  <c r="L131" i="25"/>
  <c r="BQ199" i="25"/>
  <c r="BQ12" i="25"/>
  <c r="V264" i="24"/>
  <c r="L199" i="25"/>
  <c r="BQ145" i="25"/>
  <c r="BQ190" i="25"/>
  <c r="N41" i="24"/>
  <c r="AP41" i="24" s="1"/>
  <c r="U41" i="24"/>
  <c r="V41" i="24" s="1"/>
  <c r="BQ194" i="25"/>
  <c r="K200" i="24"/>
  <c r="K193" i="24"/>
  <c r="K237" i="24"/>
  <c r="K306" i="24"/>
  <c r="K313" i="24"/>
  <c r="M77" i="24"/>
  <c r="N77" i="24" s="1"/>
  <c r="AP77" i="24" s="1"/>
  <c r="N96" i="25"/>
  <c r="T96" i="25" s="1"/>
  <c r="U96" i="25" s="1"/>
  <c r="K248" i="24"/>
  <c r="V225" i="24"/>
  <c r="K279" i="24"/>
  <c r="K234" i="24"/>
  <c r="BQ182" i="25"/>
  <c r="L6" i="25"/>
  <c r="M285" i="24"/>
  <c r="K205" i="24"/>
  <c r="K307" i="24"/>
  <c r="BQ71" i="25"/>
  <c r="K182" i="24"/>
  <c r="L167" i="25"/>
  <c r="BQ254" i="25"/>
  <c r="K246" i="24"/>
  <c r="M84" i="24"/>
  <c r="N84" i="24" s="1"/>
  <c r="Q84" i="24" s="1"/>
  <c r="R84" i="24" s="1"/>
  <c r="BQ235" i="25"/>
  <c r="K227" i="24"/>
  <c r="BQ268" i="25"/>
  <c r="K303" i="24"/>
  <c r="M134" i="24"/>
  <c r="N134" i="24" s="1"/>
  <c r="AP134" i="24" s="1"/>
  <c r="U88" i="24"/>
  <c r="V88" i="24" s="1"/>
  <c r="BI104" i="25"/>
  <c r="K272" i="24"/>
  <c r="K226" i="24"/>
  <c r="K310" i="24"/>
  <c r="BQ209" i="25"/>
  <c r="BQ27" i="25"/>
  <c r="BQ287" i="25"/>
  <c r="L71" i="25"/>
  <c r="T232" i="25"/>
  <c r="U232" i="25" s="1"/>
  <c r="BQ276" i="25"/>
  <c r="BQ188" i="25"/>
  <c r="M252" i="24"/>
  <c r="N252" i="24" s="1"/>
  <c r="P252" i="24" s="1"/>
  <c r="K290" i="24"/>
  <c r="L13" i="25"/>
  <c r="BQ175" i="25"/>
  <c r="BQ173" i="25"/>
  <c r="M246" i="24"/>
  <c r="M286" i="24"/>
  <c r="N286" i="24" s="1"/>
  <c r="V292" i="24"/>
  <c r="U7" i="24"/>
  <c r="V7" i="24" s="1"/>
  <c r="M276" i="24"/>
  <c r="N276" i="24" s="1"/>
  <c r="AP276" i="24" s="1"/>
  <c r="M157" i="24"/>
  <c r="N157" i="24" s="1"/>
  <c r="AP157" i="24" s="1"/>
  <c r="K218" i="24"/>
  <c r="N59" i="25"/>
  <c r="T59" i="25" s="1"/>
  <c r="BQ248" i="25"/>
  <c r="BQ142" i="25"/>
  <c r="L306" i="25"/>
  <c r="BQ86" i="25"/>
  <c r="L161" i="25"/>
  <c r="BQ249" i="25"/>
  <c r="BQ113" i="25"/>
  <c r="BQ131" i="25"/>
  <c r="T255" i="25"/>
  <c r="U255" i="25" s="1"/>
  <c r="L32" i="25"/>
  <c r="L95" i="25"/>
  <c r="T296" i="25"/>
  <c r="U296" i="25" s="1"/>
  <c r="L273" i="25"/>
  <c r="BQ208" i="25"/>
  <c r="L198" i="25"/>
  <c r="BQ65" i="25"/>
  <c r="BQ286" i="25"/>
  <c r="L14" i="25"/>
  <c r="L114" i="25"/>
  <c r="BQ251" i="25"/>
  <c r="L147" i="25"/>
  <c r="L229" i="25"/>
  <c r="BQ28" i="25"/>
  <c r="L248" i="25"/>
  <c r="BQ271" i="25"/>
  <c r="L276" i="25"/>
  <c r="L247" i="25"/>
  <c r="L158" i="25"/>
  <c r="BQ36" i="25"/>
  <c r="L261" i="25"/>
  <c r="L186" i="25"/>
  <c r="L292" i="25"/>
  <c r="L148" i="25"/>
  <c r="BQ101" i="25"/>
  <c r="L113" i="25"/>
  <c r="L255" i="25"/>
  <c r="L243" i="25"/>
  <c r="L240" i="25"/>
  <c r="BQ75" i="25"/>
  <c r="T186" i="25"/>
  <c r="U186" i="25" s="1"/>
  <c r="L192" i="25"/>
  <c r="L283" i="25"/>
  <c r="U192" i="25"/>
  <c r="Q6" i="24"/>
  <c r="R6" i="24" s="1"/>
  <c r="P6" i="24"/>
  <c r="U257" i="25"/>
  <c r="BK165" i="24"/>
  <c r="S165" i="24"/>
  <c r="T165" i="24" s="1"/>
  <c r="M165" i="24"/>
  <c r="N165" i="24" s="1"/>
  <c r="BK33" i="24"/>
  <c r="S33" i="24"/>
  <c r="T33" i="24" s="1"/>
  <c r="M33" i="24"/>
  <c r="N33" i="24" s="1"/>
  <c r="AP33" i="24" s="1"/>
  <c r="BI162" i="25"/>
  <c r="N162" i="25"/>
  <c r="T162" i="25" s="1"/>
  <c r="BI9" i="25"/>
  <c r="N9" i="25"/>
  <c r="T9" i="25" s="1"/>
  <c r="L9" i="25"/>
  <c r="AP45" i="24"/>
  <c r="AH239" i="25"/>
  <c r="BK224" i="24"/>
  <c r="S224" i="24"/>
  <c r="T224" i="24" s="1"/>
  <c r="K224" i="24"/>
  <c r="AP233" i="24"/>
  <c r="U18" i="24"/>
  <c r="BK111" i="24"/>
  <c r="S111" i="24"/>
  <c r="T111" i="24" s="1"/>
  <c r="K111" i="24"/>
  <c r="M111" i="24"/>
  <c r="N111" i="24" s="1"/>
  <c r="BI245" i="25"/>
  <c r="N245" i="25"/>
  <c r="T245" i="25" s="1"/>
  <c r="L245" i="25"/>
  <c r="N97" i="24"/>
  <c r="U97" i="24"/>
  <c r="P82" i="25"/>
  <c r="O82" i="25"/>
  <c r="P27" i="24"/>
  <c r="Q27" i="24"/>
  <c r="R27" i="24" s="1"/>
  <c r="P148" i="25"/>
  <c r="O148" i="25"/>
  <c r="T148" i="25"/>
  <c r="P147" i="25"/>
  <c r="O147" i="25"/>
  <c r="AO147" i="25" s="1"/>
  <c r="P240" i="25"/>
  <c r="O240" i="25"/>
  <c r="AO240" i="25" s="1"/>
  <c r="T240" i="25"/>
  <c r="P113" i="25"/>
  <c r="O113" i="25"/>
  <c r="AO113" i="25" s="1"/>
  <c r="T113" i="25"/>
  <c r="P237" i="24"/>
  <c r="Q237" i="24"/>
  <c r="N303" i="24"/>
  <c r="AP303" i="24" s="1"/>
  <c r="P267" i="25"/>
  <c r="O267" i="25"/>
  <c r="AO267" i="25" s="1"/>
  <c r="N90" i="24"/>
  <c r="AP90" i="24" s="1"/>
  <c r="U90" i="24"/>
  <c r="N79" i="24"/>
  <c r="AP79" i="24" s="1"/>
  <c r="U79" i="24"/>
  <c r="BK281" i="24"/>
  <c r="S281" i="24"/>
  <c r="T281" i="24" s="1"/>
  <c r="M281" i="24"/>
  <c r="N281" i="24" s="1"/>
  <c r="AP281" i="24" s="1"/>
  <c r="AH81" i="25"/>
  <c r="BI168" i="25"/>
  <c r="N168" i="25"/>
  <c r="T168" i="25" s="1"/>
  <c r="L168" i="25"/>
  <c r="U147" i="24"/>
  <c r="BK37" i="24"/>
  <c r="S37" i="24"/>
  <c r="T37" i="24" s="1"/>
  <c r="M37" i="24"/>
  <c r="N37" i="24" s="1"/>
  <c r="AP37" i="24" s="1"/>
  <c r="BI141" i="25"/>
  <c r="N141" i="25"/>
  <c r="T141" i="25" s="1"/>
  <c r="L141" i="25"/>
  <c r="AH38" i="25"/>
  <c r="BK94" i="24"/>
  <c r="S94" i="24"/>
  <c r="T94" i="24" s="1"/>
  <c r="M94" i="24"/>
  <c r="AH315" i="25"/>
  <c r="AH44" i="25"/>
  <c r="S283" i="24"/>
  <c r="T283" i="24" s="1"/>
  <c r="BK283" i="24"/>
  <c r="M283" i="24"/>
  <c r="N283" i="24" s="1"/>
  <c r="AP283" i="24" s="1"/>
  <c r="K283" i="24"/>
  <c r="BI151" i="25"/>
  <c r="N151" i="25"/>
  <c r="T151" i="25" s="1"/>
  <c r="L151" i="25"/>
  <c r="BI16" i="25"/>
  <c r="L16" i="25"/>
  <c r="N16" i="25"/>
  <c r="T16" i="25" s="1"/>
  <c r="AH8" i="25"/>
  <c r="N83" i="24"/>
  <c r="AP83" i="24" s="1"/>
  <c r="U83" i="24"/>
  <c r="BI160" i="25"/>
  <c r="N160" i="25"/>
  <c r="BK261" i="24"/>
  <c r="S261" i="24"/>
  <c r="T261" i="24" s="1"/>
  <c r="M261" i="24"/>
  <c r="N261" i="24" s="1"/>
  <c r="AP261" i="24" s="1"/>
  <c r="K261" i="24"/>
  <c r="Q129" i="24"/>
  <c r="P129" i="24"/>
  <c r="M224" i="24"/>
  <c r="N224" i="24" s="1"/>
  <c r="N116" i="24"/>
  <c r="AP116" i="24" s="1"/>
  <c r="U116" i="24"/>
  <c r="N130" i="24"/>
  <c r="AP130" i="24" s="1"/>
  <c r="U130" i="24"/>
  <c r="P92" i="25"/>
  <c r="O92" i="25"/>
  <c r="T92" i="25"/>
  <c r="Q238" i="24"/>
  <c r="P238" i="24"/>
  <c r="N10" i="24"/>
  <c r="AP10" i="24" s="1"/>
  <c r="U10" i="24"/>
  <c r="P259" i="25"/>
  <c r="O259" i="25"/>
  <c r="T259" i="25"/>
  <c r="P89" i="25"/>
  <c r="O89" i="25"/>
  <c r="T89" i="25"/>
  <c r="N32" i="24"/>
  <c r="AP32" i="24" s="1"/>
  <c r="U32" i="24"/>
  <c r="P243" i="25"/>
  <c r="O243" i="25"/>
  <c r="AO243" i="25" s="1"/>
  <c r="T243" i="25"/>
  <c r="BK243" i="24"/>
  <c r="S243" i="24"/>
  <c r="T243" i="24" s="1"/>
  <c r="BK67" i="24"/>
  <c r="S67" i="24"/>
  <c r="T67" i="24" s="1"/>
  <c r="M67" i="24"/>
  <c r="N67" i="24" s="1"/>
  <c r="AP67" i="24" s="1"/>
  <c r="AP268" i="24"/>
  <c r="P192" i="25"/>
  <c r="O192" i="25"/>
  <c r="P307" i="24"/>
  <c r="Q307" i="24"/>
  <c r="P206" i="25"/>
  <c r="O206" i="25"/>
  <c r="T206" i="25"/>
  <c r="P246" i="25"/>
  <c r="O246" i="25"/>
  <c r="AO246" i="25" s="1"/>
  <c r="Q205" i="24"/>
  <c r="P205" i="24"/>
  <c r="P238" i="25"/>
  <c r="O238" i="25"/>
  <c r="AO238" i="25" s="1"/>
  <c r="T238" i="25"/>
  <c r="P292" i="25"/>
  <c r="O292" i="25"/>
  <c r="AO292" i="25" s="1"/>
  <c r="T292" i="25"/>
  <c r="N193" i="24"/>
  <c r="U193" i="24"/>
  <c r="P32" i="25"/>
  <c r="O32" i="25"/>
  <c r="AO32" i="25" s="1"/>
  <c r="T32" i="25"/>
  <c r="Q199" i="24"/>
  <c r="P199" i="24"/>
  <c r="P201" i="25"/>
  <c r="O201" i="25"/>
  <c r="AO201" i="25" s="1"/>
  <c r="T201" i="25"/>
  <c r="N248" i="24"/>
  <c r="AP248" i="24" s="1"/>
  <c r="P95" i="25"/>
  <c r="O95" i="25"/>
  <c r="AO95" i="25" s="1"/>
  <c r="T95" i="25"/>
  <c r="BK56" i="24"/>
  <c r="S56" i="24"/>
  <c r="T56" i="24" s="1"/>
  <c r="M56" i="24"/>
  <c r="N56" i="24" s="1"/>
  <c r="BI42" i="25"/>
  <c r="N42" i="25"/>
  <c r="T42" i="25" s="1"/>
  <c r="L42" i="25"/>
  <c r="N142" i="24"/>
  <c r="AP142" i="24" s="1"/>
  <c r="U142" i="24"/>
  <c r="BK250" i="24"/>
  <c r="S250" i="24"/>
  <c r="T250" i="24" s="1"/>
  <c r="M250" i="24"/>
  <c r="K165" i="24"/>
  <c r="AP132" i="24"/>
  <c r="AH189" i="25"/>
  <c r="BI70" i="25"/>
  <c r="L70" i="25"/>
  <c r="N70" i="25"/>
  <c r="BK170" i="24"/>
  <c r="S170" i="24"/>
  <c r="T170" i="24" s="1"/>
  <c r="M170" i="24"/>
  <c r="N170" i="24" s="1"/>
  <c r="BI8" i="25"/>
  <c r="N8" i="25"/>
  <c r="T8" i="25" s="1"/>
  <c r="BI164" i="25"/>
  <c r="N164" i="25"/>
  <c r="T164" i="25" s="1"/>
  <c r="BI202" i="25"/>
  <c r="N202" i="25"/>
  <c r="BI195" i="25"/>
  <c r="L195" i="25"/>
  <c r="N195" i="25"/>
  <c r="T195" i="25" s="1"/>
  <c r="AP7" i="24"/>
  <c r="K243" i="24"/>
  <c r="BK82" i="24"/>
  <c r="S82" i="24"/>
  <c r="T82" i="24" s="1"/>
  <c r="M82" i="24"/>
  <c r="N82" i="24" s="1"/>
  <c r="AP82" i="24" s="1"/>
  <c r="P163" i="24"/>
  <c r="Q163" i="24"/>
  <c r="BI81" i="25"/>
  <c r="N81" i="25"/>
  <c r="BI44" i="25"/>
  <c r="N44" i="25"/>
  <c r="AP191" i="24"/>
  <c r="P13" i="25"/>
  <c r="O13" i="25"/>
  <c r="AO13" i="25" s="1"/>
  <c r="O71" i="25"/>
  <c r="P71" i="25"/>
  <c r="T71" i="25"/>
  <c r="N200" i="24"/>
  <c r="U200" i="24"/>
  <c r="P306" i="25"/>
  <c r="O306" i="25"/>
  <c r="T306" i="25"/>
  <c r="N40" i="24"/>
  <c r="AP40" i="24" s="1"/>
  <c r="U40" i="24"/>
  <c r="P173" i="25"/>
  <c r="O173" i="25"/>
  <c r="AO173" i="25" s="1"/>
  <c r="T173" i="25"/>
  <c r="P31" i="25"/>
  <c r="O31" i="25"/>
  <c r="AO31" i="25" s="1"/>
  <c r="N227" i="24"/>
  <c r="AP227" i="24" s="1"/>
  <c r="N218" i="24"/>
  <c r="AP218" i="24" s="1"/>
  <c r="N310" i="24"/>
  <c r="P314" i="25"/>
  <c r="O314" i="25"/>
  <c r="AO314" i="25" s="1"/>
  <c r="P47" i="24"/>
  <c r="Q47" i="24"/>
  <c r="R47" i="24" s="1"/>
  <c r="N120" i="24"/>
  <c r="AP120" i="24" s="1"/>
  <c r="U120" i="24"/>
  <c r="P270" i="24"/>
  <c r="Q270" i="24"/>
  <c r="P273" i="25"/>
  <c r="O273" i="25"/>
  <c r="AO273" i="25" s="1"/>
  <c r="T273" i="25"/>
  <c r="BK152" i="24"/>
  <c r="S152" i="24"/>
  <c r="T152" i="24" s="1"/>
  <c r="M152" i="24"/>
  <c r="N152" i="24" s="1"/>
  <c r="AP152" i="24" s="1"/>
  <c r="P147" i="24"/>
  <c r="Q147" i="24"/>
  <c r="BK70" i="24"/>
  <c r="S70" i="24"/>
  <c r="T70" i="24" s="1"/>
  <c r="M70" i="24"/>
  <c r="N70" i="24" s="1"/>
  <c r="AP70" i="24" s="1"/>
  <c r="BK186" i="24"/>
  <c r="S186" i="24"/>
  <c r="T186" i="24" s="1"/>
  <c r="M186" i="24"/>
  <c r="N186" i="24" s="1"/>
  <c r="K186" i="24"/>
  <c r="Q24" i="24"/>
  <c r="R24" i="24" s="1"/>
  <c r="P24" i="24"/>
  <c r="BK168" i="24"/>
  <c r="S168" i="24"/>
  <c r="T168" i="24" s="1"/>
  <c r="M168" i="24"/>
  <c r="N168" i="24" s="1"/>
  <c r="AP168" i="24" s="1"/>
  <c r="AP292" i="24"/>
  <c r="BK298" i="24"/>
  <c r="S298" i="24"/>
  <c r="T298" i="24" s="1"/>
  <c r="M298" i="24"/>
  <c r="U298" i="24" s="1"/>
  <c r="AH94" i="25"/>
  <c r="BK274" i="24"/>
  <c r="S274" i="24"/>
  <c r="T274" i="24" s="1"/>
  <c r="M274" i="24"/>
  <c r="N274" i="24" s="1"/>
  <c r="K281" i="24"/>
  <c r="Q18" i="24"/>
  <c r="R18" i="24" s="1"/>
  <c r="P18" i="24"/>
  <c r="AP119" i="24"/>
  <c r="K168" i="24"/>
  <c r="BK143" i="24"/>
  <c r="S143" i="24"/>
  <c r="T143" i="24" s="1"/>
  <c r="M143" i="24"/>
  <c r="N143" i="24" s="1"/>
  <c r="AP143" i="24" s="1"/>
  <c r="K143" i="24"/>
  <c r="U6" i="25"/>
  <c r="BK202" i="24"/>
  <c r="S202" i="24"/>
  <c r="T202" i="24" s="1"/>
  <c r="M202" i="24"/>
  <c r="N202" i="24" s="1"/>
  <c r="K202" i="24"/>
  <c r="BK50" i="24"/>
  <c r="S50" i="24"/>
  <c r="T50" i="24" s="1"/>
  <c r="M50" i="24"/>
  <c r="N50" i="24" s="1"/>
  <c r="AP50" i="24" s="1"/>
  <c r="BQ132" i="25"/>
  <c r="U14" i="24"/>
  <c r="AH257" i="25"/>
  <c r="AH141" i="25"/>
  <c r="AH168" i="25"/>
  <c r="P283" i="25"/>
  <c r="O283" i="25"/>
  <c r="AO283" i="25" s="1"/>
  <c r="T283" i="25"/>
  <c r="P167" i="25"/>
  <c r="O167" i="25"/>
  <c r="AO167" i="25" s="1"/>
  <c r="T167" i="25"/>
  <c r="N313" i="24"/>
  <c r="AP313" i="24" s="1"/>
  <c r="P178" i="25"/>
  <c r="O178" i="25"/>
  <c r="AO178" i="25" s="1"/>
  <c r="T178" i="25"/>
  <c r="P248" i="25"/>
  <c r="O248" i="25"/>
  <c r="AO248" i="25" s="1"/>
  <c r="T248" i="25"/>
  <c r="P114" i="25"/>
  <c r="O114" i="25"/>
  <c r="AO114" i="25" s="1"/>
  <c r="T114" i="25"/>
  <c r="Q290" i="24"/>
  <c r="P290" i="24"/>
  <c r="P199" i="25"/>
  <c r="O199" i="25"/>
  <c r="AO199" i="25" s="1"/>
  <c r="AH186" i="25"/>
  <c r="BI226" i="25"/>
  <c r="L226" i="25"/>
  <c r="N226" i="25"/>
  <c r="Q14" i="24"/>
  <c r="R14" i="24" s="1"/>
  <c r="P14" i="24"/>
  <c r="AH29" i="25"/>
  <c r="BK185" i="24"/>
  <c r="S185" i="24"/>
  <c r="T185" i="24" s="1"/>
  <c r="M185" i="24"/>
  <c r="N185" i="24" s="1"/>
  <c r="N101" i="24"/>
  <c r="U101" i="24"/>
  <c r="BI38" i="25"/>
  <c r="N38" i="25"/>
  <c r="P257" i="25"/>
  <c r="O257" i="25"/>
  <c r="AO257" i="25" s="1"/>
  <c r="BK46" i="24"/>
  <c r="S46" i="24"/>
  <c r="T46" i="24" s="1"/>
  <c r="M46" i="24"/>
  <c r="AH152" i="25"/>
  <c r="BI239" i="25"/>
  <c r="N239" i="25"/>
  <c r="P186" i="25"/>
  <c r="O186" i="25"/>
  <c r="AO186" i="25" s="1"/>
  <c r="K250" i="24"/>
  <c r="L160" i="25"/>
  <c r="AH270" i="25"/>
  <c r="BK265" i="24"/>
  <c r="S265" i="24"/>
  <c r="T265" i="24" s="1"/>
  <c r="M265" i="24"/>
  <c r="N265" i="24" s="1"/>
  <c r="AP265" i="24" s="1"/>
  <c r="K265" i="24"/>
  <c r="BI132" i="25"/>
  <c r="N132" i="25"/>
  <c r="T132" i="25" s="1"/>
  <c r="L132" i="25"/>
  <c r="L162" i="25"/>
  <c r="N19" i="24"/>
  <c r="AP19" i="24" s="1"/>
  <c r="U19" i="24"/>
  <c r="P174" i="25"/>
  <c r="O174" i="25"/>
  <c r="AO174" i="25" s="1"/>
  <c r="P87" i="25"/>
  <c r="O87" i="25"/>
  <c r="T87" i="25"/>
  <c r="AH280" i="25"/>
  <c r="N185" i="25"/>
  <c r="T185" i="25" s="1"/>
  <c r="BI185" i="25"/>
  <c r="AH23" i="25"/>
  <c r="BK296" i="24"/>
  <c r="M296" i="24"/>
  <c r="N296" i="24" s="1"/>
  <c r="AP296" i="24" s="1"/>
  <c r="S296" i="24"/>
  <c r="T296" i="24" s="1"/>
  <c r="K296" i="24"/>
  <c r="U62" i="24"/>
  <c r="M243" i="24"/>
  <c r="N243" i="24" s="1"/>
  <c r="L185" i="25"/>
  <c r="AP163" i="24"/>
  <c r="BQ9" i="25"/>
  <c r="N241" i="25"/>
  <c r="T241" i="25" s="1"/>
  <c r="BI241" i="25"/>
  <c r="L241" i="25"/>
  <c r="BI58" i="25"/>
  <c r="N58" i="25"/>
  <c r="T58" i="25" s="1"/>
  <c r="L58" i="25"/>
  <c r="AH182" i="25"/>
  <c r="Q76" i="24"/>
  <c r="R76" i="24" s="1"/>
  <c r="P76" i="24"/>
  <c r="P25" i="24"/>
  <c r="Q25" i="24"/>
  <c r="R25" i="24" s="1"/>
  <c r="P276" i="25"/>
  <c r="O276" i="25"/>
  <c r="AO276" i="25" s="1"/>
  <c r="N226" i="24"/>
  <c r="AP226" i="24" s="1"/>
  <c r="N287" i="24"/>
  <c r="AP287" i="24" s="1"/>
  <c r="P247" i="25"/>
  <c r="O247" i="25"/>
  <c r="AO247" i="25" s="1"/>
  <c r="P161" i="25"/>
  <c r="O161" i="25"/>
  <c r="AO161" i="25" s="1"/>
  <c r="N306" i="24"/>
  <c r="P158" i="25"/>
  <c r="O158" i="25"/>
  <c r="AO158" i="25" s="1"/>
  <c r="T158" i="25"/>
  <c r="P21" i="25"/>
  <c r="O21" i="25"/>
  <c r="T21" i="25"/>
  <c r="N180" i="24"/>
  <c r="U180" i="24"/>
  <c r="P282" i="25"/>
  <c r="O282" i="25"/>
  <c r="AO282" i="25" s="1"/>
  <c r="T282" i="25"/>
  <c r="Q312" i="24"/>
  <c r="P312" i="24"/>
  <c r="Q272" i="24"/>
  <c r="P272" i="24"/>
  <c r="BI152" i="25"/>
  <c r="N152" i="25"/>
  <c r="T152" i="25" s="1"/>
  <c r="Q62" i="24"/>
  <c r="R62" i="24" s="1"/>
  <c r="P62" i="24"/>
  <c r="BK36" i="24"/>
  <c r="S36" i="24"/>
  <c r="T36" i="24" s="1"/>
  <c r="M36" i="24"/>
  <c r="N36" i="24" s="1"/>
  <c r="AP36" i="24" s="1"/>
  <c r="V257" i="24"/>
  <c r="Q268" i="24"/>
  <c r="P268" i="24"/>
  <c r="BK138" i="24"/>
  <c r="S138" i="24"/>
  <c r="T138" i="24" s="1"/>
  <c r="M138" i="24"/>
  <c r="N138" i="24" s="1"/>
  <c r="AP138" i="24" s="1"/>
  <c r="BI193" i="25"/>
  <c r="N193" i="25"/>
  <c r="T193" i="25" s="1"/>
  <c r="BK273" i="24"/>
  <c r="S273" i="24"/>
  <c r="T273" i="24" s="1"/>
  <c r="M273" i="24"/>
  <c r="K273" i="24"/>
  <c r="P232" i="25"/>
  <c r="O232" i="25"/>
  <c r="BK6" i="24"/>
  <c r="S6" i="24"/>
  <c r="T6" i="24" s="1"/>
  <c r="U6" i="24"/>
  <c r="N16" i="24"/>
  <c r="AP16" i="24" s="1"/>
  <c r="U16" i="24"/>
  <c r="N231" i="24"/>
  <c r="AP231" i="24" s="1"/>
  <c r="P150" i="24"/>
  <c r="Q150" i="24"/>
  <c r="N279" i="24"/>
  <c r="AP279" i="24" s="1"/>
  <c r="N234" i="24"/>
  <c r="AP234" i="24" s="1"/>
  <c r="P271" i="24"/>
  <c r="Q271" i="24"/>
  <c r="P229" i="25"/>
  <c r="O229" i="25"/>
  <c r="AO229" i="25" s="1"/>
  <c r="T229" i="25"/>
  <c r="P14" i="25"/>
  <c r="O14" i="25"/>
  <c r="T14" i="25"/>
  <c r="P261" i="25"/>
  <c r="O261" i="25"/>
  <c r="T261" i="25"/>
  <c r="P30" i="25"/>
  <c r="O30" i="25"/>
  <c r="BK12" i="24"/>
  <c r="S12" i="24"/>
  <c r="T12" i="24" s="1"/>
  <c r="M12" i="24"/>
  <c r="N12" i="24" s="1"/>
  <c r="AP12" i="24" s="1"/>
  <c r="BK74" i="24"/>
  <c r="S74" i="24"/>
  <c r="T74" i="24" s="1"/>
  <c r="M74" i="24"/>
  <c r="N74" i="24" s="1"/>
  <c r="AP74" i="24" s="1"/>
  <c r="U190" i="25"/>
  <c r="AH208" i="25"/>
  <c r="AH74" i="25"/>
  <c r="BI203" i="25"/>
  <c r="BI30" i="25"/>
  <c r="L30" i="25"/>
  <c r="BI73" i="25"/>
  <c r="AH130" i="25"/>
  <c r="P182" i="24"/>
  <c r="Q182" i="24"/>
  <c r="AP182" i="24"/>
  <c r="BK269" i="24"/>
  <c r="S269" i="24"/>
  <c r="T269" i="24" s="1"/>
  <c r="M269" i="24"/>
  <c r="N269" i="24" s="1"/>
  <c r="BK245" i="24"/>
  <c r="S245" i="24"/>
  <c r="T245" i="24" s="1"/>
  <c r="BI175" i="25"/>
  <c r="AH238" i="25"/>
  <c r="BK222" i="24"/>
  <c r="S222" i="24"/>
  <c r="T222" i="24" s="1"/>
  <c r="Q119" i="24"/>
  <c r="P119" i="24"/>
  <c r="Q43" i="24"/>
  <c r="R43" i="24" s="1"/>
  <c r="P43" i="24"/>
  <c r="BK87" i="24"/>
  <c r="S87" i="24"/>
  <c r="T87" i="24" s="1"/>
  <c r="M87" i="24"/>
  <c r="N87" i="24" s="1"/>
  <c r="BI290" i="25"/>
  <c r="N290" i="25"/>
  <c r="T290" i="25" s="1"/>
  <c r="L290" i="25"/>
  <c r="BK284" i="24"/>
  <c r="S284" i="24"/>
  <c r="T284" i="24" s="1"/>
  <c r="BK81" i="24"/>
  <c r="S81" i="24"/>
  <c r="T81" i="24" s="1"/>
  <c r="BK208" i="24"/>
  <c r="S208" i="24"/>
  <c r="T208" i="24" s="1"/>
  <c r="BI263" i="25"/>
  <c r="BK297" i="24"/>
  <c r="S297" i="24"/>
  <c r="T297" i="24" s="1"/>
  <c r="K297" i="24"/>
  <c r="AH65" i="25"/>
  <c r="BK98" i="24"/>
  <c r="S98" i="24"/>
  <c r="T98" i="24" s="1"/>
  <c r="BI144" i="25"/>
  <c r="L144" i="25"/>
  <c r="P275" i="25"/>
  <c r="O275" i="25"/>
  <c r="AO275" i="25" s="1"/>
  <c r="BK35" i="24"/>
  <c r="S35" i="24"/>
  <c r="T35" i="24" s="1"/>
  <c r="BI102" i="25"/>
  <c r="BQ174" i="25"/>
  <c r="AH115" i="25"/>
  <c r="BK43" i="24"/>
  <c r="S43" i="24"/>
  <c r="T43" i="24" s="1"/>
  <c r="Q181" i="24"/>
  <c r="P181" i="24"/>
  <c r="AP271" i="24"/>
  <c r="BI101" i="25"/>
  <c r="BI289" i="25"/>
  <c r="BI50" i="25"/>
  <c r="N50" i="25"/>
  <c r="T50" i="25" s="1"/>
  <c r="BK136" i="24"/>
  <c r="S136" i="24"/>
  <c r="T136" i="24" s="1"/>
  <c r="BI47" i="25"/>
  <c r="AH258" i="25"/>
  <c r="AH134" i="25"/>
  <c r="AH207" i="25"/>
  <c r="BK258" i="24"/>
  <c r="S258" i="24"/>
  <c r="T258" i="24" s="1"/>
  <c r="M258" i="24"/>
  <c r="N258" i="24" s="1"/>
  <c r="AP258" i="24" s="1"/>
  <c r="BI35" i="25"/>
  <c r="N35" i="25"/>
  <c r="T35" i="25" s="1"/>
  <c r="BI91" i="25"/>
  <c r="N91" i="25"/>
  <c r="T91" i="25" s="1"/>
  <c r="AH57" i="25"/>
  <c r="BI24" i="25"/>
  <c r="N24" i="25"/>
  <c r="T24" i="25" s="1"/>
  <c r="L24" i="25"/>
  <c r="BI149" i="25"/>
  <c r="N149" i="25"/>
  <c r="T149" i="25" s="1"/>
  <c r="BK178" i="24"/>
  <c r="S178" i="24"/>
  <c r="T178" i="24" s="1"/>
  <c r="M178" i="24"/>
  <c r="N178" i="24" s="1"/>
  <c r="BI36" i="25"/>
  <c r="N36" i="25"/>
  <c r="T36" i="25" s="1"/>
  <c r="BI256" i="25"/>
  <c r="N256" i="25"/>
  <c r="T256" i="25" s="1"/>
  <c r="BI119" i="25"/>
  <c r="N119" i="25"/>
  <c r="T119" i="25" s="1"/>
  <c r="AH131" i="25"/>
  <c r="N61" i="25"/>
  <c r="T61" i="25" s="1"/>
  <c r="BI61" i="25"/>
  <c r="AH61" i="25"/>
  <c r="U293" i="25"/>
  <c r="AH146" i="25"/>
  <c r="AH294" i="25"/>
  <c r="AH264" i="25"/>
  <c r="BI88" i="25"/>
  <c r="BQ59" i="25"/>
  <c r="AH179" i="25"/>
  <c r="Q86" i="24"/>
  <c r="R86" i="24" s="1"/>
  <c r="P86" i="24"/>
  <c r="BK23" i="24"/>
  <c r="S23" i="24"/>
  <c r="T23" i="24" s="1"/>
  <c r="BK15" i="24"/>
  <c r="S15" i="24"/>
  <c r="T15" i="24" s="1"/>
  <c r="BK244" i="24"/>
  <c r="S244" i="24"/>
  <c r="T244" i="24" s="1"/>
  <c r="O22" i="24"/>
  <c r="BZ22" i="24" s="1"/>
  <c r="J22" i="24"/>
  <c r="BK201" i="24"/>
  <c r="S201" i="24"/>
  <c r="T201" i="24" s="1"/>
  <c r="T174" i="25"/>
  <c r="AH21" i="25"/>
  <c r="AH96" i="25"/>
  <c r="AH116" i="25"/>
  <c r="AH314" i="25"/>
  <c r="AH166" i="25"/>
  <c r="AH201" i="25"/>
  <c r="BK28" i="24"/>
  <c r="S28" i="24"/>
  <c r="T28" i="24" s="1"/>
  <c r="AP264" i="24"/>
  <c r="BQ261" i="25"/>
  <c r="BI172" i="25"/>
  <c r="BK172" i="24"/>
  <c r="S172" i="24"/>
  <c r="T172" i="24" s="1"/>
  <c r="AH272" i="25"/>
  <c r="AH89" i="25"/>
  <c r="AH110" i="25"/>
  <c r="BI305" i="25"/>
  <c r="BI275" i="25"/>
  <c r="AH275" i="25"/>
  <c r="AH262" i="25"/>
  <c r="BK254" i="24"/>
  <c r="S254" i="24"/>
  <c r="T254" i="24" s="1"/>
  <c r="BK230" i="24"/>
  <c r="S230" i="24"/>
  <c r="T230" i="24" s="1"/>
  <c r="BK171" i="24"/>
  <c r="S171" i="24"/>
  <c r="T171" i="24" s="1"/>
  <c r="K171" i="24"/>
  <c r="P204" i="25"/>
  <c r="O204" i="25"/>
  <c r="AO204" i="25" s="1"/>
  <c r="AH295" i="25"/>
  <c r="BK275" i="24"/>
  <c r="S275" i="24"/>
  <c r="T275" i="24" s="1"/>
  <c r="BI234" i="25"/>
  <c r="BK135" i="24"/>
  <c r="S135" i="24"/>
  <c r="T135" i="24" s="1"/>
  <c r="BI316" i="25"/>
  <c r="BI298" i="25"/>
  <c r="BI244" i="25"/>
  <c r="AH244" i="25"/>
  <c r="BK85" i="24"/>
  <c r="S85" i="24"/>
  <c r="T85" i="24" s="1"/>
  <c r="AH43" i="25"/>
  <c r="AH54" i="25"/>
  <c r="AH46" i="25"/>
  <c r="BI51" i="25"/>
  <c r="N51" i="25"/>
  <c r="T51" i="25" s="1"/>
  <c r="AH72" i="25"/>
  <c r="AH171" i="25"/>
  <c r="M81" i="24"/>
  <c r="N81" i="24" s="1"/>
  <c r="BQ301" i="25"/>
  <c r="BQ60" i="25"/>
  <c r="AH217" i="25"/>
  <c r="BI17" i="25"/>
  <c r="N17" i="25"/>
  <c r="T17" i="25" s="1"/>
  <c r="BK91" i="24"/>
  <c r="S91" i="24"/>
  <c r="T91" i="24" s="1"/>
  <c r="M91" i="24"/>
  <c r="N91" i="24" s="1"/>
  <c r="AP91" i="24" s="1"/>
  <c r="BI136" i="25"/>
  <c r="N136" i="25"/>
  <c r="T136" i="25" s="1"/>
  <c r="L136" i="25"/>
  <c r="BI128" i="25"/>
  <c r="N128" i="25"/>
  <c r="T128" i="25" s="1"/>
  <c r="L128" i="25"/>
  <c r="AH222" i="25"/>
  <c r="BK9" i="24"/>
  <c r="S9" i="24"/>
  <c r="T9" i="24" s="1"/>
  <c r="AH154" i="25"/>
  <c r="M15" i="24"/>
  <c r="N15" i="24" s="1"/>
  <c r="AP15" i="24" s="1"/>
  <c r="N75" i="25"/>
  <c r="M208" i="24"/>
  <c r="N208" i="24" s="1"/>
  <c r="M305" i="24"/>
  <c r="M85" i="24"/>
  <c r="M34" i="24"/>
  <c r="N34" i="24" s="1"/>
  <c r="AP34" i="24" s="1"/>
  <c r="P131" i="25"/>
  <c r="O131" i="25"/>
  <c r="N144" i="25"/>
  <c r="T144" i="25" s="1"/>
  <c r="BI159" i="25"/>
  <c r="N159" i="25"/>
  <c r="BI52" i="25"/>
  <c r="BI270" i="25"/>
  <c r="N270" i="25"/>
  <c r="T270" i="25" s="1"/>
  <c r="BK114" i="24"/>
  <c r="S114" i="24"/>
  <c r="T114" i="24" s="1"/>
  <c r="M114" i="24"/>
  <c r="K114" i="24"/>
  <c r="BK68" i="24"/>
  <c r="S68" i="24"/>
  <c r="T68" i="24" s="1"/>
  <c r="AH13" i="25"/>
  <c r="AH160" i="25"/>
  <c r="BK122" i="24"/>
  <c r="S122" i="24"/>
  <c r="T122" i="24" s="1"/>
  <c r="AP18" i="24"/>
  <c r="P6" i="25"/>
  <c r="O6" i="25"/>
  <c r="AH193" i="25"/>
  <c r="BI180" i="25"/>
  <c r="BI6" i="25"/>
  <c r="AH122" i="25"/>
  <c r="AH16" i="25"/>
  <c r="AH162" i="25"/>
  <c r="AH226" i="25"/>
  <c r="BK302" i="24"/>
  <c r="S302" i="24"/>
  <c r="T302" i="24" s="1"/>
  <c r="M302" i="24"/>
  <c r="N302" i="24" s="1"/>
  <c r="BK256" i="24"/>
  <c r="S256" i="24"/>
  <c r="T256" i="24" s="1"/>
  <c r="AH246" i="25"/>
  <c r="AH73" i="25"/>
  <c r="BI157" i="25"/>
  <c r="N157" i="25"/>
  <c r="BI315" i="25"/>
  <c r="N315" i="25"/>
  <c r="AH125" i="25"/>
  <c r="AH241" i="25"/>
  <c r="AP6" i="24"/>
  <c r="K129" i="24"/>
  <c r="AP129" i="24"/>
  <c r="M118" i="24"/>
  <c r="N118" i="24" s="1"/>
  <c r="L182" i="25"/>
  <c r="BI37" i="25"/>
  <c r="AH70" i="25"/>
  <c r="BK307" i="24"/>
  <c r="S307" i="24"/>
  <c r="T307" i="24" s="1"/>
  <c r="BI210" i="25"/>
  <c r="K241" i="24"/>
  <c r="L157" i="25"/>
  <c r="AH53" i="25"/>
  <c r="BK99" i="24"/>
  <c r="S99" i="24"/>
  <c r="T99" i="24" s="1"/>
  <c r="M99" i="24"/>
  <c r="N99" i="24" s="1"/>
  <c r="AP99" i="24" s="1"/>
  <c r="BK314" i="24"/>
  <c r="M314" i="24"/>
  <c r="N314" i="24" s="1"/>
  <c r="AP314" i="24" s="1"/>
  <c r="S314" i="24"/>
  <c r="T314" i="24" s="1"/>
  <c r="K314" i="24"/>
  <c r="BK103" i="24"/>
  <c r="S103" i="24"/>
  <c r="T103" i="24" s="1"/>
  <c r="M103" i="24"/>
  <c r="AH194" i="25"/>
  <c r="BI120" i="25"/>
  <c r="N120" i="25"/>
  <c r="T120" i="25" s="1"/>
  <c r="BI125" i="25"/>
  <c r="U22" i="24"/>
  <c r="BK117" i="24"/>
  <c r="S117" i="24"/>
  <c r="T117" i="24" s="1"/>
  <c r="M117" i="24"/>
  <c r="T30" i="25"/>
  <c r="BI271" i="25"/>
  <c r="K269" i="24"/>
  <c r="L82" i="25"/>
  <c r="K222" i="24"/>
  <c r="L92" i="25"/>
  <c r="AH92" i="25"/>
  <c r="AH281" i="25"/>
  <c r="K159" i="24"/>
  <c r="O119" i="24"/>
  <c r="BZ119" i="24" s="1"/>
  <c r="J119" i="24"/>
  <c r="K150" i="24"/>
  <c r="AH263" i="25"/>
  <c r="BK40" i="24"/>
  <c r="S40" i="24"/>
  <c r="T40" i="24" s="1"/>
  <c r="BI66" i="25"/>
  <c r="BI247" i="25"/>
  <c r="AH148" i="25"/>
  <c r="BQ144" i="25"/>
  <c r="P296" i="25"/>
  <c r="O296" i="25"/>
  <c r="AO296" i="25" s="1"/>
  <c r="AH254" i="25"/>
  <c r="BK246" i="24"/>
  <c r="S246" i="24"/>
  <c r="T246" i="24" s="1"/>
  <c r="M115" i="24"/>
  <c r="N115" i="24" s="1"/>
  <c r="AP115" i="24" s="1"/>
  <c r="BQ31" i="25"/>
  <c r="L31" i="25"/>
  <c r="U44" i="24"/>
  <c r="AP44" i="24"/>
  <c r="BI115" i="25"/>
  <c r="U43" i="24"/>
  <c r="BI80" i="25"/>
  <c r="N80" i="25"/>
  <c r="T80" i="25" s="1"/>
  <c r="Q53" i="24"/>
  <c r="R53" i="24" s="1"/>
  <c r="P53" i="24"/>
  <c r="BK156" i="24"/>
  <c r="S156" i="24"/>
  <c r="T156" i="24" s="1"/>
  <c r="K156" i="24"/>
  <c r="BI45" i="25"/>
  <c r="BQ289" i="25"/>
  <c r="AH304" i="25"/>
  <c r="BI235" i="25"/>
  <c r="BK11" i="24"/>
  <c r="S11" i="24"/>
  <c r="T11" i="24" s="1"/>
  <c r="M11" i="24"/>
  <c r="N11" i="24" s="1"/>
  <c r="AP11" i="24" s="1"/>
  <c r="AH181" i="25"/>
  <c r="BK301" i="24"/>
  <c r="S301" i="24"/>
  <c r="T301" i="24" s="1"/>
  <c r="BI242" i="25"/>
  <c r="L242" i="25"/>
  <c r="AH121" i="25"/>
  <c r="BI112" i="25"/>
  <c r="BI97" i="25"/>
  <c r="AH25" i="25"/>
  <c r="L91" i="25"/>
  <c r="BI98" i="25"/>
  <c r="N98" i="25"/>
  <c r="AH98" i="25"/>
  <c r="BI140" i="25"/>
  <c r="N140" i="25"/>
  <c r="AH140" i="25"/>
  <c r="BI196" i="25"/>
  <c r="N196" i="25"/>
  <c r="L196" i="25"/>
  <c r="K178" i="24"/>
  <c r="BI308" i="25"/>
  <c r="N308" i="25"/>
  <c r="T308" i="25" s="1"/>
  <c r="AH308" i="25"/>
  <c r="AH268" i="25"/>
  <c r="BI133" i="25"/>
  <c r="N133" i="25"/>
  <c r="T133" i="25" s="1"/>
  <c r="AH133" i="25"/>
  <c r="P48" i="24"/>
  <c r="Q48" i="24"/>
  <c r="R48" i="24" s="1"/>
  <c r="BK278" i="24"/>
  <c r="S278" i="24"/>
  <c r="T278" i="24" s="1"/>
  <c r="M278" i="24"/>
  <c r="N278" i="24" s="1"/>
  <c r="AP278" i="24" s="1"/>
  <c r="K235" i="24"/>
  <c r="BI27" i="25"/>
  <c r="N27" i="25"/>
  <c r="AP236" i="24"/>
  <c r="BI294" i="25"/>
  <c r="N294" i="25"/>
  <c r="T294" i="25" s="1"/>
  <c r="BI183" i="25"/>
  <c r="N183" i="25"/>
  <c r="U86" i="24"/>
  <c r="BK53" i="24"/>
  <c r="S53" i="24"/>
  <c r="T53" i="24" s="1"/>
  <c r="AH187" i="25"/>
  <c r="BI178" i="25"/>
  <c r="AH126" i="25"/>
  <c r="AH118" i="25"/>
  <c r="BI116" i="25"/>
  <c r="J257" i="24"/>
  <c r="W257" i="24" s="1"/>
  <c r="O257" i="24"/>
  <c r="BZ257" i="24" s="1"/>
  <c r="BI227" i="25"/>
  <c r="N227" i="25"/>
  <c r="T227" i="25" s="1"/>
  <c r="BK17" i="24"/>
  <c r="S17" i="24"/>
  <c r="T17" i="24" s="1"/>
  <c r="BK90" i="24"/>
  <c r="S90" i="24"/>
  <c r="T90" i="24" s="1"/>
  <c r="K180" i="24"/>
  <c r="BK128" i="24"/>
  <c r="S128" i="24"/>
  <c r="T128" i="24" s="1"/>
  <c r="AP47" i="24"/>
  <c r="BK93" i="24"/>
  <c r="S93" i="24"/>
  <c r="T93" i="24" s="1"/>
  <c r="BK139" i="24"/>
  <c r="S139" i="24"/>
  <c r="T139" i="24" s="1"/>
  <c r="AH261" i="25"/>
  <c r="L172" i="25"/>
  <c r="L282" i="25"/>
  <c r="U172" i="24"/>
  <c r="BQ89" i="25"/>
  <c r="L305" i="25"/>
  <c r="T275" i="25"/>
  <c r="M254" i="24"/>
  <c r="N254" i="24" s="1"/>
  <c r="AP254" i="24" s="1"/>
  <c r="BQ204" i="25"/>
  <c r="K120" i="24"/>
  <c r="BI221" i="25"/>
  <c r="BQ260" i="25"/>
  <c r="K312" i="24"/>
  <c r="BQ234" i="25"/>
  <c r="L234" i="25"/>
  <c r="BI111" i="25"/>
  <c r="N111" i="25"/>
  <c r="T111" i="25" s="1"/>
  <c r="AP25" i="24"/>
  <c r="P264" i="24"/>
  <c r="Q264" i="24"/>
  <c r="BK184" i="24"/>
  <c r="S184" i="24"/>
  <c r="T184" i="24" s="1"/>
  <c r="AH33" i="25"/>
  <c r="AH15" i="25"/>
  <c r="BQ39" i="25"/>
  <c r="BI243" i="25"/>
  <c r="AH243" i="25"/>
  <c r="BI199" i="25"/>
  <c r="BQ138" i="25"/>
  <c r="L244" i="25"/>
  <c r="BI191" i="25"/>
  <c r="N191" i="25"/>
  <c r="T191" i="25" s="1"/>
  <c r="M169" i="24"/>
  <c r="N169" i="24" s="1"/>
  <c r="AP169" i="24" s="1"/>
  <c r="AH312" i="25"/>
  <c r="AH40" i="25"/>
  <c r="BI68" i="25"/>
  <c r="N68" i="25"/>
  <c r="BI18" i="25"/>
  <c r="N18" i="25"/>
  <c r="AH51" i="25"/>
  <c r="BK166" i="24"/>
  <c r="S166" i="24"/>
  <c r="T166" i="24" s="1"/>
  <c r="M166" i="24"/>
  <c r="N166" i="24" s="1"/>
  <c r="AH301" i="25"/>
  <c r="BI100" i="25"/>
  <c r="N100" i="25"/>
  <c r="AH84" i="25"/>
  <c r="BI231" i="25"/>
  <c r="N231" i="25"/>
  <c r="L231" i="25"/>
  <c r="N60" i="25"/>
  <c r="T60" i="25" s="1"/>
  <c r="BI60" i="25"/>
  <c r="BI310" i="25"/>
  <c r="N310" i="25"/>
  <c r="T310" i="25" s="1"/>
  <c r="BK189" i="24"/>
  <c r="S189" i="24"/>
  <c r="T189" i="24" s="1"/>
  <c r="M189" i="24"/>
  <c r="N189" i="24" s="1"/>
  <c r="AP189" i="24" s="1"/>
  <c r="BQ284" i="25"/>
  <c r="N217" i="25"/>
  <c r="BI217" i="25"/>
  <c r="BI56" i="25"/>
  <c r="N56" i="25"/>
  <c r="BI222" i="25"/>
  <c r="N222" i="25"/>
  <c r="L222" i="25"/>
  <c r="BK72" i="24"/>
  <c r="S72" i="24"/>
  <c r="T72" i="24" s="1"/>
  <c r="M210" i="24"/>
  <c r="N244" i="25"/>
  <c r="T244" i="25" s="1"/>
  <c r="N235" i="25"/>
  <c r="T235" i="25" s="1"/>
  <c r="M297" i="24"/>
  <c r="M244" i="24"/>
  <c r="N124" i="25"/>
  <c r="T124" i="25" s="1"/>
  <c r="M245" i="24"/>
  <c r="N245" i="24" s="1"/>
  <c r="P293" i="25"/>
  <c r="O293" i="25"/>
  <c r="N220" i="25"/>
  <c r="M275" i="24"/>
  <c r="N254" i="25"/>
  <c r="T254" i="25" s="1"/>
  <c r="BI186" i="25"/>
  <c r="L52" i="25"/>
  <c r="AH52" i="25"/>
  <c r="BK177" i="24"/>
  <c r="S177" i="24"/>
  <c r="T177" i="24" s="1"/>
  <c r="AH6" i="25"/>
  <c r="AH77" i="25"/>
  <c r="AH206" i="25"/>
  <c r="BK252" i="24"/>
  <c r="S252" i="24"/>
  <c r="T252" i="24" s="1"/>
  <c r="BK75" i="24"/>
  <c r="S75" i="24"/>
  <c r="T75" i="24" s="1"/>
  <c r="M75" i="24"/>
  <c r="N75" i="24" s="1"/>
  <c r="BQ163" i="25"/>
  <c r="BI192" i="25"/>
  <c r="AH93" i="25"/>
  <c r="BK272" i="24"/>
  <c r="S272" i="24"/>
  <c r="T272" i="24" s="1"/>
  <c r="BK14" i="24"/>
  <c r="S14" i="24"/>
  <c r="T14" i="24" s="1"/>
  <c r="AP24" i="24"/>
  <c r="Q133" i="24"/>
  <c r="P133" i="24"/>
  <c r="AH143" i="25"/>
  <c r="BI163" i="25"/>
  <c r="N163" i="25"/>
  <c r="T163" i="25" s="1"/>
  <c r="BI137" i="25"/>
  <c r="N137" i="25"/>
  <c r="T137" i="25" s="1"/>
  <c r="AH42" i="25"/>
  <c r="U21" i="24"/>
  <c r="AH232" i="25"/>
  <c r="AP205" i="24"/>
  <c r="BQ105" i="25"/>
  <c r="AH177" i="25"/>
  <c r="BK247" i="24"/>
  <c r="S247" i="24"/>
  <c r="T247" i="24" s="1"/>
  <c r="BK176" i="24"/>
  <c r="S176" i="24"/>
  <c r="T176" i="24" s="1"/>
  <c r="M176" i="24"/>
  <c r="N176" i="24" s="1"/>
  <c r="AP176" i="24" s="1"/>
  <c r="BK71" i="24"/>
  <c r="S71" i="24"/>
  <c r="T71" i="24" s="1"/>
  <c r="BI165" i="25"/>
  <c r="AH190" i="25"/>
  <c r="L163" i="25"/>
  <c r="AH279" i="25"/>
  <c r="BK277" i="24"/>
  <c r="S277" i="24"/>
  <c r="T277" i="24" s="1"/>
  <c r="M277" i="24"/>
  <c r="U277" i="24" s="1"/>
  <c r="K277" i="24"/>
  <c r="M195" i="24"/>
  <c r="AH145" i="25"/>
  <c r="BK225" i="24"/>
  <c r="S225" i="24"/>
  <c r="T225" i="24" s="1"/>
  <c r="K117" i="24"/>
  <c r="BK232" i="24"/>
  <c r="S232" i="24"/>
  <c r="T232" i="24" s="1"/>
  <c r="M232" i="24"/>
  <c r="BI174" i="25"/>
  <c r="M253" i="24"/>
  <c r="N253" i="24" s="1"/>
  <c r="AP253" i="24" s="1"/>
  <c r="BK137" i="24"/>
  <c r="S137" i="24"/>
  <c r="T137" i="24" s="1"/>
  <c r="N219" i="25"/>
  <c r="BK182" i="24"/>
  <c r="S182" i="24"/>
  <c r="T182" i="24" s="1"/>
  <c r="AH150" i="25"/>
  <c r="K231" i="24"/>
  <c r="BI12" i="25"/>
  <c r="BI142" i="25"/>
  <c r="AH142" i="25"/>
  <c r="AH175" i="25"/>
  <c r="BK263" i="24"/>
  <c r="S263" i="24"/>
  <c r="T263" i="24" s="1"/>
  <c r="M263" i="24"/>
  <c r="U263" i="24" s="1"/>
  <c r="M159" i="24"/>
  <c r="N159" i="24" s="1"/>
  <c r="AP159" i="24" s="1"/>
  <c r="AH198" i="25"/>
  <c r="BI200" i="25"/>
  <c r="N200" i="25"/>
  <c r="BK187" i="24"/>
  <c r="S187" i="24"/>
  <c r="T187" i="24" s="1"/>
  <c r="M187" i="24"/>
  <c r="BK8" i="24"/>
  <c r="S8" i="24"/>
  <c r="T8" i="24" s="1"/>
  <c r="AH276" i="25"/>
  <c r="BI283" i="25"/>
  <c r="AH283" i="25"/>
  <c r="AH167" i="25"/>
  <c r="K287" i="24"/>
  <c r="AH66" i="25"/>
  <c r="T247" i="25"/>
  <c r="BI10" i="25"/>
  <c r="AH161" i="25"/>
  <c r="P292" i="24"/>
  <c r="Q292" i="24"/>
  <c r="L115" i="25"/>
  <c r="U181" i="24"/>
  <c r="BI307" i="25"/>
  <c r="AH311" i="25"/>
  <c r="AH80" i="25"/>
  <c r="AH235" i="25"/>
  <c r="N277" i="25"/>
  <c r="BI277" i="25"/>
  <c r="BK203" i="24"/>
  <c r="S203" i="24"/>
  <c r="T203" i="24" s="1"/>
  <c r="AH229" i="25"/>
  <c r="L50" i="25"/>
  <c r="AH97" i="25"/>
  <c r="BI225" i="25"/>
  <c r="AH225" i="25"/>
  <c r="P162" i="24"/>
  <c r="Q162" i="24"/>
  <c r="AP237" i="24"/>
  <c r="AH62" i="25"/>
  <c r="BI230" i="25"/>
  <c r="N230" i="25"/>
  <c r="AH20" i="25"/>
  <c r="AH22" i="25"/>
  <c r="AH123" i="25"/>
  <c r="AH135" i="25"/>
  <c r="BK217" i="24"/>
  <c r="S217" i="24"/>
  <c r="T217" i="24" s="1"/>
  <c r="M217" i="24"/>
  <c r="BI274" i="25"/>
  <c r="N274" i="25"/>
  <c r="AH41" i="25"/>
  <c r="AH119" i="25"/>
  <c r="BI209" i="25"/>
  <c r="N209" i="25"/>
  <c r="M28" i="24"/>
  <c r="N28" i="24" s="1"/>
  <c r="AP28" i="24" s="1"/>
  <c r="AH27" i="25"/>
  <c r="BK262" i="24"/>
  <c r="S262" i="24"/>
  <c r="T262" i="24" s="1"/>
  <c r="M262" i="24"/>
  <c r="U262" i="24" s="1"/>
  <c r="L61" i="25"/>
  <c r="L294" i="25"/>
  <c r="BI264" i="25"/>
  <c r="BK161" i="24"/>
  <c r="S161" i="24"/>
  <c r="T161" i="24" s="1"/>
  <c r="J160" i="24"/>
  <c r="O160" i="24"/>
  <c r="BZ160" i="24" s="1"/>
  <c r="N52" i="25"/>
  <c r="T52" i="25" s="1"/>
  <c r="BK86" i="24"/>
  <c r="S86" i="24"/>
  <c r="T86" i="24" s="1"/>
  <c r="AP86" i="24"/>
  <c r="AH49" i="25"/>
  <c r="U53" i="24"/>
  <c r="BK89" i="24"/>
  <c r="S89" i="24"/>
  <c r="T89" i="24" s="1"/>
  <c r="M201" i="24"/>
  <c r="N201" i="24" s="1"/>
  <c r="L174" i="25"/>
  <c r="L21" i="25"/>
  <c r="L116" i="25"/>
  <c r="AH34" i="25"/>
  <c r="BI287" i="25"/>
  <c r="BQ166" i="25"/>
  <c r="L201" i="25"/>
  <c r="BK315" i="24"/>
  <c r="S315" i="24"/>
  <c r="T315" i="24" s="1"/>
  <c r="BI89" i="25"/>
  <c r="L89" i="25"/>
  <c r="BQ124" i="25"/>
  <c r="AH302" i="25"/>
  <c r="BI223" i="25"/>
  <c r="T305" i="25"/>
  <c r="O21" i="24"/>
  <c r="BZ21" i="24" s="1"/>
  <c r="J21" i="24"/>
  <c r="K230" i="24"/>
  <c r="T204" i="25"/>
  <c r="M247" i="24"/>
  <c r="U247" i="24" s="1"/>
  <c r="BQ221" i="25"/>
  <c r="AH278" i="25"/>
  <c r="BI260" i="25"/>
  <c r="AP312" i="24"/>
  <c r="BQ184" i="25"/>
  <c r="AH184" i="25"/>
  <c r="AH75" i="25"/>
  <c r="BK80" i="24"/>
  <c r="S80" i="24"/>
  <c r="T80" i="24" s="1"/>
  <c r="BQ309" i="25"/>
  <c r="BI39" i="25"/>
  <c r="AH39" i="25"/>
  <c r="AH316" i="25"/>
  <c r="BQ243" i="25"/>
  <c r="AH199" i="25"/>
  <c r="AH155" i="25"/>
  <c r="BQ45" i="25"/>
  <c r="BK239" i="24"/>
  <c r="S239" i="24"/>
  <c r="T239" i="24" s="1"/>
  <c r="M239" i="24"/>
  <c r="U239" i="24" s="1"/>
  <c r="BI139" i="25"/>
  <c r="N139" i="25"/>
  <c r="AH18" i="25"/>
  <c r="BI67" i="25"/>
  <c r="N67" i="25"/>
  <c r="AH67" i="25"/>
  <c r="BI288" i="25"/>
  <c r="N288" i="25"/>
  <c r="AH64" i="25"/>
  <c r="AH310" i="25"/>
  <c r="AH17" i="25"/>
  <c r="BQ56" i="25"/>
  <c r="BQ222" i="25"/>
  <c r="AH291" i="25"/>
  <c r="M80" i="24"/>
  <c r="P236" i="24"/>
  <c r="Q236" i="24"/>
  <c r="AO110" i="25"/>
  <c r="R110" i="25"/>
  <c r="S110" i="25"/>
  <c r="K110" i="25" s="1"/>
  <c r="Q110" i="25"/>
  <c r="N45" i="25"/>
  <c r="T45" i="25" s="1"/>
  <c r="N115" i="25"/>
  <c r="N142" i="25"/>
  <c r="N251" i="25"/>
  <c r="N39" i="25"/>
  <c r="M128" i="24"/>
  <c r="N128" i="24" s="1"/>
  <c r="AP128" i="24" s="1"/>
  <c r="M35" i="24"/>
  <c r="N35" i="24" s="1"/>
  <c r="M301" i="24"/>
  <c r="N301" i="24" s="1"/>
  <c r="AP301" i="24" s="1"/>
  <c r="M315" i="24"/>
  <c r="U315" i="24" s="1"/>
  <c r="N223" i="25"/>
  <c r="AP190" i="24"/>
  <c r="BK192" i="24"/>
  <c r="S192" i="24"/>
  <c r="T192" i="24" s="1"/>
  <c r="M192" i="24"/>
  <c r="N192" i="24" s="1"/>
  <c r="AP192" i="24" s="1"/>
  <c r="BK198" i="24"/>
  <c r="S198" i="24"/>
  <c r="T198" i="24" s="1"/>
  <c r="M198" i="24"/>
  <c r="N198" i="24" s="1"/>
  <c r="AP198" i="24" s="1"/>
  <c r="BI246" i="25"/>
  <c r="BI145" i="25"/>
  <c r="N145" i="25"/>
  <c r="T145" i="25" s="1"/>
  <c r="BK241" i="24"/>
  <c r="S241" i="24"/>
  <c r="T241" i="24" s="1"/>
  <c r="M241" i="24"/>
  <c r="AH120" i="25"/>
  <c r="AH176" i="25"/>
  <c r="AH218" i="25"/>
  <c r="BK102" i="24"/>
  <c r="S102" i="24"/>
  <c r="T102" i="24" s="1"/>
  <c r="M102" i="24"/>
  <c r="N102" i="24" s="1"/>
  <c r="BK194" i="24"/>
  <c r="S194" i="24"/>
  <c r="T194" i="24" s="1"/>
  <c r="M194" i="24"/>
  <c r="BI236" i="25"/>
  <c r="N236" i="25"/>
  <c r="T236" i="25" s="1"/>
  <c r="AH245" i="25"/>
  <c r="AO129" i="25"/>
  <c r="AH129" i="25"/>
  <c r="BI126" i="25"/>
  <c r="AH219" i="25"/>
  <c r="AH104" i="25"/>
  <c r="BK73" i="24"/>
  <c r="S73" i="24"/>
  <c r="T73" i="24" s="1"/>
  <c r="M73" i="24"/>
  <c r="N73" i="24" s="1"/>
  <c r="BK76" i="24"/>
  <c r="S76" i="24"/>
  <c r="T76" i="24" s="1"/>
  <c r="U182" i="24"/>
  <c r="BI82" i="25"/>
  <c r="BK34" i="24"/>
  <c r="S34" i="24"/>
  <c r="T34" i="24" s="1"/>
  <c r="BK154" i="24"/>
  <c r="S154" i="24"/>
  <c r="T154" i="24" s="1"/>
  <c r="BK144" i="24"/>
  <c r="S144" i="24"/>
  <c r="T144" i="24" s="1"/>
  <c r="BI281" i="25"/>
  <c r="BK112" i="24"/>
  <c r="S112" i="24"/>
  <c r="T112" i="24" s="1"/>
  <c r="P190" i="25"/>
  <c r="O190" i="25"/>
  <c r="Q188" i="24"/>
  <c r="P188" i="24"/>
  <c r="P198" i="25"/>
  <c r="O198" i="25"/>
  <c r="AH290" i="25"/>
  <c r="BK150" i="24"/>
  <c r="S150" i="24"/>
  <c r="T150" i="24" s="1"/>
  <c r="BK13" i="24"/>
  <c r="S13" i="24"/>
  <c r="T13" i="24" s="1"/>
  <c r="AH306" i="25"/>
  <c r="P219" i="24"/>
  <c r="Q219" i="24"/>
  <c r="BI65" i="25"/>
  <c r="P305" i="25"/>
  <c r="O305" i="25"/>
  <c r="AO305" i="25" s="1"/>
  <c r="BI147" i="25"/>
  <c r="BI254" i="25"/>
  <c r="AH102" i="25"/>
  <c r="BK115" i="24"/>
  <c r="S115" i="24"/>
  <c r="T115" i="24" s="1"/>
  <c r="BI31" i="25"/>
  <c r="Q44" i="24"/>
  <c r="R44" i="24" s="1"/>
  <c r="P44" i="24"/>
  <c r="AP43" i="24"/>
  <c r="P127" i="24"/>
  <c r="Q127" i="24"/>
  <c r="BK300" i="24"/>
  <c r="S300" i="24"/>
  <c r="T300" i="24" s="1"/>
  <c r="BK49" i="24"/>
  <c r="S49" i="24"/>
  <c r="T49" i="24" s="1"/>
  <c r="BI181" i="25"/>
  <c r="L181" i="25"/>
  <c r="K136" i="24"/>
  <c r="M98" i="24"/>
  <c r="N98" i="24" s="1"/>
  <c r="BK238" i="24"/>
  <c r="S238" i="24"/>
  <c r="T238" i="24" s="1"/>
  <c r="P177" i="25"/>
  <c r="O177" i="25"/>
  <c r="J162" i="24"/>
  <c r="O162" i="24"/>
  <c r="BZ162" i="24" s="1"/>
  <c r="BK237" i="24"/>
  <c r="S237" i="24"/>
  <c r="T237" i="24" s="1"/>
  <c r="BK175" i="24"/>
  <c r="S175" i="24"/>
  <c r="T175" i="24" s="1"/>
  <c r="M175" i="24"/>
  <c r="N175" i="24" s="1"/>
  <c r="AP175" i="24" s="1"/>
  <c r="BI85" i="25"/>
  <c r="N85" i="25"/>
  <c r="T85" i="25" s="1"/>
  <c r="BI57" i="25"/>
  <c r="N57" i="25"/>
  <c r="T57" i="25" s="1"/>
  <c r="BI153" i="25"/>
  <c r="N153" i="25"/>
  <c r="T153" i="25" s="1"/>
  <c r="AH286" i="25"/>
  <c r="L119" i="25"/>
  <c r="BI69" i="25"/>
  <c r="N69" i="25"/>
  <c r="T69" i="25" s="1"/>
  <c r="BK235" i="24"/>
  <c r="S235" i="24"/>
  <c r="T235" i="24" s="1"/>
  <c r="M235" i="24"/>
  <c r="AH299" i="25"/>
  <c r="BI146" i="25"/>
  <c r="N146" i="25"/>
  <c r="T146" i="25" s="1"/>
  <c r="AH224" i="25"/>
  <c r="BK197" i="24"/>
  <c r="S197" i="24"/>
  <c r="T197" i="24" s="1"/>
  <c r="BK127" i="24"/>
  <c r="S127" i="24"/>
  <c r="T127" i="24" s="1"/>
  <c r="BK199" i="24"/>
  <c r="S199" i="24"/>
  <c r="T199" i="24" s="1"/>
  <c r="AH14" i="25"/>
  <c r="L187" i="25"/>
  <c r="BK65" i="24"/>
  <c r="S65" i="24"/>
  <c r="T65" i="24" s="1"/>
  <c r="L267" i="25"/>
  <c r="BI43" i="25"/>
  <c r="N43" i="25"/>
  <c r="T43" i="25" s="1"/>
  <c r="BI118" i="25"/>
  <c r="L118" i="25"/>
  <c r="BK69" i="24"/>
  <c r="S69" i="24"/>
  <c r="T69" i="24" s="1"/>
  <c r="M69" i="24"/>
  <c r="N69" i="24" s="1"/>
  <c r="AP69" i="24" s="1"/>
  <c r="AH227" i="25"/>
  <c r="U61" i="24"/>
  <c r="AH259" i="25"/>
  <c r="AH287" i="25"/>
  <c r="BQ90" i="25"/>
  <c r="BI285" i="25"/>
  <c r="BI166" i="25"/>
  <c r="BK48" i="24"/>
  <c r="S48" i="24"/>
  <c r="T48" i="24" s="1"/>
  <c r="M65" i="24"/>
  <c r="N65" i="24" s="1"/>
  <c r="AP65" i="24" s="1"/>
  <c r="BI124" i="25"/>
  <c r="AH248" i="25"/>
  <c r="BQ223" i="25"/>
  <c r="AH223" i="25"/>
  <c r="BK270" i="24"/>
  <c r="S270" i="24"/>
  <c r="T270" i="24" s="1"/>
  <c r="BI184" i="25"/>
  <c r="L184" i="25"/>
  <c r="BI63" i="25"/>
  <c r="N63" i="25"/>
  <c r="BI309" i="25"/>
  <c r="AH309" i="25"/>
  <c r="BK196" i="24"/>
  <c r="S196" i="24"/>
  <c r="T196" i="24" s="1"/>
  <c r="BK242" i="24"/>
  <c r="S242" i="24"/>
  <c r="T242" i="24" s="1"/>
  <c r="L316" i="25"/>
  <c r="L298" i="25"/>
  <c r="BI233" i="25"/>
  <c r="AH233" i="25"/>
  <c r="BQ155" i="25"/>
  <c r="BI54" i="25"/>
  <c r="N54" i="25"/>
  <c r="T54" i="25" s="1"/>
  <c r="BK169" i="24"/>
  <c r="S169" i="24"/>
  <c r="T169" i="24" s="1"/>
  <c r="AP88" i="24"/>
  <c r="M295" i="24"/>
  <c r="N295" i="24" s="1"/>
  <c r="L54" i="25"/>
  <c r="AH156" i="25"/>
  <c r="AH79" i="25"/>
  <c r="L51" i="25"/>
  <c r="BK60" i="24"/>
  <c r="S60" i="24"/>
  <c r="T60" i="24" s="1"/>
  <c r="M60" i="24"/>
  <c r="N60" i="24" s="1"/>
  <c r="BQ64" i="25"/>
  <c r="AH231" i="25"/>
  <c r="AH19" i="25"/>
  <c r="BK66" i="24"/>
  <c r="S66" i="24"/>
  <c r="T66" i="24" s="1"/>
  <c r="M66" i="24"/>
  <c r="N66" i="24" s="1"/>
  <c r="BI284" i="25"/>
  <c r="N284" i="25"/>
  <c r="T284" i="25" s="1"/>
  <c r="AH284" i="25"/>
  <c r="BK207" i="24"/>
  <c r="S207" i="24"/>
  <c r="T207" i="24" s="1"/>
  <c r="M207" i="24"/>
  <c r="N207" i="24" s="1"/>
  <c r="AP207" i="24" s="1"/>
  <c r="BI252" i="25"/>
  <c r="N252" i="25"/>
  <c r="T252" i="25" s="1"/>
  <c r="BQ154" i="25"/>
  <c r="U30" i="24"/>
  <c r="AP30" i="24"/>
  <c r="U72" i="24"/>
  <c r="BQ291" i="25"/>
  <c r="M89" i="24"/>
  <c r="M184" i="24"/>
  <c r="O236" i="24"/>
  <c r="BZ236" i="24" s="1"/>
  <c r="J236" i="24"/>
  <c r="M299" i="24"/>
  <c r="N299" i="24" s="1"/>
  <c r="N316" i="25"/>
  <c r="T316" i="25" s="1"/>
  <c r="N12" i="25"/>
  <c r="N88" i="25"/>
  <c r="T88" i="25" s="1"/>
  <c r="M23" i="24"/>
  <c r="N23" i="24" s="1"/>
  <c r="M49" i="24"/>
  <c r="N49" i="24" s="1"/>
  <c r="AP49" i="24" s="1"/>
  <c r="J264" i="24"/>
  <c r="O264" i="24"/>
  <c r="BZ264" i="24" s="1"/>
  <c r="M112" i="24"/>
  <c r="N112" i="24" s="1"/>
  <c r="AP112" i="24" s="1"/>
  <c r="AP257" i="24"/>
  <c r="BK125" i="24"/>
  <c r="S125" i="24"/>
  <c r="T125" i="24" s="1"/>
  <c r="M125" i="24"/>
  <c r="N125" i="24" s="1"/>
  <c r="AP125" i="24" s="1"/>
  <c r="AH164" i="25"/>
  <c r="AH202" i="25"/>
  <c r="BK268" i="24"/>
  <c r="S268" i="24"/>
  <c r="T268" i="24" s="1"/>
  <c r="BK54" i="24"/>
  <c r="S54" i="24"/>
  <c r="T54" i="24" s="1"/>
  <c r="M54" i="24"/>
  <c r="AP68" i="24"/>
  <c r="AH165" i="25"/>
  <c r="BI26" i="25"/>
  <c r="BK267" i="24"/>
  <c r="S267" i="24"/>
  <c r="T267" i="24" s="1"/>
  <c r="M267" i="24"/>
  <c r="N267" i="24" s="1"/>
  <c r="AP62" i="24"/>
  <c r="AH83" i="25"/>
  <c r="AP147" i="24"/>
  <c r="M177" i="24"/>
  <c r="N177" i="24" s="1"/>
  <c r="AP177" i="24" s="1"/>
  <c r="N203" i="25"/>
  <c r="AH159" i="25"/>
  <c r="AH185" i="25"/>
  <c r="BI206" i="25"/>
  <c r="BK20" i="24"/>
  <c r="S20" i="24"/>
  <c r="T20" i="24" s="1"/>
  <c r="BI300" i="25"/>
  <c r="N300" i="25"/>
  <c r="T300" i="25" s="1"/>
  <c r="BI122" i="25"/>
  <c r="AP21" i="24"/>
  <c r="K163" i="24"/>
  <c r="L246" i="25"/>
  <c r="U190" i="24"/>
  <c r="BK118" i="24"/>
  <c r="S118" i="24"/>
  <c r="T118" i="24" s="1"/>
  <c r="N176" i="25"/>
  <c r="T176" i="25" s="1"/>
  <c r="BI176" i="25"/>
  <c r="BI279" i="25"/>
  <c r="N279" i="25"/>
  <c r="T279" i="25" s="1"/>
  <c r="Q22" i="24"/>
  <c r="R22" i="24" s="1"/>
  <c r="P22" i="24"/>
  <c r="BK133" i="24"/>
  <c r="S133" i="24"/>
  <c r="T133" i="24" s="1"/>
  <c r="BK167" i="24"/>
  <c r="S167" i="24"/>
  <c r="T167" i="24" s="1"/>
  <c r="BK255" i="24"/>
  <c r="S255" i="24"/>
  <c r="T255" i="24" s="1"/>
  <c r="BK146" i="24"/>
  <c r="S146" i="24"/>
  <c r="T146" i="24" s="1"/>
  <c r="M146" i="24"/>
  <c r="AH137" i="25"/>
  <c r="BK38" i="24"/>
  <c r="S38" i="24"/>
  <c r="T38" i="24" s="1"/>
  <c r="M38" i="24"/>
  <c r="K267" i="24"/>
  <c r="BK131" i="24"/>
  <c r="M131" i="24"/>
  <c r="S131" i="24"/>
  <c r="T131" i="24" s="1"/>
  <c r="BK282" i="24"/>
  <c r="S282" i="24"/>
  <c r="T282" i="24" s="1"/>
  <c r="M282" i="24"/>
  <c r="U282" i="24" s="1"/>
  <c r="BK97" i="24"/>
  <c r="S97" i="24"/>
  <c r="T97" i="24" s="1"/>
  <c r="K176" i="24"/>
  <c r="K179" i="24"/>
  <c r="O190" i="24"/>
  <c r="BZ190" i="24" s="1"/>
  <c r="J190" i="24"/>
  <c r="N271" i="25"/>
  <c r="T271" i="25" s="1"/>
  <c r="AH271" i="25"/>
  <c r="BI219" i="25"/>
  <c r="BK16" i="24"/>
  <c r="S16" i="24"/>
  <c r="T16" i="24" s="1"/>
  <c r="T82" i="25"/>
  <c r="BK231" i="24"/>
  <c r="S231" i="24"/>
  <c r="T231" i="24" s="1"/>
  <c r="L175" i="25"/>
  <c r="BQ281" i="25"/>
  <c r="BK25" i="24"/>
  <c r="S25" i="24"/>
  <c r="T25" i="24" s="1"/>
  <c r="M104" i="24"/>
  <c r="N104" i="24" s="1"/>
  <c r="BK188" i="24"/>
  <c r="S188" i="24"/>
  <c r="T188" i="24" s="1"/>
  <c r="U150" i="24"/>
  <c r="K208" i="24"/>
  <c r="L263" i="25"/>
  <c r="BI167" i="25"/>
  <c r="Q121" i="24"/>
  <c r="P121" i="24"/>
  <c r="Q72" i="24"/>
  <c r="R72" i="24" s="1"/>
  <c r="P72" i="24"/>
  <c r="BK153" i="24"/>
  <c r="S153" i="24"/>
  <c r="T153" i="24" s="1"/>
  <c r="BI148" i="25"/>
  <c r="AH144" i="25"/>
  <c r="T147" i="25"/>
  <c r="J292" i="24"/>
  <c r="O292" i="24"/>
  <c r="BZ292" i="24" s="1"/>
  <c r="T31" i="25"/>
  <c r="BK84" i="24"/>
  <c r="S84" i="24"/>
  <c r="T84" i="24" s="1"/>
  <c r="BK58" i="24"/>
  <c r="S58" i="24"/>
  <c r="T58" i="24" s="1"/>
  <c r="BK308" i="24"/>
  <c r="S308" i="24"/>
  <c r="T308" i="24" s="1"/>
  <c r="BK42" i="24"/>
  <c r="S42" i="24"/>
  <c r="T42" i="24" s="1"/>
  <c r="M42" i="24"/>
  <c r="BK306" i="24"/>
  <c r="S306" i="24"/>
  <c r="T306" i="24" s="1"/>
  <c r="AH45" i="25"/>
  <c r="AH101" i="25"/>
  <c r="BK183" i="24"/>
  <c r="S183" i="24"/>
  <c r="T183" i="24" s="1"/>
  <c r="M183" i="24"/>
  <c r="BI229" i="25"/>
  <c r="K301" i="24"/>
  <c r="AH47" i="25"/>
  <c r="AH112" i="25"/>
  <c r="N10" i="25"/>
  <c r="BI25" i="25"/>
  <c r="BI87" i="25"/>
  <c r="BI62" i="25"/>
  <c r="L62" i="25"/>
  <c r="AH48" i="25"/>
  <c r="AH85" i="25"/>
  <c r="L98" i="25"/>
  <c r="BI123" i="25"/>
  <c r="N123" i="25"/>
  <c r="L123" i="25"/>
  <c r="AH149" i="25"/>
  <c r="AH127" i="25"/>
  <c r="P34" i="25"/>
  <c r="O34" i="25"/>
  <c r="L308" i="25"/>
  <c r="AH36" i="25"/>
  <c r="L256" i="25"/>
  <c r="BI41" i="25"/>
  <c r="N41" i="25"/>
  <c r="BK26" i="24"/>
  <c r="S26" i="24"/>
  <c r="T26" i="24" s="1"/>
  <c r="M26" i="24"/>
  <c r="L27" i="25"/>
  <c r="BK249" i="24"/>
  <c r="S249" i="24"/>
  <c r="T249" i="24" s="1"/>
  <c r="M249" i="24"/>
  <c r="U249" i="24" s="1"/>
  <c r="AH28" i="25"/>
  <c r="AH255" i="25"/>
  <c r="U199" i="24"/>
  <c r="K244" i="24"/>
  <c r="AH267" i="25"/>
  <c r="P233" i="24"/>
  <c r="Q233" i="24"/>
  <c r="M71" i="24"/>
  <c r="BQ126" i="25"/>
  <c r="BI96" i="25"/>
  <c r="BK61" i="24"/>
  <c r="S61" i="24"/>
  <c r="T61" i="24" s="1"/>
  <c r="AP61" i="24"/>
  <c r="BK180" i="24"/>
  <c r="S180" i="24"/>
  <c r="T180" i="24" s="1"/>
  <c r="L314" i="25"/>
  <c r="BI90" i="25"/>
  <c r="BQ285" i="25"/>
  <c r="AH285" i="25"/>
  <c r="L166" i="25"/>
  <c r="BQ201" i="25"/>
  <c r="AP48" i="24"/>
  <c r="BI282" i="25"/>
  <c r="K172" i="24"/>
  <c r="AP172" i="24"/>
  <c r="BI302" i="25"/>
  <c r="BI262" i="25"/>
  <c r="P132" i="24"/>
  <c r="Q132" i="24"/>
  <c r="M255" i="24"/>
  <c r="U255" i="24" s="1"/>
  <c r="N26" i="25"/>
  <c r="AP290" i="24"/>
  <c r="L221" i="25"/>
  <c r="K275" i="24"/>
  <c r="BI95" i="25"/>
  <c r="L63" i="25"/>
  <c r="BK210" i="24"/>
  <c r="S210" i="24"/>
  <c r="T210" i="24" s="1"/>
  <c r="BI33" i="25"/>
  <c r="L33" i="25"/>
  <c r="BI228" i="25"/>
  <c r="AH228" i="25"/>
  <c r="L233" i="25"/>
  <c r="AH138" i="25"/>
  <c r="BI155" i="25"/>
  <c r="BI170" i="25"/>
  <c r="AH170" i="25"/>
  <c r="BQ296" i="25"/>
  <c r="BI169" i="25"/>
  <c r="N169" i="25"/>
  <c r="P45" i="24"/>
  <c r="Q45" i="24"/>
  <c r="R45" i="24" s="1"/>
  <c r="BK52" i="24"/>
  <c r="S52" i="24"/>
  <c r="T52" i="24" s="1"/>
  <c r="AP52" i="24"/>
  <c r="BI273" i="25"/>
  <c r="AH273" i="25"/>
  <c r="BI79" i="25"/>
  <c r="N79" i="25"/>
  <c r="L79" i="25"/>
  <c r="L18" i="25"/>
  <c r="BI72" i="25"/>
  <c r="N72" i="25"/>
  <c r="M284" i="24"/>
  <c r="N284" i="24" s="1"/>
  <c r="BK113" i="24"/>
  <c r="S113" i="24"/>
  <c r="T113" i="24" s="1"/>
  <c r="M113" i="24"/>
  <c r="AH288" i="25"/>
  <c r="AH253" i="25"/>
  <c r="BI64" i="25"/>
  <c r="N64" i="25"/>
  <c r="T64" i="25" s="1"/>
  <c r="L64" i="25"/>
  <c r="BK29" i="24"/>
  <c r="S29" i="24"/>
  <c r="T29" i="24" s="1"/>
  <c r="M29" i="24"/>
  <c r="BK124" i="24"/>
  <c r="S124" i="24"/>
  <c r="T124" i="24" s="1"/>
  <c r="M124" i="24"/>
  <c r="N124" i="24" s="1"/>
  <c r="BK140" i="24"/>
  <c r="S140" i="24"/>
  <c r="T140" i="24" s="1"/>
  <c r="M140" i="24"/>
  <c r="BQ252" i="25"/>
  <c r="BK219" i="24"/>
  <c r="S219" i="24"/>
  <c r="T219" i="24" s="1"/>
  <c r="BI154" i="25"/>
  <c r="BK30" i="24"/>
  <c r="S30" i="24"/>
  <c r="T30" i="24" s="1"/>
  <c r="BI291" i="25"/>
  <c r="N233" i="25"/>
  <c r="T233" i="25" s="1"/>
  <c r="N307" i="25"/>
  <c r="M196" i="24"/>
  <c r="N196" i="24" s="1"/>
  <c r="M153" i="24"/>
  <c r="N260" i="25"/>
  <c r="N65" i="25"/>
  <c r="T65" i="25" s="1"/>
  <c r="N263" i="25"/>
  <c r="T263" i="25" s="1"/>
  <c r="M161" i="24"/>
  <c r="N166" i="25"/>
  <c r="T166" i="25" s="1"/>
  <c r="M203" i="24"/>
  <c r="M308" i="24"/>
  <c r="U308" i="24" s="1"/>
  <c r="N264" i="25"/>
  <c r="N116" i="25"/>
  <c r="AH192" i="25"/>
  <c r="BI93" i="25"/>
  <c r="N93" i="25"/>
  <c r="BK62" i="24"/>
  <c r="S62" i="24"/>
  <c r="T62" i="24" s="1"/>
  <c r="Q190" i="24"/>
  <c r="P190" i="24"/>
  <c r="P7" i="24"/>
  <c r="Q7" i="24"/>
  <c r="R7" i="24" s="1"/>
  <c r="P68" i="24"/>
  <c r="Q68" i="24"/>
  <c r="R68" i="24" s="1"/>
  <c r="BK123" i="24"/>
  <c r="S123" i="24"/>
  <c r="T123" i="24" s="1"/>
  <c r="M123" i="24"/>
  <c r="AH169" i="25"/>
  <c r="BI23" i="25"/>
  <c r="BK145" i="24"/>
  <c r="S145" i="24"/>
  <c r="T145" i="24" s="1"/>
  <c r="M145" i="24"/>
  <c r="BI232" i="25"/>
  <c r="L232" i="25"/>
  <c r="BI105" i="25"/>
  <c r="N105" i="25"/>
  <c r="BI182" i="25"/>
  <c r="BK223" i="24"/>
  <c r="S223" i="24"/>
  <c r="T223" i="24" s="1"/>
  <c r="AH9" i="25"/>
  <c r="Q225" i="24"/>
  <c r="P225" i="24"/>
  <c r="U133" i="24"/>
  <c r="AP133" i="24"/>
  <c r="BK276" i="24"/>
  <c r="S276" i="24"/>
  <c r="T276" i="24" s="1"/>
  <c r="AH37" i="25"/>
  <c r="AP307" i="24"/>
  <c r="BK295" i="24"/>
  <c r="S295" i="24"/>
  <c r="T295" i="24" s="1"/>
  <c r="BK206" i="24"/>
  <c r="S206" i="24"/>
  <c r="T206" i="24" s="1"/>
  <c r="M206" i="24"/>
  <c r="AH11" i="25"/>
  <c r="L176" i="25"/>
  <c r="BK116" i="24"/>
  <c r="S116" i="24"/>
  <c r="T116" i="24" s="1"/>
  <c r="BK130" i="24"/>
  <c r="S130" i="24"/>
  <c r="T130" i="24" s="1"/>
  <c r="BK286" i="24"/>
  <c r="S286" i="24"/>
  <c r="T286" i="24" s="1"/>
  <c r="AP225" i="24"/>
  <c r="AH30" i="25"/>
  <c r="BK157" i="24"/>
  <c r="S157" i="24"/>
  <c r="T157" i="24" s="1"/>
  <c r="BK253" i="24"/>
  <c r="S253" i="24"/>
  <c r="T253" i="24" s="1"/>
  <c r="N37" i="25"/>
  <c r="T37" i="25" s="1"/>
  <c r="AH265" i="25"/>
  <c r="BI197" i="25"/>
  <c r="N197" i="25"/>
  <c r="AH197" i="25"/>
  <c r="BI130" i="25"/>
  <c r="N130" i="25"/>
  <c r="T130" i="25" s="1"/>
  <c r="BK141" i="24"/>
  <c r="S141" i="24"/>
  <c r="T141" i="24" s="1"/>
  <c r="M141" i="24"/>
  <c r="U76" i="24"/>
  <c r="AH297" i="25"/>
  <c r="BI150" i="25"/>
  <c r="N150" i="25"/>
  <c r="T150" i="25" s="1"/>
  <c r="BK92" i="24"/>
  <c r="S92" i="24"/>
  <c r="T92" i="24" s="1"/>
  <c r="BI92" i="25"/>
  <c r="K144" i="24"/>
  <c r="BI15" i="25"/>
  <c r="N15" i="25"/>
  <c r="T15" i="25" s="1"/>
  <c r="BK159" i="24"/>
  <c r="S159" i="24"/>
  <c r="T159" i="24" s="1"/>
  <c r="BI198" i="25"/>
  <c r="AH117" i="25"/>
  <c r="BI55" i="25"/>
  <c r="AH55" i="25"/>
  <c r="BI251" i="25"/>
  <c r="AH251" i="25"/>
  <c r="BK59" i="24"/>
  <c r="S59" i="24"/>
  <c r="T59" i="24" s="1"/>
  <c r="P30" i="24"/>
  <c r="Q30" i="24"/>
  <c r="R30" i="24" s="1"/>
  <c r="AH292" i="25"/>
  <c r="AH220" i="25"/>
  <c r="AH147" i="25"/>
  <c r="AH86" i="25"/>
  <c r="R129" i="25"/>
  <c r="S129" i="25"/>
  <c r="K129" i="25" s="1"/>
  <c r="Q129" i="25"/>
  <c r="P191" i="24"/>
  <c r="Q191" i="24"/>
  <c r="AH31" i="25"/>
  <c r="AP181" i="24"/>
  <c r="BK271" i="24"/>
  <c r="S271" i="24"/>
  <c r="T271" i="24" s="1"/>
  <c r="AH307" i="25"/>
  <c r="BK218" i="24"/>
  <c r="S218" i="24"/>
  <c r="T218" i="24" s="1"/>
  <c r="BK193" i="24"/>
  <c r="S193" i="24"/>
  <c r="T193" i="24" s="1"/>
  <c r="BI134" i="25"/>
  <c r="BQ25" i="25"/>
  <c r="BQ62" i="25"/>
  <c r="BQ92" i="25"/>
  <c r="L85" i="25"/>
  <c r="BI127" i="25"/>
  <c r="N127" i="25"/>
  <c r="T127" i="25" s="1"/>
  <c r="AH153" i="25"/>
  <c r="AH196" i="25"/>
  <c r="P61" i="24"/>
  <c r="Q61" i="24"/>
  <c r="R61" i="24" s="1"/>
  <c r="BK288" i="24"/>
  <c r="S288" i="24"/>
  <c r="T288" i="24" s="1"/>
  <c r="M288" i="24"/>
  <c r="U288" i="24" s="1"/>
  <c r="BQ7" i="25"/>
  <c r="Q172" i="24"/>
  <c r="P172" i="24"/>
  <c r="AH293" i="25"/>
  <c r="BI224" i="25"/>
  <c r="N224" i="25"/>
  <c r="BI313" i="25"/>
  <c r="AH313" i="25"/>
  <c r="BK149" i="24"/>
  <c r="S149" i="24"/>
  <c r="T149" i="24" s="1"/>
  <c r="BK303" i="24"/>
  <c r="S303" i="24"/>
  <c r="T303" i="24" s="1"/>
  <c r="AH59" i="25"/>
  <c r="AH183" i="25"/>
  <c r="BI49" i="25"/>
  <c r="AH32" i="25"/>
  <c r="U127" i="24"/>
  <c r="AP53" i="24"/>
  <c r="BK77" i="24"/>
  <c r="S77" i="24"/>
  <c r="T77" i="24" s="1"/>
  <c r="N210" i="25"/>
  <c r="N126" i="25"/>
  <c r="T126" i="25" s="1"/>
  <c r="L126" i="25"/>
  <c r="BK31" i="24"/>
  <c r="S31" i="24"/>
  <c r="T31" i="24" s="1"/>
  <c r="M31" i="24"/>
  <c r="N31" i="24" s="1"/>
  <c r="AP31" i="24" s="1"/>
  <c r="BI34" i="25"/>
  <c r="L34" i="25"/>
  <c r="BI314" i="25"/>
  <c r="BI201" i="25"/>
  <c r="U48" i="24"/>
  <c r="AH282" i="25"/>
  <c r="BK79" i="24"/>
  <c r="S79" i="24"/>
  <c r="T79" i="24" s="1"/>
  <c r="BK248" i="24"/>
  <c r="S248" i="24"/>
  <c r="T248" i="24" s="1"/>
  <c r="BI272" i="25"/>
  <c r="AH305" i="25"/>
  <c r="J132" i="24"/>
  <c r="O132" i="24"/>
  <c r="BZ132" i="24" s="1"/>
  <c r="M230" i="24"/>
  <c r="AH204" i="25"/>
  <c r="BK120" i="24"/>
  <c r="S120" i="24"/>
  <c r="T120" i="24" s="1"/>
  <c r="BK299" i="24"/>
  <c r="S299" i="24"/>
  <c r="T299" i="24" s="1"/>
  <c r="K299" i="24"/>
  <c r="BI278" i="25"/>
  <c r="BK240" i="24"/>
  <c r="S240" i="24"/>
  <c r="T240" i="24" s="1"/>
  <c r="AH95" i="25"/>
  <c r="AH111" i="25"/>
  <c r="BQ33" i="25"/>
  <c r="BQ228" i="25"/>
  <c r="L309" i="25"/>
  <c r="K135" i="24"/>
  <c r="BK173" i="24"/>
  <c r="S173" i="24"/>
  <c r="T173" i="24" s="1"/>
  <c r="K242" i="24"/>
  <c r="BQ170" i="25"/>
  <c r="AH296" i="25"/>
  <c r="Q52" i="24"/>
  <c r="R52" i="24" s="1"/>
  <c r="P52" i="24"/>
  <c r="BI205" i="25"/>
  <c r="N205" i="25"/>
  <c r="BI312" i="25"/>
  <c r="N312" i="25"/>
  <c r="T312" i="25" s="1"/>
  <c r="AH139" i="25"/>
  <c r="BK148" i="24"/>
  <c r="S148" i="24"/>
  <c r="T148" i="24" s="1"/>
  <c r="M148" i="24"/>
  <c r="BK155" i="24"/>
  <c r="S155" i="24"/>
  <c r="T155" i="24" s="1"/>
  <c r="M155" i="24"/>
  <c r="N155" i="24" s="1"/>
  <c r="AP155" i="24" s="1"/>
  <c r="N253" i="25"/>
  <c r="T253" i="25" s="1"/>
  <c r="BI253" i="25"/>
  <c r="AH100" i="25"/>
  <c r="BI84" i="25"/>
  <c r="N84" i="25"/>
  <c r="L84" i="25"/>
  <c r="BQ19" i="25"/>
  <c r="AH60" i="25"/>
  <c r="AH191" i="25"/>
  <c r="BI303" i="25"/>
  <c r="N303" i="25"/>
  <c r="L17" i="25"/>
  <c r="M59" i="24"/>
  <c r="BK209" i="24"/>
  <c r="S209" i="24"/>
  <c r="T209" i="24" s="1"/>
  <c r="M209" i="24"/>
  <c r="BI250" i="25"/>
  <c r="N250" i="25"/>
  <c r="T250" i="25" s="1"/>
  <c r="AH252" i="25"/>
  <c r="AH136" i="25"/>
  <c r="AH103" i="25"/>
  <c r="AP121" i="24"/>
  <c r="K219" i="24"/>
  <c r="BK289" i="24"/>
  <c r="S289" i="24"/>
  <c r="T289" i="24" s="1"/>
  <c r="N175" i="25"/>
  <c r="N278" i="25"/>
  <c r="M135" i="24"/>
  <c r="N135" i="24" s="1"/>
  <c r="N242" i="25"/>
  <c r="M300" i="24"/>
  <c r="N300" i="24" s="1"/>
  <c r="N313" i="25"/>
  <c r="N172" i="25"/>
  <c r="T172" i="25" s="1"/>
  <c r="N33" i="25"/>
  <c r="T33" i="25" s="1"/>
  <c r="M144" i="24"/>
  <c r="N144" i="24" s="1"/>
  <c r="N221" i="25"/>
  <c r="N184" i="25"/>
  <c r="T184" i="25" s="1"/>
  <c r="N302" i="25"/>
  <c r="N90" i="25"/>
  <c r="M93" i="24"/>
  <c r="N118" i="25"/>
  <c r="N49" i="25"/>
  <c r="T49" i="25" s="1"/>
  <c r="N25" i="25"/>
  <c r="M13" i="24"/>
  <c r="N13" i="24" s="1"/>
  <c r="BI83" i="25"/>
  <c r="N83" i="25"/>
  <c r="T83" i="25" s="1"/>
  <c r="BK24" i="24"/>
  <c r="S24" i="24"/>
  <c r="T24" i="24" s="1"/>
  <c r="AH269" i="25"/>
  <c r="L159" i="25"/>
  <c r="AH151" i="25"/>
  <c r="BK291" i="24"/>
  <c r="S291" i="24"/>
  <c r="T291" i="24" s="1"/>
  <c r="M291" i="24"/>
  <c r="N291" i="24" s="1"/>
  <c r="BK195" i="24"/>
  <c r="S195" i="24"/>
  <c r="T195" i="24" s="1"/>
  <c r="AP162" i="24"/>
  <c r="BK163" i="24"/>
  <c r="S163" i="24"/>
  <c r="T163" i="24" s="1"/>
  <c r="AH210" i="25"/>
  <c r="AH180" i="25"/>
  <c r="T246" i="25"/>
  <c r="BK129" i="24"/>
  <c r="S129" i="24"/>
  <c r="T129" i="24" s="1"/>
  <c r="BK285" i="24"/>
  <c r="S285" i="24"/>
  <c r="T285" i="24" s="1"/>
  <c r="P21" i="24"/>
  <c r="Q21" i="24"/>
  <c r="R21" i="24" s="1"/>
  <c r="U129" i="24"/>
  <c r="K192" i="24"/>
  <c r="N180" i="25"/>
  <c r="T180" i="25" s="1"/>
  <c r="U177" i="25"/>
  <c r="BK179" i="24"/>
  <c r="S179" i="24"/>
  <c r="T179" i="24" s="1"/>
  <c r="M179" i="24"/>
  <c r="N179" i="24" s="1"/>
  <c r="BQ11" i="25"/>
  <c r="L137" i="25"/>
  <c r="N53" i="25"/>
  <c r="BI53" i="25"/>
  <c r="AH188" i="25"/>
  <c r="AH132" i="25"/>
  <c r="BK205" i="24"/>
  <c r="S205" i="24"/>
  <c r="T205" i="24" s="1"/>
  <c r="U205" i="24"/>
  <c r="BK147" i="24"/>
  <c r="S147" i="24"/>
  <c r="T147" i="24" s="1"/>
  <c r="AP22" i="24"/>
  <c r="AH236" i="25"/>
  <c r="AH266" i="25"/>
  <c r="AH300" i="25"/>
  <c r="BK304" i="24"/>
  <c r="S304" i="24"/>
  <c r="T304" i="24" s="1"/>
  <c r="M304" i="24"/>
  <c r="N304" i="24" s="1"/>
  <c r="AP304" i="24" s="1"/>
  <c r="BI99" i="25"/>
  <c r="N99" i="25"/>
  <c r="K245" i="24"/>
  <c r="BK27" i="24"/>
  <c r="S27" i="24"/>
  <c r="T27" i="24" s="1"/>
  <c r="AP27" i="24"/>
  <c r="K154" i="24"/>
  <c r="BK104" i="24"/>
  <c r="S104" i="24"/>
  <c r="T104" i="24" s="1"/>
  <c r="U188" i="24"/>
  <c r="M122" i="24"/>
  <c r="T198" i="25"/>
  <c r="K284" i="24"/>
  <c r="AP150" i="24"/>
  <c r="BI276" i="25"/>
  <c r="BK287" i="24"/>
  <c r="S287" i="24"/>
  <c r="T287" i="24" s="1"/>
  <c r="BK234" i="24"/>
  <c r="S234" i="24"/>
  <c r="T234" i="24" s="1"/>
  <c r="P170" i="25"/>
  <c r="O170" i="25"/>
  <c r="BI220" i="25"/>
  <c r="AH10" i="25"/>
  <c r="BI161" i="25"/>
  <c r="L102" i="25"/>
  <c r="BK151" i="24"/>
  <c r="S151" i="24"/>
  <c r="T151" i="24" s="1"/>
  <c r="J101" i="24"/>
  <c r="O101" i="24"/>
  <c r="BZ101" i="24" s="1"/>
  <c r="J191" i="24"/>
  <c r="O191" i="24"/>
  <c r="BZ191" i="24" s="1"/>
  <c r="BK51" i="24"/>
  <c r="S51" i="24"/>
  <c r="T51" i="24" s="1"/>
  <c r="BI311" i="25"/>
  <c r="BK311" i="24"/>
  <c r="S311" i="24"/>
  <c r="T311" i="24" s="1"/>
  <c r="M311" i="24"/>
  <c r="N311" i="24" s="1"/>
  <c r="BK220" i="24"/>
  <c r="S220" i="24"/>
  <c r="T220" i="24" s="1"/>
  <c r="L101" i="25"/>
  <c r="AH289" i="25"/>
  <c r="AH277" i="25"/>
  <c r="BK227" i="24"/>
  <c r="S227" i="24"/>
  <c r="T227" i="24" s="1"/>
  <c r="AH240" i="25"/>
  <c r="BI249" i="25"/>
  <c r="AH249" i="25"/>
  <c r="AH50" i="25"/>
  <c r="L47" i="25"/>
  <c r="BI121" i="25"/>
  <c r="AH216" i="25"/>
  <c r="BK305" i="24"/>
  <c r="S305" i="24"/>
  <c r="T305" i="24" s="1"/>
  <c r="AH113" i="25"/>
  <c r="U68" i="24"/>
  <c r="P62" i="25"/>
  <c r="O62" i="25"/>
  <c r="AH230" i="25"/>
  <c r="BK95" i="24"/>
  <c r="S95" i="24"/>
  <c r="T95" i="24" s="1"/>
  <c r="M95" i="24"/>
  <c r="AH35" i="25"/>
  <c r="BI48" i="25"/>
  <c r="N48" i="25"/>
  <c r="T48" i="25" s="1"/>
  <c r="AH91" i="25"/>
  <c r="BI20" i="25"/>
  <c r="N20" i="25"/>
  <c r="T20" i="25" s="1"/>
  <c r="L149" i="25"/>
  <c r="BK293" i="24"/>
  <c r="S293" i="24"/>
  <c r="T293" i="24" s="1"/>
  <c r="M293" i="24"/>
  <c r="N293" i="24" s="1"/>
  <c r="BK221" i="24"/>
  <c r="S221" i="24"/>
  <c r="T221" i="24" s="1"/>
  <c r="M221" i="24"/>
  <c r="N221" i="24" s="1"/>
  <c r="AP221" i="24" s="1"/>
  <c r="AH274" i="25"/>
  <c r="AH209" i="25"/>
  <c r="BI7" i="25"/>
  <c r="N7" i="25"/>
  <c r="T7" i="25" s="1"/>
  <c r="AH88" i="25"/>
  <c r="BI304" i="25"/>
  <c r="N125" i="25"/>
  <c r="P255" i="25"/>
  <c r="O255" i="25"/>
  <c r="M20" i="24"/>
  <c r="N20" i="24" s="1"/>
  <c r="BQ49" i="25"/>
  <c r="BQ32" i="25"/>
  <c r="BQ14" i="25"/>
  <c r="BI187" i="25"/>
  <c r="BI267" i="25"/>
  <c r="AH178" i="25"/>
  <c r="N165" i="25"/>
  <c r="AH174" i="25"/>
  <c r="BI21" i="25"/>
  <c r="T34" i="25"/>
  <c r="BI259" i="25"/>
  <c r="L259" i="25"/>
  <c r="BQ314" i="25"/>
  <c r="BK47" i="24"/>
  <c r="S47" i="24"/>
  <c r="T47" i="24" s="1"/>
  <c r="BQ172" i="25"/>
  <c r="BI78" i="25"/>
  <c r="K112" i="24"/>
  <c r="BQ272" i="25"/>
  <c r="L275" i="25"/>
  <c r="M171" i="24"/>
  <c r="N171" i="24" s="1"/>
  <c r="AP171" i="24" s="1"/>
  <c r="N73" i="25"/>
  <c r="BK290" i="24"/>
  <c r="S290" i="24"/>
  <c r="T290" i="24" s="1"/>
  <c r="BQ278" i="25"/>
  <c r="AH260" i="25"/>
  <c r="BI295" i="25"/>
  <c r="L295" i="25"/>
  <c r="K270" i="24"/>
  <c r="BK312" i="24"/>
  <c r="S312" i="24"/>
  <c r="T312" i="24" s="1"/>
  <c r="BI75" i="25"/>
  <c r="BI296" i="25"/>
  <c r="Q88" i="24"/>
  <c r="R88" i="24" s="1"/>
  <c r="P88" i="24"/>
  <c r="O45" i="24"/>
  <c r="BZ45" i="24" s="1"/>
  <c r="J45" i="24"/>
  <c r="BI46" i="25"/>
  <c r="N46" i="25"/>
  <c r="T46" i="25" s="1"/>
  <c r="AH68" i="25"/>
  <c r="BI19" i="25"/>
  <c r="N19" i="25"/>
  <c r="T19" i="25" s="1"/>
  <c r="BK105" i="24"/>
  <c r="S105" i="24"/>
  <c r="T105" i="24" s="1"/>
  <c r="M105" i="24"/>
  <c r="N105" i="24" s="1"/>
  <c r="BK316" i="24"/>
  <c r="S316" i="24"/>
  <c r="T316" i="24" s="1"/>
  <c r="M316" i="24"/>
  <c r="U316" i="24" s="1"/>
  <c r="L284" i="25"/>
  <c r="BQ191" i="25"/>
  <c r="BQ250" i="25"/>
  <c r="AH250" i="25"/>
  <c r="AH56" i="25"/>
  <c r="AH128" i="25"/>
  <c r="BI103" i="25"/>
  <c r="N103" i="25"/>
  <c r="L103" i="25"/>
  <c r="BK121" i="24"/>
  <c r="S121" i="24"/>
  <c r="T121" i="24" s="1"/>
  <c r="K121" i="24"/>
  <c r="AP219" i="24"/>
  <c r="N234" i="25"/>
  <c r="N66" i="25"/>
  <c r="N112" i="25"/>
  <c r="O44" i="24"/>
  <c r="BZ44" i="24" s="1"/>
  <c r="J44" i="24"/>
  <c r="O294" i="24"/>
  <c r="BZ294" i="24" s="1"/>
  <c r="J294" i="24"/>
  <c r="M173" i="24"/>
  <c r="N173" i="24" s="1"/>
  <c r="AP173" i="24" s="1"/>
  <c r="N47" i="25"/>
  <c r="M156" i="24"/>
  <c r="N156" i="24" s="1"/>
  <c r="M149" i="24"/>
  <c r="N228" i="25"/>
  <c r="N289" i="25"/>
  <c r="N249" i="25"/>
  <c r="N102" i="25"/>
  <c r="T102" i="25" s="1"/>
  <c r="N187" i="25"/>
  <c r="M139" i="24"/>
  <c r="N225" i="25"/>
  <c r="M58" i="24"/>
  <c r="N311" i="25"/>
  <c r="T311" i="25" s="1"/>
  <c r="M154" i="24"/>
  <c r="N154" i="24" s="1"/>
  <c r="N281" i="25"/>
  <c r="N55" i="25"/>
  <c r="BK96" i="24"/>
  <c r="S96" i="24"/>
  <c r="T96" i="24" s="1"/>
  <c r="M96" i="24"/>
  <c r="N96" i="24" s="1"/>
  <c r="AP96" i="24" s="1"/>
  <c r="BI266" i="25"/>
  <c r="N266" i="25"/>
  <c r="BK158" i="24"/>
  <c r="S158" i="24"/>
  <c r="T158" i="24" s="1"/>
  <c r="M158" i="24"/>
  <c r="AH237" i="25"/>
  <c r="AH195" i="25"/>
  <c r="K268" i="24"/>
  <c r="BK83" i="24"/>
  <c r="S83" i="24"/>
  <c r="T83" i="24" s="1"/>
  <c r="AH26" i="25"/>
  <c r="AH203" i="25"/>
  <c r="BK228" i="24"/>
  <c r="S228" i="24"/>
  <c r="T228" i="24" s="1"/>
  <c r="M228" i="24"/>
  <c r="U228" i="24" s="1"/>
  <c r="BI194" i="25"/>
  <c r="N194" i="25"/>
  <c r="AP272" i="24"/>
  <c r="AP14" i="24"/>
  <c r="L270" i="25"/>
  <c r="U24" i="24"/>
  <c r="BK18" i="24"/>
  <c r="S18" i="24"/>
  <c r="T18" i="24" s="1"/>
  <c r="BI269" i="25"/>
  <c r="N269" i="25"/>
  <c r="T269" i="25" s="1"/>
  <c r="K123" i="24"/>
  <c r="BI74" i="25"/>
  <c r="N74" i="25"/>
  <c r="K145" i="24"/>
  <c r="AH71" i="25"/>
  <c r="U163" i="24"/>
  <c r="L180" i="25"/>
  <c r="K256" i="24"/>
  <c r="AH58" i="25"/>
  <c r="BK251" i="24"/>
  <c r="S251" i="24"/>
  <c r="T251" i="24" s="1"/>
  <c r="K133" i="24"/>
  <c r="BK280" i="24"/>
  <c r="S280" i="24"/>
  <c r="T280" i="24" s="1"/>
  <c r="K280" i="24"/>
  <c r="L37" i="25"/>
  <c r="BK19" i="24"/>
  <c r="S19" i="24"/>
  <c r="T19" i="24" s="1"/>
  <c r="BK39" i="24"/>
  <c r="S39" i="24"/>
  <c r="T39" i="24" s="1"/>
  <c r="M39" i="24"/>
  <c r="AH163" i="25"/>
  <c r="AH157" i="25"/>
  <c r="L279" i="25"/>
  <c r="BK259" i="24"/>
  <c r="S259" i="24"/>
  <c r="T259" i="24" s="1"/>
  <c r="M259" i="24"/>
  <c r="U259" i="24" s="1"/>
  <c r="BK100" i="24"/>
  <c r="S100" i="24"/>
  <c r="T100" i="24" s="1"/>
  <c r="M100" i="24"/>
  <c r="BI188" i="25"/>
  <c r="N188" i="25"/>
  <c r="BK63" i="24"/>
  <c r="S63" i="24"/>
  <c r="T63" i="24" s="1"/>
  <c r="M63" i="24"/>
  <c r="BI208" i="25"/>
  <c r="N208" i="25"/>
  <c r="BI218" i="25"/>
  <c r="N218" i="25"/>
  <c r="BK126" i="24"/>
  <c r="S126" i="24"/>
  <c r="T126" i="24" s="1"/>
  <c r="M126" i="24"/>
  <c r="K126" i="24"/>
  <c r="BQ129" i="25"/>
  <c r="BI13" i="25"/>
  <c r="BI71" i="25"/>
  <c r="L145" i="25"/>
  <c r="AH105" i="25"/>
  <c r="BK266" i="24"/>
  <c r="S266" i="24"/>
  <c r="T266" i="24" s="1"/>
  <c r="M266" i="24"/>
  <c r="U266" i="24" s="1"/>
  <c r="L266" i="25"/>
  <c r="BK309" i="24"/>
  <c r="S309" i="24"/>
  <c r="T309" i="24" s="1"/>
  <c r="M309" i="24"/>
  <c r="U309" i="24" s="1"/>
  <c r="N122" i="25"/>
  <c r="N23" i="25"/>
  <c r="J7" i="24"/>
  <c r="O7" i="24"/>
  <c r="BZ7" i="24" s="1"/>
  <c r="L197" i="25"/>
  <c r="BK164" i="24"/>
  <c r="S164" i="24"/>
  <c r="T164" i="24" s="1"/>
  <c r="M164" i="24"/>
  <c r="AP76" i="24"/>
  <c r="BI297" i="25"/>
  <c r="N297" i="25"/>
  <c r="L297" i="25"/>
  <c r="AH99" i="25"/>
  <c r="AH82" i="25"/>
  <c r="AH87" i="25"/>
  <c r="U27" i="24"/>
  <c r="AH12" i="25"/>
  <c r="BI238" i="25"/>
  <c r="L238" i="25"/>
  <c r="BI171" i="25"/>
  <c r="N171" i="25"/>
  <c r="BI117" i="25"/>
  <c r="N117" i="25"/>
  <c r="T117" i="25" s="1"/>
  <c r="K263" i="24"/>
  <c r="AP188" i="24"/>
  <c r="AH200" i="25"/>
  <c r="BK200" i="24"/>
  <c r="S200" i="24"/>
  <c r="T200" i="24" s="1"/>
  <c r="T276" i="25"/>
  <c r="BI306" i="25"/>
  <c r="L55" i="25"/>
  <c r="BK226" i="24"/>
  <c r="S226" i="24"/>
  <c r="T226" i="24" s="1"/>
  <c r="BI173" i="25"/>
  <c r="AH173" i="25"/>
  <c r="BK279" i="24"/>
  <c r="S279" i="24"/>
  <c r="T279" i="24" s="1"/>
  <c r="AH247" i="25"/>
  <c r="BI292" i="25"/>
  <c r="BI86" i="25"/>
  <c r="L86" i="25"/>
  <c r="T161" i="25"/>
  <c r="BQ102" i="25"/>
  <c r="K115" i="24"/>
  <c r="N182" i="25"/>
  <c r="T182" i="25" s="1"/>
  <c r="M51" i="24"/>
  <c r="N51" i="24" s="1"/>
  <c r="BK181" i="24"/>
  <c r="S181" i="24"/>
  <c r="T181" i="24" s="1"/>
  <c r="K181" i="24"/>
  <c r="K271" i="24"/>
  <c r="L307" i="25"/>
  <c r="K300" i="24"/>
  <c r="L289" i="25"/>
  <c r="K183" i="24"/>
  <c r="BI240" i="25"/>
  <c r="AP238" i="24"/>
  <c r="K238" i="24"/>
  <c r="AH242" i="25"/>
  <c r="BI158" i="25"/>
  <c r="AH158" i="25"/>
  <c r="BK310" i="24"/>
  <c r="S310" i="24"/>
  <c r="T310" i="24" s="1"/>
  <c r="BI113" i="25"/>
  <c r="M280" i="24"/>
  <c r="U280" i="24" s="1"/>
  <c r="T62" i="25"/>
  <c r="BI207" i="25"/>
  <c r="N207" i="25"/>
  <c r="L207" i="25"/>
  <c r="K258" i="24"/>
  <c r="K175" i="24"/>
  <c r="L35" i="25"/>
  <c r="L48" i="25"/>
  <c r="AH24" i="25"/>
  <c r="BI22" i="25"/>
  <c r="N22" i="25"/>
  <c r="L153" i="25"/>
  <c r="BI135" i="25"/>
  <c r="N135" i="25"/>
  <c r="BI286" i="25"/>
  <c r="N286" i="25"/>
  <c r="L286" i="25"/>
  <c r="BI268" i="25"/>
  <c r="N268" i="25"/>
  <c r="L36" i="25"/>
  <c r="AH256" i="25"/>
  <c r="L41" i="25"/>
  <c r="AH69" i="25"/>
  <c r="BK57" i="24"/>
  <c r="S57" i="24"/>
  <c r="T57" i="24" s="1"/>
  <c r="M57" i="24"/>
  <c r="BI299" i="25"/>
  <c r="N299" i="25"/>
  <c r="AH7" i="25"/>
  <c r="K262" i="24"/>
  <c r="BK64" i="24"/>
  <c r="S64" i="24"/>
  <c r="T64" i="24" s="1"/>
  <c r="M64" i="24"/>
  <c r="BQ61" i="25"/>
  <c r="K197" i="24"/>
  <c r="BK10" i="24"/>
  <c r="S10" i="24"/>
  <c r="T10" i="24" s="1"/>
  <c r="L88" i="25"/>
  <c r="BI255" i="25"/>
  <c r="BI59" i="25"/>
  <c r="BI32" i="25"/>
  <c r="AP127" i="24"/>
  <c r="BK313" i="24"/>
  <c r="S313" i="24"/>
  <c r="T313" i="24" s="1"/>
  <c r="K199" i="24"/>
  <c r="AP199" i="24"/>
  <c r="BI14" i="25"/>
  <c r="T267" i="25"/>
  <c r="L178" i="25"/>
  <c r="K201" i="24"/>
  <c r="M256" i="24"/>
  <c r="N256" i="24" s="1"/>
  <c r="BK204" i="24"/>
  <c r="S204" i="24"/>
  <c r="T204" i="24" s="1"/>
  <c r="M204" i="24"/>
  <c r="T314" i="25"/>
  <c r="AH90" i="25"/>
  <c r="L285" i="25"/>
  <c r="U47" i="24"/>
  <c r="K139" i="24"/>
  <c r="BI261" i="25"/>
  <c r="AH172" i="25"/>
  <c r="BQ78" i="25"/>
  <c r="AH78" i="25"/>
  <c r="AH124" i="25"/>
  <c r="BI248" i="25"/>
  <c r="L223" i="25"/>
  <c r="BK78" i="24"/>
  <c r="S78" i="24"/>
  <c r="T78" i="24" s="1"/>
  <c r="M78" i="24"/>
  <c r="BK134" i="24"/>
  <c r="S134" i="24"/>
  <c r="T134" i="24" s="1"/>
  <c r="K254" i="24"/>
  <c r="J142" i="24"/>
  <c r="O142" i="24"/>
  <c r="BZ142" i="24" s="1"/>
  <c r="BI204" i="25"/>
  <c r="L204" i="25"/>
  <c r="BI114" i="25"/>
  <c r="AH114" i="25"/>
  <c r="AH221" i="25"/>
  <c r="L278" i="25"/>
  <c r="AP270" i="24"/>
  <c r="AH234" i="25"/>
  <c r="AH63" i="25"/>
  <c r="M9" i="24"/>
  <c r="N9" i="24" s="1"/>
  <c r="AP9" i="24" s="1"/>
  <c r="L111" i="25"/>
  <c r="U25" i="24"/>
  <c r="BK32" i="24"/>
  <c r="S32" i="24"/>
  <c r="T32" i="24" s="1"/>
  <c r="L228" i="25"/>
  <c r="BQ316" i="25"/>
  <c r="L216" i="25"/>
  <c r="BI216" i="25"/>
  <c r="N216" i="25"/>
  <c r="AH298" i="25"/>
  <c r="T199" i="25"/>
  <c r="BI138" i="25"/>
  <c r="BQ244" i="25"/>
  <c r="T170" i="25"/>
  <c r="L170" i="25"/>
  <c r="L296" i="25"/>
  <c r="BK88" i="24"/>
  <c r="S88" i="24"/>
  <c r="T88" i="24" s="1"/>
  <c r="U52" i="24"/>
  <c r="AH205" i="25"/>
  <c r="M151" i="24"/>
  <c r="N151" i="24" s="1"/>
  <c r="BK174" i="24"/>
  <c r="S174" i="24"/>
  <c r="T174" i="24" s="1"/>
  <c r="M174" i="24"/>
  <c r="L312" i="25"/>
  <c r="L43" i="25"/>
  <c r="BI40" i="25"/>
  <c r="N40" i="25"/>
  <c r="L139" i="25"/>
  <c r="BI156" i="25"/>
  <c r="N156" i="25"/>
  <c r="BK260" i="24"/>
  <c r="S260" i="24"/>
  <c r="T260" i="24" s="1"/>
  <c r="M260" i="24"/>
  <c r="U260" i="24" s="1"/>
  <c r="BI301" i="25"/>
  <c r="N301" i="25"/>
  <c r="BI76" i="25"/>
  <c r="N76" i="25"/>
  <c r="AH76" i="25"/>
  <c r="K189" i="24"/>
  <c r="L191" i="25"/>
  <c r="AH303" i="25"/>
  <c r="BK229" i="24"/>
  <c r="S229" i="24"/>
  <c r="T229" i="24" s="1"/>
  <c r="M229" i="24"/>
  <c r="U229" i="24" s="1"/>
  <c r="BQ136" i="25"/>
  <c r="U121" i="24"/>
  <c r="AP72" i="24"/>
  <c r="N295" i="25"/>
  <c r="N272" i="25"/>
  <c r="N138" i="25"/>
  <c r="N101" i="25"/>
  <c r="M242" i="24"/>
  <c r="N242" i="24" s="1"/>
  <c r="N298" i="25"/>
  <c r="M220" i="24"/>
  <c r="U220" i="24" s="1"/>
  <c r="M197" i="24"/>
  <c r="N197" i="24" s="1"/>
  <c r="AP197" i="24" s="1"/>
  <c r="N78" i="25"/>
  <c r="N285" i="25"/>
  <c r="T285" i="25" s="1"/>
  <c r="M17" i="24"/>
  <c r="N17" i="24" s="1"/>
  <c r="N309" i="25"/>
  <c r="T309" i="25" s="1"/>
  <c r="M92" i="24"/>
  <c r="N92" i="24" s="1"/>
  <c r="N304" i="25"/>
  <c r="N181" i="25"/>
  <c r="M8" i="24"/>
  <c r="M136" i="24"/>
  <c r="N136" i="24" s="1"/>
  <c r="N86" i="25"/>
  <c r="N287" i="25"/>
  <c r="M240" i="24"/>
  <c r="N240" i="24" s="1"/>
  <c r="M222" i="24"/>
  <c r="N222" i="24" s="1"/>
  <c r="N121" i="25"/>
  <c r="N134" i="25"/>
  <c r="T134" i="25" s="1"/>
  <c r="U261" i="24" l="1"/>
  <c r="U224" i="24"/>
  <c r="N230" i="24"/>
  <c r="AP230" i="24" s="1"/>
  <c r="U230" i="24"/>
  <c r="N241" i="24"/>
  <c r="U241" i="24"/>
  <c r="U274" i="24"/>
  <c r="V274" i="24" s="1"/>
  <c r="U314" i="24"/>
  <c r="V314" i="24" s="1"/>
  <c r="N244" i="24"/>
  <c r="AP244" i="24" s="1"/>
  <c r="U244" i="24"/>
  <c r="N250" i="24"/>
  <c r="AP250" i="24" s="1"/>
  <c r="U250" i="24"/>
  <c r="N246" i="24"/>
  <c r="AP246" i="24" s="1"/>
  <c r="U246" i="24"/>
  <c r="U245" i="24"/>
  <c r="U301" i="24"/>
  <c r="N297" i="24"/>
  <c r="AP297" i="24" s="1"/>
  <c r="U297" i="24"/>
  <c r="U258" i="24"/>
  <c r="V258" i="24" s="1"/>
  <c r="U269" i="24"/>
  <c r="V269" i="24" s="1"/>
  <c r="N235" i="24"/>
  <c r="AP235" i="24" s="1"/>
  <c r="U235" i="24"/>
  <c r="N217" i="24"/>
  <c r="P217" i="24" s="1"/>
  <c r="U217" i="24"/>
  <c r="U222" i="24"/>
  <c r="U242" i="24"/>
  <c r="U284" i="24"/>
  <c r="N305" i="24"/>
  <c r="AP305" i="24" s="1"/>
  <c r="U305" i="24"/>
  <c r="V305" i="24" s="1"/>
  <c r="O233" i="24"/>
  <c r="BZ233" i="24" s="1"/>
  <c r="N273" i="24"/>
  <c r="AP273" i="24" s="1"/>
  <c r="U273" i="24"/>
  <c r="V273" i="24" s="1"/>
  <c r="U291" i="24"/>
  <c r="N294" i="24"/>
  <c r="U294" i="24"/>
  <c r="V294" i="24" s="1"/>
  <c r="U299" i="24"/>
  <c r="U289" i="24"/>
  <c r="U240" i="24"/>
  <c r="U254" i="24"/>
  <c r="U300" i="24"/>
  <c r="N275" i="24"/>
  <c r="AP275" i="24" s="1"/>
  <c r="U275" i="24"/>
  <c r="U293" i="24"/>
  <c r="U253" i="24"/>
  <c r="V253" i="24" s="1"/>
  <c r="U221" i="24"/>
  <c r="U286" i="24"/>
  <c r="V286" i="24" s="1"/>
  <c r="U295" i="24"/>
  <c r="U296" i="24"/>
  <c r="V296" i="24" s="1"/>
  <c r="U304" i="24"/>
  <c r="U265" i="24"/>
  <c r="P262" i="25"/>
  <c r="N285" i="24"/>
  <c r="AP285" i="24" s="1"/>
  <c r="U285" i="24"/>
  <c r="V285" i="24" s="1"/>
  <c r="U281" i="24"/>
  <c r="V281" i="24" s="1"/>
  <c r="U311" i="24"/>
  <c r="U302" i="24"/>
  <c r="V302" i="24" s="1"/>
  <c r="U243" i="24"/>
  <c r="U256" i="24"/>
  <c r="AP224" i="24"/>
  <c r="AP118" i="24"/>
  <c r="AO30" i="25"/>
  <c r="AO21" i="25"/>
  <c r="AP23" i="24"/>
  <c r="Q137" i="24"/>
  <c r="AO14" i="25"/>
  <c r="AP66" i="24"/>
  <c r="AP111" i="24"/>
  <c r="AP217" i="24"/>
  <c r="AO6" i="25"/>
  <c r="AP87" i="24"/>
  <c r="AP269" i="24"/>
  <c r="AP165" i="24"/>
  <c r="AP97" i="24"/>
  <c r="O55" i="24"/>
  <c r="BZ55" i="24" s="1"/>
  <c r="AP267" i="24"/>
  <c r="AP56" i="24"/>
  <c r="O262" i="25"/>
  <c r="AO262" i="25" s="1"/>
  <c r="AP208" i="24"/>
  <c r="AP193" i="24"/>
  <c r="AP299" i="24"/>
  <c r="O94" i="25"/>
  <c r="S94" i="25" s="1"/>
  <c r="K94" i="25" s="1"/>
  <c r="AP101" i="24"/>
  <c r="AP202" i="24"/>
  <c r="P55" i="24"/>
  <c r="Q55" i="24"/>
  <c r="R55" i="24" s="1"/>
  <c r="U55" i="24"/>
  <c r="V55" i="24" s="1"/>
  <c r="P94" i="25"/>
  <c r="Q160" i="24"/>
  <c r="AP286" i="24"/>
  <c r="AP81" i="24"/>
  <c r="AP180" i="24"/>
  <c r="AP310" i="24"/>
  <c r="AP98" i="24"/>
  <c r="AP306" i="24"/>
  <c r="AP200" i="24"/>
  <c r="AP160" i="24"/>
  <c r="W45" i="24"/>
  <c r="Y45" i="24" s="1"/>
  <c r="AO71" i="25"/>
  <c r="Y257" i="24"/>
  <c r="U105" i="24"/>
  <c r="V105" i="24" s="1"/>
  <c r="P11" i="25"/>
  <c r="U160" i="24"/>
  <c r="V160" i="24" s="1"/>
  <c r="O11" i="25"/>
  <c r="AO11" i="25" s="1"/>
  <c r="AP252" i="24"/>
  <c r="O41" i="24"/>
  <c r="BZ41" i="24" s="1"/>
  <c r="AP186" i="24"/>
  <c r="P280" i="25"/>
  <c r="O280" i="25"/>
  <c r="Q280" i="25" s="1"/>
  <c r="AP245" i="24"/>
  <c r="BZ273" i="25"/>
  <c r="BZ306" i="25"/>
  <c r="BZ31" i="25"/>
  <c r="AO306" i="25"/>
  <c r="V252" i="24"/>
  <c r="O155" i="25"/>
  <c r="AO155" i="25" s="1"/>
  <c r="P155" i="25"/>
  <c r="AP241" i="24"/>
  <c r="AP178" i="24"/>
  <c r="U87" i="24"/>
  <c r="V87" i="24" s="1"/>
  <c r="W233" i="24"/>
  <c r="Y233" i="24" s="1"/>
  <c r="O96" i="25"/>
  <c r="P96" i="25"/>
  <c r="T154" i="25"/>
  <c r="U154" i="25" s="1"/>
  <c r="Q286" i="24"/>
  <c r="P286" i="24"/>
  <c r="Q252" i="24"/>
  <c r="P77" i="24"/>
  <c r="Q77" i="24"/>
  <c r="R77" i="24" s="1"/>
  <c r="Q285" i="24"/>
  <c r="P137" i="24"/>
  <c r="P246" i="24"/>
  <c r="P285" i="24"/>
  <c r="AP137" i="24"/>
  <c r="AP84" i="24"/>
  <c r="Q246" i="24"/>
  <c r="U137" i="24"/>
  <c r="V137" i="24" s="1"/>
  <c r="P84" i="24"/>
  <c r="U74" i="24"/>
  <c r="V74" i="24" s="1"/>
  <c r="BZ147" i="25"/>
  <c r="O154" i="25"/>
  <c r="AO154" i="25" s="1"/>
  <c r="U118" i="24"/>
  <c r="V118" i="24" s="1"/>
  <c r="V276" i="24"/>
  <c r="W264" i="24"/>
  <c r="Y264" i="24" s="1"/>
  <c r="P276" i="24"/>
  <c r="P189" i="25"/>
  <c r="Q276" i="24"/>
  <c r="Q143" i="25"/>
  <c r="N223" i="24"/>
  <c r="AP223" i="24" s="1"/>
  <c r="U12" i="24"/>
  <c r="V12" i="24" s="1"/>
  <c r="V254" i="24"/>
  <c r="AP170" i="24"/>
  <c r="BZ114" i="25"/>
  <c r="U35" i="24"/>
  <c r="V35" i="24" s="1"/>
  <c r="U60" i="24"/>
  <c r="V60" i="24" s="1"/>
  <c r="V230" i="24"/>
  <c r="O97" i="25"/>
  <c r="AP166" i="24"/>
  <c r="Q157" i="24"/>
  <c r="Q289" i="24"/>
  <c r="AP289" i="24"/>
  <c r="P157" i="24"/>
  <c r="V251" i="24"/>
  <c r="O29" i="25"/>
  <c r="R29" i="25" s="1"/>
  <c r="P251" i="24"/>
  <c r="U152" i="24"/>
  <c r="V152" i="24" s="1"/>
  <c r="AO92" i="25"/>
  <c r="P29" i="25"/>
  <c r="P134" i="24"/>
  <c r="U157" i="24"/>
  <c r="V157" i="24" s="1"/>
  <c r="Q251" i="24"/>
  <c r="BZ174" i="25"/>
  <c r="Q134" i="24"/>
  <c r="U178" i="24"/>
  <c r="V178" i="24" s="1"/>
  <c r="V289" i="24"/>
  <c r="AP274" i="24"/>
  <c r="R143" i="25"/>
  <c r="S143" i="25"/>
  <c r="K143" i="25" s="1"/>
  <c r="V143" i="25" s="1"/>
  <c r="X143" i="25" s="1"/>
  <c r="BZ143" i="25"/>
  <c r="BZ267" i="25"/>
  <c r="O189" i="25"/>
  <c r="AO189" i="25" s="1"/>
  <c r="BZ292" i="25"/>
  <c r="P97" i="25"/>
  <c r="U81" i="24"/>
  <c r="V81" i="24" s="1"/>
  <c r="V284" i="24"/>
  <c r="O265" i="25"/>
  <c r="AO265" i="25" s="1"/>
  <c r="U207" i="24"/>
  <c r="V207" i="24" s="1"/>
  <c r="AP167" i="24"/>
  <c r="P265" i="25"/>
  <c r="V267" i="24"/>
  <c r="Q167" i="24"/>
  <c r="U91" i="24"/>
  <c r="V91" i="24" s="1"/>
  <c r="U166" i="24"/>
  <c r="V166" i="24" s="1"/>
  <c r="U67" i="24"/>
  <c r="V67" i="24" s="1"/>
  <c r="BZ161" i="25"/>
  <c r="BZ71" i="25"/>
  <c r="P237" i="25"/>
  <c r="BZ247" i="25"/>
  <c r="O179" i="25"/>
  <c r="R179" i="25" s="1"/>
  <c r="T179" i="25"/>
  <c r="U179" i="25" s="1"/>
  <c r="T258" i="25"/>
  <c r="U258" i="25" s="1"/>
  <c r="O237" i="25"/>
  <c r="R237" i="25" s="1"/>
  <c r="O258" i="25"/>
  <c r="BZ258" i="25" s="1"/>
  <c r="BZ167" i="25"/>
  <c r="U66" i="24"/>
  <c r="V66" i="24" s="1"/>
  <c r="BZ82" i="25"/>
  <c r="U99" i="24"/>
  <c r="V99" i="24" s="1"/>
  <c r="BZ30" i="25"/>
  <c r="BZ238" i="25"/>
  <c r="BZ32" i="25"/>
  <c r="BZ13" i="25"/>
  <c r="AO82" i="25"/>
  <c r="O104" i="25"/>
  <c r="BZ199" i="25"/>
  <c r="BZ248" i="25"/>
  <c r="P104" i="25"/>
  <c r="O291" i="25"/>
  <c r="AO291" i="25" s="1"/>
  <c r="P291" i="25"/>
  <c r="P59" i="25"/>
  <c r="O59" i="25"/>
  <c r="S59" i="25" s="1"/>
  <c r="K59" i="25" s="1"/>
  <c r="V59" i="25" s="1"/>
  <c r="O28" i="25"/>
  <c r="AO28" i="25" s="1"/>
  <c r="BZ14" i="25"/>
  <c r="P28" i="25"/>
  <c r="BZ276" i="25"/>
  <c r="BZ305" i="25"/>
  <c r="BZ178" i="25"/>
  <c r="BZ283" i="25"/>
  <c r="BZ95" i="25"/>
  <c r="BZ204" i="25"/>
  <c r="BZ206" i="25"/>
  <c r="BZ259" i="25"/>
  <c r="BZ92" i="25"/>
  <c r="BZ229" i="25"/>
  <c r="AO259" i="25"/>
  <c r="BZ243" i="25"/>
  <c r="AO206" i="25"/>
  <c r="BZ240" i="25"/>
  <c r="V129" i="25"/>
  <c r="X129" i="25" s="1"/>
  <c r="FI212" i="25"/>
  <c r="FJ212" i="25"/>
  <c r="BZ293" i="25"/>
  <c r="U11" i="24"/>
  <c r="V11" i="24" s="1"/>
  <c r="U173" i="24"/>
  <c r="V173" i="24" s="1"/>
  <c r="U20" i="24"/>
  <c r="V20" i="24" s="1"/>
  <c r="U49" i="24"/>
  <c r="V49" i="24" s="1"/>
  <c r="U125" i="24"/>
  <c r="V125" i="24" s="1"/>
  <c r="U167" i="24"/>
  <c r="V167" i="24" s="1"/>
  <c r="U175" i="24"/>
  <c r="V175" i="24" s="1"/>
  <c r="U82" i="24"/>
  <c r="V82" i="24" s="1"/>
  <c r="BZ173" i="25"/>
  <c r="BZ21" i="25"/>
  <c r="BZ201" i="25"/>
  <c r="BZ192" i="25"/>
  <c r="BZ89" i="25"/>
  <c r="P77" i="25"/>
  <c r="O77" i="25"/>
  <c r="T77" i="25"/>
  <c r="U77" i="25" s="1"/>
  <c r="AO293" i="25"/>
  <c r="BZ314" i="25"/>
  <c r="U208" i="24"/>
  <c r="V208" i="24" s="1"/>
  <c r="V278" i="24"/>
  <c r="U13" i="24"/>
  <c r="V13" i="24" s="1"/>
  <c r="U201" i="24"/>
  <c r="V201" i="24" s="1"/>
  <c r="U155" i="24"/>
  <c r="V155" i="24" s="1"/>
  <c r="BZ87" i="25"/>
  <c r="BZ261" i="25"/>
  <c r="BZ232" i="25"/>
  <c r="BZ148" i="25"/>
  <c r="BZ296" i="25"/>
  <c r="BZ6" i="25"/>
  <c r="U124" i="24"/>
  <c r="AO87" i="25"/>
  <c r="U169" i="24"/>
  <c r="V169" i="24" s="1"/>
  <c r="U165" i="24"/>
  <c r="V165" i="24" s="1"/>
  <c r="BZ158" i="25"/>
  <c r="AO232" i="25"/>
  <c r="AO261" i="25"/>
  <c r="U202" i="24"/>
  <c r="V202" i="24" s="1"/>
  <c r="U70" i="24"/>
  <c r="V70" i="24" s="1"/>
  <c r="U189" i="24"/>
  <c r="V189" i="24" s="1"/>
  <c r="W236" i="24"/>
  <c r="Y236" i="24" s="1"/>
  <c r="BZ282" i="25"/>
  <c r="BZ246" i="25"/>
  <c r="BZ113" i="25"/>
  <c r="AO148" i="25"/>
  <c r="U198" i="24"/>
  <c r="V198" i="24" s="1"/>
  <c r="AO192" i="25"/>
  <c r="V217" i="24"/>
  <c r="AO89" i="25"/>
  <c r="V311" i="24"/>
  <c r="U15" i="24"/>
  <c r="V15" i="24" s="1"/>
  <c r="BZ34" i="25"/>
  <c r="U37" i="24"/>
  <c r="P41" i="24"/>
  <c r="Q41" i="24"/>
  <c r="R41" i="24" s="1"/>
  <c r="U77" i="24"/>
  <c r="V77" i="24" s="1"/>
  <c r="U50" i="24"/>
  <c r="V50" i="24" s="1"/>
  <c r="U128" i="24"/>
  <c r="V128" i="24" s="1"/>
  <c r="BZ275" i="25"/>
  <c r="V224" i="24"/>
  <c r="U84" i="24"/>
  <c r="V84" i="24" s="1"/>
  <c r="U56" i="24"/>
  <c r="V56" i="24" s="1"/>
  <c r="V265" i="24"/>
  <c r="U134" i="24"/>
  <c r="V134" i="24" s="1"/>
  <c r="V246" i="24"/>
  <c r="BZ186" i="25"/>
  <c r="U193" i="25"/>
  <c r="U151" i="25"/>
  <c r="U245" i="25"/>
  <c r="U102" i="25"/>
  <c r="U271" i="25"/>
  <c r="U263" i="25"/>
  <c r="U284" i="25"/>
  <c r="U164" i="25"/>
  <c r="U309" i="25"/>
  <c r="U17" i="25"/>
  <c r="U311" i="25"/>
  <c r="U48" i="25"/>
  <c r="U236" i="25"/>
  <c r="U60" i="25"/>
  <c r="U152" i="25"/>
  <c r="U241" i="25"/>
  <c r="U269" i="25"/>
  <c r="U8" i="25"/>
  <c r="U16" i="25"/>
  <c r="U88" i="25"/>
  <c r="U132" i="25"/>
  <c r="U117" i="25"/>
  <c r="U182" i="25"/>
  <c r="U83" i="25"/>
  <c r="U130" i="25"/>
  <c r="U37" i="25"/>
  <c r="U141" i="25"/>
  <c r="U134" i="25"/>
  <c r="U166" i="25"/>
  <c r="U43" i="25"/>
  <c r="N220" i="24"/>
  <c r="J88" i="24"/>
  <c r="O88" i="24"/>
  <c r="BZ88" i="24" s="1"/>
  <c r="U7" i="25"/>
  <c r="U20" i="25"/>
  <c r="U180" i="25"/>
  <c r="P240" i="24"/>
  <c r="Q240" i="24"/>
  <c r="Q256" i="24"/>
  <c r="P256" i="24"/>
  <c r="J19" i="24"/>
  <c r="W19" i="24" s="1"/>
  <c r="O19" i="24"/>
  <c r="BZ19" i="24" s="1"/>
  <c r="P138" i="25"/>
  <c r="O138" i="25"/>
  <c r="T138" i="25"/>
  <c r="N229" i="24"/>
  <c r="U312" i="25"/>
  <c r="V312" i="24"/>
  <c r="V290" i="24"/>
  <c r="N78" i="24"/>
  <c r="U78" i="24"/>
  <c r="J204" i="24"/>
  <c r="O204" i="24"/>
  <c r="BZ204" i="24" s="1"/>
  <c r="J64" i="24"/>
  <c r="O64" i="24"/>
  <c r="BZ64" i="24" s="1"/>
  <c r="P135" i="25"/>
  <c r="O135" i="25"/>
  <c r="T135" i="25"/>
  <c r="U150" i="25"/>
  <c r="N164" i="24"/>
  <c r="U164" i="24"/>
  <c r="AE7" i="24"/>
  <c r="AI7" i="24"/>
  <c r="X7" i="24"/>
  <c r="AA7" i="24" s="1"/>
  <c r="AB7" i="24" s="1"/>
  <c r="AC7" i="24" s="1"/>
  <c r="N266" i="24"/>
  <c r="P218" i="25"/>
  <c r="O218" i="25"/>
  <c r="T218" i="25"/>
  <c r="P188" i="25"/>
  <c r="O188" i="25"/>
  <c r="T188" i="25"/>
  <c r="N100" i="24"/>
  <c r="U100" i="24"/>
  <c r="N39" i="24"/>
  <c r="U39" i="24"/>
  <c r="J251" i="24"/>
  <c r="O251" i="24"/>
  <c r="BZ251" i="24" s="1"/>
  <c r="J158" i="24"/>
  <c r="O158" i="24"/>
  <c r="BZ158" i="24" s="1"/>
  <c r="O96" i="24"/>
  <c r="BZ96" i="24" s="1"/>
  <c r="J96" i="24"/>
  <c r="P225" i="25"/>
  <c r="O225" i="25"/>
  <c r="T225" i="25"/>
  <c r="Q156" i="24"/>
  <c r="P156" i="24"/>
  <c r="P66" i="25"/>
  <c r="O66" i="25"/>
  <c r="Q105" i="24"/>
  <c r="R105" i="24" s="1"/>
  <c r="P105" i="24"/>
  <c r="J290" i="24"/>
  <c r="W290" i="24" s="1"/>
  <c r="O290" i="24"/>
  <c r="BZ290" i="24" s="1"/>
  <c r="Q293" i="24"/>
  <c r="P293" i="24"/>
  <c r="J234" i="24"/>
  <c r="W234" i="24" s="1"/>
  <c r="O234" i="24"/>
  <c r="BZ234" i="24" s="1"/>
  <c r="O205" i="24"/>
  <c r="BZ205" i="24" s="1"/>
  <c r="J205" i="24"/>
  <c r="W205" i="24" s="1"/>
  <c r="O179" i="24"/>
  <c r="BZ179" i="24" s="1"/>
  <c r="J179" i="24"/>
  <c r="U246" i="25"/>
  <c r="P302" i="25"/>
  <c r="O302" i="25"/>
  <c r="T302" i="25"/>
  <c r="P242" i="25"/>
  <c r="O242" i="25"/>
  <c r="T242" i="25"/>
  <c r="N209" i="24"/>
  <c r="U209" i="24"/>
  <c r="P253" i="25"/>
  <c r="O253" i="25"/>
  <c r="J248" i="24"/>
  <c r="W248" i="24" s="1"/>
  <c r="O248" i="24"/>
  <c r="BZ248" i="24" s="1"/>
  <c r="J79" i="24"/>
  <c r="O79" i="24"/>
  <c r="BZ79" i="24" s="1"/>
  <c r="O77" i="24"/>
  <c r="BZ77" i="24" s="1"/>
  <c r="J77" i="24"/>
  <c r="N288" i="24"/>
  <c r="O276" i="24"/>
  <c r="BZ276" i="24" s="1"/>
  <c r="J276" i="24"/>
  <c r="J123" i="24"/>
  <c r="O123" i="24"/>
  <c r="BZ123" i="24" s="1"/>
  <c r="P93" i="25"/>
  <c r="O93" i="25"/>
  <c r="T93" i="25"/>
  <c r="P116" i="25"/>
  <c r="O116" i="25"/>
  <c r="T116" i="25"/>
  <c r="P65" i="25"/>
  <c r="O65" i="25"/>
  <c r="J30" i="24"/>
  <c r="W30" i="24" s="1"/>
  <c r="O30" i="24"/>
  <c r="BZ30" i="24" s="1"/>
  <c r="J124" i="24"/>
  <c r="O124" i="24"/>
  <c r="BZ124" i="24" s="1"/>
  <c r="P72" i="25"/>
  <c r="O72" i="25"/>
  <c r="T72" i="25"/>
  <c r="O52" i="24"/>
  <c r="BZ52" i="24" s="1"/>
  <c r="J52" i="24"/>
  <c r="W52" i="24" s="1"/>
  <c r="J61" i="24"/>
  <c r="W61" i="24" s="1"/>
  <c r="O61" i="24"/>
  <c r="BZ61" i="24" s="1"/>
  <c r="V199" i="24"/>
  <c r="O26" i="24"/>
  <c r="BZ26" i="24" s="1"/>
  <c r="J26" i="24"/>
  <c r="J183" i="24"/>
  <c r="O183" i="24"/>
  <c r="BZ183" i="24" s="1"/>
  <c r="AP154" i="24"/>
  <c r="J97" i="24"/>
  <c r="W97" i="24" s="1"/>
  <c r="O97" i="24"/>
  <c r="BZ97" i="24" s="1"/>
  <c r="W190" i="24"/>
  <c r="V190" i="24"/>
  <c r="N54" i="24"/>
  <c r="U54" i="24"/>
  <c r="P125" i="24"/>
  <c r="Q125" i="24"/>
  <c r="Q112" i="24"/>
  <c r="P112" i="24"/>
  <c r="Q299" i="24"/>
  <c r="P299" i="24"/>
  <c r="P54" i="25"/>
  <c r="O54" i="25"/>
  <c r="J196" i="24"/>
  <c r="O196" i="24"/>
  <c r="BZ196" i="24" s="1"/>
  <c r="V61" i="24"/>
  <c r="O237" i="24"/>
  <c r="BZ237" i="24" s="1"/>
  <c r="J237" i="24"/>
  <c r="W237" i="24" s="1"/>
  <c r="J238" i="24"/>
  <c r="W238" i="24" s="1"/>
  <c r="O238" i="24"/>
  <c r="BZ238" i="24" s="1"/>
  <c r="Q102" i="24"/>
  <c r="R102" i="24" s="1"/>
  <c r="P102" i="24"/>
  <c r="FJ110" i="25"/>
  <c r="FJ209" i="25"/>
  <c r="FI207" i="25"/>
  <c r="FI176" i="25"/>
  <c r="FJ164" i="25"/>
  <c r="FI113" i="25"/>
  <c r="FI204" i="25"/>
  <c r="FJ129" i="25"/>
  <c r="FI151" i="25"/>
  <c r="FI126" i="25"/>
  <c r="FI187" i="25"/>
  <c r="FI137" i="25"/>
  <c r="FJ189" i="25"/>
  <c r="FJ170" i="25"/>
  <c r="FI142" i="25"/>
  <c r="FJ158" i="25"/>
  <c r="FJ172" i="25"/>
  <c r="FI135" i="25"/>
  <c r="FI183" i="25"/>
  <c r="FJ123" i="25"/>
  <c r="FI168" i="25"/>
  <c r="FI157" i="25"/>
  <c r="FJ182" i="25"/>
  <c r="FI110" i="25"/>
  <c r="FJ141" i="25"/>
  <c r="F212" i="25"/>
  <c r="FI123" i="25"/>
  <c r="FI122" i="25"/>
  <c r="FI125" i="25"/>
  <c r="FJ190" i="25"/>
  <c r="FJ111" i="25"/>
  <c r="FJ148" i="25"/>
  <c r="FI166" i="25"/>
  <c r="FI201" i="25"/>
  <c r="FJ208" i="25"/>
  <c r="FJ203" i="25"/>
  <c r="FI190" i="25"/>
  <c r="FI174" i="25"/>
  <c r="FJ120" i="25"/>
  <c r="FI194" i="25"/>
  <c r="FJ142" i="25"/>
  <c r="FJ124" i="25"/>
  <c r="FI170" i="25"/>
  <c r="FJ121" i="25"/>
  <c r="FJ185" i="25"/>
  <c r="FJ153" i="25"/>
  <c r="FI156" i="25"/>
  <c r="FI143" i="25"/>
  <c r="FI121" i="25"/>
  <c r="FI119" i="25"/>
  <c r="FJ174" i="25"/>
  <c r="FI193" i="25"/>
  <c r="FI162" i="25"/>
  <c r="FI165" i="25"/>
  <c r="FJ161" i="25"/>
  <c r="FJ160" i="25"/>
  <c r="FJ191" i="25"/>
  <c r="FJ193" i="25"/>
  <c r="FJ207" i="25"/>
  <c r="FJ152" i="25"/>
  <c r="FJ177" i="25"/>
  <c r="FJ184" i="25"/>
  <c r="FI173" i="25"/>
  <c r="FI148" i="25"/>
  <c r="FI127" i="25"/>
  <c r="FI158" i="25"/>
  <c r="FI208" i="25"/>
  <c r="FJ130" i="25"/>
  <c r="FI167" i="25"/>
  <c r="FJ187" i="25"/>
  <c r="FI199" i="25"/>
  <c r="FJ195" i="25"/>
  <c r="FI180" i="25"/>
  <c r="FJ150" i="25"/>
  <c r="FJ127" i="25"/>
  <c r="FI131" i="25"/>
  <c r="FJ134" i="25"/>
  <c r="G212" i="25"/>
  <c r="FJ112" i="25"/>
  <c r="FI154" i="25"/>
  <c r="FI205" i="25"/>
  <c r="FJ167" i="25"/>
  <c r="FI140" i="25"/>
  <c r="FJ176" i="25"/>
  <c r="FI178" i="25"/>
  <c r="FI163" i="25"/>
  <c r="FJ114" i="25"/>
  <c r="FJ145" i="25"/>
  <c r="FI195" i="25"/>
  <c r="FJ186" i="25"/>
  <c r="FI197" i="25"/>
  <c r="FI116" i="25"/>
  <c r="FJ205" i="25"/>
  <c r="FI179" i="25"/>
  <c r="FI182" i="25"/>
  <c r="FI169" i="25"/>
  <c r="FI111" i="25"/>
  <c r="FJ157" i="25"/>
  <c r="FJ149" i="25"/>
  <c r="FJ175" i="25"/>
  <c r="FI206" i="25"/>
  <c r="FI115" i="25"/>
  <c r="FI185" i="25"/>
  <c r="FJ143" i="25"/>
  <c r="FI172" i="25"/>
  <c r="FI192" i="25"/>
  <c r="FJ173" i="25"/>
  <c r="FJ171" i="25"/>
  <c r="FJ116" i="25"/>
  <c r="FI129" i="25"/>
  <c r="FJ180" i="25"/>
  <c r="FJ163" i="25"/>
  <c r="FI198" i="25"/>
  <c r="FJ118" i="25"/>
  <c r="CE110" i="25"/>
  <c r="FI112" i="25"/>
  <c r="FI133" i="25"/>
  <c r="FJ137" i="25"/>
  <c r="FI124" i="25"/>
  <c r="FJ168" i="25"/>
  <c r="FJ178" i="25"/>
  <c r="FI164" i="25"/>
  <c r="FI175" i="25"/>
  <c r="FI186" i="25"/>
  <c r="FJ159" i="25"/>
  <c r="FI150" i="25"/>
  <c r="FI144" i="25"/>
  <c r="FJ169" i="25"/>
  <c r="FJ166" i="25"/>
  <c r="FJ181" i="25"/>
  <c r="FJ126" i="25"/>
  <c r="FJ131" i="25"/>
  <c r="FJ201" i="25"/>
  <c r="FJ128" i="25"/>
  <c r="FJ144" i="25"/>
  <c r="FI146" i="25"/>
  <c r="FI177" i="25"/>
  <c r="FI149" i="25"/>
  <c r="FJ200" i="25"/>
  <c r="FI196" i="25"/>
  <c r="FJ202" i="25"/>
  <c r="FJ198" i="25"/>
  <c r="FJ136" i="25"/>
  <c r="FI139" i="25"/>
  <c r="FI202" i="25"/>
  <c r="FJ155" i="25"/>
  <c r="FI188" i="25"/>
  <c r="FJ125" i="25"/>
  <c r="FJ117" i="25"/>
  <c r="FJ156" i="25"/>
  <c r="FJ132" i="25"/>
  <c r="FJ188" i="25"/>
  <c r="FI209" i="25"/>
  <c r="FJ140" i="25"/>
  <c r="FJ135" i="25"/>
  <c r="FI117" i="25"/>
  <c r="FJ179" i="25"/>
  <c r="FJ154" i="25"/>
  <c r="FJ194" i="25"/>
  <c r="FJ119" i="25"/>
  <c r="FJ133" i="25"/>
  <c r="FI210" i="25"/>
  <c r="FI134" i="25"/>
  <c r="FI153" i="25"/>
  <c r="FJ197" i="25"/>
  <c r="FI152" i="25"/>
  <c r="FI160" i="25"/>
  <c r="FJ204" i="25"/>
  <c r="FJ162" i="25"/>
  <c r="FI118" i="25"/>
  <c r="FI189" i="25"/>
  <c r="FI128" i="25"/>
  <c r="FI155" i="25"/>
  <c r="FI161" i="25"/>
  <c r="FJ115" i="25"/>
  <c r="FI159" i="25"/>
  <c r="FJ138" i="25"/>
  <c r="FJ183" i="25"/>
  <c r="FJ199" i="25"/>
  <c r="FJ192" i="25"/>
  <c r="FJ196" i="25"/>
  <c r="FI141" i="25"/>
  <c r="FI171" i="25"/>
  <c r="FI181" i="25"/>
  <c r="FJ147" i="25"/>
  <c r="FI114" i="25"/>
  <c r="FJ165" i="25"/>
  <c r="FI120" i="25"/>
  <c r="FI184" i="25"/>
  <c r="FJ151" i="25"/>
  <c r="FI136" i="25"/>
  <c r="FJ206" i="25"/>
  <c r="FI130" i="25"/>
  <c r="FJ210" i="25"/>
  <c r="FJ146" i="25"/>
  <c r="FI200" i="25"/>
  <c r="FI138" i="25"/>
  <c r="FJ139" i="25"/>
  <c r="FI203" i="25"/>
  <c r="FI191" i="25"/>
  <c r="FJ122" i="25"/>
  <c r="FI145" i="25"/>
  <c r="FI132" i="25"/>
  <c r="FJ113" i="25"/>
  <c r="FI147" i="25"/>
  <c r="CF110" i="25"/>
  <c r="CF128" i="25"/>
  <c r="CE136" i="25"/>
  <c r="CE118" i="25"/>
  <c r="CF118" i="25"/>
  <c r="CF126" i="25"/>
  <c r="CF119" i="25"/>
  <c r="CF123" i="25"/>
  <c r="CF142" i="25"/>
  <c r="CF150" i="25"/>
  <c r="CE141" i="25"/>
  <c r="CE114" i="25"/>
  <c r="CE119" i="25"/>
  <c r="CF133" i="25"/>
  <c r="CE140" i="25"/>
  <c r="CF158" i="25"/>
  <c r="CE167" i="25"/>
  <c r="CE150" i="25"/>
  <c r="CF157" i="25"/>
  <c r="CE128" i="25"/>
  <c r="CE124" i="25"/>
  <c r="CF178" i="25"/>
  <c r="CE146" i="25"/>
  <c r="CE133" i="25"/>
  <c r="CF127" i="25"/>
  <c r="CF140" i="25"/>
  <c r="CE123" i="25"/>
  <c r="CE158" i="25"/>
  <c r="CF188" i="25"/>
  <c r="CE157" i="25"/>
  <c r="CF122" i="25"/>
  <c r="CF136" i="25"/>
  <c r="CE155" i="25"/>
  <c r="CE178" i="25"/>
  <c r="CF131" i="25"/>
  <c r="CE149" i="25"/>
  <c r="CE197" i="25"/>
  <c r="CE188" i="25"/>
  <c r="CE139" i="25"/>
  <c r="CF146" i="25"/>
  <c r="CE127" i="25"/>
  <c r="CF149" i="25"/>
  <c r="CE134" i="25"/>
  <c r="CE131" i="25"/>
  <c r="CF134" i="25"/>
  <c r="CE144" i="25"/>
  <c r="CF148" i="25"/>
  <c r="CE122" i="25"/>
  <c r="CE143" i="25"/>
  <c r="CF139" i="25"/>
  <c r="CF155" i="25"/>
  <c r="CF124" i="25"/>
  <c r="CE187" i="25"/>
  <c r="CF144" i="25"/>
  <c r="CF129" i="25"/>
  <c r="CF145" i="25"/>
  <c r="CF120" i="25"/>
  <c r="CE137" i="25"/>
  <c r="CF143" i="25"/>
  <c r="CF141" i="25"/>
  <c r="CF114" i="25"/>
  <c r="CE126" i="25"/>
  <c r="CF187" i="25"/>
  <c r="CE148" i="25"/>
  <c r="CF167" i="25"/>
  <c r="CE142" i="25"/>
  <c r="CF197" i="25"/>
  <c r="CE129" i="25"/>
  <c r="CE145" i="25"/>
  <c r="CE120" i="25"/>
  <c r="CF137" i="25"/>
  <c r="CF195" i="25"/>
  <c r="CE195" i="25"/>
  <c r="AO34" i="25"/>
  <c r="P52" i="25"/>
  <c r="O52" i="25"/>
  <c r="U308" i="25"/>
  <c r="BZ62" i="25"/>
  <c r="U80" i="25"/>
  <c r="AP35" i="24"/>
  <c r="P200" i="25"/>
  <c r="O200" i="25"/>
  <c r="T200" i="25"/>
  <c r="BZ177" i="25"/>
  <c r="V21" i="24"/>
  <c r="W21" i="24"/>
  <c r="O177" i="24"/>
  <c r="BZ177" i="24" s="1"/>
  <c r="J177" i="24"/>
  <c r="P275" i="24"/>
  <c r="Q275" i="24"/>
  <c r="P235" i="25"/>
  <c r="O235" i="25"/>
  <c r="P222" i="25"/>
  <c r="O222" i="25"/>
  <c r="T222" i="25"/>
  <c r="P310" i="25"/>
  <c r="O310" i="25"/>
  <c r="P166" i="24"/>
  <c r="Q166" i="24"/>
  <c r="U28" i="24"/>
  <c r="P133" i="25"/>
  <c r="O133" i="25"/>
  <c r="P98" i="25"/>
  <c r="O98" i="25"/>
  <c r="T98" i="25"/>
  <c r="P80" i="25"/>
  <c r="O80" i="25"/>
  <c r="O246" i="24"/>
  <c r="BZ246" i="24" s="1"/>
  <c r="J246" i="24"/>
  <c r="P118" i="24"/>
  <c r="Q118" i="24"/>
  <c r="P315" i="25"/>
  <c r="O315" i="25"/>
  <c r="T315" i="25"/>
  <c r="Q34" i="24"/>
  <c r="R34" i="24" s="1"/>
  <c r="P34" i="24"/>
  <c r="Q15" i="24"/>
  <c r="R15" i="24" s="1"/>
  <c r="P15" i="24"/>
  <c r="O85" i="24"/>
  <c r="BZ85" i="24" s="1"/>
  <c r="J85" i="24"/>
  <c r="J135" i="24"/>
  <c r="O135" i="24"/>
  <c r="BZ135" i="24" s="1"/>
  <c r="S204" i="25"/>
  <c r="K204" i="25" s="1"/>
  <c r="V204" i="25" s="1"/>
  <c r="R204" i="25"/>
  <c r="Q204" i="25"/>
  <c r="U174" i="25"/>
  <c r="S275" i="25"/>
  <c r="K275" i="25" s="1"/>
  <c r="V275" i="25" s="1"/>
  <c r="R275" i="25"/>
  <c r="Q275" i="25"/>
  <c r="J208" i="24"/>
  <c r="O208" i="24"/>
  <c r="BZ208" i="24" s="1"/>
  <c r="P74" i="24"/>
  <c r="Q74" i="24"/>
  <c r="R74" i="24" s="1"/>
  <c r="R14" i="25"/>
  <c r="S14" i="25"/>
  <c r="K14" i="25" s="1"/>
  <c r="V14" i="25" s="1"/>
  <c r="Q14" i="25"/>
  <c r="Q16" i="24"/>
  <c r="R16" i="24" s="1"/>
  <c r="P16" i="24"/>
  <c r="Q138" i="24"/>
  <c r="P138" i="24"/>
  <c r="V180" i="24"/>
  <c r="U158" i="25"/>
  <c r="V62" i="24"/>
  <c r="P185" i="25"/>
  <c r="O185" i="25"/>
  <c r="U87" i="25"/>
  <c r="U192" i="24"/>
  <c r="P239" i="25"/>
  <c r="O239" i="25"/>
  <c r="T239" i="25"/>
  <c r="N46" i="24"/>
  <c r="U46" i="24"/>
  <c r="S248" i="25"/>
  <c r="K248" i="25" s="1"/>
  <c r="V248" i="25" s="1"/>
  <c r="R248" i="25"/>
  <c r="Q248" i="25"/>
  <c r="V272" i="24"/>
  <c r="O168" i="24"/>
  <c r="BZ168" i="24" s="1"/>
  <c r="J168" i="24"/>
  <c r="O186" i="24"/>
  <c r="BZ186" i="24" s="1"/>
  <c r="J186" i="24"/>
  <c r="Q310" i="24"/>
  <c r="P310" i="24"/>
  <c r="U306" i="25"/>
  <c r="U73" i="24"/>
  <c r="Q142" i="24"/>
  <c r="P142" i="24"/>
  <c r="V193" i="24"/>
  <c r="U243" i="25"/>
  <c r="U89" i="25"/>
  <c r="Q130" i="24"/>
  <c r="P130" i="24"/>
  <c r="N94" i="24"/>
  <c r="U94" i="24"/>
  <c r="P168" i="25"/>
  <c r="O168" i="25"/>
  <c r="V79" i="24"/>
  <c r="P97" i="24"/>
  <c r="Q97" i="24"/>
  <c r="R97" i="24" s="1"/>
  <c r="P165" i="24"/>
  <c r="Q165" i="24"/>
  <c r="N8" i="24"/>
  <c r="U8" i="24"/>
  <c r="P121" i="25"/>
  <c r="O121" i="25"/>
  <c r="P242" i="24"/>
  <c r="Q242" i="24"/>
  <c r="P268" i="25"/>
  <c r="O268" i="25"/>
  <c r="T268" i="25"/>
  <c r="Q51" i="24"/>
  <c r="R51" i="24" s="1"/>
  <c r="P51" i="24"/>
  <c r="V27" i="24"/>
  <c r="U300" i="25"/>
  <c r="P289" i="25"/>
  <c r="O289" i="25"/>
  <c r="U199" i="25"/>
  <c r="N64" i="24"/>
  <c r="U64" i="24"/>
  <c r="J126" i="24"/>
  <c r="O126" i="24"/>
  <c r="BZ126" i="24" s="1"/>
  <c r="P86" i="25"/>
  <c r="O86" i="25"/>
  <c r="T86" i="25"/>
  <c r="P285" i="25"/>
  <c r="O285" i="25"/>
  <c r="V121" i="24"/>
  <c r="P136" i="24"/>
  <c r="Q136" i="24"/>
  <c r="P78" i="25"/>
  <c r="O78" i="25"/>
  <c r="T78" i="25"/>
  <c r="P272" i="25"/>
  <c r="O272" i="25"/>
  <c r="T272" i="25"/>
  <c r="U128" i="25"/>
  <c r="U191" i="25"/>
  <c r="U19" i="25"/>
  <c r="J260" i="24"/>
  <c r="O260" i="24"/>
  <c r="BZ260" i="24" s="1"/>
  <c r="O32" i="24"/>
  <c r="BZ32" i="24" s="1"/>
  <c r="J32" i="24"/>
  <c r="W32" i="24" s="1"/>
  <c r="J78" i="24"/>
  <c r="O78" i="24"/>
  <c r="BZ78" i="24" s="1"/>
  <c r="U314" i="25"/>
  <c r="U267" i="25"/>
  <c r="N57" i="24"/>
  <c r="U57" i="24"/>
  <c r="P286" i="25"/>
  <c r="O286" i="25"/>
  <c r="T286" i="25"/>
  <c r="O207" i="25"/>
  <c r="P207" i="25"/>
  <c r="T207" i="25"/>
  <c r="AE55" i="24"/>
  <c r="AI55" i="24"/>
  <c r="X55" i="24"/>
  <c r="AA55" i="24" s="1"/>
  <c r="AB55" i="24" s="1"/>
  <c r="AC55" i="24" s="1"/>
  <c r="U136" i="24"/>
  <c r="U276" i="25"/>
  <c r="P23" i="25"/>
  <c r="O23" i="25"/>
  <c r="T23" i="25"/>
  <c r="J266" i="24"/>
  <c r="O266" i="24"/>
  <c r="BZ266" i="24" s="1"/>
  <c r="N63" i="24"/>
  <c r="U63" i="24"/>
  <c r="O100" i="24"/>
  <c r="BZ100" i="24" s="1"/>
  <c r="J100" i="24"/>
  <c r="J259" i="24"/>
  <c r="O259" i="24"/>
  <c r="BZ259" i="24" s="1"/>
  <c r="P194" i="25"/>
  <c r="O194" i="25"/>
  <c r="T194" i="25"/>
  <c r="N139" i="24"/>
  <c r="U139" i="24"/>
  <c r="P47" i="25"/>
  <c r="O47" i="25"/>
  <c r="P234" i="25"/>
  <c r="O234" i="25"/>
  <c r="O105" i="24"/>
  <c r="BZ105" i="24" s="1"/>
  <c r="J105" i="24"/>
  <c r="AE45" i="24"/>
  <c r="X45" i="24"/>
  <c r="AA45" i="24" s="1"/>
  <c r="AB45" i="24" s="1"/>
  <c r="AC45" i="24" s="1"/>
  <c r="AI45" i="24"/>
  <c r="O293" i="24"/>
  <c r="BZ293" i="24" s="1"/>
  <c r="J293" i="24"/>
  <c r="P311" i="24"/>
  <c r="Q311" i="24"/>
  <c r="R170" i="25"/>
  <c r="S170" i="25"/>
  <c r="K170" i="25" s="1"/>
  <c r="V170" i="25" s="1"/>
  <c r="Q170" i="25"/>
  <c r="U198" i="25"/>
  <c r="P53" i="25"/>
  <c r="O53" i="25"/>
  <c r="P184" i="25"/>
  <c r="O184" i="25"/>
  <c r="Q135" i="24"/>
  <c r="P135" i="24"/>
  <c r="V219" i="24"/>
  <c r="P230" i="24"/>
  <c r="Q230" i="24"/>
  <c r="U262" i="25"/>
  <c r="V127" i="24"/>
  <c r="J303" i="24"/>
  <c r="W303" i="24" s="1"/>
  <c r="O303" i="24"/>
  <c r="BZ303" i="24" s="1"/>
  <c r="U57" i="25"/>
  <c r="P15" i="25"/>
  <c r="O15" i="25"/>
  <c r="O157" i="24"/>
  <c r="BZ157" i="24" s="1"/>
  <c r="J157" i="24"/>
  <c r="J286" i="24"/>
  <c r="O286" i="24"/>
  <c r="BZ286" i="24" s="1"/>
  <c r="O116" i="24"/>
  <c r="BZ116" i="24" s="1"/>
  <c r="J116" i="24"/>
  <c r="J223" i="24"/>
  <c r="W223" i="24" s="1"/>
  <c r="O223" i="24"/>
  <c r="BZ223" i="24" s="1"/>
  <c r="P264" i="25"/>
  <c r="O264" i="25"/>
  <c r="T264" i="25"/>
  <c r="P260" i="25"/>
  <c r="O260" i="25"/>
  <c r="T260" i="25"/>
  <c r="N113" i="24"/>
  <c r="U113" i="24"/>
  <c r="BZ255" i="25"/>
  <c r="V238" i="24"/>
  <c r="U31" i="25"/>
  <c r="N38" i="24"/>
  <c r="U38" i="24"/>
  <c r="J167" i="24"/>
  <c r="O167" i="24"/>
  <c r="BZ167" i="24" s="1"/>
  <c r="Q267" i="24"/>
  <c r="P267" i="24"/>
  <c r="O54" i="24"/>
  <c r="BZ54" i="24" s="1"/>
  <c r="J54" i="24"/>
  <c r="J268" i="24"/>
  <c r="W268" i="24" s="1"/>
  <c r="O268" i="24"/>
  <c r="BZ268" i="24" s="1"/>
  <c r="U35" i="25"/>
  <c r="Q69" i="24"/>
  <c r="R69" i="24" s="1"/>
  <c r="P69" i="24"/>
  <c r="P69" i="25"/>
  <c r="O69" i="25"/>
  <c r="P153" i="25"/>
  <c r="O153" i="25"/>
  <c r="P85" i="25"/>
  <c r="O85" i="25"/>
  <c r="R198" i="25"/>
  <c r="S198" i="25"/>
  <c r="K198" i="25" s="1"/>
  <c r="Q198" i="25"/>
  <c r="O198" i="24"/>
  <c r="BZ198" i="24" s="1"/>
  <c r="J198" i="24"/>
  <c r="N239" i="24"/>
  <c r="O89" i="24"/>
  <c r="BZ89" i="24" s="1"/>
  <c r="J89" i="24"/>
  <c r="N262" i="24"/>
  <c r="Q217" i="24"/>
  <c r="AP300" i="24"/>
  <c r="N277" i="24"/>
  <c r="P176" i="24"/>
  <c r="Q176" i="24"/>
  <c r="AP291" i="24"/>
  <c r="P220" i="25"/>
  <c r="O220" i="25"/>
  <c r="T220" i="25"/>
  <c r="P244" i="25"/>
  <c r="O244" i="25"/>
  <c r="P100" i="25"/>
  <c r="O100" i="25"/>
  <c r="T100" i="25"/>
  <c r="O166" i="24"/>
  <c r="BZ166" i="24" s="1"/>
  <c r="J166" i="24"/>
  <c r="P68" i="25"/>
  <c r="O68" i="25"/>
  <c r="T68" i="25"/>
  <c r="J184" i="24"/>
  <c r="O184" i="24"/>
  <c r="BZ184" i="24" s="1"/>
  <c r="P111" i="25"/>
  <c r="O111" i="25"/>
  <c r="O93" i="24"/>
  <c r="BZ93" i="24" s="1"/>
  <c r="J93" i="24"/>
  <c r="U119" i="25"/>
  <c r="U149" i="25"/>
  <c r="W22" i="24"/>
  <c r="V22" i="24"/>
  <c r="P99" i="24"/>
  <c r="Q99" i="24"/>
  <c r="R99" i="24" s="1"/>
  <c r="P302" i="24"/>
  <c r="Q302" i="24"/>
  <c r="N114" i="24"/>
  <c r="U114" i="24"/>
  <c r="Q81" i="24"/>
  <c r="R81" i="24" s="1"/>
  <c r="P81" i="24"/>
  <c r="O254" i="24"/>
  <c r="BZ254" i="24" s="1"/>
  <c r="J254" i="24"/>
  <c r="P61" i="25"/>
  <c r="O61" i="25"/>
  <c r="AO131" i="25"/>
  <c r="P178" i="24"/>
  <c r="Q178" i="24"/>
  <c r="J74" i="24"/>
  <c r="O74" i="24"/>
  <c r="BZ74" i="24" s="1"/>
  <c r="V6" i="24"/>
  <c r="P180" i="24"/>
  <c r="Q180" i="24"/>
  <c r="R158" i="25"/>
  <c r="S158" i="25"/>
  <c r="K158" i="25" s="1"/>
  <c r="V158" i="25" s="1"/>
  <c r="Q158" i="25"/>
  <c r="V287" i="24"/>
  <c r="U154" i="24"/>
  <c r="S87" i="25"/>
  <c r="K87" i="25" s="1"/>
  <c r="V87" i="25" s="1"/>
  <c r="R87" i="25"/>
  <c r="Q87" i="25"/>
  <c r="S174" i="25"/>
  <c r="K174" i="25" s="1"/>
  <c r="R174" i="25"/>
  <c r="Q174" i="25"/>
  <c r="J46" i="24"/>
  <c r="O46" i="24"/>
  <c r="BZ46" i="24" s="1"/>
  <c r="W101" i="24"/>
  <c r="V101" i="24"/>
  <c r="P226" i="25"/>
  <c r="O226" i="25"/>
  <c r="U92" i="24"/>
  <c r="V120" i="24"/>
  <c r="R306" i="25"/>
  <c r="S306" i="25"/>
  <c r="K306" i="25" s="1"/>
  <c r="Q306" i="25"/>
  <c r="P202" i="25"/>
  <c r="O202" i="25"/>
  <c r="P70" i="25"/>
  <c r="O70" i="25"/>
  <c r="U32" i="25"/>
  <c r="P193" i="24"/>
  <c r="Q193" i="24"/>
  <c r="R243" i="25"/>
  <c r="S243" i="25"/>
  <c r="K243" i="25" s="1"/>
  <c r="V243" i="25" s="1"/>
  <c r="Q243" i="25"/>
  <c r="R89" i="25"/>
  <c r="S89" i="25"/>
  <c r="K89" i="25" s="1"/>
  <c r="V89" i="25" s="1"/>
  <c r="Q89" i="25"/>
  <c r="V116" i="24"/>
  <c r="O160" i="25"/>
  <c r="P160" i="25"/>
  <c r="T160" i="25"/>
  <c r="Q283" i="24"/>
  <c r="P283" i="24"/>
  <c r="J94" i="24"/>
  <c r="O94" i="24"/>
  <c r="BZ94" i="24" s="1"/>
  <c r="Q37" i="24"/>
  <c r="R37" i="24" s="1"/>
  <c r="P37" i="24"/>
  <c r="Q281" i="24"/>
  <c r="P281" i="24"/>
  <c r="Q79" i="24"/>
  <c r="R79" i="24" s="1"/>
  <c r="P79" i="24"/>
  <c r="J111" i="24"/>
  <c r="O111" i="24"/>
  <c r="BZ111" i="24" s="1"/>
  <c r="P9" i="25"/>
  <c r="O9" i="25"/>
  <c r="J165" i="24"/>
  <c r="O165" i="24"/>
  <c r="BZ165" i="24" s="1"/>
  <c r="P295" i="25"/>
  <c r="O295" i="25"/>
  <c r="J229" i="24"/>
  <c r="O229" i="24"/>
  <c r="BZ229" i="24" s="1"/>
  <c r="U253" i="25"/>
  <c r="N174" i="24"/>
  <c r="U174" i="24"/>
  <c r="U170" i="25"/>
  <c r="T295" i="25"/>
  <c r="AE142" i="24"/>
  <c r="AI142" i="24"/>
  <c r="X142" i="24"/>
  <c r="AA142" i="24" s="1"/>
  <c r="AB142" i="24" s="1"/>
  <c r="AC142" i="24" s="1"/>
  <c r="V47" i="24"/>
  <c r="U50" i="25"/>
  <c r="U161" i="25"/>
  <c r="P171" i="25"/>
  <c r="O171" i="25"/>
  <c r="O164" i="24"/>
  <c r="BZ164" i="24" s="1"/>
  <c r="J164" i="24"/>
  <c r="P122" i="25"/>
  <c r="O122" i="25"/>
  <c r="T122" i="25"/>
  <c r="J63" i="24"/>
  <c r="O63" i="24"/>
  <c r="BZ63" i="24" s="1"/>
  <c r="J39" i="24"/>
  <c r="O39" i="24"/>
  <c r="BZ39" i="24" s="1"/>
  <c r="P269" i="25"/>
  <c r="O269" i="25"/>
  <c r="P187" i="25"/>
  <c r="O187" i="25"/>
  <c r="P173" i="24"/>
  <c r="Q173" i="24"/>
  <c r="J121" i="24"/>
  <c r="W121" i="24" s="1"/>
  <c r="O121" i="24"/>
  <c r="BZ121" i="24" s="1"/>
  <c r="P73" i="25"/>
  <c r="O73" i="25"/>
  <c r="T73" i="25"/>
  <c r="J47" i="24"/>
  <c r="O47" i="24"/>
  <c r="BZ47" i="24" s="1"/>
  <c r="N95" i="24"/>
  <c r="U95" i="24"/>
  <c r="J51" i="24"/>
  <c r="O51" i="24"/>
  <c r="BZ51" i="24" s="1"/>
  <c r="AE101" i="24"/>
  <c r="X101" i="24"/>
  <c r="AA101" i="24" s="1"/>
  <c r="AB101" i="24" s="1"/>
  <c r="AC101" i="24" s="1"/>
  <c r="AI101" i="24"/>
  <c r="N122" i="24"/>
  <c r="U122" i="24"/>
  <c r="P304" i="24"/>
  <c r="Q304" i="24"/>
  <c r="Q13" i="24"/>
  <c r="R13" i="24" s="1"/>
  <c r="P13" i="24"/>
  <c r="P221" i="25"/>
  <c r="O221" i="25"/>
  <c r="T221" i="25"/>
  <c r="P278" i="25"/>
  <c r="O278" i="25"/>
  <c r="T278" i="25"/>
  <c r="J209" i="24"/>
  <c r="O209" i="24"/>
  <c r="BZ209" i="24" s="1"/>
  <c r="O288" i="24"/>
  <c r="BZ288" i="24" s="1"/>
  <c r="J288" i="24"/>
  <c r="O92" i="24"/>
  <c r="BZ92" i="24" s="1"/>
  <c r="J92" i="24"/>
  <c r="O295" i="24"/>
  <c r="BZ295" i="24" s="1"/>
  <c r="J295" i="24"/>
  <c r="N145" i="24"/>
  <c r="U145" i="24"/>
  <c r="N308" i="24"/>
  <c r="N153" i="24"/>
  <c r="U153" i="24"/>
  <c r="N29" i="24"/>
  <c r="U29" i="24"/>
  <c r="P64" i="25"/>
  <c r="O64" i="25"/>
  <c r="J113" i="24"/>
  <c r="O113" i="24"/>
  <c r="BZ113" i="24" s="1"/>
  <c r="AP151" i="24"/>
  <c r="U124" i="25"/>
  <c r="J180" i="24"/>
  <c r="O180" i="24"/>
  <c r="BZ180" i="24" s="1"/>
  <c r="N71" i="24"/>
  <c r="U71" i="24"/>
  <c r="U197" i="24"/>
  <c r="O306" i="24"/>
  <c r="BZ306" i="24" s="1"/>
  <c r="J306" i="24"/>
  <c r="W306" i="24" s="1"/>
  <c r="O16" i="24"/>
  <c r="BZ16" i="24" s="1"/>
  <c r="J16" i="24"/>
  <c r="W16" i="24" s="1"/>
  <c r="U163" i="25"/>
  <c r="N146" i="24"/>
  <c r="U146" i="24"/>
  <c r="P203" i="25"/>
  <c r="O203" i="25"/>
  <c r="T203" i="25"/>
  <c r="J125" i="24"/>
  <c r="O125" i="24"/>
  <c r="BZ125" i="24" s="1"/>
  <c r="AE264" i="24"/>
  <c r="AI264" i="24"/>
  <c r="X264" i="24"/>
  <c r="AA264" i="24" s="1"/>
  <c r="AB264" i="24" s="1"/>
  <c r="AC264" i="24" s="1"/>
  <c r="AE236" i="24"/>
  <c r="AI236" i="24"/>
  <c r="X236" i="24"/>
  <c r="AA236" i="24" s="1"/>
  <c r="AB236" i="24" s="1"/>
  <c r="AC236" i="24" s="1"/>
  <c r="P252" i="25"/>
  <c r="O252" i="25"/>
  <c r="P63" i="25"/>
  <c r="O63" i="25"/>
  <c r="O270" i="24"/>
  <c r="BZ270" i="24" s="1"/>
  <c r="J270" i="24"/>
  <c r="W270" i="24" s="1"/>
  <c r="P65" i="24"/>
  <c r="Q65" i="24"/>
  <c r="R65" i="24" s="1"/>
  <c r="J69" i="24"/>
  <c r="O69" i="24"/>
  <c r="BZ69" i="24" s="1"/>
  <c r="O65" i="24"/>
  <c r="BZ65" i="24" s="1"/>
  <c r="J65" i="24"/>
  <c r="P146" i="25"/>
  <c r="O146" i="25"/>
  <c r="O112" i="24"/>
  <c r="BZ112" i="24" s="1"/>
  <c r="J112" i="24"/>
  <c r="O154" i="24"/>
  <c r="BZ154" i="24" s="1"/>
  <c r="J154" i="24"/>
  <c r="P73" i="24"/>
  <c r="Q73" i="24"/>
  <c r="R73" i="24" s="1"/>
  <c r="J102" i="24"/>
  <c r="O102" i="24"/>
  <c r="BZ102" i="24" s="1"/>
  <c r="O145" i="25"/>
  <c r="P145" i="25"/>
  <c r="AD110" i="25"/>
  <c r="W110" i="25"/>
  <c r="Z110" i="25" s="1"/>
  <c r="AA110" i="25" s="1"/>
  <c r="AB110" i="25" s="1"/>
  <c r="AI110" i="25" s="1"/>
  <c r="AP60" i="24"/>
  <c r="O239" i="24"/>
  <c r="BZ239" i="24" s="1"/>
  <c r="J239" i="24"/>
  <c r="J80" i="24"/>
  <c r="O80" i="24"/>
  <c r="BZ80" i="24" s="1"/>
  <c r="U227" i="25"/>
  <c r="AE160" i="24"/>
  <c r="AI160" i="24"/>
  <c r="X160" i="24"/>
  <c r="AA160" i="24" s="1"/>
  <c r="AB160" i="24" s="1"/>
  <c r="AC160" i="24" s="1"/>
  <c r="O262" i="24"/>
  <c r="BZ262" i="24" s="1"/>
  <c r="J262" i="24"/>
  <c r="U36" i="25"/>
  <c r="AP73" i="24"/>
  <c r="O277" i="24"/>
  <c r="BZ277" i="24" s="1"/>
  <c r="J277" i="24"/>
  <c r="AO190" i="25"/>
  <c r="J176" i="24"/>
  <c r="O176" i="24"/>
  <c r="BZ176" i="24" s="1"/>
  <c r="P137" i="25"/>
  <c r="O137" i="25"/>
  <c r="O252" i="24"/>
  <c r="BZ252" i="24" s="1"/>
  <c r="J252" i="24"/>
  <c r="R293" i="25"/>
  <c r="S293" i="25"/>
  <c r="K293" i="25" s="1"/>
  <c r="Q293" i="25"/>
  <c r="N210" i="24"/>
  <c r="U210" i="24"/>
  <c r="U244" i="25"/>
  <c r="Q254" i="24"/>
  <c r="P254" i="24"/>
  <c r="V172" i="24"/>
  <c r="O139" i="24"/>
  <c r="BZ139" i="24" s="1"/>
  <c r="J139" i="24"/>
  <c r="J53" i="24"/>
  <c r="W53" i="24" s="1"/>
  <c r="O53" i="24"/>
  <c r="BZ53" i="24" s="1"/>
  <c r="U256" i="25"/>
  <c r="U24" i="25"/>
  <c r="O156" i="24"/>
  <c r="BZ156" i="24" s="1"/>
  <c r="J156" i="24"/>
  <c r="S296" i="25"/>
  <c r="K296" i="25" s="1"/>
  <c r="R296" i="25"/>
  <c r="Q296" i="25"/>
  <c r="O40" i="24"/>
  <c r="BZ40" i="24" s="1"/>
  <c r="J40" i="24"/>
  <c r="W40" i="24" s="1"/>
  <c r="AP92" i="24"/>
  <c r="O99" i="24"/>
  <c r="BZ99" i="24" s="1"/>
  <c r="J99" i="24"/>
  <c r="P157" i="25"/>
  <c r="O157" i="25"/>
  <c r="O122" i="24"/>
  <c r="BZ122" i="24" s="1"/>
  <c r="J122" i="24"/>
  <c r="P159" i="25"/>
  <c r="O159" i="25"/>
  <c r="T159" i="25"/>
  <c r="Q91" i="24"/>
  <c r="R91" i="24" s="1"/>
  <c r="P91" i="24"/>
  <c r="J201" i="24"/>
  <c r="O201" i="24"/>
  <c r="BZ201" i="24" s="1"/>
  <c r="O244" i="24"/>
  <c r="BZ244" i="24" s="1"/>
  <c r="J244" i="24"/>
  <c r="O23" i="24"/>
  <c r="BZ23" i="24" s="1"/>
  <c r="J23" i="24"/>
  <c r="P36" i="25"/>
  <c r="O36" i="25"/>
  <c r="J178" i="24"/>
  <c r="O178" i="24"/>
  <c r="BZ178" i="24" s="1"/>
  <c r="O136" i="24"/>
  <c r="BZ136" i="24" s="1"/>
  <c r="J136" i="24"/>
  <c r="J43" i="24"/>
  <c r="W43" i="24" s="1"/>
  <c r="O43" i="24"/>
  <c r="BZ43" i="24" s="1"/>
  <c r="O6" i="24"/>
  <c r="BZ6" i="24" s="1"/>
  <c r="J6" i="24"/>
  <c r="J138" i="24"/>
  <c r="O138" i="24"/>
  <c r="BZ138" i="24" s="1"/>
  <c r="U21" i="25"/>
  <c r="P287" i="24"/>
  <c r="Q287" i="24"/>
  <c r="P101" i="24"/>
  <c r="Q101" i="24"/>
  <c r="R101" i="24" s="1"/>
  <c r="T226" i="25"/>
  <c r="U69" i="24"/>
  <c r="U51" i="24"/>
  <c r="Q202" i="24"/>
  <c r="P202" i="24"/>
  <c r="U273" i="25"/>
  <c r="P120" i="24"/>
  <c r="Q120" i="24"/>
  <c r="U65" i="24"/>
  <c r="V218" i="24"/>
  <c r="U173" i="25"/>
  <c r="P81" i="25"/>
  <c r="O81" i="25"/>
  <c r="T81" i="25"/>
  <c r="Q82" i="24"/>
  <c r="R82" i="24" s="1"/>
  <c r="P82" i="24"/>
  <c r="T202" i="25"/>
  <c r="P250" i="24"/>
  <c r="V248" i="24"/>
  <c r="S32" i="25"/>
  <c r="K32" i="25" s="1"/>
  <c r="V32" i="25" s="1"/>
  <c r="R32" i="25"/>
  <c r="Q32" i="25"/>
  <c r="U238" i="25"/>
  <c r="U206" i="25"/>
  <c r="U177" i="24"/>
  <c r="P67" i="24"/>
  <c r="Q67" i="24"/>
  <c r="R67" i="24" s="1"/>
  <c r="Q116" i="24"/>
  <c r="P116" i="24"/>
  <c r="O281" i="24"/>
  <c r="BZ281" i="24" s="1"/>
  <c r="J281" i="24"/>
  <c r="V90" i="24"/>
  <c r="O245" i="25"/>
  <c r="P245" i="25"/>
  <c r="Q33" i="24"/>
  <c r="R33" i="24" s="1"/>
  <c r="P33" i="24"/>
  <c r="U36" i="24"/>
  <c r="P181" i="25"/>
  <c r="O181" i="25"/>
  <c r="U250" i="25"/>
  <c r="O174" i="24"/>
  <c r="BZ174" i="24" s="1"/>
  <c r="J174" i="24"/>
  <c r="V52" i="24"/>
  <c r="P216" i="25"/>
  <c r="O216" i="25"/>
  <c r="T216" i="25"/>
  <c r="O10" i="24"/>
  <c r="BZ10" i="24" s="1"/>
  <c r="J10" i="24"/>
  <c r="W10" i="24" s="1"/>
  <c r="J57" i="24"/>
  <c r="O57" i="24"/>
  <c r="BZ57" i="24" s="1"/>
  <c r="J226" i="24"/>
  <c r="W226" i="24" s="1"/>
  <c r="O226" i="24"/>
  <c r="BZ226" i="24" s="1"/>
  <c r="N309" i="24"/>
  <c r="U176" i="25"/>
  <c r="J280" i="24"/>
  <c r="O280" i="24"/>
  <c r="BZ280" i="24" s="1"/>
  <c r="P266" i="25"/>
  <c r="O266" i="25"/>
  <c r="P55" i="25"/>
  <c r="O55" i="25"/>
  <c r="P102" i="25"/>
  <c r="O102" i="25"/>
  <c r="AE294" i="24"/>
  <c r="X294" i="24"/>
  <c r="AA294" i="24" s="1"/>
  <c r="AB294" i="24" s="1"/>
  <c r="AC294" i="24" s="1"/>
  <c r="AI294" i="24"/>
  <c r="N316" i="24"/>
  <c r="AP242" i="24"/>
  <c r="P171" i="24"/>
  <c r="Q171" i="24"/>
  <c r="P165" i="25"/>
  <c r="O165" i="25"/>
  <c r="T165" i="25"/>
  <c r="P221" i="24"/>
  <c r="Q221" i="24"/>
  <c r="J95" i="24"/>
  <c r="O95" i="24"/>
  <c r="BZ95" i="24" s="1"/>
  <c r="R62" i="25"/>
  <c r="S62" i="25"/>
  <c r="K62" i="25" s="1"/>
  <c r="V62" i="25" s="1"/>
  <c r="Q62" i="25"/>
  <c r="O311" i="24"/>
  <c r="BZ311" i="24" s="1"/>
  <c r="J311" i="24"/>
  <c r="J151" i="24"/>
  <c r="O151" i="24"/>
  <c r="BZ151" i="24" s="1"/>
  <c r="V188" i="24"/>
  <c r="J285" i="24"/>
  <c r="O285" i="24"/>
  <c r="BZ285" i="24" s="1"/>
  <c r="O195" i="24"/>
  <c r="BZ195" i="24" s="1"/>
  <c r="J195" i="24"/>
  <c r="P25" i="25"/>
  <c r="O25" i="25"/>
  <c r="T25" i="25"/>
  <c r="Q144" i="24"/>
  <c r="P144" i="24"/>
  <c r="Q155" i="24"/>
  <c r="P155" i="24"/>
  <c r="O205" i="25"/>
  <c r="P205" i="25"/>
  <c r="T205" i="25"/>
  <c r="U184" i="25"/>
  <c r="J299" i="24"/>
  <c r="O299" i="24"/>
  <c r="BZ299" i="24" s="1"/>
  <c r="AE132" i="24"/>
  <c r="X132" i="24"/>
  <c r="AA132" i="24" s="1"/>
  <c r="AB132" i="24" s="1"/>
  <c r="AC132" i="24" s="1"/>
  <c r="AI132" i="24"/>
  <c r="J193" i="24"/>
  <c r="O193" i="24"/>
  <c r="BZ193" i="24" s="1"/>
  <c r="U65" i="25"/>
  <c r="P130" i="25"/>
  <c r="O130" i="25"/>
  <c r="P197" i="25"/>
  <c r="O197" i="25"/>
  <c r="T197" i="25"/>
  <c r="O145" i="24"/>
  <c r="BZ145" i="24" s="1"/>
  <c r="J145" i="24"/>
  <c r="P196" i="24"/>
  <c r="Q196" i="24"/>
  <c r="V270" i="24"/>
  <c r="AE233" i="24"/>
  <c r="X233" i="24"/>
  <c r="AA233" i="24" s="1"/>
  <c r="AB233" i="24" s="1"/>
  <c r="AC233" i="24" s="1"/>
  <c r="AI233" i="24"/>
  <c r="AO255" i="25"/>
  <c r="U146" i="25"/>
  <c r="AP311" i="24"/>
  <c r="J308" i="24"/>
  <c r="O308" i="24"/>
  <c r="BZ308" i="24" s="1"/>
  <c r="J84" i="24"/>
  <c r="O84" i="24"/>
  <c r="BZ84" i="24" s="1"/>
  <c r="AE292" i="24"/>
  <c r="X292" i="24"/>
  <c r="AA292" i="24" s="1"/>
  <c r="AB292" i="24" s="1"/>
  <c r="AC292" i="24" s="1"/>
  <c r="AI292" i="24"/>
  <c r="O188" i="24"/>
  <c r="BZ188" i="24" s="1"/>
  <c r="J188" i="24"/>
  <c r="N282" i="24"/>
  <c r="J38" i="24"/>
  <c r="O38" i="24"/>
  <c r="BZ38" i="24" s="1"/>
  <c r="P176" i="25"/>
  <c r="O176" i="25"/>
  <c r="J20" i="24"/>
  <c r="O20" i="24"/>
  <c r="BZ20" i="24" s="1"/>
  <c r="J267" i="24"/>
  <c r="O267" i="24"/>
  <c r="BZ267" i="24" s="1"/>
  <c r="Q49" i="24"/>
  <c r="R49" i="24" s="1"/>
  <c r="P49" i="24"/>
  <c r="P284" i="25"/>
  <c r="O284" i="25"/>
  <c r="J127" i="24"/>
  <c r="O127" i="24"/>
  <c r="BZ127" i="24" s="1"/>
  <c r="J235" i="24"/>
  <c r="O235" i="24"/>
  <c r="BZ235" i="24" s="1"/>
  <c r="J115" i="24"/>
  <c r="O115" i="24"/>
  <c r="BZ115" i="24" s="1"/>
  <c r="J13" i="24"/>
  <c r="O13" i="24"/>
  <c r="BZ13" i="24" s="1"/>
  <c r="V182" i="24"/>
  <c r="J73" i="24"/>
  <c r="O73" i="24"/>
  <c r="BZ73" i="24" s="1"/>
  <c r="Q192" i="24"/>
  <c r="P192" i="24"/>
  <c r="P223" i="25"/>
  <c r="O223" i="25"/>
  <c r="T223" i="25"/>
  <c r="P39" i="25"/>
  <c r="O39" i="25"/>
  <c r="T39" i="25"/>
  <c r="P67" i="25"/>
  <c r="O67" i="25"/>
  <c r="T67" i="25"/>
  <c r="AE21" i="24"/>
  <c r="AI21" i="24"/>
  <c r="X21" i="24"/>
  <c r="AA21" i="24" s="1"/>
  <c r="AB21" i="24" s="1"/>
  <c r="AC21" i="24" s="1"/>
  <c r="O315" i="24"/>
  <c r="BZ315" i="24" s="1"/>
  <c r="J315" i="24"/>
  <c r="Q28" i="24"/>
  <c r="R28" i="24" s="1"/>
  <c r="P28" i="24"/>
  <c r="P274" i="25"/>
  <c r="O274" i="25"/>
  <c r="T274" i="25"/>
  <c r="O217" i="24"/>
  <c r="BZ217" i="24" s="1"/>
  <c r="J217" i="24"/>
  <c r="P230" i="25"/>
  <c r="O230" i="25"/>
  <c r="T230" i="25"/>
  <c r="T47" i="25"/>
  <c r="U235" i="25"/>
  <c r="J263" i="24"/>
  <c r="O263" i="24"/>
  <c r="BZ263" i="24" s="1"/>
  <c r="N232" i="24"/>
  <c r="N195" i="24"/>
  <c r="U195" i="24"/>
  <c r="AO177" i="25"/>
  <c r="J272" i="24"/>
  <c r="W272" i="24" s="1"/>
  <c r="O272" i="24"/>
  <c r="BZ272" i="24" s="1"/>
  <c r="U136" i="25"/>
  <c r="U275" i="25"/>
  <c r="J17" i="24"/>
  <c r="O17" i="24"/>
  <c r="BZ17" i="24" s="1"/>
  <c r="P294" i="25"/>
  <c r="O294" i="25"/>
  <c r="P27" i="25"/>
  <c r="O27" i="25"/>
  <c r="T27" i="25"/>
  <c r="P278" i="24"/>
  <c r="Q278" i="24"/>
  <c r="P308" i="25"/>
  <c r="O308" i="25"/>
  <c r="O301" i="24"/>
  <c r="BZ301" i="24" s="1"/>
  <c r="J301" i="24"/>
  <c r="P11" i="24"/>
  <c r="Q11" i="24"/>
  <c r="R11" i="24" s="1"/>
  <c r="AE119" i="24"/>
  <c r="X119" i="24"/>
  <c r="AA119" i="24" s="1"/>
  <c r="AB119" i="24" s="1"/>
  <c r="AC119" i="24" s="1"/>
  <c r="AI119" i="24"/>
  <c r="U30" i="25"/>
  <c r="J302" i="24"/>
  <c r="O302" i="24"/>
  <c r="BZ302" i="24" s="1"/>
  <c r="J68" i="24"/>
  <c r="W68" i="24" s="1"/>
  <c r="O68" i="24"/>
  <c r="BZ68" i="24" s="1"/>
  <c r="J114" i="24"/>
  <c r="O114" i="24"/>
  <c r="BZ114" i="24" s="1"/>
  <c r="N85" i="24"/>
  <c r="U85" i="24"/>
  <c r="P136" i="25"/>
  <c r="O136" i="25"/>
  <c r="P24" i="25"/>
  <c r="O24" i="25"/>
  <c r="P91" i="25"/>
  <c r="O91" i="25"/>
  <c r="O35" i="24"/>
  <c r="BZ35" i="24" s="1"/>
  <c r="J35" i="24"/>
  <c r="P290" i="25"/>
  <c r="O290" i="25"/>
  <c r="O222" i="24"/>
  <c r="BZ222" i="24" s="1"/>
  <c r="J222" i="24"/>
  <c r="R30" i="25"/>
  <c r="S30" i="25"/>
  <c r="K30" i="25" s="1"/>
  <c r="V30" i="25" s="1"/>
  <c r="Q30" i="25"/>
  <c r="U261" i="25"/>
  <c r="V234" i="24"/>
  <c r="Q36" i="24"/>
  <c r="R36" i="24" s="1"/>
  <c r="P36" i="24"/>
  <c r="S21" i="25"/>
  <c r="K21" i="25" s="1"/>
  <c r="V21" i="25" s="1"/>
  <c r="R21" i="25"/>
  <c r="Q21" i="25"/>
  <c r="V306" i="24"/>
  <c r="V226" i="24"/>
  <c r="Q243" i="24"/>
  <c r="P243" i="24"/>
  <c r="O296" i="24"/>
  <c r="BZ296" i="24" s="1"/>
  <c r="J296" i="24"/>
  <c r="U31" i="24"/>
  <c r="U185" i="24"/>
  <c r="T266" i="25"/>
  <c r="U178" i="25"/>
  <c r="U167" i="25"/>
  <c r="V14" i="24"/>
  <c r="Q50" i="24"/>
  <c r="R50" i="24" s="1"/>
  <c r="P50" i="24"/>
  <c r="J202" i="24"/>
  <c r="O202" i="24"/>
  <c r="BZ202" i="24" s="1"/>
  <c r="U143" i="24"/>
  <c r="Q274" i="24"/>
  <c r="P274" i="24"/>
  <c r="Q70" i="24"/>
  <c r="R70" i="24" s="1"/>
  <c r="P70" i="24"/>
  <c r="S273" i="25"/>
  <c r="K273" i="25" s="1"/>
  <c r="V273" i="25" s="1"/>
  <c r="R273" i="25"/>
  <c r="Q273" i="25"/>
  <c r="Q218" i="24"/>
  <c r="P218" i="24"/>
  <c r="S173" i="25"/>
  <c r="K173" i="25" s="1"/>
  <c r="V173" i="25" s="1"/>
  <c r="R173" i="25"/>
  <c r="Q173" i="25"/>
  <c r="V200" i="24"/>
  <c r="U71" i="25"/>
  <c r="U168" i="25"/>
  <c r="J82" i="24"/>
  <c r="O82" i="24"/>
  <c r="BZ82" i="24" s="1"/>
  <c r="T70" i="25"/>
  <c r="P56" i="24"/>
  <c r="Q56" i="24"/>
  <c r="R56" i="24" s="1"/>
  <c r="P248" i="24"/>
  <c r="Q248" i="24"/>
  <c r="S238" i="25"/>
  <c r="K238" i="25" s="1"/>
  <c r="V238" i="25" s="1"/>
  <c r="R238" i="25"/>
  <c r="Q238" i="25"/>
  <c r="R206" i="25"/>
  <c r="S206" i="25"/>
  <c r="K206" i="25" s="1"/>
  <c r="Q206" i="25"/>
  <c r="W132" i="24"/>
  <c r="Y132" i="24" s="1"/>
  <c r="U259" i="25"/>
  <c r="U104" i="24"/>
  <c r="U176" i="24"/>
  <c r="J37" i="24"/>
  <c r="O37" i="24"/>
  <c r="BZ37" i="24" s="1"/>
  <c r="Q90" i="24"/>
  <c r="R90" i="24" s="1"/>
  <c r="P90" i="24"/>
  <c r="U113" i="25"/>
  <c r="R147" i="25"/>
  <c r="S147" i="25"/>
  <c r="K147" i="25" s="1"/>
  <c r="V147" i="25" s="1"/>
  <c r="Q147" i="25"/>
  <c r="V18" i="24"/>
  <c r="U33" i="24"/>
  <c r="P134" i="25"/>
  <c r="O134" i="25"/>
  <c r="P298" i="25"/>
  <c r="O298" i="25"/>
  <c r="V25" i="24"/>
  <c r="U172" i="25"/>
  <c r="J313" i="24"/>
  <c r="W313" i="24" s="1"/>
  <c r="O313" i="24"/>
  <c r="BZ313" i="24" s="1"/>
  <c r="U49" i="25"/>
  <c r="U127" i="25"/>
  <c r="U62" i="25"/>
  <c r="J310" i="24"/>
  <c r="W310" i="24" s="1"/>
  <c r="O310" i="24"/>
  <c r="BZ310" i="24" s="1"/>
  <c r="V271" i="24"/>
  <c r="U290" i="25"/>
  <c r="O309" i="24"/>
  <c r="BZ309" i="24" s="1"/>
  <c r="J309" i="24"/>
  <c r="N126" i="24"/>
  <c r="U126" i="24"/>
  <c r="P208" i="25"/>
  <c r="O208" i="25"/>
  <c r="T208" i="25"/>
  <c r="N228" i="24"/>
  <c r="P281" i="25"/>
  <c r="O281" i="25"/>
  <c r="P249" i="25"/>
  <c r="O249" i="25"/>
  <c r="T249" i="25"/>
  <c r="J316" i="24"/>
  <c r="O316" i="24"/>
  <c r="BZ316" i="24" s="1"/>
  <c r="P46" i="25"/>
  <c r="O46" i="25"/>
  <c r="J312" i="24"/>
  <c r="W312" i="24" s="1"/>
  <c r="O312" i="24"/>
  <c r="BZ312" i="24" s="1"/>
  <c r="Q20" i="24"/>
  <c r="R20" i="24" s="1"/>
  <c r="P20" i="24"/>
  <c r="O305" i="24"/>
  <c r="BZ305" i="24" s="1"/>
  <c r="J305" i="24"/>
  <c r="O287" i="24"/>
  <c r="BZ287" i="24" s="1"/>
  <c r="J287" i="24"/>
  <c r="J104" i="24"/>
  <c r="O104" i="24"/>
  <c r="BZ104" i="24" s="1"/>
  <c r="P99" i="25"/>
  <c r="O99" i="25"/>
  <c r="J304" i="24"/>
  <c r="O304" i="24"/>
  <c r="BZ304" i="24" s="1"/>
  <c r="O147" i="24"/>
  <c r="BZ147" i="24" s="1"/>
  <c r="J147" i="24"/>
  <c r="W147" i="24" s="1"/>
  <c r="U137" i="25"/>
  <c r="J24" i="24"/>
  <c r="W24" i="24" s="1"/>
  <c r="O24" i="24"/>
  <c r="BZ24" i="24" s="1"/>
  <c r="P49" i="25"/>
  <c r="O49" i="25"/>
  <c r="P33" i="25"/>
  <c r="O33" i="25"/>
  <c r="P175" i="25"/>
  <c r="O175" i="25"/>
  <c r="U252" i="25"/>
  <c r="N59" i="24"/>
  <c r="U59" i="24"/>
  <c r="U64" i="25"/>
  <c r="N148" i="24"/>
  <c r="U148" i="24"/>
  <c r="O173" i="24"/>
  <c r="BZ173" i="24" s="1"/>
  <c r="J173" i="24"/>
  <c r="O149" i="24"/>
  <c r="BZ149" i="24" s="1"/>
  <c r="J149" i="24"/>
  <c r="P224" i="25"/>
  <c r="O224" i="25"/>
  <c r="T224" i="25"/>
  <c r="U69" i="25"/>
  <c r="O271" i="24"/>
  <c r="BZ271" i="24" s="1"/>
  <c r="J271" i="24"/>
  <c r="W271" i="24" s="1"/>
  <c r="AD129" i="25"/>
  <c r="W129" i="25"/>
  <c r="Z129" i="25" s="1"/>
  <c r="AA129" i="25" s="1"/>
  <c r="AB129" i="25" s="1"/>
  <c r="AI129" i="25" s="1"/>
  <c r="T281" i="25"/>
  <c r="V76" i="24"/>
  <c r="U145" i="25"/>
  <c r="N203" i="24"/>
  <c r="U203" i="24"/>
  <c r="P307" i="25"/>
  <c r="O307" i="25"/>
  <c r="T307" i="25"/>
  <c r="J29" i="24"/>
  <c r="O29" i="24"/>
  <c r="BZ29" i="24" s="1"/>
  <c r="N249" i="24"/>
  <c r="P41" i="25"/>
  <c r="O41" i="25"/>
  <c r="T41" i="25"/>
  <c r="P123" i="25"/>
  <c r="O123" i="25"/>
  <c r="T123" i="25"/>
  <c r="U147" i="25"/>
  <c r="O153" i="24"/>
  <c r="BZ153" i="24" s="1"/>
  <c r="J153" i="24"/>
  <c r="J282" i="24"/>
  <c r="O282" i="24"/>
  <c r="BZ282" i="24" s="1"/>
  <c r="J146" i="24"/>
  <c r="O146" i="24"/>
  <c r="BZ146" i="24" s="1"/>
  <c r="O255" i="24"/>
  <c r="BZ255" i="24" s="1"/>
  <c r="J255" i="24"/>
  <c r="Q23" i="24"/>
  <c r="R23" i="24" s="1"/>
  <c r="P23" i="24"/>
  <c r="N184" i="24"/>
  <c r="U184" i="24"/>
  <c r="V30" i="24"/>
  <c r="P295" i="24"/>
  <c r="Q295" i="24"/>
  <c r="O48" i="24"/>
  <c r="BZ48" i="24" s="1"/>
  <c r="J48" i="24"/>
  <c r="W48" i="24" s="1"/>
  <c r="O197" i="24"/>
  <c r="BZ197" i="24" s="1"/>
  <c r="J197" i="24"/>
  <c r="P175" i="24"/>
  <c r="Q175" i="24"/>
  <c r="AE162" i="24"/>
  <c r="X162" i="24"/>
  <c r="AA162" i="24" s="1"/>
  <c r="AB162" i="24" s="1"/>
  <c r="AC162" i="24" s="1"/>
  <c r="AI162" i="24"/>
  <c r="P98" i="24"/>
  <c r="Q98" i="24"/>
  <c r="R98" i="24" s="1"/>
  <c r="T175" i="25"/>
  <c r="N194" i="24"/>
  <c r="U194" i="24"/>
  <c r="AP20" i="24"/>
  <c r="N315" i="24"/>
  <c r="P251" i="25"/>
  <c r="O251" i="25"/>
  <c r="T251" i="25"/>
  <c r="U316" i="25"/>
  <c r="N247" i="24"/>
  <c r="U17" i="24"/>
  <c r="J86" i="24"/>
  <c r="W86" i="24" s="1"/>
  <c r="O86" i="24"/>
  <c r="BZ86" i="24" s="1"/>
  <c r="O161" i="24"/>
  <c r="BZ161" i="24" s="1"/>
  <c r="J161" i="24"/>
  <c r="P209" i="25"/>
  <c r="O209" i="25"/>
  <c r="T209" i="25"/>
  <c r="U133" i="25"/>
  <c r="P277" i="25"/>
  <c r="O277" i="25"/>
  <c r="T277" i="25"/>
  <c r="T289" i="25"/>
  <c r="N187" i="24"/>
  <c r="U187" i="24"/>
  <c r="P219" i="25"/>
  <c r="O219" i="25"/>
  <c r="T219" i="25"/>
  <c r="Q253" i="24"/>
  <c r="P253" i="24"/>
  <c r="J232" i="24"/>
  <c r="O232" i="24"/>
  <c r="BZ232" i="24" s="1"/>
  <c r="U120" i="25"/>
  <c r="P245" i="24"/>
  <c r="Q245" i="24"/>
  <c r="O72" i="24"/>
  <c r="BZ72" i="24" s="1"/>
  <c r="J72" i="24"/>
  <c r="W72" i="24" s="1"/>
  <c r="P56" i="25"/>
  <c r="O56" i="25"/>
  <c r="T56" i="25"/>
  <c r="Q189" i="24"/>
  <c r="P189" i="24"/>
  <c r="P60" i="25"/>
  <c r="O60" i="25"/>
  <c r="U151" i="24"/>
  <c r="J128" i="24"/>
  <c r="O128" i="24"/>
  <c r="BZ128" i="24" s="1"/>
  <c r="O278" i="24"/>
  <c r="BZ278" i="24" s="1"/>
  <c r="J278" i="24"/>
  <c r="U91" i="25"/>
  <c r="V44" i="24"/>
  <c r="W44" i="24"/>
  <c r="N117" i="24"/>
  <c r="U117" i="24"/>
  <c r="J314" i="24"/>
  <c r="O314" i="24"/>
  <c r="BZ314" i="24" s="1"/>
  <c r="J307" i="24"/>
  <c r="W307" i="24" s="1"/>
  <c r="O307" i="24"/>
  <c r="BZ307" i="24" s="1"/>
  <c r="P305" i="24"/>
  <c r="Q305" i="24"/>
  <c r="J91" i="24"/>
  <c r="O91" i="24"/>
  <c r="BZ91" i="24" s="1"/>
  <c r="P17" i="25"/>
  <c r="O17" i="25"/>
  <c r="AP196" i="24"/>
  <c r="J171" i="24"/>
  <c r="O171" i="24"/>
  <c r="BZ171" i="24" s="1"/>
  <c r="P119" i="25"/>
  <c r="O119" i="25"/>
  <c r="P50" i="25"/>
  <c r="O50" i="25"/>
  <c r="J98" i="24"/>
  <c r="O98" i="24"/>
  <c r="BZ98" i="24" s="1"/>
  <c r="J81" i="24"/>
  <c r="O81" i="24"/>
  <c r="BZ81" i="24" s="1"/>
  <c r="J245" i="24"/>
  <c r="O245" i="24"/>
  <c r="BZ245" i="24" s="1"/>
  <c r="Q12" i="24"/>
  <c r="R12" i="24" s="1"/>
  <c r="P12" i="24"/>
  <c r="S261" i="25"/>
  <c r="K261" i="25" s="1"/>
  <c r="R261" i="25"/>
  <c r="Q261" i="25"/>
  <c r="U229" i="25"/>
  <c r="P234" i="24"/>
  <c r="Q234" i="24"/>
  <c r="J273" i="24"/>
  <c r="O273" i="24"/>
  <c r="BZ273" i="24" s="1"/>
  <c r="P193" i="25"/>
  <c r="O193" i="25"/>
  <c r="O152" i="25"/>
  <c r="P152" i="25"/>
  <c r="P306" i="24"/>
  <c r="Q306" i="24"/>
  <c r="P226" i="24"/>
  <c r="Q226" i="24"/>
  <c r="U102" i="24"/>
  <c r="P296" i="24"/>
  <c r="Q296" i="24"/>
  <c r="T53" i="25"/>
  <c r="P132" i="25"/>
  <c r="O132" i="25"/>
  <c r="P265" i="24"/>
  <c r="Q265" i="24"/>
  <c r="R257" i="25"/>
  <c r="S257" i="25"/>
  <c r="K257" i="25" s="1"/>
  <c r="Q257" i="25"/>
  <c r="Q185" i="24"/>
  <c r="P185" i="24"/>
  <c r="U114" i="25"/>
  <c r="S178" i="25"/>
  <c r="K178" i="25" s="1"/>
  <c r="V178" i="25" s="1"/>
  <c r="R178" i="25"/>
  <c r="Q178" i="25"/>
  <c r="S167" i="25"/>
  <c r="K167" i="25" s="1"/>
  <c r="R167" i="25"/>
  <c r="Q167" i="25"/>
  <c r="J274" i="24"/>
  <c r="O274" i="24"/>
  <c r="BZ274" i="24" s="1"/>
  <c r="N298" i="24"/>
  <c r="J70" i="24"/>
  <c r="O70" i="24"/>
  <c r="BZ70" i="24" s="1"/>
  <c r="P152" i="24"/>
  <c r="Q152" i="24"/>
  <c r="V227" i="24"/>
  <c r="P200" i="24"/>
  <c r="Q200" i="24"/>
  <c r="P195" i="25"/>
  <c r="O195" i="25"/>
  <c r="P8" i="25"/>
  <c r="O8" i="25"/>
  <c r="U170" i="24"/>
  <c r="J250" i="24"/>
  <c r="O250" i="24"/>
  <c r="BZ250" i="24" s="1"/>
  <c r="O56" i="24"/>
  <c r="BZ56" i="24" s="1"/>
  <c r="J56" i="24"/>
  <c r="T63" i="25"/>
  <c r="U201" i="25"/>
  <c r="U292" i="25"/>
  <c r="S246" i="25"/>
  <c r="K246" i="25" s="1"/>
  <c r="R246" i="25"/>
  <c r="Q246" i="25"/>
  <c r="J67" i="24"/>
  <c r="O67" i="24"/>
  <c r="BZ67" i="24" s="1"/>
  <c r="R259" i="25"/>
  <c r="S259" i="25"/>
  <c r="K259" i="25" s="1"/>
  <c r="Q259" i="25"/>
  <c r="U92" i="25"/>
  <c r="Q224" i="24"/>
  <c r="P224" i="24"/>
  <c r="V83" i="24"/>
  <c r="P151" i="25"/>
  <c r="O151" i="25"/>
  <c r="O283" i="24"/>
  <c r="BZ283" i="24" s="1"/>
  <c r="J283" i="24"/>
  <c r="R267" i="25"/>
  <c r="S267" i="25"/>
  <c r="K267" i="25" s="1"/>
  <c r="V267" i="25" s="1"/>
  <c r="Q267" i="25"/>
  <c r="R113" i="25"/>
  <c r="S113" i="25"/>
  <c r="K113" i="25" s="1"/>
  <c r="V113" i="25" s="1"/>
  <c r="Q113" i="25"/>
  <c r="AP302" i="24"/>
  <c r="O162" i="25"/>
  <c r="P162" i="25"/>
  <c r="O33" i="24"/>
  <c r="BZ33" i="24" s="1"/>
  <c r="J33" i="24"/>
  <c r="Q197" i="24"/>
  <c r="P197" i="24"/>
  <c r="P304" i="25"/>
  <c r="O304" i="25"/>
  <c r="T304" i="25"/>
  <c r="P151" i="24"/>
  <c r="Q151" i="24"/>
  <c r="P74" i="25"/>
  <c r="O74" i="25"/>
  <c r="T74" i="25"/>
  <c r="P103" i="25"/>
  <c r="O103" i="25"/>
  <c r="U285" i="25"/>
  <c r="U126" i="25"/>
  <c r="R255" i="25"/>
  <c r="S255" i="25"/>
  <c r="K255" i="25" s="1"/>
  <c r="Q255" i="25"/>
  <c r="P7" i="25"/>
  <c r="O7" i="25"/>
  <c r="J221" i="24"/>
  <c r="O221" i="24"/>
  <c r="BZ221" i="24" s="1"/>
  <c r="V68" i="24"/>
  <c r="V129" i="24"/>
  <c r="J129" i="24"/>
  <c r="O129" i="24"/>
  <c r="BZ129" i="24" s="1"/>
  <c r="P291" i="24"/>
  <c r="Q291" i="24"/>
  <c r="P118" i="25"/>
  <c r="O118" i="25"/>
  <c r="P172" i="25"/>
  <c r="O172" i="25"/>
  <c r="U291" i="25"/>
  <c r="J289" i="24"/>
  <c r="O289" i="24"/>
  <c r="BZ289" i="24" s="1"/>
  <c r="P250" i="25"/>
  <c r="O250" i="25"/>
  <c r="J155" i="24"/>
  <c r="O155" i="24"/>
  <c r="BZ155" i="24" s="1"/>
  <c r="U54" i="25"/>
  <c r="U155" i="25"/>
  <c r="J240" i="24"/>
  <c r="O240" i="24"/>
  <c r="BZ240" i="24" s="1"/>
  <c r="Q31" i="24"/>
  <c r="R31" i="24" s="1"/>
  <c r="P31" i="24"/>
  <c r="P126" i="25"/>
  <c r="O126" i="25"/>
  <c r="U153" i="25"/>
  <c r="V237" i="24"/>
  <c r="T181" i="25"/>
  <c r="P150" i="25"/>
  <c r="O150" i="25"/>
  <c r="N141" i="24"/>
  <c r="U141" i="24"/>
  <c r="O105" i="25"/>
  <c r="P105" i="25"/>
  <c r="O62" i="24"/>
  <c r="BZ62" i="24" s="1"/>
  <c r="J62" i="24"/>
  <c r="W62" i="24" s="1"/>
  <c r="P166" i="25"/>
  <c r="O166" i="25"/>
  <c r="P233" i="25"/>
  <c r="O233" i="25"/>
  <c r="N140" i="24"/>
  <c r="U140" i="24"/>
  <c r="P284" i="24"/>
  <c r="Q284" i="24"/>
  <c r="P79" i="25"/>
  <c r="O79" i="25"/>
  <c r="T79" i="25"/>
  <c r="BZ170" i="25"/>
  <c r="P26" i="25"/>
  <c r="O26" i="25"/>
  <c r="T26" i="25"/>
  <c r="U85" i="25"/>
  <c r="P10" i="25"/>
  <c r="O10" i="25"/>
  <c r="T10" i="25"/>
  <c r="V150" i="24"/>
  <c r="Q104" i="24"/>
  <c r="R104" i="24" s="1"/>
  <c r="P104" i="24"/>
  <c r="AP144" i="24"/>
  <c r="J231" i="24"/>
  <c r="W231" i="24" s="1"/>
  <c r="O231" i="24"/>
  <c r="BZ231" i="24" s="1"/>
  <c r="J131" i="24"/>
  <c r="O131" i="24"/>
  <c r="BZ131" i="24" s="1"/>
  <c r="J133" i="24"/>
  <c r="W133" i="24" s="1"/>
  <c r="O133" i="24"/>
  <c r="BZ133" i="24" s="1"/>
  <c r="P88" i="25"/>
  <c r="O88" i="25"/>
  <c r="N89" i="24"/>
  <c r="U89" i="24"/>
  <c r="P207" i="24"/>
  <c r="Q207" i="24"/>
  <c r="Q60" i="24"/>
  <c r="R60" i="24" s="1"/>
  <c r="P60" i="24"/>
  <c r="J242" i="24"/>
  <c r="O242" i="24"/>
  <c r="BZ242" i="24" s="1"/>
  <c r="T234" i="25"/>
  <c r="AP17" i="24"/>
  <c r="J199" i="24"/>
  <c r="W199" i="24" s="1"/>
  <c r="O199" i="24"/>
  <c r="BZ199" i="24" s="1"/>
  <c r="J175" i="24"/>
  <c r="O175" i="24"/>
  <c r="BZ175" i="24" s="1"/>
  <c r="S177" i="25"/>
  <c r="K177" i="25" s="1"/>
  <c r="R177" i="25"/>
  <c r="Q177" i="25"/>
  <c r="S190" i="25"/>
  <c r="K190" i="25" s="1"/>
  <c r="R190" i="25"/>
  <c r="Q190" i="25"/>
  <c r="O34" i="24"/>
  <c r="BZ34" i="24" s="1"/>
  <c r="J34" i="24"/>
  <c r="J76" i="24"/>
  <c r="O76" i="24"/>
  <c r="BZ76" i="24" s="1"/>
  <c r="O236" i="25"/>
  <c r="P236" i="25"/>
  <c r="O192" i="24"/>
  <c r="BZ192" i="24" s="1"/>
  <c r="J192" i="24"/>
  <c r="P301" i="24"/>
  <c r="Q301" i="24"/>
  <c r="P142" i="25"/>
  <c r="O142" i="25"/>
  <c r="T142" i="25"/>
  <c r="O139" i="25"/>
  <c r="P139" i="25"/>
  <c r="T139" i="25"/>
  <c r="U111" i="25"/>
  <c r="U204" i="25"/>
  <c r="U305" i="25"/>
  <c r="U294" i="25"/>
  <c r="AP136" i="24"/>
  <c r="U45" i="25"/>
  <c r="T66" i="25"/>
  <c r="P159" i="24"/>
  <c r="Q159" i="24"/>
  <c r="J225" i="24"/>
  <c r="O225" i="24"/>
  <c r="BZ225" i="24" s="1"/>
  <c r="BZ190" i="25"/>
  <c r="V307" i="24"/>
  <c r="P163" i="25"/>
  <c r="O163" i="25"/>
  <c r="Q75" i="24"/>
  <c r="R75" i="24" s="1"/>
  <c r="P75" i="24"/>
  <c r="P124" i="25"/>
  <c r="O124" i="25"/>
  <c r="P217" i="25"/>
  <c r="O217" i="25"/>
  <c r="T217" i="25"/>
  <c r="O189" i="24"/>
  <c r="BZ189" i="24" s="1"/>
  <c r="J189" i="24"/>
  <c r="P18" i="25"/>
  <c r="O18" i="25"/>
  <c r="T18" i="25"/>
  <c r="P169" i="24"/>
  <c r="Q169" i="24"/>
  <c r="U135" i="24"/>
  <c r="V110" i="25"/>
  <c r="X110" i="25" s="1"/>
  <c r="AE257" i="24"/>
  <c r="X257" i="24"/>
  <c r="AA257" i="24" s="1"/>
  <c r="AB257" i="24" s="1"/>
  <c r="AC257" i="24" s="1"/>
  <c r="AI257" i="24"/>
  <c r="U23" i="24"/>
  <c r="J11" i="24"/>
  <c r="O11" i="24"/>
  <c r="BZ11" i="24" s="1"/>
  <c r="V43" i="24"/>
  <c r="Q314" i="24"/>
  <c r="P314" i="24"/>
  <c r="S6" i="25"/>
  <c r="K6" i="25" s="1"/>
  <c r="R6" i="25"/>
  <c r="Q6" i="25"/>
  <c r="P270" i="25"/>
  <c r="O270" i="25"/>
  <c r="O144" i="25"/>
  <c r="P144" i="25"/>
  <c r="P208" i="24"/>
  <c r="Q208" i="24"/>
  <c r="AP105" i="24"/>
  <c r="P51" i="25"/>
  <c r="O51" i="25"/>
  <c r="J15" i="24"/>
  <c r="O15" i="24"/>
  <c r="BZ15" i="24" s="1"/>
  <c r="Q258" i="24"/>
  <c r="P258" i="24"/>
  <c r="AP51" i="24"/>
  <c r="P269" i="24"/>
  <c r="Q269" i="24"/>
  <c r="J12" i="24"/>
  <c r="O12" i="24"/>
  <c r="BZ12" i="24" s="1"/>
  <c r="R229" i="25"/>
  <c r="S229" i="25"/>
  <c r="K229" i="25" s="1"/>
  <c r="V229" i="25" s="1"/>
  <c r="Q229" i="25"/>
  <c r="V279" i="24"/>
  <c r="V231" i="24"/>
  <c r="AP256" i="24"/>
  <c r="J36" i="24"/>
  <c r="O36" i="24"/>
  <c r="BZ36" i="24" s="1"/>
  <c r="U282" i="25"/>
  <c r="S161" i="25"/>
  <c r="K161" i="25" s="1"/>
  <c r="V161" i="25" s="1"/>
  <c r="R161" i="25"/>
  <c r="Q161" i="25"/>
  <c r="S276" i="25"/>
  <c r="K276" i="25" s="1"/>
  <c r="V276" i="25" s="1"/>
  <c r="R276" i="25"/>
  <c r="Q276" i="25"/>
  <c r="P241" i="25"/>
  <c r="O241" i="25"/>
  <c r="U115" i="24"/>
  <c r="U179" i="24"/>
  <c r="J265" i="24"/>
  <c r="O265" i="24"/>
  <c r="BZ265" i="24" s="1"/>
  <c r="S186" i="25"/>
  <c r="K186" i="25" s="1"/>
  <c r="R186" i="25"/>
  <c r="Q186" i="25"/>
  <c r="S114" i="25"/>
  <c r="K114" i="25" s="1"/>
  <c r="R114" i="25"/>
  <c r="Q114" i="25"/>
  <c r="J50" i="24"/>
  <c r="O50" i="24"/>
  <c r="BZ50" i="24" s="1"/>
  <c r="P143" i="24"/>
  <c r="Q143" i="24"/>
  <c r="J298" i="24"/>
  <c r="O298" i="24"/>
  <c r="BZ298" i="24" s="1"/>
  <c r="U186" i="24"/>
  <c r="P227" i="24"/>
  <c r="Q227" i="24"/>
  <c r="V40" i="24"/>
  <c r="U34" i="24"/>
  <c r="S71" i="25"/>
  <c r="K71" i="25" s="1"/>
  <c r="R71" i="25"/>
  <c r="Q71" i="25"/>
  <c r="P170" i="24"/>
  <c r="Q170" i="24"/>
  <c r="U42" i="25"/>
  <c r="U95" i="25"/>
  <c r="R201" i="25"/>
  <c r="S201" i="25"/>
  <c r="K201" i="25" s="1"/>
  <c r="V201" i="25" s="1"/>
  <c r="Q201" i="25"/>
  <c r="S292" i="25"/>
  <c r="K292" i="25" s="1"/>
  <c r="V292" i="25" s="1"/>
  <c r="R292" i="25"/>
  <c r="Q292" i="25"/>
  <c r="T99" i="25"/>
  <c r="V32" i="24"/>
  <c r="R92" i="25"/>
  <c r="S92" i="25"/>
  <c r="K92" i="25" s="1"/>
  <c r="Q92" i="25"/>
  <c r="Q261" i="24"/>
  <c r="P261" i="24"/>
  <c r="Q83" i="24"/>
  <c r="R83" i="24" s="1"/>
  <c r="P83" i="24"/>
  <c r="U148" i="25"/>
  <c r="R82" i="25"/>
  <c r="S82" i="25"/>
  <c r="K82" i="25" s="1"/>
  <c r="V82" i="25" s="1"/>
  <c r="Q82" i="25"/>
  <c r="U111" i="24"/>
  <c r="U162" i="25"/>
  <c r="P301" i="25"/>
  <c r="O301" i="25"/>
  <c r="T301" i="25"/>
  <c r="Q222" i="24"/>
  <c r="P222" i="24"/>
  <c r="N280" i="24"/>
  <c r="J18" i="24"/>
  <c r="O18" i="24"/>
  <c r="BZ18" i="24" s="1"/>
  <c r="Q154" i="24"/>
  <c r="P154" i="24"/>
  <c r="AE44" i="24"/>
  <c r="X44" i="24"/>
  <c r="AA44" i="24" s="1"/>
  <c r="AB44" i="24" s="1"/>
  <c r="AC44" i="24" s="1"/>
  <c r="AI44" i="24"/>
  <c r="U46" i="25"/>
  <c r="Q9" i="24"/>
  <c r="R9" i="24" s="1"/>
  <c r="P9" i="24"/>
  <c r="P299" i="25"/>
  <c r="O299" i="25"/>
  <c r="T299" i="25"/>
  <c r="O181" i="24"/>
  <c r="BZ181" i="24" s="1"/>
  <c r="J181" i="24"/>
  <c r="W181" i="24" s="1"/>
  <c r="V163" i="24"/>
  <c r="P228" i="25"/>
  <c r="O228" i="25"/>
  <c r="T228" i="25"/>
  <c r="O19" i="25"/>
  <c r="P19" i="25"/>
  <c r="T298" i="25"/>
  <c r="U34" i="25"/>
  <c r="AE41" i="24"/>
  <c r="X41" i="24"/>
  <c r="AA41" i="24" s="1"/>
  <c r="AB41" i="24" s="1"/>
  <c r="AC41" i="24" s="1"/>
  <c r="AI41" i="24"/>
  <c r="P20" i="25"/>
  <c r="O20" i="25"/>
  <c r="P48" i="25"/>
  <c r="O48" i="25"/>
  <c r="O227" i="24"/>
  <c r="BZ227" i="24" s="1"/>
  <c r="J227" i="24"/>
  <c r="W227" i="24" s="1"/>
  <c r="AE191" i="24"/>
  <c r="AI191" i="24"/>
  <c r="X191" i="24"/>
  <c r="AA191" i="24" s="1"/>
  <c r="AB191" i="24" s="1"/>
  <c r="AC191" i="24" s="1"/>
  <c r="V205" i="24"/>
  <c r="Q179" i="24"/>
  <c r="P179" i="24"/>
  <c r="P180" i="25"/>
  <c r="O180" i="25"/>
  <c r="J163" i="24"/>
  <c r="W163" i="24" s="1"/>
  <c r="O163" i="24"/>
  <c r="BZ163" i="24" s="1"/>
  <c r="O291" i="24"/>
  <c r="BZ291" i="24" s="1"/>
  <c r="J291" i="24"/>
  <c r="N93" i="24"/>
  <c r="U93" i="24"/>
  <c r="P313" i="25"/>
  <c r="O313" i="25"/>
  <c r="T313" i="25"/>
  <c r="P303" i="25"/>
  <c r="O303" i="25"/>
  <c r="T303" i="25"/>
  <c r="P84" i="25"/>
  <c r="O84" i="25"/>
  <c r="T84" i="25"/>
  <c r="J148" i="24"/>
  <c r="O148" i="24"/>
  <c r="BZ148" i="24" s="1"/>
  <c r="P312" i="25"/>
  <c r="O312" i="25"/>
  <c r="U233" i="25"/>
  <c r="O120" i="24"/>
  <c r="BZ120" i="24" s="1"/>
  <c r="J120" i="24"/>
  <c r="B83" i="2"/>
  <c r="D83" i="2" s="1"/>
  <c r="O210" i="25"/>
  <c r="P210" i="25"/>
  <c r="T210" i="25"/>
  <c r="P127" i="25"/>
  <c r="O127" i="25"/>
  <c r="J218" i="24"/>
  <c r="O218" i="24"/>
  <c r="BZ218" i="24" s="1"/>
  <c r="O159" i="24"/>
  <c r="BZ159" i="24" s="1"/>
  <c r="J159" i="24"/>
  <c r="U144" i="24"/>
  <c r="O141" i="24"/>
  <c r="BZ141" i="24" s="1"/>
  <c r="J141" i="24"/>
  <c r="J253" i="24"/>
  <c r="O253" i="24"/>
  <c r="BZ253" i="24" s="1"/>
  <c r="O130" i="24"/>
  <c r="BZ130" i="24" s="1"/>
  <c r="J130" i="24"/>
  <c r="W130" i="24" s="1"/>
  <c r="N206" i="24"/>
  <c r="U206" i="24"/>
  <c r="V133" i="24"/>
  <c r="N123" i="24"/>
  <c r="U123" i="24"/>
  <c r="N161" i="24"/>
  <c r="U161" i="24"/>
  <c r="Q124" i="24"/>
  <c r="P124" i="24"/>
  <c r="N255" i="24"/>
  <c r="T118" i="25"/>
  <c r="J249" i="24"/>
  <c r="O249" i="24"/>
  <c r="BZ249" i="24" s="1"/>
  <c r="N42" i="24"/>
  <c r="U42" i="24"/>
  <c r="P271" i="25"/>
  <c r="O271" i="25"/>
  <c r="N131" i="24"/>
  <c r="U131" i="24"/>
  <c r="J118" i="24"/>
  <c r="O118" i="24"/>
  <c r="BZ118" i="24" s="1"/>
  <c r="P12" i="25"/>
  <c r="O12" i="25"/>
  <c r="T12" i="25"/>
  <c r="O207" i="24"/>
  <c r="BZ207" i="24" s="1"/>
  <c r="J207" i="24"/>
  <c r="Q66" i="24"/>
  <c r="R66" i="24" s="1"/>
  <c r="P66" i="24"/>
  <c r="O169" i="24"/>
  <c r="BZ169" i="24" s="1"/>
  <c r="J169" i="24"/>
  <c r="P43" i="25"/>
  <c r="O43" i="25"/>
  <c r="P57" i="25"/>
  <c r="O57" i="25"/>
  <c r="O49" i="24"/>
  <c r="BZ49" i="24" s="1"/>
  <c r="J49" i="24"/>
  <c r="J300" i="24"/>
  <c r="O300" i="24"/>
  <c r="BZ300" i="24" s="1"/>
  <c r="S305" i="25"/>
  <c r="K305" i="25" s="1"/>
  <c r="V305" i="25" s="1"/>
  <c r="R305" i="25"/>
  <c r="Q305" i="25"/>
  <c r="O150" i="24"/>
  <c r="BZ150" i="24" s="1"/>
  <c r="J150" i="24"/>
  <c r="AP179" i="24"/>
  <c r="J194" i="24"/>
  <c r="O194" i="24"/>
  <c r="BZ194" i="24" s="1"/>
  <c r="Q241" i="24"/>
  <c r="P241" i="24"/>
  <c r="Q35" i="24"/>
  <c r="R35" i="24" s="1"/>
  <c r="P35" i="24"/>
  <c r="P115" i="25"/>
  <c r="O115" i="25"/>
  <c r="T115" i="25"/>
  <c r="U9" i="24"/>
  <c r="P288" i="25"/>
  <c r="O288" i="25"/>
  <c r="T288" i="25"/>
  <c r="U97" i="25"/>
  <c r="U156" i="24"/>
  <c r="U144" i="25"/>
  <c r="U98" i="24"/>
  <c r="J187" i="24"/>
  <c r="O187" i="24"/>
  <c r="BZ187" i="24" s="1"/>
  <c r="BZ198" i="25"/>
  <c r="N263" i="24"/>
  <c r="J182" i="24"/>
  <c r="W182" i="24" s="1"/>
  <c r="O182" i="24"/>
  <c r="BZ182" i="24" s="1"/>
  <c r="U270" i="25"/>
  <c r="J71" i="24"/>
  <c r="O71" i="24"/>
  <c r="BZ71" i="24" s="1"/>
  <c r="J247" i="24"/>
  <c r="O247" i="24"/>
  <c r="BZ247" i="24" s="1"/>
  <c r="AP295" i="24"/>
  <c r="W162" i="24"/>
  <c r="Y162" i="24" s="1"/>
  <c r="J14" i="24"/>
  <c r="O14" i="24"/>
  <c r="BZ14" i="24" s="1"/>
  <c r="P191" i="25"/>
  <c r="O191" i="25"/>
  <c r="V86" i="24"/>
  <c r="U61" i="25"/>
  <c r="P196" i="25"/>
  <c r="O196" i="25"/>
  <c r="T196" i="25"/>
  <c r="AP284" i="24"/>
  <c r="O117" i="24"/>
  <c r="BZ117" i="24" s="1"/>
  <c r="J117" i="24"/>
  <c r="P120" i="25"/>
  <c r="O120" i="25"/>
  <c r="N103" i="24"/>
  <c r="U103" i="24"/>
  <c r="O256" i="24"/>
  <c r="BZ256" i="24" s="1"/>
  <c r="J256" i="24"/>
  <c r="S131" i="25"/>
  <c r="K131" i="25" s="1"/>
  <c r="R131" i="25"/>
  <c r="Q131" i="25"/>
  <c r="P75" i="25"/>
  <c r="O75" i="25"/>
  <c r="T75" i="25"/>
  <c r="J9" i="24"/>
  <c r="O9" i="24"/>
  <c r="BZ9" i="24" s="1"/>
  <c r="J275" i="24"/>
  <c r="O275" i="24"/>
  <c r="BZ275" i="24" s="1"/>
  <c r="J230" i="24"/>
  <c r="O230" i="24"/>
  <c r="BZ230" i="24" s="1"/>
  <c r="O28" i="24"/>
  <c r="BZ28" i="24" s="1"/>
  <c r="J28" i="24"/>
  <c r="P35" i="25"/>
  <c r="O35" i="25"/>
  <c r="AP156" i="24"/>
  <c r="O297" i="24"/>
  <c r="BZ297" i="24" s="1"/>
  <c r="J297" i="24"/>
  <c r="Q87" i="24"/>
  <c r="R87" i="24" s="1"/>
  <c r="P87" i="24"/>
  <c r="T187" i="25"/>
  <c r="Q279" i="24"/>
  <c r="P279" i="24"/>
  <c r="P231" i="24"/>
  <c r="Q231" i="24"/>
  <c r="R232" i="25"/>
  <c r="S232" i="25"/>
  <c r="K232" i="25" s="1"/>
  <c r="Q232" i="25"/>
  <c r="R282" i="25"/>
  <c r="S282" i="25"/>
  <c r="K282" i="25" s="1"/>
  <c r="V282" i="25" s="1"/>
  <c r="Q282" i="25"/>
  <c r="U58" i="25"/>
  <c r="U185" i="25"/>
  <c r="U112" i="24"/>
  <c r="V19" i="24"/>
  <c r="O185" i="24"/>
  <c r="BZ185" i="24" s="1"/>
  <c r="J185" i="24"/>
  <c r="S199" i="25"/>
  <c r="K199" i="25" s="1"/>
  <c r="V199" i="25" s="1"/>
  <c r="R199" i="25"/>
  <c r="Q199" i="25"/>
  <c r="V313" i="24"/>
  <c r="U283" i="25"/>
  <c r="V223" i="24"/>
  <c r="J143" i="24"/>
  <c r="O143" i="24"/>
  <c r="BZ143" i="24" s="1"/>
  <c r="Q168" i="24"/>
  <c r="P168" i="24"/>
  <c r="P186" i="24"/>
  <c r="Q186" i="24"/>
  <c r="O152" i="24"/>
  <c r="BZ152" i="24" s="1"/>
  <c r="J152" i="24"/>
  <c r="S31" i="25"/>
  <c r="K31" i="25" s="1"/>
  <c r="R31" i="25"/>
  <c r="Q31" i="25"/>
  <c r="Q40" i="24"/>
  <c r="R40" i="24" s="1"/>
  <c r="P40" i="24"/>
  <c r="R13" i="25"/>
  <c r="S13" i="25"/>
  <c r="K13" i="25" s="1"/>
  <c r="Q13" i="25"/>
  <c r="U9" i="25"/>
  <c r="U195" i="25"/>
  <c r="P164" i="25"/>
  <c r="O164" i="25"/>
  <c r="U96" i="24"/>
  <c r="S95" i="25"/>
  <c r="K95" i="25" s="1"/>
  <c r="V95" i="25" s="1"/>
  <c r="R95" i="25"/>
  <c r="Q95" i="25"/>
  <c r="S192" i="25"/>
  <c r="K192" i="25" s="1"/>
  <c r="R192" i="25"/>
  <c r="Q192" i="25"/>
  <c r="J243" i="24"/>
  <c r="O243" i="24"/>
  <c r="BZ243" i="24" s="1"/>
  <c r="P32" i="24"/>
  <c r="Q32" i="24"/>
  <c r="R32" i="24" s="1"/>
  <c r="V10" i="24"/>
  <c r="W7" i="24"/>
  <c r="Y7" i="24" s="1"/>
  <c r="P16" i="25"/>
  <c r="O16" i="25"/>
  <c r="P141" i="25"/>
  <c r="O141" i="25"/>
  <c r="V147" i="24"/>
  <c r="T103" i="25"/>
  <c r="V303" i="24"/>
  <c r="U240" i="25"/>
  <c r="S148" i="25"/>
  <c r="K148" i="25" s="1"/>
  <c r="V148" i="25" s="1"/>
  <c r="R148" i="25"/>
  <c r="Q148" i="25"/>
  <c r="P111" i="24"/>
  <c r="Q111" i="24"/>
  <c r="J224" i="24"/>
  <c r="O224" i="24"/>
  <c r="BZ224" i="24" s="1"/>
  <c r="P40" i="25"/>
  <c r="O40" i="25"/>
  <c r="T40" i="25"/>
  <c r="P92" i="24"/>
  <c r="Q92" i="24"/>
  <c r="R92" i="24" s="1"/>
  <c r="U51" i="25"/>
  <c r="U15" i="25"/>
  <c r="P22" i="25"/>
  <c r="O22" i="25"/>
  <c r="T22" i="25"/>
  <c r="U279" i="25"/>
  <c r="V24" i="24"/>
  <c r="P309" i="25"/>
  <c r="O309" i="25"/>
  <c r="J134" i="24"/>
  <c r="O134" i="24"/>
  <c r="BZ134" i="24" s="1"/>
  <c r="N204" i="24"/>
  <c r="U204" i="24"/>
  <c r="P182" i="25"/>
  <c r="O182" i="25"/>
  <c r="J228" i="24"/>
  <c r="O228" i="24"/>
  <c r="BZ228" i="24" s="1"/>
  <c r="P311" i="25"/>
  <c r="O311" i="25"/>
  <c r="P287" i="25"/>
  <c r="O287" i="25"/>
  <c r="T287" i="25"/>
  <c r="Q17" i="24"/>
  <c r="R17" i="24" s="1"/>
  <c r="P17" i="24"/>
  <c r="P101" i="25"/>
  <c r="O101" i="25"/>
  <c r="P76" i="25"/>
  <c r="O76" i="25"/>
  <c r="T76" i="25"/>
  <c r="N260" i="24"/>
  <c r="P156" i="25"/>
  <c r="O156" i="25"/>
  <c r="T156" i="25"/>
  <c r="U33" i="25"/>
  <c r="AP240" i="24"/>
  <c r="U171" i="24"/>
  <c r="T121" i="25"/>
  <c r="J279" i="24"/>
  <c r="W279" i="24" s="1"/>
  <c r="O279" i="24"/>
  <c r="BZ279" i="24" s="1"/>
  <c r="O200" i="24"/>
  <c r="BZ200" i="24" s="1"/>
  <c r="J200" i="24"/>
  <c r="W200" i="24" s="1"/>
  <c r="P117" i="25"/>
  <c r="O117" i="25"/>
  <c r="P297" i="25"/>
  <c r="O297" i="25"/>
  <c r="T297" i="25"/>
  <c r="N259" i="24"/>
  <c r="J83" i="24"/>
  <c r="W83" i="24" s="1"/>
  <c r="O83" i="24"/>
  <c r="BZ83" i="24" s="1"/>
  <c r="U52" i="25"/>
  <c r="N158" i="24"/>
  <c r="U158" i="24"/>
  <c r="Q96" i="24"/>
  <c r="R96" i="24" s="1"/>
  <c r="P96" i="24"/>
  <c r="N58" i="24"/>
  <c r="U58" i="24"/>
  <c r="N149" i="24"/>
  <c r="U149" i="24"/>
  <c r="O112" i="25"/>
  <c r="P112" i="25"/>
  <c r="T112" i="25"/>
  <c r="P125" i="25"/>
  <c r="O125" i="25"/>
  <c r="T125" i="25"/>
  <c r="J220" i="24"/>
  <c r="O220" i="24"/>
  <c r="BZ220" i="24" s="1"/>
  <c r="U254" i="25"/>
  <c r="J27" i="24"/>
  <c r="O27" i="24"/>
  <c r="BZ27" i="24" s="1"/>
  <c r="P83" i="25"/>
  <c r="O83" i="25"/>
  <c r="P90" i="25"/>
  <c r="O90" i="25"/>
  <c r="T90" i="25"/>
  <c r="Q300" i="24"/>
  <c r="P300" i="24"/>
  <c r="U196" i="24"/>
  <c r="V48" i="24"/>
  <c r="O31" i="24"/>
  <c r="BZ31" i="24" s="1"/>
  <c r="J31" i="24"/>
  <c r="AP293" i="24"/>
  <c r="J59" i="24"/>
  <c r="O59" i="24"/>
  <c r="BZ59" i="24" s="1"/>
  <c r="P37" i="25"/>
  <c r="O37" i="25"/>
  <c r="O206" i="24"/>
  <c r="BZ206" i="24" s="1"/>
  <c r="J206" i="24"/>
  <c r="P263" i="25"/>
  <c r="O263" i="25"/>
  <c r="O219" i="24"/>
  <c r="BZ219" i="24" s="1"/>
  <c r="J219" i="24"/>
  <c r="W219" i="24" s="1"/>
  <c r="J140" i="24"/>
  <c r="O140" i="24"/>
  <c r="BZ140" i="24" s="1"/>
  <c r="O169" i="25"/>
  <c r="P169" i="25"/>
  <c r="T169" i="25"/>
  <c r="AO170" i="25"/>
  <c r="AP135" i="24"/>
  <c r="O210" i="24"/>
  <c r="BZ210" i="24" s="1"/>
  <c r="J210" i="24"/>
  <c r="N26" i="24"/>
  <c r="U26" i="24"/>
  <c r="R34" i="25"/>
  <c r="S34" i="25"/>
  <c r="K34" i="25" s="1"/>
  <c r="Q34" i="25"/>
  <c r="N183" i="24"/>
  <c r="U183" i="24"/>
  <c r="O42" i="24"/>
  <c r="BZ42" i="24" s="1"/>
  <c r="J42" i="24"/>
  <c r="J58" i="24"/>
  <c r="O58" i="24"/>
  <c r="BZ58" i="24" s="1"/>
  <c r="O25" i="24"/>
  <c r="BZ25" i="24" s="1"/>
  <c r="J25" i="24"/>
  <c r="W25" i="24" s="1"/>
  <c r="U82" i="25"/>
  <c r="AE190" i="24"/>
  <c r="X190" i="24"/>
  <c r="AA190" i="24" s="1"/>
  <c r="AB190" i="24" s="1"/>
  <c r="AC190" i="24" s="1"/>
  <c r="AI190" i="24"/>
  <c r="P279" i="25"/>
  <c r="O279" i="25"/>
  <c r="P300" i="25"/>
  <c r="O300" i="25"/>
  <c r="Q177" i="24"/>
  <c r="P177" i="24"/>
  <c r="P316" i="25"/>
  <c r="O316" i="25"/>
  <c r="B86" i="2"/>
  <c r="V72" i="24"/>
  <c r="J66" i="24"/>
  <c r="O66" i="24"/>
  <c r="BZ66" i="24" s="1"/>
  <c r="J60" i="24"/>
  <c r="O60" i="24"/>
  <c r="BZ60" i="24" s="1"/>
  <c r="AP13" i="24"/>
  <c r="J144" i="24"/>
  <c r="O144" i="24"/>
  <c r="BZ144" i="24" s="1"/>
  <c r="O241" i="24"/>
  <c r="BZ241" i="24" s="1"/>
  <c r="J241" i="24"/>
  <c r="P198" i="24"/>
  <c r="Q198" i="24"/>
  <c r="P128" i="24"/>
  <c r="Q128" i="24"/>
  <c r="P45" i="25"/>
  <c r="O45" i="25"/>
  <c r="N80" i="24"/>
  <c r="U80" i="24"/>
  <c r="AP124" i="24"/>
  <c r="U310" i="25"/>
  <c r="Q201" i="24"/>
  <c r="P201" i="24"/>
  <c r="V53" i="24"/>
  <c r="U59" i="25"/>
  <c r="AO62" i="25"/>
  <c r="J203" i="24"/>
  <c r="O203" i="24"/>
  <c r="BZ203" i="24" s="1"/>
  <c r="V181" i="24"/>
  <c r="U247" i="25"/>
  <c r="O8" i="24"/>
  <c r="BZ8" i="24" s="1"/>
  <c r="J8" i="24"/>
  <c r="AO198" i="25"/>
  <c r="AP104" i="24"/>
  <c r="AP222" i="24"/>
  <c r="O137" i="24"/>
  <c r="BZ137" i="24" s="1"/>
  <c r="J137" i="24"/>
  <c r="W41" i="24"/>
  <c r="Y41" i="24" s="1"/>
  <c r="AP102" i="24"/>
  <c r="U75" i="24"/>
  <c r="W191" i="24"/>
  <c r="Y191" i="24" s="1"/>
  <c r="O75" i="24"/>
  <c r="BZ75" i="24" s="1"/>
  <c r="J75" i="24"/>
  <c r="P254" i="25"/>
  <c r="O254" i="25"/>
  <c r="P297" i="24"/>
  <c r="Q297" i="24"/>
  <c r="P231" i="25"/>
  <c r="O231" i="25"/>
  <c r="T231" i="25"/>
  <c r="O90" i="24"/>
  <c r="BZ90" i="24" s="1"/>
  <c r="J90" i="24"/>
  <c r="P227" i="25"/>
  <c r="O227" i="25"/>
  <c r="AP201" i="24"/>
  <c r="P183" i="25"/>
  <c r="O183" i="25"/>
  <c r="T183" i="25"/>
  <c r="P140" i="25"/>
  <c r="O140" i="25"/>
  <c r="T140" i="25"/>
  <c r="T101" i="25"/>
  <c r="P115" i="24"/>
  <c r="Q115" i="24"/>
  <c r="J103" i="24"/>
  <c r="O103" i="24"/>
  <c r="BZ103" i="24" s="1"/>
  <c r="AP75" i="24"/>
  <c r="T157" i="25"/>
  <c r="P128" i="25"/>
  <c r="O128" i="25"/>
  <c r="T171" i="25"/>
  <c r="J172" i="24"/>
  <c r="O172" i="24"/>
  <c r="BZ172" i="24" s="1"/>
  <c r="AE22" i="24"/>
  <c r="X22" i="24"/>
  <c r="AA22" i="24" s="1"/>
  <c r="AB22" i="24" s="1"/>
  <c r="AC22" i="24" s="1"/>
  <c r="AI22" i="24"/>
  <c r="BZ131" i="25"/>
  <c r="P256" i="25"/>
  <c r="O256" i="25"/>
  <c r="P149" i="25"/>
  <c r="O149" i="25"/>
  <c r="O258" i="24"/>
  <c r="BZ258" i="24" s="1"/>
  <c r="J258" i="24"/>
  <c r="O284" i="24"/>
  <c r="BZ284" i="24" s="1"/>
  <c r="J284" i="24"/>
  <c r="O87" i="24"/>
  <c r="BZ87" i="24" s="1"/>
  <c r="J87" i="24"/>
  <c r="O269" i="24"/>
  <c r="BZ269" i="24" s="1"/>
  <c r="J269" i="24"/>
  <c r="U14" i="25"/>
  <c r="V16" i="24"/>
  <c r="U138" i="24"/>
  <c r="R247" i="25"/>
  <c r="S247" i="25"/>
  <c r="K247" i="25" s="1"/>
  <c r="V247" i="25" s="1"/>
  <c r="Q247" i="25"/>
  <c r="P58" i="25"/>
  <c r="O58" i="25"/>
  <c r="Q19" i="24"/>
  <c r="R19" i="24" s="1"/>
  <c r="P19" i="24"/>
  <c r="U168" i="24"/>
  <c r="P38" i="25"/>
  <c r="O38" i="25"/>
  <c r="T38" i="25"/>
  <c r="U248" i="25"/>
  <c r="Q313" i="24"/>
  <c r="P313" i="24"/>
  <c r="S283" i="25"/>
  <c r="K283" i="25" s="1"/>
  <c r="V283" i="25" s="1"/>
  <c r="R283" i="25"/>
  <c r="Q283" i="25"/>
  <c r="BZ257" i="25"/>
  <c r="AP243" i="24"/>
  <c r="AP185" i="24"/>
  <c r="S314" i="25"/>
  <c r="K314" i="25" s="1"/>
  <c r="V314" i="25" s="1"/>
  <c r="R314" i="25"/>
  <c r="Q314" i="25"/>
  <c r="V310" i="24"/>
  <c r="T55" i="25"/>
  <c r="P44" i="25"/>
  <c r="O44" i="25"/>
  <c r="T44" i="25"/>
  <c r="J170" i="24"/>
  <c r="O170" i="24"/>
  <c r="BZ170" i="24" s="1"/>
  <c r="W119" i="24"/>
  <c r="Y119" i="24" s="1"/>
  <c r="V142" i="24"/>
  <c r="W142" i="24"/>
  <c r="P42" i="25"/>
  <c r="O42" i="25"/>
  <c r="U159" i="24"/>
  <c r="P10" i="24"/>
  <c r="Q10" i="24"/>
  <c r="R10" i="24" s="1"/>
  <c r="V130" i="24"/>
  <c r="V268" i="24"/>
  <c r="J261" i="24"/>
  <c r="O261" i="24"/>
  <c r="BZ261" i="24" s="1"/>
  <c r="Q303" i="24"/>
  <c r="P303" i="24"/>
  <c r="R240" i="25"/>
  <c r="S240" i="25"/>
  <c r="K240" i="25" s="1"/>
  <c r="V240" i="25" s="1"/>
  <c r="Q240" i="25"/>
  <c r="V97" i="24"/>
  <c r="T105" i="25"/>
  <c r="W292" i="24"/>
  <c r="Y292" i="24" s="1"/>
  <c r="AP294" i="24" l="1"/>
  <c r="P294" i="24"/>
  <c r="Q294" i="24"/>
  <c r="Q250" i="24"/>
  <c r="P235" i="24"/>
  <c r="Q244" i="24"/>
  <c r="P273" i="24"/>
  <c r="P244" i="24"/>
  <c r="Q273" i="24"/>
  <c r="Q235" i="24"/>
  <c r="W294" i="24"/>
  <c r="Y294" i="24" s="1"/>
  <c r="R262" i="25"/>
  <c r="Q262" i="25"/>
  <c r="S262" i="25"/>
  <c r="K262" i="25" s="1"/>
  <c r="V262" i="25" s="1"/>
  <c r="X262" i="25" s="1"/>
  <c r="BZ262" i="25"/>
  <c r="X170" i="25"/>
  <c r="AO96" i="25"/>
  <c r="Q94" i="25"/>
  <c r="BZ94" i="25"/>
  <c r="R94" i="25"/>
  <c r="AO94" i="25"/>
  <c r="Y270" i="24"/>
  <c r="W55" i="24"/>
  <c r="Y55" i="24" s="1"/>
  <c r="Y268" i="24"/>
  <c r="Y97" i="24"/>
  <c r="Y61" i="24"/>
  <c r="Y205" i="24"/>
  <c r="Y248" i="24"/>
  <c r="Y238" i="24"/>
  <c r="Y313" i="24"/>
  <c r="Y237" i="24"/>
  <c r="Y303" i="24"/>
  <c r="Y133" i="24"/>
  <c r="X62" i="25"/>
  <c r="Y130" i="24"/>
  <c r="Y52" i="24"/>
  <c r="Y32" i="24"/>
  <c r="Y24" i="24"/>
  <c r="Y30" i="24"/>
  <c r="X248" i="25"/>
  <c r="Y142" i="24"/>
  <c r="Y310" i="24"/>
  <c r="Y68" i="24"/>
  <c r="Y48" i="24"/>
  <c r="Y306" i="24"/>
  <c r="Y223" i="24"/>
  <c r="Y226" i="24"/>
  <c r="Y231" i="24"/>
  <c r="X204" i="25"/>
  <c r="Y16" i="24"/>
  <c r="Y234" i="24"/>
  <c r="Y43" i="24"/>
  <c r="X147" i="25"/>
  <c r="X82" i="25"/>
  <c r="AO104" i="25"/>
  <c r="Y147" i="24"/>
  <c r="Y307" i="24"/>
  <c r="Y181" i="24"/>
  <c r="X59" i="25"/>
  <c r="X275" i="25"/>
  <c r="X14" i="25"/>
  <c r="X229" i="25"/>
  <c r="Y182" i="24"/>
  <c r="Y272" i="24"/>
  <c r="Y271" i="24"/>
  <c r="Y190" i="24"/>
  <c r="Y219" i="24"/>
  <c r="X89" i="25"/>
  <c r="Y199" i="24"/>
  <c r="Y227" i="24"/>
  <c r="Y121" i="24"/>
  <c r="X283" i="25"/>
  <c r="X161" i="25"/>
  <c r="Y279" i="24"/>
  <c r="Y290" i="24"/>
  <c r="Y163" i="24"/>
  <c r="Y200" i="24"/>
  <c r="Y312" i="24"/>
  <c r="X292" i="25"/>
  <c r="X113" i="25"/>
  <c r="X199" i="25"/>
  <c r="X201" i="25"/>
  <c r="X238" i="25"/>
  <c r="X158" i="25"/>
  <c r="X32" i="25"/>
  <c r="X267" i="25"/>
  <c r="X282" i="25"/>
  <c r="X273" i="25"/>
  <c r="X314" i="25"/>
  <c r="X247" i="25"/>
  <c r="X178" i="25"/>
  <c r="X21" i="25"/>
  <c r="X276" i="25"/>
  <c r="X87" i="25"/>
  <c r="X240" i="25"/>
  <c r="X148" i="25"/>
  <c r="X95" i="25"/>
  <c r="X305" i="25"/>
  <c r="X30" i="25"/>
  <c r="X173" i="25"/>
  <c r="X243" i="25"/>
  <c r="Y86" i="24"/>
  <c r="Y19" i="24"/>
  <c r="Y22" i="24"/>
  <c r="Y72" i="24"/>
  <c r="Y44" i="24"/>
  <c r="Y53" i="24"/>
  <c r="Y10" i="24"/>
  <c r="Y40" i="24"/>
  <c r="Y83" i="24"/>
  <c r="Y21" i="24"/>
  <c r="Y25" i="24"/>
  <c r="Y101" i="24"/>
  <c r="Y62" i="24"/>
  <c r="W160" i="24"/>
  <c r="Y160" i="24" s="1"/>
  <c r="S11" i="25"/>
  <c r="K11" i="25" s="1"/>
  <c r="V11" i="25" s="1"/>
  <c r="X11" i="25" s="1"/>
  <c r="R11" i="25"/>
  <c r="Q11" i="25"/>
  <c r="R280" i="25"/>
  <c r="S280" i="25"/>
  <c r="K280" i="25" s="1"/>
  <c r="V280" i="25" s="1"/>
  <c r="X280" i="25" s="1"/>
  <c r="BZ11" i="25"/>
  <c r="AO280" i="25"/>
  <c r="BZ280" i="25"/>
  <c r="W305" i="24"/>
  <c r="Y305" i="24" s="1"/>
  <c r="S155" i="25"/>
  <c r="K155" i="25" s="1"/>
  <c r="W155" i="25" s="1"/>
  <c r="Z155" i="25" s="1"/>
  <c r="AA155" i="25" s="1"/>
  <c r="AB155" i="25" s="1"/>
  <c r="AI155" i="25" s="1"/>
  <c r="R155" i="25"/>
  <c r="W267" i="24"/>
  <c r="Y267" i="24" s="1"/>
  <c r="AJ191" i="24"/>
  <c r="AT191" i="24" s="1"/>
  <c r="Q155" i="25"/>
  <c r="W252" i="24"/>
  <c r="Y252" i="24" s="1"/>
  <c r="AJ190" i="24"/>
  <c r="AT190" i="24" s="1"/>
  <c r="W152" i="24"/>
  <c r="Y152" i="24" s="1"/>
  <c r="Q96" i="25"/>
  <c r="W12" i="24"/>
  <c r="Y12" i="24" s="1"/>
  <c r="R96" i="25"/>
  <c r="S96" i="25"/>
  <c r="K96" i="25" s="1"/>
  <c r="AD96" i="25" s="1"/>
  <c r="W178" i="24"/>
  <c r="Y178" i="24" s="1"/>
  <c r="W128" i="24"/>
  <c r="Y128" i="24" s="1"/>
  <c r="BZ155" i="25"/>
  <c r="W87" i="24"/>
  <c r="Y87" i="24" s="1"/>
  <c r="BZ96" i="25"/>
  <c r="W137" i="24"/>
  <c r="Y137" i="24" s="1"/>
  <c r="W276" i="24"/>
  <c r="Y276" i="24" s="1"/>
  <c r="W74" i="24"/>
  <c r="Y74" i="24" s="1"/>
  <c r="W286" i="24"/>
  <c r="Y286" i="24" s="1"/>
  <c r="W254" i="24"/>
  <c r="Y254" i="24" s="1"/>
  <c r="W60" i="24"/>
  <c r="Y60" i="24" s="1"/>
  <c r="W143" i="25"/>
  <c r="Z143" i="25" s="1"/>
  <c r="AA143" i="25" s="1"/>
  <c r="AB143" i="25" s="1"/>
  <c r="AI143" i="25" s="1"/>
  <c r="AS143" i="25" s="1"/>
  <c r="Q265" i="25"/>
  <c r="AD143" i="25"/>
  <c r="AE143" i="25" s="1"/>
  <c r="AJ162" i="24"/>
  <c r="AT162" i="24" s="1"/>
  <c r="AJ160" i="24"/>
  <c r="AT160" i="24" s="1"/>
  <c r="Q154" i="25"/>
  <c r="S154" i="25"/>
  <c r="K154" i="25" s="1"/>
  <c r="V154" i="25" s="1"/>
  <c r="X154" i="25" s="1"/>
  <c r="R154" i="25"/>
  <c r="W296" i="24"/>
  <c r="Y296" i="24" s="1"/>
  <c r="BZ154" i="25"/>
  <c r="W314" i="24"/>
  <c r="Y314" i="24" s="1"/>
  <c r="AJ101" i="24"/>
  <c r="W165" i="24"/>
  <c r="Y165" i="24" s="1"/>
  <c r="W157" i="24"/>
  <c r="Y157" i="24" s="1"/>
  <c r="W217" i="24"/>
  <c r="Y217" i="24" s="1"/>
  <c r="W91" i="24"/>
  <c r="Y91" i="24" s="1"/>
  <c r="P223" i="24"/>
  <c r="Q223" i="24"/>
  <c r="BZ97" i="25"/>
  <c r="W230" i="24"/>
  <c r="Y230" i="24" s="1"/>
  <c r="Q97" i="25"/>
  <c r="R97" i="25"/>
  <c r="S97" i="25"/>
  <c r="K97" i="25" s="1"/>
  <c r="V97" i="25" s="1"/>
  <c r="X97" i="25" s="1"/>
  <c r="AO97" i="25"/>
  <c r="Q258" i="25"/>
  <c r="S258" i="25"/>
  <c r="K258" i="25" s="1"/>
  <c r="V258" i="25" s="1"/>
  <c r="X258" i="25" s="1"/>
  <c r="W302" i="24"/>
  <c r="Y302" i="24" s="1"/>
  <c r="R258" i="25"/>
  <c r="AO258" i="25"/>
  <c r="W208" i="24"/>
  <c r="Y208" i="24" s="1"/>
  <c r="W49" i="24"/>
  <c r="Y49" i="24" s="1"/>
  <c r="S265" i="25"/>
  <c r="K265" i="25" s="1"/>
  <c r="AD265" i="25" s="1"/>
  <c r="BZ29" i="25"/>
  <c r="R265" i="25"/>
  <c r="Q291" i="25"/>
  <c r="AO29" i="25"/>
  <c r="R291" i="25"/>
  <c r="Q29" i="25"/>
  <c r="S291" i="25"/>
  <c r="K291" i="25" s="1"/>
  <c r="V291" i="25" s="1"/>
  <c r="X291" i="25" s="1"/>
  <c r="S29" i="25"/>
  <c r="K29" i="25" s="1"/>
  <c r="AD29" i="25" s="1"/>
  <c r="BZ265" i="25"/>
  <c r="R59" i="25"/>
  <c r="Q189" i="25"/>
  <c r="W37" i="24"/>
  <c r="S189" i="25"/>
  <c r="K189" i="25" s="1"/>
  <c r="W189" i="25" s="1"/>
  <c r="Z189" i="25" s="1"/>
  <c r="AA189" i="25" s="1"/>
  <c r="AB189" i="25" s="1"/>
  <c r="AI189" i="25" s="1"/>
  <c r="R189" i="25"/>
  <c r="BZ189" i="25"/>
  <c r="AO179" i="25"/>
  <c r="BZ179" i="25"/>
  <c r="Q179" i="25"/>
  <c r="S179" i="25"/>
  <c r="K179" i="25" s="1"/>
  <c r="V179" i="25" s="1"/>
  <c r="X179" i="25" s="1"/>
  <c r="BZ291" i="25"/>
  <c r="V37" i="24"/>
  <c r="W125" i="24"/>
  <c r="Y125" i="24" s="1"/>
  <c r="R28" i="25"/>
  <c r="W50" i="24"/>
  <c r="Y50" i="24" s="1"/>
  <c r="W265" i="24"/>
  <c r="Y265" i="24" s="1"/>
  <c r="W11" i="24"/>
  <c r="Y11" i="24" s="1"/>
  <c r="W175" i="24"/>
  <c r="Y175" i="24" s="1"/>
  <c r="W201" i="24"/>
  <c r="Y201" i="24" s="1"/>
  <c r="Q104" i="25"/>
  <c r="Q28" i="25"/>
  <c r="S28" i="25"/>
  <c r="K28" i="25" s="1"/>
  <c r="AD28" i="25" s="1"/>
  <c r="W253" i="24"/>
  <c r="Y253" i="24" s="1"/>
  <c r="Q59" i="25"/>
  <c r="R104" i="25"/>
  <c r="S104" i="25"/>
  <c r="K104" i="25" s="1"/>
  <c r="W104" i="25" s="1"/>
  <c r="Z104" i="25" s="1"/>
  <c r="AA104" i="25" s="1"/>
  <c r="AB104" i="25" s="1"/>
  <c r="AI104" i="25" s="1"/>
  <c r="Q237" i="25"/>
  <c r="BZ237" i="25"/>
  <c r="AO237" i="25"/>
  <c r="S237" i="25"/>
  <c r="K237" i="25" s="1"/>
  <c r="V237" i="25" s="1"/>
  <c r="X237" i="25" s="1"/>
  <c r="BZ104" i="25"/>
  <c r="BZ28" i="25"/>
  <c r="BZ59" i="25"/>
  <c r="AO59" i="25"/>
  <c r="W274" i="24"/>
  <c r="Y274" i="24" s="1"/>
  <c r="W20" i="24"/>
  <c r="Y20" i="24" s="1"/>
  <c r="W70" i="24"/>
  <c r="Y70" i="24" s="1"/>
  <c r="BN212" i="25"/>
  <c r="I212" i="25"/>
  <c r="CC212" i="25"/>
  <c r="BM212" i="25"/>
  <c r="AL212" i="25"/>
  <c r="J212" i="25"/>
  <c r="L212" i="25" s="1"/>
  <c r="AJ21" i="24"/>
  <c r="W124" i="24"/>
  <c r="AJ45" i="24"/>
  <c r="W224" i="24"/>
  <c r="Y224" i="24" s="1"/>
  <c r="W198" i="24"/>
  <c r="Y198" i="24" s="1"/>
  <c r="V124" i="24"/>
  <c r="W56" i="24"/>
  <c r="Y56" i="24" s="1"/>
  <c r="W169" i="24"/>
  <c r="Y169" i="24" s="1"/>
  <c r="AO77" i="25"/>
  <c r="S77" i="25"/>
  <c r="K77" i="25" s="1"/>
  <c r="BZ77" i="25"/>
  <c r="R77" i="25"/>
  <c r="Q77" i="25"/>
  <c r="AJ44" i="24"/>
  <c r="AJ55" i="24"/>
  <c r="AJ294" i="24"/>
  <c r="AT294" i="24" s="1"/>
  <c r="AJ41" i="24"/>
  <c r="AJ257" i="24"/>
  <c r="AT257" i="24" s="1"/>
  <c r="AJ119" i="24"/>
  <c r="AT119" i="24" s="1"/>
  <c r="AJ7" i="24"/>
  <c r="AJ233" i="24"/>
  <c r="AT233" i="24" s="1"/>
  <c r="AE284" i="24"/>
  <c r="AI284" i="24"/>
  <c r="X284" i="24"/>
  <c r="AA284" i="24" s="1"/>
  <c r="AB284" i="24" s="1"/>
  <c r="AC284" i="24" s="1"/>
  <c r="AE210" i="24"/>
  <c r="AI210" i="24"/>
  <c r="X210" i="24"/>
  <c r="AA210" i="24" s="1"/>
  <c r="AB210" i="24" s="1"/>
  <c r="AC210" i="24" s="1"/>
  <c r="U288" i="25"/>
  <c r="AE120" i="24"/>
  <c r="AI120" i="24"/>
  <c r="X120" i="24"/>
  <c r="AA120" i="24" s="1"/>
  <c r="AB120" i="24" s="1"/>
  <c r="AC120" i="24" s="1"/>
  <c r="U303" i="25"/>
  <c r="AD114" i="25"/>
  <c r="W114" i="25"/>
  <c r="Z114" i="25" s="1"/>
  <c r="AA114" i="25" s="1"/>
  <c r="AB114" i="25" s="1"/>
  <c r="AI114" i="25" s="1"/>
  <c r="V295" i="24"/>
  <c r="W295" i="24"/>
  <c r="S18" i="25"/>
  <c r="K18" i="25" s="1"/>
  <c r="V18" i="25" s="1"/>
  <c r="R18" i="25"/>
  <c r="Q18" i="25"/>
  <c r="AO18" i="25"/>
  <c r="BZ18" i="25"/>
  <c r="S88" i="25"/>
  <c r="K88" i="25" s="1"/>
  <c r="R88" i="25"/>
  <c r="Q88" i="25"/>
  <c r="AO88" i="25"/>
  <c r="BZ88" i="25"/>
  <c r="AE155" i="24"/>
  <c r="AI155" i="24"/>
  <c r="X155" i="24"/>
  <c r="AA155" i="24" s="1"/>
  <c r="AB155" i="24" s="1"/>
  <c r="AC155" i="24" s="1"/>
  <c r="AE250" i="24"/>
  <c r="AI250" i="24"/>
  <c r="X250" i="24"/>
  <c r="AA250" i="24" s="1"/>
  <c r="AB250" i="24" s="1"/>
  <c r="AC250" i="24" s="1"/>
  <c r="W298" i="24"/>
  <c r="V298" i="24"/>
  <c r="AD167" i="25"/>
  <c r="W167" i="25"/>
  <c r="Z167" i="25" s="1"/>
  <c r="AA167" i="25" s="1"/>
  <c r="AB167" i="25" s="1"/>
  <c r="AI167" i="25" s="1"/>
  <c r="AE81" i="24"/>
  <c r="AI81" i="24"/>
  <c r="X81" i="24"/>
  <c r="AA81" i="24" s="1"/>
  <c r="AB81" i="24" s="1"/>
  <c r="AC81" i="24" s="1"/>
  <c r="Q117" i="24"/>
  <c r="P117" i="24"/>
  <c r="AP117" i="24"/>
  <c r="AE278" i="24"/>
  <c r="AI278" i="24"/>
  <c r="X278" i="24"/>
  <c r="AA278" i="24" s="1"/>
  <c r="AB278" i="24" s="1"/>
  <c r="AC278" i="24" s="1"/>
  <c r="S56" i="25"/>
  <c r="K56" i="25" s="1"/>
  <c r="V56" i="25" s="1"/>
  <c r="R56" i="25"/>
  <c r="Q56" i="25"/>
  <c r="BZ56" i="25"/>
  <c r="AO56" i="25"/>
  <c r="AE232" i="24"/>
  <c r="AI232" i="24"/>
  <c r="X232" i="24"/>
  <c r="AA232" i="24" s="1"/>
  <c r="AB232" i="24" s="1"/>
  <c r="AC232" i="24" s="1"/>
  <c r="Q187" i="24"/>
  <c r="P187" i="24"/>
  <c r="AP187" i="24"/>
  <c r="W17" i="24"/>
  <c r="V17" i="24"/>
  <c r="R251" i="25"/>
  <c r="S251" i="25"/>
  <c r="K251" i="25" s="1"/>
  <c r="V251" i="25" s="1"/>
  <c r="Q251" i="25"/>
  <c r="AO251" i="25"/>
  <c r="BZ251" i="25"/>
  <c r="AG162" i="24"/>
  <c r="AF162" i="24"/>
  <c r="AE282" i="24"/>
  <c r="AI282" i="24"/>
  <c r="X282" i="24"/>
  <c r="AA282" i="24" s="1"/>
  <c r="AB282" i="24" s="1"/>
  <c r="AC282" i="24" s="1"/>
  <c r="V59" i="24"/>
  <c r="W59" i="24"/>
  <c r="R49" i="25"/>
  <c r="S49" i="25"/>
  <c r="K49" i="25" s="1"/>
  <c r="Q49" i="25"/>
  <c r="AO49" i="25"/>
  <c r="BZ49" i="25"/>
  <c r="AE305" i="24"/>
  <c r="AI305" i="24"/>
  <c r="X305" i="24"/>
  <c r="AA305" i="24" s="1"/>
  <c r="AB305" i="24" s="1"/>
  <c r="AC305" i="24" s="1"/>
  <c r="R249" i="25"/>
  <c r="S249" i="25"/>
  <c r="K249" i="25" s="1"/>
  <c r="V249" i="25" s="1"/>
  <c r="Q249" i="25"/>
  <c r="AO249" i="25"/>
  <c r="BZ249" i="25"/>
  <c r="V126" i="24"/>
  <c r="W126" i="24"/>
  <c r="AD206" i="25"/>
  <c r="W206" i="25"/>
  <c r="Z206" i="25" s="1"/>
  <c r="AA206" i="25" s="1"/>
  <c r="AB206" i="25" s="1"/>
  <c r="AI206" i="25" s="1"/>
  <c r="V31" i="24"/>
  <c r="W31" i="24"/>
  <c r="AE114" i="24"/>
  <c r="AI114" i="24"/>
  <c r="X114" i="24"/>
  <c r="AA114" i="24" s="1"/>
  <c r="AB114" i="24" s="1"/>
  <c r="AC114" i="24" s="1"/>
  <c r="S294" i="25"/>
  <c r="K294" i="25" s="1"/>
  <c r="R294" i="25"/>
  <c r="Q294" i="25"/>
  <c r="BZ294" i="25"/>
  <c r="AO294" i="25"/>
  <c r="W81" i="24"/>
  <c r="Y81" i="24" s="1"/>
  <c r="U230" i="25"/>
  <c r="AG21" i="24"/>
  <c r="AF21" i="24"/>
  <c r="AE73" i="24"/>
  <c r="AI73" i="24"/>
  <c r="X73" i="24"/>
  <c r="AA73" i="24" s="1"/>
  <c r="AB73" i="24" s="1"/>
  <c r="AC73" i="24" s="1"/>
  <c r="AE115" i="24"/>
  <c r="AI115" i="24"/>
  <c r="X115" i="24"/>
  <c r="AA115" i="24" s="1"/>
  <c r="AB115" i="24" s="1"/>
  <c r="AC115" i="24" s="1"/>
  <c r="AE38" i="24"/>
  <c r="AI38" i="24"/>
  <c r="X38" i="24"/>
  <c r="AA38" i="24" s="1"/>
  <c r="AB38" i="24" s="1"/>
  <c r="AC38" i="24" s="1"/>
  <c r="AE188" i="24"/>
  <c r="AI188" i="24"/>
  <c r="X188" i="24"/>
  <c r="AA188" i="24" s="1"/>
  <c r="AB188" i="24" s="1"/>
  <c r="AC188" i="24" s="1"/>
  <c r="AE308" i="24"/>
  <c r="AI308" i="24"/>
  <c r="X308" i="24"/>
  <c r="AA308" i="24" s="1"/>
  <c r="AB308" i="24" s="1"/>
  <c r="AC308" i="24" s="1"/>
  <c r="U197" i="25"/>
  <c r="AG132" i="24"/>
  <c r="AF132" i="24"/>
  <c r="R25" i="25"/>
  <c r="S25" i="25"/>
  <c r="K25" i="25" s="1"/>
  <c r="V25" i="25" s="1"/>
  <c r="Q25" i="25"/>
  <c r="BZ25" i="25"/>
  <c r="AO25" i="25"/>
  <c r="AE151" i="24"/>
  <c r="AI151" i="24"/>
  <c r="X151" i="24"/>
  <c r="AA151" i="24" s="1"/>
  <c r="AB151" i="24" s="1"/>
  <c r="AC151" i="24" s="1"/>
  <c r="AE280" i="24"/>
  <c r="AI280" i="24"/>
  <c r="X280" i="24"/>
  <c r="AA280" i="24" s="1"/>
  <c r="AB280" i="24" s="1"/>
  <c r="AC280" i="24" s="1"/>
  <c r="V244" i="24"/>
  <c r="W244" i="24"/>
  <c r="AG160" i="24"/>
  <c r="AF160" i="24"/>
  <c r="AE65" i="24"/>
  <c r="AI65" i="24"/>
  <c r="X65" i="24"/>
  <c r="AA65" i="24" s="1"/>
  <c r="AB65" i="24" s="1"/>
  <c r="AC65" i="24" s="1"/>
  <c r="Q146" i="24"/>
  <c r="P146" i="24"/>
  <c r="AP146" i="24"/>
  <c r="P71" i="24"/>
  <c r="Q71" i="24"/>
  <c r="R71" i="24" s="1"/>
  <c r="AP71" i="24"/>
  <c r="AE113" i="24"/>
  <c r="AI113" i="24"/>
  <c r="X113" i="24"/>
  <c r="AA113" i="24" s="1"/>
  <c r="AB113" i="24" s="1"/>
  <c r="AC113" i="24" s="1"/>
  <c r="Q153" i="24"/>
  <c r="P153" i="24"/>
  <c r="AP153" i="24"/>
  <c r="U122" i="25"/>
  <c r="AE165" i="24"/>
  <c r="AI165" i="24"/>
  <c r="X165" i="24"/>
  <c r="AA165" i="24" s="1"/>
  <c r="AB165" i="24" s="1"/>
  <c r="AC165" i="24" s="1"/>
  <c r="AD306" i="25"/>
  <c r="W306" i="25"/>
  <c r="Z306" i="25" s="1"/>
  <c r="AA306" i="25" s="1"/>
  <c r="AB306" i="25" s="1"/>
  <c r="AI306" i="25" s="1"/>
  <c r="AE254" i="24"/>
  <c r="AI254" i="24"/>
  <c r="X254" i="24"/>
  <c r="AA254" i="24" s="1"/>
  <c r="AB254" i="24" s="1"/>
  <c r="AC254" i="24" s="1"/>
  <c r="AE166" i="24"/>
  <c r="AI166" i="24"/>
  <c r="X166" i="24"/>
  <c r="AA166" i="24" s="1"/>
  <c r="AB166" i="24" s="1"/>
  <c r="AC166" i="24" s="1"/>
  <c r="S220" i="25"/>
  <c r="K220" i="25" s="1"/>
  <c r="V220" i="25" s="1"/>
  <c r="R220" i="25"/>
  <c r="Q220" i="25"/>
  <c r="AO220" i="25"/>
  <c r="BZ220" i="25"/>
  <c r="R260" i="25"/>
  <c r="S260" i="25"/>
  <c r="K260" i="25" s="1"/>
  <c r="V260" i="25" s="1"/>
  <c r="Q260" i="25"/>
  <c r="BZ260" i="25"/>
  <c r="AO260" i="25"/>
  <c r="R15" i="25"/>
  <c r="S15" i="25"/>
  <c r="K15" i="25" s="1"/>
  <c r="Q15" i="25"/>
  <c r="BZ15" i="25"/>
  <c r="AO15" i="25"/>
  <c r="AE105" i="24"/>
  <c r="AI105" i="24"/>
  <c r="X105" i="24"/>
  <c r="AA105" i="24" s="1"/>
  <c r="AB105" i="24" s="1"/>
  <c r="AC105" i="24" s="1"/>
  <c r="Q63" i="24"/>
  <c r="R63" i="24" s="1"/>
  <c r="P63" i="24"/>
  <c r="AP63" i="24"/>
  <c r="S207" i="25"/>
  <c r="K207" i="25" s="1"/>
  <c r="V207" i="25" s="1"/>
  <c r="R207" i="25"/>
  <c r="Q207" i="25"/>
  <c r="AO207" i="25"/>
  <c r="BZ207" i="25"/>
  <c r="AE32" i="24"/>
  <c r="AI32" i="24"/>
  <c r="X32" i="24"/>
  <c r="AA32" i="24" s="1"/>
  <c r="AB32" i="24" s="1"/>
  <c r="AC32" i="24" s="1"/>
  <c r="R78" i="25"/>
  <c r="S78" i="25"/>
  <c r="K78" i="25" s="1"/>
  <c r="V78" i="25" s="1"/>
  <c r="Q78" i="25"/>
  <c r="AO78" i="25"/>
  <c r="BZ78" i="25"/>
  <c r="U86" i="25"/>
  <c r="R239" i="25"/>
  <c r="S239" i="25"/>
  <c r="K239" i="25" s="1"/>
  <c r="V239" i="25" s="1"/>
  <c r="Q239" i="25"/>
  <c r="BZ239" i="25"/>
  <c r="AO239" i="25"/>
  <c r="AD14" i="25"/>
  <c r="W14" i="25"/>
  <c r="Z14" i="25" s="1"/>
  <c r="AA14" i="25" s="1"/>
  <c r="AB14" i="25" s="1"/>
  <c r="AI14" i="25" s="1"/>
  <c r="U315" i="25"/>
  <c r="AE276" i="24"/>
  <c r="AI276" i="24"/>
  <c r="X276" i="24"/>
  <c r="AA276" i="24" s="1"/>
  <c r="AB276" i="24" s="1"/>
  <c r="AC276" i="24" s="1"/>
  <c r="AE79" i="24"/>
  <c r="AI79" i="24"/>
  <c r="X79" i="24"/>
  <c r="AA79" i="24" s="1"/>
  <c r="AB79" i="24" s="1"/>
  <c r="AC79" i="24" s="1"/>
  <c r="U302" i="25"/>
  <c r="AE179" i="24"/>
  <c r="AI179" i="24"/>
  <c r="X179" i="24"/>
  <c r="AA179" i="24" s="1"/>
  <c r="AB179" i="24" s="1"/>
  <c r="AC179" i="24" s="1"/>
  <c r="S66" i="25"/>
  <c r="K66" i="25" s="1"/>
  <c r="V66" i="25" s="1"/>
  <c r="R66" i="25"/>
  <c r="Q66" i="25"/>
  <c r="AO66" i="25"/>
  <c r="BZ66" i="25"/>
  <c r="AE251" i="24"/>
  <c r="AI251" i="24"/>
  <c r="X251" i="24"/>
  <c r="AA251" i="24" s="1"/>
  <c r="AB251" i="24" s="1"/>
  <c r="AC251" i="24" s="1"/>
  <c r="W251" i="24"/>
  <c r="Y251" i="24" s="1"/>
  <c r="AG7" i="24"/>
  <c r="AF7" i="24"/>
  <c r="W78" i="24"/>
  <c r="V78" i="24"/>
  <c r="W105" i="24"/>
  <c r="Y105" i="24" s="1"/>
  <c r="AE172" i="24"/>
  <c r="AI172" i="24"/>
  <c r="X172" i="24"/>
  <c r="AA172" i="24" s="1"/>
  <c r="AB172" i="24" s="1"/>
  <c r="AC172" i="24" s="1"/>
  <c r="V75" i="24"/>
  <c r="W75" i="24"/>
  <c r="S169" i="25"/>
  <c r="K169" i="25" s="1"/>
  <c r="V169" i="25" s="1"/>
  <c r="R169" i="25"/>
  <c r="Q169" i="25"/>
  <c r="BZ169" i="25"/>
  <c r="AO169" i="25"/>
  <c r="R112" i="25"/>
  <c r="S112" i="25"/>
  <c r="K112" i="25" s="1"/>
  <c r="V112" i="25" s="1"/>
  <c r="Q112" i="25"/>
  <c r="BZ112" i="25"/>
  <c r="AO112" i="25"/>
  <c r="V204" i="24"/>
  <c r="W204" i="24"/>
  <c r="AD232" i="25"/>
  <c r="V232" i="25"/>
  <c r="X232" i="25" s="1"/>
  <c r="W232" i="25"/>
  <c r="Z232" i="25" s="1"/>
  <c r="AA232" i="25" s="1"/>
  <c r="AB232" i="25" s="1"/>
  <c r="AI232" i="25" s="1"/>
  <c r="AE118" i="24"/>
  <c r="AI118" i="24"/>
  <c r="X118" i="24"/>
  <c r="AA118" i="24" s="1"/>
  <c r="AB118" i="24" s="1"/>
  <c r="AC118" i="24" s="1"/>
  <c r="AE141" i="24"/>
  <c r="AI141" i="24"/>
  <c r="X141" i="24"/>
  <c r="AA141" i="24" s="1"/>
  <c r="AB141" i="24" s="1"/>
  <c r="AC141" i="24" s="1"/>
  <c r="R312" i="25"/>
  <c r="S312" i="25"/>
  <c r="K312" i="25" s="1"/>
  <c r="Q312" i="25"/>
  <c r="AO312" i="25"/>
  <c r="BZ312" i="25"/>
  <c r="Q93" i="24"/>
  <c r="R93" i="24" s="1"/>
  <c r="P93" i="24"/>
  <c r="AP93" i="24"/>
  <c r="U99" i="25"/>
  <c r="AE298" i="24"/>
  <c r="AI298" i="24"/>
  <c r="X298" i="24"/>
  <c r="AA298" i="24" s="1"/>
  <c r="AB298" i="24" s="1"/>
  <c r="AC298" i="24" s="1"/>
  <c r="AE265" i="24"/>
  <c r="AI265" i="24"/>
  <c r="X265" i="24"/>
  <c r="AA265" i="24" s="1"/>
  <c r="AB265" i="24" s="1"/>
  <c r="AC265" i="24" s="1"/>
  <c r="AE131" i="24"/>
  <c r="AI131" i="24"/>
  <c r="X131" i="24"/>
  <c r="AA131" i="24" s="1"/>
  <c r="AB131" i="24" s="1"/>
  <c r="AC131" i="24" s="1"/>
  <c r="V140" i="24"/>
  <c r="W140" i="24"/>
  <c r="AE289" i="24"/>
  <c r="AI289" i="24"/>
  <c r="X289" i="24"/>
  <c r="AA289" i="24" s="1"/>
  <c r="AB289" i="24" s="1"/>
  <c r="AC289" i="24" s="1"/>
  <c r="AD259" i="25"/>
  <c r="W259" i="25"/>
  <c r="Z259" i="25" s="1"/>
  <c r="AA259" i="25" s="1"/>
  <c r="AB259" i="25" s="1"/>
  <c r="AI259" i="25" s="1"/>
  <c r="U101" i="25"/>
  <c r="S183" i="25"/>
  <c r="K183" i="25" s="1"/>
  <c r="V183" i="25" s="1"/>
  <c r="R183" i="25"/>
  <c r="Q183" i="25"/>
  <c r="AO183" i="25"/>
  <c r="BZ183" i="25"/>
  <c r="U231" i="25"/>
  <c r="R279" i="25"/>
  <c r="S279" i="25"/>
  <c r="K279" i="25" s="1"/>
  <c r="Q279" i="25"/>
  <c r="AO279" i="25"/>
  <c r="BZ279" i="25"/>
  <c r="AE31" i="24"/>
  <c r="AI31" i="24"/>
  <c r="X31" i="24"/>
  <c r="AA31" i="24" s="1"/>
  <c r="AB31" i="24" s="1"/>
  <c r="AC31" i="24" s="1"/>
  <c r="V149" i="24"/>
  <c r="W149" i="24"/>
  <c r="U156" i="25"/>
  <c r="U287" i="25"/>
  <c r="Q204" i="24"/>
  <c r="P204" i="24"/>
  <c r="AP204" i="24"/>
  <c r="AD148" i="25"/>
  <c r="W148" i="25"/>
  <c r="Z148" i="25" s="1"/>
  <c r="AA148" i="25" s="1"/>
  <c r="AB148" i="25" s="1"/>
  <c r="AI148" i="25" s="1"/>
  <c r="R141" i="25"/>
  <c r="S141" i="25"/>
  <c r="K141" i="25" s="1"/>
  <c r="Q141" i="25"/>
  <c r="AO141" i="25"/>
  <c r="BZ141" i="25"/>
  <c r="AE28" i="24"/>
  <c r="AI28" i="24"/>
  <c r="X28" i="24"/>
  <c r="AA28" i="24" s="1"/>
  <c r="AB28" i="24" s="1"/>
  <c r="AC28" i="24" s="1"/>
  <c r="R120" i="25"/>
  <c r="S120" i="25"/>
  <c r="K120" i="25" s="1"/>
  <c r="Q120" i="25"/>
  <c r="AO120" i="25"/>
  <c r="BZ120" i="25"/>
  <c r="R191" i="25"/>
  <c r="S191" i="25"/>
  <c r="K191" i="25" s="1"/>
  <c r="Q191" i="25"/>
  <c r="BZ191" i="25"/>
  <c r="AO191" i="25"/>
  <c r="AE14" i="24"/>
  <c r="AI14" i="24"/>
  <c r="X14" i="24"/>
  <c r="AA14" i="24" s="1"/>
  <c r="AB14" i="24" s="1"/>
  <c r="AC14" i="24" s="1"/>
  <c r="R288" i="25"/>
  <c r="S288" i="25"/>
  <c r="K288" i="25" s="1"/>
  <c r="V288" i="25" s="1"/>
  <c r="Q288" i="25"/>
  <c r="BZ288" i="25"/>
  <c r="AO288" i="25"/>
  <c r="AE49" i="24"/>
  <c r="AI49" i="24"/>
  <c r="X49" i="24"/>
  <c r="AA49" i="24" s="1"/>
  <c r="AB49" i="24" s="1"/>
  <c r="AC49" i="24" s="1"/>
  <c r="V206" i="24"/>
  <c r="W206" i="24"/>
  <c r="AE218" i="24"/>
  <c r="AI218" i="24"/>
  <c r="X218" i="24"/>
  <c r="AA218" i="24" s="1"/>
  <c r="AB218" i="24" s="1"/>
  <c r="AC218" i="24" s="1"/>
  <c r="S303" i="25"/>
  <c r="K303" i="25" s="1"/>
  <c r="V303" i="25" s="1"/>
  <c r="R303" i="25"/>
  <c r="Q303" i="25"/>
  <c r="BZ303" i="25"/>
  <c r="AO303" i="25"/>
  <c r="AG191" i="24"/>
  <c r="AF191" i="24"/>
  <c r="V179" i="24"/>
  <c r="W179" i="24"/>
  <c r="AD59" i="25"/>
  <c r="W59" i="25"/>
  <c r="Z59" i="25" s="1"/>
  <c r="AA59" i="25" s="1"/>
  <c r="AB59" i="25" s="1"/>
  <c r="AI59" i="25" s="1"/>
  <c r="AE76" i="24"/>
  <c r="AI76" i="24"/>
  <c r="X76" i="24"/>
  <c r="AA76" i="24" s="1"/>
  <c r="AB76" i="24" s="1"/>
  <c r="AC76" i="24" s="1"/>
  <c r="AE199" i="24"/>
  <c r="AI199" i="24"/>
  <c r="X199" i="24"/>
  <c r="AA199" i="24" s="1"/>
  <c r="AB199" i="24" s="1"/>
  <c r="AC199" i="24" s="1"/>
  <c r="U79" i="25"/>
  <c r="Q140" i="24"/>
  <c r="P140" i="24"/>
  <c r="AP140" i="24"/>
  <c r="R105" i="25"/>
  <c r="S105" i="25"/>
  <c r="K105" i="25" s="1"/>
  <c r="V105" i="25" s="1"/>
  <c r="Q105" i="25"/>
  <c r="AO105" i="25"/>
  <c r="BZ105" i="25"/>
  <c r="AE240" i="24"/>
  <c r="AI240" i="24"/>
  <c r="X240" i="24"/>
  <c r="AA240" i="24" s="1"/>
  <c r="AB240" i="24" s="1"/>
  <c r="AC240" i="24" s="1"/>
  <c r="AE221" i="24"/>
  <c r="AI221" i="24"/>
  <c r="X221" i="24"/>
  <c r="AA221" i="24" s="1"/>
  <c r="AB221" i="24" s="1"/>
  <c r="AC221" i="24" s="1"/>
  <c r="W170" i="24"/>
  <c r="V170" i="24"/>
  <c r="Q298" i="24"/>
  <c r="P298" i="24"/>
  <c r="AP298" i="24"/>
  <c r="R132" i="25"/>
  <c r="S132" i="25"/>
  <c r="K132" i="25" s="1"/>
  <c r="Q132" i="25"/>
  <c r="AO132" i="25"/>
  <c r="BZ132" i="25"/>
  <c r="AE273" i="24"/>
  <c r="AI273" i="24"/>
  <c r="X273" i="24"/>
  <c r="AA273" i="24" s="1"/>
  <c r="AB273" i="24" s="1"/>
  <c r="AC273" i="24" s="1"/>
  <c r="AD261" i="25"/>
  <c r="W261" i="25"/>
  <c r="Z261" i="25" s="1"/>
  <c r="AA261" i="25" s="1"/>
  <c r="AB261" i="25" s="1"/>
  <c r="AI261" i="25" s="1"/>
  <c r="R119" i="25"/>
  <c r="S119" i="25"/>
  <c r="K119" i="25" s="1"/>
  <c r="Q119" i="25"/>
  <c r="AO119" i="25"/>
  <c r="BZ119" i="25"/>
  <c r="S17" i="25"/>
  <c r="K17" i="25" s="1"/>
  <c r="R17" i="25"/>
  <c r="Q17" i="25"/>
  <c r="AO17" i="25"/>
  <c r="BZ17" i="25"/>
  <c r="AE161" i="24"/>
  <c r="AI161" i="24"/>
  <c r="X161" i="24"/>
  <c r="AA161" i="24" s="1"/>
  <c r="AB161" i="24" s="1"/>
  <c r="AC161" i="24" s="1"/>
  <c r="U175" i="25"/>
  <c r="W249" i="24"/>
  <c r="V249" i="24"/>
  <c r="P59" i="24"/>
  <c r="Q59" i="24"/>
  <c r="R59" i="24" s="1"/>
  <c r="AP59" i="24"/>
  <c r="AE104" i="24"/>
  <c r="AI104" i="24"/>
  <c r="X104" i="24"/>
  <c r="AA104" i="24" s="1"/>
  <c r="AB104" i="24" s="1"/>
  <c r="AC104" i="24" s="1"/>
  <c r="S46" i="25"/>
  <c r="K46" i="25" s="1"/>
  <c r="R46" i="25"/>
  <c r="Q46" i="25"/>
  <c r="BZ46" i="25"/>
  <c r="AO46" i="25"/>
  <c r="P126" i="24"/>
  <c r="Q126" i="24"/>
  <c r="AP126" i="24"/>
  <c r="V261" i="24"/>
  <c r="W261" i="24"/>
  <c r="U70" i="25"/>
  <c r="AD273" i="25"/>
  <c r="W273" i="25"/>
  <c r="Z273" i="25" s="1"/>
  <c r="AA273" i="25" s="1"/>
  <c r="AB273" i="25" s="1"/>
  <c r="AI273" i="25" s="1"/>
  <c r="AE202" i="24"/>
  <c r="AI202" i="24"/>
  <c r="X202" i="24"/>
  <c r="AA202" i="24" s="1"/>
  <c r="AB202" i="24" s="1"/>
  <c r="AC202" i="24" s="1"/>
  <c r="AE296" i="24"/>
  <c r="AI296" i="24"/>
  <c r="X296" i="24"/>
  <c r="AA296" i="24" s="1"/>
  <c r="AB296" i="24" s="1"/>
  <c r="AC296" i="24" s="1"/>
  <c r="AE222" i="24"/>
  <c r="AI222" i="24"/>
  <c r="X222" i="24"/>
  <c r="AA222" i="24" s="1"/>
  <c r="AB222" i="24" s="1"/>
  <c r="AC222" i="24" s="1"/>
  <c r="S308" i="25"/>
  <c r="K308" i="25" s="1"/>
  <c r="R308" i="25"/>
  <c r="Q308" i="25"/>
  <c r="BZ308" i="25"/>
  <c r="AO308" i="25"/>
  <c r="V195" i="24"/>
  <c r="W195" i="24"/>
  <c r="S230" i="25"/>
  <c r="K230" i="25" s="1"/>
  <c r="R230" i="25"/>
  <c r="Q230" i="25"/>
  <c r="BZ230" i="25"/>
  <c r="AO230" i="25"/>
  <c r="U223" i="25"/>
  <c r="AE267" i="24"/>
  <c r="AI267" i="24"/>
  <c r="X267" i="24"/>
  <c r="AA267" i="24" s="1"/>
  <c r="AB267" i="24" s="1"/>
  <c r="AC267" i="24" s="1"/>
  <c r="R197" i="25"/>
  <c r="S197" i="25"/>
  <c r="K197" i="25" s="1"/>
  <c r="V197" i="25" s="1"/>
  <c r="Q197" i="25"/>
  <c r="AO197" i="25"/>
  <c r="BZ197" i="25"/>
  <c r="AE311" i="24"/>
  <c r="AI311" i="24"/>
  <c r="X311" i="24"/>
  <c r="AA311" i="24" s="1"/>
  <c r="AB311" i="24" s="1"/>
  <c r="AC311" i="24" s="1"/>
  <c r="V316" i="24"/>
  <c r="W316" i="24"/>
  <c r="S55" i="25"/>
  <c r="K55" i="25" s="1"/>
  <c r="V55" i="25" s="1"/>
  <c r="R55" i="25"/>
  <c r="Q55" i="25"/>
  <c r="AO55" i="25"/>
  <c r="BZ55" i="25"/>
  <c r="V309" i="24"/>
  <c r="W309" i="24"/>
  <c r="W36" i="24"/>
  <c r="V36" i="24"/>
  <c r="AE281" i="24"/>
  <c r="AI281" i="24"/>
  <c r="X281" i="24"/>
  <c r="AA281" i="24" s="1"/>
  <c r="AB281" i="24" s="1"/>
  <c r="AC281" i="24" s="1"/>
  <c r="AD32" i="25"/>
  <c r="W32" i="25"/>
  <c r="Z32" i="25" s="1"/>
  <c r="AA32" i="25" s="1"/>
  <c r="AB32" i="25" s="1"/>
  <c r="AI32" i="25" s="1"/>
  <c r="AE99" i="24"/>
  <c r="AI99" i="24"/>
  <c r="X99" i="24"/>
  <c r="AA99" i="24" s="1"/>
  <c r="AB99" i="24" s="1"/>
  <c r="AC99" i="24" s="1"/>
  <c r="AE277" i="24"/>
  <c r="AI277" i="24"/>
  <c r="X277" i="24"/>
  <c r="AA277" i="24" s="1"/>
  <c r="AB277" i="24" s="1"/>
  <c r="AC277" i="24" s="1"/>
  <c r="AS110" i="25"/>
  <c r="AE102" i="24"/>
  <c r="AI102" i="24"/>
  <c r="X102" i="24"/>
  <c r="AA102" i="24" s="1"/>
  <c r="AB102" i="24" s="1"/>
  <c r="AC102" i="24" s="1"/>
  <c r="AE270" i="24"/>
  <c r="AI270" i="24"/>
  <c r="X270" i="24"/>
  <c r="AA270" i="24" s="1"/>
  <c r="AB270" i="24" s="1"/>
  <c r="AC270" i="24" s="1"/>
  <c r="AG264" i="24"/>
  <c r="AF264" i="24"/>
  <c r="R64" i="25"/>
  <c r="S64" i="25"/>
  <c r="K64" i="25" s="1"/>
  <c r="Q64" i="25"/>
  <c r="AO64" i="25"/>
  <c r="BZ64" i="25"/>
  <c r="W308" i="24"/>
  <c r="V308" i="24"/>
  <c r="AE288" i="24"/>
  <c r="AI288" i="24"/>
  <c r="X288" i="24"/>
  <c r="AA288" i="24" s="1"/>
  <c r="AB288" i="24" s="1"/>
  <c r="AC288" i="24" s="1"/>
  <c r="AE209" i="24"/>
  <c r="AI209" i="24"/>
  <c r="X209" i="24"/>
  <c r="AA209" i="24" s="1"/>
  <c r="AB209" i="24" s="1"/>
  <c r="AC209" i="24" s="1"/>
  <c r="AE121" i="24"/>
  <c r="AI121" i="24"/>
  <c r="X121" i="24"/>
  <c r="AA121" i="24" s="1"/>
  <c r="AB121" i="24" s="1"/>
  <c r="AC121" i="24" s="1"/>
  <c r="S122" i="25"/>
  <c r="K122" i="25" s="1"/>
  <c r="V122" i="25" s="1"/>
  <c r="R122" i="25"/>
  <c r="Q122" i="25"/>
  <c r="BZ122" i="25"/>
  <c r="AO122" i="25"/>
  <c r="S9" i="25"/>
  <c r="K9" i="25" s="1"/>
  <c r="R9" i="25"/>
  <c r="Q9" i="25"/>
  <c r="BZ9" i="25"/>
  <c r="AO9" i="25"/>
  <c r="U160" i="25"/>
  <c r="V154" i="24"/>
  <c r="W154" i="24"/>
  <c r="W114" i="24"/>
  <c r="V114" i="24"/>
  <c r="S85" i="25"/>
  <c r="K85" i="25" s="1"/>
  <c r="R85" i="25"/>
  <c r="Q85" i="25"/>
  <c r="BZ85" i="25"/>
  <c r="AO85" i="25"/>
  <c r="S53" i="25"/>
  <c r="K53" i="25" s="1"/>
  <c r="V53" i="25" s="1"/>
  <c r="R53" i="25"/>
  <c r="Q53" i="25"/>
  <c r="AO53" i="25"/>
  <c r="BZ53" i="25"/>
  <c r="U286" i="25"/>
  <c r="R86" i="25"/>
  <c r="S86" i="25"/>
  <c r="K86" i="25" s="1"/>
  <c r="Q86" i="25"/>
  <c r="BZ86" i="25"/>
  <c r="AO86" i="25"/>
  <c r="W8" i="24"/>
  <c r="V8" i="24"/>
  <c r="V94" i="24"/>
  <c r="W94" i="24"/>
  <c r="AE168" i="24"/>
  <c r="AI168" i="24"/>
  <c r="X168" i="24"/>
  <c r="AA168" i="24" s="1"/>
  <c r="AB168" i="24" s="1"/>
  <c r="AC168" i="24" s="1"/>
  <c r="AD275" i="25"/>
  <c r="W275" i="25"/>
  <c r="Z275" i="25" s="1"/>
  <c r="AA275" i="25" s="1"/>
  <c r="AB275" i="25" s="1"/>
  <c r="AI275" i="25" s="1"/>
  <c r="S315" i="25"/>
  <c r="K315" i="25" s="1"/>
  <c r="R315" i="25"/>
  <c r="Q315" i="25"/>
  <c r="AO315" i="25"/>
  <c r="BZ315" i="25"/>
  <c r="V297" i="24"/>
  <c r="W297" i="24"/>
  <c r="V28" i="24"/>
  <c r="W28" i="24"/>
  <c r="S235" i="25"/>
  <c r="K235" i="25" s="1"/>
  <c r="R235" i="25"/>
  <c r="Q235" i="25"/>
  <c r="AO235" i="25"/>
  <c r="BZ235" i="25"/>
  <c r="W99" i="24"/>
  <c r="Y99" i="24" s="1"/>
  <c r="AD94" i="25"/>
  <c r="W94" i="25"/>
  <c r="Z94" i="25" s="1"/>
  <c r="AA94" i="25" s="1"/>
  <c r="AB94" i="25" s="1"/>
  <c r="AI94" i="25" s="1"/>
  <c r="V94" i="25"/>
  <c r="X94" i="25" s="1"/>
  <c r="AE52" i="24"/>
  <c r="AI52" i="24"/>
  <c r="X52" i="24"/>
  <c r="AA52" i="24" s="1"/>
  <c r="AB52" i="24" s="1"/>
  <c r="AC52" i="24" s="1"/>
  <c r="U93" i="25"/>
  <c r="W288" i="24"/>
  <c r="V288" i="24"/>
  <c r="V209" i="24"/>
  <c r="W209" i="24"/>
  <c r="R302" i="25"/>
  <c r="S302" i="25"/>
  <c r="K302" i="25" s="1"/>
  <c r="V302" i="25" s="1"/>
  <c r="Q302" i="25"/>
  <c r="AO302" i="25"/>
  <c r="BZ302" i="25"/>
  <c r="U218" i="25"/>
  <c r="W164" i="24"/>
  <c r="V164" i="24"/>
  <c r="P78" i="24"/>
  <c r="Q78" i="24"/>
  <c r="R78" i="24" s="1"/>
  <c r="AP78" i="24"/>
  <c r="AE19" i="24"/>
  <c r="AI19" i="24"/>
  <c r="X19" i="24"/>
  <c r="AA19" i="24" s="1"/>
  <c r="AB19" i="24" s="1"/>
  <c r="AC19" i="24" s="1"/>
  <c r="W275" i="24"/>
  <c r="V275" i="24"/>
  <c r="AE25" i="24"/>
  <c r="AI25" i="24"/>
  <c r="X25" i="24"/>
  <c r="AA25" i="24" s="1"/>
  <c r="AB25" i="24" s="1"/>
  <c r="AC25" i="24" s="1"/>
  <c r="AE206" i="24"/>
  <c r="AI206" i="24"/>
  <c r="X206" i="24"/>
  <c r="AA206" i="24" s="1"/>
  <c r="AB206" i="24" s="1"/>
  <c r="AC206" i="24" s="1"/>
  <c r="S117" i="25"/>
  <c r="K117" i="25" s="1"/>
  <c r="R117" i="25"/>
  <c r="Q117" i="25"/>
  <c r="AO117" i="25"/>
  <c r="BZ117" i="25"/>
  <c r="R40" i="25"/>
  <c r="S40" i="25"/>
  <c r="K40" i="25" s="1"/>
  <c r="V40" i="25" s="1"/>
  <c r="Q40" i="25"/>
  <c r="AO40" i="25"/>
  <c r="BZ40" i="25"/>
  <c r="S164" i="25"/>
  <c r="K164" i="25" s="1"/>
  <c r="R164" i="25"/>
  <c r="Q164" i="25"/>
  <c r="AO164" i="25"/>
  <c r="BZ164" i="25"/>
  <c r="P255" i="24"/>
  <c r="Q255" i="24"/>
  <c r="AP255" i="24"/>
  <c r="R58" i="25"/>
  <c r="S58" i="25"/>
  <c r="K58" i="25" s="1"/>
  <c r="Q58" i="25"/>
  <c r="BZ58" i="25"/>
  <c r="AO58" i="25"/>
  <c r="AE103" i="24"/>
  <c r="AI103" i="24"/>
  <c r="X103" i="24"/>
  <c r="AA103" i="24" s="1"/>
  <c r="AB103" i="24" s="1"/>
  <c r="AC103" i="24" s="1"/>
  <c r="R231" i="25"/>
  <c r="S231" i="25"/>
  <c r="K231" i="25" s="1"/>
  <c r="V231" i="25" s="1"/>
  <c r="Q231" i="25"/>
  <c r="BZ231" i="25"/>
  <c r="AO231" i="25"/>
  <c r="R316" i="25"/>
  <c r="S316" i="25"/>
  <c r="K316" i="25" s="1"/>
  <c r="Q316" i="25"/>
  <c r="BZ316" i="25"/>
  <c r="AO316" i="25"/>
  <c r="AE140" i="24"/>
  <c r="AI140" i="24"/>
  <c r="X140" i="24"/>
  <c r="AA140" i="24" s="1"/>
  <c r="AB140" i="24" s="1"/>
  <c r="AC140" i="24" s="1"/>
  <c r="P149" i="24"/>
  <c r="Q149" i="24"/>
  <c r="AP149" i="24"/>
  <c r="AE200" i="24"/>
  <c r="AI200" i="24"/>
  <c r="X200" i="24"/>
  <c r="AA200" i="24" s="1"/>
  <c r="AB200" i="24" s="1"/>
  <c r="AC200" i="24" s="1"/>
  <c r="U121" i="25"/>
  <c r="W171" i="24"/>
  <c r="V171" i="24"/>
  <c r="R156" i="25"/>
  <c r="S156" i="25"/>
  <c r="K156" i="25" s="1"/>
  <c r="Q156" i="25"/>
  <c r="AO156" i="25"/>
  <c r="BZ156" i="25"/>
  <c r="S287" i="25"/>
  <c r="K287" i="25" s="1"/>
  <c r="V287" i="25" s="1"/>
  <c r="R287" i="25"/>
  <c r="Q287" i="25"/>
  <c r="BZ287" i="25"/>
  <c r="AO287" i="25"/>
  <c r="AD95" i="25"/>
  <c r="W95" i="25"/>
  <c r="Z95" i="25" s="1"/>
  <c r="AA95" i="25" s="1"/>
  <c r="AB95" i="25" s="1"/>
  <c r="AI95" i="25" s="1"/>
  <c r="AD131" i="25"/>
  <c r="W131" i="25"/>
  <c r="Z131" i="25" s="1"/>
  <c r="AA131" i="25" s="1"/>
  <c r="AB131" i="25" s="1"/>
  <c r="AI131" i="25" s="1"/>
  <c r="V131" i="25"/>
  <c r="X131" i="25" s="1"/>
  <c r="AE187" i="24"/>
  <c r="AI187" i="24"/>
  <c r="X187" i="24"/>
  <c r="AA187" i="24" s="1"/>
  <c r="AB187" i="24" s="1"/>
  <c r="AC187" i="24" s="1"/>
  <c r="AE150" i="24"/>
  <c r="AI150" i="24"/>
  <c r="X150" i="24"/>
  <c r="AA150" i="24" s="1"/>
  <c r="AB150" i="24" s="1"/>
  <c r="AC150" i="24" s="1"/>
  <c r="R43" i="25"/>
  <c r="S43" i="25"/>
  <c r="K43" i="25" s="1"/>
  <c r="Q43" i="25"/>
  <c r="BZ43" i="25"/>
  <c r="AO43" i="25"/>
  <c r="AE207" i="24"/>
  <c r="AI207" i="24"/>
  <c r="X207" i="24"/>
  <c r="AA207" i="24" s="1"/>
  <c r="AB207" i="24" s="1"/>
  <c r="AC207" i="24" s="1"/>
  <c r="V161" i="24"/>
  <c r="W161" i="24"/>
  <c r="P206" i="24"/>
  <c r="Q206" i="24"/>
  <c r="AP206" i="24"/>
  <c r="V144" i="24"/>
  <c r="W144" i="24"/>
  <c r="R127" i="25"/>
  <c r="S127" i="25"/>
  <c r="K127" i="25" s="1"/>
  <c r="Q127" i="25"/>
  <c r="AO127" i="25"/>
  <c r="BZ127" i="25"/>
  <c r="AE291" i="24"/>
  <c r="AI291" i="24"/>
  <c r="X291" i="24"/>
  <c r="AA291" i="24" s="1"/>
  <c r="AB291" i="24" s="1"/>
  <c r="AC291" i="24" s="1"/>
  <c r="AE227" i="24"/>
  <c r="AI227" i="24"/>
  <c r="X227" i="24"/>
  <c r="AA227" i="24" s="1"/>
  <c r="AB227" i="24" s="1"/>
  <c r="AC227" i="24" s="1"/>
  <c r="AD92" i="25"/>
  <c r="W92" i="25"/>
  <c r="Z92" i="25" s="1"/>
  <c r="AA92" i="25" s="1"/>
  <c r="AB92" i="25" s="1"/>
  <c r="AI92" i="25" s="1"/>
  <c r="V115" i="24"/>
  <c r="W115" i="24"/>
  <c r="AE36" i="24"/>
  <c r="AI36" i="24"/>
  <c r="X36" i="24"/>
  <c r="AA36" i="24" s="1"/>
  <c r="AB36" i="24" s="1"/>
  <c r="AC36" i="24" s="1"/>
  <c r="AE11" i="24"/>
  <c r="AI11" i="24"/>
  <c r="X11" i="24"/>
  <c r="AA11" i="24" s="1"/>
  <c r="AB11" i="24" s="1"/>
  <c r="AC11" i="24" s="1"/>
  <c r="AE189" i="24"/>
  <c r="AI189" i="24"/>
  <c r="X189" i="24"/>
  <c r="AA189" i="24" s="1"/>
  <c r="AB189" i="24" s="1"/>
  <c r="AC189" i="24" s="1"/>
  <c r="AE34" i="24"/>
  <c r="AI34" i="24"/>
  <c r="X34" i="24"/>
  <c r="AA34" i="24" s="1"/>
  <c r="AB34" i="24" s="1"/>
  <c r="AC34" i="24" s="1"/>
  <c r="S79" i="25"/>
  <c r="K79" i="25" s="1"/>
  <c r="V79" i="25" s="1"/>
  <c r="R79" i="25"/>
  <c r="Q79" i="25"/>
  <c r="BZ79" i="25"/>
  <c r="AO79" i="25"/>
  <c r="S233" i="25"/>
  <c r="K233" i="25" s="1"/>
  <c r="R233" i="25"/>
  <c r="Q233" i="25"/>
  <c r="AO233" i="25"/>
  <c r="BZ233" i="25"/>
  <c r="AE129" i="24"/>
  <c r="AI129" i="24"/>
  <c r="X129" i="24"/>
  <c r="AA129" i="24" s="1"/>
  <c r="AB129" i="24" s="1"/>
  <c r="AC129" i="24" s="1"/>
  <c r="R7" i="25"/>
  <c r="S7" i="25"/>
  <c r="K7" i="25" s="1"/>
  <c r="Q7" i="25"/>
  <c r="AO7" i="25"/>
  <c r="BZ7" i="25"/>
  <c r="S8" i="25"/>
  <c r="K8" i="25" s="1"/>
  <c r="R8" i="25"/>
  <c r="Q8" i="25"/>
  <c r="AO8" i="25"/>
  <c r="BZ8" i="25"/>
  <c r="AE307" i="24"/>
  <c r="AI307" i="24"/>
  <c r="X307" i="24"/>
  <c r="AA307" i="24" s="1"/>
  <c r="AB307" i="24" s="1"/>
  <c r="AC307" i="24" s="1"/>
  <c r="W151" i="24"/>
  <c r="V151" i="24"/>
  <c r="AE72" i="24"/>
  <c r="AI72" i="24"/>
  <c r="X72" i="24"/>
  <c r="AA72" i="24" s="1"/>
  <c r="AB72" i="24" s="1"/>
  <c r="AC72" i="24" s="1"/>
  <c r="W256" i="24"/>
  <c r="V256" i="24"/>
  <c r="W247" i="24"/>
  <c r="V247" i="24"/>
  <c r="W315" i="24"/>
  <c r="V315" i="24"/>
  <c r="AE255" i="24"/>
  <c r="AI255" i="24"/>
  <c r="X255" i="24"/>
  <c r="AA255" i="24" s="1"/>
  <c r="AB255" i="24" s="1"/>
  <c r="AC255" i="24" s="1"/>
  <c r="V300" i="24"/>
  <c r="W300" i="24"/>
  <c r="P249" i="24"/>
  <c r="Q249" i="24"/>
  <c r="AP249" i="24"/>
  <c r="AE29" i="24"/>
  <c r="AI29" i="24"/>
  <c r="X29" i="24"/>
  <c r="AA29" i="24" s="1"/>
  <c r="AB29" i="24" s="1"/>
  <c r="AC29" i="24" s="1"/>
  <c r="U224" i="25"/>
  <c r="AE173" i="24"/>
  <c r="AI173" i="24"/>
  <c r="X173" i="24"/>
  <c r="AA173" i="24" s="1"/>
  <c r="AB173" i="24" s="1"/>
  <c r="AC173" i="24" s="1"/>
  <c r="AE147" i="24"/>
  <c r="AI147" i="24"/>
  <c r="X147" i="24"/>
  <c r="AA147" i="24" s="1"/>
  <c r="AB147" i="24" s="1"/>
  <c r="AC147" i="24" s="1"/>
  <c r="AE287" i="24"/>
  <c r="AI287" i="24"/>
  <c r="X287" i="24"/>
  <c r="AA287" i="24" s="1"/>
  <c r="AB287" i="24" s="1"/>
  <c r="AC287" i="24" s="1"/>
  <c r="R281" i="25"/>
  <c r="S281" i="25"/>
  <c r="K281" i="25" s="1"/>
  <c r="V281" i="25" s="1"/>
  <c r="Q281" i="25"/>
  <c r="BZ281" i="25"/>
  <c r="AO281" i="25"/>
  <c r="AE309" i="24"/>
  <c r="AI309" i="24"/>
  <c r="X309" i="24"/>
  <c r="AA309" i="24" s="1"/>
  <c r="AB309" i="24" s="1"/>
  <c r="AC309" i="24" s="1"/>
  <c r="V33" i="24"/>
  <c r="W33" i="24"/>
  <c r="W176" i="24"/>
  <c r="V176" i="24"/>
  <c r="U266" i="25"/>
  <c r="S91" i="25"/>
  <c r="K91" i="25" s="1"/>
  <c r="R91" i="25"/>
  <c r="Q91" i="25"/>
  <c r="AO91" i="25"/>
  <c r="BZ91" i="25"/>
  <c r="AE68" i="24"/>
  <c r="AI68" i="24"/>
  <c r="X68" i="24"/>
  <c r="AA68" i="24" s="1"/>
  <c r="AB68" i="24" s="1"/>
  <c r="AC68" i="24" s="1"/>
  <c r="P195" i="24"/>
  <c r="Q195" i="24"/>
  <c r="AP195" i="24"/>
  <c r="U67" i="25"/>
  <c r="S223" i="25"/>
  <c r="K223" i="25" s="1"/>
  <c r="V223" i="25" s="1"/>
  <c r="R223" i="25"/>
  <c r="Q223" i="25"/>
  <c r="BZ223" i="25"/>
  <c r="AO223" i="25"/>
  <c r="AE235" i="24"/>
  <c r="AI235" i="24"/>
  <c r="X235" i="24"/>
  <c r="AA235" i="24" s="1"/>
  <c r="AB235" i="24" s="1"/>
  <c r="AC235" i="24" s="1"/>
  <c r="S284" i="25"/>
  <c r="K284" i="25" s="1"/>
  <c r="R284" i="25"/>
  <c r="Q284" i="25"/>
  <c r="BZ284" i="25"/>
  <c r="AO284" i="25"/>
  <c r="W282" i="24"/>
  <c r="V282" i="24"/>
  <c r="AE299" i="24"/>
  <c r="AI299" i="24"/>
  <c r="X299" i="24"/>
  <c r="AA299" i="24" s="1"/>
  <c r="AB299" i="24" s="1"/>
  <c r="AC299" i="24" s="1"/>
  <c r="AE195" i="24"/>
  <c r="AI195" i="24"/>
  <c r="X195" i="24"/>
  <c r="AA195" i="24" s="1"/>
  <c r="AB195" i="24" s="1"/>
  <c r="AC195" i="24" s="1"/>
  <c r="U165" i="25"/>
  <c r="P316" i="24"/>
  <c r="Q316" i="24"/>
  <c r="AP316" i="24"/>
  <c r="P309" i="24"/>
  <c r="Q309" i="24"/>
  <c r="AP309" i="24"/>
  <c r="AE57" i="24"/>
  <c r="AI57" i="24"/>
  <c r="X57" i="24"/>
  <c r="AA57" i="24" s="1"/>
  <c r="AB57" i="24" s="1"/>
  <c r="AC57" i="24" s="1"/>
  <c r="W177" i="24"/>
  <c r="V177" i="24"/>
  <c r="V51" i="24"/>
  <c r="W51" i="24"/>
  <c r="AE6" i="24"/>
  <c r="AI6" i="24"/>
  <c r="X6" i="24"/>
  <c r="AA6" i="24" s="1"/>
  <c r="AB6" i="24" s="1"/>
  <c r="AC6" i="24" s="1"/>
  <c r="AE23" i="24"/>
  <c r="AI23" i="24"/>
  <c r="X23" i="24"/>
  <c r="AA23" i="24" s="1"/>
  <c r="AB23" i="24" s="1"/>
  <c r="AC23" i="24" s="1"/>
  <c r="U159" i="25"/>
  <c r="AE139" i="24"/>
  <c r="AI139" i="24"/>
  <c r="X139" i="24"/>
  <c r="AA139" i="24" s="1"/>
  <c r="AB139" i="24" s="1"/>
  <c r="AC139" i="24" s="1"/>
  <c r="AE252" i="24"/>
  <c r="AI252" i="24"/>
  <c r="X252" i="24"/>
  <c r="AA252" i="24" s="1"/>
  <c r="AB252" i="24" s="1"/>
  <c r="AC252" i="24" s="1"/>
  <c r="W278" i="24"/>
  <c r="Y278" i="24" s="1"/>
  <c r="AF110" i="25"/>
  <c r="AE110" i="25"/>
  <c r="S146" i="25"/>
  <c r="K146" i="25" s="1"/>
  <c r="R146" i="25"/>
  <c r="Q146" i="25"/>
  <c r="BZ146" i="25"/>
  <c r="AO146" i="25"/>
  <c r="R252" i="25"/>
  <c r="S252" i="25"/>
  <c r="K252" i="25" s="1"/>
  <c r="Q252" i="25"/>
  <c r="BZ252" i="25"/>
  <c r="AO252" i="25"/>
  <c r="AE180" i="24"/>
  <c r="AI180" i="24"/>
  <c r="X180" i="24"/>
  <c r="AA180" i="24" s="1"/>
  <c r="AB180" i="24" s="1"/>
  <c r="AC180" i="24" s="1"/>
  <c r="Q308" i="24"/>
  <c r="P308" i="24"/>
  <c r="AP308" i="24"/>
  <c r="U278" i="25"/>
  <c r="AG101" i="24"/>
  <c r="AF101" i="24"/>
  <c r="AE47" i="24"/>
  <c r="AI47" i="24"/>
  <c r="X47" i="24"/>
  <c r="AA47" i="24" s="1"/>
  <c r="AB47" i="24" s="1"/>
  <c r="AC47" i="24" s="1"/>
  <c r="W47" i="24"/>
  <c r="Y47" i="24" s="1"/>
  <c r="W174" i="24"/>
  <c r="V174" i="24"/>
  <c r="AD243" i="25"/>
  <c r="W243" i="25"/>
  <c r="Z243" i="25" s="1"/>
  <c r="AA243" i="25" s="1"/>
  <c r="AB243" i="25" s="1"/>
  <c r="AI243" i="25" s="1"/>
  <c r="R70" i="25"/>
  <c r="S70" i="25"/>
  <c r="K70" i="25" s="1"/>
  <c r="Q70" i="25"/>
  <c r="BZ70" i="25"/>
  <c r="AO70" i="25"/>
  <c r="W120" i="24"/>
  <c r="Y120" i="24" s="1"/>
  <c r="W273" i="24"/>
  <c r="Y273" i="24" s="1"/>
  <c r="Q114" i="24"/>
  <c r="P114" i="24"/>
  <c r="AP114" i="24"/>
  <c r="AE184" i="24"/>
  <c r="AI184" i="24"/>
  <c r="X184" i="24"/>
  <c r="AA184" i="24" s="1"/>
  <c r="AB184" i="24" s="1"/>
  <c r="AC184" i="24" s="1"/>
  <c r="U100" i="25"/>
  <c r="AE268" i="24"/>
  <c r="AI268" i="24"/>
  <c r="X268" i="24"/>
  <c r="AA268" i="24" s="1"/>
  <c r="AB268" i="24" s="1"/>
  <c r="AC268" i="24" s="1"/>
  <c r="W113" i="24"/>
  <c r="V113" i="24"/>
  <c r="U264" i="25"/>
  <c r="AE116" i="24"/>
  <c r="AI116" i="24"/>
  <c r="X116" i="24"/>
  <c r="AA116" i="24" s="1"/>
  <c r="AB116" i="24" s="1"/>
  <c r="AC116" i="24" s="1"/>
  <c r="AD170" i="25"/>
  <c r="W170" i="25"/>
  <c r="Z170" i="25" s="1"/>
  <c r="AA170" i="25" s="1"/>
  <c r="AB170" i="25" s="1"/>
  <c r="AI170" i="25" s="1"/>
  <c r="R234" i="25"/>
  <c r="S234" i="25"/>
  <c r="K234" i="25" s="1"/>
  <c r="V234" i="25" s="1"/>
  <c r="Q234" i="25"/>
  <c r="AO234" i="25"/>
  <c r="BZ234" i="25"/>
  <c r="U194" i="25"/>
  <c r="AE266" i="24"/>
  <c r="AI266" i="24"/>
  <c r="X266" i="24"/>
  <c r="AA266" i="24" s="1"/>
  <c r="AB266" i="24" s="1"/>
  <c r="AC266" i="24" s="1"/>
  <c r="V136" i="24"/>
  <c r="W136" i="24"/>
  <c r="R286" i="25"/>
  <c r="S286" i="25"/>
  <c r="K286" i="25" s="1"/>
  <c r="Q286" i="25"/>
  <c r="AO286" i="25"/>
  <c r="BZ286" i="25"/>
  <c r="U268" i="25"/>
  <c r="P8" i="24"/>
  <c r="Q8" i="24"/>
  <c r="R8" i="24" s="1"/>
  <c r="AP8" i="24"/>
  <c r="Q94" i="24"/>
  <c r="R94" i="24" s="1"/>
  <c r="P94" i="24"/>
  <c r="AP94" i="24"/>
  <c r="V73" i="24"/>
  <c r="W73" i="24"/>
  <c r="W192" i="24"/>
  <c r="V192" i="24"/>
  <c r="AE246" i="24"/>
  <c r="AI246" i="24"/>
  <c r="W246" i="24"/>
  <c r="Y246" i="24" s="1"/>
  <c r="X246" i="24"/>
  <c r="AA246" i="24" s="1"/>
  <c r="AB246" i="24" s="1"/>
  <c r="AC246" i="24" s="1"/>
  <c r="U98" i="25"/>
  <c r="S52" i="25"/>
  <c r="K52" i="25" s="1"/>
  <c r="R52" i="25"/>
  <c r="Q52" i="25"/>
  <c r="BZ52" i="25"/>
  <c r="AO52" i="25"/>
  <c r="H212" i="25"/>
  <c r="AE238" i="24"/>
  <c r="AI238" i="24"/>
  <c r="X238" i="24"/>
  <c r="AA238" i="24" s="1"/>
  <c r="AB238" i="24" s="1"/>
  <c r="AC238" i="24" s="1"/>
  <c r="AE183" i="24"/>
  <c r="AI183" i="24"/>
  <c r="X183" i="24"/>
  <c r="AA183" i="24" s="1"/>
  <c r="AB183" i="24" s="1"/>
  <c r="AC183" i="24" s="1"/>
  <c r="AE61" i="24"/>
  <c r="AI61" i="24"/>
  <c r="X61" i="24"/>
  <c r="AA61" i="24" s="1"/>
  <c r="AB61" i="24" s="1"/>
  <c r="AC61" i="24" s="1"/>
  <c r="R93" i="25"/>
  <c r="S93" i="25"/>
  <c r="K93" i="25" s="1"/>
  <c r="Q93" i="25"/>
  <c r="AO93" i="25"/>
  <c r="BZ93" i="25"/>
  <c r="Q288" i="24"/>
  <c r="P288" i="24"/>
  <c r="AP288" i="24"/>
  <c r="AE248" i="24"/>
  <c r="AI248" i="24"/>
  <c r="X248" i="24"/>
  <c r="AA248" i="24" s="1"/>
  <c r="AB248" i="24" s="1"/>
  <c r="AC248" i="24" s="1"/>
  <c r="P209" i="24"/>
  <c r="Q209" i="24"/>
  <c r="AP209" i="24"/>
  <c r="AE205" i="24"/>
  <c r="AI205" i="24"/>
  <c r="X205" i="24"/>
  <c r="AA205" i="24" s="1"/>
  <c r="AB205" i="24" s="1"/>
  <c r="AC205" i="24" s="1"/>
  <c r="AE158" i="24"/>
  <c r="AI158" i="24"/>
  <c r="X158" i="24"/>
  <c r="AA158" i="24" s="1"/>
  <c r="AB158" i="24" s="1"/>
  <c r="AC158" i="24" s="1"/>
  <c r="V39" i="24"/>
  <c r="W39" i="24"/>
  <c r="S218" i="25"/>
  <c r="K218" i="25" s="1"/>
  <c r="V218" i="25" s="1"/>
  <c r="R218" i="25"/>
  <c r="Q218" i="25"/>
  <c r="AO218" i="25"/>
  <c r="BZ218" i="25"/>
  <c r="P164" i="24"/>
  <c r="Q164" i="24"/>
  <c r="AP164" i="24"/>
  <c r="W311" i="24"/>
  <c r="Y311" i="24" s="1"/>
  <c r="S44" i="25"/>
  <c r="K44" i="25" s="1"/>
  <c r="V44" i="25" s="1"/>
  <c r="R44" i="25"/>
  <c r="Q44" i="25"/>
  <c r="AO44" i="25"/>
  <c r="BZ44" i="25"/>
  <c r="R256" i="25"/>
  <c r="S256" i="25"/>
  <c r="K256" i="25" s="1"/>
  <c r="Q256" i="25"/>
  <c r="AO256" i="25"/>
  <c r="BZ256" i="25"/>
  <c r="Q26" i="24"/>
  <c r="R26" i="24" s="1"/>
  <c r="P26" i="24"/>
  <c r="AP26" i="24"/>
  <c r="Q158" i="24"/>
  <c r="P158" i="24"/>
  <c r="AP158" i="24"/>
  <c r="Q103" i="24"/>
  <c r="R103" i="24" s="1"/>
  <c r="P103" i="24"/>
  <c r="AP103" i="24"/>
  <c r="S271" i="25"/>
  <c r="K271" i="25" s="1"/>
  <c r="R271" i="25"/>
  <c r="Q271" i="25"/>
  <c r="AO271" i="25"/>
  <c r="BZ271" i="25"/>
  <c r="U55" i="25"/>
  <c r="U105" i="25"/>
  <c r="W138" i="24"/>
  <c r="V138" i="24"/>
  <c r="AE258" i="24"/>
  <c r="AI258" i="24"/>
  <c r="X258" i="24"/>
  <c r="AA258" i="24" s="1"/>
  <c r="AB258" i="24" s="1"/>
  <c r="AC258" i="24" s="1"/>
  <c r="U171" i="25"/>
  <c r="R254" i="25"/>
  <c r="S254" i="25"/>
  <c r="K254" i="25" s="1"/>
  <c r="Q254" i="25"/>
  <c r="BZ254" i="25"/>
  <c r="AO254" i="25"/>
  <c r="AE60" i="24"/>
  <c r="AI60" i="24"/>
  <c r="X60" i="24"/>
  <c r="AA60" i="24" s="1"/>
  <c r="AB60" i="24" s="1"/>
  <c r="AC60" i="24" s="1"/>
  <c r="AD34" i="25"/>
  <c r="W34" i="25"/>
  <c r="Z34" i="25" s="1"/>
  <c r="AA34" i="25" s="1"/>
  <c r="AB34" i="25" s="1"/>
  <c r="AI34" i="25" s="1"/>
  <c r="R182" i="25"/>
  <c r="S182" i="25"/>
  <c r="K182" i="25" s="1"/>
  <c r="Q182" i="25"/>
  <c r="AO182" i="25"/>
  <c r="BZ182" i="25"/>
  <c r="AE243" i="24"/>
  <c r="AI243" i="24"/>
  <c r="X243" i="24"/>
  <c r="AA243" i="24" s="1"/>
  <c r="AB243" i="24" s="1"/>
  <c r="AC243" i="24" s="1"/>
  <c r="AE256" i="24"/>
  <c r="AI256" i="24"/>
  <c r="X256" i="24"/>
  <c r="AA256" i="24" s="1"/>
  <c r="AB256" i="24" s="1"/>
  <c r="AC256" i="24" s="1"/>
  <c r="AE117" i="24"/>
  <c r="AI117" i="24"/>
  <c r="X117" i="24"/>
  <c r="AA117" i="24" s="1"/>
  <c r="AB117" i="24" s="1"/>
  <c r="AC117" i="24" s="1"/>
  <c r="W98" i="24"/>
  <c r="V98" i="24"/>
  <c r="S57" i="25"/>
  <c r="K57" i="25" s="1"/>
  <c r="R57" i="25"/>
  <c r="Q57" i="25"/>
  <c r="BZ57" i="25"/>
  <c r="AO57" i="25"/>
  <c r="Q161" i="24"/>
  <c r="P161" i="24"/>
  <c r="AP161" i="24"/>
  <c r="AE130" i="24"/>
  <c r="AI130" i="24"/>
  <c r="X130" i="24"/>
  <c r="AA130" i="24" s="1"/>
  <c r="AB130" i="24" s="1"/>
  <c r="AC130" i="24" s="1"/>
  <c r="AE159" i="24"/>
  <c r="AI159" i="24"/>
  <c r="X159" i="24"/>
  <c r="AA159" i="24" s="1"/>
  <c r="AB159" i="24" s="1"/>
  <c r="AC159" i="24" s="1"/>
  <c r="AE148" i="24"/>
  <c r="AI148" i="24"/>
  <c r="X148" i="24"/>
  <c r="AA148" i="24" s="1"/>
  <c r="AB148" i="24" s="1"/>
  <c r="AC148" i="24" s="1"/>
  <c r="R19" i="25"/>
  <c r="S19" i="25"/>
  <c r="K19" i="25" s="1"/>
  <c r="Q19" i="25"/>
  <c r="AO19" i="25"/>
  <c r="BZ19" i="25"/>
  <c r="AE18" i="24"/>
  <c r="AI18" i="24"/>
  <c r="X18" i="24"/>
  <c r="AA18" i="24" s="1"/>
  <c r="AB18" i="24" s="1"/>
  <c r="AC18" i="24" s="1"/>
  <c r="U301" i="25"/>
  <c r="AD292" i="25"/>
  <c r="W292" i="25"/>
  <c r="Z292" i="25" s="1"/>
  <c r="AA292" i="25" s="1"/>
  <c r="AB292" i="25" s="1"/>
  <c r="AI292" i="25" s="1"/>
  <c r="AD276" i="25"/>
  <c r="W276" i="25"/>
  <c r="Z276" i="25" s="1"/>
  <c r="AA276" i="25" s="1"/>
  <c r="AB276" i="25" s="1"/>
  <c r="AI276" i="25" s="1"/>
  <c r="AE15" i="24"/>
  <c r="AI15" i="24"/>
  <c r="X15" i="24"/>
  <c r="AA15" i="24" s="1"/>
  <c r="AB15" i="24" s="1"/>
  <c r="AC15" i="24" s="1"/>
  <c r="AD6" i="25"/>
  <c r="V6" i="25"/>
  <c r="X6" i="25" s="1"/>
  <c r="W6" i="25"/>
  <c r="Z6" i="25" s="1"/>
  <c r="AA6" i="25" s="1"/>
  <c r="AB6" i="25" s="1"/>
  <c r="AI6" i="25" s="1"/>
  <c r="W23" i="24"/>
  <c r="V23" i="24"/>
  <c r="S163" i="25"/>
  <c r="K163" i="25" s="1"/>
  <c r="R163" i="25"/>
  <c r="Q163" i="25"/>
  <c r="BZ163" i="25"/>
  <c r="AO163" i="25"/>
  <c r="AE225" i="24"/>
  <c r="AI225" i="24"/>
  <c r="W225" i="24"/>
  <c r="Y225" i="24" s="1"/>
  <c r="X225" i="24"/>
  <c r="AA225" i="24" s="1"/>
  <c r="AB225" i="24" s="1"/>
  <c r="AC225" i="24" s="1"/>
  <c r="U139" i="25"/>
  <c r="AE192" i="24"/>
  <c r="AI192" i="24"/>
  <c r="X192" i="24"/>
  <c r="AA192" i="24" s="1"/>
  <c r="AB192" i="24" s="1"/>
  <c r="AC192" i="24" s="1"/>
  <c r="AD177" i="25"/>
  <c r="W177" i="25"/>
  <c r="Z177" i="25" s="1"/>
  <c r="AA177" i="25" s="1"/>
  <c r="AB177" i="25" s="1"/>
  <c r="AI177" i="25" s="1"/>
  <c r="V177" i="25"/>
  <c r="X177" i="25" s="1"/>
  <c r="AE231" i="24"/>
  <c r="AI231" i="24"/>
  <c r="X231" i="24"/>
  <c r="AA231" i="24" s="1"/>
  <c r="AB231" i="24" s="1"/>
  <c r="AC231" i="24" s="1"/>
  <c r="U10" i="25"/>
  <c r="S126" i="25"/>
  <c r="K126" i="25" s="1"/>
  <c r="R126" i="25"/>
  <c r="Q126" i="25"/>
  <c r="BZ126" i="25"/>
  <c r="AO126" i="25"/>
  <c r="S172" i="25"/>
  <c r="K172" i="25" s="1"/>
  <c r="R172" i="25"/>
  <c r="Q172" i="25"/>
  <c r="BZ172" i="25"/>
  <c r="AO172" i="25"/>
  <c r="W129" i="24"/>
  <c r="Y129" i="24" s="1"/>
  <c r="S103" i="25"/>
  <c r="K103" i="25" s="1"/>
  <c r="V103" i="25" s="1"/>
  <c r="R103" i="25"/>
  <c r="Q103" i="25"/>
  <c r="BZ103" i="25"/>
  <c r="AO103" i="25"/>
  <c r="AE283" i="24"/>
  <c r="AI283" i="24"/>
  <c r="X283" i="24"/>
  <c r="AA283" i="24" s="1"/>
  <c r="AB283" i="24" s="1"/>
  <c r="AC283" i="24" s="1"/>
  <c r="AE274" i="24"/>
  <c r="AI274" i="24"/>
  <c r="X274" i="24"/>
  <c r="AA274" i="24" s="1"/>
  <c r="AB274" i="24" s="1"/>
  <c r="AC274" i="24" s="1"/>
  <c r="AD178" i="25"/>
  <c r="W178" i="25"/>
  <c r="Z178" i="25" s="1"/>
  <c r="AA178" i="25" s="1"/>
  <c r="AB178" i="25" s="1"/>
  <c r="AI178" i="25" s="1"/>
  <c r="AD257" i="25"/>
  <c r="W257" i="25"/>
  <c r="Z257" i="25" s="1"/>
  <c r="AA257" i="25" s="1"/>
  <c r="AB257" i="25" s="1"/>
  <c r="AI257" i="25" s="1"/>
  <c r="V257" i="25"/>
  <c r="X257" i="25" s="1"/>
  <c r="U53" i="25"/>
  <c r="AE128" i="24"/>
  <c r="AI128" i="24"/>
  <c r="X128" i="24"/>
  <c r="AA128" i="24" s="1"/>
  <c r="AB128" i="24" s="1"/>
  <c r="AC128" i="24" s="1"/>
  <c r="S60" i="25"/>
  <c r="K60" i="25" s="1"/>
  <c r="R60" i="25"/>
  <c r="Q60" i="25"/>
  <c r="AO60" i="25"/>
  <c r="BZ60" i="25"/>
  <c r="U219" i="25"/>
  <c r="U289" i="25"/>
  <c r="U209" i="25"/>
  <c r="P247" i="24"/>
  <c r="Q247" i="24"/>
  <c r="AP247" i="24"/>
  <c r="Q315" i="24"/>
  <c r="P315" i="24"/>
  <c r="AP315" i="24"/>
  <c r="U123" i="25"/>
  <c r="U307" i="25"/>
  <c r="AS129" i="25"/>
  <c r="S224" i="25"/>
  <c r="K224" i="25" s="1"/>
  <c r="R224" i="25"/>
  <c r="Q224" i="25"/>
  <c r="AO224" i="25"/>
  <c r="BZ224" i="25"/>
  <c r="AE24" i="24"/>
  <c r="AI24" i="24"/>
  <c r="X24" i="24"/>
  <c r="AA24" i="24" s="1"/>
  <c r="AB24" i="24" s="1"/>
  <c r="AC24" i="24" s="1"/>
  <c r="AE313" i="24"/>
  <c r="AI313" i="24"/>
  <c r="X313" i="24"/>
  <c r="AA313" i="24" s="1"/>
  <c r="AB313" i="24" s="1"/>
  <c r="AC313" i="24" s="1"/>
  <c r="W173" i="24"/>
  <c r="Y173" i="24" s="1"/>
  <c r="W18" i="24"/>
  <c r="Y18" i="24" s="1"/>
  <c r="W104" i="24"/>
  <c r="V104" i="24"/>
  <c r="AE82" i="24"/>
  <c r="AI82" i="24"/>
  <c r="X82" i="24"/>
  <c r="AA82" i="24" s="1"/>
  <c r="AB82" i="24" s="1"/>
  <c r="AC82" i="24" s="1"/>
  <c r="V261" i="25"/>
  <c r="X261" i="25" s="1"/>
  <c r="R290" i="25"/>
  <c r="S290" i="25"/>
  <c r="K290" i="25" s="1"/>
  <c r="Q290" i="25"/>
  <c r="BZ290" i="25"/>
  <c r="AO290" i="25"/>
  <c r="S136" i="25"/>
  <c r="K136" i="25" s="1"/>
  <c r="Q136" i="25"/>
  <c r="R136" i="25"/>
  <c r="AO136" i="25"/>
  <c r="BZ136" i="25"/>
  <c r="W232" i="24"/>
  <c r="V232" i="24"/>
  <c r="AE217" i="24"/>
  <c r="AI217" i="24"/>
  <c r="X217" i="24"/>
  <c r="AA217" i="24" s="1"/>
  <c r="AB217" i="24" s="1"/>
  <c r="AC217" i="24" s="1"/>
  <c r="S67" i="25"/>
  <c r="K67" i="25" s="1"/>
  <c r="R67" i="25"/>
  <c r="Q67" i="25"/>
  <c r="BZ67" i="25"/>
  <c r="AO67" i="25"/>
  <c r="AE20" i="24"/>
  <c r="AI20" i="24"/>
  <c r="X20" i="24"/>
  <c r="AA20" i="24" s="1"/>
  <c r="AB20" i="24" s="1"/>
  <c r="AC20" i="24" s="1"/>
  <c r="P282" i="24"/>
  <c r="Q282" i="24"/>
  <c r="AP282" i="24"/>
  <c r="AJ292" i="24"/>
  <c r="AE145" i="24"/>
  <c r="AI145" i="24"/>
  <c r="X145" i="24"/>
  <c r="AA145" i="24" s="1"/>
  <c r="AB145" i="24" s="1"/>
  <c r="AC145" i="24" s="1"/>
  <c r="R130" i="25"/>
  <c r="S130" i="25"/>
  <c r="K130" i="25" s="1"/>
  <c r="Q130" i="25"/>
  <c r="BZ130" i="25"/>
  <c r="AO130" i="25"/>
  <c r="R165" i="25"/>
  <c r="S165" i="25"/>
  <c r="K165" i="25" s="1"/>
  <c r="V165" i="25" s="1"/>
  <c r="Q165" i="25"/>
  <c r="BZ165" i="25"/>
  <c r="AO165" i="25"/>
  <c r="S266" i="25"/>
  <c r="K266" i="25" s="1"/>
  <c r="V266" i="25" s="1"/>
  <c r="R266" i="25"/>
  <c r="Q266" i="25"/>
  <c r="AO266" i="25"/>
  <c r="BZ266" i="25"/>
  <c r="AE174" i="24"/>
  <c r="AI174" i="24"/>
  <c r="X174" i="24"/>
  <c r="AA174" i="24" s="1"/>
  <c r="AB174" i="24" s="1"/>
  <c r="AC174" i="24" s="1"/>
  <c r="U202" i="25"/>
  <c r="W69" i="24"/>
  <c r="V69" i="24"/>
  <c r="AE178" i="24"/>
  <c r="AI178" i="24"/>
  <c r="X178" i="24"/>
  <c r="AA178" i="24" s="1"/>
  <c r="AB178" i="24" s="1"/>
  <c r="AC178" i="24" s="1"/>
  <c r="S159" i="25"/>
  <c r="K159" i="25" s="1"/>
  <c r="V159" i="25" s="1"/>
  <c r="R159" i="25"/>
  <c r="Q159" i="25"/>
  <c r="AO159" i="25"/>
  <c r="BZ159" i="25"/>
  <c r="V210" i="24"/>
  <c r="W210" i="24"/>
  <c r="AE69" i="24"/>
  <c r="AI69" i="24"/>
  <c r="X69" i="24"/>
  <c r="AA69" i="24" s="1"/>
  <c r="AB69" i="24" s="1"/>
  <c r="AC69" i="24" s="1"/>
  <c r="S63" i="25"/>
  <c r="K63" i="25" s="1"/>
  <c r="V63" i="25" s="1"/>
  <c r="R63" i="25"/>
  <c r="Q63" i="25"/>
  <c r="AO63" i="25"/>
  <c r="BZ63" i="25"/>
  <c r="AE125" i="24"/>
  <c r="AI125" i="24"/>
  <c r="X125" i="24"/>
  <c r="AA125" i="24" s="1"/>
  <c r="AB125" i="24" s="1"/>
  <c r="AC125" i="24" s="1"/>
  <c r="W29" i="24"/>
  <c r="V29" i="24"/>
  <c r="V145" i="24"/>
  <c r="W145" i="24"/>
  <c r="R278" i="25"/>
  <c r="S278" i="25"/>
  <c r="K278" i="25" s="1"/>
  <c r="Q278" i="25"/>
  <c r="BZ278" i="25"/>
  <c r="AO278" i="25"/>
  <c r="U73" i="25"/>
  <c r="AE164" i="24"/>
  <c r="AI164" i="24"/>
  <c r="X164" i="24"/>
  <c r="AA164" i="24" s="1"/>
  <c r="AB164" i="24" s="1"/>
  <c r="AC164" i="24" s="1"/>
  <c r="P174" i="24"/>
  <c r="Q174" i="24"/>
  <c r="AP174" i="24"/>
  <c r="R160" i="25"/>
  <c r="S160" i="25"/>
  <c r="K160" i="25" s="1"/>
  <c r="V160" i="25" s="1"/>
  <c r="Q160" i="25"/>
  <c r="AO160" i="25"/>
  <c r="BZ160" i="25"/>
  <c r="W202" i="24"/>
  <c r="Y202" i="24" s="1"/>
  <c r="AD174" i="25"/>
  <c r="W174" i="25"/>
  <c r="Z174" i="25" s="1"/>
  <c r="AA174" i="25" s="1"/>
  <c r="AB174" i="25" s="1"/>
  <c r="AI174" i="25" s="1"/>
  <c r="W287" i="24"/>
  <c r="Y287" i="24" s="1"/>
  <c r="R61" i="25"/>
  <c r="S61" i="25"/>
  <c r="K61" i="25" s="1"/>
  <c r="Q61" i="25"/>
  <c r="BZ61" i="25"/>
  <c r="AO61" i="25"/>
  <c r="S100" i="25"/>
  <c r="K100" i="25" s="1"/>
  <c r="R100" i="25"/>
  <c r="Q100" i="25"/>
  <c r="AO100" i="25"/>
  <c r="BZ100" i="25"/>
  <c r="V239" i="24"/>
  <c r="W239" i="24"/>
  <c r="R153" i="25"/>
  <c r="S153" i="25"/>
  <c r="K153" i="25" s="1"/>
  <c r="Q153" i="25"/>
  <c r="AO153" i="25"/>
  <c r="BZ153" i="25"/>
  <c r="AE54" i="24"/>
  <c r="AI54" i="24"/>
  <c r="X54" i="24"/>
  <c r="AA54" i="24" s="1"/>
  <c r="AB54" i="24" s="1"/>
  <c r="AC54" i="24" s="1"/>
  <c r="AE167" i="24"/>
  <c r="AI167" i="24"/>
  <c r="W167" i="24"/>
  <c r="Y167" i="24" s="1"/>
  <c r="X167" i="24"/>
  <c r="AA167" i="24" s="1"/>
  <c r="AB167" i="24" s="1"/>
  <c r="AC167" i="24" s="1"/>
  <c r="Q113" i="24"/>
  <c r="P113" i="24"/>
  <c r="AP113" i="24"/>
  <c r="R264" i="25"/>
  <c r="S264" i="25"/>
  <c r="K264" i="25" s="1"/>
  <c r="Q264" i="25"/>
  <c r="BZ264" i="25"/>
  <c r="AO264" i="25"/>
  <c r="R194" i="25"/>
  <c r="S194" i="25"/>
  <c r="K194" i="25" s="1"/>
  <c r="V194" i="25" s="1"/>
  <c r="Q194" i="25"/>
  <c r="AO194" i="25"/>
  <c r="BZ194" i="25"/>
  <c r="U23" i="25"/>
  <c r="R268" i="25"/>
  <c r="S268" i="25"/>
  <c r="K268" i="25" s="1"/>
  <c r="Q268" i="25"/>
  <c r="AO268" i="25"/>
  <c r="BZ268" i="25"/>
  <c r="V283" i="24"/>
  <c r="W283" i="24"/>
  <c r="V306" i="25"/>
  <c r="X306" i="25" s="1"/>
  <c r="W180" i="24"/>
  <c r="Y180" i="24" s="1"/>
  <c r="R98" i="25"/>
  <c r="S98" i="25"/>
  <c r="K98" i="25" s="1"/>
  <c r="Q98" i="25"/>
  <c r="AO98" i="25"/>
  <c r="BZ98" i="25"/>
  <c r="AE237" i="24"/>
  <c r="AI237" i="24"/>
  <c r="X237" i="24"/>
  <c r="AA237" i="24" s="1"/>
  <c r="AB237" i="24" s="1"/>
  <c r="AC237" i="24" s="1"/>
  <c r="AE196" i="24"/>
  <c r="AI196" i="24"/>
  <c r="X196" i="24"/>
  <c r="AA196" i="24" s="1"/>
  <c r="AB196" i="24" s="1"/>
  <c r="AC196" i="24" s="1"/>
  <c r="U72" i="25"/>
  <c r="AE30" i="24"/>
  <c r="AI30" i="24"/>
  <c r="X30" i="24"/>
  <c r="AA30" i="24" s="1"/>
  <c r="AB30" i="24" s="1"/>
  <c r="AC30" i="24" s="1"/>
  <c r="W118" i="24"/>
  <c r="Y118" i="24" s="1"/>
  <c r="AE234" i="24"/>
  <c r="AI234" i="24"/>
  <c r="X234" i="24"/>
  <c r="AA234" i="24" s="1"/>
  <c r="AB234" i="24" s="1"/>
  <c r="AC234" i="24" s="1"/>
  <c r="AE290" i="24"/>
  <c r="AI290" i="24"/>
  <c r="X290" i="24"/>
  <c r="AA290" i="24" s="1"/>
  <c r="AB290" i="24" s="1"/>
  <c r="AC290" i="24" s="1"/>
  <c r="Q39" i="24"/>
  <c r="R39" i="24" s="1"/>
  <c r="P39" i="24"/>
  <c r="AP39" i="24"/>
  <c r="AE64" i="24"/>
  <c r="AI64" i="24"/>
  <c r="X64" i="24"/>
  <c r="AA64" i="24" s="1"/>
  <c r="AB64" i="24" s="1"/>
  <c r="AC64" i="24" s="1"/>
  <c r="V229" i="24"/>
  <c r="W229" i="24"/>
  <c r="W155" i="24"/>
  <c r="Y155" i="24" s="1"/>
  <c r="U183" i="25"/>
  <c r="S83" i="25"/>
  <c r="K83" i="25" s="1"/>
  <c r="R83" i="25"/>
  <c r="Q83" i="25"/>
  <c r="BZ83" i="25"/>
  <c r="AO83" i="25"/>
  <c r="AE185" i="24"/>
  <c r="AI185" i="24"/>
  <c r="X185" i="24"/>
  <c r="AA185" i="24" s="1"/>
  <c r="AB185" i="24" s="1"/>
  <c r="AC185" i="24" s="1"/>
  <c r="AE300" i="24"/>
  <c r="AI300" i="24"/>
  <c r="X300" i="24"/>
  <c r="AA300" i="24" s="1"/>
  <c r="AB300" i="24" s="1"/>
  <c r="AC300" i="24" s="1"/>
  <c r="V299" i="24"/>
  <c r="W299" i="24"/>
  <c r="AE261" i="24"/>
  <c r="AI261" i="24"/>
  <c r="X261" i="24"/>
  <c r="AA261" i="24" s="1"/>
  <c r="AB261" i="24" s="1"/>
  <c r="AC261" i="24" s="1"/>
  <c r="U38" i="25"/>
  <c r="AE269" i="24"/>
  <c r="AI269" i="24"/>
  <c r="X269" i="24"/>
  <c r="AA269" i="24" s="1"/>
  <c r="AB269" i="24" s="1"/>
  <c r="AC269" i="24" s="1"/>
  <c r="U140" i="25"/>
  <c r="AE144" i="24"/>
  <c r="AI144" i="24"/>
  <c r="X144" i="24"/>
  <c r="AA144" i="24" s="1"/>
  <c r="AB144" i="24" s="1"/>
  <c r="AC144" i="24" s="1"/>
  <c r="AE58" i="24"/>
  <c r="AI58" i="24"/>
  <c r="X58" i="24"/>
  <c r="AA58" i="24" s="1"/>
  <c r="AB58" i="24" s="1"/>
  <c r="AC58" i="24" s="1"/>
  <c r="AE219" i="24"/>
  <c r="AI219" i="24"/>
  <c r="X219" i="24"/>
  <c r="AA219" i="24" s="1"/>
  <c r="AB219" i="24" s="1"/>
  <c r="AC219" i="24" s="1"/>
  <c r="V58" i="24"/>
  <c r="W58" i="24"/>
  <c r="AE134" i="24"/>
  <c r="AI134" i="24"/>
  <c r="W134" i="24"/>
  <c r="Y134" i="24" s="1"/>
  <c r="X134" i="24"/>
  <c r="AA134" i="24" s="1"/>
  <c r="AB134" i="24" s="1"/>
  <c r="AC134" i="24" s="1"/>
  <c r="S16" i="25"/>
  <c r="K16" i="25" s="1"/>
  <c r="R16" i="25"/>
  <c r="Q16" i="25"/>
  <c r="BZ16" i="25"/>
  <c r="AO16" i="25"/>
  <c r="W159" i="24"/>
  <c r="V159" i="24"/>
  <c r="AD283" i="25"/>
  <c r="W283" i="25"/>
  <c r="Z283" i="25" s="1"/>
  <c r="AA283" i="25" s="1"/>
  <c r="AB283" i="25" s="1"/>
  <c r="AI283" i="25" s="1"/>
  <c r="S38" i="25"/>
  <c r="K38" i="25" s="1"/>
  <c r="V38" i="25" s="1"/>
  <c r="R38" i="25"/>
  <c r="Q38" i="25"/>
  <c r="BZ38" i="25"/>
  <c r="AO38" i="25"/>
  <c r="AJ22" i="24"/>
  <c r="R128" i="25"/>
  <c r="S128" i="25"/>
  <c r="K128" i="25" s="1"/>
  <c r="Q128" i="25"/>
  <c r="AO128" i="25"/>
  <c r="BZ128" i="25"/>
  <c r="W245" i="24"/>
  <c r="V245" i="24"/>
  <c r="R140" i="25"/>
  <c r="S140" i="25"/>
  <c r="K140" i="25" s="1"/>
  <c r="V140" i="25" s="1"/>
  <c r="Q140" i="25"/>
  <c r="BZ140" i="25"/>
  <c r="AO140" i="25"/>
  <c r="S227" i="25"/>
  <c r="K227" i="25" s="1"/>
  <c r="R227" i="25"/>
  <c r="Q227" i="25"/>
  <c r="AO227" i="25"/>
  <c r="BZ227" i="25"/>
  <c r="AE42" i="24"/>
  <c r="AI42" i="24"/>
  <c r="X42" i="24"/>
  <c r="AA42" i="24" s="1"/>
  <c r="AB42" i="24" s="1"/>
  <c r="AC42" i="24" s="1"/>
  <c r="R37" i="25"/>
  <c r="S37" i="25"/>
  <c r="K37" i="25" s="1"/>
  <c r="Q37" i="25"/>
  <c r="AO37" i="25"/>
  <c r="BZ37" i="25"/>
  <c r="AE220" i="24"/>
  <c r="AI220" i="24"/>
  <c r="X220" i="24"/>
  <c r="AA220" i="24" s="1"/>
  <c r="AB220" i="24" s="1"/>
  <c r="AC220" i="24" s="1"/>
  <c r="Q58" i="24"/>
  <c r="R58" i="24" s="1"/>
  <c r="P58" i="24"/>
  <c r="AP58" i="24"/>
  <c r="AE83" i="24"/>
  <c r="AI83" i="24"/>
  <c r="X83" i="24"/>
  <c r="AA83" i="24" s="1"/>
  <c r="AB83" i="24" s="1"/>
  <c r="AC83" i="24" s="1"/>
  <c r="V260" i="24"/>
  <c r="W260" i="24"/>
  <c r="W289" i="24"/>
  <c r="Y289" i="24" s="1"/>
  <c r="R311" i="25"/>
  <c r="S311" i="25"/>
  <c r="K311" i="25" s="1"/>
  <c r="Q311" i="25"/>
  <c r="BZ311" i="25"/>
  <c r="AO311" i="25"/>
  <c r="R309" i="25"/>
  <c r="S309" i="25"/>
  <c r="K309" i="25" s="1"/>
  <c r="Q309" i="25"/>
  <c r="BZ309" i="25"/>
  <c r="AO309" i="25"/>
  <c r="AE224" i="24"/>
  <c r="AI224" i="24"/>
  <c r="X224" i="24"/>
  <c r="AA224" i="24" s="1"/>
  <c r="AB224" i="24" s="1"/>
  <c r="AC224" i="24" s="1"/>
  <c r="AD282" i="25"/>
  <c r="W282" i="25"/>
  <c r="Z282" i="25" s="1"/>
  <c r="AA282" i="25" s="1"/>
  <c r="AB282" i="25" s="1"/>
  <c r="AI282" i="25" s="1"/>
  <c r="R35" i="25"/>
  <c r="S35" i="25"/>
  <c r="K35" i="25" s="1"/>
  <c r="Q35" i="25"/>
  <c r="BZ35" i="25"/>
  <c r="AO35" i="25"/>
  <c r="AE9" i="24"/>
  <c r="AI9" i="24"/>
  <c r="X9" i="24"/>
  <c r="AA9" i="24" s="1"/>
  <c r="AB9" i="24" s="1"/>
  <c r="AC9" i="24" s="1"/>
  <c r="W189" i="24"/>
  <c r="Y189" i="24" s="1"/>
  <c r="U12" i="25"/>
  <c r="W42" i="24"/>
  <c r="V42" i="24"/>
  <c r="B117" i="2"/>
  <c r="U210" i="25"/>
  <c r="U313" i="25"/>
  <c r="AG41" i="24"/>
  <c r="AF41" i="24"/>
  <c r="AE181" i="24"/>
  <c r="AI181" i="24"/>
  <c r="X181" i="24"/>
  <c r="AA181" i="24" s="1"/>
  <c r="AB181" i="24" s="1"/>
  <c r="AC181" i="24" s="1"/>
  <c r="S301" i="25"/>
  <c r="K301" i="25" s="1"/>
  <c r="R301" i="25"/>
  <c r="Q301" i="25"/>
  <c r="AO301" i="25"/>
  <c r="BZ301" i="25"/>
  <c r="W111" i="24"/>
  <c r="V111" i="24"/>
  <c r="W186" i="24"/>
  <c r="V186" i="24"/>
  <c r="AD186" i="25"/>
  <c r="W186" i="25"/>
  <c r="Z186" i="25" s="1"/>
  <c r="AA186" i="25" s="1"/>
  <c r="AB186" i="25" s="1"/>
  <c r="AI186" i="25" s="1"/>
  <c r="V186" i="25"/>
  <c r="X186" i="25" s="1"/>
  <c r="S241" i="25"/>
  <c r="K241" i="25" s="1"/>
  <c r="R241" i="25"/>
  <c r="Q241" i="25"/>
  <c r="BZ241" i="25"/>
  <c r="AO241" i="25"/>
  <c r="AD229" i="25"/>
  <c r="W229" i="25"/>
  <c r="Z229" i="25" s="1"/>
  <c r="AA229" i="25" s="1"/>
  <c r="AB229" i="25" s="1"/>
  <c r="AI229" i="25" s="1"/>
  <c r="W258" i="24"/>
  <c r="Y258" i="24" s="1"/>
  <c r="W135" i="24"/>
  <c r="V135" i="24"/>
  <c r="U217" i="25"/>
  <c r="AE133" i="24"/>
  <c r="AI133" i="24"/>
  <c r="X133" i="24"/>
  <c r="AA133" i="24" s="1"/>
  <c r="AB133" i="24" s="1"/>
  <c r="AC133" i="24" s="1"/>
  <c r="R10" i="25"/>
  <c r="S10" i="25"/>
  <c r="K10" i="25" s="1"/>
  <c r="V10" i="25" s="1"/>
  <c r="Q10" i="25"/>
  <c r="AO10" i="25"/>
  <c r="BZ10" i="25"/>
  <c r="R166" i="25"/>
  <c r="S166" i="25"/>
  <c r="K166" i="25" s="1"/>
  <c r="Q166" i="25"/>
  <c r="BZ166" i="25"/>
  <c r="AO166" i="25"/>
  <c r="U181" i="25"/>
  <c r="AE33" i="24"/>
  <c r="AI33" i="24"/>
  <c r="X33" i="24"/>
  <c r="AA33" i="24" s="1"/>
  <c r="AB33" i="24" s="1"/>
  <c r="AC33" i="24" s="1"/>
  <c r="AD113" i="25"/>
  <c r="W113" i="25"/>
  <c r="Z113" i="25" s="1"/>
  <c r="AA113" i="25" s="1"/>
  <c r="AB113" i="25" s="1"/>
  <c r="AI113" i="25" s="1"/>
  <c r="AE67" i="24"/>
  <c r="AI67" i="24"/>
  <c r="X67" i="24"/>
  <c r="AA67" i="24" s="1"/>
  <c r="AB67" i="24" s="1"/>
  <c r="AC67" i="24" s="1"/>
  <c r="U63" i="25"/>
  <c r="R195" i="25"/>
  <c r="S195" i="25"/>
  <c r="K195" i="25" s="1"/>
  <c r="Q195" i="25"/>
  <c r="AO195" i="25"/>
  <c r="BZ195" i="25"/>
  <c r="V114" i="25"/>
  <c r="X114" i="25" s="1"/>
  <c r="AE98" i="24"/>
  <c r="AI98" i="24"/>
  <c r="X98" i="24"/>
  <c r="AA98" i="24" s="1"/>
  <c r="AB98" i="24" s="1"/>
  <c r="AC98" i="24" s="1"/>
  <c r="AE91" i="24"/>
  <c r="AI91" i="24"/>
  <c r="X91" i="24"/>
  <c r="AA91" i="24" s="1"/>
  <c r="AB91" i="24" s="1"/>
  <c r="AC91" i="24" s="1"/>
  <c r="R219" i="25"/>
  <c r="S219" i="25"/>
  <c r="K219" i="25" s="1"/>
  <c r="Q219" i="25"/>
  <c r="AO219" i="25"/>
  <c r="BZ219" i="25"/>
  <c r="U277" i="25"/>
  <c r="S209" i="25"/>
  <c r="K209" i="25" s="1"/>
  <c r="V209" i="25" s="1"/>
  <c r="R209" i="25"/>
  <c r="Q209" i="25"/>
  <c r="BZ209" i="25"/>
  <c r="AO209" i="25"/>
  <c r="AE86" i="24"/>
  <c r="AI86" i="24"/>
  <c r="X86" i="24"/>
  <c r="AA86" i="24" s="1"/>
  <c r="AB86" i="24" s="1"/>
  <c r="AC86" i="24" s="1"/>
  <c r="AE197" i="24"/>
  <c r="AI197" i="24"/>
  <c r="X197" i="24"/>
  <c r="AA197" i="24" s="1"/>
  <c r="AB197" i="24" s="1"/>
  <c r="AC197" i="24" s="1"/>
  <c r="V184" i="24"/>
  <c r="W184" i="24"/>
  <c r="R123" i="25"/>
  <c r="S123" i="25"/>
  <c r="K123" i="25" s="1"/>
  <c r="V123" i="25" s="1"/>
  <c r="Q123" i="25"/>
  <c r="AO123" i="25"/>
  <c r="BZ123" i="25"/>
  <c r="R307" i="25"/>
  <c r="S307" i="25"/>
  <c r="K307" i="25" s="1"/>
  <c r="V307" i="25" s="1"/>
  <c r="Q307" i="25"/>
  <c r="BZ307" i="25"/>
  <c r="AO307" i="25"/>
  <c r="W76" i="24"/>
  <c r="Y76" i="24" s="1"/>
  <c r="AF129" i="25"/>
  <c r="AE129" i="25"/>
  <c r="V148" i="24"/>
  <c r="W148" i="24"/>
  <c r="R175" i="25"/>
  <c r="S175" i="25"/>
  <c r="K175" i="25" s="1"/>
  <c r="V175" i="25" s="1"/>
  <c r="Q175" i="25"/>
  <c r="BZ175" i="25"/>
  <c r="AO175" i="25"/>
  <c r="AE316" i="24"/>
  <c r="AI316" i="24"/>
  <c r="X316" i="24"/>
  <c r="AA316" i="24" s="1"/>
  <c r="AB316" i="24" s="1"/>
  <c r="AC316" i="24" s="1"/>
  <c r="W228" i="24"/>
  <c r="V228" i="24"/>
  <c r="V259" i="25"/>
  <c r="X259" i="25" s="1"/>
  <c r="AD238" i="25"/>
  <c r="W238" i="25"/>
  <c r="Z238" i="25" s="1"/>
  <c r="AA238" i="25" s="1"/>
  <c r="AB238" i="25" s="1"/>
  <c r="AI238" i="25" s="1"/>
  <c r="AD173" i="25"/>
  <c r="W173" i="25"/>
  <c r="Z173" i="25" s="1"/>
  <c r="AA173" i="25" s="1"/>
  <c r="AB173" i="25" s="1"/>
  <c r="AI173" i="25" s="1"/>
  <c r="W14" i="24"/>
  <c r="Y14" i="24" s="1"/>
  <c r="S24" i="25"/>
  <c r="K24" i="25" s="1"/>
  <c r="R24" i="25"/>
  <c r="Q24" i="25"/>
  <c r="BZ24" i="25"/>
  <c r="AO24" i="25"/>
  <c r="AE301" i="24"/>
  <c r="AI301" i="24"/>
  <c r="X301" i="24"/>
  <c r="AA301" i="24" s="1"/>
  <c r="AB301" i="24" s="1"/>
  <c r="AC301" i="24" s="1"/>
  <c r="AE17" i="24"/>
  <c r="AI17" i="24"/>
  <c r="X17" i="24"/>
  <c r="AA17" i="24" s="1"/>
  <c r="AB17" i="24" s="1"/>
  <c r="AC17" i="24" s="1"/>
  <c r="P232" i="24"/>
  <c r="Q232" i="24"/>
  <c r="AP232" i="24"/>
  <c r="AE315" i="24"/>
  <c r="AI315" i="24"/>
  <c r="X315" i="24"/>
  <c r="AA315" i="24" s="1"/>
  <c r="AB315" i="24" s="1"/>
  <c r="AC315" i="24" s="1"/>
  <c r="AE127" i="24"/>
  <c r="AI127" i="24"/>
  <c r="X127" i="24"/>
  <c r="AA127" i="24" s="1"/>
  <c r="AB127" i="24" s="1"/>
  <c r="AC127" i="24" s="1"/>
  <c r="R176" i="25"/>
  <c r="S176" i="25"/>
  <c r="K176" i="25" s="1"/>
  <c r="Q176" i="25"/>
  <c r="AO176" i="25"/>
  <c r="BZ176" i="25"/>
  <c r="AG292" i="24"/>
  <c r="AF292" i="24"/>
  <c r="AE193" i="24"/>
  <c r="AI193" i="24"/>
  <c r="X193" i="24"/>
  <c r="AA193" i="24" s="1"/>
  <c r="AB193" i="24" s="1"/>
  <c r="AC193" i="24" s="1"/>
  <c r="W188" i="24"/>
  <c r="Y188" i="24" s="1"/>
  <c r="AD62" i="25"/>
  <c r="W62" i="25"/>
  <c r="Z62" i="25" s="1"/>
  <c r="AA62" i="25" s="1"/>
  <c r="AB62" i="25" s="1"/>
  <c r="AI62" i="25" s="1"/>
  <c r="W284" i="24"/>
  <c r="Y284" i="24" s="1"/>
  <c r="V206" i="25"/>
  <c r="X206" i="25" s="1"/>
  <c r="W218" i="24"/>
  <c r="Y218" i="24" s="1"/>
  <c r="U226" i="25"/>
  <c r="R36" i="25"/>
  <c r="S36" i="25"/>
  <c r="K36" i="25" s="1"/>
  <c r="Q36" i="25"/>
  <c r="AO36" i="25"/>
  <c r="BZ36" i="25"/>
  <c r="AE244" i="24"/>
  <c r="AI244" i="24"/>
  <c r="X244" i="24"/>
  <c r="AA244" i="24" s="1"/>
  <c r="AB244" i="24" s="1"/>
  <c r="AC244" i="24" s="1"/>
  <c r="W269" i="24"/>
  <c r="Y269" i="24" s="1"/>
  <c r="AD296" i="25"/>
  <c r="W296" i="25"/>
  <c r="Z296" i="25" s="1"/>
  <c r="AA296" i="25" s="1"/>
  <c r="AB296" i="25" s="1"/>
  <c r="AI296" i="25" s="1"/>
  <c r="V296" i="25"/>
  <c r="X296" i="25" s="1"/>
  <c r="W172" i="24"/>
  <c r="Y172" i="24" s="1"/>
  <c r="Q210" i="24"/>
  <c r="P210" i="24"/>
  <c r="AP210" i="24"/>
  <c r="R137" i="25"/>
  <c r="S137" i="25"/>
  <c r="K137" i="25" s="1"/>
  <c r="Q137" i="25"/>
  <c r="AO137" i="25"/>
  <c r="BZ137" i="25"/>
  <c r="V222" i="24"/>
  <c r="W222" i="24"/>
  <c r="AE262" i="24"/>
  <c r="AI262" i="24"/>
  <c r="X262" i="24"/>
  <c r="AA262" i="24" s="1"/>
  <c r="AB262" i="24" s="1"/>
  <c r="AC262" i="24" s="1"/>
  <c r="AE80" i="24"/>
  <c r="AI80" i="24"/>
  <c r="X80" i="24"/>
  <c r="AA80" i="24" s="1"/>
  <c r="AB80" i="24" s="1"/>
  <c r="AC80" i="24" s="1"/>
  <c r="AJ236" i="24"/>
  <c r="U203" i="25"/>
  <c r="AE306" i="24"/>
  <c r="AI306" i="24"/>
  <c r="X306" i="24"/>
  <c r="AA306" i="24" s="1"/>
  <c r="AB306" i="24" s="1"/>
  <c r="AC306" i="24" s="1"/>
  <c r="P29" i="24"/>
  <c r="Q29" i="24"/>
  <c r="R29" i="24" s="1"/>
  <c r="AP29" i="24"/>
  <c r="P145" i="24"/>
  <c r="Q145" i="24"/>
  <c r="AP145" i="24"/>
  <c r="AE92" i="24"/>
  <c r="AI92" i="24"/>
  <c r="X92" i="24"/>
  <c r="AA92" i="24" s="1"/>
  <c r="AB92" i="24" s="1"/>
  <c r="AC92" i="24" s="1"/>
  <c r="AE51" i="24"/>
  <c r="AI51" i="24"/>
  <c r="X51" i="24"/>
  <c r="AA51" i="24" s="1"/>
  <c r="AB51" i="24" s="1"/>
  <c r="AC51" i="24" s="1"/>
  <c r="R73" i="25"/>
  <c r="S73" i="25"/>
  <c r="K73" i="25" s="1"/>
  <c r="V73" i="25" s="1"/>
  <c r="Q73" i="25"/>
  <c r="AO73" i="25"/>
  <c r="BZ73" i="25"/>
  <c r="R187" i="25"/>
  <c r="S187" i="25"/>
  <c r="K187" i="25" s="1"/>
  <c r="V187" i="25" s="1"/>
  <c r="Q187" i="25"/>
  <c r="BZ187" i="25"/>
  <c r="AO187" i="25"/>
  <c r="AE39" i="24"/>
  <c r="AI39" i="24"/>
  <c r="X39" i="24"/>
  <c r="AA39" i="24" s="1"/>
  <c r="AB39" i="24" s="1"/>
  <c r="AC39" i="24" s="1"/>
  <c r="AJ142" i="24"/>
  <c r="AE229" i="24"/>
  <c r="AI229" i="24"/>
  <c r="X229" i="24"/>
  <c r="AA229" i="24" s="1"/>
  <c r="AB229" i="24" s="1"/>
  <c r="AC229" i="24" s="1"/>
  <c r="AE111" i="24"/>
  <c r="AI111" i="24"/>
  <c r="X111" i="24"/>
  <c r="AA111" i="24" s="1"/>
  <c r="AB111" i="24" s="1"/>
  <c r="AC111" i="24" s="1"/>
  <c r="W116" i="24"/>
  <c r="Y116" i="24" s="1"/>
  <c r="W67" i="24"/>
  <c r="Y67" i="24" s="1"/>
  <c r="W92" i="24"/>
  <c r="V92" i="24"/>
  <c r="AE46" i="24"/>
  <c r="AI46" i="24"/>
  <c r="X46" i="24"/>
  <c r="AA46" i="24" s="1"/>
  <c r="AB46" i="24" s="1"/>
  <c r="AC46" i="24" s="1"/>
  <c r="W6" i="24"/>
  <c r="Y6" i="24" s="1"/>
  <c r="W277" i="24"/>
  <c r="V277" i="24"/>
  <c r="Q239" i="24"/>
  <c r="P239" i="24"/>
  <c r="AP239" i="24"/>
  <c r="W38" i="24"/>
  <c r="V38" i="24"/>
  <c r="R47" i="25"/>
  <c r="S47" i="25"/>
  <c r="K47" i="25" s="1"/>
  <c r="V47" i="25" s="1"/>
  <c r="Q47" i="25"/>
  <c r="AO47" i="25"/>
  <c r="BZ47" i="25"/>
  <c r="AE259" i="24"/>
  <c r="AI259" i="24"/>
  <c r="X259" i="24"/>
  <c r="AA259" i="24" s="1"/>
  <c r="AB259" i="24" s="1"/>
  <c r="AC259" i="24" s="1"/>
  <c r="S23" i="25"/>
  <c r="K23" i="25" s="1"/>
  <c r="R23" i="25"/>
  <c r="Q23" i="25"/>
  <c r="AO23" i="25"/>
  <c r="BZ23" i="25"/>
  <c r="V57" i="24"/>
  <c r="W57" i="24"/>
  <c r="U272" i="25"/>
  <c r="AE126" i="24"/>
  <c r="AI126" i="24"/>
  <c r="X126" i="24"/>
  <c r="AA126" i="24" s="1"/>
  <c r="AB126" i="24" s="1"/>
  <c r="AC126" i="24" s="1"/>
  <c r="V235" i="24"/>
  <c r="W235" i="24"/>
  <c r="W193" i="24"/>
  <c r="Y193" i="24" s="1"/>
  <c r="AD248" i="25"/>
  <c r="W248" i="25"/>
  <c r="Z248" i="25" s="1"/>
  <c r="AA248" i="25" s="1"/>
  <c r="AB248" i="25" s="1"/>
  <c r="AI248" i="25" s="1"/>
  <c r="V174" i="25"/>
  <c r="X174" i="25" s="1"/>
  <c r="AD204" i="25"/>
  <c r="W204" i="25"/>
  <c r="Z204" i="25" s="1"/>
  <c r="AA204" i="25" s="1"/>
  <c r="AB204" i="25" s="1"/>
  <c r="AI204" i="25" s="1"/>
  <c r="S80" i="25"/>
  <c r="K80" i="25" s="1"/>
  <c r="R80" i="25"/>
  <c r="Q80" i="25"/>
  <c r="AO80" i="25"/>
  <c r="BZ80" i="25"/>
  <c r="R310" i="25"/>
  <c r="S310" i="25"/>
  <c r="K310" i="25" s="1"/>
  <c r="Q310" i="25"/>
  <c r="AO310" i="25"/>
  <c r="BZ310" i="25"/>
  <c r="FJ211" i="25"/>
  <c r="R54" i="25"/>
  <c r="S54" i="25"/>
  <c r="K54" i="25" s="1"/>
  <c r="Q54" i="25"/>
  <c r="BZ54" i="25"/>
  <c r="AO54" i="25"/>
  <c r="S72" i="25"/>
  <c r="K72" i="25" s="1"/>
  <c r="R72" i="25"/>
  <c r="Q72" i="25"/>
  <c r="AO72" i="25"/>
  <c r="BZ72" i="25"/>
  <c r="R65" i="25"/>
  <c r="S65" i="25"/>
  <c r="K65" i="25" s="1"/>
  <c r="Q65" i="25"/>
  <c r="BZ65" i="25"/>
  <c r="AO65" i="25"/>
  <c r="U225" i="25"/>
  <c r="W291" i="24"/>
  <c r="V291" i="24"/>
  <c r="V100" i="24"/>
  <c r="W100" i="24"/>
  <c r="W266" i="24"/>
  <c r="V266" i="24"/>
  <c r="Q229" i="24"/>
  <c r="P229" i="24"/>
  <c r="AP229" i="24"/>
  <c r="AE88" i="24"/>
  <c r="AI88" i="24"/>
  <c r="W88" i="24"/>
  <c r="Y88" i="24" s="1"/>
  <c r="X88" i="24"/>
  <c r="AA88" i="24" s="1"/>
  <c r="AB88" i="24" s="1"/>
  <c r="AC88" i="24" s="1"/>
  <c r="AE170" i="24"/>
  <c r="AI170" i="24"/>
  <c r="X170" i="24"/>
  <c r="AA170" i="24" s="1"/>
  <c r="AB170" i="24" s="1"/>
  <c r="AC170" i="24" s="1"/>
  <c r="AD247" i="25"/>
  <c r="W247" i="25"/>
  <c r="Z247" i="25" s="1"/>
  <c r="AA247" i="25" s="1"/>
  <c r="AB247" i="25" s="1"/>
  <c r="AI247" i="25" s="1"/>
  <c r="R149" i="25"/>
  <c r="S149" i="25"/>
  <c r="K149" i="25" s="1"/>
  <c r="Q149" i="25"/>
  <c r="AO149" i="25"/>
  <c r="BZ149" i="25"/>
  <c r="AG22" i="24"/>
  <c r="AF22" i="24"/>
  <c r="W80" i="24"/>
  <c r="V80" i="24"/>
  <c r="AE241" i="24"/>
  <c r="AI241" i="24"/>
  <c r="X241" i="24"/>
  <c r="AA241" i="24" s="1"/>
  <c r="AB241" i="24" s="1"/>
  <c r="AC241" i="24" s="1"/>
  <c r="AE66" i="24"/>
  <c r="AI66" i="24"/>
  <c r="X66" i="24"/>
  <c r="AA66" i="24" s="1"/>
  <c r="AB66" i="24" s="1"/>
  <c r="AC66" i="24" s="1"/>
  <c r="AG190" i="24"/>
  <c r="AF190" i="24"/>
  <c r="R263" i="25"/>
  <c r="S263" i="25"/>
  <c r="K263" i="25" s="1"/>
  <c r="Q263" i="25"/>
  <c r="AO263" i="25"/>
  <c r="BZ263" i="25"/>
  <c r="U90" i="25"/>
  <c r="U125" i="25"/>
  <c r="U297" i="25"/>
  <c r="AE279" i="24"/>
  <c r="AI279" i="24"/>
  <c r="X279" i="24"/>
  <c r="AA279" i="24" s="1"/>
  <c r="AB279" i="24" s="1"/>
  <c r="AC279" i="24" s="1"/>
  <c r="P260" i="24"/>
  <c r="Q260" i="24"/>
  <c r="AP260" i="24"/>
  <c r="S101" i="25"/>
  <c r="K101" i="25" s="1"/>
  <c r="V101" i="25" s="1"/>
  <c r="R101" i="25"/>
  <c r="Q101" i="25"/>
  <c r="AO101" i="25"/>
  <c r="BZ101" i="25"/>
  <c r="AD31" i="25"/>
  <c r="W31" i="25"/>
  <c r="Z31" i="25" s="1"/>
  <c r="AA31" i="25" s="1"/>
  <c r="AB31" i="25" s="1"/>
  <c r="AI31" i="25" s="1"/>
  <c r="V112" i="24"/>
  <c r="W112" i="24"/>
  <c r="AE230" i="24"/>
  <c r="AI230" i="24"/>
  <c r="X230" i="24"/>
  <c r="AA230" i="24" s="1"/>
  <c r="AB230" i="24" s="1"/>
  <c r="AC230" i="24" s="1"/>
  <c r="U75" i="25"/>
  <c r="AE247" i="24"/>
  <c r="AI247" i="24"/>
  <c r="X247" i="24"/>
  <c r="AA247" i="24" s="1"/>
  <c r="AB247" i="24" s="1"/>
  <c r="AC247" i="24" s="1"/>
  <c r="AE182" i="24"/>
  <c r="AI182" i="24"/>
  <c r="X182" i="24"/>
  <c r="AA182" i="24" s="1"/>
  <c r="AB182" i="24" s="1"/>
  <c r="AC182" i="24" s="1"/>
  <c r="V9" i="24"/>
  <c r="W9" i="24"/>
  <c r="S12" i="25"/>
  <c r="K12" i="25" s="1"/>
  <c r="R12" i="25"/>
  <c r="Q12" i="25"/>
  <c r="AO12" i="25"/>
  <c r="BZ12" i="25"/>
  <c r="W131" i="24"/>
  <c r="V131" i="24"/>
  <c r="P42" i="24"/>
  <c r="Q42" i="24"/>
  <c r="R42" i="24" s="1"/>
  <c r="AP42" i="24"/>
  <c r="AE249" i="24"/>
  <c r="AI249" i="24"/>
  <c r="X249" i="24"/>
  <c r="AA249" i="24" s="1"/>
  <c r="AB249" i="24" s="1"/>
  <c r="AC249" i="24" s="1"/>
  <c r="V123" i="24"/>
  <c r="W123" i="24"/>
  <c r="U84" i="25"/>
  <c r="S313" i="25"/>
  <c r="K313" i="25" s="1"/>
  <c r="R313" i="25"/>
  <c r="Q313" i="25"/>
  <c r="AO313" i="25"/>
  <c r="BZ313" i="25"/>
  <c r="AE163" i="24"/>
  <c r="AI163" i="24"/>
  <c r="X163" i="24"/>
  <c r="AA163" i="24" s="1"/>
  <c r="AB163" i="24" s="1"/>
  <c r="AC163" i="24" s="1"/>
  <c r="S48" i="25"/>
  <c r="K48" i="25" s="1"/>
  <c r="R48" i="25"/>
  <c r="Q48" i="25"/>
  <c r="BZ48" i="25"/>
  <c r="AO48" i="25"/>
  <c r="V34" i="25"/>
  <c r="X34" i="25" s="1"/>
  <c r="U228" i="25"/>
  <c r="W280" i="24"/>
  <c r="V280" i="24"/>
  <c r="AD201" i="25"/>
  <c r="W201" i="25"/>
  <c r="Z201" i="25" s="1"/>
  <c r="AA201" i="25" s="1"/>
  <c r="AB201" i="25" s="1"/>
  <c r="AI201" i="25" s="1"/>
  <c r="AE50" i="24"/>
  <c r="AI50" i="24"/>
  <c r="X50" i="24"/>
  <c r="AA50" i="24" s="1"/>
  <c r="AB50" i="24" s="1"/>
  <c r="AC50" i="24" s="1"/>
  <c r="S144" i="25"/>
  <c r="K144" i="25" s="1"/>
  <c r="R144" i="25"/>
  <c r="Q144" i="25"/>
  <c r="AO144" i="25"/>
  <c r="BZ144" i="25"/>
  <c r="S217" i="25"/>
  <c r="K217" i="25" s="1"/>
  <c r="V217" i="25" s="1"/>
  <c r="R217" i="25"/>
  <c r="Q217" i="25"/>
  <c r="AO217" i="25"/>
  <c r="BZ217" i="25"/>
  <c r="R139" i="25"/>
  <c r="S139" i="25"/>
  <c r="K139" i="25" s="1"/>
  <c r="V139" i="25" s="1"/>
  <c r="Q139" i="25"/>
  <c r="AO139" i="25"/>
  <c r="BZ139" i="25"/>
  <c r="AE175" i="24"/>
  <c r="AI175" i="24"/>
  <c r="X175" i="24"/>
  <c r="AA175" i="24" s="1"/>
  <c r="AB175" i="24" s="1"/>
  <c r="AC175" i="24" s="1"/>
  <c r="U234" i="25"/>
  <c r="U26" i="25"/>
  <c r="W141" i="24"/>
  <c r="V141" i="24"/>
  <c r="S250" i="25"/>
  <c r="K250" i="25" s="1"/>
  <c r="R250" i="25"/>
  <c r="Q250" i="25"/>
  <c r="AO250" i="25"/>
  <c r="BZ250" i="25"/>
  <c r="R118" i="25"/>
  <c r="S118" i="25"/>
  <c r="K118" i="25" s="1"/>
  <c r="V118" i="25" s="1"/>
  <c r="Q118" i="25"/>
  <c r="AO118" i="25"/>
  <c r="BZ118" i="25"/>
  <c r="AD255" i="25"/>
  <c r="W255" i="25"/>
  <c r="Z255" i="25" s="1"/>
  <c r="AA255" i="25" s="1"/>
  <c r="AB255" i="25" s="1"/>
  <c r="AI255" i="25" s="1"/>
  <c r="V255" i="25"/>
  <c r="X255" i="25" s="1"/>
  <c r="U74" i="25"/>
  <c r="R151" i="25"/>
  <c r="S151" i="25"/>
  <c r="K151" i="25" s="1"/>
  <c r="Q151" i="25"/>
  <c r="AO151" i="25"/>
  <c r="BZ151" i="25"/>
  <c r="V92" i="25"/>
  <c r="X92" i="25" s="1"/>
  <c r="AE56" i="24"/>
  <c r="AI56" i="24"/>
  <c r="X56" i="24"/>
  <c r="AA56" i="24" s="1"/>
  <c r="AB56" i="24" s="1"/>
  <c r="AC56" i="24" s="1"/>
  <c r="AE70" i="24"/>
  <c r="AI70" i="24"/>
  <c r="X70" i="24"/>
  <c r="AA70" i="24" s="1"/>
  <c r="AB70" i="24" s="1"/>
  <c r="AC70" i="24" s="1"/>
  <c r="S152" i="25"/>
  <c r="K152" i="25" s="1"/>
  <c r="R152" i="25"/>
  <c r="Q152" i="25"/>
  <c r="AO152" i="25"/>
  <c r="BZ152" i="25"/>
  <c r="S50" i="25"/>
  <c r="K50" i="25" s="1"/>
  <c r="R50" i="25"/>
  <c r="Q50" i="25"/>
  <c r="AO50" i="25"/>
  <c r="BZ50" i="25"/>
  <c r="S277" i="25"/>
  <c r="K277" i="25" s="1"/>
  <c r="R277" i="25"/>
  <c r="Q277" i="25"/>
  <c r="AO277" i="25"/>
  <c r="BZ277" i="25"/>
  <c r="P184" i="24"/>
  <c r="Q184" i="24"/>
  <c r="AP184" i="24"/>
  <c r="AE146" i="24"/>
  <c r="AI146" i="24"/>
  <c r="X146" i="24"/>
  <c r="AA146" i="24" s="1"/>
  <c r="AB146" i="24" s="1"/>
  <c r="AC146" i="24" s="1"/>
  <c r="AE153" i="24"/>
  <c r="AI153" i="24"/>
  <c r="X153" i="24"/>
  <c r="AA153" i="24" s="1"/>
  <c r="AB153" i="24" s="1"/>
  <c r="AC153" i="24" s="1"/>
  <c r="AE271" i="24"/>
  <c r="AI271" i="24"/>
  <c r="X271" i="24"/>
  <c r="AA271" i="24" s="1"/>
  <c r="AB271" i="24" s="1"/>
  <c r="AC271" i="24" s="1"/>
  <c r="AE149" i="24"/>
  <c r="AI149" i="24"/>
  <c r="X149" i="24"/>
  <c r="AA149" i="24" s="1"/>
  <c r="AB149" i="24" s="1"/>
  <c r="AC149" i="24" s="1"/>
  <c r="P148" i="24"/>
  <c r="Q148" i="24"/>
  <c r="AP148" i="24"/>
  <c r="AE304" i="24"/>
  <c r="AI304" i="24"/>
  <c r="X304" i="24"/>
  <c r="AA304" i="24" s="1"/>
  <c r="AB304" i="24" s="1"/>
  <c r="AC304" i="24" s="1"/>
  <c r="Q228" i="24"/>
  <c r="P228" i="24"/>
  <c r="AP228" i="24"/>
  <c r="U208" i="25"/>
  <c r="R298" i="25"/>
  <c r="S298" i="25"/>
  <c r="K298" i="25" s="1"/>
  <c r="V298" i="25" s="1"/>
  <c r="Q298" i="25"/>
  <c r="BZ298" i="25"/>
  <c r="AO298" i="25"/>
  <c r="W241" i="24"/>
  <c r="V241" i="24"/>
  <c r="V185" i="24"/>
  <c r="W185" i="24"/>
  <c r="AD21" i="25"/>
  <c r="W21" i="25"/>
  <c r="Z21" i="25" s="1"/>
  <c r="AA21" i="25" s="1"/>
  <c r="AB21" i="25" s="1"/>
  <c r="AI21" i="25" s="1"/>
  <c r="AE35" i="24"/>
  <c r="AI35" i="24"/>
  <c r="X35" i="24"/>
  <c r="AA35" i="24" s="1"/>
  <c r="AB35" i="24" s="1"/>
  <c r="AC35" i="24" s="1"/>
  <c r="W85" i="24"/>
  <c r="V85" i="24"/>
  <c r="U27" i="25"/>
  <c r="U274" i="25"/>
  <c r="U205" i="25"/>
  <c r="AE10" i="24"/>
  <c r="AI10" i="24"/>
  <c r="X10" i="24"/>
  <c r="AA10" i="24" s="1"/>
  <c r="AB10" i="24" s="1"/>
  <c r="AC10" i="24" s="1"/>
  <c r="W65" i="24"/>
  <c r="V65" i="24"/>
  <c r="W82" i="24"/>
  <c r="Y82" i="24" s="1"/>
  <c r="AE43" i="24"/>
  <c r="AI43" i="24"/>
  <c r="X43" i="24"/>
  <c r="AA43" i="24" s="1"/>
  <c r="AB43" i="24" s="1"/>
  <c r="AC43" i="24" s="1"/>
  <c r="AE122" i="24"/>
  <c r="AI122" i="24"/>
  <c r="X122" i="24"/>
  <c r="AA122" i="24" s="1"/>
  <c r="AB122" i="24" s="1"/>
  <c r="AC122" i="24" s="1"/>
  <c r="AE40" i="24"/>
  <c r="AI40" i="24"/>
  <c r="X40" i="24"/>
  <c r="AA40" i="24" s="1"/>
  <c r="AB40" i="24" s="1"/>
  <c r="AC40" i="24" s="1"/>
  <c r="AE239" i="24"/>
  <c r="AI239" i="24"/>
  <c r="X239" i="24"/>
  <c r="AA239" i="24" s="1"/>
  <c r="AB239" i="24" s="1"/>
  <c r="AC239" i="24" s="1"/>
  <c r="AE154" i="24"/>
  <c r="AI154" i="24"/>
  <c r="X154" i="24"/>
  <c r="AA154" i="24" s="1"/>
  <c r="AB154" i="24" s="1"/>
  <c r="AC154" i="24" s="1"/>
  <c r="R203" i="25"/>
  <c r="S203" i="25"/>
  <c r="K203" i="25" s="1"/>
  <c r="V203" i="25" s="1"/>
  <c r="Q203" i="25"/>
  <c r="AO203" i="25"/>
  <c r="BZ203" i="25"/>
  <c r="V197" i="24"/>
  <c r="W197" i="24"/>
  <c r="W207" i="24"/>
  <c r="Y207" i="24" s="1"/>
  <c r="U221" i="25"/>
  <c r="V95" i="24"/>
  <c r="W95" i="24"/>
  <c r="S171" i="25"/>
  <c r="K171" i="25" s="1"/>
  <c r="V171" i="25" s="1"/>
  <c r="R171" i="25"/>
  <c r="Q171" i="25"/>
  <c r="AO171" i="25"/>
  <c r="BZ171" i="25"/>
  <c r="R295" i="25"/>
  <c r="S295" i="25"/>
  <c r="K295" i="25" s="1"/>
  <c r="V295" i="25" s="1"/>
  <c r="Q295" i="25"/>
  <c r="AO295" i="25"/>
  <c r="BZ295" i="25"/>
  <c r="R202" i="25"/>
  <c r="S202" i="25"/>
  <c r="K202" i="25" s="1"/>
  <c r="V202" i="25" s="1"/>
  <c r="Q202" i="25"/>
  <c r="AO202" i="25"/>
  <c r="BZ202" i="25"/>
  <c r="R226" i="25"/>
  <c r="S226" i="25"/>
  <c r="K226" i="25" s="1"/>
  <c r="Q226" i="25"/>
  <c r="AO226" i="25"/>
  <c r="BZ226" i="25"/>
  <c r="AD158" i="25"/>
  <c r="W158" i="25"/>
  <c r="Z158" i="25" s="1"/>
  <c r="AA158" i="25" s="1"/>
  <c r="AB158" i="25" s="1"/>
  <c r="AI158" i="25" s="1"/>
  <c r="AE93" i="24"/>
  <c r="AI93" i="24"/>
  <c r="X93" i="24"/>
  <c r="AA93" i="24" s="1"/>
  <c r="AB93" i="24" s="1"/>
  <c r="AC93" i="24" s="1"/>
  <c r="U68" i="25"/>
  <c r="S244" i="25"/>
  <c r="K244" i="25" s="1"/>
  <c r="R244" i="25"/>
  <c r="Q244" i="25"/>
  <c r="AO244" i="25"/>
  <c r="BZ244" i="25"/>
  <c r="P277" i="24"/>
  <c r="Q277" i="24"/>
  <c r="AP277" i="24"/>
  <c r="W262" i="24"/>
  <c r="V262" i="24"/>
  <c r="W166" i="24"/>
  <c r="Y166" i="24" s="1"/>
  <c r="S69" i="25"/>
  <c r="K69" i="25" s="1"/>
  <c r="R69" i="25"/>
  <c r="Q69" i="25"/>
  <c r="BZ69" i="25"/>
  <c r="AO69" i="25"/>
  <c r="Q38" i="24"/>
  <c r="R38" i="24" s="1"/>
  <c r="P38" i="24"/>
  <c r="AP38" i="24"/>
  <c r="V31" i="25"/>
  <c r="X31" i="25" s="1"/>
  <c r="AE286" i="24"/>
  <c r="AI286" i="24"/>
  <c r="X286" i="24"/>
  <c r="AA286" i="24" s="1"/>
  <c r="AB286" i="24" s="1"/>
  <c r="AC286" i="24" s="1"/>
  <c r="AE100" i="24"/>
  <c r="AI100" i="24"/>
  <c r="X100" i="24"/>
  <c r="AA100" i="24" s="1"/>
  <c r="AB100" i="24" s="1"/>
  <c r="AC100" i="24" s="1"/>
  <c r="AG55" i="24"/>
  <c r="AF55" i="24"/>
  <c r="Q57" i="24"/>
  <c r="R57" i="24" s="1"/>
  <c r="P57" i="24"/>
  <c r="AP57" i="24"/>
  <c r="AE260" i="24"/>
  <c r="AI260" i="24"/>
  <c r="X260" i="24"/>
  <c r="AA260" i="24" s="1"/>
  <c r="AB260" i="24" s="1"/>
  <c r="AC260" i="24" s="1"/>
  <c r="S272" i="25"/>
  <c r="K272" i="25" s="1"/>
  <c r="V272" i="25" s="1"/>
  <c r="R272" i="25"/>
  <c r="Q272" i="25"/>
  <c r="AO272" i="25"/>
  <c r="BZ272" i="25"/>
  <c r="V64" i="24"/>
  <c r="W64" i="24"/>
  <c r="W79" i="24"/>
  <c r="Y79" i="24" s="1"/>
  <c r="V46" i="24"/>
  <c r="W46" i="24"/>
  <c r="R185" i="25"/>
  <c r="S185" i="25"/>
  <c r="K185" i="25" s="1"/>
  <c r="Q185" i="25"/>
  <c r="AO185" i="25"/>
  <c r="BZ185" i="25"/>
  <c r="W281" i="24"/>
  <c r="Y281" i="24" s="1"/>
  <c r="R133" i="25"/>
  <c r="S133" i="25"/>
  <c r="K133" i="25" s="1"/>
  <c r="Q133" i="25"/>
  <c r="BZ133" i="25"/>
  <c r="AO133" i="25"/>
  <c r="U200" i="25"/>
  <c r="AE26" i="24"/>
  <c r="AI26" i="24"/>
  <c r="X26" i="24"/>
  <c r="AA26" i="24" s="1"/>
  <c r="AB26" i="24" s="1"/>
  <c r="AC26" i="24" s="1"/>
  <c r="AE123" i="24"/>
  <c r="AI123" i="24"/>
  <c r="X123" i="24"/>
  <c r="AA123" i="24" s="1"/>
  <c r="AB123" i="24" s="1"/>
  <c r="AC123" i="24" s="1"/>
  <c r="AE77" i="24"/>
  <c r="AI77" i="24"/>
  <c r="X77" i="24"/>
  <c r="AA77" i="24" s="1"/>
  <c r="AB77" i="24" s="1"/>
  <c r="AC77" i="24" s="1"/>
  <c r="W77" i="24"/>
  <c r="Y77" i="24" s="1"/>
  <c r="U242" i="25"/>
  <c r="S225" i="25"/>
  <c r="K225" i="25" s="1"/>
  <c r="V225" i="25" s="1"/>
  <c r="R225" i="25"/>
  <c r="Q225" i="25"/>
  <c r="AO225" i="25"/>
  <c r="BZ225" i="25"/>
  <c r="Q100" i="24"/>
  <c r="R100" i="24" s="1"/>
  <c r="P100" i="24"/>
  <c r="AP100" i="24"/>
  <c r="P266" i="24"/>
  <c r="Q266" i="24"/>
  <c r="AP266" i="24"/>
  <c r="U135" i="25"/>
  <c r="U138" i="25"/>
  <c r="W250" i="24"/>
  <c r="V250" i="24"/>
  <c r="W168" i="24"/>
  <c r="V168" i="24"/>
  <c r="AE87" i="24"/>
  <c r="AI87" i="24"/>
  <c r="X87" i="24"/>
  <c r="AA87" i="24" s="1"/>
  <c r="AB87" i="24" s="1"/>
  <c r="AC87" i="24" s="1"/>
  <c r="U157" i="25"/>
  <c r="AE90" i="24"/>
  <c r="AI90" i="24"/>
  <c r="X90" i="24"/>
  <c r="AA90" i="24" s="1"/>
  <c r="AB90" i="24" s="1"/>
  <c r="AC90" i="24" s="1"/>
  <c r="AE75" i="24"/>
  <c r="AI75" i="24"/>
  <c r="X75" i="24"/>
  <c r="AA75" i="24" s="1"/>
  <c r="AB75" i="24" s="1"/>
  <c r="AC75" i="24" s="1"/>
  <c r="AE8" i="24"/>
  <c r="AI8" i="24"/>
  <c r="X8" i="24"/>
  <c r="AA8" i="24" s="1"/>
  <c r="AB8" i="24" s="1"/>
  <c r="AC8" i="24" s="1"/>
  <c r="AE203" i="24"/>
  <c r="AI203" i="24"/>
  <c r="X203" i="24"/>
  <c r="AA203" i="24" s="1"/>
  <c r="AB203" i="24" s="1"/>
  <c r="AC203" i="24" s="1"/>
  <c r="P80" i="24"/>
  <c r="Q80" i="24"/>
  <c r="R80" i="24" s="1"/>
  <c r="AP80" i="24"/>
  <c r="S300" i="25"/>
  <c r="K300" i="25" s="1"/>
  <c r="R300" i="25"/>
  <c r="Q300" i="25"/>
  <c r="BZ300" i="25"/>
  <c r="AO300" i="25"/>
  <c r="V183" i="24"/>
  <c r="W183" i="24"/>
  <c r="U169" i="25"/>
  <c r="R90" i="25"/>
  <c r="S90" i="25"/>
  <c r="K90" i="25" s="1"/>
  <c r="V90" i="25" s="1"/>
  <c r="Q90" i="25"/>
  <c r="BZ90" i="25"/>
  <c r="AO90" i="25"/>
  <c r="R125" i="25"/>
  <c r="S125" i="25"/>
  <c r="K125" i="25" s="1"/>
  <c r="Q125" i="25"/>
  <c r="BZ125" i="25"/>
  <c r="AO125" i="25"/>
  <c r="U112" i="25"/>
  <c r="V259" i="24"/>
  <c r="W259" i="24"/>
  <c r="R297" i="25"/>
  <c r="S297" i="25"/>
  <c r="K297" i="25" s="1"/>
  <c r="Q297" i="25"/>
  <c r="AO297" i="25"/>
  <c r="BZ297" i="25"/>
  <c r="U76" i="25"/>
  <c r="U22" i="25"/>
  <c r="U103" i="25"/>
  <c r="W96" i="24"/>
  <c r="V96" i="24"/>
  <c r="AE152" i="24"/>
  <c r="AI152" i="24"/>
  <c r="X152" i="24"/>
  <c r="AA152" i="24" s="1"/>
  <c r="AB152" i="24" s="1"/>
  <c r="AC152" i="24" s="1"/>
  <c r="AE143" i="24"/>
  <c r="AI143" i="24"/>
  <c r="X143" i="24"/>
  <c r="AA143" i="24" s="1"/>
  <c r="AB143" i="24" s="1"/>
  <c r="AC143" i="24" s="1"/>
  <c r="U187" i="25"/>
  <c r="AE297" i="24"/>
  <c r="AI297" i="24"/>
  <c r="X297" i="24"/>
  <c r="AA297" i="24" s="1"/>
  <c r="AB297" i="24" s="1"/>
  <c r="AC297" i="24" s="1"/>
  <c r="R75" i="25"/>
  <c r="S75" i="25"/>
  <c r="K75" i="25" s="1"/>
  <c r="Q75" i="25"/>
  <c r="BZ75" i="25"/>
  <c r="AO75" i="25"/>
  <c r="U196" i="25"/>
  <c r="V263" i="24"/>
  <c r="W263" i="24"/>
  <c r="V156" i="24"/>
  <c r="W156" i="24"/>
  <c r="U115" i="25"/>
  <c r="AD305" i="25"/>
  <c r="W305" i="25"/>
  <c r="Z305" i="25" s="1"/>
  <c r="AA305" i="25" s="1"/>
  <c r="AB305" i="25" s="1"/>
  <c r="AI305" i="25" s="1"/>
  <c r="AE169" i="24"/>
  <c r="AI169" i="24"/>
  <c r="X169" i="24"/>
  <c r="AA169" i="24" s="1"/>
  <c r="AB169" i="24" s="1"/>
  <c r="AC169" i="24" s="1"/>
  <c r="Q131" i="24"/>
  <c r="P131" i="24"/>
  <c r="AP131" i="24"/>
  <c r="U118" i="25"/>
  <c r="Q123" i="24"/>
  <c r="P123" i="24"/>
  <c r="AP123" i="24"/>
  <c r="AE253" i="24"/>
  <c r="AI253" i="24"/>
  <c r="X253" i="24"/>
  <c r="AA253" i="24" s="1"/>
  <c r="AB253" i="24" s="1"/>
  <c r="AC253" i="24" s="1"/>
  <c r="S210" i="25"/>
  <c r="K210" i="25" s="1"/>
  <c r="R210" i="25"/>
  <c r="Q210" i="25"/>
  <c r="AO210" i="25"/>
  <c r="BZ210" i="25"/>
  <c r="S84" i="25"/>
  <c r="K84" i="25" s="1"/>
  <c r="V84" i="25" s="1"/>
  <c r="R84" i="25"/>
  <c r="Q84" i="25"/>
  <c r="AO84" i="25"/>
  <c r="BZ84" i="25"/>
  <c r="S180" i="25"/>
  <c r="K180" i="25" s="1"/>
  <c r="R180" i="25"/>
  <c r="Q180" i="25"/>
  <c r="AO180" i="25"/>
  <c r="BZ180" i="25"/>
  <c r="S228" i="25"/>
  <c r="K228" i="25" s="1"/>
  <c r="V228" i="25" s="1"/>
  <c r="R228" i="25"/>
  <c r="Q228" i="25"/>
  <c r="AO228" i="25"/>
  <c r="BZ228" i="25"/>
  <c r="U299" i="25"/>
  <c r="P280" i="24"/>
  <c r="Q280" i="24"/>
  <c r="AP280" i="24"/>
  <c r="V243" i="24"/>
  <c r="W243" i="24"/>
  <c r="AD71" i="25"/>
  <c r="W71" i="25"/>
  <c r="Z71" i="25" s="1"/>
  <c r="AA71" i="25" s="1"/>
  <c r="AB71" i="25" s="1"/>
  <c r="AI71" i="25" s="1"/>
  <c r="AD161" i="25"/>
  <c r="W161" i="25"/>
  <c r="Z161" i="25" s="1"/>
  <c r="AA161" i="25" s="1"/>
  <c r="AB161" i="25" s="1"/>
  <c r="AI161" i="25" s="1"/>
  <c r="S270" i="25"/>
  <c r="K270" i="25" s="1"/>
  <c r="Q270" i="25"/>
  <c r="R270" i="25"/>
  <c r="AO270" i="25"/>
  <c r="BZ270" i="25"/>
  <c r="AG257" i="24"/>
  <c r="AF257" i="24"/>
  <c r="U142" i="25"/>
  <c r="AD190" i="25"/>
  <c r="W190" i="25"/>
  <c r="Z190" i="25" s="1"/>
  <c r="AA190" i="25" s="1"/>
  <c r="AB190" i="25" s="1"/>
  <c r="AI190" i="25" s="1"/>
  <c r="V190" i="25"/>
  <c r="X190" i="25" s="1"/>
  <c r="W89" i="24"/>
  <c r="V89" i="24"/>
  <c r="S26" i="25"/>
  <c r="K26" i="25" s="1"/>
  <c r="V26" i="25" s="1"/>
  <c r="R26" i="25"/>
  <c r="Q26" i="25"/>
  <c r="AO26" i="25"/>
  <c r="BZ26" i="25"/>
  <c r="W66" i="24"/>
  <c r="Y66" i="24" s="1"/>
  <c r="AE62" i="24"/>
  <c r="AI62" i="24"/>
  <c r="X62" i="24"/>
  <c r="AA62" i="24" s="1"/>
  <c r="AB62" i="24" s="1"/>
  <c r="AC62" i="24" s="1"/>
  <c r="Q141" i="24"/>
  <c r="P141" i="24"/>
  <c r="AP141" i="24"/>
  <c r="S74" i="25"/>
  <c r="K74" i="25" s="1"/>
  <c r="V74" i="25" s="1"/>
  <c r="R74" i="25"/>
  <c r="Q74" i="25"/>
  <c r="BZ74" i="25"/>
  <c r="AO74" i="25"/>
  <c r="U304" i="25"/>
  <c r="S193" i="25"/>
  <c r="K193" i="25" s="1"/>
  <c r="R193" i="25"/>
  <c r="Q193" i="25"/>
  <c r="AO193" i="25"/>
  <c r="BZ193" i="25"/>
  <c r="AE245" i="24"/>
  <c r="AI245" i="24"/>
  <c r="X245" i="24"/>
  <c r="AA245" i="24" s="1"/>
  <c r="AB245" i="24" s="1"/>
  <c r="AC245" i="24" s="1"/>
  <c r="AE171" i="24"/>
  <c r="AI171" i="24"/>
  <c r="X171" i="24"/>
  <c r="AA171" i="24" s="1"/>
  <c r="AB171" i="24" s="1"/>
  <c r="AC171" i="24" s="1"/>
  <c r="AE314" i="24"/>
  <c r="AI314" i="24"/>
  <c r="X314" i="24"/>
  <c r="AA314" i="24" s="1"/>
  <c r="AB314" i="24" s="1"/>
  <c r="AC314" i="24" s="1"/>
  <c r="V194" i="24"/>
  <c r="W194" i="24"/>
  <c r="AE48" i="24"/>
  <c r="AI48" i="24"/>
  <c r="X48" i="24"/>
  <c r="AA48" i="24" s="1"/>
  <c r="AB48" i="24" s="1"/>
  <c r="AC48" i="24" s="1"/>
  <c r="U41" i="25"/>
  <c r="V203" i="24"/>
  <c r="W203" i="24"/>
  <c r="S33" i="25"/>
  <c r="K33" i="25" s="1"/>
  <c r="R33" i="25"/>
  <c r="Q33" i="25"/>
  <c r="AO33" i="25"/>
  <c r="BZ33" i="25"/>
  <c r="S99" i="25"/>
  <c r="K99" i="25" s="1"/>
  <c r="V99" i="25" s="1"/>
  <c r="R99" i="25"/>
  <c r="Q99" i="25"/>
  <c r="BZ99" i="25"/>
  <c r="AO99" i="25"/>
  <c r="R208" i="25"/>
  <c r="S208" i="25"/>
  <c r="K208" i="25" s="1"/>
  <c r="V208" i="25" s="1"/>
  <c r="Q208" i="25"/>
  <c r="AO208" i="25"/>
  <c r="BZ208" i="25"/>
  <c r="V143" i="24"/>
  <c r="W143" i="24"/>
  <c r="AD30" i="25"/>
  <c r="W30" i="25"/>
  <c r="Z30" i="25" s="1"/>
  <c r="AA30" i="25" s="1"/>
  <c r="AB30" i="25" s="1"/>
  <c r="AI30" i="25" s="1"/>
  <c r="Q85" i="24"/>
  <c r="R85" i="24" s="1"/>
  <c r="P85" i="24"/>
  <c r="AP85" i="24"/>
  <c r="AE302" i="24"/>
  <c r="AI302" i="24"/>
  <c r="X302" i="24"/>
  <c r="AA302" i="24" s="1"/>
  <c r="AB302" i="24" s="1"/>
  <c r="AC302" i="24" s="1"/>
  <c r="AG119" i="24"/>
  <c r="AF119" i="24"/>
  <c r="R27" i="25"/>
  <c r="S27" i="25"/>
  <c r="K27" i="25" s="1"/>
  <c r="V27" i="25" s="1"/>
  <c r="Q27" i="25"/>
  <c r="AO27" i="25"/>
  <c r="BZ27" i="25"/>
  <c r="AE263" i="24"/>
  <c r="AI263" i="24"/>
  <c r="X263" i="24"/>
  <c r="AA263" i="24" s="1"/>
  <c r="AB263" i="24" s="1"/>
  <c r="AC263" i="24" s="1"/>
  <c r="U47" i="25"/>
  <c r="S274" i="25"/>
  <c r="K274" i="25" s="1"/>
  <c r="R274" i="25"/>
  <c r="Q274" i="25"/>
  <c r="AO274" i="25"/>
  <c r="BZ274" i="25"/>
  <c r="U39" i="25"/>
  <c r="AE13" i="24"/>
  <c r="AI13" i="24"/>
  <c r="X13" i="24"/>
  <c r="AA13" i="24" s="1"/>
  <c r="AB13" i="24" s="1"/>
  <c r="AC13" i="24" s="1"/>
  <c r="AE84" i="24"/>
  <c r="AI84" i="24"/>
  <c r="X84" i="24"/>
  <c r="AA84" i="24" s="1"/>
  <c r="AB84" i="24" s="1"/>
  <c r="AC84" i="24" s="1"/>
  <c r="W84" i="24"/>
  <c r="Y84" i="24" s="1"/>
  <c r="AE285" i="24"/>
  <c r="AI285" i="24"/>
  <c r="W285" i="24"/>
  <c r="Y285" i="24" s="1"/>
  <c r="X285" i="24"/>
  <c r="AA285" i="24" s="1"/>
  <c r="AB285" i="24" s="1"/>
  <c r="AC285" i="24" s="1"/>
  <c r="W13" i="24"/>
  <c r="Y13" i="24" s="1"/>
  <c r="AG294" i="24"/>
  <c r="AF294" i="24"/>
  <c r="U216" i="25"/>
  <c r="R245" i="25"/>
  <c r="S245" i="25"/>
  <c r="K245" i="25" s="1"/>
  <c r="Q245" i="25"/>
  <c r="AO245" i="25"/>
  <c r="BZ245" i="25"/>
  <c r="U81" i="25"/>
  <c r="AE136" i="24"/>
  <c r="AI136" i="24"/>
  <c r="X136" i="24"/>
  <c r="AA136" i="24" s="1"/>
  <c r="AB136" i="24" s="1"/>
  <c r="AC136" i="24" s="1"/>
  <c r="AE156" i="24"/>
  <c r="AI156" i="24"/>
  <c r="X156" i="24"/>
  <c r="AA156" i="24" s="1"/>
  <c r="AB156" i="24" s="1"/>
  <c r="AC156" i="24" s="1"/>
  <c r="AD293" i="25"/>
  <c r="W293" i="25"/>
  <c r="Z293" i="25" s="1"/>
  <c r="AA293" i="25" s="1"/>
  <c r="AB293" i="25" s="1"/>
  <c r="AI293" i="25" s="1"/>
  <c r="V293" i="25"/>
  <c r="X293" i="25" s="1"/>
  <c r="AG236" i="24"/>
  <c r="AF236" i="24"/>
  <c r="AE295" i="24"/>
  <c r="AI295" i="24"/>
  <c r="X295" i="24"/>
  <c r="AA295" i="24" s="1"/>
  <c r="AB295" i="24" s="1"/>
  <c r="AC295" i="24" s="1"/>
  <c r="S221" i="25"/>
  <c r="K221" i="25" s="1"/>
  <c r="V221" i="25" s="1"/>
  <c r="R221" i="25"/>
  <c r="Q221" i="25"/>
  <c r="BZ221" i="25"/>
  <c r="AO221" i="25"/>
  <c r="W122" i="24"/>
  <c r="V122" i="24"/>
  <c r="Q95" i="24"/>
  <c r="R95" i="24" s="1"/>
  <c r="P95" i="24"/>
  <c r="AP95" i="24"/>
  <c r="AG142" i="24"/>
  <c r="AF142" i="24"/>
  <c r="AE94" i="24"/>
  <c r="AI94" i="24"/>
  <c r="X94" i="24"/>
  <c r="AA94" i="24" s="1"/>
  <c r="AB94" i="24" s="1"/>
  <c r="AC94" i="24" s="1"/>
  <c r="AD87" i="25"/>
  <c r="W87" i="25"/>
  <c r="Z87" i="25" s="1"/>
  <c r="AA87" i="25" s="1"/>
  <c r="AB87" i="25" s="1"/>
  <c r="AI87" i="25" s="1"/>
  <c r="AE74" i="24"/>
  <c r="AI74" i="24"/>
  <c r="X74" i="24"/>
  <c r="AA74" i="24" s="1"/>
  <c r="AB74" i="24" s="1"/>
  <c r="AC74" i="24" s="1"/>
  <c r="S68" i="25"/>
  <c r="K68" i="25" s="1"/>
  <c r="R68" i="25"/>
  <c r="Q68" i="25"/>
  <c r="AO68" i="25"/>
  <c r="BZ68" i="25"/>
  <c r="Q262" i="24"/>
  <c r="P262" i="24"/>
  <c r="AP262" i="24"/>
  <c r="AD198" i="25"/>
  <c r="W198" i="25"/>
  <c r="Z198" i="25" s="1"/>
  <c r="AA198" i="25" s="1"/>
  <c r="AB198" i="25" s="1"/>
  <c r="AI198" i="25" s="1"/>
  <c r="AE157" i="24"/>
  <c r="AI157" i="24"/>
  <c r="X157" i="24"/>
  <c r="AA157" i="24" s="1"/>
  <c r="AB157" i="24" s="1"/>
  <c r="AC157" i="24" s="1"/>
  <c r="AE303" i="24"/>
  <c r="AI303" i="24"/>
  <c r="X303" i="24"/>
  <c r="AA303" i="24" s="1"/>
  <c r="AB303" i="24" s="1"/>
  <c r="AC303" i="24" s="1"/>
  <c r="R184" i="25"/>
  <c r="S184" i="25"/>
  <c r="K184" i="25" s="1"/>
  <c r="Q184" i="25"/>
  <c r="BZ184" i="25"/>
  <c r="AO184" i="25"/>
  <c r="V198" i="25"/>
  <c r="X198" i="25" s="1"/>
  <c r="AE293" i="24"/>
  <c r="AI293" i="24"/>
  <c r="X293" i="24"/>
  <c r="AA293" i="24" s="1"/>
  <c r="AB293" i="24" s="1"/>
  <c r="AC293" i="24" s="1"/>
  <c r="W139" i="24"/>
  <c r="V139" i="24"/>
  <c r="U207" i="25"/>
  <c r="AE78" i="24"/>
  <c r="AI78" i="24"/>
  <c r="X78" i="24"/>
  <c r="AA78" i="24" s="1"/>
  <c r="AB78" i="24" s="1"/>
  <c r="AC78" i="24" s="1"/>
  <c r="R285" i="25"/>
  <c r="S285" i="25"/>
  <c r="K285" i="25" s="1"/>
  <c r="Q285" i="25"/>
  <c r="AO285" i="25"/>
  <c r="BZ285" i="25"/>
  <c r="P64" i="24"/>
  <c r="Q64" i="24"/>
  <c r="R64" i="24" s="1"/>
  <c r="AP64" i="24"/>
  <c r="S289" i="25"/>
  <c r="K289" i="25" s="1"/>
  <c r="R289" i="25"/>
  <c r="Q289" i="25"/>
  <c r="AO289" i="25"/>
  <c r="BZ289" i="25"/>
  <c r="P46" i="24"/>
  <c r="Q46" i="24"/>
  <c r="R46" i="24" s="1"/>
  <c r="AP46" i="24"/>
  <c r="AE208" i="24"/>
  <c r="AI208" i="24"/>
  <c r="X208" i="24"/>
  <c r="AA208" i="24" s="1"/>
  <c r="AB208" i="24" s="1"/>
  <c r="AC208" i="24" s="1"/>
  <c r="AE135" i="24"/>
  <c r="AI135" i="24"/>
  <c r="X135" i="24"/>
  <c r="AA135" i="24" s="1"/>
  <c r="AB135" i="24" s="1"/>
  <c r="AC135" i="24" s="1"/>
  <c r="U222" i="25"/>
  <c r="R200" i="25"/>
  <c r="S200" i="25"/>
  <c r="K200" i="25" s="1"/>
  <c r="Q200" i="25"/>
  <c r="BZ200" i="25"/>
  <c r="AO200" i="25"/>
  <c r="W54" i="24"/>
  <c r="V54" i="24"/>
  <c r="AE97" i="24"/>
  <c r="AI97" i="24"/>
  <c r="X97" i="24"/>
  <c r="AA97" i="24" s="1"/>
  <c r="AB97" i="24" s="1"/>
  <c r="AC97" i="24" s="1"/>
  <c r="U116" i="25"/>
  <c r="S242" i="25"/>
  <c r="K242" i="25" s="1"/>
  <c r="V242" i="25" s="1"/>
  <c r="R242" i="25"/>
  <c r="Q242" i="25"/>
  <c r="BZ242" i="25"/>
  <c r="AO242" i="25"/>
  <c r="U188" i="25"/>
  <c r="W35" i="24"/>
  <c r="Y35" i="24" s="1"/>
  <c r="R135" i="25"/>
  <c r="S135" i="25"/>
  <c r="K135" i="25" s="1"/>
  <c r="Q135" i="25"/>
  <c r="BZ135" i="25"/>
  <c r="AO135" i="25"/>
  <c r="R138" i="25"/>
  <c r="S138" i="25"/>
  <c r="K138" i="25" s="1"/>
  <c r="V138" i="25" s="1"/>
  <c r="Q138" i="25"/>
  <c r="BZ138" i="25"/>
  <c r="AO138" i="25"/>
  <c r="V220" i="24"/>
  <c r="W220" i="24"/>
  <c r="R42" i="25"/>
  <c r="S42" i="25"/>
  <c r="K42" i="25" s="1"/>
  <c r="Q42" i="25"/>
  <c r="AO42" i="25"/>
  <c r="BZ42" i="25"/>
  <c r="AD240" i="25"/>
  <c r="W240" i="25"/>
  <c r="Z240" i="25" s="1"/>
  <c r="AA240" i="25" s="1"/>
  <c r="AB240" i="25" s="1"/>
  <c r="AI240" i="25" s="1"/>
  <c r="U44" i="25"/>
  <c r="AD314" i="25"/>
  <c r="W314" i="25"/>
  <c r="Z314" i="25" s="1"/>
  <c r="AA314" i="25" s="1"/>
  <c r="AB314" i="25" s="1"/>
  <c r="AI314" i="25" s="1"/>
  <c r="W221" i="24"/>
  <c r="V221" i="24"/>
  <c r="AE137" i="24"/>
  <c r="AI137" i="24"/>
  <c r="X137" i="24"/>
  <c r="AA137" i="24" s="1"/>
  <c r="AB137" i="24" s="1"/>
  <c r="AC137" i="24" s="1"/>
  <c r="S45" i="25"/>
  <c r="K45" i="25" s="1"/>
  <c r="R45" i="25"/>
  <c r="Q45" i="25"/>
  <c r="AO45" i="25"/>
  <c r="BZ45" i="25"/>
  <c r="P183" i="24"/>
  <c r="Q183" i="24"/>
  <c r="AP183" i="24"/>
  <c r="W26" i="24"/>
  <c r="V26" i="24"/>
  <c r="AE59" i="24"/>
  <c r="AI59" i="24"/>
  <c r="X59" i="24"/>
  <c r="AA59" i="24" s="1"/>
  <c r="AB59" i="24" s="1"/>
  <c r="AC59" i="24" s="1"/>
  <c r="W196" i="24"/>
  <c r="V196" i="24"/>
  <c r="AE27" i="24"/>
  <c r="AI27" i="24"/>
  <c r="X27" i="24"/>
  <c r="AA27" i="24" s="1"/>
  <c r="AB27" i="24" s="1"/>
  <c r="AC27" i="24" s="1"/>
  <c r="W158" i="24"/>
  <c r="V158" i="24"/>
  <c r="Q259" i="24"/>
  <c r="P259" i="24"/>
  <c r="AP259" i="24"/>
  <c r="S76" i="25"/>
  <c r="K76" i="25" s="1"/>
  <c r="R76" i="25"/>
  <c r="Q76" i="25"/>
  <c r="BZ76" i="25"/>
  <c r="AO76" i="25"/>
  <c r="AE228" i="24"/>
  <c r="AI228" i="24"/>
  <c r="X228" i="24"/>
  <c r="AA228" i="24" s="1"/>
  <c r="AB228" i="24" s="1"/>
  <c r="AC228" i="24" s="1"/>
  <c r="S22" i="25"/>
  <c r="K22" i="25" s="1"/>
  <c r="V22" i="25" s="1"/>
  <c r="R22" i="25"/>
  <c r="Q22" i="25"/>
  <c r="BZ22" i="25"/>
  <c r="AO22" i="25"/>
  <c r="U40" i="25"/>
  <c r="AD192" i="25"/>
  <c r="V192" i="25"/>
  <c r="X192" i="25" s="1"/>
  <c r="W192" i="25"/>
  <c r="Z192" i="25" s="1"/>
  <c r="AA192" i="25" s="1"/>
  <c r="AB192" i="25" s="1"/>
  <c r="AI192" i="25" s="1"/>
  <c r="AD13" i="25"/>
  <c r="V13" i="25"/>
  <c r="X13" i="25" s="1"/>
  <c r="W13" i="25"/>
  <c r="Z13" i="25" s="1"/>
  <c r="AA13" i="25" s="1"/>
  <c r="AB13" i="25" s="1"/>
  <c r="AI13" i="25" s="1"/>
  <c r="AD199" i="25"/>
  <c r="W199" i="25"/>
  <c r="Z199" i="25" s="1"/>
  <c r="AA199" i="25" s="1"/>
  <c r="AB199" i="25" s="1"/>
  <c r="AI199" i="25" s="1"/>
  <c r="AE275" i="24"/>
  <c r="AI275" i="24"/>
  <c r="X275" i="24"/>
  <c r="AA275" i="24" s="1"/>
  <c r="AB275" i="24" s="1"/>
  <c r="AC275" i="24" s="1"/>
  <c r="V103" i="24"/>
  <c r="W103" i="24"/>
  <c r="R196" i="25"/>
  <c r="S196" i="25"/>
  <c r="K196" i="25" s="1"/>
  <c r="V196" i="25" s="1"/>
  <c r="Q196" i="25"/>
  <c r="BZ196" i="25"/>
  <c r="AO196" i="25"/>
  <c r="AE71" i="24"/>
  <c r="AI71" i="24"/>
  <c r="X71" i="24"/>
  <c r="AA71" i="24" s="1"/>
  <c r="AB71" i="24" s="1"/>
  <c r="AC71" i="24" s="1"/>
  <c r="P263" i="24"/>
  <c r="Q263" i="24"/>
  <c r="AP263" i="24"/>
  <c r="R115" i="25"/>
  <c r="S115" i="25"/>
  <c r="K115" i="25" s="1"/>
  <c r="Q115" i="25"/>
  <c r="AO115" i="25"/>
  <c r="BZ115" i="25"/>
  <c r="AE194" i="24"/>
  <c r="AI194" i="24"/>
  <c r="X194" i="24"/>
  <c r="AA194" i="24" s="1"/>
  <c r="AB194" i="24" s="1"/>
  <c r="AC194" i="24" s="1"/>
  <c r="V255" i="24"/>
  <c r="W255" i="24"/>
  <c r="V93" i="24"/>
  <c r="W93" i="24"/>
  <c r="S20" i="25"/>
  <c r="K20" i="25" s="1"/>
  <c r="R20" i="25"/>
  <c r="Q20" i="25"/>
  <c r="AO20" i="25"/>
  <c r="BZ20" i="25"/>
  <c r="U298" i="25"/>
  <c r="R299" i="25"/>
  <c r="S299" i="25"/>
  <c r="K299" i="25" s="1"/>
  <c r="Q299" i="25"/>
  <c r="AO299" i="25"/>
  <c r="BZ299" i="25"/>
  <c r="AG44" i="24"/>
  <c r="AF44" i="24"/>
  <c r="AD82" i="25"/>
  <c r="W82" i="25"/>
  <c r="Z82" i="25" s="1"/>
  <c r="AA82" i="25" s="1"/>
  <c r="AB82" i="25" s="1"/>
  <c r="AI82" i="25" s="1"/>
  <c r="V34" i="24"/>
  <c r="W34" i="24"/>
  <c r="AE12" i="24"/>
  <c r="AI12" i="24"/>
  <c r="X12" i="24"/>
  <c r="AA12" i="24" s="1"/>
  <c r="AB12" i="24" s="1"/>
  <c r="AC12" i="24" s="1"/>
  <c r="R51" i="25"/>
  <c r="S51" i="25"/>
  <c r="K51" i="25" s="1"/>
  <c r="Q51" i="25"/>
  <c r="AO51" i="25"/>
  <c r="BZ51" i="25"/>
  <c r="U18" i="25"/>
  <c r="S124" i="25"/>
  <c r="K124" i="25" s="1"/>
  <c r="R124" i="25"/>
  <c r="Q124" i="25"/>
  <c r="BZ124" i="25"/>
  <c r="AO124" i="25"/>
  <c r="U66" i="25"/>
  <c r="R142" i="25"/>
  <c r="S142" i="25"/>
  <c r="K142" i="25" s="1"/>
  <c r="Q142" i="25"/>
  <c r="AO142" i="25"/>
  <c r="BZ142" i="25"/>
  <c r="S236" i="25"/>
  <c r="K236" i="25" s="1"/>
  <c r="R236" i="25"/>
  <c r="Q236" i="25"/>
  <c r="AO236" i="25"/>
  <c r="BZ236" i="25"/>
  <c r="AE242" i="24"/>
  <c r="AI242" i="24"/>
  <c r="X242" i="24"/>
  <c r="AA242" i="24" s="1"/>
  <c r="AB242" i="24" s="1"/>
  <c r="AC242" i="24" s="1"/>
  <c r="P89" i="24"/>
  <c r="Q89" i="24"/>
  <c r="R89" i="24" s="1"/>
  <c r="AP89" i="24"/>
  <c r="W150" i="24"/>
  <c r="Y150" i="24" s="1"/>
  <c r="R150" i="25"/>
  <c r="S150" i="25"/>
  <c r="K150" i="25" s="1"/>
  <c r="Q150" i="25"/>
  <c r="AO150" i="25"/>
  <c r="BZ150" i="25"/>
  <c r="R304" i="25"/>
  <c r="S304" i="25"/>
  <c r="K304" i="25" s="1"/>
  <c r="Q304" i="25"/>
  <c r="AO304" i="25"/>
  <c r="BZ304" i="25"/>
  <c r="S162" i="25"/>
  <c r="K162" i="25" s="1"/>
  <c r="R162" i="25"/>
  <c r="Q162" i="25"/>
  <c r="AO162" i="25"/>
  <c r="BZ162" i="25"/>
  <c r="AD267" i="25"/>
  <c r="W267" i="25"/>
  <c r="Z267" i="25" s="1"/>
  <c r="AA267" i="25" s="1"/>
  <c r="AB267" i="25" s="1"/>
  <c r="AI267" i="25" s="1"/>
  <c r="AD246" i="25"/>
  <c r="W246" i="25"/>
  <c r="Z246" i="25" s="1"/>
  <c r="AA246" i="25" s="1"/>
  <c r="AB246" i="25" s="1"/>
  <c r="AI246" i="25" s="1"/>
  <c r="W102" i="24"/>
  <c r="V102" i="24"/>
  <c r="W117" i="24"/>
  <c r="V117" i="24"/>
  <c r="W293" i="24"/>
  <c r="V293" i="24"/>
  <c r="U56" i="25"/>
  <c r="V187" i="24"/>
  <c r="W187" i="24"/>
  <c r="V301" i="24"/>
  <c r="W301" i="24"/>
  <c r="U251" i="25"/>
  <c r="P194" i="24"/>
  <c r="Q194" i="24"/>
  <c r="AP194" i="24"/>
  <c r="S41" i="25"/>
  <c r="K41" i="25" s="1"/>
  <c r="V41" i="25" s="1"/>
  <c r="R41" i="25"/>
  <c r="Q41" i="25"/>
  <c r="AO41" i="25"/>
  <c r="BZ41" i="25"/>
  <c r="P203" i="24"/>
  <c r="Q203" i="24"/>
  <c r="AP203" i="24"/>
  <c r="U281" i="25"/>
  <c r="AE312" i="24"/>
  <c r="AI312" i="24"/>
  <c r="X312" i="24"/>
  <c r="AA312" i="24" s="1"/>
  <c r="AB312" i="24" s="1"/>
  <c r="AC312" i="24" s="1"/>
  <c r="U249" i="25"/>
  <c r="AE310" i="24"/>
  <c r="AI310" i="24"/>
  <c r="X310" i="24"/>
  <c r="AA310" i="24" s="1"/>
  <c r="AB310" i="24" s="1"/>
  <c r="AC310" i="24" s="1"/>
  <c r="S134" i="25"/>
  <c r="K134" i="25" s="1"/>
  <c r="R134" i="25"/>
  <c r="Q134" i="25"/>
  <c r="BZ134" i="25"/>
  <c r="AO134" i="25"/>
  <c r="AD147" i="25"/>
  <c r="W147" i="25"/>
  <c r="Z147" i="25" s="1"/>
  <c r="AA147" i="25" s="1"/>
  <c r="AB147" i="25" s="1"/>
  <c r="AI147" i="25" s="1"/>
  <c r="AE37" i="24"/>
  <c r="AI37" i="24"/>
  <c r="X37" i="24"/>
  <c r="AA37" i="24" s="1"/>
  <c r="AB37" i="24" s="1"/>
  <c r="AC37" i="24" s="1"/>
  <c r="V71" i="25"/>
  <c r="X71" i="25" s="1"/>
  <c r="V167" i="25"/>
  <c r="X167" i="25" s="1"/>
  <c r="V304" i="24"/>
  <c r="W304" i="24"/>
  <c r="AE272" i="24"/>
  <c r="AI272" i="24"/>
  <c r="X272" i="24"/>
  <c r="AA272" i="24" s="1"/>
  <c r="AB272" i="24" s="1"/>
  <c r="AC272" i="24" s="1"/>
  <c r="R39" i="25"/>
  <c r="S39" i="25"/>
  <c r="K39" i="25" s="1"/>
  <c r="Q39" i="25"/>
  <c r="AO39" i="25"/>
  <c r="BZ39" i="25"/>
  <c r="AG233" i="24"/>
  <c r="AF233" i="24"/>
  <c r="AJ132" i="24"/>
  <c r="S205" i="25"/>
  <c r="K205" i="25" s="1"/>
  <c r="V205" i="25" s="1"/>
  <c r="R205" i="25"/>
  <c r="Q205" i="25"/>
  <c r="AO205" i="25"/>
  <c r="BZ205" i="25"/>
  <c r="U25" i="25"/>
  <c r="AE95" i="24"/>
  <c r="AI95" i="24"/>
  <c r="X95" i="24"/>
  <c r="AA95" i="24" s="1"/>
  <c r="AB95" i="24" s="1"/>
  <c r="AC95" i="24" s="1"/>
  <c r="R102" i="25"/>
  <c r="S102" i="25"/>
  <c r="K102" i="25" s="1"/>
  <c r="Q102" i="25"/>
  <c r="AO102" i="25"/>
  <c r="BZ102" i="25"/>
  <c r="AE226" i="24"/>
  <c r="AI226" i="24"/>
  <c r="X226" i="24"/>
  <c r="AA226" i="24" s="1"/>
  <c r="AB226" i="24" s="1"/>
  <c r="AC226" i="24" s="1"/>
  <c r="S216" i="25"/>
  <c r="K216" i="25" s="1"/>
  <c r="R216" i="25"/>
  <c r="AO216" i="25"/>
  <c r="Q216" i="25"/>
  <c r="BZ216" i="25"/>
  <c r="S181" i="25"/>
  <c r="K181" i="25" s="1"/>
  <c r="R181" i="25"/>
  <c r="Q181" i="25"/>
  <c r="BZ181" i="25"/>
  <c r="AO181" i="25"/>
  <c r="W90" i="24"/>
  <c r="Y90" i="24" s="1"/>
  <c r="S81" i="25"/>
  <c r="K81" i="25" s="1"/>
  <c r="R81" i="25"/>
  <c r="Q81" i="25"/>
  <c r="AO81" i="25"/>
  <c r="BZ81" i="25"/>
  <c r="AE138" i="24"/>
  <c r="AI138" i="24"/>
  <c r="X138" i="24"/>
  <c r="AA138" i="24" s="1"/>
  <c r="AB138" i="24" s="1"/>
  <c r="AC138" i="24" s="1"/>
  <c r="AE201" i="24"/>
  <c r="AI201" i="24"/>
  <c r="X201" i="24"/>
  <c r="AA201" i="24" s="1"/>
  <c r="AB201" i="24" s="1"/>
  <c r="AC201" i="24" s="1"/>
  <c r="S157" i="25"/>
  <c r="K157" i="25" s="1"/>
  <c r="R157" i="25"/>
  <c r="Q157" i="25"/>
  <c r="BZ157" i="25"/>
  <c r="AO157" i="25"/>
  <c r="AE53" i="24"/>
  <c r="AI53" i="24"/>
  <c r="X53" i="24"/>
  <c r="AA53" i="24" s="1"/>
  <c r="AB53" i="24" s="1"/>
  <c r="AC53" i="24" s="1"/>
  <c r="AE176" i="24"/>
  <c r="AI176" i="24"/>
  <c r="X176" i="24"/>
  <c r="AA176" i="24" s="1"/>
  <c r="AB176" i="24" s="1"/>
  <c r="AC176" i="24" s="1"/>
  <c r="S145" i="25"/>
  <c r="K145" i="25" s="1"/>
  <c r="R145" i="25"/>
  <c r="Q145" i="25"/>
  <c r="AO145" i="25"/>
  <c r="BZ145" i="25"/>
  <c r="AE112" i="24"/>
  <c r="AI112" i="24"/>
  <c r="X112" i="24"/>
  <c r="AA112" i="24" s="1"/>
  <c r="AB112" i="24" s="1"/>
  <c r="AC112" i="24" s="1"/>
  <c r="AJ264" i="24"/>
  <c r="V146" i="24"/>
  <c r="W146" i="24"/>
  <c r="AE16" i="24"/>
  <c r="AI16" i="24"/>
  <c r="X16" i="24"/>
  <c r="AA16" i="24" s="1"/>
  <c r="AB16" i="24" s="1"/>
  <c r="AC16" i="24" s="1"/>
  <c r="W71" i="24"/>
  <c r="V71" i="24"/>
  <c r="V153" i="24"/>
  <c r="W153" i="24"/>
  <c r="V242" i="24"/>
  <c r="W242" i="24"/>
  <c r="Q122" i="24"/>
  <c r="P122" i="24"/>
  <c r="AP122" i="24"/>
  <c r="R269" i="25"/>
  <c r="S269" i="25"/>
  <c r="K269" i="25" s="1"/>
  <c r="Q269" i="25"/>
  <c r="AO269" i="25"/>
  <c r="BZ269" i="25"/>
  <c r="AE63" i="24"/>
  <c r="AI63" i="24"/>
  <c r="X63" i="24"/>
  <c r="AA63" i="24" s="1"/>
  <c r="AB63" i="24" s="1"/>
  <c r="AC63" i="24" s="1"/>
  <c r="U295" i="25"/>
  <c r="AD89" i="25"/>
  <c r="W89" i="25"/>
  <c r="Z89" i="25" s="1"/>
  <c r="AA89" i="25" s="1"/>
  <c r="AB89" i="25" s="1"/>
  <c r="AI89" i="25" s="1"/>
  <c r="S111" i="25"/>
  <c r="K111" i="25" s="1"/>
  <c r="R111" i="25"/>
  <c r="Q111" i="25"/>
  <c r="AO111" i="25"/>
  <c r="BZ111" i="25"/>
  <c r="U220" i="25"/>
  <c r="AE89" i="24"/>
  <c r="AI89" i="24"/>
  <c r="X89" i="24"/>
  <c r="AA89" i="24" s="1"/>
  <c r="AB89" i="24" s="1"/>
  <c r="AC89" i="24" s="1"/>
  <c r="AE198" i="24"/>
  <c r="AI198" i="24"/>
  <c r="X198" i="24"/>
  <c r="AA198" i="24" s="1"/>
  <c r="AB198" i="24" s="1"/>
  <c r="AC198" i="24" s="1"/>
  <c r="U260" i="25"/>
  <c r="AE223" i="24"/>
  <c r="AI223" i="24"/>
  <c r="X223" i="24"/>
  <c r="AA223" i="24" s="1"/>
  <c r="AB223" i="24" s="1"/>
  <c r="AC223" i="24" s="1"/>
  <c r="W127" i="24"/>
  <c r="Y127" i="24" s="1"/>
  <c r="AG45" i="24"/>
  <c r="AF45" i="24"/>
  <c r="P139" i="24"/>
  <c r="Q139" i="24"/>
  <c r="AP139" i="24"/>
  <c r="V63" i="24"/>
  <c r="W63" i="24"/>
  <c r="V240" i="24"/>
  <c r="W240" i="24"/>
  <c r="U78" i="25"/>
  <c r="W27" i="24"/>
  <c r="Y27" i="24" s="1"/>
  <c r="R121" i="25"/>
  <c r="S121" i="25"/>
  <c r="K121" i="25" s="1"/>
  <c r="Q121" i="25"/>
  <c r="BZ121" i="25"/>
  <c r="AO121" i="25"/>
  <c r="S168" i="25"/>
  <c r="K168" i="25" s="1"/>
  <c r="R168" i="25"/>
  <c r="Q168" i="25"/>
  <c r="AO168" i="25"/>
  <c r="BZ168" i="25"/>
  <c r="AE186" i="24"/>
  <c r="AI186" i="24"/>
  <c r="X186" i="24"/>
  <c r="AA186" i="24" s="1"/>
  <c r="AB186" i="24" s="1"/>
  <c r="AC186" i="24" s="1"/>
  <c r="U239" i="25"/>
  <c r="AE85" i="24"/>
  <c r="AI85" i="24"/>
  <c r="X85" i="24"/>
  <c r="AA85" i="24" s="1"/>
  <c r="AB85" i="24" s="1"/>
  <c r="AC85" i="24" s="1"/>
  <c r="W15" i="24"/>
  <c r="Y15" i="24" s="1"/>
  <c r="R222" i="25"/>
  <c r="S222" i="25"/>
  <c r="K222" i="25" s="1"/>
  <c r="Q222" i="25"/>
  <c r="AO222" i="25"/>
  <c r="BZ222" i="25"/>
  <c r="AE177" i="24"/>
  <c r="AI177" i="24"/>
  <c r="X177" i="24"/>
  <c r="AA177" i="24" s="1"/>
  <c r="AB177" i="24" s="1"/>
  <c r="AC177" i="24" s="1"/>
  <c r="P54" i="24"/>
  <c r="Q54" i="24"/>
  <c r="R54" i="24" s="1"/>
  <c r="AP54" i="24"/>
  <c r="AD262" i="25"/>
  <c r="W262" i="25"/>
  <c r="Z262" i="25" s="1"/>
  <c r="AA262" i="25" s="1"/>
  <c r="AB262" i="25" s="1"/>
  <c r="AI262" i="25" s="1"/>
  <c r="AE124" i="24"/>
  <c r="AI124" i="24"/>
  <c r="X124" i="24"/>
  <c r="AA124" i="24" s="1"/>
  <c r="AB124" i="24" s="1"/>
  <c r="AC124" i="24" s="1"/>
  <c r="S116" i="25"/>
  <c r="K116" i="25" s="1"/>
  <c r="V116" i="25" s="1"/>
  <c r="R116" i="25"/>
  <c r="Q116" i="25"/>
  <c r="AO116" i="25"/>
  <c r="BZ116" i="25"/>
  <c r="S253" i="25"/>
  <c r="K253" i="25" s="1"/>
  <c r="R253" i="25"/>
  <c r="Q253" i="25"/>
  <c r="BZ253" i="25"/>
  <c r="AO253" i="25"/>
  <c r="V246" i="25"/>
  <c r="X246" i="25" s="1"/>
  <c r="AE96" i="24"/>
  <c r="AI96" i="24"/>
  <c r="X96" i="24"/>
  <c r="AA96" i="24" s="1"/>
  <c r="AB96" i="24" s="1"/>
  <c r="AC96" i="24" s="1"/>
  <c r="R188" i="25"/>
  <c r="S188" i="25"/>
  <c r="K188" i="25" s="1"/>
  <c r="V188" i="25" s="1"/>
  <c r="Q188" i="25"/>
  <c r="AO188" i="25"/>
  <c r="BZ188" i="25"/>
  <c r="AE204" i="24"/>
  <c r="AI204" i="24"/>
  <c r="X204" i="24"/>
  <c r="AA204" i="24" s="1"/>
  <c r="AB204" i="24" s="1"/>
  <c r="AC204" i="24" s="1"/>
  <c r="Q220" i="24"/>
  <c r="P220" i="24"/>
  <c r="AP220" i="24"/>
  <c r="AD280" i="25" l="1"/>
  <c r="AE280" i="25" s="1"/>
  <c r="X187" i="25"/>
  <c r="X63" i="25"/>
  <c r="W280" i="25"/>
  <c r="Z280" i="25" s="1"/>
  <c r="AA280" i="25" s="1"/>
  <c r="AB280" i="25" s="1"/>
  <c r="AI280" i="25" s="1"/>
  <c r="AS280" i="25" s="1"/>
  <c r="X281" i="25"/>
  <c r="X251" i="25"/>
  <c r="Y124" i="24"/>
  <c r="Y221" i="24"/>
  <c r="Y243" i="24"/>
  <c r="Y141" i="24"/>
  <c r="Y291" i="24"/>
  <c r="Y177" i="24"/>
  <c r="X260" i="25"/>
  <c r="X105" i="25"/>
  <c r="W11" i="25"/>
  <c r="Z11" i="25" s="1"/>
  <c r="AA11" i="25" s="1"/>
  <c r="AB11" i="25" s="1"/>
  <c r="AI11" i="25" s="1"/>
  <c r="AS11" i="25" s="1"/>
  <c r="X78" i="25"/>
  <c r="X53" i="25"/>
  <c r="X18" i="25"/>
  <c r="X118" i="25"/>
  <c r="X249" i="25"/>
  <c r="X112" i="25"/>
  <c r="Y185" i="24"/>
  <c r="Y184" i="24"/>
  <c r="Y161" i="24"/>
  <c r="Y153" i="24"/>
  <c r="Y197" i="24"/>
  <c r="Y136" i="24"/>
  <c r="X234" i="25"/>
  <c r="Y280" i="24"/>
  <c r="Y156" i="24"/>
  <c r="Y297" i="24"/>
  <c r="X25" i="25"/>
  <c r="Y293" i="24"/>
  <c r="X183" i="25"/>
  <c r="Y174" i="24"/>
  <c r="Y282" i="24"/>
  <c r="Y179" i="24"/>
  <c r="Y288" i="24"/>
  <c r="Y145" i="24"/>
  <c r="Y154" i="24"/>
  <c r="Y245" i="24"/>
  <c r="Y256" i="24"/>
  <c r="X220" i="25"/>
  <c r="X169" i="25"/>
  <c r="X40" i="25"/>
  <c r="Y159" i="24"/>
  <c r="Y315" i="24"/>
  <c r="Y235" i="24"/>
  <c r="Y209" i="24"/>
  <c r="Y309" i="24"/>
  <c r="Y204" i="24"/>
  <c r="Y126" i="24"/>
  <c r="Y123" i="24"/>
  <c r="Y308" i="24"/>
  <c r="Y111" i="24"/>
  <c r="Y228" i="24"/>
  <c r="Y203" i="24"/>
  <c r="Y259" i="24"/>
  <c r="Y301" i="24"/>
  <c r="Y299" i="24"/>
  <c r="Y255" i="24"/>
  <c r="Y263" i="24"/>
  <c r="Y36" i="24"/>
  <c r="Y261" i="24"/>
  <c r="Y149" i="24"/>
  <c r="X239" i="25"/>
  <c r="X103" i="25"/>
  <c r="X44" i="25"/>
  <c r="X56" i="25"/>
  <c r="X298" i="25"/>
  <c r="X295" i="25"/>
  <c r="Y187" i="24"/>
  <c r="Y194" i="24"/>
  <c r="Y222" i="24"/>
  <c r="X55" i="25"/>
  <c r="Y151" i="24"/>
  <c r="Y144" i="24"/>
  <c r="Y295" i="24"/>
  <c r="Y158" i="24"/>
  <c r="Y143" i="24"/>
  <c r="Y183" i="24"/>
  <c r="Y266" i="24"/>
  <c r="Y135" i="24"/>
  <c r="X38" i="25"/>
  <c r="Y247" i="24"/>
  <c r="Y115" i="24"/>
  <c r="Y275" i="24"/>
  <c r="Y164" i="24"/>
  <c r="Y316" i="24"/>
  <c r="Y206" i="24"/>
  <c r="Y168" i="24"/>
  <c r="Y131" i="24"/>
  <c r="Y277" i="24"/>
  <c r="Y242" i="24"/>
  <c r="Y300" i="24"/>
  <c r="Y171" i="24"/>
  <c r="Y170" i="24"/>
  <c r="Y244" i="24"/>
  <c r="Y146" i="24"/>
  <c r="Y304" i="24"/>
  <c r="Y117" i="24"/>
  <c r="X66" i="25"/>
  <c r="X207" i="25"/>
  <c r="Y250" i="24"/>
  <c r="Y262" i="24"/>
  <c r="Y241" i="24"/>
  <c r="Y148" i="24"/>
  <c r="Y260" i="24"/>
  <c r="Y192" i="24"/>
  <c r="Y114" i="24"/>
  <c r="Y195" i="24"/>
  <c r="Y220" i="24"/>
  <c r="Y139" i="24"/>
  <c r="Y122" i="24"/>
  <c r="X47" i="25"/>
  <c r="Y229" i="24"/>
  <c r="Y283" i="24"/>
  <c r="Y138" i="24"/>
  <c r="Y113" i="24"/>
  <c r="Y140" i="24"/>
  <c r="Y298" i="24"/>
  <c r="Y240" i="24"/>
  <c r="Y196" i="24"/>
  <c r="Y112" i="24"/>
  <c r="Y186" i="24"/>
  <c r="Y239" i="24"/>
  <c r="Y210" i="24"/>
  <c r="Y232" i="24"/>
  <c r="Y176" i="24"/>
  <c r="Y249" i="24"/>
  <c r="X272" i="25"/>
  <c r="X140" i="25"/>
  <c r="X10" i="25"/>
  <c r="X266" i="25"/>
  <c r="X223" i="25"/>
  <c r="X138" i="25"/>
  <c r="X90" i="25"/>
  <c r="X307" i="25"/>
  <c r="X209" i="25"/>
  <c r="X101" i="25"/>
  <c r="X116" i="25"/>
  <c r="X74" i="25"/>
  <c r="X26" i="25"/>
  <c r="X225" i="25"/>
  <c r="X203" i="25"/>
  <c r="X123" i="25"/>
  <c r="X139" i="25"/>
  <c r="X99" i="25"/>
  <c r="X288" i="25"/>
  <c r="X196" i="25"/>
  <c r="X205" i="25"/>
  <c r="X217" i="25"/>
  <c r="X73" i="25"/>
  <c r="X165" i="25"/>
  <c r="X160" i="25"/>
  <c r="X175" i="25"/>
  <c r="X231" i="25"/>
  <c r="X122" i="25"/>
  <c r="X188" i="25"/>
  <c r="X84" i="25"/>
  <c r="X202" i="25"/>
  <c r="X171" i="25"/>
  <c r="X194" i="25"/>
  <c r="X197" i="25"/>
  <c r="X221" i="25"/>
  <c r="X27" i="25"/>
  <c r="X228" i="25"/>
  <c r="X41" i="25"/>
  <c r="X22" i="25"/>
  <c r="X242" i="25"/>
  <c r="X208" i="25"/>
  <c r="X218" i="25"/>
  <c r="X79" i="25"/>
  <c r="X302" i="25"/>
  <c r="X303" i="25"/>
  <c r="X159" i="25"/>
  <c r="X287" i="25"/>
  <c r="Y78" i="24"/>
  <c r="Y33" i="24"/>
  <c r="Y102" i="24"/>
  <c r="Y26" i="24"/>
  <c r="Y89" i="24"/>
  <c r="Y93" i="24"/>
  <c r="Y65" i="24"/>
  <c r="Y28" i="24"/>
  <c r="Y31" i="24"/>
  <c r="Y69" i="24"/>
  <c r="Y34" i="24"/>
  <c r="Y95" i="24"/>
  <c r="Y9" i="24"/>
  <c r="Y58" i="24"/>
  <c r="Y64" i="24"/>
  <c r="Y54" i="24"/>
  <c r="Y38" i="24"/>
  <c r="Y29" i="24"/>
  <c r="Y104" i="24"/>
  <c r="Y94" i="24"/>
  <c r="Y63" i="24"/>
  <c r="Y73" i="24"/>
  <c r="Y51" i="24"/>
  <c r="Y71" i="24"/>
  <c r="Y80" i="24"/>
  <c r="Y23" i="24"/>
  <c r="Y17" i="24"/>
  <c r="Y100" i="24"/>
  <c r="Y96" i="24"/>
  <c r="Y103" i="24"/>
  <c r="Y39" i="24"/>
  <c r="Y46" i="24"/>
  <c r="Y85" i="24"/>
  <c r="Y57" i="24"/>
  <c r="Y42" i="24"/>
  <c r="Y75" i="24"/>
  <c r="Y59" i="24"/>
  <c r="Y92" i="24"/>
  <c r="Y98" i="24"/>
  <c r="Y8" i="24"/>
  <c r="Y37" i="24"/>
  <c r="AD11" i="25"/>
  <c r="AE11" i="25" s="1"/>
  <c r="V155" i="25"/>
  <c r="X155" i="25" s="1"/>
  <c r="AJ194" i="24"/>
  <c r="AT194" i="24" s="1"/>
  <c r="AJ208" i="24"/>
  <c r="AT208" i="24" s="1"/>
  <c r="AJ205" i="24"/>
  <c r="AT205" i="24" s="1"/>
  <c r="AJ186" i="24"/>
  <c r="AT186" i="24" s="1"/>
  <c r="AJ192" i="24"/>
  <c r="AT192" i="24" s="1"/>
  <c r="AJ209" i="24"/>
  <c r="AT209" i="24" s="1"/>
  <c r="AJ201" i="24"/>
  <c r="AT201" i="24" s="1"/>
  <c r="AJ195" i="24"/>
  <c r="AT195" i="24" s="1"/>
  <c r="AJ189" i="24"/>
  <c r="AT189" i="24" s="1"/>
  <c r="AJ207" i="24"/>
  <c r="AT207" i="24" s="1"/>
  <c r="AJ202" i="24"/>
  <c r="AT202" i="24" s="1"/>
  <c r="AJ199" i="24"/>
  <c r="AT199" i="24" s="1"/>
  <c r="AD155" i="25"/>
  <c r="AF155" i="25" s="1"/>
  <c r="AV45" i="24"/>
  <c r="AV41" i="24"/>
  <c r="AT21" i="24"/>
  <c r="BA21" i="24" s="1"/>
  <c r="AV101" i="24"/>
  <c r="AV55" i="24"/>
  <c r="AT44" i="24"/>
  <c r="BA44" i="24" s="1"/>
  <c r="AV7" i="24"/>
  <c r="AJ204" i="24"/>
  <c r="AT204" i="24" s="1"/>
  <c r="AJ198" i="24"/>
  <c r="AT198" i="24" s="1"/>
  <c r="AJ203" i="24"/>
  <c r="AT203" i="24" s="1"/>
  <c r="AJ196" i="24"/>
  <c r="AT196" i="24" s="1"/>
  <c r="AJ206" i="24"/>
  <c r="AT206" i="24" s="1"/>
  <c r="AJ200" i="24"/>
  <c r="AT200" i="24" s="1"/>
  <c r="AJ185" i="24"/>
  <c r="AT185" i="24" s="1"/>
  <c r="AJ197" i="24"/>
  <c r="AT197" i="24" s="1"/>
  <c r="AJ188" i="24"/>
  <c r="AT188" i="24" s="1"/>
  <c r="AJ210" i="24"/>
  <c r="AT210" i="24" s="1"/>
  <c r="AJ187" i="24"/>
  <c r="AT187" i="24" s="1"/>
  <c r="AJ193" i="24"/>
  <c r="AT193" i="24" s="1"/>
  <c r="AJ184" i="24"/>
  <c r="AT184" i="24" s="1"/>
  <c r="V96" i="25"/>
  <c r="X96" i="25" s="1"/>
  <c r="W96" i="25"/>
  <c r="Z96" i="25" s="1"/>
  <c r="AA96" i="25" s="1"/>
  <c r="AB96" i="25" s="1"/>
  <c r="AI96" i="25" s="1"/>
  <c r="AS96" i="25" s="1"/>
  <c r="AJ178" i="24"/>
  <c r="AT178" i="24" s="1"/>
  <c r="AJ174" i="24"/>
  <c r="AT174" i="24" s="1"/>
  <c r="AJ173" i="24"/>
  <c r="AT173" i="24" s="1"/>
  <c r="AJ181" i="24"/>
  <c r="AT181" i="24" s="1"/>
  <c r="AJ171" i="24"/>
  <c r="AT171" i="24" s="1"/>
  <c r="AJ175" i="24"/>
  <c r="AT175" i="24" s="1"/>
  <c r="AJ180" i="24"/>
  <c r="AT180" i="24" s="1"/>
  <c r="AJ177" i="24"/>
  <c r="AT177" i="24" s="1"/>
  <c r="AJ103" i="24"/>
  <c r="AJ105" i="24"/>
  <c r="AJ96" i="24"/>
  <c r="AJ94" i="24"/>
  <c r="AJ99" i="24"/>
  <c r="W258" i="25"/>
  <c r="Z258" i="25" s="1"/>
  <c r="AA258" i="25" s="1"/>
  <c r="AB258" i="25" s="1"/>
  <c r="AI258" i="25" s="1"/>
  <c r="AS258" i="25" s="1"/>
  <c r="AD258" i="25"/>
  <c r="AE258" i="25" s="1"/>
  <c r="AV44" i="24"/>
  <c r="AF143" i="25"/>
  <c r="AM143" i="25" s="1"/>
  <c r="BG143" i="25" s="1"/>
  <c r="AJ170" i="24"/>
  <c r="AT170" i="24" s="1"/>
  <c r="AJ161" i="24"/>
  <c r="AT161" i="24" s="1"/>
  <c r="AJ85" i="24"/>
  <c r="AJ89" i="24"/>
  <c r="AJ165" i="24"/>
  <c r="AT165" i="24" s="1"/>
  <c r="W154" i="25"/>
  <c r="Z154" i="25" s="1"/>
  <c r="AA154" i="25" s="1"/>
  <c r="AB154" i="25" s="1"/>
  <c r="AI154" i="25" s="1"/>
  <c r="AS154" i="25" s="1"/>
  <c r="AD154" i="25"/>
  <c r="AJ176" i="24"/>
  <c r="AT176" i="24" s="1"/>
  <c r="AJ91" i="24"/>
  <c r="AJ158" i="24"/>
  <c r="AT158" i="24" s="1"/>
  <c r="AJ168" i="24"/>
  <c r="AT168" i="24" s="1"/>
  <c r="AT101" i="24"/>
  <c r="BA101" i="24" s="1"/>
  <c r="AJ163" i="24"/>
  <c r="AT163" i="24" s="1"/>
  <c r="AJ169" i="24"/>
  <c r="AT169" i="24" s="1"/>
  <c r="AJ167" i="24"/>
  <c r="AT167" i="24" s="1"/>
  <c r="AJ182" i="24"/>
  <c r="AT182" i="24" s="1"/>
  <c r="AJ183" i="24"/>
  <c r="AT183" i="24" s="1"/>
  <c r="AJ172" i="24"/>
  <c r="AT172" i="24" s="1"/>
  <c r="AJ164" i="24"/>
  <c r="AT164" i="24" s="1"/>
  <c r="AJ179" i="24"/>
  <c r="AT179" i="24" s="1"/>
  <c r="AD189" i="25"/>
  <c r="AF189" i="25" s="1"/>
  <c r="AT41" i="24"/>
  <c r="BA41" i="24" s="1"/>
  <c r="AJ69" i="24"/>
  <c r="AJ66" i="24"/>
  <c r="W97" i="25"/>
  <c r="Z97" i="25" s="1"/>
  <c r="AA97" i="25" s="1"/>
  <c r="AB97" i="25" s="1"/>
  <c r="AI97" i="25" s="1"/>
  <c r="AS97" i="25" s="1"/>
  <c r="AD97" i="25"/>
  <c r="AE97" i="25" s="1"/>
  <c r="AJ75" i="24"/>
  <c r="AJ93" i="24"/>
  <c r="AJ95" i="24"/>
  <c r="AJ84" i="24"/>
  <c r="AJ62" i="24"/>
  <c r="AJ157" i="24"/>
  <c r="AT157" i="24" s="1"/>
  <c r="AJ102" i="24"/>
  <c r="AJ90" i="24"/>
  <c r="AJ97" i="24"/>
  <c r="AJ74" i="24"/>
  <c r="AT7" i="24"/>
  <c r="BA7" i="24" s="1"/>
  <c r="AJ100" i="24"/>
  <c r="AJ98" i="24"/>
  <c r="AJ104" i="24"/>
  <c r="AJ81" i="24"/>
  <c r="AJ67" i="24"/>
  <c r="AJ79" i="24"/>
  <c r="AJ73" i="24"/>
  <c r="AJ92" i="24"/>
  <c r="AJ80" i="24"/>
  <c r="AJ86" i="24"/>
  <c r="AJ65" i="24"/>
  <c r="AJ70" i="24"/>
  <c r="AJ87" i="24"/>
  <c r="AJ88" i="24"/>
  <c r="AJ82" i="24"/>
  <c r="AJ68" i="24"/>
  <c r="AJ83" i="24"/>
  <c r="AJ72" i="24"/>
  <c r="AJ316" i="24"/>
  <c r="AT316" i="24" s="1"/>
  <c r="AT55" i="24"/>
  <c r="BA55" i="24" s="1"/>
  <c r="W179" i="25"/>
  <c r="Z179" i="25" s="1"/>
  <c r="AA179" i="25" s="1"/>
  <c r="AB179" i="25" s="1"/>
  <c r="AI179" i="25" s="1"/>
  <c r="AS179" i="25" s="1"/>
  <c r="AD179" i="25"/>
  <c r="AE179" i="25" s="1"/>
  <c r="V29" i="25"/>
  <c r="X29" i="25" s="1"/>
  <c r="W29" i="25"/>
  <c r="Z29" i="25" s="1"/>
  <c r="AA29" i="25" s="1"/>
  <c r="AB29" i="25" s="1"/>
  <c r="AI29" i="25" s="1"/>
  <c r="AS29" i="25" s="1"/>
  <c r="V28" i="25"/>
  <c r="X28" i="25" s="1"/>
  <c r="W291" i="25"/>
  <c r="Z291" i="25" s="1"/>
  <c r="AA291" i="25" s="1"/>
  <c r="AB291" i="25" s="1"/>
  <c r="AI291" i="25" s="1"/>
  <c r="AS291" i="25" s="1"/>
  <c r="W28" i="25"/>
  <c r="Z28" i="25" s="1"/>
  <c r="AA28" i="25" s="1"/>
  <c r="AB28" i="25" s="1"/>
  <c r="AI28" i="25" s="1"/>
  <c r="AS28" i="25" s="1"/>
  <c r="AD291" i="25"/>
  <c r="AE291" i="25" s="1"/>
  <c r="V265" i="25"/>
  <c r="X265" i="25" s="1"/>
  <c r="W265" i="25"/>
  <c r="Z265" i="25" s="1"/>
  <c r="AA265" i="25" s="1"/>
  <c r="AB265" i="25" s="1"/>
  <c r="AI265" i="25" s="1"/>
  <c r="AS265" i="25" s="1"/>
  <c r="AT45" i="24"/>
  <c r="BA45" i="24" s="1"/>
  <c r="AJ314" i="24"/>
  <c r="AT314" i="24" s="1"/>
  <c r="AV21" i="24"/>
  <c r="V189" i="25"/>
  <c r="X189" i="25" s="1"/>
  <c r="V104" i="25"/>
  <c r="X104" i="25" s="1"/>
  <c r="AD104" i="25"/>
  <c r="AF104" i="25" s="1"/>
  <c r="AJ311" i="24"/>
  <c r="AT311" i="24" s="1"/>
  <c r="AJ309" i="24"/>
  <c r="AT309" i="24" s="1"/>
  <c r="AJ307" i="24"/>
  <c r="AT307" i="24" s="1"/>
  <c r="AJ308" i="24"/>
  <c r="AT308" i="24" s="1"/>
  <c r="AJ156" i="24"/>
  <c r="AT156" i="24" s="1"/>
  <c r="AJ159" i="24"/>
  <c r="AT159" i="24" s="1"/>
  <c r="AJ76" i="24"/>
  <c r="AJ166" i="24"/>
  <c r="AT166" i="24" s="1"/>
  <c r="AJ312" i="24"/>
  <c r="AT312" i="24" s="1"/>
  <c r="AJ71" i="24"/>
  <c r="AJ315" i="24"/>
  <c r="AT315" i="24" s="1"/>
  <c r="AJ310" i="24"/>
  <c r="AT310" i="24" s="1"/>
  <c r="AJ78" i="24"/>
  <c r="AJ77" i="24"/>
  <c r="AJ64" i="24"/>
  <c r="AJ313" i="24"/>
  <c r="AT313" i="24" s="1"/>
  <c r="AD237" i="25"/>
  <c r="AE237" i="25" s="1"/>
  <c r="W237" i="25"/>
  <c r="Z237" i="25" s="1"/>
  <c r="AA237" i="25" s="1"/>
  <c r="AB237" i="25" s="1"/>
  <c r="AI237" i="25" s="1"/>
  <c r="AS237" i="25" s="1"/>
  <c r="AJ63" i="24"/>
  <c r="AJ61" i="24"/>
  <c r="AJ116" i="24"/>
  <c r="AT116" i="24" s="1"/>
  <c r="N212" i="25"/>
  <c r="BI212" i="25"/>
  <c r="AH212" i="25"/>
  <c r="BQ212" i="25"/>
  <c r="AJ252" i="24"/>
  <c r="AT252" i="24" s="1"/>
  <c r="AJ151" i="24"/>
  <c r="AT151" i="24" s="1"/>
  <c r="AJ115" i="24"/>
  <c r="AT115" i="24" s="1"/>
  <c r="AJ303" i="24"/>
  <c r="AT303" i="24" s="1"/>
  <c r="AJ275" i="24"/>
  <c r="AT275" i="24" s="1"/>
  <c r="AJ53" i="24"/>
  <c r="AJ47" i="24"/>
  <c r="AJ289" i="24"/>
  <c r="AT289" i="24" s="1"/>
  <c r="AJ254" i="24"/>
  <c r="AT254" i="24" s="1"/>
  <c r="AJ268" i="24"/>
  <c r="AT268" i="24" s="1"/>
  <c r="AJ141" i="24"/>
  <c r="AT141" i="24" s="1"/>
  <c r="AJ251" i="24"/>
  <c r="AT251" i="24" s="1"/>
  <c r="AJ60" i="24"/>
  <c r="V77" i="25"/>
  <c r="X77" i="25" s="1"/>
  <c r="AD77" i="25"/>
  <c r="W77" i="25"/>
  <c r="Z77" i="25" s="1"/>
  <c r="AA77" i="25" s="1"/>
  <c r="AB77" i="25" s="1"/>
  <c r="AI77" i="25" s="1"/>
  <c r="AS77" i="25" s="1"/>
  <c r="AW77" i="25" s="1"/>
  <c r="AJ272" i="24"/>
  <c r="AT272" i="24" s="1"/>
  <c r="AJ288" i="24"/>
  <c r="AT288" i="24" s="1"/>
  <c r="AJ40" i="24"/>
  <c r="AJ23" i="24"/>
  <c r="AJ276" i="24"/>
  <c r="AT276" i="24" s="1"/>
  <c r="AJ42" i="24"/>
  <c r="AJ286" i="24"/>
  <c r="AT286" i="24" s="1"/>
  <c r="AJ231" i="24"/>
  <c r="AT231" i="24" s="1"/>
  <c r="AJ143" i="24"/>
  <c r="AT143" i="24" s="1"/>
  <c r="AJ139" i="24"/>
  <c r="AT139" i="24" s="1"/>
  <c r="AJ11" i="24"/>
  <c r="AJ52" i="24"/>
  <c r="AJ144" i="24"/>
  <c r="AT144" i="24" s="1"/>
  <c r="AJ39" i="24"/>
  <c r="AJ127" i="24"/>
  <c r="AT127" i="24" s="1"/>
  <c r="AJ36" i="24"/>
  <c r="AJ137" i="24"/>
  <c r="AT137" i="24" s="1"/>
  <c r="AJ245" i="24"/>
  <c r="AT245" i="24" s="1"/>
  <c r="AJ149" i="24"/>
  <c r="AT149" i="24" s="1"/>
  <c r="AJ140" i="24"/>
  <c r="AT140" i="24" s="1"/>
  <c r="AJ285" i="24"/>
  <c r="AT285" i="24" s="1"/>
  <c r="AJ223" i="24"/>
  <c r="AT223" i="24" s="1"/>
  <c r="AJ13" i="24"/>
  <c r="AJ239" i="24"/>
  <c r="AT239" i="24" s="1"/>
  <c r="AJ262" i="24"/>
  <c r="AT262" i="24" s="1"/>
  <c r="AJ291" i="24"/>
  <c r="AT291" i="24" s="1"/>
  <c r="AJ277" i="24"/>
  <c r="AT277" i="24" s="1"/>
  <c r="AJ234" i="24"/>
  <c r="AT234" i="24" s="1"/>
  <c r="AJ217" i="24"/>
  <c r="AT217" i="24" s="1"/>
  <c r="AJ31" i="24"/>
  <c r="AJ293" i="24"/>
  <c r="AT293" i="24" s="1"/>
  <c r="AJ154" i="24"/>
  <c r="AT154" i="24" s="1"/>
  <c r="AJ50" i="24"/>
  <c r="AJ306" i="24"/>
  <c r="AT306" i="24" s="1"/>
  <c r="AJ49" i="24"/>
  <c r="AJ230" i="24"/>
  <c r="AT230" i="24" s="1"/>
  <c r="AJ241" i="24"/>
  <c r="AT241" i="24" s="1"/>
  <c r="AJ46" i="24"/>
  <c r="AJ150" i="24"/>
  <c r="AT150" i="24" s="1"/>
  <c r="AJ38" i="24"/>
  <c r="AJ226" i="24"/>
  <c r="AT226" i="24" s="1"/>
  <c r="AJ302" i="24"/>
  <c r="AT302" i="24" s="1"/>
  <c r="AJ122" i="24"/>
  <c r="AT122" i="24" s="1"/>
  <c r="AJ229" i="24"/>
  <c r="AT229" i="24" s="1"/>
  <c r="AJ244" i="24"/>
  <c r="AT244" i="24" s="1"/>
  <c r="AJ15" i="24"/>
  <c r="AJ256" i="24"/>
  <c r="AT256" i="24" s="1"/>
  <c r="AJ287" i="24"/>
  <c r="AT287" i="24" s="1"/>
  <c r="AJ270" i="24"/>
  <c r="AT270" i="24" s="1"/>
  <c r="AJ304" i="24"/>
  <c r="AT304" i="24" s="1"/>
  <c r="AJ146" i="24"/>
  <c r="AT146" i="24" s="1"/>
  <c r="AJ134" i="24"/>
  <c r="AT134" i="24" s="1"/>
  <c r="AJ138" i="24"/>
  <c r="AT138" i="24" s="1"/>
  <c r="AJ27" i="24"/>
  <c r="AJ136" i="24"/>
  <c r="AT136" i="24" s="1"/>
  <c r="AJ43" i="24"/>
  <c r="AJ10" i="24"/>
  <c r="AJ300" i="24"/>
  <c r="AT300" i="24" s="1"/>
  <c r="AJ29" i="24"/>
  <c r="AJ255" i="24"/>
  <c r="AT255" i="24" s="1"/>
  <c r="AJ278" i="24"/>
  <c r="AT278" i="24" s="1"/>
  <c r="AJ246" i="24"/>
  <c r="AT246" i="24" s="1"/>
  <c r="AJ250" i="24"/>
  <c r="AT250" i="24" s="1"/>
  <c r="AJ16" i="24"/>
  <c r="AJ227" i="24"/>
  <c r="AT227" i="24" s="1"/>
  <c r="AJ222" i="24"/>
  <c r="AT222" i="24" s="1"/>
  <c r="AJ124" i="24"/>
  <c r="AT124" i="24" s="1"/>
  <c r="AJ14" i="24"/>
  <c r="AJ118" i="24"/>
  <c r="AT118" i="24" s="1"/>
  <c r="AJ113" i="24"/>
  <c r="AT113" i="24" s="1"/>
  <c r="AJ220" i="24"/>
  <c r="AT220" i="24" s="1"/>
  <c r="AJ131" i="24"/>
  <c r="AT131" i="24" s="1"/>
  <c r="AJ25" i="24"/>
  <c r="AJ221" i="24"/>
  <c r="AT221" i="24" s="1"/>
  <c r="AD253" i="25"/>
  <c r="W253" i="25"/>
  <c r="Z253" i="25" s="1"/>
  <c r="AA253" i="25" s="1"/>
  <c r="AB253" i="25" s="1"/>
  <c r="AI253" i="25" s="1"/>
  <c r="V253" i="25"/>
  <c r="X253" i="25" s="1"/>
  <c r="AG223" i="24"/>
  <c r="AF223" i="24"/>
  <c r="AD102" i="25"/>
  <c r="W102" i="25"/>
  <c r="Z102" i="25" s="1"/>
  <c r="AA102" i="25" s="1"/>
  <c r="AB102" i="25" s="1"/>
  <c r="AI102" i="25" s="1"/>
  <c r="V102" i="25"/>
  <c r="X102" i="25" s="1"/>
  <c r="AF192" i="25"/>
  <c r="AE192" i="25"/>
  <c r="AG124" i="24"/>
  <c r="AF124" i="24"/>
  <c r="AD222" i="25"/>
  <c r="W222" i="25"/>
  <c r="Z222" i="25" s="1"/>
  <c r="AA222" i="25" s="1"/>
  <c r="AB222" i="25" s="1"/>
  <c r="AI222" i="25" s="1"/>
  <c r="AN45" i="24"/>
  <c r="AK45" i="24"/>
  <c r="AG89" i="24"/>
  <c r="AF89" i="24"/>
  <c r="AD111" i="25"/>
  <c r="W111" i="25"/>
  <c r="Z111" i="25" s="1"/>
  <c r="AA111" i="25" s="1"/>
  <c r="AB111" i="25" s="1"/>
  <c r="AI111" i="25" s="1"/>
  <c r="V111" i="25"/>
  <c r="X111" i="25" s="1"/>
  <c r="AD157" i="25"/>
  <c r="W157" i="25"/>
  <c r="Z157" i="25" s="1"/>
  <c r="AA157" i="25" s="1"/>
  <c r="AB157" i="25" s="1"/>
  <c r="AI157" i="25" s="1"/>
  <c r="AD181" i="25"/>
  <c r="W181" i="25"/>
  <c r="Z181" i="25" s="1"/>
  <c r="AA181" i="25" s="1"/>
  <c r="AB181" i="25" s="1"/>
  <c r="AI181" i="25" s="1"/>
  <c r="AG37" i="24"/>
  <c r="AF37" i="24"/>
  <c r="AD134" i="25"/>
  <c r="W134" i="25"/>
  <c r="Z134" i="25" s="1"/>
  <c r="AA134" i="25" s="1"/>
  <c r="AB134" i="25" s="1"/>
  <c r="AI134" i="25" s="1"/>
  <c r="V134" i="25"/>
  <c r="X134" i="25" s="1"/>
  <c r="AG312" i="24"/>
  <c r="AF312" i="24"/>
  <c r="AS267" i="25"/>
  <c r="AG242" i="24"/>
  <c r="AF242" i="24"/>
  <c r="AG12" i="24"/>
  <c r="AF12" i="24"/>
  <c r="AS82" i="25"/>
  <c r="AD299" i="25"/>
  <c r="W299" i="25"/>
  <c r="Z299" i="25" s="1"/>
  <c r="AA299" i="25" s="1"/>
  <c r="AB299" i="25" s="1"/>
  <c r="AI299" i="25" s="1"/>
  <c r="AF199" i="25"/>
  <c r="AE199" i="25"/>
  <c r="AJ228" i="24"/>
  <c r="AD76" i="25"/>
  <c r="W76" i="25"/>
  <c r="Z76" i="25" s="1"/>
  <c r="AA76" i="25" s="1"/>
  <c r="AB76" i="25" s="1"/>
  <c r="AI76" i="25" s="1"/>
  <c r="AF314" i="25"/>
  <c r="AE314" i="25"/>
  <c r="AJ135" i="24"/>
  <c r="AG78" i="24"/>
  <c r="AF78" i="24"/>
  <c r="AK142" i="24"/>
  <c r="AN142" i="24"/>
  <c r="AG295" i="24"/>
  <c r="AF295" i="24"/>
  <c r="AK119" i="24"/>
  <c r="AN119" i="24"/>
  <c r="AK257" i="24"/>
  <c r="AN257" i="24"/>
  <c r="BI257" i="24" s="1"/>
  <c r="AS161" i="25"/>
  <c r="AG253" i="24"/>
  <c r="AF253" i="24"/>
  <c r="AE28" i="25"/>
  <c r="AG152" i="24"/>
  <c r="AF152" i="24"/>
  <c r="AD125" i="25"/>
  <c r="W125" i="25"/>
  <c r="Z125" i="25" s="1"/>
  <c r="AA125" i="25" s="1"/>
  <c r="AB125" i="25" s="1"/>
  <c r="AI125" i="25" s="1"/>
  <c r="AJ26" i="24"/>
  <c r="AG100" i="24"/>
  <c r="AF100" i="24"/>
  <c r="AD295" i="25"/>
  <c r="W295" i="25"/>
  <c r="Z295" i="25" s="1"/>
  <c r="AA295" i="25" s="1"/>
  <c r="AB295" i="25" s="1"/>
  <c r="AI295" i="25" s="1"/>
  <c r="BA119" i="24"/>
  <c r="AJ35" i="24"/>
  <c r="AD298" i="25"/>
  <c r="W298" i="25"/>
  <c r="Z298" i="25" s="1"/>
  <c r="AA298" i="25" s="1"/>
  <c r="AB298" i="25" s="1"/>
  <c r="AI298" i="25" s="1"/>
  <c r="AJ153" i="24"/>
  <c r="AD277" i="25"/>
  <c r="W277" i="25"/>
  <c r="Z277" i="25" s="1"/>
  <c r="AA277" i="25" s="1"/>
  <c r="AB277" i="25" s="1"/>
  <c r="AI277" i="25" s="1"/>
  <c r="AD152" i="25"/>
  <c r="W152" i="25"/>
  <c r="Z152" i="25" s="1"/>
  <c r="AA152" i="25" s="1"/>
  <c r="AB152" i="25" s="1"/>
  <c r="AI152" i="25" s="1"/>
  <c r="V152" i="25"/>
  <c r="X152" i="25" s="1"/>
  <c r="AD250" i="25"/>
  <c r="W250" i="25"/>
  <c r="Z250" i="25" s="1"/>
  <c r="AA250" i="25" s="1"/>
  <c r="AB250" i="25" s="1"/>
  <c r="AI250" i="25" s="1"/>
  <c r="V250" i="25"/>
  <c r="X250" i="25" s="1"/>
  <c r="AD48" i="25"/>
  <c r="W48" i="25"/>
  <c r="Z48" i="25" s="1"/>
  <c r="AA48" i="25" s="1"/>
  <c r="AB48" i="25" s="1"/>
  <c r="AI48" i="25" s="1"/>
  <c r="V48" i="25"/>
  <c r="X48" i="25" s="1"/>
  <c r="AJ249" i="24"/>
  <c r="AF31" i="25"/>
  <c r="AE31" i="25"/>
  <c r="AG66" i="24"/>
  <c r="AF66" i="24"/>
  <c r="AS247" i="25"/>
  <c r="AF204" i="25"/>
  <c r="AE204" i="25"/>
  <c r="AJ111" i="24"/>
  <c r="AD187" i="25"/>
  <c r="W187" i="25"/>
  <c r="Z187" i="25" s="1"/>
  <c r="AA187" i="25" s="1"/>
  <c r="AB187" i="25" s="1"/>
  <c r="AI187" i="25" s="1"/>
  <c r="AJ51" i="24"/>
  <c r="AG306" i="24"/>
  <c r="AF306" i="24"/>
  <c r="AG80" i="24"/>
  <c r="AF80" i="24"/>
  <c r="AG244" i="24"/>
  <c r="AF244" i="24"/>
  <c r="AS62" i="25"/>
  <c r="AJ301" i="24"/>
  <c r="AD24" i="25"/>
  <c r="W24" i="25"/>
  <c r="Z24" i="25" s="1"/>
  <c r="AA24" i="25" s="1"/>
  <c r="AB24" i="25" s="1"/>
  <c r="AI24" i="25" s="1"/>
  <c r="V24" i="25"/>
  <c r="X24" i="25" s="1"/>
  <c r="AJ129" i="25"/>
  <c r="AM129" i="25"/>
  <c r="BG129" i="25" s="1"/>
  <c r="AG91" i="24"/>
  <c r="AF91" i="24"/>
  <c r="AG67" i="24"/>
  <c r="AF67" i="24"/>
  <c r="AD166" i="25"/>
  <c r="W166" i="25"/>
  <c r="Z166" i="25" s="1"/>
  <c r="AA166" i="25" s="1"/>
  <c r="AB166" i="25" s="1"/>
  <c r="AI166" i="25" s="1"/>
  <c r="V166" i="25"/>
  <c r="X166" i="25" s="1"/>
  <c r="AJ133" i="24"/>
  <c r="AN41" i="24"/>
  <c r="AK41" i="24"/>
  <c r="AF282" i="25"/>
  <c r="AE282" i="25"/>
  <c r="AD37" i="25"/>
  <c r="W37" i="25"/>
  <c r="Z37" i="25" s="1"/>
  <c r="AA37" i="25" s="1"/>
  <c r="AB37" i="25" s="1"/>
  <c r="AI37" i="25" s="1"/>
  <c r="V37" i="25"/>
  <c r="X37" i="25" s="1"/>
  <c r="AJ58" i="24"/>
  <c r="AJ269" i="24"/>
  <c r="AJ54" i="24"/>
  <c r="AD278" i="25"/>
  <c r="W278" i="25"/>
  <c r="Z278" i="25" s="1"/>
  <c r="AA278" i="25" s="1"/>
  <c r="AB278" i="25" s="1"/>
  <c r="AI278" i="25" s="1"/>
  <c r="AJ125" i="24"/>
  <c r="AD63" i="25"/>
  <c r="W63" i="25"/>
  <c r="Z63" i="25" s="1"/>
  <c r="AA63" i="25" s="1"/>
  <c r="AB63" i="25" s="1"/>
  <c r="AI63" i="25" s="1"/>
  <c r="AJ24" i="24"/>
  <c r="AF178" i="25"/>
  <c r="AE178" i="25"/>
  <c r="AG231" i="24"/>
  <c r="AF231" i="24"/>
  <c r="AG192" i="24"/>
  <c r="AF192" i="24"/>
  <c r="AS6" i="25"/>
  <c r="AS292" i="25"/>
  <c r="AJ148" i="24"/>
  <c r="AG130" i="24"/>
  <c r="AF130" i="24"/>
  <c r="AJ117" i="24"/>
  <c r="AG243" i="24"/>
  <c r="AF243" i="24"/>
  <c r="AG60" i="24"/>
  <c r="AF60" i="24"/>
  <c r="AD271" i="25"/>
  <c r="W271" i="25"/>
  <c r="Z271" i="25" s="1"/>
  <c r="AA271" i="25" s="1"/>
  <c r="AB271" i="25" s="1"/>
  <c r="AI271" i="25" s="1"/>
  <c r="V271" i="25"/>
  <c r="X271" i="25" s="1"/>
  <c r="AD44" i="25"/>
  <c r="W44" i="25"/>
  <c r="Z44" i="25" s="1"/>
  <c r="AA44" i="25" s="1"/>
  <c r="AB44" i="25" s="1"/>
  <c r="AI44" i="25" s="1"/>
  <c r="AG248" i="24"/>
  <c r="AF248" i="24"/>
  <c r="AD286" i="25"/>
  <c r="W286" i="25"/>
  <c r="Z286" i="25" s="1"/>
  <c r="AA286" i="25" s="1"/>
  <c r="AB286" i="25" s="1"/>
  <c r="AI286" i="25" s="1"/>
  <c r="AF170" i="25"/>
  <c r="AE170" i="25"/>
  <c r="AD70" i="25"/>
  <c r="W70" i="25"/>
  <c r="Z70" i="25" s="1"/>
  <c r="AA70" i="25" s="1"/>
  <c r="AB70" i="25" s="1"/>
  <c r="AI70" i="25" s="1"/>
  <c r="AM110" i="25"/>
  <c r="BG110" i="25" s="1"/>
  <c r="AJ110" i="25"/>
  <c r="AG139" i="24"/>
  <c r="AF139" i="24"/>
  <c r="AG23" i="24"/>
  <c r="AF23" i="24"/>
  <c r="AG147" i="24"/>
  <c r="AF147" i="24"/>
  <c r="AG103" i="24"/>
  <c r="AF103" i="24"/>
  <c r="AS94" i="25"/>
  <c r="AD235" i="25"/>
  <c r="W235" i="25"/>
  <c r="Z235" i="25" s="1"/>
  <c r="AA235" i="25" s="1"/>
  <c r="AB235" i="25" s="1"/>
  <c r="AI235" i="25" s="1"/>
  <c r="V235" i="25"/>
  <c r="X235" i="25" s="1"/>
  <c r="AG168" i="24"/>
  <c r="AF168" i="24"/>
  <c r="AD85" i="25"/>
  <c r="W85" i="25"/>
  <c r="Z85" i="25" s="1"/>
  <c r="AA85" i="25" s="1"/>
  <c r="AB85" i="25" s="1"/>
  <c r="AI85" i="25" s="1"/>
  <c r="V85" i="25"/>
  <c r="X85" i="25" s="1"/>
  <c r="AJ121" i="24"/>
  <c r="AG102" i="24"/>
  <c r="AF102" i="24"/>
  <c r="AG99" i="24"/>
  <c r="AF99" i="24"/>
  <c r="AJ281" i="24"/>
  <c r="AD230" i="25"/>
  <c r="W230" i="25"/>
  <c r="Z230" i="25" s="1"/>
  <c r="AA230" i="25" s="1"/>
  <c r="AB230" i="25" s="1"/>
  <c r="AI230" i="25" s="1"/>
  <c r="AD308" i="25"/>
  <c r="W308" i="25"/>
  <c r="Z308" i="25" s="1"/>
  <c r="AA308" i="25" s="1"/>
  <c r="AB308" i="25" s="1"/>
  <c r="AI308" i="25" s="1"/>
  <c r="V308" i="25"/>
  <c r="X308" i="25" s="1"/>
  <c r="AJ296" i="24"/>
  <c r="AG273" i="24"/>
  <c r="AF273" i="24"/>
  <c r="AG76" i="24"/>
  <c r="AF76" i="24"/>
  <c r="AK191" i="24"/>
  <c r="AN191" i="24"/>
  <c r="AJ218" i="24"/>
  <c r="AD191" i="25"/>
  <c r="W191" i="25"/>
  <c r="Z191" i="25" s="1"/>
  <c r="AA191" i="25" s="1"/>
  <c r="AB191" i="25" s="1"/>
  <c r="AI191" i="25" s="1"/>
  <c r="V191" i="25"/>
  <c r="X191" i="25" s="1"/>
  <c r="AJ28" i="24"/>
  <c r="AD141" i="25"/>
  <c r="W141" i="25"/>
  <c r="Z141" i="25" s="1"/>
  <c r="AA141" i="25" s="1"/>
  <c r="AB141" i="25" s="1"/>
  <c r="AI141" i="25" s="1"/>
  <c r="V141" i="25"/>
  <c r="X141" i="25" s="1"/>
  <c r="AS259" i="25"/>
  <c r="AJ298" i="24"/>
  <c r="AF232" i="25"/>
  <c r="AE232" i="25"/>
  <c r="AD66" i="25"/>
  <c r="W66" i="25"/>
  <c r="Z66" i="25" s="1"/>
  <c r="AA66" i="25" s="1"/>
  <c r="AB66" i="25" s="1"/>
  <c r="AI66" i="25" s="1"/>
  <c r="AG79" i="24"/>
  <c r="AF79" i="24"/>
  <c r="AG165" i="24"/>
  <c r="AF165" i="24"/>
  <c r="AJ280" i="24"/>
  <c r="AG73" i="24"/>
  <c r="AF73" i="24"/>
  <c r="AJ305" i="24"/>
  <c r="AG232" i="24"/>
  <c r="AF232" i="24"/>
  <c r="AD88" i="25"/>
  <c r="W88" i="25"/>
  <c r="Z88" i="25" s="1"/>
  <c r="AA88" i="25" s="1"/>
  <c r="AB88" i="25" s="1"/>
  <c r="AI88" i="25" s="1"/>
  <c r="V88" i="25"/>
  <c r="X88" i="25" s="1"/>
  <c r="AG16" i="24"/>
  <c r="AF16" i="24"/>
  <c r="AD81" i="25"/>
  <c r="W81" i="25"/>
  <c r="Z81" i="25" s="1"/>
  <c r="AA81" i="25" s="1"/>
  <c r="AB81" i="25" s="1"/>
  <c r="AI81" i="25" s="1"/>
  <c r="AN233" i="24"/>
  <c r="AK233" i="24"/>
  <c r="AS147" i="25"/>
  <c r="AF267" i="25"/>
  <c r="AE267" i="25"/>
  <c r="AF82" i="25"/>
  <c r="AE82" i="25"/>
  <c r="AD20" i="25"/>
  <c r="W20" i="25"/>
  <c r="Z20" i="25" s="1"/>
  <c r="AA20" i="25" s="1"/>
  <c r="AB20" i="25" s="1"/>
  <c r="AI20" i="25" s="1"/>
  <c r="V20" i="25"/>
  <c r="X20" i="25" s="1"/>
  <c r="AD115" i="25"/>
  <c r="W115" i="25"/>
  <c r="Z115" i="25" s="1"/>
  <c r="AA115" i="25" s="1"/>
  <c r="AB115" i="25" s="1"/>
  <c r="AI115" i="25" s="1"/>
  <c r="AG71" i="24"/>
  <c r="AF71" i="24"/>
  <c r="AG27" i="24"/>
  <c r="AF27" i="24"/>
  <c r="AG293" i="24"/>
  <c r="AF293" i="24"/>
  <c r="AS198" i="25"/>
  <c r="AG74" i="24"/>
  <c r="AF74" i="24"/>
  <c r="AG13" i="24"/>
  <c r="AF13" i="24"/>
  <c r="AS30" i="25"/>
  <c r="AG171" i="24"/>
  <c r="AF171" i="24"/>
  <c r="AF161" i="25"/>
  <c r="AE161" i="25"/>
  <c r="AD180" i="25"/>
  <c r="W180" i="25"/>
  <c r="Z180" i="25" s="1"/>
  <c r="AA180" i="25" s="1"/>
  <c r="AB180" i="25" s="1"/>
  <c r="AI180" i="25" s="1"/>
  <c r="V180" i="25"/>
  <c r="X180" i="25" s="1"/>
  <c r="AS305" i="25"/>
  <c r="V76" i="25"/>
  <c r="X76" i="25" s="1"/>
  <c r="AG75" i="24"/>
  <c r="AF75" i="24"/>
  <c r="AG87" i="24"/>
  <c r="AF87" i="24"/>
  <c r="AG93" i="24"/>
  <c r="AF93" i="24"/>
  <c r="AD226" i="25"/>
  <c r="W226" i="25"/>
  <c r="Z226" i="25" s="1"/>
  <c r="AA226" i="25" s="1"/>
  <c r="AB226" i="25" s="1"/>
  <c r="AI226" i="25" s="1"/>
  <c r="AG154" i="24"/>
  <c r="AF154" i="24"/>
  <c r="AG40" i="24"/>
  <c r="AF40" i="24"/>
  <c r="AG43" i="24"/>
  <c r="AF43" i="24"/>
  <c r="BA294" i="24"/>
  <c r="AD50" i="25"/>
  <c r="W50" i="25"/>
  <c r="Z50" i="25" s="1"/>
  <c r="AA50" i="25" s="1"/>
  <c r="AB50" i="25" s="1"/>
  <c r="AI50" i="25" s="1"/>
  <c r="V50" i="25"/>
  <c r="X50" i="25" s="1"/>
  <c r="AD118" i="25"/>
  <c r="W118" i="25"/>
  <c r="Z118" i="25" s="1"/>
  <c r="AA118" i="25" s="1"/>
  <c r="AB118" i="25" s="1"/>
  <c r="AI118" i="25" s="1"/>
  <c r="AG175" i="24"/>
  <c r="AF175" i="24"/>
  <c r="AG50" i="24"/>
  <c r="AF50" i="24"/>
  <c r="AD313" i="25"/>
  <c r="W313" i="25"/>
  <c r="Z313" i="25" s="1"/>
  <c r="AA313" i="25" s="1"/>
  <c r="AB313" i="25" s="1"/>
  <c r="AI313" i="25" s="1"/>
  <c r="V125" i="25"/>
  <c r="X125" i="25" s="1"/>
  <c r="AD263" i="25"/>
  <c r="W263" i="25"/>
  <c r="Z263" i="25" s="1"/>
  <c r="AA263" i="25" s="1"/>
  <c r="AB263" i="25" s="1"/>
  <c r="AI263" i="25" s="1"/>
  <c r="V263" i="25"/>
  <c r="X263" i="25" s="1"/>
  <c r="AK22" i="24"/>
  <c r="AN22" i="24"/>
  <c r="BI22" i="24" s="1"/>
  <c r="AF247" i="25"/>
  <c r="AE247" i="25"/>
  <c r="AF62" i="25"/>
  <c r="AE62" i="25"/>
  <c r="AD311" i="25"/>
  <c r="W311" i="25"/>
  <c r="Z311" i="25" s="1"/>
  <c r="AA311" i="25" s="1"/>
  <c r="AB311" i="25" s="1"/>
  <c r="AI311" i="25" s="1"/>
  <c r="V311" i="25"/>
  <c r="X311" i="25" s="1"/>
  <c r="AG220" i="24"/>
  <c r="AF220" i="24"/>
  <c r="BA190" i="24"/>
  <c r="AG134" i="24"/>
  <c r="AF134" i="24"/>
  <c r="AG185" i="24"/>
  <c r="AF185" i="24"/>
  <c r="AG234" i="24"/>
  <c r="AF234" i="24"/>
  <c r="AD268" i="25"/>
  <c r="W268" i="25"/>
  <c r="Z268" i="25" s="1"/>
  <c r="AA268" i="25" s="1"/>
  <c r="AB268" i="25" s="1"/>
  <c r="AI268" i="25" s="1"/>
  <c r="AD100" i="25"/>
  <c r="W100" i="25"/>
  <c r="Z100" i="25" s="1"/>
  <c r="AA100" i="25" s="1"/>
  <c r="AB100" i="25" s="1"/>
  <c r="AI100" i="25" s="1"/>
  <c r="AD165" i="25"/>
  <c r="W165" i="25"/>
  <c r="Z165" i="25" s="1"/>
  <c r="AA165" i="25" s="1"/>
  <c r="AB165" i="25" s="1"/>
  <c r="AI165" i="25" s="1"/>
  <c r="AG217" i="24"/>
  <c r="AF217" i="24"/>
  <c r="AD224" i="25"/>
  <c r="W224" i="25"/>
  <c r="Z224" i="25" s="1"/>
  <c r="AA224" i="25" s="1"/>
  <c r="AB224" i="25" s="1"/>
  <c r="AI224" i="25" s="1"/>
  <c r="AJ274" i="24"/>
  <c r="AF292" i="25"/>
  <c r="AE292" i="25"/>
  <c r="AJ258" i="24"/>
  <c r="AD256" i="25"/>
  <c r="W256" i="25"/>
  <c r="Z256" i="25" s="1"/>
  <c r="AA256" i="25" s="1"/>
  <c r="AB256" i="25" s="1"/>
  <c r="AI256" i="25" s="1"/>
  <c r="V256" i="25"/>
  <c r="X256" i="25" s="1"/>
  <c r="AG205" i="24"/>
  <c r="AF205" i="24"/>
  <c r="AD93" i="25"/>
  <c r="W93" i="25"/>
  <c r="Z93" i="25" s="1"/>
  <c r="AA93" i="25" s="1"/>
  <c r="AB93" i="25" s="1"/>
  <c r="AI93" i="25" s="1"/>
  <c r="V268" i="25"/>
  <c r="X268" i="25" s="1"/>
  <c r="AG184" i="24"/>
  <c r="AF184" i="24"/>
  <c r="AG47" i="24"/>
  <c r="AF47" i="24"/>
  <c r="AD281" i="25"/>
  <c r="W281" i="25"/>
  <c r="Z281" i="25" s="1"/>
  <c r="AA281" i="25" s="1"/>
  <c r="AB281" i="25" s="1"/>
  <c r="AI281" i="25" s="1"/>
  <c r="AG36" i="24"/>
  <c r="AF36" i="24"/>
  <c r="AG227" i="24"/>
  <c r="AF227" i="24"/>
  <c r="AG150" i="24"/>
  <c r="AF150" i="24"/>
  <c r="AG206" i="24"/>
  <c r="AF206" i="24"/>
  <c r="AF94" i="25"/>
  <c r="AE94" i="25"/>
  <c r="AD9" i="25"/>
  <c r="W9" i="25"/>
  <c r="Z9" i="25" s="1"/>
  <c r="AA9" i="25" s="1"/>
  <c r="AB9" i="25" s="1"/>
  <c r="AI9" i="25" s="1"/>
  <c r="V9" i="25"/>
  <c r="X9" i="25" s="1"/>
  <c r="AN264" i="24"/>
  <c r="AK264" i="24"/>
  <c r="AD197" i="25"/>
  <c r="W197" i="25"/>
  <c r="Z197" i="25" s="1"/>
  <c r="AA197" i="25" s="1"/>
  <c r="AB197" i="25" s="1"/>
  <c r="AI197" i="25" s="1"/>
  <c r="V70" i="25"/>
  <c r="X70" i="25" s="1"/>
  <c r="AG221" i="24"/>
  <c r="AF221" i="24"/>
  <c r="AG49" i="24"/>
  <c r="AF49" i="24"/>
  <c r="AD183" i="25"/>
  <c r="W183" i="25"/>
  <c r="Z183" i="25" s="1"/>
  <c r="AA183" i="25" s="1"/>
  <c r="AB183" i="25" s="1"/>
  <c r="AI183" i="25" s="1"/>
  <c r="AF259" i="25"/>
  <c r="AE259" i="25"/>
  <c r="AG141" i="24"/>
  <c r="AF141" i="24"/>
  <c r="AG251" i="24"/>
  <c r="AF251" i="24"/>
  <c r="AD239" i="25"/>
  <c r="W239" i="25"/>
  <c r="Z239" i="25" s="1"/>
  <c r="AA239" i="25" s="1"/>
  <c r="AB239" i="25" s="1"/>
  <c r="AI239" i="25" s="1"/>
  <c r="AD260" i="25"/>
  <c r="W260" i="25"/>
  <c r="Z260" i="25" s="1"/>
  <c r="AA260" i="25" s="1"/>
  <c r="AB260" i="25" s="1"/>
  <c r="AI260" i="25" s="1"/>
  <c r="AG38" i="24"/>
  <c r="AF38" i="24"/>
  <c r="AD49" i="25"/>
  <c r="W49" i="25"/>
  <c r="Z49" i="25" s="1"/>
  <c r="AA49" i="25" s="1"/>
  <c r="AB49" i="25" s="1"/>
  <c r="AI49" i="25" s="1"/>
  <c r="V49" i="25"/>
  <c r="X49" i="25" s="1"/>
  <c r="AK162" i="24"/>
  <c r="AN162" i="24"/>
  <c r="AG278" i="24"/>
  <c r="AF278" i="24"/>
  <c r="AS114" i="25"/>
  <c r="AS262" i="25"/>
  <c r="AG226" i="24"/>
  <c r="AF226" i="24"/>
  <c r="AT264" i="24"/>
  <c r="FI285" i="25"/>
  <c r="FI232" i="25"/>
  <c r="FI256" i="25"/>
  <c r="FI286" i="25"/>
  <c r="FI227" i="25"/>
  <c r="FI216" i="25"/>
  <c r="FI295" i="25"/>
  <c r="FI218" i="25"/>
  <c r="FI294" i="25"/>
  <c r="FI258" i="25"/>
  <c r="FI301" i="25"/>
  <c r="FI220" i="25"/>
  <c r="FI308" i="25"/>
  <c r="FI272" i="25"/>
  <c r="FI278" i="25"/>
  <c r="FI221" i="25"/>
  <c r="FI290" i="25"/>
  <c r="FI228" i="25"/>
  <c r="FI257" i="25"/>
  <c r="FI245" i="25"/>
  <c r="FI303" i="25"/>
  <c r="FI283" i="25"/>
  <c r="FI316" i="25"/>
  <c r="FI289" i="25"/>
  <c r="FI274" i="25"/>
  <c r="FI266" i="25"/>
  <c r="FI267" i="25"/>
  <c r="FI293" i="25"/>
  <c r="FI299" i="25"/>
  <c r="FI311" i="25"/>
  <c r="FI234" i="25"/>
  <c r="FI281" i="25"/>
  <c r="FI304" i="25"/>
  <c r="FI279" i="25"/>
  <c r="FI246" i="25"/>
  <c r="FI244" i="25"/>
  <c r="FI312" i="25"/>
  <c r="FI260" i="25"/>
  <c r="FI248" i="25"/>
  <c r="FI261" i="25"/>
  <c r="FI314" i="25"/>
  <c r="FI309" i="25"/>
  <c r="FI302" i="25"/>
  <c r="FI264" i="25"/>
  <c r="FI230" i="25"/>
  <c r="FI238" i="25"/>
  <c r="FI268" i="25"/>
  <c r="FI287" i="25"/>
  <c r="FI313" i="25"/>
  <c r="FI222" i="25"/>
  <c r="FI307" i="25"/>
  <c r="FI305" i="25"/>
  <c r="FI291" i="25"/>
  <c r="FI225" i="25"/>
  <c r="FI237" i="25"/>
  <c r="FI249" i="25"/>
  <c r="FI300" i="25"/>
  <c r="FI296" i="25"/>
  <c r="FI288" i="25"/>
  <c r="FI240" i="25"/>
  <c r="FI276" i="25"/>
  <c r="FI235" i="25"/>
  <c r="FI251" i="25"/>
  <c r="FI275" i="25"/>
  <c r="FI253" i="25"/>
  <c r="FI223" i="25"/>
  <c r="FI226" i="25"/>
  <c r="FI297" i="25"/>
  <c r="FI306" i="25"/>
  <c r="CE216" i="25"/>
  <c r="FI310" i="25"/>
  <c r="FI265" i="25"/>
  <c r="FI241" i="25"/>
  <c r="FI239" i="25"/>
  <c r="FI242" i="25"/>
  <c r="FI315" i="25"/>
  <c r="FI262" i="25"/>
  <c r="FI284" i="25"/>
  <c r="FI243" i="25"/>
  <c r="FI298" i="25"/>
  <c r="FI252" i="25"/>
  <c r="FI270" i="25"/>
  <c r="FI277" i="25"/>
  <c r="FI273" i="25"/>
  <c r="FI224" i="25"/>
  <c r="FI236" i="25"/>
  <c r="FI263" i="25"/>
  <c r="FI231" i="25"/>
  <c r="FI217" i="25"/>
  <c r="FI254" i="25"/>
  <c r="FI271" i="25"/>
  <c r="FI250" i="25"/>
  <c r="FI282" i="25"/>
  <c r="FI247" i="25"/>
  <c r="FI219" i="25"/>
  <c r="FI229" i="25"/>
  <c r="FI255" i="25"/>
  <c r="FI280" i="25"/>
  <c r="FI269" i="25"/>
  <c r="FI259" i="25"/>
  <c r="FI292" i="25"/>
  <c r="FI233" i="25"/>
  <c r="CE252" i="25"/>
  <c r="CE231" i="25"/>
  <c r="CE243" i="25"/>
  <c r="CE260" i="25"/>
  <c r="CE314" i="25"/>
  <c r="CE267" i="25"/>
  <c r="CE299" i="25"/>
  <c r="CE258" i="25"/>
  <c r="CE265" i="25"/>
  <c r="CE241" i="25"/>
  <c r="CE222" i="25"/>
  <c r="CE217" i="25"/>
  <c r="CE278" i="25"/>
  <c r="CE248" i="25"/>
  <c r="CE261" i="25"/>
  <c r="CE293" i="25"/>
  <c r="CE304" i="25"/>
  <c r="CE271" i="25"/>
  <c r="CE257" i="25"/>
  <c r="CE253" i="25"/>
  <c r="CE301" i="25"/>
  <c r="CE244" i="25"/>
  <c r="CE262" i="25"/>
  <c r="CE255" i="25"/>
  <c r="CE256" i="25"/>
  <c r="CE225" i="25"/>
  <c r="CE254" i="25"/>
  <c r="CE276" i="25"/>
  <c r="CE290" i="25"/>
  <c r="CE236" i="25"/>
  <c r="CE298" i="25"/>
  <c r="CE275" i="25"/>
  <c r="CE282" i="25"/>
  <c r="CE224" i="25"/>
  <c r="CE249" i="25"/>
  <c r="CE240" i="25"/>
  <c r="CE277" i="25"/>
  <c r="CE238" i="25"/>
  <c r="CE266" i="25"/>
  <c r="CE226" i="25"/>
  <c r="CE250" i="25"/>
  <c r="CE296" i="25"/>
  <c r="CE234" i="25"/>
  <c r="CE285" i="25"/>
  <c r="CE264" i="25"/>
  <c r="CE289" i="25"/>
  <c r="CE297" i="25"/>
  <c r="CE273" i="25"/>
  <c r="CE259" i="25"/>
  <c r="CE263" i="25"/>
  <c r="CE291" i="25"/>
  <c r="CE227" i="25"/>
  <c r="CE230" i="25"/>
  <c r="CE229" i="25"/>
  <c r="CE247" i="25"/>
  <c r="CE251" i="25"/>
  <c r="CE232" i="25"/>
  <c r="CE237" i="25"/>
  <c r="CE288" i="25"/>
  <c r="CE312" i="25"/>
  <c r="CE233" i="25"/>
  <c r="CE308" i="25"/>
  <c r="CE220" i="25"/>
  <c r="CE281" i="25"/>
  <c r="CE246" i="25"/>
  <c r="CE239" i="25"/>
  <c r="CE315" i="25"/>
  <c r="AD39" i="25"/>
  <c r="W39" i="25"/>
  <c r="Z39" i="25" s="1"/>
  <c r="AA39" i="25" s="1"/>
  <c r="AB39" i="25" s="1"/>
  <c r="AI39" i="25" s="1"/>
  <c r="AF147" i="25"/>
  <c r="AE147" i="25"/>
  <c r="AS13" i="25"/>
  <c r="AG228" i="24"/>
  <c r="AF228" i="24"/>
  <c r="AD42" i="25"/>
  <c r="W42" i="25"/>
  <c r="Z42" i="25" s="1"/>
  <c r="AA42" i="25" s="1"/>
  <c r="AB42" i="25" s="1"/>
  <c r="AI42" i="25" s="1"/>
  <c r="V42" i="25"/>
  <c r="X42" i="25" s="1"/>
  <c r="AD242" i="25"/>
  <c r="W242" i="25"/>
  <c r="Z242" i="25" s="1"/>
  <c r="AA242" i="25" s="1"/>
  <c r="AB242" i="25" s="1"/>
  <c r="AI242" i="25" s="1"/>
  <c r="AG97" i="24"/>
  <c r="AF97" i="24"/>
  <c r="AG135" i="24"/>
  <c r="AF135" i="24"/>
  <c r="AD289" i="25"/>
  <c r="W289" i="25"/>
  <c r="Z289" i="25" s="1"/>
  <c r="AA289" i="25" s="1"/>
  <c r="AB289" i="25" s="1"/>
  <c r="AI289" i="25" s="1"/>
  <c r="AF198" i="25"/>
  <c r="AE198" i="25"/>
  <c r="AS87" i="25"/>
  <c r="AS293" i="25"/>
  <c r="AG285" i="24"/>
  <c r="AF285" i="24"/>
  <c r="V39" i="25"/>
  <c r="X39" i="25" s="1"/>
  <c r="AD274" i="25"/>
  <c r="W274" i="25"/>
  <c r="Z274" i="25" s="1"/>
  <c r="AA274" i="25" s="1"/>
  <c r="AB274" i="25" s="1"/>
  <c r="AI274" i="25" s="1"/>
  <c r="AF30" i="25"/>
  <c r="AE30" i="25"/>
  <c r="AD193" i="25"/>
  <c r="W193" i="25"/>
  <c r="Z193" i="25" s="1"/>
  <c r="AA193" i="25" s="1"/>
  <c r="AB193" i="25" s="1"/>
  <c r="AI193" i="25" s="1"/>
  <c r="V193" i="25"/>
  <c r="X193" i="25" s="1"/>
  <c r="AS190" i="25"/>
  <c r="AS71" i="25"/>
  <c r="AD228" i="25"/>
  <c r="W228" i="25"/>
  <c r="Z228" i="25" s="1"/>
  <c r="AA228" i="25" s="1"/>
  <c r="AB228" i="25" s="1"/>
  <c r="AI228" i="25" s="1"/>
  <c r="AF305" i="25"/>
  <c r="AE305" i="25"/>
  <c r="AD75" i="25"/>
  <c r="W75" i="25"/>
  <c r="Z75" i="25" s="1"/>
  <c r="AA75" i="25" s="1"/>
  <c r="AB75" i="25" s="1"/>
  <c r="AI75" i="25" s="1"/>
  <c r="AE29" i="25"/>
  <c r="AG26" i="24"/>
  <c r="AF26" i="24"/>
  <c r="AG35" i="24"/>
  <c r="AF35" i="24"/>
  <c r="AG153" i="24"/>
  <c r="AF153" i="24"/>
  <c r="AS201" i="25"/>
  <c r="AG249" i="24"/>
  <c r="AF249" i="24"/>
  <c r="AD72" i="25"/>
  <c r="W72" i="25"/>
  <c r="Z72" i="25" s="1"/>
  <c r="AA72" i="25" s="1"/>
  <c r="AB72" i="25" s="1"/>
  <c r="AI72" i="25" s="1"/>
  <c r="AG111" i="24"/>
  <c r="AF111" i="24"/>
  <c r="AG51" i="24"/>
  <c r="AF51" i="24"/>
  <c r="AD137" i="25"/>
  <c r="W137" i="25"/>
  <c r="Z137" i="25" s="1"/>
  <c r="AA137" i="25" s="1"/>
  <c r="AB137" i="25" s="1"/>
  <c r="AI137" i="25" s="1"/>
  <c r="V137" i="25"/>
  <c r="X137" i="25" s="1"/>
  <c r="V226" i="25"/>
  <c r="X226" i="25" s="1"/>
  <c r="AK292" i="24"/>
  <c r="AN292" i="24"/>
  <c r="AG301" i="24"/>
  <c r="AF301" i="24"/>
  <c r="AD195" i="25"/>
  <c r="W195" i="25"/>
  <c r="Z195" i="25" s="1"/>
  <c r="AA195" i="25" s="1"/>
  <c r="AB195" i="25" s="1"/>
  <c r="AI195" i="25" s="1"/>
  <c r="V195" i="25"/>
  <c r="X195" i="25" s="1"/>
  <c r="AS113" i="25"/>
  <c r="V181" i="25"/>
  <c r="X181" i="25" s="1"/>
  <c r="AG133" i="24"/>
  <c r="AF133" i="24"/>
  <c r="AD301" i="25"/>
  <c r="W301" i="25"/>
  <c r="Z301" i="25" s="1"/>
  <c r="AA301" i="25" s="1"/>
  <c r="AB301" i="25" s="1"/>
  <c r="AI301" i="25" s="1"/>
  <c r="V313" i="25"/>
  <c r="X313" i="25" s="1"/>
  <c r="AG83" i="24"/>
  <c r="AF83" i="24"/>
  <c r="AD140" i="25"/>
  <c r="W140" i="25"/>
  <c r="Z140" i="25" s="1"/>
  <c r="AA140" i="25" s="1"/>
  <c r="AB140" i="25" s="1"/>
  <c r="AI140" i="25" s="1"/>
  <c r="AD128" i="25"/>
  <c r="W128" i="25"/>
  <c r="Z128" i="25" s="1"/>
  <c r="AA128" i="25" s="1"/>
  <c r="AB128" i="25" s="1"/>
  <c r="AI128" i="25" s="1"/>
  <c r="V128" i="25"/>
  <c r="X128" i="25" s="1"/>
  <c r="AG58" i="24"/>
  <c r="AF58" i="24"/>
  <c r="AG269" i="24"/>
  <c r="AF269" i="24"/>
  <c r="AG54" i="24"/>
  <c r="AF54" i="24"/>
  <c r="AG125" i="24"/>
  <c r="AF125" i="24"/>
  <c r="AG178" i="24"/>
  <c r="AF178" i="24"/>
  <c r="AD130" i="25"/>
  <c r="W130" i="25"/>
  <c r="Z130" i="25" s="1"/>
  <c r="AA130" i="25" s="1"/>
  <c r="AB130" i="25" s="1"/>
  <c r="AI130" i="25" s="1"/>
  <c r="V130" i="25"/>
  <c r="X130" i="25" s="1"/>
  <c r="AD136" i="25"/>
  <c r="W136" i="25"/>
  <c r="Z136" i="25" s="1"/>
  <c r="AA136" i="25" s="1"/>
  <c r="AB136" i="25" s="1"/>
  <c r="AI136" i="25" s="1"/>
  <c r="V136" i="25"/>
  <c r="X136" i="25" s="1"/>
  <c r="AG24" i="24"/>
  <c r="AF24" i="24"/>
  <c r="V289" i="25"/>
  <c r="X289" i="25" s="1"/>
  <c r="AF6" i="25"/>
  <c r="AE6" i="25"/>
  <c r="V301" i="25"/>
  <c r="X301" i="25" s="1"/>
  <c r="AG148" i="24"/>
  <c r="AF148" i="24"/>
  <c r="AG117" i="24"/>
  <c r="AF117" i="24"/>
  <c r="AG183" i="24"/>
  <c r="AF183" i="24"/>
  <c r="AG246" i="24"/>
  <c r="AF246" i="24"/>
  <c r="AS243" i="25"/>
  <c r="AD7" i="25"/>
  <c r="W7" i="25"/>
  <c r="Z7" i="25" s="1"/>
  <c r="AA7" i="25" s="1"/>
  <c r="AB7" i="25" s="1"/>
  <c r="AI7" i="25" s="1"/>
  <c r="V7" i="25"/>
  <c r="X7" i="25" s="1"/>
  <c r="AD79" i="25"/>
  <c r="W79" i="25"/>
  <c r="Z79" i="25" s="1"/>
  <c r="AA79" i="25" s="1"/>
  <c r="AB79" i="25" s="1"/>
  <c r="AI79" i="25" s="1"/>
  <c r="AG189" i="24"/>
  <c r="AF189" i="24"/>
  <c r="AD156" i="25"/>
  <c r="W156" i="25"/>
  <c r="Z156" i="25" s="1"/>
  <c r="AA156" i="25" s="1"/>
  <c r="AB156" i="25" s="1"/>
  <c r="AI156" i="25" s="1"/>
  <c r="AG200" i="24"/>
  <c r="AF200" i="24"/>
  <c r="AD316" i="25"/>
  <c r="W316" i="25"/>
  <c r="Z316" i="25" s="1"/>
  <c r="AA316" i="25" s="1"/>
  <c r="AB316" i="25" s="1"/>
  <c r="AI316" i="25" s="1"/>
  <c r="V316" i="25"/>
  <c r="X316" i="25" s="1"/>
  <c r="AD164" i="25"/>
  <c r="W164" i="25"/>
  <c r="Z164" i="25" s="1"/>
  <c r="AA164" i="25" s="1"/>
  <c r="AB164" i="25" s="1"/>
  <c r="AI164" i="25" s="1"/>
  <c r="V164" i="25"/>
  <c r="X164" i="25" s="1"/>
  <c r="AD315" i="25"/>
  <c r="W315" i="25"/>
  <c r="Z315" i="25" s="1"/>
  <c r="AA315" i="25" s="1"/>
  <c r="AB315" i="25" s="1"/>
  <c r="AI315" i="25" s="1"/>
  <c r="AD86" i="25"/>
  <c r="W86" i="25"/>
  <c r="Z86" i="25" s="1"/>
  <c r="AA86" i="25" s="1"/>
  <c r="AB86" i="25" s="1"/>
  <c r="AI86" i="25" s="1"/>
  <c r="AG121" i="24"/>
  <c r="AF121" i="24"/>
  <c r="AE96" i="25"/>
  <c r="AG281" i="24"/>
  <c r="AF281" i="24"/>
  <c r="AG296" i="24"/>
  <c r="AF296" i="24"/>
  <c r="AS189" i="25"/>
  <c r="AD119" i="25"/>
  <c r="W119" i="25"/>
  <c r="Z119" i="25" s="1"/>
  <c r="AA119" i="25" s="1"/>
  <c r="AB119" i="25" s="1"/>
  <c r="AI119" i="25" s="1"/>
  <c r="V119" i="25"/>
  <c r="X119" i="25" s="1"/>
  <c r="AG218" i="24"/>
  <c r="AF218" i="24"/>
  <c r="AG28" i="24"/>
  <c r="AF28" i="24"/>
  <c r="AS148" i="25"/>
  <c r="AG298" i="24"/>
  <c r="AF298" i="24"/>
  <c r="AD220" i="25"/>
  <c r="W220" i="25"/>
  <c r="Z220" i="25" s="1"/>
  <c r="AA220" i="25" s="1"/>
  <c r="AB220" i="25" s="1"/>
  <c r="AI220" i="25" s="1"/>
  <c r="AG280" i="24"/>
  <c r="AF280" i="24"/>
  <c r="AD25" i="25"/>
  <c r="W25" i="25"/>
  <c r="Z25" i="25" s="1"/>
  <c r="AA25" i="25" s="1"/>
  <c r="AB25" i="25" s="1"/>
  <c r="AI25" i="25" s="1"/>
  <c r="AN21" i="24"/>
  <c r="BI21" i="24" s="1"/>
  <c r="AK21" i="24"/>
  <c r="AG305" i="24"/>
  <c r="AF305" i="24"/>
  <c r="AF114" i="25"/>
  <c r="AE114" i="25"/>
  <c r="AG96" i="24"/>
  <c r="AF96" i="24"/>
  <c r="AG53" i="24"/>
  <c r="AF53" i="24"/>
  <c r="AS89" i="25"/>
  <c r="AG177" i="24"/>
  <c r="AF177" i="24"/>
  <c r="AF89" i="25"/>
  <c r="AE89" i="25"/>
  <c r="AJ112" i="24"/>
  <c r="AD145" i="25"/>
  <c r="W145" i="25"/>
  <c r="Z145" i="25" s="1"/>
  <c r="AA145" i="25" s="1"/>
  <c r="AB145" i="25" s="1"/>
  <c r="AI145" i="25" s="1"/>
  <c r="V145" i="25"/>
  <c r="X145" i="25" s="1"/>
  <c r="AG201" i="24"/>
  <c r="AF201" i="24"/>
  <c r="AG95" i="24"/>
  <c r="AF95" i="24"/>
  <c r="AG310" i="24"/>
  <c r="AF310" i="24"/>
  <c r="BA162" i="24"/>
  <c r="AD142" i="25"/>
  <c r="W142" i="25"/>
  <c r="Z142" i="25" s="1"/>
  <c r="AA142" i="25" s="1"/>
  <c r="AB142" i="25" s="1"/>
  <c r="AI142" i="25" s="1"/>
  <c r="AK44" i="24"/>
  <c r="AN44" i="24"/>
  <c r="AD45" i="25"/>
  <c r="W45" i="25"/>
  <c r="Z45" i="25" s="1"/>
  <c r="AA45" i="25" s="1"/>
  <c r="AB45" i="25" s="1"/>
  <c r="AI45" i="25" s="1"/>
  <c r="V45" i="25"/>
  <c r="X45" i="25" s="1"/>
  <c r="AD285" i="25"/>
  <c r="W285" i="25"/>
  <c r="Z285" i="25" s="1"/>
  <c r="AA285" i="25" s="1"/>
  <c r="AB285" i="25" s="1"/>
  <c r="AI285" i="25" s="1"/>
  <c r="V285" i="25"/>
  <c r="X285" i="25" s="1"/>
  <c r="AG303" i="24"/>
  <c r="AF303" i="24"/>
  <c r="AF87" i="25"/>
  <c r="AE87" i="25"/>
  <c r="AK236" i="24"/>
  <c r="AN236" i="24"/>
  <c r="BA160" i="24"/>
  <c r="AF293" i="25"/>
  <c r="AE293" i="25"/>
  <c r="AG302" i="24"/>
  <c r="AF302" i="24"/>
  <c r="AF190" i="25"/>
  <c r="AE190" i="25"/>
  <c r="AF71" i="25"/>
  <c r="AE71" i="25"/>
  <c r="V299" i="25"/>
  <c r="X299" i="25" s="1"/>
  <c r="AD300" i="25"/>
  <c r="W300" i="25"/>
  <c r="Z300" i="25" s="1"/>
  <c r="AA300" i="25" s="1"/>
  <c r="AB300" i="25" s="1"/>
  <c r="AI300" i="25" s="1"/>
  <c r="V300" i="25"/>
  <c r="X300" i="25" s="1"/>
  <c r="AG203" i="24"/>
  <c r="AF203" i="24"/>
  <c r="AD272" i="25"/>
  <c r="W272" i="25"/>
  <c r="Z272" i="25" s="1"/>
  <c r="AA272" i="25" s="1"/>
  <c r="AB272" i="25" s="1"/>
  <c r="AI272" i="25" s="1"/>
  <c r="AS158" i="25"/>
  <c r="AG10" i="24"/>
  <c r="AF10" i="24"/>
  <c r="AS21" i="25"/>
  <c r="AG149" i="24"/>
  <c r="AF149" i="24"/>
  <c r="AS255" i="25"/>
  <c r="AF201" i="25"/>
  <c r="AE201" i="25"/>
  <c r="AG163" i="24"/>
  <c r="AF163" i="24"/>
  <c r="AG182" i="24"/>
  <c r="AF182" i="24"/>
  <c r="AG230" i="24"/>
  <c r="AF230" i="24"/>
  <c r="AG241" i="24"/>
  <c r="AF241" i="24"/>
  <c r="AD65" i="25"/>
  <c r="W65" i="25"/>
  <c r="Z65" i="25" s="1"/>
  <c r="AA65" i="25" s="1"/>
  <c r="AB65" i="25" s="1"/>
  <c r="AI65" i="25" s="1"/>
  <c r="V65" i="25"/>
  <c r="X65" i="25" s="1"/>
  <c r="AS248" i="25"/>
  <c r="AE265" i="25"/>
  <c r="AD23" i="25"/>
  <c r="W23" i="25"/>
  <c r="Z23" i="25" s="1"/>
  <c r="AA23" i="25" s="1"/>
  <c r="AB23" i="25" s="1"/>
  <c r="AI23" i="25" s="1"/>
  <c r="AD47" i="25"/>
  <c r="W47" i="25"/>
  <c r="Z47" i="25" s="1"/>
  <c r="AA47" i="25" s="1"/>
  <c r="AB47" i="25" s="1"/>
  <c r="AI47" i="25" s="1"/>
  <c r="AG46" i="24"/>
  <c r="AF46" i="24"/>
  <c r="AG39" i="24"/>
  <c r="AF39" i="24"/>
  <c r="AT236" i="24"/>
  <c r="AG262" i="24"/>
  <c r="AF262" i="24"/>
  <c r="AS296" i="25"/>
  <c r="AG127" i="24"/>
  <c r="AF127" i="24"/>
  <c r="AS173" i="25"/>
  <c r="AD175" i="25"/>
  <c r="W175" i="25"/>
  <c r="Z175" i="25" s="1"/>
  <c r="AA175" i="25" s="1"/>
  <c r="AB175" i="25" s="1"/>
  <c r="AI175" i="25" s="1"/>
  <c r="AG197" i="24"/>
  <c r="AF197" i="24"/>
  <c r="AD219" i="25"/>
  <c r="W219" i="25"/>
  <c r="Z219" i="25" s="1"/>
  <c r="AA219" i="25" s="1"/>
  <c r="AB219" i="25" s="1"/>
  <c r="AI219" i="25" s="1"/>
  <c r="AG98" i="24"/>
  <c r="AF98" i="24"/>
  <c r="AF113" i="25"/>
  <c r="AE113" i="25"/>
  <c r="AD241" i="25"/>
  <c r="W241" i="25"/>
  <c r="Z241" i="25" s="1"/>
  <c r="AA241" i="25" s="1"/>
  <c r="AB241" i="25" s="1"/>
  <c r="AI241" i="25" s="1"/>
  <c r="V241" i="25"/>
  <c r="X241" i="25" s="1"/>
  <c r="AD309" i="25"/>
  <c r="W309" i="25"/>
  <c r="Z309" i="25" s="1"/>
  <c r="AA309" i="25" s="1"/>
  <c r="AB309" i="25" s="1"/>
  <c r="AI309" i="25" s="1"/>
  <c r="V309" i="25"/>
  <c r="X309" i="25" s="1"/>
  <c r="AG196" i="24"/>
  <c r="AF196" i="24"/>
  <c r="AS174" i="25"/>
  <c r="AG69" i="24"/>
  <c r="AF69" i="24"/>
  <c r="AG313" i="24"/>
  <c r="AF313" i="24"/>
  <c r="AG274" i="24"/>
  <c r="AF274" i="24"/>
  <c r="AD126" i="25"/>
  <c r="W126" i="25"/>
  <c r="Z126" i="25" s="1"/>
  <c r="AA126" i="25" s="1"/>
  <c r="AB126" i="25" s="1"/>
  <c r="AI126" i="25" s="1"/>
  <c r="V126" i="25"/>
  <c r="X126" i="25" s="1"/>
  <c r="AS177" i="25"/>
  <c r="AD19" i="25"/>
  <c r="W19" i="25"/>
  <c r="Z19" i="25" s="1"/>
  <c r="AA19" i="25" s="1"/>
  <c r="AB19" i="25" s="1"/>
  <c r="AI19" i="25" s="1"/>
  <c r="V19" i="25"/>
  <c r="X19" i="25" s="1"/>
  <c r="AD57" i="25"/>
  <c r="W57" i="25"/>
  <c r="Z57" i="25" s="1"/>
  <c r="AA57" i="25" s="1"/>
  <c r="AB57" i="25" s="1"/>
  <c r="AI57" i="25" s="1"/>
  <c r="V57" i="25"/>
  <c r="X57" i="25" s="1"/>
  <c r="AG258" i="24"/>
  <c r="AF258" i="24"/>
  <c r="AD52" i="25"/>
  <c r="W52" i="25"/>
  <c r="Z52" i="25" s="1"/>
  <c r="AA52" i="25" s="1"/>
  <c r="AB52" i="25" s="1"/>
  <c r="AI52" i="25" s="1"/>
  <c r="V52" i="25"/>
  <c r="X52" i="25" s="1"/>
  <c r="AF243" i="25"/>
  <c r="AE243" i="25"/>
  <c r="AK101" i="24"/>
  <c r="AN101" i="24"/>
  <c r="AD284" i="25"/>
  <c r="W284" i="25"/>
  <c r="Z284" i="25" s="1"/>
  <c r="AA284" i="25" s="1"/>
  <c r="AB284" i="25" s="1"/>
  <c r="AI284" i="25" s="1"/>
  <c r="V284" i="25"/>
  <c r="X284" i="25" s="1"/>
  <c r="AG29" i="24"/>
  <c r="AF29" i="24"/>
  <c r="AD8" i="25"/>
  <c r="W8" i="25"/>
  <c r="Z8" i="25" s="1"/>
  <c r="AA8" i="25" s="1"/>
  <c r="AB8" i="25" s="1"/>
  <c r="AI8" i="25" s="1"/>
  <c r="V8" i="25"/>
  <c r="X8" i="25" s="1"/>
  <c r="AD127" i="25"/>
  <c r="W127" i="25"/>
  <c r="Z127" i="25" s="1"/>
  <c r="AA127" i="25" s="1"/>
  <c r="AB127" i="25" s="1"/>
  <c r="AI127" i="25" s="1"/>
  <c r="V127" i="25"/>
  <c r="X127" i="25" s="1"/>
  <c r="AG52" i="24"/>
  <c r="AF52" i="24"/>
  <c r="AS275" i="25"/>
  <c r="AG311" i="24"/>
  <c r="AF311" i="24"/>
  <c r="AG104" i="24"/>
  <c r="AF104" i="24"/>
  <c r="AD105" i="25"/>
  <c r="W105" i="25"/>
  <c r="Z105" i="25" s="1"/>
  <c r="AA105" i="25" s="1"/>
  <c r="AB105" i="25" s="1"/>
  <c r="AI105" i="25" s="1"/>
  <c r="AG14" i="24"/>
  <c r="AF14" i="24"/>
  <c r="AF148" i="25"/>
  <c r="AE148" i="25"/>
  <c r="AG131" i="24"/>
  <c r="AF131" i="24"/>
  <c r="AG172" i="24"/>
  <c r="AF172" i="24"/>
  <c r="AG179" i="24"/>
  <c r="AF179" i="24"/>
  <c r="AG276" i="24"/>
  <c r="AF276" i="24"/>
  <c r="AS14" i="25"/>
  <c r="AD78" i="25"/>
  <c r="W78" i="25"/>
  <c r="Z78" i="25" s="1"/>
  <c r="AA78" i="25" s="1"/>
  <c r="AB78" i="25" s="1"/>
  <c r="AI78" i="25" s="1"/>
  <c r="AD15" i="25"/>
  <c r="W15" i="25"/>
  <c r="Z15" i="25" s="1"/>
  <c r="AA15" i="25" s="1"/>
  <c r="AB15" i="25" s="1"/>
  <c r="AI15" i="25" s="1"/>
  <c r="V15" i="25"/>
  <c r="X15" i="25" s="1"/>
  <c r="AG254" i="24"/>
  <c r="AF254" i="24"/>
  <c r="AG65" i="24"/>
  <c r="AF65" i="24"/>
  <c r="AS155" i="25"/>
  <c r="AG308" i="24"/>
  <c r="AF308" i="24"/>
  <c r="V230" i="25"/>
  <c r="X230" i="25" s="1"/>
  <c r="AD294" i="25"/>
  <c r="W294" i="25"/>
  <c r="Z294" i="25" s="1"/>
  <c r="AA294" i="25" s="1"/>
  <c r="AB294" i="25" s="1"/>
  <c r="AI294" i="25" s="1"/>
  <c r="V294" i="25"/>
  <c r="X294" i="25" s="1"/>
  <c r="AG81" i="24"/>
  <c r="AF81" i="24"/>
  <c r="AG250" i="24"/>
  <c r="AF250" i="24"/>
  <c r="AD121" i="25"/>
  <c r="W121" i="25"/>
  <c r="Z121" i="25" s="1"/>
  <c r="AA121" i="25" s="1"/>
  <c r="AB121" i="25" s="1"/>
  <c r="AI121" i="25" s="1"/>
  <c r="AG138" i="24"/>
  <c r="AF138" i="24"/>
  <c r="AD188" i="25"/>
  <c r="W188" i="25"/>
  <c r="Z188" i="25" s="1"/>
  <c r="AA188" i="25" s="1"/>
  <c r="AB188" i="25" s="1"/>
  <c r="AI188" i="25" s="1"/>
  <c r="AF262" i="25"/>
  <c r="AE262" i="25"/>
  <c r="AG63" i="24"/>
  <c r="AF63" i="24"/>
  <c r="AG204" i="24"/>
  <c r="AF204" i="24"/>
  <c r="AG186" i="24"/>
  <c r="AF186" i="24"/>
  <c r="AD168" i="25"/>
  <c r="W168" i="25"/>
  <c r="Z168" i="25" s="1"/>
  <c r="AA168" i="25" s="1"/>
  <c r="AB168" i="25" s="1"/>
  <c r="AI168" i="25" s="1"/>
  <c r="V168" i="25"/>
  <c r="X168" i="25" s="1"/>
  <c r="AD205" i="25"/>
  <c r="W205" i="25"/>
  <c r="Z205" i="25" s="1"/>
  <c r="AA205" i="25" s="1"/>
  <c r="AB205" i="25" s="1"/>
  <c r="AI205" i="25" s="1"/>
  <c r="AD41" i="25"/>
  <c r="W41" i="25"/>
  <c r="Z41" i="25" s="1"/>
  <c r="AA41" i="25" s="1"/>
  <c r="AB41" i="25" s="1"/>
  <c r="AI41" i="25" s="1"/>
  <c r="AD304" i="25"/>
  <c r="W304" i="25"/>
  <c r="Z304" i="25" s="1"/>
  <c r="AA304" i="25" s="1"/>
  <c r="AB304" i="25" s="1"/>
  <c r="AI304" i="25" s="1"/>
  <c r="AD150" i="25"/>
  <c r="W150" i="25"/>
  <c r="Z150" i="25" s="1"/>
  <c r="AA150" i="25" s="1"/>
  <c r="AB150" i="25" s="1"/>
  <c r="AI150" i="25" s="1"/>
  <c r="V150" i="25"/>
  <c r="X150" i="25" s="1"/>
  <c r="AD124" i="25"/>
  <c r="W124" i="25"/>
  <c r="Z124" i="25" s="1"/>
  <c r="AA124" i="25" s="1"/>
  <c r="AB124" i="25" s="1"/>
  <c r="AI124" i="25" s="1"/>
  <c r="V124" i="25"/>
  <c r="X124" i="25" s="1"/>
  <c r="AD51" i="25"/>
  <c r="W51" i="25"/>
  <c r="Z51" i="25" s="1"/>
  <c r="AA51" i="25" s="1"/>
  <c r="AB51" i="25" s="1"/>
  <c r="AI51" i="25" s="1"/>
  <c r="V51" i="25"/>
  <c r="X51" i="25" s="1"/>
  <c r="AG194" i="24"/>
  <c r="AF194" i="24"/>
  <c r="AG275" i="24"/>
  <c r="AF275" i="24"/>
  <c r="AF13" i="25"/>
  <c r="AE13" i="25"/>
  <c r="AJ59" i="24"/>
  <c r="AS240" i="25"/>
  <c r="AD200" i="25"/>
  <c r="W200" i="25"/>
  <c r="Z200" i="25" s="1"/>
  <c r="AA200" i="25" s="1"/>
  <c r="AB200" i="25" s="1"/>
  <c r="AI200" i="25" s="1"/>
  <c r="AN294" i="24"/>
  <c r="BI294" i="24" s="1"/>
  <c r="AK294" i="24"/>
  <c r="AD33" i="25"/>
  <c r="W33" i="25"/>
  <c r="Z33" i="25" s="1"/>
  <c r="AA33" i="25" s="1"/>
  <c r="AB33" i="25" s="1"/>
  <c r="AI33" i="25" s="1"/>
  <c r="V33" i="25"/>
  <c r="X33" i="25" s="1"/>
  <c r="AG245" i="24"/>
  <c r="AF245" i="24"/>
  <c r="AD74" i="25"/>
  <c r="W74" i="25"/>
  <c r="Z74" i="25" s="1"/>
  <c r="AA74" i="25" s="1"/>
  <c r="AB74" i="25" s="1"/>
  <c r="AI74" i="25" s="1"/>
  <c r="AD26" i="25"/>
  <c r="W26" i="25"/>
  <c r="Z26" i="25" s="1"/>
  <c r="AA26" i="25" s="1"/>
  <c r="AB26" i="25" s="1"/>
  <c r="AI26" i="25" s="1"/>
  <c r="V142" i="25"/>
  <c r="X142" i="25" s="1"/>
  <c r="V115" i="25"/>
  <c r="X115" i="25" s="1"/>
  <c r="AJ8" i="24"/>
  <c r="AG90" i="24"/>
  <c r="AF90" i="24"/>
  <c r="AG77" i="24"/>
  <c r="AF77" i="24"/>
  <c r="AJ260" i="24"/>
  <c r="AG286" i="24"/>
  <c r="AF286" i="24"/>
  <c r="AD244" i="25"/>
  <c r="W244" i="25"/>
  <c r="Z244" i="25" s="1"/>
  <c r="AA244" i="25" s="1"/>
  <c r="AB244" i="25" s="1"/>
  <c r="AI244" i="25" s="1"/>
  <c r="V244" i="25"/>
  <c r="X244" i="25" s="1"/>
  <c r="AF158" i="25"/>
  <c r="AE158" i="25"/>
  <c r="AG239" i="24"/>
  <c r="AF239" i="24"/>
  <c r="AF21" i="25"/>
  <c r="AE21" i="25"/>
  <c r="AG304" i="24"/>
  <c r="AF304" i="24"/>
  <c r="AJ271" i="24"/>
  <c r="AG70" i="24"/>
  <c r="AF70" i="24"/>
  <c r="AF255" i="25"/>
  <c r="AE255" i="25"/>
  <c r="BA257" i="24"/>
  <c r="AJ247" i="24"/>
  <c r="AJ279" i="24"/>
  <c r="AG170" i="24"/>
  <c r="AF170" i="24"/>
  <c r="AF248" i="25"/>
  <c r="AE248" i="25"/>
  <c r="AJ126" i="24"/>
  <c r="AJ259" i="24"/>
  <c r="AF296" i="25"/>
  <c r="AE296" i="25"/>
  <c r="AF173" i="25"/>
  <c r="AE173" i="25"/>
  <c r="AD123" i="25"/>
  <c r="W123" i="25"/>
  <c r="Z123" i="25" s="1"/>
  <c r="AA123" i="25" s="1"/>
  <c r="AB123" i="25" s="1"/>
  <c r="AI123" i="25" s="1"/>
  <c r="AD209" i="25"/>
  <c r="W209" i="25"/>
  <c r="Z209" i="25" s="1"/>
  <c r="AA209" i="25" s="1"/>
  <c r="AB209" i="25" s="1"/>
  <c r="AI209" i="25" s="1"/>
  <c r="AJ33" i="24"/>
  <c r="AS229" i="25"/>
  <c r="AJ224" i="24"/>
  <c r="AV22" i="24"/>
  <c r="AT22" i="24"/>
  <c r="AD16" i="25"/>
  <c r="W16" i="25"/>
  <c r="Z16" i="25" s="1"/>
  <c r="AA16" i="25" s="1"/>
  <c r="AB16" i="25" s="1"/>
  <c r="AI16" i="25" s="1"/>
  <c r="V16" i="25"/>
  <c r="X16" i="25" s="1"/>
  <c r="AJ290" i="24"/>
  <c r="AJ30" i="24"/>
  <c r="AJ237" i="24"/>
  <c r="AD98" i="25"/>
  <c r="W98" i="25"/>
  <c r="Z98" i="25" s="1"/>
  <c r="AA98" i="25" s="1"/>
  <c r="AB98" i="25" s="1"/>
  <c r="AI98" i="25" s="1"/>
  <c r="AF174" i="25"/>
  <c r="AE174" i="25"/>
  <c r="AD160" i="25"/>
  <c r="W160" i="25"/>
  <c r="Z160" i="25" s="1"/>
  <c r="AA160" i="25" s="1"/>
  <c r="AB160" i="25" s="1"/>
  <c r="AI160" i="25" s="1"/>
  <c r="AD266" i="25"/>
  <c r="W266" i="25"/>
  <c r="Z266" i="25" s="1"/>
  <c r="AA266" i="25" s="1"/>
  <c r="AB266" i="25" s="1"/>
  <c r="AI266" i="25" s="1"/>
  <c r="AJ145" i="24"/>
  <c r="AJ20" i="24"/>
  <c r="AG82" i="24"/>
  <c r="AF82" i="24"/>
  <c r="V219" i="25"/>
  <c r="X219" i="25" s="1"/>
  <c r="AD60" i="25"/>
  <c r="W60" i="25"/>
  <c r="Z60" i="25" s="1"/>
  <c r="AA60" i="25" s="1"/>
  <c r="AB60" i="25" s="1"/>
  <c r="AI60" i="25" s="1"/>
  <c r="V60" i="25"/>
  <c r="X60" i="25" s="1"/>
  <c r="AD172" i="25"/>
  <c r="W172" i="25"/>
  <c r="Z172" i="25" s="1"/>
  <c r="AA172" i="25" s="1"/>
  <c r="AB172" i="25" s="1"/>
  <c r="AI172" i="25" s="1"/>
  <c r="V172" i="25"/>
  <c r="X172" i="25" s="1"/>
  <c r="AF177" i="25"/>
  <c r="AE177" i="25"/>
  <c r="AJ225" i="24"/>
  <c r="AJ18" i="24"/>
  <c r="AS34" i="25"/>
  <c r="AG158" i="24"/>
  <c r="AF158" i="24"/>
  <c r="AJ238" i="24"/>
  <c r="AJ266" i="24"/>
  <c r="AG116" i="24"/>
  <c r="AF116" i="24"/>
  <c r="AG268" i="24"/>
  <c r="AF268" i="24"/>
  <c r="V278" i="25"/>
  <c r="X278" i="25" s="1"/>
  <c r="AJ6" i="24"/>
  <c r="AJ57" i="24"/>
  <c r="AG195" i="24"/>
  <c r="AF195" i="24"/>
  <c r="AJ235" i="24"/>
  <c r="AG309" i="24"/>
  <c r="AF309" i="24"/>
  <c r="AG255" i="24"/>
  <c r="AF255" i="24"/>
  <c r="AG307" i="24"/>
  <c r="AF307" i="24"/>
  <c r="AJ129" i="24"/>
  <c r="AD233" i="25"/>
  <c r="W233" i="25"/>
  <c r="Z233" i="25" s="1"/>
  <c r="AA233" i="25" s="1"/>
  <c r="AB233" i="25" s="1"/>
  <c r="AI233" i="25" s="1"/>
  <c r="V233" i="25"/>
  <c r="X233" i="25" s="1"/>
  <c r="AJ34" i="24"/>
  <c r="AS92" i="25"/>
  <c r="AD43" i="25"/>
  <c r="W43" i="25"/>
  <c r="Z43" i="25" s="1"/>
  <c r="AA43" i="25" s="1"/>
  <c r="AB43" i="25" s="1"/>
  <c r="AI43" i="25" s="1"/>
  <c r="V43" i="25"/>
  <c r="X43" i="25" s="1"/>
  <c r="AG187" i="24"/>
  <c r="AF187" i="24"/>
  <c r="AS95" i="25"/>
  <c r="AG140" i="24"/>
  <c r="AF140" i="24"/>
  <c r="AD231" i="25"/>
  <c r="W231" i="25"/>
  <c r="Z231" i="25" s="1"/>
  <c r="AA231" i="25" s="1"/>
  <c r="AB231" i="25" s="1"/>
  <c r="AI231" i="25" s="1"/>
  <c r="AG25" i="24"/>
  <c r="AF25" i="24"/>
  <c r="AJ19" i="24"/>
  <c r="AF275" i="25"/>
  <c r="AE275" i="25"/>
  <c r="AD64" i="25"/>
  <c r="W64" i="25"/>
  <c r="Z64" i="25" s="1"/>
  <c r="AA64" i="25" s="1"/>
  <c r="AB64" i="25" s="1"/>
  <c r="AI64" i="25" s="1"/>
  <c r="V64" i="25"/>
  <c r="X64" i="25" s="1"/>
  <c r="AG270" i="24"/>
  <c r="AF270" i="24"/>
  <c r="AW110" i="25"/>
  <c r="AX110" i="25"/>
  <c r="AG277" i="24"/>
  <c r="AF277" i="24"/>
  <c r="AG161" i="24"/>
  <c r="AF161" i="24"/>
  <c r="AS261" i="25"/>
  <c r="AJ240" i="24"/>
  <c r="AG118" i="24"/>
  <c r="AF118" i="24"/>
  <c r="AF14" i="25"/>
  <c r="AE14" i="25"/>
  <c r="AS306" i="25"/>
  <c r="AJ114" i="24"/>
  <c r="AS206" i="25"/>
  <c r="AG210" i="24"/>
  <c r="AF210" i="24"/>
  <c r="AD116" i="25"/>
  <c r="W116" i="25"/>
  <c r="Z116" i="25" s="1"/>
  <c r="AA116" i="25" s="1"/>
  <c r="AB116" i="25" s="1"/>
  <c r="AI116" i="25" s="1"/>
  <c r="AG85" i="24"/>
  <c r="AF85" i="24"/>
  <c r="AG198" i="24"/>
  <c r="AF198" i="24"/>
  <c r="AG112" i="24"/>
  <c r="AF112" i="24"/>
  <c r="AT132" i="24"/>
  <c r="AS246" i="25"/>
  <c r="BA191" i="24"/>
  <c r="AS192" i="25"/>
  <c r="AF240" i="25"/>
  <c r="AE240" i="25"/>
  <c r="AG208" i="24"/>
  <c r="AF208" i="24"/>
  <c r="AD68" i="25"/>
  <c r="W68" i="25"/>
  <c r="Z68" i="25" s="1"/>
  <c r="AA68" i="25" s="1"/>
  <c r="AB68" i="25" s="1"/>
  <c r="AI68" i="25" s="1"/>
  <c r="AD221" i="25"/>
  <c r="W221" i="25"/>
  <c r="Z221" i="25" s="1"/>
  <c r="AA221" i="25" s="1"/>
  <c r="AB221" i="25" s="1"/>
  <c r="AI221" i="25" s="1"/>
  <c r="AG136" i="24"/>
  <c r="AF136" i="24"/>
  <c r="AD245" i="25"/>
  <c r="W245" i="25"/>
  <c r="Z245" i="25" s="1"/>
  <c r="AA245" i="25" s="1"/>
  <c r="AB245" i="25" s="1"/>
  <c r="AI245" i="25" s="1"/>
  <c r="V245" i="25"/>
  <c r="X245" i="25" s="1"/>
  <c r="AJ263" i="24"/>
  <c r="AD27" i="25"/>
  <c r="W27" i="25"/>
  <c r="Z27" i="25" s="1"/>
  <c r="AA27" i="25" s="1"/>
  <c r="AB27" i="25" s="1"/>
  <c r="AI27" i="25" s="1"/>
  <c r="AJ48" i="24"/>
  <c r="AG62" i="24"/>
  <c r="AF62" i="24"/>
  <c r="AD210" i="25"/>
  <c r="W210" i="25"/>
  <c r="Z210" i="25" s="1"/>
  <c r="AA210" i="25" s="1"/>
  <c r="AB210" i="25" s="1"/>
  <c r="AI210" i="25" s="1"/>
  <c r="AG169" i="24"/>
  <c r="AF169" i="24"/>
  <c r="AJ297" i="24"/>
  <c r="AG143" i="24"/>
  <c r="AF143" i="24"/>
  <c r="AD225" i="25"/>
  <c r="W225" i="25"/>
  <c r="Z225" i="25" s="1"/>
  <c r="AA225" i="25" s="1"/>
  <c r="AB225" i="25" s="1"/>
  <c r="AI225" i="25" s="1"/>
  <c r="AJ123" i="24"/>
  <c r="AD133" i="25"/>
  <c r="W133" i="25"/>
  <c r="Z133" i="25" s="1"/>
  <c r="AA133" i="25" s="1"/>
  <c r="AB133" i="25" s="1"/>
  <c r="AI133" i="25" s="1"/>
  <c r="V133" i="25"/>
  <c r="X133" i="25" s="1"/>
  <c r="AN55" i="24"/>
  <c r="AK55" i="24"/>
  <c r="AD203" i="25"/>
  <c r="W203" i="25"/>
  <c r="Z203" i="25" s="1"/>
  <c r="AA203" i="25" s="1"/>
  <c r="AB203" i="25" s="1"/>
  <c r="AI203" i="25" s="1"/>
  <c r="AG122" i="24"/>
  <c r="AF122" i="24"/>
  <c r="AG146" i="24"/>
  <c r="AF146" i="24"/>
  <c r="AJ56" i="24"/>
  <c r="AD151" i="25"/>
  <c r="W151" i="25"/>
  <c r="Z151" i="25" s="1"/>
  <c r="AA151" i="25" s="1"/>
  <c r="AB151" i="25" s="1"/>
  <c r="AI151" i="25" s="1"/>
  <c r="V151" i="25"/>
  <c r="X151" i="25" s="1"/>
  <c r="AK190" i="24"/>
  <c r="AN190" i="24"/>
  <c r="BI190" i="24" s="1"/>
  <c r="AG88" i="24"/>
  <c r="AF88" i="24"/>
  <c r="AG229" i="24"/>
  <c r="AF229" i="24"/>
  <c r="AG92" i="24"/>
  <c r="AF92" i="24"/>
  <c r="AD36" i="25"/>
  <c r="W36" i="25"/>
  <c r="Z36" i="25" s="1"/>
  <c r="AA36" i="25" s="1"/>
  <c r="AB36" i="25" s="1"/>
  <c r="AI36" i="25" s="1"/>
  <c r="V36" i="25"/>
  <c r="X36" i="25" s="1"/>
  <c r="AJ17" i="24"/>
  <c r="AS238" i="25"/>
  <c r="AG316" i="24"/>
  <c r="AF316" i="24"/>
  <c r="AF229" i="25"/>
  <c r="AE229" i="25"/>
  <c r="AS186" i="25"/>
  <c r="AJ9" i="24"/>
  <c r="AD35" i="25"/>
  <c r="W35" i="25"/>
  <c r="Z35" i="25" s="1"/>
  <c r="AA35" i="25" s="1"/>
  <c r="AB35" i="25" s="1"/>
  <c r="AI35" i="25" s="1"/>
  <c r="V35" i="25"/>
  <c r="X35" i="25" s="1"/>
  <c r="AG42" i="24"/>
  <c r="AF42" i="24"/>
  <c r="AD227" i="25"/>
  <c r="W227" i="25"/>
  <c r="Z227" i="25" s="1"/>
  <c r="AA227" i="25" s="1"/>
  <c r="AB227" i="25" s="1"/>
  <c r="AI227" i="25" s="1"/>
  <c r="V227" i="25"/>
  <c r="X227" i="25" s="1"/>
  <c r="AD38" i="25"/>
  <c r="W38" i="25"/>
  <c r="Z38" i="25" s="1"/>
  <c r="AA38" i="25" s="1"/>
  <c r="AB38" i="25" s="1"/>
  <c r="AI38" i="25" s="1"/>
  <c r="AJ219" i="24"/>
  <c r="AG144" i="24"/>
  <c r="AF144" i="24"/>
  <c r="AJ261" i="24"/>
  <c r="AG300" i="24"/>
  <c r="AF300" i="24"/>
  <c r="AD194" i="25"/>
  <c r="W194" i="25"/>
  <c r="Z194" i="25" s="1"/>
  <c r="AA194" i="25" s="1"/>
  <c r="AB194" i="25" s="1"/>
  <c r="AI194" i="25" s="1"/>
  <c r="AD67" i="25"/>
  <c r="W67" i="25"/>
  <c r="Z67" i="25" s="1"/>
  <c r="AA67" i="25" s="1"/>
  <c r="AB67" i="25" s="1"/>
  <c r="AI67" i="25" s="1"/>
  <c r="AX129" i="25"/>
  <c r="AW129" i="25"/>
  <c r="AJ128" i="24"/>
  <c r="AS257" i="25"/>
  <c r="AJ283" i="24"/>
  <c r="AD103" i="25"/>
  <c r="W103" i="25"/>
  <c r="Z103" i="25" s="1"/>
  <c r="AA103" i="25" s="1"/>
  <c r="AB103" i="25" s="1"/>
  <c r="AI103" i="25" s="1"/>
  <c r="AD163" i="25"/>
  <c r="W163" i="25"/>
  <c r="Z163" i="25" s="1"/>
  <c r="AA163" i="25" s="1"/>
  <c r="AB163" i="25" s="1"/>
  <c r="AI163" i="25" s="1"/>
  <c r="V163" i="25"/>
  <c r="X163" i="25" s="1"/>
  <c r="AG15" i="24"/>
  <c r="AF15" i="24"/>
  <c r="AG159" i="24"/>
  <c r="AF159" i="24"/>
  <c r="AG256" i="24"/>
  <c r="AF256" i="24"/>
  <c r="AF34" i="25"/>
  <c r="AE34" i="25"/>
  <c r="AD254" i="25"/>
  <c r="W254" i="25"/>
  <c r="Z254" i="25" s="1"/>
  <c r="AA254" i="25" s="1"/>
  <c r="AB254" i="25" s="1"/>
  <c r="AI254" i="25" s="1"/>
  <c r="V254" i="25"/>
  <c r="X254" i="25" s="1"/>
  <c r="AD234" i="25"/>
  <c r="W234" i="25"/>
  <c r="Z234" i="25" s="1"/>
  <c r="AA234" i="25" s="1"/>
  <c r="AB234" i="25" s="1"/>
  <c r="AI234" i="25" s="1"/>
  <c r="AG180" i="24"/>
  <c r="AF180" i="24"/>
  <c r="AD252" i="25"/>
  <c r="W252" i="25"/>
  <c r="Z252" i="25" s="1"/>
  <c r="AA252" i="25" s="1"/>
  <c r="AB252" i="25" s="1"/>
  <c r="AI252" i="25" s="1"/>
  <c r="V252" i="25"/>
  <c r="X252" i="25" s="1"/>
  <c r="AG252" i="24"/>
  <c r="AF252" i="24"/>
  <c r="AJ299" i="24"/>
  <c r="AD223" i="25"/>
  <c r="W223" i="25"/>
  <c r="Z223" i="25" s="1"/>
  <c r="AA223" i="25" s="1"/>
  <c r="AB223" i="25" s="1"/>
  <c r="AI223" i="25" s="1"/>
  <c r="AD91" i="25"/>
  <c r="W91" i="25"/>
  <c r="Z91" i="25" s="1"/>
  <c r="AA91" i="25" s="1"/>
  <c r="AB91" i="25" s="1"/>
  <c r="AI91" i="25" s="1"/>
  <c r="V91" i="25"/>
  <c r="X91" i="25" s="1"/>
  <c r="AG287" i="24"/>
  <c r="AF287" i="24"/>
  <c r="AG173" i="24"/>
  <c r="AF173" i="24"/>
  <c r="AG11" i="24"/>
  <c r="AF11" i="24"/>
  <c r="AF92" i="25"/>
  <c r="AE92" i="25"/>
  <c r="AG291" i="24"/>
  <c r="AF291" i="24"/>
  <c r="AF95" i="25"/>
  <c r="AE95" i="25"/>
  <c r="AD287" i="25"/>
  <c r="W287" i="25"/>
  <c r="Z287" i="25" s="1"/>
  <c r="AA287" i="25" s="1"/>
  <c r="AB287" i="25" s="1"/>
  <c r="AI287" i="25" s="1"/>
  <c r="AG288" i="24"/>
  <c r="AF288" i="24"/>
  <c r="AJ267" i="24"/>
  <c r="AG222" i="24"/>
  <c r="AF222" i="24"/>
  <c r="AG202" i="24"/>
  <c r="AF202" i="24"/>
  <c r="AD17" i="25"/>
  <c r="W17" i="25"/>
  <c r="Z17" i="25" s="1"/>
  <c r="AA17" i="25" s="1"/>
  <c r="AB17" i="25" s="1"/>
  <c r="AI17" i="25" s="1"/>
  <c r="V17" i="25"/>
  <c r="X17" i="25" s="1"/>
  <c r="AF261" i="25"/>
  <c r="AE261" i="25"/>
  <c r="AD132" i="25"/>
  <c r="W132" i="25"/>
  <c r="Z132" i="25" s="1"/>
  <c r="AA132" i="25" s="1"/>
  <c r="AB132" i="25" s="1"/>
  <c r="AI132" i="25" s="1"/>
  <c r="V132" i="25"/>
  <c r="X132" i="25" s="1"/>
  <c r="AG199" i="24"/>
  <c r="AF199" i="24"/>
  <c r="AS59" i="25"/>
  <c r="AG31" i="24"/>
  <c r="AF31" i="24"/>
  <c r="AG289" i="24"/>
  <c r="AF289" i="24"/>
  <c r="AJ265" i="24"/>
  <c r="AD312" i="25"/>
  <c r="W312" i="25"/>
  <c r="Z312" i="25" s="1"/>
  <c r="AA312" i="25" s="1"/>
  <c r="AB312" i="25" s="1"/>
  <c r="AI312" i="25" s="1"/>
  <c r="V312" i="25"/>
  <c r="X312" i="25" s="1"/>
  <c r="AN7" i="24"/>
  <c r="AK7" i="24"/>
  <c r="AJ32" i="24"/>
  <c r="AG105" i="24"/>
  <c r="AF105" i="24"/>
  <c r="AG166" i="24"/>
  <c r="AF166" i="24"/>
  <c r="AF306" i="25"/>
  <c r="AE306" i="25"/>
  <c r="AG113" i="24"/>
  <c r="AF113" i="24"/>
  <c r="AG151" i="24"/>
  <c r="AF151" i="24"/>
  <c r="AG115" i="24"/>
  <c r="AF115" i="24"/>
  <c r="AF206" i="25"/>
  <c r="AE206" i="25"/>
  <c r="AJ282" i="24"/>
  <c r="AS167" i="25"/>
  <c r="AJ155" i="24"/>
  <c r="AJ120" i="24"/>
  <c r="AJ284" i="24"/>
  <c r="AG176" i="24"/>
  <c r="AF176" i="24"/>
  <c r="AD216" i="25"/>
  <c r="W216" i="25"/>
  <c r="Z216" i="25" s="1"/>
  <c r="AA216" i="25" s="1"/>
  <c r="AB216" i="25" s="1"/>
  <c r="AI216" i="25" s="1"/>
  <c r="AJ37" i="24"/>
  <c r="AF246" i="25"/>
  <c r="AE246" i="25"/>
  <c r="AJ242" i="24"/>
  <c r="AD236" i="25"/>
  <c r="W236" i="25"/>
  <c r="Z236" i="25" s="1"/>
  <c r="AA236" i="25" s="1"/>
  <c r="AB236" i="25" s="1"/>
  <c r="AI236" i="25" s="1"/>
  <c r="V236" i="25"/>
  <c r="X236" i="25" s="1"/>
  <c r="AJ12" i="24"/>
  <c r="AD196" i="25"/>
  <c r="W196" i="25"/>
  <c r="Z196" i="25" s="1"/>
  <c r="AA196" i="25" s="1"/>
  <c r="AB196" i="25" s="1"/>
  <c r="AI196" i="25" s="1"/>
  <c r="AG59" i="24"/>
  <c r="AF59" i="24"/>
  <c r="AD135" i="25"/>
  <c r="W135" i="25"/>
  <c r="Z135" i="25" s="1"/>
  <c r="AA135" i="25" s="1"/>
  <c r="AB135" i="25" s="1"/>
  <c r="AI135" i="25" s="1"/>
  <c r="AG157" i="24"/>
  <c r="AF157" i="24"/>
  <c r="AG94" i="24"/>
  <c r="AF94" i="24"/>
  <c r="AJ295" i="24"/>
  <c r="BA233" i="24"/>
  <c r="AG84" i="24"/>
  <c r="AF84" i="24"/>
  <c r="AD208" i="25"/>
  <c r="W208" i="25"/>
  <c r="Z208" i="25" s="1"/>
  <c r="AA208" i="25" s="1"/>
  <c r="AB208" i="25" s="1"/>
  <c r="AI208" i="25" s="1"/>
  <c r="AD99" i="25"/>
  <c r="W99" i="25"/>
  <c r="Z99" i="25" s="1"/>
  <c r="AA99" i="25" s="1"/>
  <c r="AB99" i="25" s="1"/>
  <c r="AI99" i="25" s="1"/>
  <c r="AG314" i="24"/>
  <c r="AF314" i="24"/>
  <c r="V304" i="25"/>
  <c r="X304" i="25" s="1"/>
  <c r="AD270" i="25"/>
  <c r="W270" i="25"/>
  <c r="Z270" i="25" s="1"/>
  <c r="AA270" i="25" s="1"/>
  <c r="AB270" i="25" s="1"/>
  <c r="AI270" i="25" s="1"/>
  <c r="V270" i="25"/>
  <c r="X270" i="25" s="1"/>
  <c r="AJ253" i="24"/>
  <c r="AJ152" i="24"/>
  <c r="AD297" i="25"/>
  <c r="W297" i="25"/>
  <c r="Z297" i="25" s="1"/>
  <c r="AA297" i="25" s="1"/>
  <c r="AB297" i="25" s="1"/>
  <c r="AI297" i="25" s="1"/>
  <c r="AG8" i="24"/>
  <c r="AF8" i="24"/>
  <c r="V157" i="25"/>
  <c r="X157" i="25" s="1"/>
  <c r="V200" i="25"/>
  <c r="X200" i="25" s="1"/>
  <c r="AG260" i="24"/>
  <c r="AF260" i="24"/>
  <c r="V68" i="25"/>
  <c r="X68" i="25" s="1"/>
  <c r="V274" i="25"/>
  <c r="X274" i="25" s="1"/>
  <c r="AG271" i="24"/>
  <c r="AF271" i="24"/>
  <c r="AD139" i="25"/>
  <c r="W139" i="25"/>
  <c r="Z139" i="25" s="1"/>
  <c r="AA139" i="25" s="1"/>
  <c r="AB139" i="25" s="1"/>
  <c r="AI139" i="25" s="1"/>
  <c r="AD144" i="25"/>
  <c r="W144" i="25"/>
  <c r="Z144" i="25" s="1"/>
  <c r="AA144" i="25" s="1"/>
  <c r="AB144" i="25" s="1"/>
  <c r="AI144" i="25" s="1"/>
  <c r="V144" i="25"/>
  <c r="X144" i="25" s="1"/>
  <c r="AD12" i="25"/>
  <c r="W12" i="25"/>
  <c r="Z12" i="25" s="1"/>
  <c r="AA12" i="25" s="1"/>
  <c r="AB12" i="25" s="1"/>
  <c r="AI12" i="25" s="1"/>
  <c r="AG247" i="24"/>
  <c r="AF247" i="24"/>
  <c r="AD101" i="25"/>
  <c r="W101" i="25"/>
  <c r="Z101" i="25" s="1"/>
  <c r="AA101" i="25" s="1"/>
  <c r="AB101" i="25" s="1"/>
  <c r="AI101" i="25" s="1"/>
  <c r="AG279" i="24"/>
  <c r="AF279" i="24"/>
  <c r="AD149" i="25"/>
  <c r="W149" i="25"/>
  <c r="Z149" i="25" s="1"/>
  <c r="AA149" i="25" s="1"/>
  <c r="AB149" i="25" s="1"/>
  <c r="AI149" i="25" s="1"/>
  <c r="V149" i="25"/>
  <c r="X149" i="25" s="1"/>
  <c r="AD80" i="25"/>
  <c r="W80" i="25"/>
  <c r="Z80" i="25" s="1"/>
  <c r="AA80" i="25" s="1"/>
  <c r="AB80" i="25" s="1"/>
  <c r="AI80" i="25" s="1"/>
  <c r="V80" i="25"/>
  <c r="X80" i="25" s="1"/>
  <c r="AG126" i="24"/>
  <c r="AF126" i="24"/>
  <c r="AG259" i="24"/>
  <c r="AF259" i="24"/>
  <c r="AT142" i="24"/>
  <c r="AD73" i="25"/>
  <c r="W73" i="25"/>
  <c r="Z73" i="25" s="1"/>
  <c r="AA73" i="25" s="1"/>
  <c r="AB73" i="25" s="1"/>
  <c r="AI73" i="25" s="1"/>
  <c r="AG193" i="24"/>
  <c r="AF193" i="24"/>
  <c r="AG315" i="24"/>
  <c r="AF315" i="24"/>
  <c r="AF238" i="25"/>
  <c r="AE238" i="25"/>
  <c r="AD307" i="25"/>
  <c r="W307" i="25"/>
  <c r="Z307" i="25" s="1"/>
  <c r="AA307" i="25" s="1"/>
  <c r="AB307" i="25" s="1"/>
  <c r="AI307" i="25" s="1"/>
  <c r="AG86" i="24"/>
  <c r="AF86" i="24"/>
  <c r="V277" i="25"/>
  <c r="X277" i="25" s="1"/>
  <c r="AG33" i="24"/>
  <c r="AF33" i="24"/>
  <c r="AD10" i="25"/>
  <c r="W10" i="25"/>
  <c r="Z10" i="25" s="1"/>
  <c r="AA10" i="25" s="1"/>
  <c r="AB10" i="25" s="1"/>
  <c r="AI10" i="25" s="1"/>
  <c r="AF186" i="25"/>
  <c r="AE186" i="25"/>
  <c r="AG181" i="24"/>
  <c r="AF181" i="24"/>
  <c r="V210" i="25"/>
  <c r="X210" i="25" s="1"/>
  <c r="V12" i="25"/>
  <c r="X12" i="25" s="1"/>
  <c r="AG224" i="24"/>
  <c r="AF224" i="24"/>
  <c r="AS283" i="25"/>
  <c r="AG64" i="24"/>
  <c r="AF64" i="24"/>
  <c r="AG290" i="24"/>
  <c r="AF290" i="24"/>
  <c r="AG30" i="24"/>
  <c r="AF30" i="24"/>
  <c r="AG237" i="24"/>
  <c r="AF237" i="24"/>
  <c r="V23" i="25"/>
  <c r="X23" i="25" s="1"/>
  <c r="AD264" i="25"/>
  <c r="W264" i="25"/>
  <c r="Z264" i="25" s="1"/>
  <c r="AA264" i="25" s="1"/>
  <c r="AB264" i="25" s="1"/>
  <c r="AI264" i="25" s="1"/>
  <c r="AD159" i="25"/>
  <c r="W159" i="25"/>
  <c r="Z159" i="25" s="1"/>
  <c r="AA159" i="25" s="1"/>
  <c r="AB159" i="25" s="1"/>
  <c r="AI159" i="25" s="1"/>
  <c r="AG174" i="24"/>
  <c r="AF174" i="24"/>
  <c r="AG145" i="24"/>
  <c r="AF145" i="24"/>
  <c r="AG20" i="24"/>
  <c r="AF20" i="24"/>
  <c r="AF257" i="25"/>
  <c r="AE257" i="25"/>
  <c r="AS276" i="25"/>
  <c r="AG18" i="24"/>
  <c r="AF18" i="24"/>
  <c r="AJ130" i="24"/>
  <c r="AJ243" i="24"/>
  <c r="AJ248" i="24"/>
  <c r="AG238" i="24"/>
  <c r="AF238" i="24"/>
  <c r="V98" i="25"/>
  <c r="X98" i="25" s="1"/>
  <c r="AG266" i="24"/>
  <c r="AF266" i="24"/>
  <c r="V264" i="25"/>
  <c r="X264" i="25" s="1"/>
  <c r="V100" i="25"/>
  <c r="X100" i="25" s="1"/>
  <c r="AD146" i="25"/>
  <c r="W146" i="25"/>
  <c r="Z146" i="25" s="1"/>
  <c r="AA146" i="25" s="1"/>
  <c r="AB146" i="25" s="1"/>
  <c r="AI146" i="25" s="1"/>
  <c r="V146" i="25"/>
  <c r="X146" i="25" s="1"/>
  <c r="AG6" i="24"/>
  <c r="AF6" i="24"/>
  <c r="AG57" i="24"/>
  <c r="AF57" i="24"/>
  <c r="AG235" i="24"/>
  <c r="AF235" i="24"/>
  <c r="V67" i="25"/>
  <c r="X67" i="25" s="1"/>
  <c r="AJ147" i="24"/>
  <c r="V224" i="25"/>
  <c r="X224" i="25" s="1"/>
  <c r="AG72" i="24"/>
  <c r="AF72" i="24"/>
  <c r="AG129" i="24"/>
  <c r="AF129" i="24"/>
  <c r="AG34" i="24"/>
  <c r="AF34" i="24"/>
  <c r="AS131" i="25"/>
  <c r="V121" i="25"/>
  <c r="X121" i="25" s="1"/>
  <c r="AD58" i="25"/>
  <c r="W58" i="25"/>
  <c r="Z58" i="25" s="1"/>
  <c r="AA58" i="25" s="1"/>
  <c r="AB58" i="25" s="1"/>
  <c r="AI58" i="25" s="1"/>
  <c r="V58" i="25"/>
  <c r="X58" i="25" s="1"/>
  <c r="AD117" i="25"/>
  <c r="W117" i="25"/>
  <c r="Z117" i="25" s="1"/>
  <c r="AA117" i="25" s="1"/>
  <c r="AB117" i="25" s="1"/>
  <c r="AI117" i="25" s="1"/>
  <c r="V117" i="25"/>
  <c r="X117" i="25" s="1"/>
  <c r="AG19" i="24"/>
  <c r="AF19" i="24"/>
  <c r="V286" i="25"/>
  <c r="X286" i="25" s="1"/>
  <c r="AS32" i="25"/>
  <c r="AD55" i="25"/>
  <c r="W55" i="25"/>
  <c r="Z55" i="25" s="1"/>
  <c r="AA55" i="25" s="1"/>
  <c r="AB55" i="25" s="1"/>
  <c r="AI55" i="25" s="1"/>
  <c r="AS273" i="25"/>
  <c r="AJ273" i="24"/>
  <c r="AG240" i="24"/>
  <c r="AF240" i="24"/>
  <c r="AF59" i="25"/>
  <c r="AE59" i="25"/>
  <c r="AD303" i="25"/>
  <c r="W303" i="25"/>
  <c r="Z303" i="25" s="1"/>
  <c r="AA303" i="25" s="1"/>
  <c r="AB303" i="25" s="1"/>
  <c r="AI303" i="25" s="1"/>
  <c r="AD288" i="25"/>
  <c r="W288" i="25"/>
  <c r="Z288" i="25" s="1"/>
  <c r="AA288" i="25" s="1"/>
  <c r="AB288" i="25" s="1"/>
  <c r="AI288" i="25" s="1"/>
  <c r="AD120" i="25"/>
  <c r="W120" i="25"/>
  <c r="Z120" i="25" s="1"/>
  <c r="AA120" i="25" s="1"/>
  <c r="AB120" i="25" s="1"/>
  <c r="AI120" i="25" s="1"/>
  <c r="V120" i="25"/>
  <c r="X120" i="25" s="1"/>
  <c r="V156" i="25"/>
  <c r="X156" i="25" s="1"/>
  <c r="AD279" i="25"/>
  <c r="W279" i="25"/>
  <c r="Z279" i="25" s="1"/>
  <c r="AA279" i="25" s="1"/>
  <c r="AB279" i="25" s="1"/>
  <c r="AI279" i="25" s="1"/>
  <c r="V279" i="25"/>
  <c r="X279" i="25" s="1"/>
  <c r="AS232" i="25"/>
  <c r="AD169" i="25"/>
  <c r="W169" i="25"/>
  <c r="Z169" i="25" s="1"/>
  <c r="AA169" i="25" s="1"/>
  <c r="AB169" i="25" s="1"/>
  <c r="AI169" i="25" s="1"/>
  <c r="V86" i="25"/>
  <c r="X86" i="25" s="1"/>
  <c r="AD207" i="25"/>
  <c r="W207" i="25"/>
  <c r="Z207" i="25" s="1"/>
  <c r="AA207" i="25" s="1"/>
  <c r="AB207" i="25" s="1"/>
  <c r="AI207" i="25" s="1"/>
  <c r="AK132" i="24"/>
  <c r="AN132" i="24"/>
  <c r="AG188" i="24"/>
  <c r="AF188" i="24"/>
  <c r="AG114" i="24"/>
  <c r="AF114" i="24"/>
  <c r="AD249" i="25"/>
  <c r="W249" i="25"/>
  <c r="Z249" i="25" s="1"/>
  <c r="AA249" i="25" s="1"/>
  <c r="AB249" i="25" s="1"/>
  <c r="AI249" i="25" s="1"/>
  <c r="AD251" i="25"/>
  <c r="W251" i="25"/>
  <c r="Z251" i="25" s="1"/>
  <c r="AA251" i="25" s="1"/>
  <c r="AB251" i="25" s="1"/>
  <c r="AI251" i="25" s="1"/>
  <c r="AJ232" i="24"/>
  <c r="AD56" i="25"/>
  <c r="W56" i="25"/>
  <c r="Z56" i="25" s="1"/>
  <c r="AA56" i="25" s="1"/>
  <c r="AB56" i="25" s="1"/>
  <c r="AI56" i="25" s="1"/>
  <c r="AF167" i="25"/>
  <c r="AE167" i="25"/>
  <c r="AD18" i="25"/>
  <c r="W18" i="25"/>
  <c r="Z18" i="25" s="1"/>
  <c r="AA18" i="25" s="1"/>
  <c r="AB18" i="25" s="1"/>
  <c r="AI18" i="25" s="1"/>
  <c r="AD269" i="25"/>
  <c r="W269" i="25"/>
  <c r="Z269" i="25" s="1"/>
  <c r="AA269" i="25" s="1"/>
  <c r="AB269" i="25" s="1"/>
  <c r="AI269" i="25" s="1"/>
  <c r="V269" i="25"/>
  <c r="X269" i="25" s="1"/>
  <c r="AG272" i="24"/>
  <c r="AF272" i="24"/>
  <c r="AD162" i="25"/>
  <c r="W162" i="25"/>
  <c r="Z162" i="25" s="1"/>
  <c r="AA162" i="25" s="1"/>
  <c r="AB162" i="25" s="1"/>
  <c r="AI162" i="25" s="1"/>
  <c r="V162" i="25"/>
  <c r="X162" i="25" s="1"/>
  <c r="AS199" i="25"/>
  <c r="AD22" i="25"/>
  <c r="W22" i="25"/>
  <c r="Z22" i="25" s="1"/>
  <c r="AA22" i="25" s="1"/>
  <c r="AB22" i="25" s="1"/>
  <c r="AI22" i="25" s="1"/>
  <c r="AG137" i="24"/>
  <c r="AF137" i="24"/>
  <c r="AS314" i="25"/>
  <c r="AD138" i="25"/>
  <c r="W138" i="25"/>
  <c r="Z138" i="25" s="1"/>
  <c r="AA138" i="25" s="1"/>
  <c r="AB138" i="25" s="1"/>
  <c r="AI138" i="25" s="1"/>
  <c r="V222" i="25"/>
  <c r="X222" i="25" s="1"/>
  <c r="AD184" i="25"/>
  <c r="W184" i="25"/>
  <c r="Z184" i="25" s="1"/>
  <c r="AA184" i="25" s="1"/>
  <c r="AB184" i="25" s="1"/>
  <c r="AI184" i="25" s="1"/>
  <c r="V184" i="25"/>
  <c r="X184" i="25" s="1"/>
  <c r="AG156" i="24"/>
  <c r="AF156" i="24"/>
  <c r="V81" i="25"/>
  <c r="X81" i="25" s="1"/>
  <c r="V216" i="25"/>
  <c r="X216" i="25" s="1"/>
  <c r="AG263" i="24"/>
  <c r="AF263" i="24"/>
  <c r="AG48" i="24"/>
  <c r="AF48" i="24"/>
  <c r="AD84" i="25"/>
  <c r="W84" i="25"/>
  <c r="Z84" i="25" s="1"/>
  <c r="AA84" i="25" s="1"/>
  <c r="AB84" i="25" s="1"/>
  <c r="AI84" i="25" s="1"/>
  <c r="AG297" i="24"/>
  <c r="AF297" i="24"/>
  <c r="AD90" i="25"/>
  <c r="W90" i="25"/>
  <c r="Z90" i="25" s="1"/>
  <c r="AA90" i="25" s="1"/>
  <c r="AB90" i="25" s="1"/>
  <c r="AI90" i="25" s="1"/>
  <c r="V135" i="25"/>
  <c r="X135" i="25" s="1"/>
  <c r="AG123" i="24"/>
  <c r="AF123" i="24"/>
  <c r="AD185" i="25"/>
  <c r="W185" i="25"/>
  <c r="Z185" i="25" s="1"/>
  <c r="AA185" i="25" s="1"/>
  <c r="AB185" i="25" s="1"/>
  <c r="AI185" i="25" s="1"/>
  <c r="V185" i="25"/>
  <c r="X185" i="25" s="1"/>
  <c r="AD69" i="25"/>
  <c r="W69" i="25"/>
  <c r="Z69" i="25" s="1"/>
  <c r="AA69" i="25" s="1"/>
  <c r="AB69" i="25" s="1"/>
  <c r="AI69" i="25" s="1"/>
  <c r="V69" i="25"/>
  <c r="X69" i="25" s="1"/>
  <c r="AD202" i="25"/>
  <c r="W202" i="25"/>
  <c r="Z202" i="25" s="1"/>
  <c r="AA202" i="25" s="1"/>
  <c r="AB202" i="25" s="1"/>
  <c r="AI202" i="25" s="1"/>
  <c r="AD171" i="25"/>
  <c r="W171" i="25"/>
  <c r="Z171" i="25" s="1"/>
  <c r="AA171" i="25" s="1"/>
  <c r="AB171" i="25" s="1"/>
  <c r="AI171" i="25" s="1"/>
  <c r="AG56" i="24"/>
  <c r="AF56" i="24"/>
  <c r="AD217" i="25"/>
  <c r="W217" i="25"/>
  <c r="Z217" i="25" s="1"/>
  <c r="AA217" i="25" s="1"/>
  <c r="AB217" i="25" s="1"/>
  <c r="AI217" i="25" s="1"/>
  <c r="V75" i="25"/>
  <c r="X75" i="25" s="1"/>
  <c r="AS31" i="25"/>
  <c r="V297" i="25"/>
  <c r="X297" i="25" s="1"/>
  <c r="AD54" i="25"/>
  <c r="W54" i="25"/>
  <c r="Z54" i="25" s="1"/>
  <c r="AA54" i="25" s="1"/>
  <c r="AB54" i="25" s="1"/>
  <c r="AI54" i="25" s="1"/>
  <c r="V54" i="25"/>
  <c r="X54" i="25" s="1"/>
  <c r="AD310" i="25"/>
  <c r="W310" i="25"/>
  <c r="Z310" i="25" s="1"/>
  <c r="AA310" i="25" s="1"/>
  <c r="AB310" i="25" s="1"/>
  <c r="AI310" i="25" s="1"/>
  <c r="V310" i="25"/>
  <c r="X310" i="25" s="1"/>
  <c r="AS204" i="25"/>
  <c r="AD176" i="25"/>
  <c r="W176" i="25"/>
  <c r="Z176" i="25" s="1"/>
  <c r="AA176" i="25" s="1"/>
  <c r="AB176" i="25" s="1"/>
  <c r="AI176" i="25" s="1"/>
  <c r="V176" i="25"/>
  <c r="X176" i="25" s="1"/>
  <c r="AG17" i="24"/>
  <c r="AF17" i="24"/>
  <c r="AG9" i="24"/>
  <c r="AF9" i="24"/>
  <c r="AS282" i="25"/>
  <c r="AF283" i="25"/>
  <c r="AE283" i="25"/>
  <c r="AG219" i="24"/>
  <c r="AF219" i="24"/>
  <c r="AG261" i="24"/>
  <c r="AF261" i="24"/>
  <c r="AD83" i="25"/>
  <c r="W83" i="25"/>
  <c r="Z83" i="25" s="1"/>
  <c r="AA83" i="25" s="1"/>
  <c r="AB83" i="25" s="1"/>
  <c r="AI83" i="25" s="1"/>
  <c r="V83" i="25"/>
  <c r="X83" i="25" s="1"/>
  <c r="V72" i="25"/>
  <c r="X72" i="25" s="1"/>
  <c r="AG167" i="24"/>
  <c r="AF167" i="24"/>
  <c r="AD153" i="25"/>
  <c r="W153" i="25"/>
  <c r="Z153" i="25" s="1"/>
  <c r="AA153" i="25" s="1"/>
  <c r="AB153" i="25" s="1"/>
  <c r="AI153" i="25" s="1"/>
  <c r="V153" i="25"/>
  <c r="X153" i="25" s="1"/>
  <c r="AD61" i="25"/>
  <c r="W61" i="25"/>
  <c r="Z61" i="25" s="1"/>
  <c r="AA61" i="25" s="1"/>
  <c r="AB61" i="25" s="1"/>
  <c r="AI61" i="25" s="1"/>
  <c r="V61" i="25"/>
  <c r="X61" i="25" s="1"/>
  <c r="AG164" i="24"/>
  <c r="AF164" i="24"/>
  <c r="AX143" i="25"/>
  <c r="AW143" i="25"/>
  <c r="AT292" i="24"/>
  <c r="AD290" i="25"/>
  <c r="W290" i="25"/>
  <c r="Z290" i="25" s="1"/>
  <c r="AA290" i="25" s="1"/>
  <c r="AB290" i="25" s="1"/>
  <c r="AI290" i="25" s="1"/>
  <c r="V290" i="25"/>
  <c r="X290" i="25" s="1"/>
  <c r="AG128" i="24"/>
  <c r="AF128" i="24"/>
  <c r="AS178" i="25"/>
  <c r="AG283" i="24"/>
  <c r="AF283" i="24"/>
  <c r="AG225" i="24"/>
  <c r="AF225" i="24"/>
  <c r="AF276" i="25"/>
  <c r="AE276" i="25"/>
  <c r="AD182" i="25"/>
  <c r="W182" i="25"/>
  <c r="Z182" i="25" s="1"/>
  <c r="AA182" i="25" s="1"/>
  <c r="AB182" i="25" s="1"/>
  <c r="AI182" i="25" s="1"/>
  <c r="V182" i="25"/>
  <c r="X182" i="25" s="1"/>
  <c r="AD218" i="25"/>
  <c r="W218" i="25"/>
  <c r="Z218" i="25" s="1"/>
  <c r="AA218" i="25" s="1"/>
  <c r="AB218" i="25" s="1"/>
  <c r="AI218" i="25" s="1"/>
  <c r="AG61" i="24"/>
  <c r="AF61" i="24"/>
  <c r="AS170" i="25"/>
  <c r="AG299" i="24"/>
  <c r="AF299" i="24"/>
  <c r="AG68" i="24"/>
  <c r="AF68" i="24"/>
  <c r="AG207" i="24"/>
  <c r="AF207" i="24"/>
  <c r="AF131" i="25"/>
  <c r="AE131" i="25"/>
  <c r="AD40" i="25"/>
  <c r="W40" i="25"/>
  <c r="Z40" i="25" s="1"/>
  <c r="AA40" i="25" s="1"/>
  <c r="AB40" i="25" s="1"/>
  <c r="AI40" i="25" s="1"/>
  <c r="AD302" i="25"/>
  <c r="W302" i="25"/>
  <c r="Z302" i="25" s="1"/>
  <c r="AA302" i="25" s="1"/>
  <c r="AB302" i="25" s="1"/>
  <c r="AI302" i="25" s="1"/>
  <c r="V93" i="25"/>
  <c r="X93" i="25" s="1"/>
  <c r="AD53" i="25"/>
  <c r="W53" i="25"/>
  <c r="Z53" i="25" s="1"/>
  <c r="AA53" i="25" s="1"/>
  <c r="AB53" i="25" s="1"/>
  <c r="AI53" i="25" s="1"/>
  <c r="AD122" i="25"/>
  <c r="W122" i="25"/>
  <c r="Z122" i="25" s="1"/>
  <c r="AA122" i="25" s="1"/>
  <c r="AB122" i="25" s="1"/>
  <c r="AI122" i="25" s="1"/>
  <c r="AG209" i="24"/>
  <c r="AF209" i="24"/>
  <c r="AF32" i="25"/>
  <c r="AE32" i="25"/>
  <c r="AG267" i="24"/>
  <c r="AF267" i="24"/>
  <c r="AF273" i="25"/>
  <c r="AE273" i="25"/>
  <c r="AD46" i="25"/>
  <c r="W46" i="25"/>
  <c r="Z46" i="25" s="1"/>
  <c r="AA46" i="25" s="1"/>
  <c r="AB46" i="25" s="1"/>
  <c r="AI46" i="25" s="1"/>
  <c r="V46" i="25"/>
  <c r="X46" i="25" s="1"/>
  <c r="AG265" i="24"/>
  <c r="AF265" i="24"/>
  <c r="AD112" i="25"/>
  <c r="W112" i="25"/>
  <c r="Z112" i="25" s="1"/>
  <c r="AA112" i="25" s="1"/>
  <c r="AB112" i="25" s="1"/>
  <c r="AI112" i="25" s="1"/>
  <c r="V315" i="25"/>
  <c r="X315" i="25" s="1"/>
  <c r="AG32" i="24"/>
  <c r="AF32" i="24"/>
  <c r="AS104" i="25"/>
  <c r="AK160" i="24"/>
  <c r="AN160" i="24"/>
  <c r="BI160" i="24" s="1"/>
  <c r="AG282" i="24"/>
  <c r="AF282" i="24"/>
  <c r="AG155" i="24"/>
  <c r="AF155" i="24"/>
  <c r="AG120" i="24"/>
  <c r="AF120" i="24"/>
  <c r="AG284" i="24"/>
  <c r="AF284" i="24"/>
  <c r="AX264" i="24" l="1"/>
  <c r="BI264" i="24"/>
  <c r="CE119" i="24"/>
  <c r="BI119" i="24"/>
  <c r="CE233" i="24"/>
  <c r="BI233" i="24"/>
  <c r="AX142" i="24"/>
  <c r="BI142" i="24"/>
  <c r="BL142" i="24" s="1"/>
  <c r="BU236" i="24"/>
  <c r="BI236" i="24"/>
  <c r="BL236" i="24" s="1"/>
  <c r="CE132" i="24"/>
  <c r="BI132" i="24"/>
  <c r="BL132" i="24" s="1"/>
  <c r="CE162" i="24"/>
  <c r="BI162" i="24"/>
  <c r="BU292" i="24"/>
  <c r="BI292" i="24"/>
  <c r="CE191" i="24"/>
  <c r="BI191" i="24"/>
  <c r="BU7" i="24"/>
  <c r="BI7" i="24"/>
  <c r="BL7" i="24" s="1"/>
  <c r="BU44" i="24"/>
  <c r="BI44" i="24"/>
  <c r="BL44" i="24" s="1"/>
  <c r="CE45" i="24"/>
  <c r="BI45" i="24"/>
  <c r="BL45" i="24" s="1"/>
  <c r="BU41" i="24"/>
  <c r="BI41" i="24"/>
  <c r="BL41" i="24" s="1"/>
  <c r="BU101" i="24"/>
  <c r="BI101" i="24"/>
  <c r="BL101" i="24" s="1"/>
  <c r="CE55" i="24"/>
  <c r="BI55" i="24"/>
  <c r="BL55" i="24" s="1"/>
  <c r="BU21" i="24"/>
  <c r="CE21" i="24"/>
  <c r="AX22" i="24"/>
  <c r="CE22" i="24"/>
  <c r="AT67" i="24"/>
  <c r="BU22" i="24"/>
  <c r="BU45" i="24"/>
  <c r="BU55" i="24"/>
  <c r="AF280" i="25"/>
  <c r="AJ280" i="25" s="1"/>
  <c r="CE101" i="24"/>
  <c r="AF11" i="25"/>
  <c r="AJ11" i="25" s="1"/>
  <c r="AE155" i="25"/>
  <c r="AJ155" i="25" s="1"/>
  <c r="AF96" i="25"/>
  <c r="AJ96" i="25" s="1"/>
  <c r="AV27" i="24"/>
  <c r="AT81" i="24"/>
  <c r="BA81" i="24" s="1"/>
  <c r="AT49" i="24"/>
  <c r="BA49" i="24" s="1"/>
  <c r="AT39" i="24"/>
  <c r="BA39" i="24" s="1"/>
  <c r="AV77" i="24"/>
  <c r="AV65" i="24"/>
  <c r="AV104" i="24"/>
  <c r="AV66" i="24"/>
  <c r="AV103" i="24"/>
  <c r="AV64" i="24"/>
  <c r="AV102" i="24"/>
  <c r="AV23" i="24"/>
  <c r="AV61" i="24"/>
  <c r="AV78" i="24"/>
  <c r="AT72" i="24"/>
  <c r="BA72" i="24" s="1"/>
  <c r="AV86" i="24"/>
  <c r="AV98" i="24"/>
  <c r="AT62" i="24"/>
  <c r="BA62" i="24" s="1"/>
  <c r="AV69" i="24"/>
  <c r="AV10" i="24"/>
  <c r="AV15" i="24"/>
  <c r="AV38" i="24"/>
  <c r="AV50" i="24"/>
  <c r="AV40" i="24"/>
  <c r="AV60" i="24"/>
  <c r="AV47" i="24"/>
  <c r="AV63" i="24"/>
  <c r="AV83" i="24"/>
  <c r="AV80" i="24"/>
  <c r="AV100" i="24"/>
  <c r="AV84" i="24"/>
  <c r="AV76" i="24"/>
  <c r="AV70" i="24"/>
  <c r="AV91" i="24"/>
  <c r="AV43" i="24"/>
  <c r="AV68" i="24"/>
  <c r="AT92" i="24"/>
  <c r="BA92" i="24" s="1"/>
  <c r="AT95" i="24"/>
  <c r="BA95" i="24" s="1"/>
  <c r="AV16" i="24"/>
  <c r="AV105" i="24"/>
  <c r="AV46" i="24"/>
  <c r="AV52" i="24"/>
  <c r="AV53" i="24"/>
  <c r="AV71" i="24"/>
  <c r="AV82" i="24"/>
  <c r="AV73" i="24"/>
  <c r="AT74" i="24"/>
  <c r="BA74" i="24" s="1"/>
  <c r="AT93" i="24"/>
  <c r="BA93" i="24" s="1"/>
  <c r="AV89" i="24"/>
  <c r="AV99" i="24"/>
  <c r="AT14" i="24"/>
  <c r="BA14" i="24" s="1"/>
  <c r="AV11" i="24"/>
  <c r="AV88" i="24"/>
  <c r="AV79" i="24"/>
  <c r="AT97" i="24"/>
  <c r="BA97" i="24" s="1"/>
  <c r="AV75" i="24"/>
  <c r="AV85" i="24"/>
  <c r="AV94" i="24"/>
  <c r="AT25" i="24"/>
  <c r="BA25" i="24" s="1"/>
  <c r="AV29" i="24"/>
  <c r="AV31" i="24"/>
  <c r="AV13" i="24"/>
  <c r="AV36" i="24"/>
  <c r="AV42" i="24"/>
  <c r="AV87" i="24"/>
  <c r="AV67" i="24"/>
  <c r="AV90" i="24"/>
  <c r="AV96" i="24"/>
  <c r="AT103" i="24"/>
  <c r="BA103" i="24" s="1"/>
  <c r="AJ143" i="25"/>
  <c r="AT105" i="24"/>
  <c r="BA105" i="24" s="1"/>
  <c r="AT99" i="24"/>
  <c r="BA99" i="24" s="1"/>
  <c r="AF258" i="25"/>
  <c r="AJ258" i="25" s="1"/>
  <c r="AE189" i="25"/>
  <c r="AJ189" i="25" s="1"/>
  <c r="AT90" i="24"/>
  <c r="BA90" i="24" s="1"/>
  <c r="AT96" i="24"/>
  <c r="BA96" i="24" s="1"/>
  <c r="AT42" i="24"/>
  <c r="BA42" i="24" s="1"/>
  <c r="AT94" i="24"/>
  <c r="BA94" i="24" s="1"/>
  <c r="AT85" i="24"/>
  <c r="BA85" i="24" s="1"/>
  <c r="AT89" i="24"/>
  <c r="BA89" i="24" s="1"/>
  <c r="AV72" i="24"/>
  <c r="AV62" i="24"/>
  <c r="AT69" i="24"/>
  <c r="BA69" i="24" s="1"/>
  <c r="AT80" i="24"/>
  <c r="BA80" i="24" s="1"/>
  <c r="AT100" i="24"/>
  <c r="BA100" i="24" s="1"/>
  <c r="AT84" i="24"/>
  <c r="BA84" i="24" s="1"/>
  <c r="AV81" i="24"/>
  <c r="AF154" i="25"/>
  <c r="BU142" i="24"/>
  <c r="AT66" i="24"/>
  <c r="BA66" i="24" s="1"/>
  <c r="AT91" i="24"/>
  <c r="BA91" i="24" s="1"/>
  <c r="AF97" i="25"/>
  <c r="AJ97" i="25" s="1"/>
  <c r="AT102" i="24"/>
  <c r="BA102" i="24" s="1"/>
  <c r="AT70" i="24"/>
  <c r="BA70" i="24" s="1"/>
  <c r="AT86" i="24"/>
  <c r="BA86" i="24" s="1"/>
  <c r="AE154" i="25"/>
  <c r="AT98" i="24"/>
  <c r="BA98" i="24" s="1"/>
  <c r="AT75" i="24"/>
  <c r="BA75" i="24" s="1"/>
  <c r="AV97" i="24"/>
  <c r="AT79" i="24"/>
  <c r="BA79" i="24" s="1"/>
  <c r="AT88" i="24"/>
  <c r="BA88" i="24" s="1"/>
  <c r="AV74" i="24"/>
  <c r="AV93" i="24"/>
  <c r="AV95" i="24"/>
  <c r="AT87" i="24"/>
  <c r="BA87" i="24" s="1"/>
  <c r="AE104" i="25"/>
  <c r="AJ104" i="25" s="1"/>
  <c r="AV92" i="24"/>
  <c r="AT68" i="24"/>
  <c r="BA68" i="24" s="1"/>
  <c r="AT43" i="24"/>
  <c r="BA43" i="24" s="1"/>
  <c r="AF179" i="25"/>
  <c r="AJ179" i="25" s="1"/>
  <c r="AT65" i="24"/>
  <c r="BA65" i="24" s="1"/>
  <c r="AT104" i="24"/>
  <c r="BA104" i="24" s="1"/>
  <c r="AF265" i="25"/>
  <c r="AJ265" i="25" s="1"/>
  <c r="AT53" i="24"/>
  <c r="BA53" i="24" s="1"/>
  <c r="AT82" i="24"/>
  <c r="BA82" i="24" s="1"/>
  <c r="AT73" i="24"/>
  <c r="BA73" i="24" s="1"/>
  <c r="AT83" i="24"/>
  <c r="BA83" i="24" s="1"/>
  <c r="AF29" i="25"/>
  <c r="AM29" i="25" s="1"/>
  <c r="BG29" i="25" s="1"/>
  <c r="AT78" i="24"/>
  <c r="BA78" i="24" s="1"/>
  <c r="AT23" i="24"/>
  <c r="BA23" i="24" s="1"/>
  <c r="AT61" i="24"/>
  <c r="BA61" i="24" s="1"/>
  <c r="AV39" i="24"/>
  <c r="AF291" i="25"/>
  <c r="AM291" i="25" s="1"/>
  <c r="BG291" i="25" s="1"/>
  <c r="AT77" i="24"/>
  <c r="BA77" i="24" s="1"/>
  <c r="AV49" i="24"/>
  <c r="BW142" i="24"/>
  <c r="AV14" i="24"/>
  <c r="BW22" i="24"/>
  <c r="AT64" i="24"/>
  <c r="BA64" i="24" s="1"/>
  <c r="BH142" i="24"/>
  <c r="AT76" i="24"/>
  <c r="BA76" i="24" s="1"/>
  <c r="AF28" i="25"/>
  <c r="AM28" i="25" s="1"/>
  <c r="BG28" i="25" s="1"/>
  <c r="AT46" i="24"/>
  <c r="BA46" i="24" s="1"/>
  <c r="AT50" i="24"/>
  <c r="BA50" i="24" s="1"/>
  <c r="AT47" i="24"/>
  <c r="BA47" i="24" s="1"/>
  <c r="AT60" i="24"/>
  <c r="BA60" i="24" s="1"/>
  <c r="AT40" i="24"/>
  <c r="BA40" i="24" s="1"/>
  <c r="AT38" i="24"/>
  <c r="BA38" i="24" s="1"/>
  <c r="AT15" i="24"/>
  <c r="BA15" i="24" s="1"/>
  <c r="BH292" i="24"/>
  <c r="AX292" i="24"/>
  <c r="BW292" i="24"/>
  <c r="BW264" i="24"/>
  <c r="AT10" i="24"/>
  <c r="BA10" i="24" s="1"/>
  <c r="AT71" i="24"/>
  <c r="BA71" i="24" s="1"/>
  <c r="AT63" i="24"/>
  <c r="BA63" i="24" s="1"/>
  <c r="AT52" i="24"/>
  <c r="BA52" i="24" s="1"/>
  <c r="AT11" i="24"/>
  <c r="BA11" i="24" s="1"/>
  <c r="AV25" i="24"/>
  <c r="AT13" i="24"/>
  <c r="BA13" i="24" s="1"/>
  <c r="AT16" i="24"/>
  <c r="BA16" i="24" s="1"/>
  <c r="AT29" i="24"/>
  <c r="BA29" i="24" s="1"/>
  <c r="AT36" i="24"/>
  <c r="BA36" i="24" s="1"/>
  <c r="AT27" i="24"/>
  <c r="BA27" i="24" s="1"/>
  <c r="AT31" i="24"/>
  <c r="BA31" i="24" s="1"/>
  <c r="AF237" i="25"/>
  <c r="O212" i="25"/>
  <c r="P212" i="25"/>
  <c r="T212" i="25"/>
  <c r="U212" i="25" s="1"/>
  <c r="BH22" i="24"/>
  <c r="AX77" i="25"/>
  <c r="AF77" i="25"/>
  <c r="AE77" i="25"/>
  <c r="BU264" i="24"/>
  <c r="BH236" i="24"/>
  <c r="BW236" i="24"/>
  <c r="BH264" i="24"/>
  <c r="AX236" i="24"/>
  <c r="AJ131" i="25"/>
  <c r="AM131" i="25"/>
  <c r="BG131" i="25" s="1"/>
  <c r="AN284" i="24"/>
  <c r="BI284" i="24" s="1"/>
  <c r="AK284" i="24"/>
  <c r="AS53" i="25"/>
  <c r="AF40" i="25"/>
  <c r="AE40" i="25"/>
  <c r="AK128" i="24"/>
  <c r="AN128" i="24"/>
  <c r="AN261" i="24"/>
  <c r="AK261" i="24"/>
  <c r="BA220" i="24"/>
  <c r="AX31" i="25"/>
  <c r="AW31" i="25"/>
  <c r="BA154" i="24"/>
  <c r="AS202" i="25"/>
  <c r="AS185" i="25"/>
  <c r="AN48" i="24"/>
  <c r="AK48" i="24"/>
  <c r="AS269" i="25"/>
  <c r="AT232" i="24"/>
  <c r="BA165" i="24"/>
  <c r="AS120" i="25"/>
  <c r="AJ59" i="25"/>
  <c r="AM59" i="25"/>
  <c r="BG59" i="25" s="1"/>
  <c r="AS58" i="25"/>
  <c r="AX131" i="25"/>
  <c r="AW131" i="25"/>
  <c r="AN235" i="24"/>
  <c r="AK235" i="24"/>
  <c r="AF146" i="25"/>
  <c r="AE146" i="25"/>
  <c r="AT248" i="24"/>
  <c r="AJ257" i="25"/>
  <c r="AM257" i="25"/>
  <c r="BG257" i="25" s="1"/>
  <c r="AS159" i="25"/>
  <c r="AN224" i="24"/>
  <c r="AK224" i="24"/>
  <c r="AF10" i="25"/>
  <c r="AE10" i="25"/>
  <c r="AN86" i="24"/>
  <c r="AK86" i="24"/>
  <c r="AN193" i="24"/>
  <c r="AK193" i="24"/>
  <c r="BA142" i="24"/>
  <c r="AS12" i="25"/>
  <c r="AK271" i="24"/>
  <c r="AN271" i="24"/>
  <c r="AT253" i="24"/>
  <c r="AS99" i="25"/>
  <c r="AS196" i="25"/>
  <c r="AF236" i="25"/>
  <c r="AE236" i="25"/>
  <c r="AK176" i="24"/>
  <c r="AN176" i="24"/>
  <c r="BI176" i="24" s="1"/>
  <c r="AT155" i="24"/>
  <c r="AT282" i="24"/>
  <c r="AS312" i="25"/>
  <c r="AK199" i="24"/>
  <c r="AN199" i="24"/>
  <c r="AF17" i="25"/>
  <c r="AE17" i="25"/>
  <c r="AT267" i="24"/>
  <c r="BA207" i="24"/>
  <c r="AM92" i="25"/>
  <c r="AJ92" i="25"/>
  <c r="AS254" i="25"/>
  <c r="AS67" i="25"/>
  <c r="BA164" i="24"/>
  <c r="AV9" i="24"/>
  <c r="AT9" i="24"/>
  <c r="AN316" i="24"/>
  <c r="BI316" i="24" s="1"/>
  <c r="AK316" i="24"/>
  <c r="AV17" i="24"/>
  <c r="AT17" i="24"/>
  <c r="AF225" i="25"/>
  <c r="AE225" i="25"/>
  <c r="AT263" i="24"/>
  <c r="AS221" i="25"/>
  <c r="BA272" i="24"/>
  <c r="BA132" i="24"/>
  <c r="BA223" i="24"/>
  <c r="AS116" i="25"/>
  <c r="AM155" i="25"/>
  <c r="BG155" i="25" s="1"/>
  <c r="AK25" i="24"/>
  <c r="AN25" i="24"/>
  <c r="AT145" i="24"/>
  <c r="AJ174" i="25"/>
  <c r="AM174" i="25"/>
  <c r="AT290" i="24"/>
  <c r="AF123" i="25"/>
  <c r="AE123" i="25"/>
  <c r="AT126" i="24"/>
  <c r="AT279" i="24"/>
  <c r="AJ255" i="25"/>
  <c r="AM255" i="25"/>
  <c r="BG255" i="25" s="1"/>
  <c r="AM21" i="25"/>
  <c r="AJ21" i="25"/>
  <c r="AS244" i="25"/>
  <c r="AS33" i="25"/>
  <c r="AF200" i="25"/>
  <c r="AE200" i="25"/>
  <c r="AK275" i="24"/>
  <c r="AN275" i="24"/>
  <c r="AS121" i="25"/>
  <c r="AX155" i="25"/>
  <c r="AW155" i="25"/>
  <c r="AK276" i="24"/>
  <c r="AN276" i="24"/>
  <c r="BI276" i="24" s="1"/>
  <c r="AK104" i="24"/>
  <c r="AN104" i="24"/>
  <c r="AS127" i="25"/>
  <c r="AK29" i="24"/>
  <c r="AN29" i="24"/>
  <c r="AS101" i="24"/>
  <c r="BJ101" i="24"/>
  <c r="AQ101" i="24"/>
  <c r="AX101" i="24"/>
  <c r="BH101" i="24"/>
  <c r="BW101" i="24"/>
  <c r="BA256" i="24"/>
  <c r="AF57" i="25"/>
  <c r="AE57" i="25"/>
  <c r="AN197" i="24"/>
  <c r="BI197" i="24" s="1"/>
  <c r="AK197" i="24"/>
  <c r="BA316" i="24"/>
  <c r="AK230" i="24"/>
  <c r="AN230" i="24"/>
  <c r="BI230" i="24" s="1"/>
  <c r="BA122" i="24"/>
  <c r="AS272" i="25"/>
  <c r="AS300" i="25"/>
  <c r="BA208" i="24"/>
  <c r="AS45" i="25"/>
  <c r="AJ89" i="25"/>
  <c r="AM89" i="25"/>
  <c r="BA204" i="24"/>
  <c r="AN96" i="24"/>
  <c r="AK96" i="24"/>
  <c r="AF220" i="25"/>
  <c r="AE220" i="25"/>
  <c r="BA187" i="24"/>
  <c r="AF79" i="25"/>
  <c r="AE79" i="25"/>
  <c r="BA268" i="24"/>
  <c r="BA116" i="24"/>
  <c r="AM6" i="25"/>
  <c r="AJ6" i="25"/>
  <c r="AS136" i="25"/>
  <c r="AK125" i="24"/>
  <c r="AN125" i="24"/>
  <c r="AN58" i="24"/>
  <c r="AK58" i="24"/>
  <c r="AN83" i="24"/>
  <c r="AK83" i="24"/>
  <c r="AF195" i="25"/>
  <c r="AE195" i="25"/>
  <c r="AF137" i="25"/>
  <c r="AE137" i="25"/>
  <c r="AK26" i="24"/>
  <c r="AN26" i="24"/>
  <c r="BA245" i="24"/>
  <c r="AS274" i="25"/>
  <c r="AS289" i="25"/>
  <c r="AW13" i="25"/>
  <c r="AX13" i="25"/>
  <c r="AF39" i="25"/>
  <c r="AE39" i="25"/>
  <c r="AF49" i="25"/>
  <c r="AE49" i="25"/>
  <c r="AS239" i="25"/>
  <c r="AM259" i="25"/>
  <c r="BG259" i="25" s="1"/>
  <c r="AJ259" i="25"/>
  <c r="BA311" i="24"/>
  <c r="AS9" i="25"/>
  <c r="AS281" i="25"/>
  <c r="AS93" i="25"/>
  <c r="AK234" i="24"/>
  <c r="AN234" i="24"/>
  <c r="BI234" i="24" s="1"/>
  <c r="AN220" i="24"/>
  <c r="BI220" i="24" s="1"/>
  <c r="AK220" i="24"/>
  <c r="BA241" i="24"/>
  <c r="AK175" i="24"/>
  <c r="AN175" i="24"/>
  <c r="BI175" i="24" s="1"/>
  <c r="AX29" i="25"/>
  <c r="AW29" i="25"/>
  <c r="AN171" i="24"/>
  <c r="BI171" i="24" s="1"/>
  <c r="AK171" i="24"/>
  <c r="AW198" i="25"/>
  <c r="AX198" i="25"/>
  <c r="AS20" i="25"/>
  <c r="BL233" i="24"/>
  <c r="AS233" i="24"/>
  <c r="AQ233" i="24"/>
  <c r="BJ233" i="24"/>
  <c r="BU233" i="24"/>
  <c r="AX233" i="24"/>
  <c r="BH233" i="24"/>
  <c r="BW233" i="24"/>
  <c r="AK79" i="24"/>
  <c r="AN79" i="24"/>
  <c r="AF191" i="25"/>
  <c r="AE191" i="25"/>
  <c r="AF230" i="25"/>
  <c r="AE230" i="25"/>
  <c r="AT121" i="24"/>
  <c r="AS70" i="25"/>
  <c r="AN248" i="24"/>
  <c r="AK248" i="24"/>
  <c r="AS41" i="24"/>
  <c r="AQ41" i="24"/>
  <c r="BJ41" i="24"/>
  <c r="AX41" i="24"/>
  <c r="BH41" i="24"/>
  <c r="BW41" i="24"/>
  <c r="AT301" i="24"/>
  <c r="AF187" i="25"/>
  <c r="AE187" i="25"/>
  <c r="AS277" i="25"/>
  <c r="AF125" i="25"/>
  <c r="AE125" i="25"/>
  <c r="AT135" i="24"/>
  <c r="AK37" i="24"/>
  <c r="AN37" i="24"/>
  <c r="AF111" i="25"/>
  <c r="AE111" i="25"/>
  <c r="AS102" i="25"/>
  <c r="AK209" i="24"/>
  <c r="AN209" i="24"/>
  <c r="AN155" i="24"/>
  <c r="AK155" i="24"/>
  <c r="AX104" i="25"/>
  <c r="AW104" i="25"/>
  <c r="AS46" i="25"/>
  <c r="AJ32" i="25"/>
  <c r="AM32" i="25"/>
  <c r="BG32" i="25" s="1"/>
  <c r="AF53" i="25"/>
  <c r="AE53" i="25"/>
  <c r="AN299" i="24"/>
  <c r="BI299" i="24" s="1"/>
  <c r="AK299" i="24"/>
  <c r="BA184" i="24"/>
  <c r="AN61" i="24"/>
  <c r="BI61" i="24" s="1"/>
  <c r="AK61" i="24"/>
  <c r="AN164" i="24"/>
  <c r="BI164" i="24" s="1"/>
  <c r="AK164" i="24"/>
  <c r="AN167" i="24"/>
  <c r="BI167" i="24" s="1"/>
  <c r="AK167" i="24"/>
  <c r="AK17" i="24"/>
  <c r="AN17" i="24"/>
  <c r="AX204" i="25"/>
  <c r="AW204" i="25"/>
  <c r="AS54" i="25"/>
  <c r="AK56" i="24"/>
  <c r="AN56" i="24"/>
  <c r="AF202" i="25"/>
  <c r="AE202" i="25"/>
  <c r="AF185" i="25"/>
  <c r="AE185" i="25"/>
  <c r="AX28" i="25"/>
  <c r="AW28" i="25"/>
  <c r="AS162" i="25"/>
  <c r="BA226" i="24"/>
  <c r="AF269" i="25"/>
  <c r="AE269" i="25"/>
  <c r="AS251" i="25"/>
  <c r="AK188" i="24"/>
  <c r="AN188" i="24"/>
  <c r="BI188" i="24" s="1"/>
  <c r="AF120" i="25"/>
  <c r="AE120" i="25"/>
  <c r="AF58" i="25"/>
  <c r="AE58" i="25"/>
  <c r="BA139" i="24"/>
  <c r="AF159" i="25"/>
  <c r="AE159" i="25"/>
  <c r="AN30" i="24"/>
  <c r="BI30" i="24" s="1"/>
  <c r="AK30" i="24"/>
  <c r="BA134" i="24"/>
  <c r="AS307" i="25"/>
  <c r="AN126" i="24"/>
  <c r="BI126" i="24" s="1"/>
  <c r="AK126" i="24"/>
  <c r="AF12" i="25"/>
  <c r="AE12" i="25"/>
  <c r="AF99" i="25"/>
  <c r="AE99" i="25"/>
  <c r="AT295" i="24"/>
  <c r="AF196" i="25"/>
  <c r="AE196" i="25"/>
  <c r="AT242" i="24"/>
  <c r="BA124" i="24"/>
  <c r="AN105" i="24"/>
  <c r="AK105" i="24"/>
  <c r="AF312" i="25"/>
  <c r="AE312" i="25"/>
  <c r="AS287" i="25"/>
  <c r="AS91" i="25"/>
  <c r="AK252" i="24"/>
  <c r="AN252" i="24"/>
  <c r="BI252" i="24" s="1"/>
  <c r="AF254" i="25"/>
  <c r="AE254" i="25"/>
  <c r="AK15" i="24"/>
  <c r="AN15" i="24"/>
  <c r="AF67" i="25"/>
  <c r="AE67" i="25"/>
  <c r="AK300" i="24"/>
  <c r="AN300" i="24"/>
  <c r="BI300" i="24" s="1"/>
  <c r="AS227" i="25"/>
  <c r="BA156" i="24"/>
  <c r="AF221" i="25"/>
  <c r="AE221" i="25"/>
  <c r="AK112" i="24"/>
  <c r="AN112" i="24"/>
  <c r="AF116" i="25"/>
  <c r="AE116" i="25"/>
  <c r="AX206" i="25"/>
  <c r="AW206" i="25"/>
  <c r="AJ14" i="25"/>
  <c r="AM14" i="25"/>
  <c r="AS43" i="25"/>
  <c r="AN307" i="24"/>
  <c r="AK307" i="24"/>
  <c r="AN195" i="24"/>
  <c r="BI195" i="24" s="1"/>
  <c r="AK195" i="24"/>
  <c r="AN116" i="24"/>
  <c r="BI116" i="24" s="1"/>
  <c r="AK116" i="24"/>
  <c r="AT225" i="24"/>
  <c r="AS60" i="25"/>
  <c r="AS266" i="25"/>
  <c r="AT247" i="24"/>
  <c r="AF244" i="25"/>
  <c r="AE244" i="25"/>
  <c r="AK90" i="24"/>
  <c r="AN90" i="24"/>
  <c r="AS26" i="25"/>
  <c r="AF33" i="25"/>
  <c r="AE33" i="25"/>
  <c r="AW179" i="25"/>
  <c r="AX179" i="25"/>
  <c r="BA157" i="24"/>
  <c r="AS124" i="25"/>
  <c r="AS41" i="25"/>
  <c r="AK63" i="24"/>
  <c r="AN63" i="24"/>
  <c r="AF121" i="25"/>
  <c r="AE121" i="25"/>
  <c r="AS294" i="25"/>
  <c r="BA151" i="24"/>
  <c r="AK254" i="24"/>
  <c r="AN254" i="24"/>
  <c r="BI254" i="24" s="1"/>
  <c r="AF127" i="25"/>
  <c r="AE127" i="25"/>
  <c r="BA291" i="24"/>
  <c r="BA252" i="24"/>
  <c r="AX177" i="25"/>
  <c r="AW177" i="25"/>
  <c r="AK274" i="24"/>
  <c r="AN274" i="24"/>
  <c r="AN39" i="24"/>
  <c r="AK39" i="24"/>
  <c r="AF272" i="25"/>
  <c r="AE272" i="25"/>
  <c r="AF300" i="25"/>
  <c r="AE300" i="25"/>
  <c r="AJ190" i="25"/>
  <c r="AM190" i="25"/>
  <c r="AJ293" i="25"/>
  <c r="AM293" i="25"/>
  <c r="BG293" i="25" s="1"/>
  <c r="AK303" i="24"/>
  <c r="AN303" i="24"/>
  <c r="BI303" i="24" s="1"/>
  <c r="AF45" i="25"/>
  <c r="AE45" i="25"/>
  <c r="AN201" i="24"/>
  <c r="AK201" i="24"/>
  <c r="AW89" i="25"/>
  <c r="AX89" i="25"/>
  <c r="AK218" i="24"/>
  <c r="AN218" i="24"/>
  <c r="BI218" i="24" s="1"/>
  <c r="BA161" i="24"/>
  <c r="AX189" i="25"/>
  <c r="AW189" i="25"/>
  <c r="AS86" i="25"/>
  <c r="AK200" i="24"/>
  <c r="AN200" i="24"/>
  <c r="AN183" i="24"/>
  <c r="BI183" i="24" s="1"/>
  <c r="AK183" i="24"/>
  <c r="AF136" i="25"/>
  <c r="AE136" i="25"/>
  <c r="BA239" i="24"/>
  <c r="BA286" i="24"/>
  <c r="AJ305" i="25"/>
  <c r="AM305" i="25"/>
  <c r="AF274" i="25"/>
  <c r="AE274" i="25"/>
  <c r="AX87" i="25"/>
  <c r="AW87" i="25"/>
  <c r="AF289" i="25"/>
  <c r="AE289" i="25"/>
  <c r="AS42" i="25"/>
  <c r="BA264" i="24"/>
  <c r="AK226" i="24"/>
  <c r="AN226" i="24"/>
  <c r="BI226" i="24" s="1"/>
  <c r="AF239" i="25"/>
  <c r="AE239" i="25"/>
  <c r="AS183" i="25"/>
  <c r="AF9" i="25"/>
  <c r="AE9" i="25"/>
  <c r="AN150" i="24"/>
  <c r="BI150" i="24" s="1"/>
  <c r="AK150" i="24"/>
  <c r="AF281" i="25"/>
  <c r="AE281" i="25"/>
  <c r="AF93" i="25"/>
  <c r="AE93" i="25"/>
  <c r="AM292" i="25"/>
  <c r="AJ292" i="25"/>
  <c r="AN217" i="24"/>
  <c r="BI217" i="24" s="1"/>
  <c r="AK217" i="24"/>
  <c r="AS100" i="25"/>
  <c r="BA197" i="24"/>
  <c r="AJ62" i="25"/>
  <c r="AM62" i="25"/>
  <c r="AS118" i="25"/>
  <c r="AS226" i="25"/>
  <c r="AS180" i="25"/>
  <c r="AF20" i="25"/>
  <c r="AE20" i="25"/>
  <c r="AT305" i="24"/>
  <c r="AS66" i="25"/>
  <c r="AT218" i="24"/>
  <c r="AS235" i="25"/>
  <c r="BA200" i="24"/>
  <c r="BA189" i="24"/>
  <c r="AF70" i="25"/>
  <c r="AE70" i="25"/>
  <c r="AS44" i="25"/>
  <c r="AN243" i="24"/>
  <c r="AK243" i="24"/>
  <c r="AX6" i="25"/>
  <c r="AW6" i="25"/>
  <c r="AN231" i="24"/>
  <c r="BI231" i="24" s="1"/>
  <c r="AK231" i="24"/>
  <c r="AS63" i="25"/>
  <c r="AS37" i="25"/>
  <c r="AN91" i="24"/>
  <c r="AK91" i="24"/>
  <c r="AK244" i="24"/>
  <c r="AN244" i="24"/>
  <c r="BI244" i="24" s="1"/>
  <c r="AT111" i="24"/>
  <c r="AJ31" i="25"/>
  <c r="AM31" i="25"/>
  <c r="BG31" i="25" s="1"/>
  <c r="AF277" i="25"/>
  <c r="AE277" i="25"/>
  <c r="AS295" i="25"/>
  <c r="AN253" i="24"/>
  <c r="AK253" i="24"/>
  <c r="AJ199" i="25"/>
  <c r="AM199" i="25"/>
  <c r="BG199" i="25" s="1"/>
  <c r="AS181" i="25"/>
  <c r="AK124" i="24"/>
  <c r="AN124" i="24"/>
  <c r="BI124" i="24" s="1"/>
  <c r="AF102" i="25"/>
  <c r="AE102" i="25"/>
  <c r="AK282" i="24"/>
  <c r="AN282" i="24"/>
  <c r="AS112" i="25"/>
  <c r="AF46" i="25"/>
  <c r="AE46" i="25"/>
  <c r="BA206" i="24"/>
  <c r="BA227" i="24"/>
  <c r="AW170" i="25"/>
  <c r="AX170" i="25"/>
  <c r="AS218" i="25"/>
  <c r="AS290" i="25"/>
  <c r="BA185" i="24"/>
  <c r="AN219" i="24"/>
  <c r="AK219" i="24"/>
  <c r="AF54" i="25"/>
  <c r="AE54" i="25"/>
  <c r="AS90" i="25"/>
  <c r="BA171" i="24"/>
  <c r="BA285" i="24"/>
  <c r="AN156" i="24"/>
  <c r="AK156" i="24"/>
  <c r="BA293" i="24"/>
  <c r="AS138" i="25"/>
  <c r="AF162" i="25"/>
  <c r="AE162" i="25"/>
  <c r="AS18" i="25"/>
  <c r="AF251" i="25"/>
  <c r="AE251" i="25"/>
  <c r="AS132" i="24"/>
  <c r="AU132" i="24" s="1"/>
  <c r="BB132" i="24" s="1"/>
  <c r="BJ132" i="24"/>
  <c r="AQ132" i="24"/>
  <c r="AS169" i="25"/>
  <c r="AK57" i="24"/>
  <c r="AN57" i="24"/>
  <c r="BA192" i="24"/>
  <c r="BA231" i="24"/>
  <c r="AK20" i="24"/>
  <c r="AN20" i="24"/>
  <c r="AN33" i="24"/>
  <c r="AK33" i="24"/>
  <c r="AF307" i="25"/>
  <c r="AE307" i="25"/>
  <c r="AS270" i="25"/>
  <c r="AS208" i="25"/>
  <c r="AS135" i="25"/>
  <c r="AK113" i="24"/>
  <c r="AN113" i="24"/>
  <c r="BI113" i="24" s="1"/>
  <c r="AV32" i="24"/>
  <c r="AT32" i="24"/>
  <c r="AT265" i="24"/>
  <c r="AS132" i="25"/>
  <c r="AK288" i="24"/>
  <c r="AN288" i="24"/>
  <c r="BI288" i="24" s="1"/>
  <c r="AF287" i="25"/>
  <c r="AE287" i="25"/>
  <c r="AN11" i="24"/>
  <c r="AK11" i="24"/>
  <c r="AF91" i="25"/>
  <c r="AE91" i="25"/>
  <c r="AS234" i="25"/>
  <c r="AT261" i="24"/>
  <c r="AF227" i="25"/>
  <c r="AE227" i="25"/>
  <c r="AS36" i="25"/>
  <c r="AK229" i="24"/>
  <c r="AN229" i="24"/>
  <c r="BI229" i="24" s="1"/>
  <c r="AN146" i="24"/>
  <c r="BI146" i="24" s="1"/>
  <c r="AK146" i="24"/>
  <c r="AS55" i="24"/>
  <c r="AQ55" i="24"/>
  <c r="BJ55" i="24"/>
  <c r="AX55" i="24"/>
  <c r="BW55" i="24"/>
  <c r="BH55" i="24"/>
  <c r="AN169" i="24"/>
  <c r="BI169" i="24" s="1"/>
  <c r="AK169" i="24"/>
  <c r="AN62" i="24"/>
  <c r="BI62" i="24" s="1"/>
  <c r="AK62" i="24"/>
  <c r="AS245" i="25"/>
  <c r="AS68" i="25"/>
  <c r="AM240" i="25"/>
  <c r="BG240" i="25" s="1"/>
  <c r="AJ240" i="25"/>
  <c r="BA188" i="24"/>
  <c r="AT240" i="24"/>
  <c r="AJ275" i="25"/>
  <c r="AM275" i="25"/>
  <c r="BG275" i="25" s="1"/>
  <c r="AS231" i="25"/>
  <c r="AX95" i="25"/>
  <c r="AW95" i="25"/>
  <c r="AF43" i="25"/>
  <c r="AE43" i="25"/>
  <c r="AV57" i="24"/>
  <c r="AT57" i="24"/>
  <c r="AT266" i="24"/>
  <c r="AX34" i="25"/>
  <c r="AW34" i="25"/>
  <c r="AF60" i="25"/>
  <c r="AE60" i="25"/>
  <c r="AF266" i="25"/>
  <c r="AE266" i="25"/>
  <c r="BA22" i="24"/>
  <c r="AT224" i="24"/>
  <c r="AJ173" i="25"/>
  <c r="AM173" i="25"/>
  <c r="AM248" i="25"/>
  <c r="BG248" i="25" s="1"/>
  <c r="AJ248" i="25"/>
  <c r="AK70" i="24"/>
  <c r="AN70" i="24"/>
  <c r="AV8" i="24"/>
  <c r="AT8" i="24"/>
  <c r="AF26" i="25"/>
  <c r="AE26" i="25"/>
  <c r="BA314" i="24"/>
  <c r="AV59" i="24"/>
  <c r="AT59" i="24"/>
  <c r="AF124" i="25"/>
  <c r="AE124" i="25"/>
  <c r="AF41" i="25"/>
  <c r="AE41" i="25"/>
  <c r="AS168" i="25"/>
  <c r="AF294" i="25"/>
  <c r="AE294" i="25"/>
  <c r="BA113" i="24"/>
  <c r="AN179" i="24"/>
  <c r="AK179" i="24"/>
  <c r="AS284" i="25"/>
  <c r="AS19" i="25"/>
  <c r="AK196" i="24"/>
  <c r="AN196" i="24"/>
  <c r="BI196" i="24" s="1"/>
  <c r="AJ113" i="25"/>
  <c r="AM113" i="25"/>
  <c r="AS175" i="25"/>
  <c r="BA236" i="24"/>
  <c r="AK182" i="24"/>
  <c r="AN182" i="24"/>
  <c r="BA177" i="24"/>
  <c r="AM114" i="25"/>
  <c r="BG114" i="25" s="1"/>
  <c r="AJ114" i="25"/>
  <c r="BL21" i="24"/>
  <c r="AS21" i="24"/>
  <c r="BJ21" i="24"/>
  <c r="AQ21" i="24"/>
  <c r="AX21" i="24"/>
  <c r="BW21" i="24"/>
  <c r="BH21" i="24"/>
  <c r="AK281" i="24"/>
  <c r="AN281" i="24"/>
  <c r="AF86" i="25"/>
  <c r="AE86" i="25"/>
  <c r="AS164" i="25"/>
  <c r="BA140" i="24"/>
  <c r="AS156" i="25"/>
  <c r="AS7" i="25"/>
  <c r="BA195" i="24"/>
  <c r="AW154" i="25"/>
  <c r="AX154" i="25"/>
  <c r="AN54" i="24"/>
  <c r="AK54" i="24"/>
  <c r="AS301" i="25"/>
  <c r="AW113" i="25"/>
  <c r="AX113" i="25"/>
  <c r="AN301" i="24"/>
  <c r="AK301" i="24"/>
  <c r="AW201" i="25"/>
  <c r="AX201" i="25"/>
  <c r="AN153" i="24"/>
  <c r="AK153" i="24"/>
  <c r="AS228" i="25"/>
  <c r="AF42" i="25"/>
  <c r="AE42" i="25"/>
  <c r="AK38" i="24"/>
  <c r="AN38" i="24"/>
  <c r="BA131" i="24"/>
  <c r="AF183" i="25"/>
  <c r="AE183" i="25"/>
  <c r="AF100" i="25"/>
  <c r="AE100" i="25"/>
  <c r="BA196" i="24"/>
  <c r="AK185" i="24"/>
  <c r="AN185" i="24"/>
  <c r="AS311" i="25"/>
  <c r="AM247" i="25"/>
  <c r="BG247" i="25" s="1"/>
  <c r="AJ247" i="25"/>
  <c r="AS313" i="25"/>
  <c r="AF118" i="25"/>
  <c r="AE118" i="25"/>
  <c r="BA149" i="24"/>
  <c r="AF226" i="25"/>
  <c r="AE226" i="25"/>
  <c r="BA203" i="24"/>
  <c r="AF180" i="25"/>
  <c r="AE180" i="25"/>
  <c r="AN13" i="24"/>
  <c r="AK13" i="24"/>
  <c r="AK27" i="24"/>
  <c r="AN27" i="24"/>
  <c r="AW147" i="25"/>
  <c r="AX147" i="25"/>
  <c r="AS88" i="25"/>
  <c r="AF66" i="25"/>
  <c r="AE66" i="25"/>
  <c r="BL191" i="24"/>
  <c r="AS191" i="24"/>
  <c r="BJ191" i="24"/>
  <c r="AQ191" i="24"/>
  <c r="AX191" i="24"/>
  <c r="BH191" i="24"/>
  <c r="BW191" i="24"/>
  <c r="BU191" i="24"/>
  <c r="AT281" i="24"/>
  <c r="AF235" i="25"/>
  <c r="AE235" i="25"/>
  <c r="BA183" i="24"/>
  <c r="AF44" i="25"/>
  <c r="AE44" i="25"/>
  <c r="AT117" i="24"/>
  <c r="AF63" i="25"/>
  <c r="AE63" i="25"/>
  <c r="AF37" i="25"/>
  <c r="AE37" i="25"/>
  <c r="AT133" i="24"/>
  <c r="AS250" i="25"/>
  <c r="AT153" i="24"/>
  <c r="AF295" i="25"/>
  <c r="AE295" i="25"/>
  <c r="BL257" i="24"/>
  <c r="AS257" i="24"/>
  <c r="BJ257" i="24"/>
  <c r="AQ257" i="24"/>
  <c r="BW257" i="24"/>
  <c r="BU257" i="24"/>
  <c r="AX257" i="24"/>
  <c r="BH257" i="24"/>
  <c r="AN295" i="24"/>
  <c r="AK295" i="24"/>
  <c r="AS299" i="25"/>
  <c r="AF181" i="25"/>
  <c r="AE181" i="25"/>
  <c r="AN89" i="24"/>
  <c r="AK89" i="24"/>
  <c r="AJ276" i="25"/>
  <c r="AM276" i="25"/>
  <c r="BG276" i="25" s="1"/>
  <c r="AF290" i="25"/>
  <c r="AE290" i="25"/>
  <c r="AS176" i="25"/>
  <c r="BA175" i="24"/>
  <c r="AF90" i="25"/>
  <c r="AE90" i="25"/>
  <c r="AN263" i="24"/>
  <c r="AK263" i="24"/>
  <c r="AF138" i="25"/>
  <c r="AE138" i="25"/>
  <c r="AX199" i="25"/>
  <c r="AW199" i="25"/>
  <c r="AF18" i="25"/>
  <c r="AE18" i="25"/>
  <c r="AS249" i="25"/>
  <c r="AF169" i="25"/>
  <c r="AE169" i="25"/>
  <c r="AS288" i="25"/>
  <c r="AK240" i="24"/>
  <c r="AN240" i="24"/>
  <c r="AX32" i="25"/>
  <c r="AW32" i="25"/>
  <c r="AK19" i="24"/>
  <c r="AN19" i="24"/>
  <c r="AK72" i="24"/>
  <c r="AN72" i="24"/>
  <c r="AX97" i="25"/>
  <c r="AW97" i="25"/>
  <c r="AT243" i="24"/>
  <c r="AS264" i="25"/>
  <c r="AN290" i="24"/>
  <c r="BI290" i="24" s="1"/>
  <c r="AK290" i="24"/>
  <c r="AS73" i="25"/>
  <c r="AS80" i="25"/>
  <c r="AN279" i="24"/>
  <c r="AK279" i="24"/>
  <c r="AS144" i="25"/>
  <c r="AF270" i="25"/>
  <c r="AE270" i="25"/>
  <c r="AF208" i="25"/>
  <c r="AE208" i="25"/>
  <c r="AF135" i="25"/>
  <c r="AE135" i="25"/>
  <c r="AJ246" i="25"/>
  <c r="AM246" i="25"/>
  <c r="BG246" i="25" s="1"/>
  <c r="AM206" i="25"/>
  <c r="BG206" i="25" s="1"/>
  <c r="AJ206" i="25"/>
  <c r="AX59" i="25"/>
  <c r="AW59" i="25"/>
  <c r="AF132" i="25"/>
  <c r="AE132" i="25"/>
  <c r="AK202" i="24"/>
  <c r="AN202" i="24"/>
  <c r="AS252" i="25"/>
  <c r="AF234" i="25"/>
  <c r="AE234" i="25"/>
  <c r="AM34" i="25"/>
  <c r="BG34" i="25" s="1"/>
  <c r="AJ34" i="25"/>
  <c r="AS163" i="25"/>
  <c r="AM229" i="25"/>
  <c r="BG229" i="25" s="1"/>
  <c r="AJ229" i="25"/>
  <c r="AF36" i="25"/>
  <c r="AE36" i="25"/>
  <c r="AS210" i="25"/>
  <c r="AF245" i="25"/>
  <c r="AE245" i="25"/>
  <c r="AF68" i="25"/>
  <c r="AE68" i="25"/>
  <c r="BW132" i="24"/>
  <c r="AF231" i="25"/>
  <c r="AE231" i="25"/>
  <c r="AV34" i="24"/>
  <c r="AT34" i="24"/>
  <c r="AV6" i="24"/>
  <c r="AT6" i="24"/>
  <c r="AT238" i="24"/>
  <c r="AM177" i="25"/>
  <c r="AJ177" i="25"/>
  <c r="AV33" i="24"/>
  <c r="AT33" i="24"/>
  <c r="AT271" i="24"/>
  <c r="AK239" i="24"/>
  <c r="AN239" i="24"/>
  <c r="BI239" i="24" s="1"/>
  <c r="AK286" i="24"/>
  <c r="AN286" i="24"/>
  <c r="BI286" i="24" s="1"/>
  <c r="AS74" i="25"/>
  <c r="AK194" i="24"/>
  <c r="AN194" i="24"/>
  <c r="BI194" i="24" s="1"/>
  <c r="BA176" i="24"/>
  <c r="AF168" i="25"/>
  <c r="AE168" i="25"/>
  <c r="AM262" i="25"/>
  <c r="BG262" i="25" s="1"/>
  <c r="AJ262" i="25"/>
  <c r="AS15" i="25"/>
  <c r="AX14" i="25"/>
  <c r="AW14" i="25"/>
  <c r="BA289" i="24"/>
  <c r="B158" i="2"/>
  <c r="AS105" i="25"/>
  <c r="AK311" i="24"/>
  <c r="AN311" i="24"/>
  <c r="BI311" i="24" s="1"/>
  <c r="AF284" i="25"/>
  <c r="AE284" i="25"/>
  <c r="BA180" i="24"/>
  <c r="AM243" i="25"/>
  <c r="BG243" i="25" s="1"/>
  <c r="AJ243" i="25"/>
  <c r="AF19" i="25"/>
  <c r="AE19" i="25"/>
  <c r="AX174" i="25"/>
  <c r="AW174" i="25"/>
  <c r="AS241" i="25"/>
  <c r="AF175" i="25"/>
  <c r="AE175" i="25"/>
  <c r="AK46" i="24"/>
  <c r="AN46" i="24"/>
  <c r="AS65" i="25"/>
  <c r="AK149" i="24"/>
  <c r="AN149" i="24"/>
  <c r="BI149" i="24" s="1"/>
  <c r="AX158" i="25"/>
  <c r="AW158" i="25"/>
  <c r="BA136" i="24"/>
  <c r="AS285" i="25"/>
  <c r="AS44" i="24"/>
  <c r="BJ44" i="24"/>
  <c r="AQ44" i="24"/>
  <c r="AX44" i="24"/>
  <c r="BH44" i="24"/>
  <c r="BW44" i="24"/>
  <c r="AK310" i="24"/>
  <c r="AN310" i="24"/>
  <c r="AS145" i="25"/>
  <c r="AS25" i="25"/>
  <c r="AN298" i="24"/>
  <c r="AK298" i="24"/>
  <c r="AW148" i="25"/>
  <c r="AX148" i="25"/>
  <c r="AF164" i="25"/>
  <c r="AE164" i="25"/>
  <c r="AF156" i="25"/>
  <c r="AE156" i="25"/>
  <c r="AF7" i="25"/>
  <c r="AE7" i="25"/>
  <c r="AK117" i="24"/>
  <c r="AN117" i="24"/>
  <c r="BI117" i="24" s="1"/>
  <c r="AS130" i="25"/>
  <c r="AS128" i="25"/>
  <c r="AF301" i="25"/>
  <c r="AE301" i="25"/>
  <c r="BL292" i="24"/>
  <c r="AS292" i="24"/>
  <c r="AU292" i="24" s="1"/>
  <c r="BB292" i="24" s="1"/>
  <c r="AQ292" i="24"/>
  <c r="BJ292" i="24"/>
  <c r="AK51" i="24"/>
  <c r="AN51" i="24"/>
  <c r="AF228" i="25"/>
  <c r="AE228" i="25"/>
  <c r="AS193" i="25"/>
  <c r="AN135" i="24"/>
  <c r="AK135" i="24"/>
  <c r="BA186" i="24"/>
  <c r="AK278" i="24"/>
  <c r="AN278" i="24"/>
  <c r="BI278" i="24" s="1"/>
  <c r="AK251" i="24"/>
  <c r="AN251" i="24"/>
  <c r="BI251" i="24" s="1"/>
  <c r="AS197" i="25"/>
  <c r="AW96" i="25"/>
  <c r="AX96" i="25"/>
  <c r="AJ94" i="25"/>
  <c r="AM94" i="25"/>
  <c r="BG94" i="25" s="1"/>
  <c r="AK47" i="24"/>
  <c r="AN47" i="24"/>
  <c r="AN205" i="24"/>
  <c r="AK205" i="24"/>
  <c r="BA313" i="24"/>
  <c r="AS165" i="25"/>
  <c r="AF311" i="25"/>
  <c r="AE311" i="25"/>
  <c r="BA127" i="24"/>
  <c r="BL22" i="24"/>
  <c r="AS22" i="24"/>
  <c r="AU22" i="24" s="1"/>
  <c r="BB22" i="24" s="1"/>
  <c r="BJ22" i="24"/>
  <c r="AQ22" i="24"/>
  <c r="BA230" i="24"/>
  <c r="AF313" i="25"/>
  <c r="AE313" i="25"/>
  <c r="AN43" i="24"/>
  <c r="AK43" i="24"/>
  <c r="BA302" i="24"/>
  <c r="AJ82" i="25"/>
  <c r="AM82" i="25"/>
  <c r="BA310" i="24"/>
  <c r="AS81" i="25"/>
  <c r="AF88" i="25"/>
  <c r="AE88" i="25"/>
  <c r="AK165" i="24"/>
  <c r="AN165" i="24"/>
  <c r="AS141" i="25"/>
  <c r="AT296" i="24"/>
  <c r="AS85" i="25"/>
  <c r="AN23" i="24"/>
  <c r="BI23" i="24" s="1"/>
  <c r="AK23" i="24"/>
  <c r="AM170" i="25"/>
  <c r="AJ170" i="25"/>
  <c r="AT125" i="24"/>
  <c r="AT269" i="24"/>
  <c r="AR129" i="25"/>
  <c r="BJ129" i="25"/>
  <c r="AP129" i="25"/>
  <c r="BH129" i="25"/>
  <c r="BW129" i="25"/>
  <c r="BU129" i="25"/>
  <c r="BF129" i="25"/>
  <c r="AK80" i="24"/>
  <c r="AN80" i="24"/>
  <c r="AF250" i="25"/>
  <c r="AE250" i="25"/>
  <c r="AS298" i="25"/>
  <c r="AK152" i="24"/>
  <c r="AN152" i="24"/>
  <c r="AS142" i="24"/>
  <c r="AU142" i="24" s="1"/>
  <c r="BB142" i="24" s="1"/>
  <c r="BJ142" i="24"/>
  <c r="AQ142" i="24"/>
  <c r="AJ314" i="25"/>
  <c r="AM314" i="25"/>
  <c r="BG314" i="25" s="1"/>
  <c r="AF299" i="25"/>
  <c r="AE299" i="25"/>
  <c r="AN312" i="24"/>
  <c r="BI312" i="24" s="1"/>
  <c r="AK312" i="24"/>
  <c r="AS157" i="25"/>
  <c r="AK223" i="24"/>
  <c r="AN223" i="24"/>
  <c r="BI223" i="24" s="1"/>
  <c r="AF218" i="25"/>
  <c r="AE218" i="25"/>
  <c r="AS61" i="25"/>
  <c r="BA278" i="24"/>
  <c r="AM273" i="25"/>
  <c r="BG273" i="25" s="1"/>
  <c r="AJ273" i="25"/>
  <c r="AS302" i="25"/>
  <c r="BA246" i="24"/>
  <c r="AX178" i="25"/>
  <c r="AW178" i="25"/>
  <c r="AF61" i="25"/>
  <c r="AE61" i="25"/>
  <c r="AM283" i="25"/>
  <c r="AJ283" i="25"/>
  <c r="AF176" i="25"/>
  <c r="AE176" i="25"/>
  <c r="AK123" i="24"/>
  <c r="AN123" i="24"/>
  <c r="AK137" i="24"/>
  <c r="AN137" i="24"/>
  <c r="AN272" i="24"/>
  <c r="BI272" i="24" s="1"/>
  <c r="AK272" i="24"/>
  <c r="AF249" i="25"/>
  <c r="AE249" i="25"/>
  <c r="AS279" i="25"/>
  <c r="AF288" i="25"/>
  <c r="AE288" i="25"/>
  <c r="AT273" i="24"/>
  <c r="AN6" i="24"/>
  <c r="BI6" i="24" s="1"/>
  <c r="AK6" i="24"/>
  <c r="AK266" i="24"/>
  <c r="AN266" i="24"/>
  <c r="AN145" i="24"/>
  <c r="AK145" i="24"/>
  <c r="AF264" i="25"/>
  <c r="AE264" i="25"/>
  <c r="AK181" i="24"/>
  <c r="AN181" i="24"/>
  <c r="BI181" i="24" s="1"/>
  <c r="AJ238" i="25"/>
  <c r="AM238" i="25"/>
  <c r="BG238" i="25" s="1"/>
  <c r="BA244" i="24"/>
  <c r="AF73" i="25"/>
  <c r="AE73" i="25"/>
  <c r="AF80" i="25"/>
  <c r="AE80" i="25"/>
  <c r="AS101" i="25"/>
  <c r="AF144" i="25"/>
  <c r="AE144" i="25"/>
  <c r="AN8" i="24"/>
  <c r="AK8" i="24"/>
  <c r="AN94" i="24"/>
  <c r="AK94" i="24"/>
  <c r="AV12" i="24"/>
  <c r="AT12" i="24"/>
  <c r="AV37" i="24"/>
  <c r="AT37" i="24"/>
  <c r="AW167" i="25"/>
  <c r="AX167" i="25"/>
  <c r="AJ306" i="25"/>
  <c r="AM306" i="25"/>
  <c r="AK289" i="24"/>
  <c r="AN289" i="24"/>
  <c r="BI289" i="24" s="1"/>
  <c r="AJ95" i="25"/>
  <c r="AM95" i="25"/>
  <c r="BG95" i="25" s="1"/>
  <c r="AS223" i="25"/>
  <c r="AF252" i="25"/>
  <c r="AE252" i="25"/>
  <c r="AF163" i="25"/>
  <c r="AE163" i="25"/>
  <c r="AK144" i="24"/>
  <c r="AN144" i="24"/>
  <c r="BI144" i="24" s="1"/>
  <c r="AK42" i="24"/>
  <c r="AN42" i="24"/>
  <c r="AN122" i="24"/>
  <c r="BI122" i="24" s="1"/>
  <c r="AK122" i="24"/>
  <c r="AS133" i="25"/>
  <c r="AF210" i="25"/>
  <c r="AE210" i="25"/>
  <c r="BU132" i="24"/>
  <c r="AK198" i="24"/>
  <c r="AN198" i="24"/>
  <c r="BI198" i="24" s="1"/>
  <c r="AK210" i="24"/>
  <c r="AN210" i="24"/>
  <c r="AK161" i="24"/>
  <c r="AN161" i="24"/>
  <c r="AN270" i="24"/>
  <c r="BI270" i="24" s="1"/>
  <c r="AK270" i="24"/>
  <c r="AN255" i="24"/>
  <c r="BI255" i="24" s="1"/>
  <c r="AK255" i="24"/>
  <c r="AS98" i="25"/>
  <c r="AS209" i="25"/>
  <c r="AT260" i="24"/>
  <c r="AF74" i="25"/>
  <c r="AE74" i="25"/>
  <c r="AS150" i="25"/>
  <c r="AS188" i="25"/>
  <c r="AF15" i="25"/>
  <c r="AE15" i="25"/>
  <c r="AK172" i="24"/>
  <c r="AN172" i="24"/>
  <c r="BI172" i="24" s="1"/>
  <c r="AJ148" i="25"/>
  <c r="AM148" i="25"/>
  <c r="BG148" i="25" s="1"/>
  <c r="AF105" i="25"/>
  <c r="AE105" i="25"/>
  <c r="AN52" i="24"/>
  <c r="AK52" i="24"/>
  <c r="BA173" i="24"/>
  <c r="BA287" i="24"/>
  <c r="AK258" i="24"/>
  <c r="AN258" i="24"/>
  <c r="BA159" i="24"/>
  <c r="AF241" i="25"/>
  <c r="AE241" i="25"/>
  <c r="AK98" i="24"/>
  <c r="AN98" i="24"/>
  <c r="AN127" i="24"/>
  <c r="AK127" i="24"/>
  <c r="AS47" i="25"/>
  <c r="AF65" i="25"/>
  <c r="AE65" i="25"/>
  <c r="AK10" i="24"/>
  <c r="AN10" i="24"/>
  <c r="AS236" i="24"/>
  <c r="AU236" i="24" s="1"/>
  <c r="BB236" i="24" s="1"/>
  <c r="BJ236" i="24"/>
  <c r="AQ236" i="24"/>
  <c r="AF285" i="25"/>
  <c r="AE285" i="25"/>
  <c r="AF145" i="25"/>
  <c r="AE145" i="25"/>
  <c r="AN177" i="24"/>
  <c r="BI177" i="24" s="1"/>
  <c r="AK177" i="24"/>
  <c r="BA210" i="24"/>
  <c r="AF25" i="25"/>
  <c r="AE25" i="25"/>
  <c r="AS119" i="25"/>
  <c r="AS315" i="25"/>
  <c r="AF130" i="25"/>
  <c r="AE130" i="25"/>
  <c r="AF128" i="25"/>
  <c r="AE128" i="25"/>
  <c r="AN35" i="24"/>
  <c r="AK35" i="24"/>
  <c r="AF193" i="25"/>
  <c r="AE193" i="25"/>
  <c r="AK285" i="24"/>
  <c r="AN285" i="24"/>
  <c r="BI285" i="24" s="1"/>
  <c r="AN228" i="24"/>
  <c r="AK228" i="24"/>
  <c r="BA250" i="24"/>
  <c r="AS162" i="24"/>
  <c r="BL162" i="24"/>
  <c r="BJ162" i="24"/>
  <c r="AQ162" i="24"/>
  <c r="BW162" i="24"/>
  <c r="AX162" i="24"/>
  <c r="BH162" i="24"/>
  <c r="BU162" i="24"/>
  <c r="AS260" i="25"/>
  <c r="AF197" i="25"/>
  <c r="AE197" i="25"/>
  <c r="AN227" i="24"/>
  <c r="BI227" i="24" s="1"/>
  <c r="AK227" i="24"/>
  <c r="AT274" i="24"/>
  <c r="AF165" i="25"/>
  <c r="AE165" i="25"/>
  <c r="AS268" i="25"/>
  <c r="AK134" i="24"/>
  <c r="AN134" i="24"/>
  <c r="BI134" i="24" s="1"/>
  <c r="BA182" i="24"/>
  <c r="AN93" i="24"/>
  <c r="AK93" i="24"/>
  <c r="AJ161" i="25"/>
  <c r="AM161" i="25"/>
  <c r="AX30" i="25"/>
  <c r="AW30" i="25"/>
  <c r="AN74" i="24"/>
  <c r="AK74" i="24"/>
  <c r="AK71" i="24"/>
  <c r="AN71" i="24"/>
  <c r="AF81" i="25"/>
  <c r="AE81" i="25"/>
  <c r="AF141" i="25"/>
  <c r="AE141" i="25"/>
  <c r="AK99" i="24"/>
  <c r="AN99" i="24"/>
  <c r="AF85" i="25"/>
  <c r="AE85" i="25"/>
  <c r="AN103" i="24"/>
  <c r="AK103" i="24"/>
  <c r="AS286" i="25"/>
  <c r="AS271" i="25"/>
  <c r="AN130" i="24"/>
  <c r="AK130" i="24"/>
  <c r="AM178" i="25"/>
  <c r="BG178" i="25" s="1"/>
  <c r="AJ178" i="25"/>
  <c r="BA178" i="24"/>
  <c r="AS278" i="25"/>
  <c r="AV58" i="24"/>
  <c r="AT58" i="24"/>
  <c r="AS166" i="25"/>
  <c r="AX62" i="25"/>
  <c r="AW62" i="25"/>
  <c r="AM204" i="25"/>
  <c r="BG204" i="25" s="1"/>
  <c r="AJ204" i="25"/>
  <c r="AT249" i="24"/>
  <c r="AF298" i="25"/>
  <c r="AE298" i="25"/>
  <c r="AK100" i="24"/>
  <c r="AN100" i="24"/>
  <c r="AS76" i="25"/>
  <c r="AK12" i="24"/>
  <c r="AN12" i="24"/>
  <c r="AF157" i="25"/>
  <c r="AE157" i="25"/>
  <c r="AS45" i="24"/>
  <c r="AQ45" i="24"/>
  <c r="BJ45" i="24"/>
  <c r="BH45" i="24"/>
  <c r="BW45" i="24"/>
  <c r="AX45" i="24"/>
  <c r="AJ192" i="25"/>
  <c r="AM192" i="25"/>
  <c r="AF112" i="25"/>
  <c r="AE112" i="25"/>
  <c r="BA251" i="24"/>
  <c r="AK68" i="24"/>
  <c r="AN68" i="24"/>
  <c r="AK225" i="24"/>
  <c r="AN225" i="24"/>
  <c r="BI225" i="24" s="1"/>
  <c r="AS83" i="25"/>
  <c r="AN9" i="24"/>
  <c r="AK9" i="24"/>
  <c r="AS69" i="25"/>
  <c r="AK297" i="24"/>
  <c r="AN297" i="24"/>
  <c r="BI297" i="24" s="1"/>
  <c r="AS84" i="25"/>
  <c r="AS184" i="25"/>
  <c r="AM167" i="25"/>
  <c r="BG167" i="25" s="1"/>
  <c r="AJ167" i="25"/>
  <c r="AF279" i="25"/>
  <c r="AE279" i="25"/>
  <c r="AS303" i="25"/>
  <c r="BA168" i="24"/>
  <c r="AS117" i="25"/>
  <c r="AN34" i="24"/>
  <c r="AK34" i="24"/>
  <c r="AT147" i="24"/>
  <c r="AT130" i="24"/>
  <c r="AK64" i="24"/>
  <c r="AN64" i="24"/>
  <c r="BA67" i="24"/>
  <c r="AF101" i="25"/>
  <c r="AE101" i="25"/>
  <c r="AS139" i="25"/>
  <c r="AS297" i="25"/>
  <c r="AS216" i="25"/>
  <c r="AN115" i="24"/>
  <c r="BI115" i="24" s="1"/>
  <c r="AK115" i="24"/>
  <c r="AJ261" i="25"/>
  <c r="AM261" i="25"/>
  <c r="BG261" i="25" s="1"/>
  <c r="AK222" i="24"/>
  <c r="AN222" i="24"/>
  <c r="BI222" i="24" s="1"/>
  <c r="AK173" i="24"/>
  <c r="AN173" i="24"/>
  <c r="AF223" i="25"/>
  <c r="AE223" i="25"/>
  <c r="AK256" i="24"/>
  <c r="AN256" i="24"/>
  <c r="BI256" i="24" s="1"/>
  <c r="AS103" i="25"/>
  <c r="AS194" i="25"/>
  <c r="AT219" i="24"/>
  <c r="AR143" i="25"/>
  <c r="BJ143" i="25"/>
  <c r="AP143" i="25"/>
  <c r="BH143" i="25"/>
  <c r="BF143" i="25"/>
  <c r="BU143" i="25"/>
  <c r="BW143" i="25"/>
  <c r="AS151" i="25"/>
  <c r="AS203" i="25"/>
  <c r="AF133" i="25"/>
  <c r="AE133" i="25"/>
  <c r="AN143" i="24"/>
  <c r="BI143" i="24" s="1"/>
  <c r="AK143" i="24"/>
  <c r="AV48" i="24"/>
  <c r="AT48" i="24"/>
  <c r="AK136" i="24"/>
  <c r="AN136" i="24"/>
  <c r="BI136" i="24" s="1"/>
  <c r="BH132" i="24"/>
  <c r="AT114" i="24"/>
  <c r="AN118" i="24"/>
  <c r="AK118" i="24"/>
  <c r="AN140" i="24"/>
  <c r="BI140" i="24" s="1"/>
  <c r="AK140" i="24"/>
  <c r="AS233" i="25"/>
  <c r="AN158" i="24"/>
  <c r="BI158" i="24" s="1"/>
  <c r="AK158" i="24"/>
  <c r="AS160" i="25"/>
  <c r="BA167" i="24"/>
  <c r="AF98" i="25"/>
  <c r="AE98" i="25"/>
  <c r="AS16" i="25"/>
  <c r="AF209" i="25"/>
  <c r="AE209" i="25"/>
  <c r="BA193" i="24"/>
  <c r="AJ296" i="25"/>
  <c r="AM296" i="25"/>
  <c r="BG296" i="25" s="1"/>
  <c r="AN170" i="24"/>
  <c r="AK170" i="24"/>
  <c r="AK304" i="24"/>
  <c r="AN304" i="24"/>
  <c r="AS294" i="24"/>
  <c r="BL294" i="24"/>
  <c r="BJ294" i="24"/>
  <c r="AQ294" i="24"/>
  <c r="AX294" i="24"/>
  <c r="BH294" i="24"/>
  <c r="BW294" i="24"/>
  <c r="BU294" i="24"/>
  <c r="AF150" i="25"/>
  <c r="AE150" i="25"/>
  <c r="AS205" i="25"/>
  <c r="AN186" i="24"/>
  <c r="AK186" i="24"/>
  <c r="AF188" i="25"/>
  <c r="AE188" i="25"/>
  <c r="AK250" i="24"/>
  <c r="AN250" i="24"/>
  <c r="AN308" i="24"/>
  <c r="BI308" i="24" s="1"/>
  <c r="AK308" i="24"/>
  <c r="BA166" i="24"/>
  <c r="BA199" i="24"/>
  <c r="BA202" i="24"/>
  <c r="BA222" i="24"/>
  <c r="AS8" i="25"/>
  <c r="AN313" i="24"/>
  <c r="BI313" i="24" s="1"/>
  <c r="AK313" i="24"/>
  <c r="AS219" i="25"/>
  <c r="BA229" i="24"/>
  <c r="AF47" i="25"/>
  <c r="AE47" i="25"/>
  <c r="AN163" i="24"/>
  <c r="AK163" i="24"/>
  <c r="BA146" i="24"/>
  <c r="AS142" i="25"/>
  <c r="AT112" i="24"/>
  <c r="BA198" i="24"/>
  <c r="BA118" i="24"/>
  <c r="AF119" i="25"/>
  <c r="AE119" i="25"/>
  <c r="AF315" i="25"/>
  <c r="AE315" i="25"/>
  <c r="BA158" i="24"/>
  <c r="AK148" i="24"/>
  <c r="AN148" i="24"/>
  <c r="AK24" i="24"/>
  <c r="AN24" i="24"/>
  <c r="AS140" i="25"/>
  <c r="AK133" i="24"/>
  <c r="AN133" i="24"/>
  <c r="BA170" i="24"/>
  <c r="AN97" i="24"/>
  <c r="AK97" i="24"/>
  <c r="BA201" i="24"/>
  <c r="AX114" i="25"/>
  <c r="AW114" i="25"/>
  <c r="AF260" i="25"/>
  <c r="AE260" i="25"/>
  <c r="BA276" i="24"/>
  <c r="BA179" i="24"/>
  <c r="AN141" i="24"/>
  <c r="BI141" i="24" s="1"/>
  <c r="AK141" i="24"/>
  <c r="AK49" i="24"/>
  <c r="AN49" i="24"/>
  <c r="AK184" i="24"/>
  <c r="AN184" i="24"/>
  <c r="BI184" i="24" s="1"/>
  <c r="AS256" i="25"/>
  <c r="AF268" i="25"/>
  <c r="AE268" i="25"/>
  <c r="AK50" i="24"/>
  <c r="AN50" i="24"/>
  <c r="AS50" i="25"/>
  <c r="AK40" i="24"/>
  <c r="AN40" i="24"/>
  <c r="AN87" i="24"/>
  <c r="AK87" i="24"/>
  <c r="AK293" i="24"/>
  <c r="AN293" i="24"/>
  <c r="BI293" i="24" s="1"/>
  <c r="AS115" i="25"/>
  <c r="AN73" i="24"/>
  <c r="AK73" i="24"/>
  <c r="AM232" i="25"/>
  <c r="BG232" i="25" s="1"/>
  <c r="AJ232" i="25"/>
  <c r="AV28" i="24"/>
  <c r="AT28" i="24"/>
  <c r="AN76" i="24"/>
  <c r="AK76" i="24"/>
  <c r="AS308" i="25"/>
  <c r="AK139" i="24"/>
  <c r="AN139" i="24"/>
  <c r="AF286" i="25"/>
  <c r="AE286" i="25"/>
  <c r="AF271" i="25"/>
  <c r="AE271" i="25"/>
  <c r="AT148" i="24"/>
  <c r="AF278" i="25"/>
  <c r="AE278" i="25"/>
  <c r="AF166" i="25"/>
  <c r="AE166" i="25"/>
  <c r="AN306" i="24"/>
  <c r="AK306" i="24"/>
  <c r="AV35" i="24"/>
  <c r="AT35" i="24"/>
  <c r="AV26" i="24"/>
  <c r="AT26" i="24"/>
  <c r="BL119" i="24"/>
  <c r="AS119" i="24"/>
  <c r="AQ119" i="24"/>
  <c r="BJ119" i="24"/>
  <c r="AX119" i="24"/>
  <c r="BH119" i="24"/>
  <c r="BW119" i="24"/>
  <c r="BU119" i="24"/>
  <c r="AF76" i="25"/>
  <c r="AE76" i="25"/>
  <c r="AS134" i="25"/>
  <c r="BA138" i="24"/>
  <c r="AW11" i="25"/>
  <c r="AX11" i="25"/>
  <c r="BL160" i="24"/>
  <c r="AS160" i="24"/>
  <c r="BJ160" i="24"/>
  <c r="AQ160" i="24"/>
  <c r="BW160" i="24"/>
  <c r="BU160" i="24"/>
  <c r="AX160" i="24"/>
  <c r="BH160" i="24"/>
  <c r="AF302" i="25"/>
  <c r="AE302" i="25"/>
  <c r="AN207" i="24"/>
  <c r="BI207" i="24" s="1"/>
  <c r="AK207" i="24"/>
  <c r="BA205" i="24"/>
  <c r="AS122" i="25"/>
  <c r="AS153" i="25"/>
  <c r="AF83" i="25"/>
  <c r="AE83" i="25"/>
  <c r="AS310" i="25"/>
  <c r="AS217" i="25"/>
  <c r="AS171" i="25"/>
  <c r="AF69" i="25"/>
  <c r="AE69" i="25"/>
  <c r="AF84" i="25"/>
  <c r="AE84" i="25"/>
  <c r="AF184" i="25"/>
  <c r="AE184" i="25"/>
  <c r="AS22" i="25"/>
  <c r="AS56" i="25"/>
  <c r="AK114" i="24"/>
  <c r="AN114" i="24"/>
  <c r="AS207" i="25"/>
  <c r="AF303" i="25"/>
  <c r="AE303" i="25"/>
  <c r="AS55" i="25"/>
  <c r="AF117" i="25"/>
  <c r="AE117" i="25"/>
  <c r="AJ186" i="25"/>
  <c r="AM186" i="25"/>
  <c r="AN315" i="24"/>
  <c r="BI315" i="24" s="1"/>
  <c r="AK315" i="24"/>
  <c r="BA306" i="24"/>
  <c r="AK259" i="24"/>
  <c r="AN259" i="24"/>
  <c r="AS149" i="25"/>
  <c r="AF139" i="25"/>
  <c r="AE139" i="25"/>
  <c r="AK260" i="24"/>
  <c r="AN260" i="24"/>
  <c r="BI260" i="24" s="1"/>
  <c r="AF297" i="25"/>
  <c r="AE297" i="25"/>
  <c r="AN84" i="24"/>
  <c r="AK84" i="24"/>
  <c r="AK157" i="24"/>
  <c r="AN157" i="24"/>
  <c r="AF216" i="25"/>
  <c r="AE216" i="25"/>
  <c r="AT284" i="24"/>
  <c r="AN166" i="24"/>
  <c r="AK166" i="24"/>
  <c r="AS7" i="24"/>
  <c r="BJ7" i="24"/>
  <c r="AQ7" i="24"/>
  <c r="BW7" i="24"/>
  <c r="AX7" i="24"/>
  <c r="BH7" i="24"/>
  <c r="AK31" i="24"/>
  <c r="AN31" i="24"/>
  <c r="BA209" i="24"/>
  <c r="AK291" i="24"/>
  <c r="AN291" i="24"/>
  <c r="BI291" i="24" s="1"/>
  <c r="AT299" i="24"/>
  <c r="AN180" i="24"/>
  <c r="AK180" i="24"/>
  <c r="AF103" i="25"/>
  <c r="AE103" i="25"/>
  <c r="AF194" i="25"/>
  <c r="AE194" i="25"/>
  <c r="AS38" i="25"/>
  <c r="AS35" i="25"/>
  <c r="AX186" i="25"/>
  <c r="AW186" i="25"/>
  <c r="AK88" i="24"/>
  <c r="AN88" i="24"/>
  <c r="AF151" i="25"/>
  <c r="AE151" i="25"/>
  <c r="AF203" i="25"/>
  <c r="AE203" i="25"/>
  <c r="AT123" i="24"/>
  <c r="AT297" i="24"/>
  <c r="AS27" i="25"/>
  <c r="AN208" i="24"/>
  <c r="AK208" i="24"/>
  <c r="BA137" i="24"/>
  <c r="AW192" i="25"/>
  <c r="AX192" i="25"/>
  <c r="AX132" i="24"/>
  <c r="AK85" i="24"/>
  <c r="AN85" i="24"/>
  <c r="AS64" i="25"/>
  <c r="AV19" i="24"/>
  <c r="AT19" i="24"/>
  <c r="AF233" i="25"/>
  <c r="AE233" i="25"/>
  <c r="AN309" i="24"/>
  <c r="BI309" i="24" s="1"/>
  <c r="AK309" i="24"/>
  <c r="AS172" i="25"/>
  <c r="AN82" i="24"/>
  <c r="AK82" i="24"/>
  <c r="BA174" i="24"/>
  <c r="AF160" i="25"/>
  <c r="AE160" i="25"/>
  <c r="AT237" i="24"/>
  <c r="AF16" i="25"/>
  <c r="AE16" i="25"/>
  <c r="AM158" i="25"/>
  <c r="BG158" i="25" s="1"/>
  <c r="AJ158" i="25"/>
  <c r="AK77" i="24"/>
  <c r="AN77" i="24"/>
  <c r="AK245" i="24"/>
  <c r="AN245" i="24"/>
  <c r="BI245" i="24" s="1"/>
  <c r="AM13" i="25"/>
  <c r="BG13" i="25" s="1"/>
  <c r="AJ13" i="25"/>
  <c r="AS51" i="25"/>
  <c r="AS304" i="25"/>
  <c r="AF205" i="25"/>
  <c r="AE205" i="25"/>
  <c r="AN65" i="24"/>
  <c r="AK65" i="24"/>
  <c r="AS78" i="25"/>
  <c r="AK14" i="24"/>
  <c r="AN14" i="24"/>
  <c r="BI14" i="24" s="1"/>
  <c r="AM189" i="25"/>
  <c r="AF8" i="25"/>
  <c r="AE8" i="25"/>
  <c r="AS52" i="25"/>
  <c r="AS126" i="25"/>
  <c r="BA300" i="24"/>
  <c r="BA144" i="24"/>
  <c r="AS309" i="25"/>
  <c r="AF219" i="25"/>
  <c r="AE219" i="25"/>
  <c r="AK262" i="24"/>
  <c r="AN262" i="24"/>
  <c r="BI262" i="24" s="1"/>
  <c r="AS23" i="25"/>
  <c r="AN241" i="24"/>
  <c r="BI241" i="24" s="1"/>
  <c r="AK241" i="24"/>
  <c r="AN203" i="24"/>
  <c r="AK203" i="24"/>
  <c r="AK302" i="24"/>
  <c r="AN302" i="24"/>
  <c r="AF142" i="25"/>
  <c r="AE142" i="25"/>
  <c r="AK95" i="24"/>
  <c r="AN95" i="24"/>
  <c r="AK53" i="24"/>
  <c r="AN53" i="24"/>
  <c r="AK280" i="24"/>
  <c r="AN280" i="24"/>
  <c r="AN28" i="24"/>
  <c r="AK28" i="24"/>
  <c r="AN296" i="24"/>
  <c r="BI296" i="24" s="1"/>
  <c r="AK296" i="24"/>
  <c r="BA277" i="24"/>
  <c r="BA270" i="24"/>
  <c r="AK121" i="24"/>
  <c r="AN121" i="24"/>
  <c r="AS316" i="25"/>
  <c r="AN189" i="24"/>
  <c r="BI189" i="24" s="1"/>
  <c r="AK189" i="24"/>
  <c r="AN178" i="24"/>
  <c r="AK178" i="24"/>
  <c r="AK269" i="24"/>
  <c r="AN269" i="24"/>
  <c r="AF140" i="25"/>
  <c r="AE140" i="25"/>
  <c r="AN111" i="24"/>
  <c r="AK111" i="24"/>
  <c r="AS72" i="25"/>
  <c r="AN249" i="24"/>
  <c r="AK249" i="24"/>
  <c r="BA304" i="24"/>
  <c r="AS75" i="25"/>
  <c r="AW190" i="25"/>
  <c r="AX190" i="25"/>
  <c r="AJ198" i="25"/>
  <c r="AM198" i="25"/>
  <c r="BG198" i="25" s="1"/>
  <c r="AS242" i="25"/>
  <c r="AJ147" i="25"/>
  <c r="AM147" i="25"/>
  <c r="BA308" i="24"/>
  <c r="AK206" i="24"/>
  <c r="AN206" i="24"/>
  <c r="AN36" i="24"/>
  <c r="AK36" i="24"/>
  <c r="AF256" i="25"/>
  <c r="AE256" i="25"/>
  <c r="AS224" i="25"/>
  <c r="AS263" i="25"/>
  <c r="AF50" i="25"/>
  <c r="AE50" i="25"/>
  <c r="AF115" i="25"/>
  <c r="AE115" i="25"/>
  <c r="AK16" i="24"/>
  <c r="AN16" i="24"/>
  <c r="AT298" i="24"/>
  <c r="AF308" i="25"/>
  <c r="AE308" i="25"/>
  <c r="AN102" i="24"/>
  <c r="AK102" i="24"/>
  <c r="AX94" i="25"/>
  <c r="AW94" i="25"/>
  <c r="AJ282" i="25"/>
  <c r="AM282" i="25"/>
  <c r="BG282" i="25" s="1"/>
  <c r="AS24" i="25"/>
  <c r="AV51" i="24"/>
  <c r="AT51" i="24"/>
  <c r="AN66" i="24"/>
  <c r="BI66" i="24" s="1"/>
  <c r="AK66" i="24"/>
  <c r="AS48" i="25"/>
  <c r="AS152" i="25"/>
  <c r="AX161" i="25"/>
  <c r="AW161" i="25"/>
  <c r="AT228" i="24"/>
  <c r="AF134" i="25"/>
  <c r="AE134" i="25"/>
  <c r="AS222" i="25"/>
  <c r="AS253" i="25"/>
  <c r="BA221" i="24"/>
  <c r="AK265" i="24"/>
  <c r="AN265" i="24"/>
  <c r="BI265" i="24" s="1"/>
  <c r="AK32" i="24"/>
  <c r="AN32" i="24"/>
  <c r="AK267" i="24"/>
  <c r="AN267" i="24"/>
  <c r="AS182" i="25"/>
  <c r="AK120" i="24"/>
  <c r="AN120" i="24"/>
  <c r="BA141" i="24"/>
  <c r="AF122" i="25"/>
  <c r="AE122" i="25"/>
  <c r="AS40" i="25"/>
  <c r="BA150" i="24"/>
  <c r="AF182" i="25"/>
  <c r="AE182" i="25"/>
  <c r="AN283" i="24"/>
  <c r="AK283" i="24"/>
  <c r="BA217" i="24"/>
  <c r="BA292" i="24"/>
  <c r="AF153" i="25"/>
  <c r="AE153" i="25"/>
  <c r="BA234" i="24"/>
  <c r="AF310" i="25"/>
  <c r="AE310" i="25"/>
  <c r="AF217" i="25"/>
  <c r="AE217" i="25"/>
  <c r="AF171" i="25"/>
  <c r="AE171" i="25"/>
  <c r="AF22" i="25"/>
  <c r="AE22" i="25"/>
  <c r="AF56" i="25"/>
  <c r="AE56" i="25"/>
  <c r="AF207" i="25"/>
  <c r="AE207" i="25"/>
  <c r="AF55" i="25"/>
  <c r="AE55" i="25"/>
  <c r="AK129" i="24"/>
  <c r="AN129" i="24"/>
  <c r="AS146" i="25"/>
  <c r="AN238" i="24"/>
  <c r="BI238" i="24" s="1"/>
  <c r="AK238" i="24"/>
  <c r="AK18" i="24"/>
  <c r="AN18" i="24"/>
  <c r="AN174" i="24"/>
  <c r="BI174" i="24" s="1"/>
  <c r="AK174" i="24"/>
  <c r="AN237" i="24"/>
  <c r="AK237" i="24"/>
  <c r="AS10" i="25"/>
  <c r="AF149" i="25"/>
  <c r="AE149" i="25"/>
  <c r="AK247" i="24"/>
  <c r="AN247" i="24"/>
  <c r="AT152" i="24"/>
  <c r="AK314" i="24"/>
  <c r="AN314" i="24"/>
  <c r="BI314" i="24" s="1"/>
  <c r="AN59" i="24"/>
  <c r="AK59" i="24"/>
  <c r="AS236" i="25"/>
  <c r="BA312" i="24"/>
  <c r="AT120" i="24"/>
  <c r="AK151" i="24"/>
  <c r="AN151" i="24"/>
  <c r="AS17" i="25"/>
  <c r="AK287" i="24"/>
  <c r="AN287" i="24"/>
  <c r="AK159" i="24"/>
  <c r="AN159" i="24"/>
  <c r="BI159" i="24" s="1"/>
  <c r="AT283" i="24"/>
  <c r="AT128" i="24"/>
  <c r="AF38" i="25"/>
  <c r="AE38" i="25"/>
  <c r="AF35" i="25"/>
  <c r="AE35" i="25"/>
  <c r="AK92" i="24"/>
  <c r="AN92" i="24"/>
  <c r="AS190" i="24"/>
  <c r="BL190" i="24"/>
  <c r="AQ190" i="24"/>
  <c r="BJ190" i="24"/>
  <c r="BH190" i="24"/>
  <c r="BU190" i="24"/>
  <c r="BW190" i="24"/>
  <c r="AX190" i="24"/>
  <c r="AV56" i="24"/>
  <c r="AT56" i="24"/>
  <c r="AS225" i="25"/>
  <c r="AF27" i="25"/>
  <c r="AE27" i="25"/>
  <c r="AK277" i="24"/>
  <c r="AN277" i="24"/>
  <c r="AF64" i="25"/>
  <c r="AE64" i="25"/>
  <c r="AN187" i="24"/>
  <c r="BI187" i="24" s="1"/>
  <c r="AK187" i="24"/>
  <c r="AX92" i="25"/>
  <c r="AW92" i="25"/>
  <c r="AT129" i="24"/>
  <c r="AT235" i="24"/>
  <c r="AK268" i="24"/>
  <c r="AN268" i="24"/>
  <c r="BI268" i="24" s="1"/>
  <c r="AV18" i="24"/>
  <c r="AT18" i="24"/>
  <c r="AF172" i="25"/>
  <c r="AE172" i="25"/>
  <c r="AV20" i="24"/>
  <c r="AT20" i="24"/>
  <c r="AV30" i="24"/>
  <c r="AT30" i="24"/>
  <c r="BA181" i="24"/>
  <c r="AS123" i="25"/>
  <c r="BA315" i="24"/>
  <c r="AT259" i="24"/>
  <c r="AS200" i="25"/>
  <c r="AF51" i="25"/>
  <c r="AE51" i="25"/>
  <c r="AF304" i="25"/>
  <c r="AE304" i="25"/>
  <c r="AK204" i="24"/>
  <c r="AN204" i="24"/>
  <c r="AK138" i="24"/>
  <c r="AN138" i="24"/>
  <c r="BI138" i="24" s="1"/>
  <c r="AN81" i="24"/>
  <c r="AK81" i="24"/>
  <c r="BA115" i="24"/>
  <c r="AF78" i="25"/>
  <c r="AE78" i="25"/>
  <c r="AN131" i="24"/>
  <c r="BI131" i="24" s="1"/>
  <c r="AK131" i="24"/>
  <c r="BA288" i="24"/>
  <c r="AF52" i="25"/>
  <c r="AE52" i="25"/>
  <c r="AS57" i="25"/>
  <c r="AF126" i="25"/>
  <c r="AE126" i="25"/>
  <c r="AN69" i="24"/>
  <c r="AK69" i="24"/>
  <c r="AF309" i="25"/>
  <c r="AE309" i="25"/>
  <c r="AW173" i="25"/>
  <c r="AX173" i="25"/>
  <c r="AF23" i="25"/>
  <c r="AE23" i="25"/>
  <c r="AM201" i="25"/>
  <c r="BG201" i="25" s="1"/>
  <c r="AJ201" i="25"/>
  <c r="AX21" i="25"/>
  <c r="AW21" i="25"/>
  <c r="BA143" i="24"/>
  <c r="BA169" i="24"/>
  <c r="AJ71" i="25"/>
  <c r="AM71" i="25"/>
  <c r="AJ87" i="25"/>
  <c r="AM87" i="25"/>
  <c r="BG87" i="25" s="1"/>
  <c r="AK305" i="24"/>
  <c r="AN305" i="24"/>
  <c r="AS220" i="25"/>
  <c r="AF316" i="25"/>
  <c r="AE316" i="25"/>
  <c r="AS79" i="25"/>
  <c r="BA307" i="24"/>
  <c r="BA255" i="24"/>
  <c r="BA309" i="24"/>
  <c r="AN246" i="24"/>
  <c r="BI246" i="24" s="1"/>
  <c r="AK246" i="24"/>
  <c r="AS195" i="25"/>
  <c r="AS137" i="25"/>
  <c r="AF72" i="25"/>
  <c r="AE72" i="25"/>
  <c r="AF75" i="25"/>
  <c r="AE75" i="25"/>
  <c r="AX71" i="25"/>
  <c r="AW71" i="25"/>
  <c r="AJ30" i="25"/>
  <c r="AM30" i="25"/>
  <c r="AF242" i="25"/>
  <c r="AE242" i="25"/>
  <c r="BA275" i="24"/>
  <c r="BA194" i="24"/>
  <c r="AS39" i="25"/>
  <c r="AS49" i="25"/>
  <c r="BA254" i="24"/>
  <c r="BA172" i="24"/>
  <c r="AK221" i="24"/>
  <c r="AN221" i="24"/>
  <c r="BI221" i="24" s="1"/>
  <c r="BL264" i="24"/>
  <c r="AS264" i="24"/>
  <c r="AU264" i="24" s="1"/>
  <c r="BB264" i="24" s="1"/>
  <c r="AQ264" i="24"/>
  <c r="BJ264" i="24"/>
  <c r="AT258" i="24"/>
  <c r="AF224" i="25"/>
  <c r="AE224" i="25"/>
  <c r="BA262" i="24"/>
  <c r="AF263" i="25"/>
  <c r="AE263" i="25"/>
  <c r="BA163" i="24"/>
  <c r="AN154" i="24"/>
  <c r="BI154" i="24" s="1"/>
  <c r="AK154" i="24"/>
  <c r="AN75" i="24"/>
  <c r="AK75" i="24"/>
  <c r="BA303" i="24"/>
  <c r="AM267" i="25"/>
  <c r="BG267" i="25" s="1"/>
  <c r="AJ267" i="25"/>
  <c r="AK232" i="24"/>
  <c r="AN232" i="24"/>
  <c r="AT280" i="24"/>
  <c r="AS191" i="25"/>
  <c r="AN273" i="24"/>
  <c r="AK273" i="24"/>
  <c r="AS230" i="25"/>
  <c r="AN168" i="24"/>
  <c r="AK168" i="24"/>
  <c r="AK147" i="24"/>
  <c r="AN147" i="24"/>
  <c r="BI147" i="24" s="1"/>
  <c r="AR110" i="25"/>
  <c r="BJ110" i="25"/>
  <c r="BH110" i="25"/>
  <c r="AP110" i="25"/>
  <c r="BU110" i="25"/>
  <c r="BW110" i="25"/>
  <c r="BF110" i="25"/>
  <c r="AK60" i="24"/>
  <c r="AN60" i="24"/>
  <c r="AN192" i="24"/>
  <c r="BI192" i="24" s="1"/>
  <c r="AK192" i="24"/>
  <c r="AV24" i="24"/>
  <c r="AT24" i="24"/>
  <c r="AV54" i="24"/>
  <c r="AT54" i="24"/>
  <c r="AK67" i="24"/>
  <c r="AN67" i="24"/>
  <c r="AF24" i="25"/>
  <c r="AE24" i="25"/>
  <c r="AS187" i="25"/>
  <c r="AF48" i="25"/>
  <c r="AE48" i="25"/>
  <c r="AF152" i="25"/>
  <c r="AE152" i="25"/>
  <c r="AS125" i="25"/>
  <c r="AK78" i="24"/>
  <c r="AN78" i="24"/>
  <c r="BI78" i="24" s="1"/>
  <c r="AX82" i="25"/>
  <c r="AW82" i="25"/>
  <c r="AN242" i="24"/>
  <c r="AK242" i="24"/>
  <c r="AS111" i="25"/>
  <c r="AF222" i="25"/>
  <c r="AE222" i="25"/>
  <c r="AF253" i="25"/>
  <c r="AE253" i="25"/>
  <c r="BI118" i="24" l="1"/>
  <c r="CE118" i="24"/>
  <c r="BG113" i="25"/>
  <c r="CE113" i="25"/>
  <c r="AX155" i="24"/>
  <c r="BI155" i="24"/>
  <c r="CE277" i="24"/>
  <c r="BI277" i="24"/>
  <c r="BL277" i="24" s="1"/>
  <c r="CE287" i="24"/>
  <c r="BI287" i="24"/>
  <c r="BL287" i="24" s="1"/>
  <c r="AX267" i="24"/>
  <c r="BI267" i="24"/>
  <c r="BL267" i="24" s="1"/>
  <c r="CE302" i="24"/>
  <c r="BI302" i="24"/>
  <c r="BL302" i="24" s="1"/>
  <c r="BH259" i="24"/>
  <c r="BI259" i="24"/>
  <c r="CE139" i="24"/>
  <c r="BI139" i="24"/>
  <c r="CE250" i="24"/>
  <c r="BI250" i="24"/>
  <c r="CE161" i="25"/>
  <c r="BG161" i="25"/>
  <c r="BJ161" i="25" s="1"/>
  <c r="BU123" i="24"/>
  <c r="BI123" i="24"/>
  <c r="BL123" i="24" s="1"/>
  <c r="CE170" i="25"/>
  <c r="BG170" i="25"/>
  <c r="BJ170" i="25" s="1"/>
  <c r="CE310" i="24"/>
  <c r="BI310" i="24"/>
  <c r="BH279" i="24"/>
  <c r="BI279" i="24"/>
  <c r="AX282" i="24"/>
  <c r="BI282" i="24"/>
  <c r="BL282" i="24" s="1"/>
  <c r="CE305" i="25"/>
  <c r="BG305" i="25"/>
  <c r="BJ305" i="25" s="1"/>
  <c r="CE174" i="25"/>
  <c r="BG174" i="25"/>
  <c r="BJ174" i="25" s="1"/>
  <c r="AX235" i="24"/>
  <c r="BI235" i="24"/>
  <c r="BL235" i="24" s="1"/>
  <c r="AX129" i="24"/>
  <c r="BI129" i="24"/>
  <c r="BU153" i="24"/>
  <c r="BI153" i="24"/>
  <c r="BU224" i="24"/>
  <c r="BI224" i="24"/>
  <c r="BL224" i="24" s="1"/>
  <c r="CE168" i="24"/>
  <c r="BI168" i="24"/>
  <c r="BL168" i="24" s="1"/>
  <c r="AX247" i="24"/>
  <c r="BI247" i="24"/>
  <c r="BL247" i="24" s="1"/>
  <c r="BU283" i="24"/>
  <c r="BI283" i="24"/>
  <c r="BL283" i="24" s="1"/>
  <c r="AX269" i="24"/>
  <c r="BI269" i="24"/>
  <c r="CE157" i="24"/>
  <c r="BI157" i="24"/>
  <c r="BU114" i="24"/>
  <c r="BI114" i="24"/>
  <c r="BL114" i="24" s="1"/>
  <c r="CE185" i="24"/>
  <c r="BI185" i="24"/>
  <c r="BL185" i="24" s="1"/>
  <c r="AX219" i="24"/>
  <c r="BI219" i="24"/>
  <c r="BL219" i="24" s="1"/>
  <c r="BW228" i="24"/>
  <c r="BI228" i="24"/>
  <c r="BL228" i="24" s="1"/>
  <c r="CE292" i="25"/>
  <c r="BG292" i="25"/>
  <c r="CE186" i="25"/>
  <c r="BG186" i="25"/>
  <c r="BJ186" i="25" s="1"/>
  <c r="CE186" i="24"/>
  <c r="BI186" i="24"/>
  <c r="BL186" i="24" s="1"/>
  <c r="CE304" i="24"/>
  <c r="BI304" i="24"/>
  <c r="BL304" i="24" s="1"/>
  <c r="BW130" i="24"/>
  <c r="BI130" i="24"/>
  <c r="BL130" i="24" s="1"/>
  <c r="CE161" i="24"/>
  <c r="BI161" i="24"/>
  <c r="CE283" i="25"/>
  <c r="BG283" i="25"/>
  <c r="CE173" i="25"/>
  <c r="BG173" i="25"/>
  <c r="BJ173" i="25" s="1"/>
  <c r="CE209" i="24"/>
  <c r="BI209" i="24"/>
  <c r="BL209" i="24" s="1"/>
  <c r="CE199" i="24"/>
  <c r="BI199" i="24"/>
  <c r="BL199" i="24" s="1"/>
  <c r="BW271" i="24"/>
  <c r="BI271" i="24"/>
  <c r="BL271" i="24" s="1"/>
  <c r="BH248" i="24"/>
  <c r="BI248" i="24"/>
  <c r="BL248" i="24" s="1"/>
  <c r="AX280" i="24"/>
  <c r="BI280" i="24"/>
  <c r="BU232" i="24"/>
  <c r="BI232" i="24"/>
  <c r="CE306" i="25"/>
  <c r="BG306" i="25"/>
  <c r="BJ306" i="25" s="1"/>
  <c r="CE165" i="24"/>
  <c r="BI165" i="24"/>
  <c r="BL165" i="24" s="1"/>
  <c r="CE205" i="24"/>
  <c r="BI205" i="24"/>
  <c r="BL205" i="24" s="1"/>
  <c r="CE177" i="25"/>
  <c r="BG177" i="25"/>
  <c r="BJ177" i="25" s="1"/>
  <c r="CE202" i="24"/>
  <c r="BI202" i="24"/>
  <c r="CE156" i="24"/>
  <c r="BI156" i="24"/>
  <c r="CE151" i="24"/>
  <c r="BI151" i="24"/>
  <c r="BL151" i="24" s="1"/>
  <c r="CE173" i="24"/>
  <c r="BI173" i="24"/>
  <c r="BL173" i="24" s="1"/>
  <c r="AX258" i="24"/>
  <c r="BI258" i="24"/>
  <c r="BL258" i="24" s="1"/>
  <c r="AX263" i="24"/>
  <c r="BI263" i="24"/>
  <c r="BL263" i="24" s="1"/>
  <c r="AX243" i="24"/>
  <c r="BI243" i="24"/>
  <c r="CE206" i="24"/>
  <c r="BI206" i="24"/>
  <c r="CE189" i="25"/>
  <c r="BG189" i="25"/>
  <c r="BJ189" i="25" s="1"/>
  <c r="CE180" i="24"/>
  <c r="BI180" i="24"/>
  <c r="BL180" i="24" s="1"/>
  <c r="AX305" i="24"/>
  <c r="BI305" i="24"/>
  <c r="BL305" i="24" s="1"/>
  <c r="BH237" i="24"/>
  <c r="BI237" i="24"/>
  <c r="BL237" i="24" s="1"/>
  <c r="AX249" i="24"/>
  <c r="BI249" i="24"/>
  <c r="CE210" i="24"/>
  <c r="BI210" i="24"/>
  <c r="AX152" i="24"/>
  <c r="BI152" i="24"/>
  <c r="BL152" i="24" s="1"/>
  <c r="BH295" i="24"/>
  <c r="BI295" i="24"/>
  <c r="BL295" i="24" s="1"/>
  <c r="BU301" i="24"/>
  <c r="BI301" i="24"/>
  <c r="BL301" i="24" s="1"/>
  <c r="CE201" i="24"/>
  <c r="BI201" i="24"/>
  <c r="BL201" i="24" s="1"/>
  <c r="BU112" i="24"/>
  <c r="BI112" i="24"/>
  <c r="BW261" i="24"/>
  <c r="BI261" i="24"/>
  <c r="CE204" i="24"/>
  <c r="BI204" i="24"/>
  <c r="BL204" i="24" s="1"/>
  <c r="BW121" i="24"/>
  <c r="BI121" i="24"/>
  <c r="BL121" i="24" s="1"/>
  <c r="CE170" i="24"/>
  <c r="BI170" i="24"/>
  <c r="BL170" i="24" s="1"/>
  <c r="CE135" i="24"/>
  <c r="BI135" i="24"/>
  <c r="BL135" i="24" s="1"/>
  <c r="CE200" i="24"/>
  <c r="BI200" i="24"/>
  <c r="BW128" i="24"/>
  <c r="BI128" i="24"/>
  <c r="CE203" i="24"/>
  <c r="BI203" i="24"/>
  <c r="BL203" i="24" s="1"/>
  <c r="CE166" i="24"/>
  <c r="BI166" i="24"/>
  <c r="BL166" i="24" s="1"/>
  <c r="BH148" i="24"/>
  <c r="BI148" i="24"/>
  <c r="BL148" i="24" s="1"/>
  <c r="AX145" i="24"/>
  <c r="BI145" i="24"/>
  <c r="BL145" i="24" s="1"/>
  <c r="AX298" i="24"/>
  <c r="BI298" i="24"/>
  <c r="CE179" i="24"/>
  <c r="BI179" i="24"/>
  <c r="CE275" i="24"/>
  <c r="BI275" i="24"/>
  <c r="BL275" i="24" s="1"/>
  <c r="CE190" i="25"/>
  <c r="BG190" i="25"/>
  <c r="BJ190" i="25" s="1"/>
  <c r="AX273" i="24"/>
  <c r="BI273" i="24"/>
  <c r="BL273" i="24" s="1"/>
  <c r="BU133" i="24"/>
  <c r="BI133" i="24"/>
  <c r="BL133" i="24" s="1"/>
  <c r="BU120" i="24"/>
  <c r="BI120" i="24"/>
  <c r="CE147" i="25"/>
  <c r="BG147" i="25"/>
  <c r="BJ147" i="25" s="1"/>
  <c r="CE111" i="24"/>
  <c r="BI111" i="24"/>
  <c r="CE163" i="24"/>
  <c r="BI163" i="24"/>
  <c r="BL163" i="24" s="1"/>
  <c r="CE192" i="25"/>
  <c r="BG192" i="25"/>
  <c r="BJ192" i="25" s="1"/>
  <c r="CE127" i="24"/>
  <c r="BI127" i="24"/>
  <c r="BL127" i="24" s="1"/>
  <c r="BU266" i="24"/>
  <c r="BI266" i="24"/>
  <c r="CE137" i="24"/>
  <c r="BI137" i="24"/>
  <c r="AX281" i="24"/>
  <c r="BI281" i="24"/>
  <c r="BL281" i="24" s="1"/>
  <c r="CE182" i="24"/>
  <c r="BI182" i="24"/>
  <c r="BL182" i="24" s="1"/>
  <c r="AX253" i="24"/>
  <c r="BI253" i="24"/>
  <c r="BL253" i="24" s="1"/>
  <c r="BU274" i="24"/>
  <c r="BI274" i="24"/>
  <c r="BL274" i="24" s="1"/>
  <c r="CE193" i="24"/>
  <c r="BI193" i="24"/>
  <c r="CE306" i="24"/>
  <c r="BI306" i="24"/>
  <c r="CE242" i="24"/>
  <c r="BI242" i="24"/>
  <c r="BL242" i="24" s="1"/>
  <c r="BW240" i="24"/>
  <c r="BI240" i="24"/>
  <c r="BL240" i="24" s="1"/>
  <c r="CE178" i="24"/>
  <c r="BI178" i="24"/>
  <c r="BL178" i="24" s="1"/>
  <c r="CE208" i="24"/>
  <c r="BI208" i="24"/>
  <c r="BL208" i="24" s="1"/>
  <c r="CE307" i="24"/>
  <c r="BI307" i="24"/>
  <c r="AX125" i="24"/>
  <c r="BI125" i="24"/>
  <c r="BU59" i="24"/>
  <c r="BI59" i="24"/>
  <c r="BL59" i="24" s="1"/>
  <c r="AX12" i="24"/>
  <c r="BI12" i="24"/>
  <c r="BL12" i="24" s="1"/>
  <c r="BU103" i="24"/>
  <c r="BI103" i="24"/>
  <c r="BL103" i="24" s="1"/>
  <c r="CE74" i="24"/>
  <c r="BI74" i="24"/>
  <c r="BL74" i="24" s="1"/>
  <c r="BU52" i="24"/>
  <c r="BI52" i="24"/>
  <c r="BL52" i="24" s="1"/>
  <c r="BU72" i="24"/>
  <c r="BI72" i="24"/>
  <c r="BU27" i="24"/>
  <c r="BI27" i="24"/>
  <c r="BL27" i="24" s="1"/>
  <c r="BU38" i="24"/>
  <c r="BI38" i="24"/>
  <c r="BL38" i="24" s="1"/>
  <c r="BU91" i="24"/>
  <c r="BI91" i="24"/>
  <c r="BL91" i="24" s="1"/>
  <c r="BU18" i="24"/>
  <c r="BI18" i="24"/>
  <c r="BL18" i="24" s="1"/>
  <c r="BU73" i="24"/>
  <c r="BI73" i="24"/>
  <c r="BL73" i="24" s="1"/>
  <c r="BU39" i="24"/>
  <c r="BI39" i="24"/>
  <c r="AX17" i="24"/>
  <c r="BI17" i="24"/>
  <c r="BU83" i="24"/>
  <c r="BI83" i="24"/>
  <c r="BL83" i="24" s="1"/>
  <c r="BU31" i="24"/>
  <c r="BI31" i="24"/>
  <c r="BL31" i="24" s="1"/>
  <c r="BH34" i="24"/>
  <c r="BI34" i="24"/>
  <c r="BL34" i="24" s="1"/>
  <c r="BU98" i="24"/>
  <c r="BI98" i="24"/>
  <c r="BL98" i="24" s="1"/>
  <c r="AX19" i="24"/>
  <c r="BI19" i="24"/>
  <c r="BU33" i="24"/>
  <c r="BI33" i="24"/>
  <c r="BL33" i="24" s="1"/>
  <c r="BU90" i="24"/>
  <c r="BI90" i="24"/>
  <c r="BL90" i="24" s="1"/>
  <c r="BW37" i="24"/>
  <c r="BI37" i="24"/>
  <c r="BL37" i="24" s="1"/>
  <c r="CE79" i="24"/>
  <c r="BI79" i="24"/>
  <c r="BL79" i="24" s="1"/>
  <c r="CE71" i="25"/>
  <c r="BG71" i="25"/>
  <c r="BJ71" i="25" s="1"/>
  <c r="BU60" i="24"/>
  <c r="BI60" i="24"/>
  <c r="BL60" i="24" s="1"/>
  <c r="BU75" i="24"/>
  <c r="BI75" i="24"/>
  <c r="BL75" i="24" s="1"/>
  <c r="CE30" i="25"/>
  <c r="BG30" i="25"/>
  <c r="BJ30" i="25" s="1"/>
  <c r="BU100" i="24"/>
  <c r="BI100" i="24"/>
  <c r="BL100" i="24" s="1"/>
  <c r="BU99" i="24"/>
  <c r="BI99" i="24"/>
  <c r="BL99" i="24" s="1"/>
  <c r="BU80" i="24"/>
  <c r="BI80" i="24"/>
  <c r="BL80" i="24" s="1"/>
  <c r="CE82" i="25"/>
  <c r="BG82" i="25"/>
  <c r="BH51" i="24"/>
  <c r="BI51" i="24"/>
  <c r="BU13" i="24"/>
  <c r="BI13" i="24"/>
  <c r="BL13" i="24" s="1"/>
  <c r="BW54" i="24"/>
  <c r="BI54" i="24"/>
  <c r="BL54" i="24" s="1"/>
  <c r="BH20" i="24"/>
  <c r="BI20" i="24"/>
  <c r="BL20" i="24" s="1"/>
  <c r="BW58" i="24"/>
  <c r="BI58" i="24"/>
  <c r="BL58" i="24" s="1"/>
  <c r="BW9" i="24"/>
  <c r="BI9" i="24"/>
  <c r="BU70" i="24"/>
  <c r="BI70" i="24"/>
  <c r="BU63" i="24"/>
  <c r="BI63" i="24"/>
  <c r="BL63" i="24" s="1"/>
  <c r="BU65" i="24"/>
  <c r="BI65" i="24"/>
  <c r="BL65" i="24" s="1"/>
  <c r="BU69" i="24"/>
  <c r="BI69" i="24"/>
  <c r="BL69" i="24" s="1"/>
  <c r="CE92" i="24"/>
  <c r="BI92" i="24"/>
  <c r="BL92" i="24" s="1"/>
  <c r="BH32" i="24"/>
  <c r="BI32" i="24"/>
  <c r="CE102" i="24"/>
  <c r="BI102" i="24"/>
  <c r="BL102" i="24" s="1"/>
  <c r="BU49" i="24"/>
  <c r="BI49" i="24"/>
  <c r="BL49" i="24" s="1"/>
  <c r="BU97" i="24"/>
  <c r="BI97" i="24"/>
  <c r="BL97" i="24" s="1"/>
  <c r="BU89" i="24"/>
  <c r="BI89" i="24"/>
  <c r="BL89" i="24" s="1"/>
  <c r="CE14" i="25"/>
  <c r="BG14" i="25"/>
  <c r="BJ14" i="25" s="1"/>
  <c r="BU96" i="24"/>
  <c r="BI96" i="24"/>
  <c r="BL96" i="24" s="1"/>
  <c r="BU29" i="24"/>
  <c r="BI29" i="24"/>
  <c r="BL29" i="24" s="1"/>
  <c r="BU48" i="24"/>
  <c r="BI48" i="24"/>
  <c r="BL48" i="24" s="1"/>
  <c r="BU81" i="24"/>
  <c r="BI81" i="24"/>
  <c r="BL81" i="24" s="1"/>
  <c r="BU28" i="24"/>
  <c r="BI28" i="24"/>
  <c r="BL28" i="24" s="1"/>
  <c r="BU87" i="24"/>
  <c r="BI87" i="24"/>
  <c r="BL87" i="24" s="1"/>
  <c r="BU93" i="24"/>
  <c r="BI93" i="24"/>
  <c r="BL93" i="24" s="1"/>
  <c r="BU94" i="24"/>
  <c r="BI94" i="24"/>
  <c r="BL94" i="24" s="1"/>
  <c r="BW26" i="24"/>
  <c r="BI26" i="24"/>
  <c r="BL26" i="24" s="1"/>
  <c r="CE92" i="25"/>
  <c r="BG92" i="25"/>
  <c r="BJ92" i="25" s="1"/>
  <c r="BU86" i="24"/>
  <c r="BI86" i="24"/>
  <c r="BL86" i="24" s="1"/>
  <c r="BU67" i="24"/>
  <c r="BI67" i="24"/>
  <c r="BL67" i="24" s="1"/>
  <c r="BU85" i="24"/>
  <c r="BI85" i="24"/>
  <c r="BU84" i="24"/>
  <c r="BI84" i="24"/>
  <c r="BL84" i="24" s="1"/>
  <c r="BU76" i="24"/>
  <c r="BI76" i="24"/>
  <c r="BL76" i="24" s="1"/>
  <c r="BU40" i="24"/>
  <c r="BI40" i="24"/>
  <c r="BL40" i="24" s="1"/>
  <c r="BU10" i="24"/>
  <c r="BI10" i="24"/>
  <c r="BL10" i="24" s="1"/>
  <c r="BU43" i="24"/>
  <c r="BI43" i="24"/>
  <c r="BL43" i="24" s="1"/>
  <c r="BU46" i="24"/>
  <c r="BI46" i="24"/>
  <c r="BL46" i="24" s="1"/>
  <c r="BW57" i="24"/>
  <c r="BI57" i="24"/>
  <c r="BL57" i="24" s="1"/>
  <c r="CE89" i="25"/>
  <c r="BG89" i="25"/>
  <c r="BJ89" i="25" s="1"/>
  <c r="BU36" i="24"/>
  <c r="BI36" i="24"/>
  <c r="BL36" i="24" s="1"/>
  <c r="BU68" i="24"/>
  <c r="BI68" i="24"/>
  <c r="BL68" i="24" s="1"/>
  <c r="BU42" i="24"/>
  <c r="BI42" i="24"/>
  <c r="BL42" i="24" s="1"/>
  <c r="BW8" i="24"/>
  <c r="BI8" i="24"/>
  <c r="BU105" i="24"/>
  <c r="BI105" i="24"/>
  <c r="BU56" i="24"/>
  <c r="BI56" i="24"/>
  <c r="BL56" i="24" s="1"/>
  <c r="CE6" i="25"/>
  <c r="BG6" i="25"/>
  <c r="BJ6" i="25" s="1"/>
  <c r="BU104" i="24"/>
  <c r="BI104" i="24"/>
  <c r="BL104" i="24" s="1"/>
  <c r="BU16" i="24"/>
  <c r="BI16" i="24"/>
  <c r="BL16" i="24" s="1"/>
  <c r="BU53" i="24"/>
  <c r="BI53" i="24"/>
  <c r="BU64" i="24"/>
  <c r="BI64" i="24"/>
  <c r="BL64" i="24" s="1"/>
  <c r="BU71" i="24"/>
  <c r="BI71" i="24"/>
  <c r="BL71" i="24" s="1"/>
  <c r="BU11" i="24"/>
  <c r="BI11" i="24"/>
  <c r="BL11" i="24" s="1"/>
  <c r="BU15" i="24"/>
  <c r="BI15" i="24"/>
  <c r="BL15" i="24" s="1"/>
  <c r="BU25" i="24"/>
  <c r="BI25" i="24"/>
  <c r="BL25" i="24" s="1"/>
  <c r="BU82" i="24"/>
  <c r="BI82" i="24"/>
  <c r="BL82" i="24" s="1"/>
  <c r="BU88" i="24"/>
  <c r="BI88" i="24"/>
  <c r="BL88" i="24" s="1"/>
  <c r="BU50" i="24"/>
  <c r="BI50" i="24"/>
  <c r="BL50" i="24" s="1"/>
  <c r="BU24" i="24"/>
  <c r="BI24" i="24"/>
  <c r="BL24" i="24" s="1"/>
  <c r="BU47" i="24"/>
  <c r="BI47" i="24"/>
  <c r="BL47" i="24" s="1"/>
  <c r="CE21" i="25"/>
  <c r="BG21" i="25"/>
  <c r="BJ21" i="25" s="1"/>
  <c r="BU95" i="24"/>
  <c r="BI95" i="24"/>
  <c r="BL95" i="24" s="1"/>
  <c r="BU77" i="24"/>
  <c r="BI77" i="24"/>
  <c r="BL77" i="24" s="1"/>
  <c r="AX35" i="24"/>
  <c r="BI35" i="24"/>
  <c r="BL35" i="24" s="1"/>
  <c r="CE62" i="25"/>
  <c r="BG62" i="25"/>
  <c r="BJ62" i="25" s="1"/>
  <c r="BH238" i="24"/>
  <c r="CE238" i="24"/>
  <c r="BU23" i="24"/>
  <c r="CE23" i="24"/>
  <c r="BW30" i="24"/>
  <c r="CE30" i="24"/>
  <c r="AM280" i="25"/>
  <c r="BW280" i="25" s="1"/>
  <c r="AX126" i="24"/>
  <c r="CE126" i="24"/>
  <c r="BU78" i="24"/>
  <c r="CE78" i="24"/>
  <c r="BU62" i="24"/>
  <c r="CE62" i="24"/>
  <c r="BU61" i="24"/>
  <c r="CE61" i="24"/>
  <c r="BU284" i="24"/>
  <c r="CE284" i="24"/>
  <c r="AX117" i="24"/>
  <c r="CE117" i="24"/>
  <c r="BU14" i="24"/>
  <c r="CE14" i="24"/>
  <c r="AX225" i="24"/>
  <c r="CE225" i="24"/>
  <c r="BW297" i="24"/>
  <c r="CE297" i="24"/>
  <c r="BU66" i="24"/>
  <c r="CE66" i="24"/>
  <c r="AX6" i="24"/>
  <c r="CE6" i="24"/>
  <c r="BW218" i="24"/>
  <c r="CE218" i="24"/>
  <c r="BU37" i="24"/>
  <c r="BU30" i="24"/>
  <c r="BU102" i="24"/>
  <c r="BU19" i="24"/>
  <c r="BU79" i="24"/>
  <c r="BU92" i="24"/>
  <c r="BU57" i="24"/>
  <c r="BU74" i="24"/>
  <c r="BU17" i="24"/>
  <c r="BU58" i="24"/>
  <c r="BU9" i="24"/>
  <c r="BU35" i="24"/>
  <c r="BU26" i="24"/>
  <c r="BU34" i="24"/>
  <c r="BU51" i="24"/>
  <c r="BU54" i="24"/>
  <c r="BU20" i="24"/>
  <c r="BU8" i="24"/>
  <c r="BU6" i="24"/>
  <c r="BU12" i="24"/>
  <c r="BU32" i="24"/>
  <c r="AM11" i="25"/>
  <c r="CE87" i="24"/>
  <c r="CE97" i="24"/>
  <c r="AP206" i="25"/>
  <c r="CE206" i="25"/>
  <c r="CE73" i="24"/>
  <c r="AX56" i="24"/>
  <c r="CE56" i="24"/>
  <c r="AP198" i="25"/>
  <c r="CE198" i="25"/>
  <c r="BW299" i="24"/>
  <c r="CE299" i="24"/>
  <c r="CE80" i="24"/>
  <c r="CE88" i="24"/>
  <c r="CE104" i="24"/>
  <c r="AP204" i="25"/>
  <c r="CE204" i="25"/>
  <c r="CE81" i="24"/>
  <c r="CE98" i="24"/>
  <c r="AM96" i="25"/>
  <c r="BG96" i="25" s="1"/>
  <c r="CE103" i="24"/>
  <c r="B48" i="2"/>
  <c r="D48" i="2" s="1"/>
  <c r="AP199" i="25"/>
  <c r="CE199" i="25"/>
  <c r="AP201" i="25"/>
  <c r="CE201" i="25"/>
  <c r="AM104" i="25"/>
  <c r="CE105" i="24"/>
  <c r="BH290" i="24"/>
  <c r="CE290" i="24"/>
  <c r="AM258" i="25"/>
  <c r="BW281" i="24"/>
  <c r="AM154" i="25"/>
  <c r="BG154" i="25" s="1"/>
  <c r="AM97" i="25"/>
  <c r="BU125" i="24"/>
  <c r="BW125" i="24"/>
  <c r="BH125" i="24"/>
  <c r="AJ154" i="25"/>
  <c r="BH224" i="24"/>
  <c r="AJ29" i="25"/>
  <c r="AM179" i="25"/>
  <c r="BG179" i="25" s="1"/>
  <c r="AX224" i="24"/>
  <c r="BW224" i="24"/>
  <c r="AM265" i="25"/>
  <c r="AX20" i="24"/>
  <c r="BH123" i="24"/>
  <c r="AX123" i="24"/>
  <c r="BW123" i="24"/>
  <c r="BH112" i="24"/>
  <c r="AX112" i="24"/>
  <c r="BW112" i="24"/>
  <c r="AJ291" i="25"/>
  <c r="BU219" i="24"/>
  <c r="AX51" i="24"/>
  <c r="BW280" i="24"/>
  <c r="AX33" i="24"/>
  <c r="AX58" i="24"/>
  <c r="BH228" i="24"/>
  <c r="BW284" i="24"/>
  <c r="BW235" i="24"/>
  <c r="AX218" i="24"/>
  <c r="BU259" i="24"/>
  <c r="AX259" i="24"/>
  <c r="BW152" i="24"/>
  <c r="BU152" i="24"/>
  <c r="BW20" i="24"/>
  <c r="AJ28" i="25"/>
  <c r="BW51" i="24"/>
  <c r="BH152" i="24"/>
  <c r="BW24" i="24"/>
  <c r="BH24" i="24"/>
  <c r="BH128" i="24"/>
  <c r="AX24" i="24"/>
  <c r="BW56" i="24"/>
  <c r="BH56" i="24"/>
  <c r="BH274" i="24"/>
  <c r="AX274" i="24"/>
  <c r="BW274" i="24"/>
  <c r="BH261" i="24"/>
  <c r="BH284" i="24"/>
  <c r="AX284" i="24"/>
  <c r="BU243" i="24"/>
  <c r="BW219" i="24"/>
  <c r="BH58" i="24"/>
  <c r="BW243" i="24"/>
  <c r="AX261" i="24"/>
  <c r="BU261" i="24"/>
  <c r="BH219" i="24"/>
  <c r="BH243" i="24"/>
  <c r="BW259" i="24"/>
  <c r="AW292" i="24"/>
  <c r="BD292" i="24" s="1"/>
  <c r="BW19" i="24"/>
  <c r="BW48" i="24"/>
  <c r="AX128" i="24"/>
  <c r="AX228" i="24"/>
  <c r="BH26" i="24"/>
  <c r="AX26" i="24"/>
  <c r="BU148" i="24"/>
  <c r="BU128" i="24"/>
  <c r="BU228" i="24"/>
  <c r="BH19" i="24"/>
  <c r="AJ237" i="25"/>
  <c r="AM237" i="25"/>
  <c r="BG237" i="25" s="1"/>
  <c r="BH297" i="24"/>
  <c r="BH33" i="24"/>
  <c r="AX297" i="24"/>
  <c r="BW283" i="24"/>
  <c r="BU297" i="24"/>
  <c r="BW33" i="24"/>
  <c r="BU280" i="24"/>
  <c r="BH30" i="24"/>
  <c r="BW18" i="24"/>
  <c r="BH271" i="24"/>
  <c r="AX30" i="24"/>
  <c r="BH48" i="24"/>
  <c r="AX271" i="24"/>
  <c r="AX48" i="24"/>
  <c r="BH37" i="24"/>
  <c r="BU271" i="24"/>
  <c r="BW153" i="24"/>
  <c r="BH280" i="24"/>
  <c r="BW35" i="24"/>
  <c r="S212" i="25"/>
  <c r="K212" i="25" s="1"/>
  <c r="R212" i="25"/>
  <c r="Q212" i="25"/>
  <c r="BZ212" i="25"/>
  <c r="AO212" i="25"/>
  <c r="BH153" i="24"/>
  <c r="AX153" i="24"/>
  <c r="BU298" i="24"/>
  <c r="BU258" i="24"/>
  <c r="BW298" i="24"/>
  <c r="BU130" i="24"/>
  <c r="BW148" i="24"/>
  <c r="BW129" i="24"/>
  <c r="BH298" i="24"/>
  <c r="BH18" i="24"/>
  <c r="BH218" i="24"/>
  <c r="BU218" i="24"/>
  <c r="AJ77" i="25"/>
  <c r="AM77" i="25"/>
  <c r="BU129" i="24"/>
  <c r="AX283" i="24"/>
  <c r="AX18" i="24"/>
  <c r="BH129" i="24"/>
  <c r="BH35" i="24"/>
  <c r="BH54" i="24"/>
  <c r="BW258" i="24"/>
  <c r="BU235" i="24"/>
  <c r="BH299" i="24"/>
  <c r="BU281" i="24"/>
  <c r="AX37" i="24"/>
  <c r="BH120" i="24"/>
  <c r="BU299" i="24"/>
  <c r="AX54" i="24"/>
  <c r="AX299" i="24"/>
  <c r="BH258" i="24"/>
  <c r="BH235" i="24"/>
  <c r="BW120" i="24"/>
  <c r="BH130" i="24"/>
  <c r="BH281" i="24"/>
  <c r="AX148" i="24"/>
  <c r="BH57" i="24"/>
  <c r="AX57" i="24"/>
  <c r="AS242" i="24"/>
  <c r="AU242" i="24" s="1"/>
  <c r="BB242" i="24" s="1"/>
  <c r="BJ242" i="24"/>
  <c r="AQ242" i="24"/>
  <c r="BL192" i="24"/>
  <c r="AS192" i="24"/>
  <c r="AQ192" i="24"/>
  <c r="BJ192" i="24"/>
  <c r="BH192" i="24"/>
  <c r="BU192" i="24"/>
  <c r="BW192" i="24"/>
  <c r="AX192" i="24"/>
  <c r="AJ48" i="25"/>
  <c r="AM48" i="25"/>
  <c r="BG48" i="25" s="1"/>
  <c r="AS60" i="24"/>
  <c r="BJ60" i="24"/>
  <c r="AQ60" i="24"/>
  <c r="BW60" i="24"/>
  <c r="AX60" i="24"/>
  <c r="BH60" i="24"/>
  <c r="AT110" i="25"/>
  <c r="AY110" i="25" s="1"/>
  <c r="AU110" i="25"/>
  <c r="AR267" i="25"/>
  <c r="BJ267" i="25"/>
  <c r="AP267" i="25"/>
  <c r="BH267" i="25"/>
  <c r="BU267" i="25"/>
  <c r="BW267" i="25"/>
  <c r="BF267" i="25"/>
  <c r="AM52" i="25"/>
  <c r="AJ52" i="25"/>
  <c r="AW111" i="25"/>
  <c r="AX111" i="25"/>
  <c r="AX125" i="25"/>
  <c r="AW125" i="25"/>
  <c r="AJ24" i="25"/>
  <c r="AM24" i="25"/>
  <c r="BG24" i="25" s="1"/>
  <c r="BL147" i="24"/>
  <c r="AS147" i="24"/>
  <c r="AU147" i="24" s="1"/>
  <c r="BB147" i="24" s="1"/>
  <c r="BJ147" i="24"/>
  <c r="AQ147" i="24"/>
  <c r="AX191" i="25"/>
  <c r="AW191" i="25"/>
  <c r="BL221" i="24"/>
  <c r="AS221" i="24"/>
  <c r="BJ221" i="24"/>
  <c r="AQ221" i="24"/>
  <c r="BU221" i="24"/>
  <c r="BW221" i="24"/>
  <c r="AX221" i="24"/>
  <c r="BH221" i="24"/>
  <c r="AR201" i="25"/>
  <c r="BJ201" i="25"/>
  <c r="BH201" i="25"/>
  <c r="BF201" i="25"/>
  <c r="BW201" i="25"/>
  <c r="BU201" i="25"/>
  <c r="AM309" i="25"/>
  <c r="AJ309" i="25"/>
  <c r="AM304" i="25"/>
  <c r="BG304" i="25" s="1"/>
  <c r="AJ304" i="25"/>
  <c r="BA56" i="24"/>
  <c r="AS287" i="24"/>
  <c r="AQ287" i="24"/>
  <c r="BJ287" i="24"/>
  <c r="BU287" i="24"/>
  <c r="AX287" i="24"/>
  <c r="BH287" i="24"/>
  <c r="BW287" i="24"/>
  <c r="BL174" i="24"/>
  <c r="AS174" i="24"/>
  <c r="BJ174" i="24"/>
  <c r="AQ174" i="24"/>
  <c r="AX174" i="24"/>
  <c r="BH174" i="24"/>
  <c r="BW174" i="24"/>
  <c r="BU174" i="24"/>
  <c r="AX146" i="25"/>
  <c r="AW146" i="25"/>
  <c r="AM122" i="25"/>
  <c r="BG122" i="25" s="1"/>
  <c r="AJ122" i="25"/>
  <c r="AW182" i="25"/>
  <c r="AX182" i="25"/>
  <c r="AS265" i="24"/>
  <c r="AU265" i="24" s="1"/>
  <c r="BB265" i="24" s="1"/>
  <c r="BL265" i="24"/>
  <c r="AQ265" i="24"/>
  <c r="BJ265" i="24"/>
  <c r="AJ50" i="25"/>
  <c r="AM50" i="25"/>
  <c r="BG50" i="25" s="1"/>
  <c r="AJ256" i="25"/>
  <c r="AM256" i="25"/>
  <c r="BG256" i="25" s="1"/>
  <c r="AS111" i="24"/>
  <c r="AU111" i="24" s="1"/>
  <c r="BB111" i="24" s="1"/>
  <c r="BL111" i="24"/>
  <c r="AQ111" i="24"/>
  <c r="BJ111" i="24"/>
  <c r="AS95" i="24"/>
  <c r="BJ95" i="24"/>
  <c r="AQ95" i="24"/>
  <c r="BW95" i="24"/>
  <c r="AX95" i="24"/>
  <c r="BH95" i="24"/>
  <c r="AJ205" i="25"/>
  <c r="AM205" i="25"/>
  <c r="BG205" i="25" s="1"/>
  <c r="AR13" i="25"/>
  <c r="BJ13" i="25"/>
  <c r="AP13" i="25"/>
  <c r="BH13" i="25"/>
  <c r="BF13" i="25"/>
  <c r="BU13" i="25"/>
  <c r="BW13" i="25"/>
  <c r="BA237" i="24"/>
  <c r="AM203" i="25"/>
  <c r="BG203" i="25" s="1"/>
  <c r="AJ203" i="25"/>
  <c r="BL260" i="24"/>
  <c r="AS260" i="24"/>
  <c r="AU260" i="24" s="1"/>
  <c r="BB260" i="24" s="1"/>
  <c r="BJ260" i="24"/>
  <c r="AQ260" i="24"/>
  <c r="BA35" i="24"/>
  <c r="BL139" i="24"/>
  <c r="AS139" i="24"/>
  <c r="BJ139" i="24"/>
  <c r="AQ139" i="24"/>
  <c r="BH139" i="24"/>
  <c r="BW139" i="24"/>
  <c r="BU139" i="24"/>
  <c r="AX139" i="24"/>
  <c r="AS50" i="24"/>
  <c r="BJ50" i="24"/>
  <c r="AQ50" i="24"/>
  <c r="AX50" i="24"/>
  <c r="BH50" i="24"/>
  <c r="BW50" i="24"/>
  <c r="AS141" i="24"/>
  <c r="BL141" i="24"/>
  <c r="BJ141" i="24"/>
  <c r="AQ141" i="24"/>
  <c r="AX141" i="24"/>
  <c r="BH141" i="24"/>
  <c r="BU141" i="24"/>
  <c r="BW141" i="24"/>
  <c r="AS97" i="24"/>
  <c r="BJ97" i="24"/>
  <c r="AQ97" i="24"/>
  <c r="AX97" i="24"/>
  <c r="BH97" i="24"/>
  <c r="BW97" i="24"/>
  <c r="AX140" i="25"/>
  <c r="AW140" i="25"/>
  <c r="AW205" i="25"/>
  <c r="AX205" i="25"/>
  <c r="AM98" i="25"/>
  <c r="BG98" i="25" s="1"/>
  <c r="AJ98" i="25"/>
  <c r="AS118" i="24"/>
  <c r="BL118" i="24"/>
  <c r="AQ118" i="24"/>
  <c r="BJ118" i="24"/>
  <c r="BU118" i="24"/>
  <c r="BW118" i="24"/>
  <c r="AX118" i="24"/>
  <c r="BH118" i="24"/>
  <c r="AX203" i="25"/>
  <c r="AW203" i="25"/>
  <c r="BL256" i="24"/>
  <c r="AS256" i="24"/>
  <c r="BJ256" i="24"/>
  <c r="AQ256" i="24"/>
  <c r="BH256" i="24"/>
  <c r="BU256" i="24"/>
  <c r="BW256" i="24"/>
  <c r="AX256" i="24"/>
  <c r="AR261" i="25"/>
  <c r="BJ261" i="25"/>
  <c r="BH261" i="25"/>
  <c r="AP261" i="25"/>
  <c r="BF261" i="25"/>
  <c r="BW261" i="25"/>
  <c r="BU261" i="25"/>
  <c r="AS64" i="24"/>
  <c r="BJ64" i="24"/>
  <c r="AQ64" i="24"/>
  <c r="BW64" i="24"/>
  <c r="AX64" i="24"/>
  <c r="BH64" i="24"/>
  <c r="AX76" i="25"/>
  <c r="AW76" i="25"/>
  <c r="BU249" i="24"/>
  <c r="AM165" i="25"/>
  <c r="AJ165" i="25"/>
  <c r="AS98" i="24"/>
  <c r="AQ98" i="24"/>
  <c r="BJ98" i="24"/>
  <c r="AX98" i="24"/>
  <c r="BH98" i="24"/>
  <c r="BW98" i="24"/>
  <c r="AR148" i="25"/>
  <c r="BJ148" i="25"/>
  <c r="AP148" i="25"/>
  <c r="BH148" i="25"/>
  <c r="BF148" i="25"/>
  <c r="BW148" i="25"/>
  <c r="BU148" i="25"/>
  <c r="BH260" i="24"/>
  <c r="BL289" i="24"/>
  <c r="AS289" i="24"/>
  <c r="AQ289" i="24"/>
  <c r="BJ289" i="24"/>
  <c r="BU289" i="24"/>
  <c r="BW289" i="24"/>
  <c r="AX289" i="24"/>
  <c r="BH289" i="24"/>
  <c r="BH12" i="24"/>
  <c r="BH273" i="24"/>
  <c r="BL272" i="24"/>
  <c r="AS272" i="24"/>
  <c r="AQ272" i="24"/>
  <c r="BJ272" i="24"/>
  <c r="AX272" i="24"/>
  <c r="BH272" i="24"/>
  <c r="BU272" i="24"/>
  <c r="BW272" i="24"/>
  <c r="BJ283" i="25"/>
  <c r="AR283" i="25"/>
  <c r="BH283" i="25"/>
  <c r="AP283" i="25"/>
  <c r="BF283" i="25"/>
  <c r="BW283" i="25"/>
  <c r="BU283" i="25"/>
  <c r="BA125" i="24"/>
  <c r="AR170" i="25"/>
  <c r="AP170" i="25"/>
  <c r="BH170" i="25"/>
  <c r="BF170" i="25"/>
  <c r="BU170" i="25"/>
  <c r="BW170" i="25"/>
  <c r="AX141" i="25"/>
  <c r="AW141" i="25"/>
  <c r="AS135" i="24"/>
  <c r="AU135" i="24" s="1"/>
  <c r="BB135" i="24" s="1"/>
  <c r="BJ135" i="24"/>
  <c r="AQ135" i="24"/>
  <c r="AW130" i="25"/>
  <c r="AX130" i="25"/>
  <c r="AS46" i="24"/>
  <c r="BJ46" i="24"/>
  <c r="AQ46" i="24"/>
  <c r="AX46" i="24"/>
  <c r="BH46" i="24"/>
  <c r="BW46" i="24"/>
  <c r="AX15" i="25"/>
  <c r="AW15" i="25"/>
  <c r="AX74" i="25"/>
  <c r="AW74" i="25"/>
  <c r="BW238" i="24"/>
  <c r="AS89" i="24"/>
  <c r="BJ89" i="24"/>
  <c r="AQ89" i="24"/>
  <c r="AX89" i="24"/>
  <c r="BH89" i="24"/>
  <c r="BW89" i="24"/>
  <c r="BW133" i="24"/>
  <c r="AJ63" i="25"/>
  <c r="AM63" i="25"/>
  <c r="BG63" i="25" s="1"/>
  <c r="BW117" i="24"/>
  <c r="AJ66" i="25"/>
  <c r="AM66" i="25"/>
  <c r="BG66" i="25" s="1"/>
  <c r="AJ180" i="25"/>
  <c r="AM180" i="25"/>
  <c r="AM118" i="25"/>
  <c r="BG118" i="25" s="1"/>
  <c r="AJ118" i="25"/>
  <c r="AJ42" i="25"/>
  <c r="AM42" i="25"/>
  <c r="BG42" i="25" s="1"/>
  <c r="AS182" i="24"/>
  <c r="BJ182" i="24"/>
  <c r="AQ182" i="24"/>
  <c r="BU182" i="24"/>
  <c r="BW182" i="24"/>
  <c r="AX182" i="24"/>
  <c r="BH182" i="24"/>
  <c r="AS179" i="24"/>
  <c r="BL179" i="24"/>
  <c r="AQ179" i="24"/>
  <c r="BJ179" i="24"/>
  <c r="BW179" i="24"/>
  <c r="BU179" i="24"/>
  <c r="AX179" i="24"/>
  <c r="BH179" i="24"/>
  <c r="AX168" i="25"/>
  <c r="AW168" i="25"/>
  <c r="BH59" i="24"/>
  <c r="BA8" i="24"/>
  <c r="BA266" i="24"/>
  <c r="BA57" i="24"/>
  <c r="AU55" i="24"/>
  <c r="BB55" i="24" s="1"/>
  <c r="AW55" i="24"/>
  <c r="BA32" i="24"/>
  <c r="AM307" i="25"/>
  <c r="AJ307" i="25"/>
  <c r="AX169" i="25"/>
  <c r="AW169" i="25"/>
  <c r="AX138" i="25"/>
  <c r="AW138" i="25"/>
  <c r="AS219" i="24"/>
  <c r="AU219" i="24" s="1"/>
  <c r="BB219" i="24" s="1"/>
  <c r="AQ219" i="24"/>
  <c r="BJ219" i="24"/>
  <c r="AS124" i="24"/>
  <c r="BL124" i="24"/>
  <c r="BJ124" i="24"/>
  <c r="AQ124" i="24"/>
  <c r="BH124" i="24"/>
  <c r="BU124" i="24"/>
  <c r="BW124" i="24"/>
  <c r="AX124" i="24"/>
  <c r="AW37" i="25"/>
  <c r="AX37" i="25"/>
  <c r="AJ20" i="25"/>
  <c r="AM20" i="25"/>
  <c r="BG20" i="25" s="1"/>
  <c r="AJ281" i="25"/>
  <c r="AM281" i="25"/>
  <c r="BG281" i="25" s="1"/>
  <c r="BL226" i="24"/>
  <c r="AS226" i="24"/>
  <c r="BJ226" i="24"/>
  <c r="AQ226" i="24"/>
  <c r="BH226" i="24"/>
  <c r="BU226" i="24"/>
  <c r="BW226" i="24"/>
  <c r="AX226" i="24"/>
  <c r="AS200" i="24"/>
  <c r="BL200" i="24"/>
  <c r="AQ200" i="24"/>
  <c r="BJ200" i="24"/>
  <c r="BH200" i="24"/>
  <c r="BU200" i="24"/>
  <c r="BW200" i="24"/>
  <c r="AX200" i="24"/>
  <c r="AJ272" i="25"/>
  <c r="AM272" i="25"/>
  <c r="AX26" i="25"/>
  <c r="AW26" i="25"/>
  <c r="BH247" i="24"/>
  <c r="BW225" i="24"/>
  <c r="AM221" i="25"/>
  <c r="AJ221" i="25"/>
  <c r="BH242" i="24"/>
  <c r="BU295" i="24"/>
  <c r="AM58" i="25"/>
  <c r="BG58" i="25" s="1"/>
  <c r="AJ58" i="25"/>
  <c r="AM185" i="25"/>
  <c r="AJ185" i="25"/>
  <c r="AM187" i="25"/>
  <c r="BG187" i="25" s="1"/>
  <c r="AJ187" i="25"/>
  <c r="AU41" i="24"/>
  <c r="BB41" i="24" s="1"/>
  <c r="AW41" i="24"/>
  <c r="AS26" i="24"/>
  <c r="AU26" i="24" s="1"/>
  <c r="BB26" i="24" s="1"/>
  <c r="BJ26" i="24"/>
  <c r="AQ26" i="24"/>
  <c r="AS96" i="24"/>
  <c r="AQ96" i="24"/>
  <c r="BJ96" i="24"/>
  <c r="AX96" i="24"/>
  <c r="BH96" i="24"/>
  <c r="BW96" i="24"/>
  <c r="AX45" i="25"/>
  <c r="AW45" i="25"/>
  <c r="AX121" i="25"/>
  <c r="AW121" i="25"/>
  <c r="AR21" i="25"/>
  <c r="AP21" i="25"/>
  <c r="BH21" i="25"/>
  <c r="BF21" i="25"/>
  <c r="BW21" i="25"/>
  <c r="BU21" i="25"/>
  <c r="BA290" i="24"/>
  <c r="BH263" i="24"/>
  <c r="BA9" i="24"/>
  <c r="BH282" i="24"/>
  <c r="BH155" i="24"/>
  <c r="AS176" i="24"/>
  <c r="BL176" i="24"/>
  <c r="AQ176" i="24"/>
  <c r="BJ176" i="24"/>
  <c r="BW176" i="24"/>
  <c r="BU176" i="24"/>
  <c r="AX176" i="24"/>
  <c r="BH176" i="24"/>
  <c r="AS86" i="24"/>
  <c r="AQ86" i="24"/>
  <c r="BJ86" i="24"/>
  <c r="BH86" i="24"/>
  <c r="BW86" i="24"/>
  <c r="AX86" i="24"/>
  <c r="BU248" i="24"/>
  <c r="AX185" i="25"/>
  <c r="AW185" i="25"/>
  <c r="AX53" i="25"/>
  <c r="AW53" i="25"/>
  <c r="AM263" i="25"/>
  <c r="BG263" i="25" s="1"/>
  <c r="AJ263" i="25"/>
  <c r="AX39" i="25"/>
  <c r="AW39" i="25"/>
  <c r="AJ75" i="25"/>
  <c r="AM75" i="25"/>
  <c r="BG75" i="25" s="1"/>
  <c r="BA235" i="24"/>
  <c r="BA129" i="24"/>
  <c r="AM35" i="25"/>
  <c r="BG35" i="25" s="1"/>
  <c r="AJ35" i="25"/>
  <c r="AS151" i="24"/>
  <c r="BJ151" i="24"/>
  <c r="AQ151" i="24"/>
  <c r="BH151" i="24"/>
  <c r="BU151" i="24"/>
  <c r="BW151" i="24"/>
  <c r="AX151" i="24"/>
  <c r="AX10" i="25"/>
  <c r="AW10" i="25"/>
  <c r="AS18" i="24"/>
  <c r="AU18" i="24" s="1"/>
  <c r="BB18" i="24" s="1"/>
  <c r="BJ18" i="24"/>
  <c r="AQ18" i="24"/>
  <c r="AM310" i="25"/>
  <c r="AJ310" i="25"/>
  <c r="AX40" i="25"/>
  <c r="AW40" i="25"/>
  <c r="AX48" i="25"/>
  <c r="AW48" i="25"/>
  <c r="AM308" i="25"/>
  <c r="BG308" i="25" s="1"/>
  <c r="AJ308" i="25"/>
  <c r="AS296" i="24"/>
  <c r="AU296" i="24" s="1"/>
  <c r="BB296" i="24" s="1"/>
  <c r="BL296" i="24"/>
  <c r="AQ296" i="24"/>
  <c r="BJ296" i="24"/>
  <c r="BL241" i="24"/>
  <c r="AS241" i="24"/>
  <c r="BJ241" i="24"/>
  <c r="AQ241" i="24"/>
  <c r="AX241" i="24"/>
  <c r="BH241" i="24"/>
  <c r="BW241" i="24"/>
  <c r="BU241" i="24"/>
  <c r="AS262" i="24"/>
  <c r="BL262" i="24"/>
  <c r="BJ262" i="24"/>
  <c r="AQ262" i="24"/>
  <c r="AX262" i="24"/>
  <c r="BH262" i="24"/>
  <c r="BW262" i="24"/>
  <c r="BU262" i="24"/>
  <c r="AX78" i="25"/>
  <c r="AW78" i="25"/>
  <c r="AR158" i="25"/>
  <c r="BJ158" i="25"/>
  <c r="BH158" i="25"/>
  <c r="AP158" i="25"/>
  <c r="BW158" i="25"/>
  <c r="BU158" i="25"/>
  <c r="BF158" i="25"/>
  <c r="BU237" i="24"/>
  <c r="BA123" i="24"/>
  <c r="AJ103" i="25"/>
  <c r="AM103" i="25"/>
  <c r="BA284" i="24"/>
  <c r="AJ216" i="25"/>
  <c r="AM216" i="25"/>
  <c r="BG216" i="25" s="1"/>
  <c r="AS315" i="24"/>
  <c r="BL315" i="24"/>
  <c r="BJ315" i="24"/>
  <c r="AQ315" i="24"/>
  <c r="AX315" i="24"/>
  <c r="BH315" i="24"/>
  <c r="BW315" i="24"/>
  <c r="BU315" i="24"/>
  <c r="AX55" i="25"/>
  <c r="AW55" i="25"/>
  <c r="AX171" i="25"/>
  <c r="AW171" i="25"/>
  <c r="AX122" i="25"/>
  <c r="AW122" i="25"/>
  <c r="AM166" i="25"/>
  <c r="AJ166" i="25"/>
  <c r="AS73" i="24"/>
  <c r="BJ73" i="24"/>
  <c r="AQ73" i="24"/>
  <c r="BH73" i="24"/>
  <c r="BW73" i="24"/>
  <c r="AX73" i="24"/>
  <c r="AX115" i="25"/>
  <c r="AW115" i="25"/>
  <c r="AJ47" i="25"/>
  <c r="AM47" i="25"/>
  <c r="BG47" i="25" s="1"/>
  <c r="AX8" i="25"/>
  <c r="AW8" i="25"/>
  <c r="AS170" i="24"/>
  <c r="BJ170" i="24"/>
  <c r="AQ170" i="24"/>
  <c r="BW170" i="24"/>
  <c r="AX170" i="24"/>
  <c r="BH170" i="24"/>
  <c r="BU170" i="24"/>
  <c r="BH114" i="24"/>
  <c r="AT143" i="25"/>
  <c r="AY143" i="25" s="1"/>
  <c r="AU143" i="25"/>
  <c r="AJ279" i="25"/>
  <c r="AM279" i="25"/>
  <c r="AS68" i="24"/>
  <c r="AQ68" i="24"/>
  <c r="BJ68" i="24"/>
  <c r="AX68" i="24"/>
  <c r="BH68" i="24"/>
  <c r="BW68" i="24"/>
  <c r="AJ298" i="25"/>
  <c r="AM298" i="25"/>
  <c r="BG298" i="25" s="1"/>
  <c r="BA58" i="24"/>
  <c r="AR178" i="25"/>
  <c r="BJ178" i="25"/>
  <c r="AP178" i="25"/>
  <c r="BH178" i="25"/>
  <c r="BW178" i="25"/>
  <c r="BU178" i="25"/>
  <c r="BF178" i="25"/>
  <c r="AJ141" i="25"/>
  <c r="AM141" i="25"/>
  <c r="BG141" i="25" s="1"/>
  <c r="AS74" i="24"/>
  <c r="BJ74" i="24"/>
  <c r="AQ74" i="24"/>
  <c r="AX74" i="24"/>
  <c r="BH74" i="24"/>
  <c r="BW74" i="24"/>
  <c r="AS93" i="24"/>
  <c r="BJ93" i="24"/>
  <c r="AQ93" i="24"/>
  <c r="BW93" i="24"/>
  <c r="AX93" i="24"/>
  <c r="BH93" i="24"/>
  <c r="AM130" i="25"/>
  <c r="AJ130" i="25"/>
  <c r="AJ145" i="25"/>
  <c r="AM145" i="25"/>
  <c r="BG145" i="25" s="1"/>
  <c r="AX150" i="25"/>
  <c r="AW150" i="25"/>
  <c r="AX260" i="24"/>
  <c r="AS255" i="24"/>
  <c r="BL255" i="24"/>
  <c r="BJ255" i="24"/>
  <c r="AQ255" i="24"/>
  <c r="AX255" i="24"/>
  <c r="BH255" i="24"/>
  <c r="BW255" i="24"/>
  <c r="BU255" i="24"/>
  <c r="BL198" i="24"/>
  <c r="AS198" i="24"/>
  <c r="BJ198" i="24"/>
  <c r="AQ198" i="24"/>
  <c r="BU198" i="24"/>
  <c r="AX198" i="24"/>
  <c r="BH198" i="24"/>
  <c r="BW198" i="24"/>
  <c r="AX133" i="25"/>
  <c r="AW133" i="25"/>
  <c r="AS144" i="24"/>
  <c r="BL144" i="24"/>
  <c r="AQ144" i="24"/>
  <c r="BJ144" i="24"/>
  <c r="AX144" i="24"/>
  <c r="BH144" i="24"/>
  <c r="BU144" i="24"/>
  <c r="BW144" i="24"/>
  <c r="AJ73" i="25"/>
  <c r="AM73" i="25"/>
  <c r="BG73" i="25" s="1"/>
  <c r="AJ264" i="25"/>
  <c r="AM264" i="25"/>
  <c r="BG264" i="25" s="1"/>
  <c r="AS137" i="24"/>
  <c r="BL137" i="24"/>
  <c r="BJ137" i="24"/>
  <c r="AQ137" i="24"/>
  <c r="AX137" i="24"/>
  <c r="BH137" i="24"/>
  <c r="BW137" i="24"/>
  <c r="BU137" i="24"/>
  <c r="CE97" i="25"/>
  <c r="AW61" i="25"/>
  <c r="AX61" i="25"/>
  <c r="AS312" i="24"/>
  <c r="BL312" i="24"/>
  <c r="AQ312" i="24"/>
  <c r="BJ312" i="24"/>
  <c r="AX312" i="24"/>
  <c r="BH312" i="24"/>
  <c r="BU312" i="24"/>
  <c r="BW312" i="24"/>
  <c r="BA269" i="24"/>
  <c r="BW296" i="24"/>
  <c r="AS165" i="24"/>
  <c r="AQ165" i="24"/>
  <c r="BJ165" i="24"/>
  <c r="AX165" i="24"/>
  <c r="BH165" i="24"/>
  <c r="BU165" i="24"/>
  <c r="BW165" i="24"/>
  <c r="BL251" i="24"/>
  <c r="AS251" i="24"/>
  <c r="BJ251" i="24"/>
  <c r="AQ251" i="24"/>
  <c r="BW251" i="24"/>
  <c r="AX251" i="24"/>
  <c r="BH251" i="24"/>
  <c r="BU251" i="24"/>
  <c r="AM228" i="25"/>
  <c r="AJ228" i="25"/>
  <c r="AX128" i="25"/>
  <c r="AW128" i="25"/>
  <c r="AJ156" i="25"/>
  <c r="AM156" i="25"/>
  <c r="BL310" i="24"/>
  <c r="AS310" i="24"/>
  <c r="AQ310" i="24"/>
  <c r="BJ310" i="24"/>
  <c r="BW310" i="24"/>
  <c r="BU310" i="24"/>
  <c r="AX310" i="24"/>
  <c r="BH310" i="24"/>
  <c r="AR243" i="25"/>
  <c r="BJ243" i="25"/>
  <c r="AP243" i="25"/>
  <c r="BH243" i="25"/>
  <c r="BF243" i="25"/>
  <c r="BU243" i="25"/>
  <c r="BW243" i="25"/>
  <c r="BU238" i="24"/>
  <c r="BW34" i="24"/>
  <c r="AM68" i="25"/>
  <c r="BG68" i="25" s="1"/>
  <c r="AJ68" i="25"/>
  <c r="BJ34" i="25"/>
  <c r="AR34" i="25"/>
  <c r="BH34" i="25"/>
  <c r="AP34" i="25"/>
  <c r="BF34" i="25"/>
  <c r="BU34" i="25"/>
  <c r="BW34" i="25"/>
  <c r="AJ208" i="25"/>
  <c r="AM208" i="25"/>
  <c r="BG208" i="25" s="1"/>
  <c r="AX80" i="25"/>
  <c r="AW80" i="25"/>
  <c r="AW73" i="25"/>
  <c r="AX73" i="25"/>
  <c r="BA243" i="24"/>
  <c r="BA153" i="24"/>
  <c r="BH117" i="24"/>
  <c r="AR247" i="25"/>
  <c r="BJ247" i="25"/>
  <c r="AP247" i="25"/>
  <c r="BH247" i="25"/>
  <c r="BF247" i="25"/>
  <c r="BU247" i="25"/>
  <c r="BW247" i="25"/>
  <c r="AS185" i="24"/>
  <c r="BJ185" i="24"/>
  <c r="AQ185" i="24"/>
  <c r="BH185" i="24"/>
  <c r="BW185" i="24"/>
  <c r="BU185" i="24"/>
  <c r="AX185" i="24"/>
  <c r="AS153" i="24"/>
  <c r="AU153" i="24" s="1"/>
  <c r="BB153" i="24" s="1"/>
  <c r="BL153" i="24"/>
  <c r="BJ153" i="24"/>
  <c r="AQ153" i="24"/>
  <c r="AM86" i="25"/>
  <c r="AJ86" i="25"/>
  <c r="AW175" i="25"/>
  <c r="AX175" i="25"/>
  <c r="AR248" i="25"/>
  <c r="BJ248" i="25"/>
  <c r="BH248" i="25"/>
  <c r="AP248" i="25"/>
  <c r="BU248" i="25"/>
  <c r="BF248" i="25"/>
  <c r="BW248" i="25"/>
  <c r="AM60" i="25"/>
  <c r="AJ60" i="25"/>
  <c r="BW266" i="24"/>
  <c r="BU240" i="24"/>
  <c r="AS169" i="24"/>
  <c r="BL169" i="24"/>
  <c r="AQ169" i="24"/>
  <c r="BJ169" i="24"/>
  <c r="AX169" i="24"/>
  <c r="BH169" i="24"/>
  <c r="BW169" i="24"/>
  <c r="BU169" i="24"/>
  <c r="AX36" i="25"/>
  <c r="AW36" i="25"/>
  <c r="AS11" i="24"/>
  <c r="AQ11" i="24"/>
  <c r="BJ11" i="24"/>
  <c r="AX11" i="24"/>
  <c r="BW11" i="24"/>
  <c r="BH11" i="24"/>
  <c r="AW132" i="25"/>
  <c r="AX132" i="25"/>
  <c r="AS57" i="24"/>
  <c r="AU57" i="24" s="1"/>
  <c r="BB57" i="24" s="1"/>
  <c r="BJ57" i="24"/>
  <c r="AQ57" i="24"/>
  <c r="AR199" i="25"/>
  <c r="BJ199" i="25"/>
  <c r="BH199" i="25"/>
  <c r="BU199" i="25"/>
  <c r="BW199" i="25"/>
  <c r="BF199" i="25"/>
  <c r="BH111" i="24"/>
  <c r="BL244" i="24"/>
  <c r="AS244" i="24"/>
  <c r="AQ244" i="24"/>
  <c r="BJ244" i="24"/>
  <c r="BW244" i="24"/>
  <c r="BU244" i="24"/>
  <c r="AX244" i="24"/>
  <c r="BH244" i="24"/>
  <c r="BL243" i="24"/>
  <c r="AS243" i="24"/>
  <c r="AU243" i="24" s="1"/>
  <c r="BB243" i="24" s="1"/>
  <c r="AQ243" i="24"/>
  <c r="BJ243" i="24"/>
  <c r="BA218" i="24"/>
  <c r="AX66" i="25"/>
  <c r="AW66" i="25"/>
  <c r="AW183" i="25"/>
  <c r="AX183" i="25"/>
  <c r="BJ293" i="25"/>
  <c r="AR293" i="25"/>
  <c r="BH293" i="25"/>
  <c r="AP293" i="25"/>
  <c r="BF293" i="25"/>
  <c r="BW293" i="25"/>
  <c r="BU293" i="25"/>
  <c r="AM127" i="25"/>
  <c r="BG127" i="25" s="1"/>
  <c r="AJ127" i="25"/>
  <c r="AS254" i="24"/>
  <c r="BL254" i="24"/>
  <c r="AQ254" i="24"/>
  <c r="BJ254" i="24"/>
  <c r="AX254" i="24"/>
  <c r="BH254" i="24"/>
  <c r="BW254" i="24"/>
  <c r="BU254" i="24"/>
  <c r="BH225" i="24"/>
  <c r="AM254" i="25"/>
  <c r="BG254" i="25" s="1"/>
  <c r="AJ254" i="25"/>
  <c r="AJ196" i="25"/>
  <c r="AM196" i="25"/>
  <c r="BG196" i="25" s="1"/>
  <c r="AJ111" i="25"/>
  <c r="AM111" i="25"/>
  <c r="BA135" i="24"/>
  <c r="BH301" i="24"/>
  <c r="BJ259" i="25"/>
  <c r="AR259" i="25"/>
  <c r="AP259" i="25"/>
  <c r="BH259" i="25"/>
  <c r="BF259" i="25"/>
  <c r="BW259" i="25"/>
  <c r="BU259" i="25"/>
  <c r="AS58" i="24"/>
  <c r="AU58" i="24" s="1"/>
  <c r="BB58" i="24" s="1"/>
  <c r="BJ58" i="24"/>
  <c r="AQ58" i="24"/>
  <c r="AU101" i="24"/>
  <c r="BB101" i="24" s="1"/>
  <c r="AW101" i="24"/>
  <c r="AR255" i="25"/>
  <c r="BJ255" i="25"/>
  <c r="BH255" i="25"/>
  <c r="AP255" i="25"/>
  <c r="BW255" i="25"/>
  <c r="BU255" i="25"/>
  <c r="BF255" i="25"/>
  <c r="BW279" i="24"/>
  <c r="BW126" i="24"/>
  <c r="AJ225" i="25"/>
  <c r="AM225" i="25"/>
  <c r="BG225" i="25" s="1"/>
  <c r="AR59" i="25"/>
  <c r="BJ59" i="25"/>
  <c r="BH59" i="25"/>
  <c r="AP59" i="25"/>
  <c r="BW59" i="25"/>
  <c r="BU59" i="25"/>
  <c r="BF59" i="25"/>
  <c r="BW232" i="24"/>
  <c r="AS67" i="24"/>
  <c r="AQ67" i="24"/>
  <c r="BJ67" i="24"/>
  <c r="AX67" i="24"/>
  <c r="BH67" i="24"/>
  <c r="BW67" i="24"/>
  <c r="AJ253" i="25"/>
  <c r="AM253" i="25"/>
  <c r="BG253" i="25" s="1"/>
  <c r="AJ316" i="25"/>
  <c r="AM316" i="25"/>
  <c r="AS305" i="24"/>
  <c r="AU305" i="24" s="1"/>
  <c r="BB305" i="24" s="1"/>
  <c r="AQ305" i="24"/>
  <c r="BJ305" i="24"/>
  <c r="AJ23" i="25"/>
  <c r="AM23" i="25"/>
  <c r="BG23" i="25" s="1"/>
  <c r="AX57" i="25"/>
  <c r="AW57" i="25"/>
  <c r="AS81" i="24"/>
  <c r="AQ81" i="24"/>
  <c r="BJ81" i="24"/>
  <c r="AX81" i="24"/>
  <c r="BW81" i="24"/>
  <c r="BH81" i="24"/>
  <c r="AJ51" i="25"/>
  <c r="AM51" i="25"/>
  <c r="BG51" i="25" s="1"/>
  <c r="BA30" i="24"/>
  <c r="AJ172" i="25"/>
  <c r="AM172" i="25"/>
  <c r="BL187" i="24"/>
  <c r="AS187" i="24"/>
  <c r="BJ187" i="24"/>
  <c r="AQ187" i="24"/>
  <c r="AX187" i="24"/>
  <c r="BH187" i="24"/>
  <c r="BW187" i="24"/>
  <c r="BU187" i="24"/>
  <c r="AS247" i="24"/>
  <c r="AU247" i="24" s="1"/>
  <c r="BB247" i="24" s="1"/>
  <c r="BJ247" i="24"/>
  <c r="AQ247" i="24"/>
  <c r="AM207" i="25"/>
  <c r="BG207" i="25" s="1"/>
  <c r="AJ207" i="25"/>
  <c r="AX152" i="25"/>
  <c r="AW152" i="25"/>
  <c r="BA51" i="24"/>
  <c r="AJ140" i="25"/>
  <c r="AM140" i="25"/>
  <c r="BG140" i="25" s="1"/>
  <c r="BL189" i="24"/>
  <c r="AS189" i="24"/>
  <c r="AQ189" i="24"/>
  <c r="BJ189" i="24"/>
  <c r="BH189" i="24"/>
  <c r="BU189" i="24"/>
  <c r="BW189" i="24"/>
  <c r="AX189" i="24"/>
  <c r="AS121" i="24"/>
  <c r="AU121" i="24" s="1"/>
  <c r="BB121" i="24" s="1"/>
  <c r="AQ121" i="24"/>
  <c r="BJ121" i="24"/>
  <c r="AX52" i="25"/>
  <c r="AW52" i="25"/>
  <c r="AR189" i="25"/>
  <c r="BH189" i="25"/>
  <c r="AP189" i="25"/>
  <c r="BF189" i="25"/>
  <c r="BW189" i="25"/>
  <c r="BU189" i="25"/>
  <c r="BW237" i="24"/>
  <c r="AS82" i="24"/>
  <c r="BJ82" i="24"/>
  <c r="AQ82" i="24"/>
  <c r="AX82" i="24"/>
  <c r="BH82" i="24"/>
  <c r="BW82" i="24"/>
  <c r="AW64" i="25"/>
  <c r="AX64" i="25"/>
  <c r="BA297" i="24"/>
  <c r="AJ151" i="25"/>
  <c r="AM151" i="25"/>
  <c r="AX38" i="25"/>
  <c r="AW38" i="25"/>
  <c r="AS31" i="24"/>
  <c r="BJ31" i="24"/>
  <c r="AQ31" i="24"/>
  <c r="AX31" i="24"/>
  <c r="BH31" i="24"/>
  <c r="BW31" i="24"/>
  <c r="BL157" i="24"/>
  <c r="AS157" i="24"/>
  <c r="BJ157" i="24"/>
  <c r="AQ157" i="24"/>
  <c r="AX157" i="24"/>
  <c r="BH157" i="24"/>
  <c r="BU157" i="24"/>
  <c r="BW157" i="24"/>
  <c r="AR186" i="25"/>
  <c r="BH186" i="25"/>
  <c r="AP186" i="25"/>
  <c r="BF186" i="25"/>
  <c r="BU186" i="25"/>
  <c r="BW186" i="25"/>
  <c r="AW207" i="25"/>
  <c r="AX207" i="25"/>
  <c r="AX22" i="25"/>
  <c r="AW22" i="25"/>
  <c r="AX153" i="25"/>
  <c r="AW153" i="25"/>
  <c r="AS207" i="24"/>
  <c r="BL207" i="24"/>
  <c r="BJ207" i="24"/>
  <c r="AQ207" i="24"/>
  <c r="AX207" i="24"/>
  <c r="BH207" i="24"/>
  <c r="BU207" i="24"/>
  <c r="BW207" i="24"/>
  <c r="AU119" i="24"/>
  <c r="BB119" i="24" s="1"/>
  <c r="AW119" i="24"/>
  <c r="AS76" i="24"/>
  <c r="BJ76" i="24"/>
  <c r="AQ76" i="24"/>
  <c r="BW76" i="24"/>
  <c r="AX76" i="24"/>
  <c r="BH76" i="24"/>
  <c r="AJ188" i="25"/>
  <c r="AM188" i="25"/>
  <c r="BG188" i="25" s="1"/>
  <c r="AR296" i="25"/>
  <c r="BJ296" i="25"/>
  <c r="AP296" i="25"/>
  <c r="BH296" i="25"/>
  <c r="BF296" i="25"/>
  <c r="BW296" i="25"/>
  <c r="BU296" i="25"/>
  <c r="AX114" i="24"/>
  <c r="BL143" i="24"/>
  <c r="AS143" i="24"/>
  <c r="AQ143" i="24"/>
  <c r="BJ143" i="24"/>
  <c r="AX143" i="24"/>
  <c r="BH143" i="24"/>
  <c r="BW143" i="24"/>
  <c r="BU143" i="24"/>
  <c r="AM101" i="25"/>
  <c r="BG101" i="25" s="1"/>
  <c r="AJ101" i="25"/>
  <c r="BU147" i="24"/>
  <c r="BL297" i="24"/>
  <c r="AS297" i="24"/>
  <c r="AU297" i="24" s="1"/>
  <c r="BB297" i="24" s="1"/>
  <c r="AQ297" i="24"/>
  <c r="BJ297" i="24"/>
  <c r="AX83" i="25"/>
  <c r="AW83" i="25"/>
  <c r="AM157" i="25"/>
  <c r="BG157" i="25" s="1"/>
  <c r="AJ157" i="25"/>
  <c r="BH249" i="24"/>
  <c r="AX166" i="25"/>
  <c r="AW166" i="25"/>
  <c r="AS227" i="24"/>
  <c r="BL227" i="24"/>
  <c r="AQ227" i="24"/>
  <c r="BJ227" i="24"/>
  <c r="BH227" i="24"/>
  <c r="BW227" i="24"/>
  <c r="AX227" i="24"/>
  <c r="BU227" i="24"/>
  <c r="AS10" i="24"/>
  <c r="BJ10" i="24"/>
  <c r="AQ10" i="24"/>
  <c r="AX10" i="24"/>
  <c r="BW10" i="24"/>
  <c r="BH10" i="24"/>
  <c r="AX47" i="25"/>
  <c r="AW47" i="25"/>
  <c r="AR306" i="25"/>
  <c r="BH306" i="25"/>
  <c r="AP306" i="25"/>
  <c r="BU306" i="25"/>
  <c r="BW306" i="25"/>
  <c r="BF306" i="25"/>
  <c r="BA37" i="24"/>
  <c r="AS94" i="24"/>
  <c r="BJ94" i="24"/>
  <c r="AQ94" i="24"/>
  <c r="AX94" i="24"/>
  <c r="BH94" i="24"/>
  <c r="BW94" i="24"/>
  <c r="AX101" i="25"/>
  <c r="AW101" i="25"/>
  <c r="AM61" i="25"/>
  <c r="BG61" i="25" s="1"/>
  <c r="AJ61" i="25"/>
  <c r="AS152" i="24"/>
  <c r="AU152" i="24" s="1"/>
  <c r="BB152" i="24" s="1"/>
  <c r="BJ152" i="24"/>
  <c r="AQ152" i="24"/>
  <c r="AS23" i="24"/>
  <c r="BL23" i="24"/>
  <c r="BJ23" i="24"/>
  <c r="AQ23" i="24"/>
  <c r="AX23" i="24"/>
  <c r="BH23" i="24"/>
  <c r="BW23" i="24"/>
  <c r="BH296" i="24"/>
  <c r="AS205" i="24"/>
  <c r="AQ205" i="24"/>
  <c r="BJ205" i="24"/>
  <c r="BW205" i="24"/>
  <c r="AX205" i="24"/>
  <c r="BH205" i="24"/>
  <c r="BU205" i="24"/>
  <c r="AS298" i="24"/>
  <c r="AU298" i="24" s="1"/>
  <c r="BB298" i="24" s="1"/>
  <c r="BL298" i="24"/>
  <c r="BJ298" i="24"/>
  <c r="AQ298" i="24"/>
  <c r="AU44" i="24"/>
  <c r="BB44" i="24" s="1"/>
  <c r="AW44" i="24"/>
  <c r="AR177" i="25"/>
  <c r="BH177" i="25"/>
  <c r="AP177" i="25"/>
  <c r="BF177" i="25"/>
  <c r="BW177" i="25"/>
  <c r="BU177" i="25"/>
  <c r="AS72" i="24"/>
  <c r="BL72" i="24"/>
  <c r="AQ72" i="24"/>
  <c r="BJ72" i="24"/>
  <c r="AX72" i="24"/>
  <c r="BH72" i="24"/>
  <c r="BW72" i="24"/>
  <c r="AM181" i="25"/>
  <c r="AJ181" i="25"/>
  <c r="AU257" i="24"/>
  <c r="BB257" i="24" s="1"/>
  <c r="AW257" i="24"/>
  <c r="BA133" i="24"/>
  <c r="AM44" i="25"/>
  <c r="BG44" i="25" s="1"/>
  <c r="AJ44" i="25"/>
  <c r="BA281" i="24"/>
  <c r="AM183" i="25"/>
  <c r="AJ183" i="25"/>
  <c r="AS281" i="24"/>
  <c r="AU281" i="24" s="1"/>
  <c r="BB281" i="24" s="1"/>
  <c r="AQ281" i="24"/>
  <c r="BJ281" i="24"/>
  <c r="AU21" i="24"/>
  <c r="BB21" i="24" s="1"/>
  <c r="AW21" i="24"/>
  <c r="AX59" i="24"/>
  <c r="AR173" i="25"/>
  <c r="BH173" i="25"/>
  <c r="AP173" i="25"/>
  <c r="BF173" i="25"/>
  <c r="BW173" i="25"/>
  <c r="BU173" i="25"/>
  <c r="BJ275" i="25"/>
  <c r="AR275" i="25"/>
  <c r="AP275" i="25"/>
  <c r="BH275" i="25"/>
  <c r="BF275" i="25"/>
  <c r="BU275" i="25"/>
  <c r="BW275" i="25"/>
  <c r="BA261" i="24"/>
  <c r="BW265" i="24"/>
  <c r="AS33" i="24"/>
  <c r="AU33" i="24" s="1"/>
  <c r="BB33" i="24" s="1"/>
  <c r="BJ33" i="24"/>
  <c r="AQ33" i="24"/>
  <c r="AJ70" i="25"/>
  <c r="AM70" i="25"/>
  <c r="BG70" i="25" s="1"/>
  <c r="BA305" i="24"/>
  <c r="AX118" i="25"/>
  <c r="AW118" i="25"/>
  <c r="BL217" i="24"/>
  <c r="AS217" i="24"/>
  <c r="BJ217" i="24"/>
  <c r="AQ217" i="24"/>
  <c r="AX217" i="24"/>
  <c r="BH217" i="24"/>
  <c r="BW217" i="24"/>
  <c r="BU217" i="24"/>
  <c r="AM274" i="25"/>
  <c r="AJ274" i="25"/>
  <c r="AJ136" i="25"/>
  <c r="AM136" i="25"/>
  <c r="BG136" i="25" s="1"/>
  <c r="AW124" i="25"/>
  <c r="AX124" i="25"/>
  <c r="AS116" i="24"/>
  <c r="BL116" i="24"/>
  <c r="AQ116" i="24"/>
  <c r="BJ116" i="24"/>
  <c r="AX116" i="24"/>
  <c r="BH116" i="24"/>
  <c r="BU116" i="24"/>
  <c r="BW116" i="24"/>
  <c r="AX43" i="25"/>
  <c r="AW43" i="25"/>
  <c r="BL300" i="24"/>
  <c r="AS300" i="24"/>
  <c r="BJ300" i="24"/>
  <c r="AQ300" i="24"/>
  <c r="AX300" i="24"/>
  <c r="BH300" i="24"/>
  <c r="BW300" i="24"/>
  <c r="BU300" i="24"/>
  <c r="BL252" i="24"/>
  <c r="AS252" i="24"/>
  <c r="AQ252" i="24"/>
  <c r="BJ252" i="24"/>
  <c r="BH252" i="24"/>
  <c r="BW252" i="24"/>
  <c r="BU252" i="24"/>
  <c r="AX252" i="24"/>
  <c r="BA242" i="24"/>
  <c r="BL30" i="24"/>
  <c r="AS30" i="24"/>
  <c r="AU30" i="24" s="1"/>
  <c r="BB30" i="24" s="1"/>
  <c r="BJ30" i="24"/>
  <c r="AQ30" i="24"/>
  <c r="AJ202" i="25"/>
  <c r="AM202" i="25"/>
  <c r="BG202" i="25" s="1"/>
  <c r="BL167" i="24"/>
  <c r="AS167" i="24"/>
  <c r="AQ167" i="24"/>
  <c r="BJ167" i="24"/>
  <c r="BW167" i="24"/>
  <c r="AX167" i="24"/>
  <c r="BH167" i="24"/>
  <c r="BU167" i="24"/>
  <c r="BL299" i="24"/>
  <c r="AS299" i="24"/>
  <c r="AU299" i="24" s="1"/>
  <c r="BB299" i="24" s="1"/>
  <c r="AQ299" i="24"/>
  <c r="BJ299" i="24"/>
  <c r="AX46" i="25"/>
  <c r="AW46" i="25"/>
  <c r="AX102" i="25"/>
  <c r="AW102" i="25"/>
  <c r="BW135" i="24"/>
  <c r="AS248" i="24"/>
  <c r="AU248" i="24" s="1"/>
  <c r="BB248" i="24" s="1"/>
  <c r="BJ248" i="24"/>
  <c r="AQ248" i="24"/>
  <c r="BH121" i="24"/>
  <c r="AW9" i="25"/>
  <c r="AX9" i="25"/>
  <c r="AM49" i="25"/>
  <c r="BG49" i="25" s="1"/>
  <c r="AJ49" i="25"/>
  <c r="AS125" i="24"/>
  <c r="AU125" i="24" s="1"/>
  <c r="BB125" i="24" s="1"/>
  <c r="BL125" i="24"/>
  <c r="AQ125" i="24"/>
  <c r="BJ125" i="24"/>
  <c r="AM79" i="25"/>
  <c r="AJ79" i="25"/>
  <c r="AS29" i="24"/>
  <c r="BJ29" i="24"/>
  <c r="AQ29" i="24"/>
  <c r="BH29" i="24"/>
  <c r="BW29" i="24"/>
  <c r="AX29" i="24"/>
  <c r="BW290" i="24"/>
  <c r="BA145" i="24"/>
  <c r="AR155" i="25"/>
  <c r="BJ155" i="25"/>
  <c r="AP155" i="25"/>
  <c r="BH155" i="25"/>
  <c r="BF155" i="25"/>
  <c r="BU155" i="25"/>
  <c r="BW155" i="25"/>
  <c r="BH17" i="24"/>
  <c r="BW17" i="24"/>
  <c r="BH267" i="24"/>
  <c r="BH253" i="24"/>
  <c r="AS271" i="24"/>
  <c r="AU271" i="24" s="1"/>
  <c r="BB271" i="24" s="1"/>
  <c r="AQ271" i="24"/>
  <c r="BJ271" i="24"/>
  <c r="AJ146" i="25"/>
  <c r="AM146" i="25"/>
  <c r="BG146" i="25" s="1"/>
  <c r="BL78" i="24"/>
  <c r="AS78" i="24"/>
  <c r="BJ78" i="24"/>
  <c r="AQ78" i="24"/>
  <c r="BH78" i="24"/>
  <c r="BW78" i="24"/>
  <c r="AX78" i="24"/>
  <c r="AJ224" i="25"/>
  <c r="AM224" i="25"/>
  <c r="BG224" i="25" s="1"/>
  <c r="AW49" i="25"/>
  <c r="AX49" i="25"/>
  <c r="AJ242" i="25"/>
  <c r="AM242" i="25"/>
  <c r="AS75" i="24"/>
  <c r="BJ75" i="24"/>
  <c r="AQ75" i="24"/>
  <c r="AX75" i="24"/>
  <c r="BW75" i="24"/>
  <c r="BH75" i="24"/>
  <c r="AR30" i="25"/>
  <c r="AP30" i="25"/>
  <c r="BH30" i="25"/>
  <c r="BU30" i="25"/>
  <c r="BW30" i="25"/>
  <c r="BF30" i="25"/>
  <c r="BL246" i="24"/>
  <c r="AS246" i="24"/>
  <c r="BJ246" i="24"/>
  <c r="AQ246" i="24"/>
  <c r="BH246" i="24"/>
  <c r="BU246" i="24"/>
  <c r="BW246" i="24"/>
  <c r="AX246" i="24"/>
  <c r="BL138" i="24"/>
  <c r="AS138" i="24"/>
  <c r="BJ138" i="24"/>
  <c r="AQ138" i="24"/>
  <c r="BU138" i="24"/>
  <c r="AX138" i="24"/>
  <c r="BH138" i="24"/>
  <c r="BW138" i="24"/>
  <c r="BA20" i="24"/>
  <c r="AM38" i="25"/>
  <c r="BG38" i="25" s="1"/>
  <c r="AJ38" i="25"/>
  <c r="BA152" i="24"/>
  <c r="AJ171" i="25"/>
  <c r="AM171" i="25"/>
  <c r="AS283" i="24"/>
  <c r="AU283" i="24" s="1"/>
  <c r="BB283" i="24" s="1"/>
  <c r="AQ283" i="24"/>
  <c r="BJ283" i="24"/>
  <c r="BL120" i="24"/>
  <c r="AS120" i="24"/>
  <c r="AU120" i="24" s="1"/>
  <c r="BB120" i="24" s="1"/>
  <c r="AQ120" i="24"/>
  <c r="BJ120" i="24"/>
  <c r="AJ134" i="25"/>
  <c r="AM134" i="25"/>
  <c r="BG134" i="25" s="1"/>
  <c r="AX24" i="25"/>
  <c r="AW24" i="25"/>
  <c r="AS16" i="24"/>
  <c r="BJ16" i="24"/>
  <c r="AQ16" i="24"/>
  <c r="AX16" i="24"/>
  <c r="BH16" i="24"/>
  <c r="BW16" i="24"/>
  <c r="AS36" i="24"/>
  <c r="BJ36" i="24"/>
  <c r="AQ36" i="24"/>
  <c r="BH36" i="24"/>
  <c r="BW36" i="24"/>
  <c r="AX36" i="24"/>
  <c r="AX72" i="25"/>
  <c r="AW72" i="25"/>
  <c r="AS269" i="24"/>
  <c r="AU269" i="24" s="1"/>
  <c r="BB269" i="24" s="1"/>
  <c r="BL269" i="24"/>
  <c r="AQ269" i="24"/>
  <c r="BJ269" i="24"/>
  <c r="AS28" i="24"/>
  <c r="AU28" i="24" s="1"/>
  <c r="BB28" i="24" s="1"/>
  <c r="BJ28" i="24"/>
  <c r="AQ28" i="24"/>
  <c r="AJ142" i="25"/>
  <c r="AM142" i="25"/>
  <c r="BG142" i="25" s="1"/>
  <c r="AX126" i="25"/>
  <c r="AW126" i="25"/>
  <c r="AX51" i="25"/>
  <c r="AW51" i="25"/>
  <c r="BL309" i="24"/>
  <c r="AS309" i="24"/>
  <c r="BJ309" i="24"/>
  <c r="AQ309" i="24"/>
  <c r="AX309" i="24"/>
  <c r="BH309" i="24"/>
  <c r="BU309" i="24"/>
  <c r="BW309" i="24"/>
  <c r="AX27" i="25"/>
  <c r="AW27" i="25"/>
  <c r="AS88" i="24"/>
  <c r="AQ88" i="24"/>
  <c r="BJ88" i="24"/>
  <c r="BW88" i="24"/>
  <c r="AX88" i="24"/>
  <c r="BH88" i="24"/>
  <c r="AX35" i="25"/>
  <c r="AW35" i="25"/>
  <c r="AS180" i="24"/>
  <c r="BJ180" i="24"/>
  <c r="AQ180" i="24"/>
  <c r="BW180" i="24"/>
  <c r="BU180" i="24"/>
  <c r="AX180" i="24"/>
  <c r="BH180" i="24"/>
  <c r="AU7" i="24"/>
  <c r="BB7" i="24" s="1"/>
  <c r="AW7" i="24"/>
  <c r="AM139" i="25"/>
  <c r="BG139" i="25" s="1"/>
  <c r="AJ139" i="25"/>
  <c r="BL259" i="24"/>
  <c r="AS259" i="24"/>
  <c r="AU259" i="24" s="1"/>
  <c r="BB259" i="24" s="1"/>
  <c r="BJ259" i="24"/>
  <c r="AQ259" i="24"/>
  <c r="AX56" i="25"/>
  <c r="AW56" i="25"/>
  <c r="AJ84" i="25"/>
  <c r="AM84" i="25"/>
  <c r="BG84" i="25" s="1"/>
  <c r="AU160" i="24"/>
  <c r="BB160" i="24" s="1"/>
  <c r="AW160" i="24"/>
  <c r="AJ76" i="25"/>
  <c r="AM76" i="25"/>
  <c r="BG76" i="25" s="1"/>
  <c r="AJ278" i="25"/>
  <c r="AM278" i="25"/>
  <c r="BG278" i="25" s="1"/>
  <c r="BH28" i="24"/>
  <c r="AS293" i="24"/>
  <c r="BL293" i="24"/>
  <c r="BJ293" i="24"/>
  <c r="AQ293" i="24"/>
  <c r="BH293" i="24"/>
  <c r="BU293" i="24"/>
  <c r="BW293" i="24"/>
  <c r="AX293" i="24"/>
  <c r="AJ268" i="25"/>
  <c r="AM268" i="25"/>
  <c r="AS184" i="24"/>
  <c r="BL184" i="24"/>
  <c r="BJ184" i="24"/>
  <c r="AQ184" i="24"/>
  <c r="AX184" i="24"/>
  <c r="BH184" i="24"/>
  <c r="BU184" i="24"/>
  <c r="BW184" i="24"/>
  <c r="AS133" i="24"/>
  <c r="AU133" i="24" s="1"/>
  <c r="BB133" i="24" s="1"/>
  <c r="AQ133" i="24"/>
  <c r="BJ133" i="24"/>
  <c r="AM315" i="25"/>
  <c r="BG315" i="25" s="1"/>
  <c r="AJ315" i="25"/>
  <c r="AS313" i="24"/>
  <c r="BL313" i="24"/>
  <c r="BJ313" i="24"/>
  <c r="AQ313" i="24"/>
  <c r="BU313" i="24"/>
  <c r="BW313" i="24"/>
  <c r="AX313" i="24"/>
  <c r="BH313" i="24"/>
  <c r="AW16" i="25"/>
  <c r="AX16" i="25"/>
  <c r="BL158" i="24"/>
  <c r="AS158" i="24"/>
  <c r="BJ158" i="24"/>
  <c r="AQ158" i="24"/>
  <c r="AX158" i="24"/>
  <c r="BH158" i="24"/>
  <c r="BU158" i="24"/>
  <c r="BW158" i="24"/>
  <c r="BA48" i="24"/>
  <c r="AM223" i="25"/>
  <c r="AJ223" i="25"/>
  <c r="AS115" i="24"/>
  <c r="BL115" i="24"/>
  <c r="AQ115" i="24"/>
  <c r="BJ115" i="24"/>
  <c r="AX115" i="24"/>
  <c r="BH115" i="24"/>
  <c r="BU115" i="24"/>
  <c r="BW115" i="24"/>
  <c r="BW147" i="24"/>
  <c r="AX117" i="25"/>
  <c r="AW117" i="25"/>
  <c r="BJ167" i="25"/>
  <c r="AR167" i="25"/>
  <c r="AP167" i="25"/>
  <c r="BH167" i="25"/>
  <c r="BW167" i="25"/>
  <c r="BU167" i="25"/>
  <c r="BF167" i="25"/>
  <c r="AS12" i="24"/>
  <c r="AU12" i="24" s="1"/>
  <c r="BB12" i="24" s="1"/>
  <c r="AQ12" i="24"/>
  <c r="BJ12" i="24"/>
  <c r="AR204" i="25"/>
  <c r="BJ204" i="25"/>
  <c r="BH204" i="25"/>
  <c r="BF204" i="25"/>
  <c r="BW204" i="25"/>
  <c r="BU204" i="25"/>
  <c r="AS130" i="24"/>
  <c r="AU130" i="24" s="1"/>
  <c r="BB130" i="24" s="1"/>
  <c r="AQ130" i="24"/>
  <c r="BJ130" i="24"/>
  <c r="AS103" i="24"/>
  <c r="BJ103" i="24"/>
  <c r="AQ103" i="24"/>
  <c r="AX103" i="24"/>
  <c r="BH103" i="24"/>
  <c r="BW103" i="24"/>
  <c r="AJ81" i="25"/>
  <c r="AM81" i="25"/>
  <c r="AS228" i="24"/>
  <c r="AU228" i="24" s="1"/>
  <c r="BB228" i="24" s="1"/>
  <c r="BJ228" i="24"/>
  <c r="AQ228" i="24"/>
  <c r="AS35" i="24"/>
  <c r="AU35" i="24" s="1"/>
  <c r="BB35" i="24" s="1"/>
  <c r="BJ35" i="24"/>
  <c r="AQ35" i="24"/>
  <c r="AM25" i="25"/>
  <c r="BG25" i="25" s="1"/>
  <c r="AJ25" i="25"/>
  <c r="AJ285" i="25"/>
  <c r="AM285" i="25"/>
  <c r="BG285" i="25" s="1"/>
  <c r="AM241" i="25"/>
  <c r="BG241" i="25" s="1"/>
  <c r="AJ241" i="25"/>
  <c r="AW188" i="25"/>
  <c r="AX188" i="25"/>
  <c r="BA260" i="24"/>
  <c r="AW209" i="25"/>
  <c r="AX209" i="25"/>
  <c r="AS270" i="24"/>
  <c r="BL270" i="24"/>
  <c r="AQ270" i="24"/>
  <c r="BJ270" i="24"/>
  <c r="AX270" i="24"/>
  <c r="BH270" i="24"/>
  <c r="BW270" i="24"/>
  <c r="BU270" i="24"/>
  <c r="BA12" i="24"/>
  <c r="AS145" i="24"/>
  <c r="AU145" i="24" s="1"/>
  <c r="BB145" i="24" s="1"/>
  <c r="BJ145" i="24"/>
  <c r="AQ145" i="24"/>
  <c r="BA273" i="24"/>
  <c r="AM288" i="25"/>
  <c r="BG288" i="25" s="1"/>
  <c r="AJ288" i="25"/>
  <c r="AS123" i="24"/>
  <c r="AU123" i="24" s="1"/>
  <c r="BB123" i="24" s="1"/>
  <c r="BJ123" i="24"/>
  <c r="AQ123" i="24"/>
  <c r="AR273" i="25"/>
  <c r="BJ273" i="25"/>
  <c r="AP273" i="25"/>
  <c r="BH273" i="25"/>
  <c r="BF273" i="25"/>
  <c r="BU273" i="25"/>
  <c r="BW273" i="25"/>
  <c r="AJ299" i="25"/>
  <c r="AM299" i="25"/>
  <c r="BG299" i="25" s="1"/>
  <c r="BU269" i="24"/>
  <c r="AS43" i="24"/>
  <c r="BJ43" i="24"/>
  <c r="AQ43" i="24"/>
  <c r="AX43" i="24"/>
  <c r="BH43" i="24"/>
  <c r="BW43" i="24"/>
  <c r="AW165" i="25"/>
  <c r="AX165" i="25"/>
  <c r="AS47" i="24"/>
  <c r="BJ47" i="24"/>
  <c r="AQ47" i="24"/>
  <c r="AX47" i="24"/>
  <c r="BH47" i="24"/>
  <c r="BW47" i="24"/>
  <c r="AS278" i="24"/>
  <c r="BL278" i="24"/>
  <c r="BJ278" i="24"/>
  <c r="AQ278" i="24"/>
  <c r="BW278" i="24"/>
  <c r="BU278" i="24"/>
  <c r="AX278" i="24"/>
  <c r="BH278" i="24"/>
  <c r="AR29" i="25"/>
  <c r="BJ29" i="25"/>
  <c r="BH29" i="25"/>
  <c r="AP29" i="25"/>
  <c r="BF29" i="25"/>
  <c r="BW29" i="25"/>
  <c r="BU29" i="25"/>
  <c r="AM164" i="25"/>
  <c r="AJ164" i="25"/>
  <c r="AM175" i="25"/>
  <c r="AJ175" i="25"/>
  <c r="AW105" i="25"/>
  <c r="B126" i="2" s="1"/>
  <c r="E33" i="1" s="1"/>
  <c r="AX105" i="25"/>
  <c r="B136" i="2" s="1"/>
  <c r="L33" i="1" s="1"/>
  <c r="BL194" i="24"/>
  <c r="AS194" i="24"/>
  <c r="BJ194" i="24"/>
  <c r="AQ194" i="24"/>
  <c r="AX194" i="24"/>
  <c r="BH194" i="24"/>
  <c r="BW194" i="24"/>
  <c r="BU194" i="24"/>
  <c r="BA271" i="24"/>
  <c r="BA33" i="24"/>
  <c r="BH6" i="24"/>
  <c r="BW6" i="24"/>
  <c r="AJ245" i="25"/>
  <c r="AM245" i="25"/>
  <c r="AJ234" i="25"/>
  <c r="AM234" i="25"/>
  <c r="BG234" i="25" s="1"/>
  <c r="BL202" i="24"/>
  <c r="AS202" i="24"/>
  <c r="AQ202" i="24"/>
  <c r="BJ202" i="24"/>
  <c r="BU202" i="24"/>
  <c r="AX202" i="24"/>
  <c r="BH202" i="24"/>
  <c r="BW202" i="24"/>
  <c r="AR206" i="25"/>
  <c r="BJ206" i="25"/>
  <c r="BH206" i="25"/>
  <c r="BF206" i="25"/>
  <c r="BW206" i="25"/>
  <c r="BU206" i="25"/>
  <c r="AM270" i="25"/>
  <c r="AJ270" i="25"/>
  <c r="AS240" i="24"/>
  <c r="AU240" i="24" s="1"/>
  <c r="BB240" i="24" s="1"/>
  <c r="BJ240" i="24"/>
  <c r="AQ240" i="24"/>
  <c r="AM138" i="25"/>
  <c r="AJ138" i="25"/>
  <c r="AS295" i="24"/>
  <c r="AU295" i="24" s="1"/>
  <c r="BB295" i="24" s="1"/>
  <c r="BJ295" i="24"/>
  <c r="AQ295" i="24"/>
  <c r="AS27" i="24"/>
  <c r="BJ27" i="24"/>
  <c r="AQ27" i="24"/>
  <c r="BH27" i="24"/>
  <c r="BW27" i="24"/>
  <c r="AX27" i="24"/>
  <c r="AS54" i="24"/>
  <c r="AU54" i="24" s="1"/>
  <c r="BB54" i="24" s="1"/>
  <c r="BJ54" i="24"/>
  <c r="AQ54" i="24"/>
  <c r="AX7" i="25"/>
  <c r="AW7" i="25"/>
  <c r="AX156" i="25"/>
  <c r="AW156" i="25"/>
  <c r="BA59" i="24"/>
  <c r="AX68" i="25"/>
  <c r="AW68" i="25"/>
  <c r="BL146" i="24"/>
  <c r="AS146" i="24"/>
  <c r="BJ146" i="24"/>
  <c r="AQ146" i="24"/>
  <c r="BW146" i="24"/>
  <c r="AX146" i="24"/>
  <c r="BH146" i="24"/>
  <c r="BU146" i="24"/>
  <c r="AJ287" i="25"/>
  <c r="AM287" i="25"/>
  <c r="BU265" i="24"/>
  <c r="AX135" i="25"/>
  <c r="AW135" i="25"/>
  <c r="AS20" i="24"/>
  <c r="AU20" i="24" s="1"/>
  <c r="BB20" i="24" s="1"/>
  <c r="BJ20" i="24"/>
  <c r="AQ20" i="24"/>
  <c r="AM251" i="25"/>
  <c r="BG251" i="25" s="1"/>
  <c r="AJ251" i="25"/>
  <c r="AM46" i="25"/>
  <c r="BG46" i="25" s="1"/>
  <c r="AJ46" i="25"/>
  <c r="AX111" i="24"/>
  <c r="AW264" i="24"/>
  <c r="AR305" i="25"/>
  <c r="AP305" i="25"/>
  <c r="BH305" i="25"/>
  <c r="BU305" i="25"/>
  <c r="BW305" i="25"/>
  <c r="BF305" i="25"/>
  <c r="AR190" i="25"/>
  <c r="BH190" i="25"/>
  <c r="AP190" i="25"/>
  <c r="BW190" i="25"/>
  <c r="BF190" i="25"/>
  <c r="BU190" i="25"/>
  <c r="AX41" i="25"/>
  <c r="AW41" i="25"/>
  <c r="BA247" i="24"/>
  <c r="AJ312" i="25"/>
  <c r="AM312" i="25"/>
  <c r="BG312" i="25" s="1"/>
  <c r="AX242" i="24"/>
  <c r="AJ99" i="25"/>
  <c r="AM99" i="25"/>
  <c r="AJ120" i="25"/>
  <c r="AM120" i="25"/>
  <c r="BG120" i="25" s="1"/>
  <c r="AS56" i="24"/>
  <c r="AU56" i="24" s="1"/>
  <c r="BB56" i="24" s="1"/>
  <c r="BJ56" i="24"/>
  <c r="AQ56" i="24"/>
  <c r="BU135" i="24"/>
  <c r="AX301" i="24"/>
  <c r="AM230" i="25"/>
  <c r="BG230" i="25" s="1"/>
  <c r="AJ230" i="25"/>
  <c r="AX20" i="25"/>
  <c r="AW20" i="25"/>
  <c r="AS171" i="24"/>
  <c r="BL171" i="24"/>
  <c r="AQ171" i="24"/>
  <c r="BJ171" i="24"/>
  <c r="BH171" i="24"/>
  <c r="BW171" i="24"/>
  <c r="BU171" i="24"/>
  <c r="AX171" i="24"/>
  <c r="AJ137" i="25"/>
  <c r="AM137" i="25"/>
  <c r="BG137" i="25" s="1"/>
  <c r="AR89" i="25"/>
  <c r="AP89" i="25"/>
  <c r="BH89" i="25"/>
  <c r="BF89" i="25"/>
  <c r="BU89" i="25"/>
  <c r="BW89" i="25"/>
  <c r="BL197" i="24"/>
  <c r="AS197" i="24"/>
  <c r="BJ197" i="24"/>
  <c r="AQ197" i="24"/>
  <c r="BH197" i="24"/>
  <c r="BU197" i="24"/>
  <c r="BW197" i="24"/>
  <c r="AX197" i="24"/>
  <c r="AS104" i="24"/>
  <c r="BJ104" i="24"/>
  <c r="AQ104" i="24"/>
  <c r="AX104" i="24"/>
  <c r="BW104" i="24"/>
  <c r="BH104" i="24"/>
  <c r="AS275" i="24"/>
  <c r="AQ275" i="24"/>
  <c r="BJ275" i="24"/>
  <c r="AX275" i="24"/>
  <c r="BH275" i="24"/>
  <c r="BW275" i="24"/>
  <c r="BU275" i="24"/>
  <c r="BH126" i="24"/>
  <c r="BU290" i="24"/>
  <c r="BW145" i="24"/>
  <c r="BA263" i="24"/>
  <c r="AX67" i="25"/>
  <c r="AW67" i="25"/>
  <c r="AM17" i="25"/>
  <c r="BG17" i="25" s="1"/>
  <c r="AJ17" i="25"/>
  <c r="BA282" i="24"/>
  <c r="BA155" i="24"/>
  <c r="AJ236" i="25"/>
  <c r="AM236" i="25"/>
  <c r="BG236" i="25" s="1"/>
  <c r="AX248" i="24"/>
  <c r="AW187" i="25"/>
  <c r="AX187" i="25"/>
  <c r="AS168" i="24"/>
  <c r="AQ168" i="24"/>
  <c r="BJ168" i="24"/>
  <c r="BU168" i="24"/>
  <c r="AX168" i="24"/>
  <c r="BH168" i="24"/>
  <c r="BW168" i="24"/>
  <c r="AM72" i="25"/>
  <c r="AJ72" i="25"/>
  <c r="AJ222" i="25"/>
  <c r="AM222" i="25"/>
  <c r="BG222" i="25" s="1"/>
  <c r="BJ28" i="25"/>
  <c r="AR28" i="25"/>
  <c r="BH28" i="25"/>
  <c r="AP28" i="25"/>
  <c r="BF28" i="25"/>
  <c r="BW28" i="25"/>
  <c r="BU28" i="25"/>
  <c r="AS273" i="24"/>
  <c r="AU273" i="24" s="1"/>
  <c r="BB273" i="24" s="1"/>
  <c r="AQ273" i="24"/>
  <c r="BJ273" i="24"/>
  <c r="BL232" i="24"/>
  <c r="AS232" i="24"/>
  <c r="AU232" i="24" s="1"/>
  <c r="BB232" i="24" s="1"/>
  <c r="BJ232" i="24"/>
  <c r="AQ232" i="24"/>
  <c r="AR87" i="25"/>
  <c r="BJ87" i="25"/>
  <c r="BH87" i="25"/>
  <c r="AP87" i="25"/>
  <c r="BF87" i="25"/>
  <c r="BW87" i="25"/>
  <c r="BU87" i="25"/>
  <c r="AS69" i="24"/>
  <c r="BJ69" i="24"/>
  <c r="AQ69" i="24"/>
  <c r="BH69" i="24"/>
  <c r="BW69" i="24"/>
  <c r="AX69" i="24"/>
  <c r="BL131" i="24"/>
  <c r="AS131" i="24"/>
  <c r="BJ131" i="24"/>
  <c r="AQ131" i="24"/>
  <c r="BH131" i="24"/>
  <c r="BW131" i="24"/>
  <c r="BU131" i="24"/>
  <c r="AX131" i="24"/>
  <c r="BL268" i="24"/>
  <c r="AS268" i="24"/>
  <c r="AQ268" i="24"/>
  <c r="BJ268" i="24"/>
  <c r="AX268" i="24"/>
  <c r="BH268" i="24"/>
  <c r="BW268" i="24"/>
  <c r="BU268" i="24"/>
  <c r="AJ64" i="25"/>
  <c r="AM64" i="25"/>
  <c r="BH283" i="24"/>
  <c r="BL159" i="24"/>
  <c r="AS159" i="24"/>
  <c r="AQ159" i="24"/>
  <c r="BJ159" i="24"/>
  <c r="BW159" i="24"/>
  <c r="AX159" i="24"/>
  <c r="BH159" i="24"/>
  <c r="BU159" i="24"/>
  <c r="AX120" i="24"/>
  <c r="BL238" i="24"/>
  <c r="AS238" i="24"/>
  <c r="AU238" i="24" s="1"/>
  <c r="BB238" i="24" s="1"/>
  <c r="AQ238" i="24"/>
  <c r="BJ238" i="24"/>
  <c r="BL129" i="24"/>
  <c r="AS129" i="24"/>
  <c r="AU129" i="24" s="1"/>
  <c r="BB129" i="24" s="1"/>
  <c r="AQ129" i="24"/>
  <c r="BJ129" i="24"/>
  <c r="AM56" i="25"/>
  <c r="AJ56" i="25"/>
  <c r="AS267" i="24"/>
  <c r="AU267" i="24" s="1"/>
  <c r="BB267" i="24" s="1"/>
  <c r="AQ267" i="24"/>
  <c r="BJ267" i="24"/>
  <c r="AS206" i="24"/>
  <c r="BL206" i="24"/>
  <c r="BJ206" i="24"/>
  <c r="AQ206" i="24"/>
  <c r="BH206" i="24"/>
  <c r="BW206" i="24"/>
  <c r="BU206" i="24"/>
  <c r="AX206" i="24"/>
  <c r="AS280" i="24"/>
  <c r="AU280" i="24" s="1"/>
  <c r="BB280" i="24" s="1"/>
  <c r="BL280" i="24"/>
  <c r="BJ280" i="24"/>
  <c r="AQ280" i="24"/>
  <c r="AS302" i="24"/>
  <c r="BJ302" i="24"/>
  <c r="AQ302" i="24"/>
  <c r="BW302" i="24"/>
  <c r="BU302" i="24"/>
  <c r="AX302" i="24"/>
  <c r="BH302" i="24"/>
  <c r="AJ219" i="25"/>
  <c r="AM219" i="25"/>
  <c r="BL14" i="24"/>
  <c r="AS14" i="24"/>
  <c r="BJ14" i="24"/>
  <c r="AQ14" i="24"/>
  <c r="AX14" i="24"/>
  <c r="BH14" i="24"/>
  <c r="BW14" i="24"/>
  <c r="BL245" i="24"/>
  <c r="AS245" i="24"/>
  <c r="AQ245" i="24"/>
  <c r="BJ245" i="24"/>
  <c r="AX245" i="24"/>
  <c r="BH245" i="24"/>
  <c r="BW245" i="24"/>
  <c r="BU245" i="24"/>
  <c r="AJ16" i="25"/>
  <c r="AM16" i="25"/>
  <c r="BG16" i="25" s="1"/>
  <c r="AM302" i="25"/>
  <c r="AJ302" i="25"/>
  <c r="AX28" i="24"/>
  <c r="AX50" i="25"/>
  <c r="AW50" i="25"/>
  <c r="AS24" i="24"/>
  <c r="AU24" i="24" s="1"/>
  <c r="BB24" i="24" s="1"/>
  <c r="BJ24" i="24"/>
  <c r="AQ24" i="24"/>
  <c r="AS186" i="24"/>
  <c r="AQ186" i="24"/>
  <c r="BJ186" i="24"/>
  <c r="BW186" i="24"/>
  <c r="BU186" i="24"/>
  <c r="AX186" i="24"/>
  <c r="BH186" i="24"/>
  <c r="BA114" i="24"/>
  <c r="AM133" i="25"/>
  <c r="BG133" i="25" s="1"/>
  <c r="AJ133" i="25"/>
  <c r="AS173" i="24"/>
  <c r="BJ173" i="24"/>
  <c r="AQ173" i="24"/>
  <c r="BU173" i="24"/>
  <c r="BW173" i="24"/>
  <c r="AX173" i="24"/>
  <c r="BH173" i="24"/>
  <c r="AX130" i="24"/>
  <c r="BH147" i="24"/>
  <c r="BA274" i="24"/>
  <c r="AJ197" i="25"/>
  <c r="AM197" i="25"/>
  <c r="AS285" i="24"/>
  <c r="BL285" i="24"/>
  <c r="AQ285" i="24"/>
  <c r="BJ285" i="24"/>
  <c r="BH285" i="24"/>
  <c r="BU285" i="24"/>
  <c r="BW285" i="24"/>
  <c r="AX285" i="24"/>
  <c r="AS172" i="24"/>
  <c r="BL172" i="24"/>
  <c r="AQ172" i="24"/>
  <c r="BJ172" i="24"/>
  <c r="AX172" i="24"/>
  <c r="BH172" i="24"/>
  <c r="BW172" i="24"/>
  <c r="BU172" i="24"/>
  <c r="BW260" i="24"/>
  <c r="AX98" i="25"/>
  <c r="AW98" i="25"/>
  <c r="BL161" i="24"/>
  <c r="AS161" i="24"/>
  <c r="BJ161" i="24"/>
  <c r="AQ161" i="24"/>
  <c r="BH161" i="24"/>
  <c r="BW161" i="24"/>
  <c r="BU161" i="24"/>
  <c r="AX161" i="24"/>
  <c r="AM163" i="25"/>
  <c r="AJ163" i="25"/>
  <c r="AS8" i="24"/>
  <c r="AU8" i="24" s="1"/>
  <c r="BB8" i="24" s="1"/>
  <c r="BL8" i="24"/>
  <c r="BJ8" i="24"/>
  <c r="AQ8" i="24"/>
  <c r="AR238" i="25"/>
  <c r="BJ238" i="25"/>
  <c r="AP238" i="25"/>
  <c r="BH238" i="25"/>
  <c r="BU238" i="25"/>
  <c r="BW238" i="25"/>
  <c r="BF238" i="25"/>
  <c r="BL266" i="24"/>
  <c r="AS266" i="24"/>
  <c r="AU266" i="24" s="1"/>
  <c r="BB266" i="24" s="1"/>
  <c r="BJ266" i="24"/>
  <c r="AQ266" i="24"/>
  <c r="BW273" i="24"/>
  <c r="AW157" i="25"/>
  <c r="AX157" i="25"/>
  <c r="AR314" i="25"/>
  <c r="BJ314" i="25"/>
  <c r="AP314" i="25"/>
  <c r="BH314" i="25"/>
  <c r="BF314" i="25"/>
  <c r="BU314" i="25"/>
  <c r="BW314" i="25"/>
  <c r="AJ250" i="25"/>
  <c r="AM250" i="25"/>
  <c r="BG250" i="25" s="1"/>
  <c r="BW269" i="24"/>
  <c r="AX296" i="24"/>
  <c r="AJ88" i="25"/>
  <c r="AM88" i="25"/>
  <c r="AX193" i="25"/>
  <c r="AW193" i="25"/>
  <c r="BL117" i="24"/>
  <c r="AS117" i="24"/>
  <c r="AU117" i="24" s="1"/>
  <c r="BB117" i="24" s="1"/>
  <c r="BJ117" i="24"/>
  <c r="AQ117" i="24"/>
  <c r="AX65" i="25"/>
  <c r="AW65" i="25"/>
  <c r="BL286" i="24"/>
  <c r="AS286" i="24"/>
  <c r="AQ286" i="24"/>
  <c r="BJ286" i="24"/>
  <c r="AX286" i="24"/>
  <c r="BH286" i="24"/>
  <c r="BU286" i="24"/>
  <c r="BW286" i="24"/>
  <c r="AJ36" i="25"/>
  <c r="AM36" i="25"/>
  <c r="BG36" i="25" s="1"/>
  <c r="AX163" i="25"/>
  <c r="AW163" i="25"/>
  <c r="AR246" i="25"/>
  <c r="BJ246" i="25"/>
  <c r="AP246" i="25"/>
  <c r="BH246" i="25"/>
  <c r="BF246" i="25"/>
  <c r="BW246" i="25"/>
  <c r="BU246" i="25"/>
  <c r="AS279" i="24"/>
  <c r="AU279" i="24" s="1"/>
  <c r="BB279" i="24" s="1"/>
  <c r="BL279" i="24"/>
  <c r="BJ279" i="24"/>
  <c r="AQ279" i="24"/>
  <c r="AS19" i="24"/>
  <c r="AU19" i="24" s="1"/>
  <c r="BB19" i="24" s="1"/>
  <c r="BL19" i="24"/>
  <c r="BJ19" i="24"/>
  <c r="AQ19" i="24"/>
  <c r="AJ290" i="25"/>
  <c r="AM290" i="25"/>
  <c r="BG290" i="25" s="1"/>
  <c r="BA117" i="24"/>
  <c r="AW88" i="25"/>
  <c r="AX88" i="25"/>
  <c r="AM226" i="25"/>
  <c r="BG226" i="25" s="1"/>
  <c r="AJ226" i="25"/>
  <c r="AX164" i="25"/>
  <c r="AW164" i="25"/>
  <c r="AX19" i="25"/>
  <c r="AW19" i="25"/>
  <c r="AJ294" i="25"/>
  <c r="AM294" i="25"/>
  <c r="AJ26" i="25"/>
  <c r="AM26" i="25"/>
  <c r="BG26" i="25" s="1"/>
  <c r="AX8" i="24"/>
  <c r="BH240" i="24"/>
  <c r="AS229" i="24"/>
  <c r="BL229" i="24"/>
  <c r="BJ229" i="24"/>
  <c r="AQ229" i="24"/>
  <c r="BW229" i="24"/>
  <c r="BU229" i="24"/>
  <c r="AX229" i="24"/>
  <c r="BH229" i="24"/>
  <c r="AS288" i="24"/>
  <c r="BL288" i="24"/>
  <c r="BJ288" i="24"/>
  <c r="AQ288" i="24"/>
  <c r="AX288" i="24"/>
  <c r="BH288" i="24"/>
  <c r="BU288" i="24"/>
  <c r="BW288" i="24"/>
  <c r="BW32" i="24"/>
  <c r="AW208" i="25"/>
  <c r="AX208" i="25"/>
  <c r="AJ162" i="25"/>
  <c r="AM162" i="25"/>
  <c r="AS282" i="24"/>
  <c r="AU282" i="24" s="1"/>
  <c r="BB282" i="24" s="1"/>
  <c r="BJ282" i="24"/>
  <c r="AQ282" i="24"/>
  <c r="AS253" i="24"/>
  <c r="AU253" i="24" s="1"/>
  <c r="BB253" i="24" s="1"/>
  <c r="AQ253" i="24"/>
  <c r="BJ253" i="24"/>
  <c r="BA111" i="24"/>
  <c r="AS91" i="24"/>
  <c r="AQ91" i="24"/>
  <c r="BJ91" i="24"/>
  <c r="AX91" i="24"/>
  <c r="BH91" i="24"/>
  <c r="BW91" i="24"/>
  <c r="AS231" i="24"/>
  <c r="BL231" i="24"/>
  <c r="AQ231" i="24"/>
  <c r="BJ231" i="24"/>
  <c r="BH231" i="24"/>
  <c r="BU231" i="24"/>
  <c r="BW231" i="24"/>
  <c r="AX231" i="24"/>
  <c r="BW305" i="24"/>
  <c r="AX180" i="25"/>
  <c r="AW180" i="25"/>
  <c r="AX100" i="25"/>
  <c r="AW100" i="25"/>
  <c r="AR292" i="25"/>
  <c r="BJ292" i="25"/>
  <c r="BH292" i="25"/>
  <c r="AP292" i="25"/>
  <c r="BU292" i="25"/>
  <c r="BW292" i="25"/>
  <c r="BF292" i="25"/>
  <c r="AS150" i="24"/>
  <c r="BL150" i="24"/>
  <c r="AQ150" i="24"/>
  <c r="BJ150" i="24"/>
  <c r="AX150" i="24"/>
  <c r="BH150" i="24"/>
  <c r="BW150" i="24"/>
  <c r="BU150" i="24"/>
  <c r="AJ289" i="25"/>
  <c r="AM289" i="25"/>
  <c r="BG289" i="25" s="1"/>
  <c r="AS201" i="24"/>
  <c r="BJ201" i="24"/>
  <c r="AQ201" i="24"/>
  <c r="BW201" i="24"/>
  <c r="AX201" i="24"/>
  <c r="BH201" i="24"/>
  <c r="BU201" i="24"/>
  <c r="BL39" i="24"/>
  <c r="AS39" i="24"/>
  <c r="BJ39" i="24"/>
  <c r="AQ39" i="24"/>
  <c r="AX39" i="24"/>
  <c r="BH39" i="24"/>
  <c r="BW39" i="24"/>
  <c r="AJ33" i="25"/>
  <c r="AM33" i="25"/>
  <c r="BG33" i="25" s="1"/>
  <c r="AS90" i="24"/>
  <c r="BJ90" i="24"/>
  <c r="AQ90" i="24"/>
  <c r="AX90" i="24"/>
  <c r="BH90" i="24"/>
  <c r="BW90" i="24"/>
  <c r="BA225" i="24"/>
  <c r="AS195" i="24"/>
  <c r="BL195" i="24"/>
  <c r="BJ195" i="24"/>
  <c r="AQ195" i="24"/>
  <c r="BH195" i="24"/>
  <c r="BU195" i="24"/>
  <c r="BW195" i="24"/>
  <c r="AX195" i="24"/>
  <c r="AJ116" i="25"/>
  <c r="AM116" i="25"/>
  <c r="AX295" i="24"/>
  <c r="AJ159" i="25"/>
  <c r="AM159" i="25"/>
  <c r="AS188" i="24"/>
  <c r="BL188" i="24"/>
  <c r="BJ188" i="24"/>
  <c r="AQ188" i="24"/>
  <c r="BH188" i="24"/>
  <c r="BU188" i="24"/>
  <c r="BW188" i="24"/>
  <c r="AX188" i="24"/>
  <c r="BL164" i="24"/>
  <c r="AS164" i="24"/>
  <c r="BJ164" i="24"/>
  <c r="AQ164" i="24"/>
  <c r="AX164" i="24"/>
  <c r="BH164" i="24"/>
  <c r="BW164" i="24"/>
  <c r="BU164" i="24"/>
  <c r="AJ53" i="25"/>
  <c r="AM53" i="25"/>
  <c r="BG53" i="25" s="1"/>
  <c r="BL155" i="24"/>
  <c r="AS155" i="24"/>
  <c r="AU155" i="24" s="1"/>
  <c r="BB155" i="24" s="1"/>
  <c r="BJ155" i="24"/>
  <c r="AQ155" i="24"/>
  <c r="AS37" i="24"/>
  <c r="AU37" i="24" s="1"/>
  <c r="BB37" i="24" s="1"/>
  <c r="BJ37" i="24"/>
  <c r="AQ37" i="24"/>
  <c r="BA301" i="24"/>
  <c r="AX121" i="24"/>
  <c r="AX93" i="25"/>
  <c r="AW93" i="25"/>
  <c r="AJ39" i="25"/>
  <c r="AM39" i="25"/>
  <c r="BG39" i="25" s="1"/>
  <c r="AR6" i="25"/>
  <c r="BH6" i="25"/>
  <c r="AP6" i="25"/>
  <c r="BF6" i="25"/>
  <c r="BW6" i="25"/>
  <c r="BU6" i="25"/>
  <c r="AX33" i="25"/>
  <c r="AW33" i="25"/>
  <c r="AX279" i="24"/>
  <c r="AM123" i="25"/>
  <c r="BG123" i="25" s="1"/>
  <c r="AJ123" i="25"/>
  <c r="BA17" i="24"/>
  <c r="AS316" i="24"/>
  <c r="BL316" i="24"/>
  <c r="BJ316" i="24"/>
  <c r="AQ316" i="24"/>
  <c r="AX316" i="24"/>
  <c r="BH316" i="24"/>
  <c r="BW316" i="24"/>
  <c r="BU316" i="24"/>
  <c r="AS199" i="24"/>
  <c r="AQ199" i="24"/>
  <c r="BJ199" i="24"/>
  <c r="AX199" i="24"/>
  <c r="BH199" i="24"/>
  <c r="BW199" i="24"/>
  <c r="BU199" i="24"/>
  <c r="BU282" i="24"/>
  <c r="AW142" i="24"/>
  <c r="AJ10" i="25"/>
  <c r="AM10" i="25"/>
  <c r="BA248" i="24"/>
  <c r="BH232" i="24"/>
  <c r="AS48" i="24"/>
  <c r="AU48" i="24" s="1"/>
  <c r="BB48" i="24" s="1"/>
  <c r="BJ48" i="24"/>
  <c r="AQ48" i="24"/>
  <c r="AJ40" i="25"/>
  <c r="AM40" i="25"/>
  <c r="BG40" i="25" s="1"/>
  <c r="AS154" i="24"/>
  <c r="BL154" i="24"/>
  <c r="BJ154" i="24"/>
  <c r="AQ154" i="24"/>
  <c r="AX154" i="24"/>
  <c r="BH154" i="24"/>
  <c r="BW154" i="24"/>
  <c r="BU154" i="24"/>
  <c r="AX79" i="25"/>
  <c r="AW79" i="25"/>
  <c r="AS204" i="24"/>
  <c r="BJ204" i="24"/>
  <c r="AQ204" i="24"/>
  <c r="AX204" i="24"/>
  <c r="BH204" i="24"/>
  <c r="BU204" i="24"/>
  <c r="BW204" i="24"/>
  <c r="BA259" i="24"/>
  <c r="AS277" i="24"/>
  <c r="BJ277" i="24"/>
  <c r="AQ277" i="24"/>
  <c r="AX277" i="24"/>
  <c r="BH277" i="24"/>
  <c r="BU277" i="24"/>
  <c r="BW277" i="24"/>
  <c r="AM27" i="25"/>
  <c r="AJ27" i="25"/>
  <c r="AU190" i="24"/>
  <c r="BB190" i="24" s="1"/>
  <c r="AW190" i="24"/>
  <c r="AW17" i="25"/>
  <c r="AX17" i="25"/>
  <c r="AS59" i="24"/>
  <c r="AU59" i="24" s="1"/>
  <c r="BB59" i="24" s="1"/>
  <c r="BJ59" i="24"/>
  <c r="AQ59" i="24"/>
  <c r="AJ149" i="25"/>
  <c r="AM149" i="25"/>
  <c r="BG149" i="25" s="1"/>
  <c r="AM153" i="25"/>
  <c r="AJ153" i="25"/>
  <c r="AJ182" i="25"/>
  <c r="AM182" i="25"/>
  <c r="AR147" i="25"/>
  <c r="AP147" i="25"/>
  <c r="BH147" i="25"/>
  <c r="BW147" i="25"/>
  <c r="BU147" i="25"/>
  <c r="BF147" i="25"/>
  <c r="AW23" i="25"/>
  <c r="AX23" i="25"/>
  <c r="AM233" i="25"/>
  <c r="BG233" i="25" s="1"/>
  <c r="AJ233" i="25"/>
  <c r="AS166" i="24"/>
  <c r="AQ166" i="24"/>
  <c r="BJ166" i="24"/>
  <c r="BW166" i="24"/>
  <c r="BU166" i="24"/>
  <c r="AX166" i="24"/>
  <c r="BH166" i="24"/>
  <c r="AS84" i="24"/>
  <c r="AQ84" i="24"/>
  <c r="BJ84" i="24"/>
  <c r="BW84" i="24"/>
  <c r="AX84" i="24"/>
  <c r="BH84" i="24"/>
  <c r="AM117" i="25"/>
  <c r="AJ117" i="25"/>
  <c r="AM69" i="25"/>
  <c r="BG69" i="25" s="1"/>
  <c r="AJ69" i="25"/>
  <c r="AW134" i="25"/>
  <c r="AX134" i="25"/>
  <c r="AJ271" i="25"/>
  <c r="AM271" i="25"/>
  <c r="BG271" i="25" s="1"/>
  <c r="BJ232" i="25"/>
  <c r="AR232" i="25"/>
  <c r="AP232" i="25"/>
  <c r="BH232" i="25"/>
  <c r="BF232" i="25"/>
  <c r="BW232" i="25"/>
  <c r="BU232" i="25"/>
  <c r="AS49" i="24"/>
  <c r="BJ49" i="24"/>
  <c r="AQ49" i="24"/>
  <c r="AX49" i="24"/>
  <c r="BH49" i="24"/>
  <c r="BW49" i="24"/>
  <c r="AM119" i="25"/>
  <c r="BG119" i="25" s="1"/>
  <c r="AJ119" i="25"/>
  <c r="AJ150" i="25"/>
  <c r="AM150" i="25"/>
  <c r="BG150" i="25" s="1"/>
  <c r="AU294" i="24"/>
  <c r="BB294" i="24" s="1"/>
  <c r="AW294" i="24"/>
  <c r="BA219" i="24"/>
  <c r="AX194" i="25"/>
  <c r="AW194" i="25"/>
  <c r="AX103" i="25"/>
  <c r="AW103" i="25"/>
  <c r="AX139" i="25"/>
  <c r="AW139" i="25"/>
  <c r="BA130" i="24"/>
  <c r="AX147" i="24"/>
  <c r="AS34" i="24"/>
  <c r="AU34" i="24" s="1"/>
  <c r="BB34" i="24" s="1"/>
  <c r="BJ34" i="24"/>
  <c r="AQ34" i="24"/>
  <c r="BA249" i="24"/>
  <c r="AM85" i="25"/>
  <c r="BG85" i="25" s="1"/>
  <c r="AJ85" i="25"/>
  <c r="AR161" i="25"/>
  <c r="BH161" i="25"/>
  <c r="AP161" i="25"/>
  <c r="BF161" i="25"/>
  <c r="BW161" i="25"/>
  <c r="BU161" i="25"/>
  <c r="AU162" i="24"/>
  <c r="BB162" i="24" s="1"/>
  <c r="AW162" i="24"/>
  <c r="AS52" i="24"/>
  <c r="AQ52" i="24"/>
  <c r="BJ52" i="24"/>
  <c r="AX52" i="24"/>
  <c r="BH52" i="24"/>
  <c r="BW52" i="24"/>
  <c r="BU260" i="24"/>
  <c r="AM210" i="25"/>
  <c r="BG210" i="25" s="1"/>
  <c r="AJ210" i="25"/>
  <c r="AS80" i="24"/>
  <c r="BJ80" i="24"/>
  <c r="AQ80" i="24"/>
  <c r="BW80" i="24"/>
  <c r="AX80" i="24"/>
  <c r="BH80" i="24"/>
  <c r="AT129" i="25"/>
  <c r="AY129" i="25" s="1"/>
  <c r="AU129" i="25"/>
  <c r="BA296" i="24"/>
  <c r="AM313" i="25"/>
  <c r="AJ313" i="25"/>
  <c r="AR94" i="25"/>
  <c r="BJ94" i="25"/>
  <c r="BH94" i="25"/>
  <c r="AP94" i="25"/>
  <c r="BU94" i="25"/>
  <c r="BF94" i="25"/>
  <c r="BW94" i="25"/>
  <c r="AX197" i="25"/>
  <c r="AW197" i="25"/>
  <c r="AJ301" i="25"/>
  <c r="AM301" i="25"/>
  <c r="BG301" i="25" s="1"/>
  <c r="AW145" i="25"/>
  <c r="AX145" i="25"/>
  <c r="AJ284" i="25"/>
  <c r="AM284" i="25"/>
  <c r="BJ262" i="25"/>
  <c r="AR262" i="25"/>
  <c r="BH262" i="25"/>
  <c r="AP262" i="25"/>
  <c r="BW262" i="25"/>
  <c r="BU262" i="25"/>
  <c r="BF262" i="25"/>
  <c r="AX238" i="24"/>
  <c r="AJ169" i="25"/>
  <c r="AM169" i="25"/>
  <c r="AS263" i="24"/>
  <c r="AU263" i="24" s="1"/>
  <c r="BB263" i="24" s="1"/>
  <c r="BJ263" i="24"/>
  <c r="AQ263" i="24"/>
  <c r="BJ276" i="25"/>
  <c r="AR276" i="25"/>
  <c r="BH276" i="25"/>
  <c r="AP276" i="25"/>
  <c r="BW276" i="25"/>
  <c r="BU276" i="25"/>
  <c r="BF276" i="25"/>
  <c r="AJ295" i="25"/>
  <c r="AM295" i="25"/>
  <c r="BH133" i="24"/>
  <c r="AU191" i="24"/>
  <c r="BB191" i="24" s="1"/>
  <c r="AW191" i="24"/>
  <c r="AS38" i="24"/>
  <c r="BJ38" i="24"/>
  <c r="AQ38" i="24"/>
  <c r="AX38" i="24"/>
  <c r="BW38" i="24"/>
  <c r="BH38" i="24"/>
  <c r="AR114" i="25"/>
  <c r="BJ114" i="25"/>
  <c r="BH114" i="25"/>
  <c r="AP114" i="25"/>
  <c r="BW114" i="25"/>
  <c r="BU114" i="25"/>
  <c r="BF114" i="25"/>
  <c r="AW236" i="24"/>
  <c r="AR113" i="25"/>
  <c r="BJ113" i="25"/>
  <c r="AP113" i="25"/>
  <c r="BH113" i="25"/>
  <c r="BF113" i="25"/>
  <c r="BW113" i="25"/>
  <c r="BU113" i="25"/>
  <c r="AM41" i="25"/>
  <c r="BG41" i="25" s="1"/>
  <c r="AJ41" i="25"/>
  <c r="BH8" i="24"/>
  <c r="AW22" i="24"/>
  <c r="BH266" i="24"/>
  <c r="BH265" i="24"/>
  <c r="AX181" i="25"/>
  <c r="AW181" i="25"/>
  <c r="AJ277" i="25"/>
  <c r="AM277" i="25"/>
  <c r="BG277" i="25" s="1"/>
  <c r="AX44" i="25"/>
  <c r="AW44" i="25"/>
  <c r="BU305" i="24"/>
  <c r="AW86" i="25"/>
  <c r="AX86" i="25"/>
  <c r="AJ121" i="25"/>
  <c r="AM121" i="25"/>
  <c r="BU247" i="24"/>
  <c r="AW60" i="25"/>
  <c r="AX60" i="25"/>
  <c r="AS112" i="24"/>
  <c r="AU112" i="24" s="1"/>
  <c r="BB112" i="24" s="1"/>
  <c r="BL112" i="24"/>
  <c r="AQ112" i="24"/>
  <c r="BJ112" i="24"/>
  <c r="AM67" i="25"/>
  <c r="BG67" i="25" s="1"/>
  <c r="AJ67" i="25"/>
  <c r="AX91" i="25"/>
  <c r="AW91" i="25"/>
  <c r="AS105" i="24"/>
  <c r="BL105" i="24"/>
  <c r="BJ105" i="24"/>
  <c r="AQ105" i="24"/>
  <c r="AX105" i="24"/>
  <c r="BH105" i="24"/>
  <c r="BW105" i="24"/>
  <c r="BW242" i="24"/>
  <c r="BA295" i="24"/>
  <c r="AJ12" i="25"/>
  <c r="AM12" i="25"/>
  <c r="BG12" i="25" s="1"/>
  <c r="AR32" i="25"/>
  <c r="BJ32" i="25"/>
  <c r="AP32" i="25"/>
  <c r="BH32" i="25"/>
  <c r="BW32" i="25"/>
  <c r="BU32" i="25"/>
  <c r="BF32" i="25"/>
  <c r="AS209" i="24"/>
  <c r="BJ209" i="24"/>
  <c r="AQ209" i="24"/>
  <c r="AX209" i="24"/>
  <c r="BH209" i="24"/>
  <c r="BU209" i="24"/>
  <c r="BW209" i="24"/>
  <c r="BW301" i="24"/>
  <c r="BA121" i="24"/>
  <c r="AM191" i="25"/>
  <c r="AJ191" i="25"/>
  <c r="AJ195" i="25"/>
  <c r="AM195" i="25"/>
  <c r="BL276" i="24"/>
  <c r="AS276" i="24"/>
  <c r="AQ276" i="24"/>
  <c r="BJ276" i="24"/>
  <c r="BU276" i="24"/>
  <c r="BW276" i="24"/>
  <c r="AX276" i="24"/>
  <c r="BH276" i="24"/>
  <c r="AR174" i="25"/>
  <c r="AP174" i="25"/>
  <c r="BH174" i="25"/>
  <c r="BW174" i="25"/>
  <c r="BU174" i="25"/>
  <c r="BF174" i="25"/>
  <c r="BU145" i="24"/>
  <c r="AW132" i="24"/>
  <c r="BW263" i="24"/>
  <c r="BH9" i="24"/>
  <c r="BA267" i="24"/>
  <c r="BA253" i="24"/>
  <c r="AX58" i="25"/>
  <c r="AW58" i="25"/>
  <c r="AX232" i="24"/>
  <c r="AS284" i="24"/>
  <c r="AU284" i="24" s="1"/>
  <c r="BB284" i="24" s="1"/>
  <c r="BL284" i="24"/>
  <c r="AQ284" i="24"/>
  <c r="BJ284" i="24"/>
  <c r="AJ152" i="25"/>
  <c r="AM152" i="25"/>
  <c r="AX195" i="25"/>
  <c r="AW195" i="25"/>
  <c r="AR71" i="25"/>
  <c r="BH71" i="25"/>
  <c r="AP71" i="25"/>
  <c r="BF71" i="25"/>
  <c r="BW71" i="25"/>
  <c r="BU71" i="25"/>
  <c r="AJ126" i="25"/>
  <c r="AM126" i="25"/>
  <c r="BG126" i="25" s="1"/>
  <c r="AM78" i="25"/>
  <c r="BG78" i="25" s="1"/>
  <c r="AJ78" i="25"/>
  <c r="AW200" i="25"/>
  <c r="AX200" i="25"/>
  <c r="AX123" i="25"/>
  <c r="AW123" i="25"/>
  <c r="BA18" i="24"/>
  <c r="AS92" i="24"/>
  <c r="BJ92" i="24"/>
  <c r="AQ92" i="24"/>
  <c r="BH92" i="24"/>
  <c r="BW92" i="24"/>
  <c r="AX92" i="24"/>
  <c r="BA120" i="24"/>
  <c r="BL314" i="24"/>
  <c r="AS314" i="24"/>
  <c r="AQ314" i="24"/>
  <c r="BJ314" i="24"/>
  <c r="BH314" i="24"/>
  <c r="BW314" i="24"/>
  <c r="BU314" i="24"/>
  <c r="AX314" i="24"/>
  <c r="AS237" i="24"/>
  <c r="AU237" i="24" s="1"/>
  <c r="BB237" i="24" s="1"/>
  <c r="BJ237" i="24"/>
  <c r="AQ237" i="24"/>
  <c r="AM22" i="25"/>
  <c r="AJ22" i="25"/>
  <c r="BL32" i="24"/>
  <c r="AS32" i="24"/>
  <c r="AU32" i="24" s="1"/>
  <c r="BB32" i="24" s="1"/>
  <c r="AQ32" i="24"/>
  <c r="BJ32" i="24"/>
  <c r="AS66" i="24"/>
  <c r="BL66" i="24"/>
  <c r="AQ66" i="24"/>
  <c r="BJ66" i="24"/>
  <c r="BW66" i="24"/>
  <c r="AX66" i="24"/>
  <c r="BH66" i="24"/>
  <c r="BA298" i="24"/>
  <c r="AJ115" i="25"/>
  <c r="AM115" i="25"/>
  <c r="AR198" i="25"/>
  <c r="BJ198" i="25"/>
  <c r="BH198" i="25"/>
  <c r="BF198" i="25"/>
  <c r="BW198" i="25"/>
  <c r="BU198" i="25"/>
  <c r="AW75" i="25"/>
  <c r="AX75" i="25"/>
  <c r="AS178" i="24"/>
  <c r="AQ178" i="24"/>
  <c r="BJ178" i="24"/>
  <c r="BW178" i="24"/>
  <c r="BU178" i="24"/>
  <c r="AX178" i="24"/>
  <c r="BH178" i="24"/>
  <c r="BL53" i="24"/>
  <c r="AS53" i="24"/>
  <c r="AQ53" i="24"/>
  <c r="BJ53" i="24"/>
  <c r="AX53" i="24"/>
  <c r="BH53" i="24"/>
  <c r="BW53" i="24"/>
  <c r="AS65" i="24"/>
  <c r="AQ65" i="24"/>
  <c r="BJ65" i="24"/>
  <c r="BW65" i="24"/>
  <c r="AX65" i="24"/>
  <c r="BH65" i="24"/>
  <c r="AS77" i="24"/>
  <c r="BJ77" i="24"/>
  <c r="AQ77" i="24"/>
  <c r="AX77" i="24"/>
  <c r="BW77" i="24"/>
  <c r="BH77" i="24"/>
  <c r="AX237" i="24"/>
  <c r="AJ160" i="25"/>
  <c r="AM160" i="25"/>
  <c r="AX172" i="25"/>
  <c r="AW172" i="25"/>
  <c r="AS85" i="24"/>
  <c r="BL85" i="24"/>
  <c r="BJ85" i="24"/>
  <c r="AQ85" i="24"/>
  <c r="AX85" i="24"/>
  <c r="BW85" i="24"/>
  <c r="BH85" i="24"/>
  <c r="AS291" i="24"/>
  <c r="BL291" i="24"/>
  <c r="BJ291" i="24"/>
  <c r="AQ291" i="24"/>
  <c r="BU291" i="24"/>
  <c r="BW291" i="24"/>
  <c r="AX291" i="24"/>
  <c r="BH291" i="24"/>
  <c r="AJ303" i="25"/>
  <c r="AM303" i="25"/>
  <c r="AS114" i="24"/>
  <c r="AU114" i="24" s="1"/>
  <c r="BB114" i="24" s="1"/>
  <c r="BJ114" i="24"/>
  <c r="AQ114" i="24"/>
  <c r="AJ83" i="25"/>
  <c r="AM83" i="25"/>
  <c r="BG83" i="25" s="1"/>
  <c r="BA28" i="24"/>
  <c r="AS87" i="24"/>
  <c r="AQ87" i="24"/>
  <c r="BJ87" i="24"/>
  <c r="BH87" i="24"/>
  <c r="BW87" i="24"/>
  <c r="AX87" i="24"/>
  <c r="AM260" i="25"/>
  <c r="BG260" i="25" s="1"/>
  <c r="AJ260" i="25"/>
  <c r="AS148" i="24"/>
  <c r="AU148" i="24" s="1"/>
  <c r="BB148" i="24" s="1"/>
  <c r="BJ148" i="24"/>
  <c r="AQ148" i="24"/>
  <c r="AS163" i="24"/>
  <c r="AQ163" i="24"/>
  <c r="BJ163" i="24"/>
  <c r="AX163" i="24"/>
  <c r="BH163" i="24"/>
  <c r="BU163" i="24"/>
  <c r="BW163" i="24"/>
  <c r="AS308" i="24"/>
  <c r="BL308" i="24"/>
  <c r="BJ308" i="24"/>
  <c r="AQ308" i="24"/>
  <c r="BU308" i="24"/>
  <c r="AX308" i="24"/>
  <c r="BH308" i="24"/>
  <c r="BW308" i="24"/>
  <c r="AS304" i="24"/>
  <c r="BJ304" i="24"/>
  <c r="AQ304" i="24"/>
  <c r="AX304" i="24"/>
  <c r="BH304" i="24"/>
  <c r="BU304" i="24"/>
  <c r="BW304" i="24"/>
  <c r="AX160" i="25"/>
  <c r="AW160" i="25"/>
  <c r="BL140" i="24"/>
  <c r="AS140" i="24"/>
  <c r="BJ140" i="24"/>
  <c r="AQ140" i="24"/>
  <c r="BU140" i="24"/>
  <c r="BW140" i="24"/>
  <c r="AX140" i="24"/>
  <c r="BH140" i="24"/>
  <c r="BW114" i="24"/>
  <c r="BL136" i="24"/>
  <c r="AS136" i="24"/>
  <c r="BJ136" i="24"/>
  <c r="AQ136" i="24"/>
  <c r="BW136" i="24"/>
  <c r="BU136" i="24"/>
  <c r="AX136" i="24"/>
  <c r="BH136" i="24"/>
  <c r="AS222" i="24"/>
  <c r="BL222" i="24"/>
  <c r="AQ222" i="24"/>
  <c r="BJ222" i="24"/>
  <c r="BW222" i="24"/>
  <c r="BU222" i="24"/>
  <c r="AX222" i="24"/>
  <c r="BH222" i="24"/>
  <c r="AX84" i="25"/>
  <c r="AW84" i="25"/>
  <c r="BL9" i="24"/>
  <c r="AS9" i="24"/>
  <c r="AU9" i="24" s="1"/>
  <c r="BB9" i="24" s="1"/>
  <c r="BJ9" i="24"/>
  <c r="AQ9" i="24"/>
  <c r="AJ112" i="25"/>
  <c r="AM112" i="25"/>
  <c r="AS100" i="24"/>
  <c r="BJ100" i="24"/>
  <c r="AQ100" i="24"/>
  <c r="AX100" i="24"/>
  <c r="BW100" i="24"/>
  <c r="BH100" i="24"/>
  <c r="AS99" i="24"/>
  <c r="AQ99" i="24"/>
  <c r="BJ99" i="24"/>
  <c r="BH99" i="24"/>
  <c r="BW99" i="24"/>
  <c r="AX99" i="24"/>
  <c r="AS71" i="24"/>
  <c r="BJ71" i="24"/>
  <c r="AQ71" i="24"/>
  <c r="AX71" i="24"/>
  <c r="BH71" i="24"/>
  <c r="BW71" i="24"/>
  <c r="BL134" i="24"/>
  <c r="AS134" i="24"/>
  <c r="BJ134" i="24"/>
  <c r="AQ134" i="24"/>
  <c r="AX134" i="24"/>
  <c r="BH134" i="24"/>
  <c r="BW134" i="24"/>
  <c r="BU134" i="24"/>
  <c r="AX119" i="25"/>
  <c r="AW119" i="25"/>
  <c r="AJ65" i="25"/>
  <c r="AM65" i="25"/>
  <c r="AS258" i="24"/>
  <c r="AU258" i="24" s="1"/>
  <c r="BB258" i="24" s="1"/>
  <c r="AQ258" i="24"/>
  <c r="BJ258" i="24"/>
  <c r="BL122" i="24"/>
  <c r="AS122" i="24"/>
  <c r="BJ122" i="24"/>
  <c r="AQ122" i="24"/>
  <c r="AX122" i="24"/>
  <c r="BH122" i="24"/>
  <c r="BW122" i="24"/>
  <c r="BU122" i="24"/>
  <c r="AJ252" i="25"/>
  <c r="AM252" i="25"/>
  <c r="BG252" i="25" s="1"/>
  <c r="BJ95" i="25"/>
  <c r="AR95" i="25"/>
  <c r="BH95" i="25"/>
  <c r="AP95" i="25"/>
  <c r="BF95" i="25"/>
  <c r="BU95" i="25"/>
  <c r="BW95" i="25"/>
  <c r="AM144" i="25"/>
  <c r="BG144" i="25" s="1"/>
  <c r="AJ144" i="25"/>
  <c r="BL181" i="24"/>
  <c r="AS181" i="24"/>
  <c r="AQ181" i="24"/>
  <c r="BJ181" i="24"/>
  <c r="AX181" i="24"/>
  <c r="BH181" i="24"/>
  <c r="BW181" i="24"/>
  <c r="BU181" i="24"/>
  <c r="BU273" i="24"/>
  <c r="AJ249" i="25"/>
  <c r="AM249" i="25"/>
  <c r="BG249" i="25" s="1"/>
  <c r="AM176" i="25"/>
  <c r="AJ176" i="25"/>
  <c r="AJ218" i="25"/>
  <c r="AM218" i="25"/>
  <c r="BH269" i="24"/>
  <c r="AX85" i="25"/>
  <c r="AW85" i="25"/>
  <c r="AR82" i="25"/>
  <c r="BJ82" i="25"/>
  <c r="AP82" i="25"/>
  <c r="BH82" i="25"/>
  <c r="BF82" i="25"/>
  <c r="BU82" i="25"/>
  <c r="BW82" i="25"/>
  <c r="BL51" i="24"/>
  <c r="AS51" i="24"/>
  <c r="AU51" i="24" s="1"/>
  <c r="BB51" i="24" s="1"/>
  <c r="BJ51" i="24"/>
  <c r="AQ51" i="24"/>
  <c r="AX25" i="25"/>
  <c r="AW25" i="25"/>
  <c r="AS311" i="24"/>
  <c r="BL311" i="24"/>
  <c r="BJ311" i="24"/>
  <c r="AQ311" i="24"/>
  <c r="AX311" i="24"/>
  <c r="BH311" i="24"/>
  <c r="BU311" i="24"/>
  <c r="BW311" i="24"/>
  <c r="AS239" i="24"/>
  <c r="BL239" i="24"/>
  <c r="BJ239" i="24"/>
  <c r="AQ239" i="24"/>
  <c r="AX239" i="24"/>
  <c r="BH239" i="24"/>
  <c r="BW239" i="24"/>
  <c r="BU239" i="24"/>
  <c r="BA238" i="24"/>
  <c r="BA6" i="24"/>
  <c r="AX34" i="24"/>
  <c r="AM231" i="25"/>
  <c r="BG231" i="25" s="1"/>
  <c r="AJ231" i="25"/>
  <c r="AJ132" i="25"/>
  <c r="AM132" i="25"/>
  <c r="BL290" i="24"/>
  <c r="AS290" i="24"/>
  <c r="AU290" i="24" s="1"/>
  <c r="BB290" i="24" s="1"/>
  <c r="BJ290" i="24"/>
  <c r="AQ290" i="24"/>
  <c r="AM18" i="25"/>
  <c r="BG18" i="25" s="1"/>
  <c r="AJ18" i="25"/>
  <c r="AM37" i="25"/>
  <c r="BG37" i="25" s="1"/>
  <c r="AJ37" i="25"/>
  <c r="AM235" i="25"/>
  <c r="AJ235" i="25"/>
  <c r="AS13" i="24"/>
  <c r="BJ13" i="24"/>
  <c r="AQ13" i="24"/>
  <c r="AX13" i="24"/>
  <c r="BH13" i="24"/>
  <c r="BW13" i="24"/>
  <c r="AJ100" i="25"/>
  <c r="AM100" i="25"/>
  <c r="BW59" i="24"/>
  <c r="AS70" i="24"/>
  <c r="BL70" i="24"/>
  <c r="BJ70" i="24"/>
  <c r="AQ70" i="24"/>
  <c r="BW70" i="24"/>
  <c r="AX70" i="24"/>
  <c r="BH70" i="24"/>
  <c r="AX240" i="24"/>
  <c r="AM227" i="25"/>
  <c r="BG227" i="25" s="1"/>
  <c r="AJ227" i="25"/>
  <c r="AX265" i="24"/>
  <c r="AX32" i="24"/>
  <c r="BL113" i="24"/>
  <c r="AS113" i="24"/>
  <c r="BJ113" i="24"/>
  <c r="AQ113" i="24"/>
  <c r="BH113" i="24"/>
  <c r="BW113" i="24"/>
  <c r="BU113" i="24"/>
  <c r="AX113" i="24"/>
  <c r="AM54" i="25"/>
  <c r="BG54" i="25" s="1"/>
  <c r="AJ54" i="25"/>
  <c r="AR31" i="25"/>
  <c r="BJ31" i="25"/>
  <c r="AP31" i="25"/>
  <c r="BH31" i="25"/>
  <c r="BF31" i="25"/>
  <c r="BW31" i="25"/>
  <c r="BU31" i="25"/>
  <c r="BU111" i="24"/>
  <c r="AR291" i="25"/>
  <c r="BJ291" i="25"/>
  <c r="BH291" i="25"/>
  <c r="AP291" i="25"/>
  <c r="BF291" i="25"/>
  <c r="BU291" i="25"/>
  <c r="BW291" i="25"/>
  <c r="AR62" i="25"/>
  <c r="AP62" i="25"/>
  <c r="BH62" i="25"/>
  <c r="BW62" i="25"/>
  <c r="BU62" i="25"/>
  <c r="BF62" i="25"/>
  <c r="AJ93" i="25"/>
  <c r="AM93" i="25"/>
  <c r="BG93" i="25" s="1"/>
  <c r="AM9" i="25"/>
  <c r="BG9" i="25" s="1"/>
  <c r="AJ9" i="25"/>
  <c r="BL183" i="24"/>
  <c r="AS183" i="24"/>
  <c r="BJ183" i="24"/>
  <c r="AQ183" i="24"/>
  <c r="BH183" i="24"/>
  <c r="BU183" i="24"/>
  <c r="BW183" i="24"/>
  <c r="AX183" i="24"/>
  <c r="BL218" i="24"/>
  <c r="AS218" i="24"/>
  <c r="AU218" i="24" s="1"/>
  <c r="BB218" i="24" s="1"/>
  <c r="BJ218" i="24"/>
  <c r="AQ218" i="24"/>
  <c r="AM45" i="25"/>
  <c r="AJ45" i="25"/>
  <c r="AM300" i="25"/>
  <c r="AJ300" i="25"/>
  <c r="AS63" i="24"/>
  <c r="BJ63" i="24"/>
  <c r="AQ63" i="24"/>
  <c r="AX63" i="24"/>
  <c r="BH63" i="24"/>
  <c r="BW63" i="24"/>
  <c r="BW247" i="24"/>
  <c r="BL307" i="24"/>
  <c r="AS307" i="24"/>
  <c r="AQ307" i="24"/>
  <c r="BJ307" i="24"/>
  <c r="AX307" i="24"/>
  <c r="BH307" i="24"/>
  <c r="BU307" i="24"/>
  <c r="BW307" i="24"/>
  <c r="AR14" i="25"/>
  <c r="BH14" i="25"/>
  <c r="AP14" i="25"/>
  <c r="BW14" i="25"/>
  <c r="BU14" i="25"/>
  <c r="BF14" i="25"/>
  <c r="AS15" i="24"/>
  <c r="BJ15" i="24"/>
  <c r="AQ15" i="24"/>
  <c r="AX15" i="24"/>
  <c r="BH15" i="24"/>
  <c r="BW15" i="24"/>
  <c r="BU242" i="24"/>
  <c r="AJ269" i="25"/>
  <c r="AM269" i="25"/>
  <c r="AX162" i="25"/>
  <c r="AW162" i="25"/>
  <c r="AS61" i="24"/>
  <c r="BL61" i="24"/>
  <c r="AQ61" i="24"/>
  <c r="BJ61" i="24"/>
  <c r="AX61" i="24"/>
  <c r="BW61" i="24"/>
  <c r="BH61" i="24"/>
  <c r="BH135" i="24"/>
  <c r="AX70" i="25"/>
  <c r="AW70" i="25"/>
  <c r="AS79" i="24"/>
  <c r="AQ79" i="24"/>
  <c r="BJ79" i="24"/>
  <c r="BW79" i="24"/>
  <c r="AX79" i="24"/>
  <c r="BH79" i="24"/>
  <c r="AU233" i="24"/>
  <c r="BB233" i="24" s="1"/>
  <c r="AW233" i="24"/>
  <c r="AS220" i="24"/>
  <c r="BL220" i="24"/>
  <c r="BJ220" i="24"/>
  <c r="AQ220" i="24"/>
  <c r="AX220" i="24"/>
  <c r="BH220" i="24"/>
  <c r="BW220" i="24"/>
  <c r="BU220" i="24"/>
  <c r="AJ220" i="25"/>
  <c r="AM220" i="25"/>
  <c r="BG220" i="25" s="1"/>
  <c r="BL230" i="24"/>
  <c r="AS230" i="24"/>
  <c r="BJ230" i="24"/>
  <c r="AQ230" i="24"/>
  <c r="BW230" i="24"/>
  <c r="BU230" i="24"/>
  <c r="AX230" i="24"/>
  <c r="BH230" i="24"/>
  <c r="AJ200" i="25"/>
  <c r="AM200" i="25"/>
  <c r="BG200" i="25" s="1"/>
  <c r="BA279" i="24"/>
  <c r="BA126" i="24"/>
  <c r="AX290" i="24"/>
  <c r="AW116" i="25"/>
  <c r="AX116" i="25"/>
  <c r="BU263" i="24"/>
  <c r="BU267" i="24"/>
  <c r="BU155" i="24"/>
  <c r="AX99" i="25"/>
  <c r="AW99" i="25"/>
  <c r="BW253" i="24"/>
  <c r="AS193" i="24"/>
  <c r="BL193" i="24"/>
  <c r="AQ193" i="24"/>
  <c r="BJ193" i="24"/>
  <c r="AX193" i="24"/>
  <c r="BH193" i="24"/>
  <c r="BW193" i="24"/>
  <c r="BU193" i="24"/>
  <c r="AS224" i="24"/>
  <c r="AU224" i="24" s="1"/>
  <c r="BB224" i="24" s="1"/>
  <c r="AQ224" i="24"/>
  <c r="BJ224" i="24"/>
  <c r="AX159" i="25"/>
  <c r="AW159" i="25"/>
  <c r="BW248" i="24"/>
  <c r="AS235" i="24"/>
  <c r="AU235" i="24" s="1"/>
  <c r="BB235" i="24" s="1"/>
  <c r="AQ235" i="24"/>
  <c r="BJ235" i="24"/>
  <c r="AW120" i="25"/>
  <c r="AX120" i="25"/>
  <c r="BL261" i="24"/>
  <c r="AS261" i="24"/>
  <c r="AU261" i="24" s="1"/>
  <c r="BB261" i="24" s="1"/>
  <c r="AQ261" i="24"/>
  <c r="BJ261" i="24"/>
  <c r="BJ131" i="25"/>
  <c r="AR131" i="25"/>
  <c r="BH131" i="25"/>
  <c r="AP131" i="25"/>
  <c r="BF131" i="25"/>
  <c r="BW131" i="25"/>
  <c r="BU131" i="25"/>
  <c r="BA258" i="24"/>
  <c r="BA54" i="24"/>
  <c r="BA24" i="24"/>
  <c r="BA280" i="24"/>
  <c r="AW137" i="25"/>
  <c r="AX137" i="25"/>
  <c r="BA128" i="24"/>
  <c r="BA283" i="24"/>
  <c r="AJ55" i="25"/>
  <c r="AM55" i="25"/>
  <c r="AJ217" i="25"/>
  <c r="AM217" i="25"/>
  <c r="BG217" i="25" s="1"/>
  <c r="BA228" i="24"/>
  <c r="AR282" i="25"/>
  <c r="BJ282" i="25"/>
  <c r="AP282" i="25"/>
  <c r="BH282" i="25"/>
  <c r="BF282" i="25"/>
  <c r="BW282" i="25"/>
  <c r="BU282" i="25"/>
  <c r="AS102" i="24"/>
  <c r="BJ102" i="24"/>
  <c r="AQ102" i="24"/>
  <c r="AX102" i="24"/>
  <c r="BW102" i="24"/>
  <c r="BH102" i="24"/>
  <c r="BL249" i="24"/>
  <c r="AS249" i="24"/>
  <c r="AU249" i="24" s="1"/>
  <c r="BB249" i="24" s="1"/>
  <c r="BJ249" i="24"/>
  <c r="AQ249" i="24"/>
  <c r="BH280" i="25"/>
  <c r="AS203" i="24"/>
  <c r="BJ203" i="24"/>
  <c r="AQ203" i="24"/>
  <c r="BU203" i="24"/>
  <c r="BW203" i="24"/>
  <c r="AX203" i="24"/>
  <c r="BH203" i="24"/>
  <c r="AJ8" i="25"/>
  <c r="AM8" i="25"/>
  <c r="BG8" i="25" s="1"/>
  <c r="BA19" i="24"/>
  <c r="AS208" i="24"/>
  <c r="AQ208" i="24"/>
  <c r="BJ208" i="24"/>
  <c r="AX208" i="24"/>
  <c r="BH208" i="24"/>
  <c r="BW208" i="24"/>
  <c r="BU208" i="24"/>
  <c r="AM194" i="25"/>
  <c r="AJ194" i="25"/>
  <c r="BA299" i="24"/>
  <c r="AJ297" i="25"/>
  <c r="AM297" i="25"/>
  <c r="BG297" i="25" s="1"/>
  <c r="AX149" i="25"/>
  <c r="AW149" i="25"/>
  <c r="AM184" i="25"/>
  <c r="AJ184" i="25"/>
  <c r="BA26" i="24"/>
  <c r="AS306" i="24"/>
  <c r="BL306" i="24"/>
  <c r="BJ306" i="24"/>
  <c r="AQ306" i="24"/>
  <c r="AX306" i="24"/>
  <c r="BH306" i="24"/>
  <c r="BU306" i="24"/>
  <c r="BW306" i="24"/>
  <c r="BA148" i="24"/>
  <c r="AJ286" i="25"/>
  <c r="AM286" i="25"/>
  <c r="BW28" i="24"/>
  <c r="AS40" i="24"/>
  <c r="BJ40" i="24"/>
  <c r="AQ40" i="24"/>
  <c r="AX40" i="24"/>
  <c r="BH40" i="24"/>
  <c r="BW40" i="24"/>
  <c r="BA112" i="24"/>
  <c r="AX142" i="25"/>
  <c r="AW142" i="25"/>
  <c r="BL250" i="24"/>
  <c r="AS250" i="24"/>
  <c r="AQ250" i="24"/>
  <c r="BJ250" i="24"/>
  <c r="BW250" i="24"/>
  <c r="AX250" i="24"/>
  <c r="BH250" i="24"/>
  <c r="BU250" i="24"/>
  <c r="AM209" i="25"/>
  <c r="BG209" i="25" s="1"/>
  <c r="AJ209" i="25"/>
  <c r="AX151" i="25"/>
  <c r="AW151" i="25"/>
  <c r="BA147" i="24"/>
  <c r="AX184" i="25"/>
  <c r="AW184" i="25"/>
  <c r="AX69" i="25"/>
  <c r="AW69" i="25"/>
  <c r="BL225" i="24"/>
  <c r="AS225" i="24"/>
  <c r="AU225" i="24" s="1"/>
  <c r="BB225" i="24" s="1"/>
  <c r="AQ225" i="24"/>
  <c r="BJ225" i="24"/>
  <c r="AR192" i="25"/>
  <c r="AP192" i="25"/>
  <c r="BH192" i="25"/>
  <c r="BF192" i="25"/>
  <c r="BW192" i="25"/>
  <c r="BU192" i="25"/>
  <c r="AU45" i="24"/>
  <c r="BB45" i="24" s="1"/>
  <c r="AW45" i="24"/>
  <c r="BW249" i="24"/>
  <c r="AJ193" i="25"/>
  <c r="AM193" i="25"/>
  <c r="BG193" i="25" s="1"/>
  <c r="AJ128" i="25"/>
  <c r="AM128" i="25"/>
  <c r="BG128" i="25" s="1"/>
  <c r="BL177" i="24"/>
  <c r="AS177" i="24"/>
  <c r="BJ177" i="24"/>
  <c r="AQ177" i="24"/>
  <c r="BH177" i="24"/>
  <c r="BU177" i="24"/>
  <c r="BW177" i="24"/>
  <c r="AX177" i="24"/>
  <c r="AS127" i="24"/>
  <c r="BJ127" i="24"/>
  <c r="AQ127" i="24"/>
  <c r="BW127" i="24"/>
  <c r="BU127" i="24"/>
  <c r="AX127" i="24"/>
  <c r="BH127" i="24"/>
  <c r="AM105" i="25"/>
  <c r="BG105" i="25" s="1"/>
  <c r="AJ105" i="25"/>
  <c r="AJ15" i="25"/>
  <c r="AM15" i="25"/>
  <c r="BG15" i="25" s="1"/>
  <c r="AJ74" i="25"/>
  <c r="AM74" i="25"/>
  <c r="AS210" i="24"/>
  <c r="BL210" i="24"/>
  <c r="BJ210" i="24"/>
  <c r="AQ210" i="24"/>
  <c r="BU210" i="24"/>
  <c r="AX210" i="24"/>
  <c r="BH210" i="24"/>
  <c r="BW210" i="24"/>
  <c r="AS42" i="24"/>
  <c r="BJ42" i="24"/>
  <c r="AQ42" i="24"/>
  <c r="AX42" i="24"/>
  <c r="BH42" i="24"/>
  <c r="BW42" i="24"/>
  <c r="BW12" i="24"/>
  <c r="AM80" i="25"/>
  <c r="AJ80" i="25"/>
  <c r="AS6" i="24"/>
  <c r="AU6" i="24" s="1"/>
  <c r="BB6" i="24" s="1"/>
  <c r="BL6" i="24"/>
  <c r="BJ6" i="24"/>
  <c r="AQ6" i="24"/>
  <c r="AS223" i="24"/>
  <c r="BL223" i="24"/>
  <c r="BJ223" i="24"/>
  <c r="AQ223" i="24"/>
  <c r="AX223" i="24"/>
  <c r="BH223" i="24"/>
  <c r="BW223" i="24"/>
  <c r="BU223" i="24"/>
  <c r="BU296" i="24"/>
  <c r="AX81" i="25"/>
  <c r="AW81" i="25"/>
  <c r="AM311" i="25"/>
  <c r="AJ311" i="25"/>
  <c r="AJ7" i="25"/>
  <c r="AM7" i="25"/>
  <c r="BG7" i="25" s="1"/>
  <c r="BL149" i="24"/>
  <c r="AS149" i="24"/>
  <c r="BJ149" i="24"/>
  <c r="AQ149" i="24"/>
  <c r="BH149" i="24"/>
  <c r="BU149" i="24"/>
  <c r="BW149" i="24"/>
  <c r="AX149" i="24"/>
  <c r="AM19" i="25"/>
  <c r="BG19" i="25" s="1"/>
  <c r="AJ19" i="25"/>
  <c r="AM168" i="25"/>
  <c r="AJ168" i="25"/>
  <c r="BA34" i="24"/>
  <c r="AX210" i="25"/>
  <c r="AW210" i="25"/>
  <c r="AR229" i="25"/>
  <c r="BJ229" i="25"/>
  <c r="BH229" i="25"/>
  <c r="AP229" i="25"/>
  <c r="BF229" i="25"/>
  <c r="BU229" i="25"/>
  <c r="BW229" i="25"/>
  <c r="AJ135" i="25"/>
  <c r="AM135" i="25"/>
  <c r="AX144" i="25"/>
  <c r="AW144" i="25"/>
  <c r="AM90" i="25"/>
  <c r="AJ90" i="25"/>
  <c r="AX176" i="25"/>
  <c r="AW176" i="25"/>
  <c r="AX133" i="24"/>
  <c r="BU117" i="24"/>
  <c r="AS301" i="24"/>
  <c r="AU301" i="24" s="1"/>
  <c r="BB301" i="24" s="1"/>
  <c r="AQ301" i="24"/>
  <c r="BJ301" i="24"/>
  <c r="AS196" i="24"/>
  <c r="BL196" i="24"/>
  <c r="BJ196" i="24"/>
  <c r="AQ196" i="24"/>
  <c r="BH196" i="24"/>
  <c r="BU196" i="24"/>
  <c r="BW196" i="24"/>
  <c r="AX196" i="24"/>
  <c r="AJ124" i="25"/>
  <c r="AM124" i="25"/>
  <c r="BG124" i="25" s="1"/>
  <c r="BA224" i="24"/>
  <c r="AJ266" i="25"/>
  <c r="AM266" i="25"/>
  <c r="BG266" i="25" s="1"/>
  <c r="AX266" i="24"/>
  <c r="AJ43" i="25"/>
  <c r="AM43" i="25"/>
  <c r="BG43" i="25" s="1"/>
  <c r="BA240" i="24"/>
  <c r="AR240" i="25"/>
  <c r="BJ240" i="25"/>
  <c r="BH240" i="25"/>
  <c r="AP240" i="25"/>
  <c r="BF240" i="25"/>
  <c r="BW240" i="25"/>
  <c r="BU240" i="25"/>
  <c r="BL62" i="24"/>
  <c r="AS62" i="24"/>
  <c r="AQ62" i="24"/>
  <c r="BJ62" i="24"/>
  <c r="AX62" i="24"/>
  <c r="BW62" i="24"/>
  <c r="BH62" i="24"/>
  <c r="AJ91" i="25"/>
  <c r="AM91" i="25"/>
  <c r="BG91" i="25" s="1"/>
  <c r="BA265" i="24"/>
  <c r="AX18" i="25"/>
  <c r="AW18" i="25"/>
  <c r="AS156" i="24"/>
  <c r="BL156" i="24"/>
  <c r="BJ156" i="24"/>
  <c r="AQ156" i="24"/>
  <c r="BH156" i="24"/>
  <c r="BU156" i="24"/>
  <c r="BW156" i="24"/>
  <c r="AX156" i="24"/>
  <c r="AW90" i="25"/>
  <c r="AX90" i="25"/>
  <c r="AW112" i="25"/>
  <c r="AX112" i="25"/>
  <c r="AJ102" i="25"/>
  <c r="AM102" i="25"/>
  <c r="BG102" i="25" s="1"/>
  <c r="BW111" i="24"/>
  <c r="AW63" i="25"/>
  <c r="AX63" i="25"/>
  <c r="BH305" i="24"/>
  <c r="AJ239" i="25"/>
  <c r="AM239" i="25"/>
  <c r="BG239" i="25" s="1"/>
  <c r="AW42" i="25"/>
  <c r="AX42" i="25"/>
  <c r="BL303" i="24"/>
  <c r="AS303" i="24"/>
  <c r="BJ303" i="24"/>
  <c r="AQ303" i="24"/>
  <c r="AX303" i="24"/>
  <c r="BH303" i="24"/>
  <c r="BW303" i="24"/>
  <c r="BU303" i="24"/>
  <c r="AS274" i="24"/>
  <c r="AU274" i="24" s="1"/>
  <c r="BB274" i="24" s="1"/>
  <c r="AQ274" i="24"/>
  <c r="BJ274" i="24"/>
  <c r="AJ244" i="25"/>
  <c r="AM244" i="25"/>
  <c r="BG244" i="25" s="1"/>
  <c r="BU225" i="24"/>
  <c r="BW295" i="24"/>
  <c r="AS126" i="24"/>
  <c r="AU126" i="24" s="1"/>
  <c r="BB126" i="24" s="1"/>
  <c r="BL126" i="24"/>
  <c r="BJ126" i="24"/>
  <c r="AQ126" i="24"/>
  <c r="AX54" i="25"/>
  <c r="AW54" i="25"/>
  <c r="AS17" i="24"/>
  <c r="AU17" i="24" s="1"/>
  <c r="BB17" i="24" s="1"/>
  <c r="BL17" i="24"/>
  <c r="BJ17" i="24"/>
  <c r="AQ17" i="24"/>
  <c r="AX135" i="24"/>
  <c r="AJ125" i="25"/>
  <c r="AM125" i="25"/>
  <c r="BU121" i="24"/>
  <c r="AS175" i="24"/>
  <c r="BL175" i="24"/>
  <c r="AQ175" i="24"/>
  <c r="BJ175" i="24"/>
  <c r="BW175" i="24"/>
  <c r="BU175" i="24"/>
  <c r="AX175" i="24"/>
  <c r="BH175" i="24"/>
  <c r="BL234" i="24"/>
  <c r="AS234" i="24"/>
  <c r="AQ234" i="24"/>
  <c r="BJ234" i="24"/>
  <c r="AX234" i="24"/>
  <c r="BH234" i="24"/>
  <c r="BU234" i="24"/>
  <c r="BW234" i="24"/>
  <c r="AS83" i="24"/>
  <c r="BJ83" i="24"/>
  <c r="AQ83" i="24"/>
  <c r="AX83" i="24"/>
  <c r="BW83" i="24"/>
  <c r="BH83" i="24"/>
  <c r="AX136" i="25"/>
  <c r="AW136" i="25"/>
  <c r="AM57" i="25"/>
  <c r="BG57" i="25" s="1"/>
  <c r="AJ57" i="25"/>
  <c r="AX127" i="25"/>
  <c r="AW127" i="25"/>
  <c r="BU279" i="24"/>
  <c r="BU126" i="24"/>
  <c r="BH145" i="24"/>
  <c r="AS25" i="24"/>
  <c r="AQ25" i="24"/>
  <c r="BJ25" i="24"/>
  <c r="BW25" i="24"/>
  <c r="AX25" i="24"/>
  <c r="BH25" i="24"/>
  <c r="AX9" i="24"/>
  <c r="AR92" i="25"/>
  <c r="AP92" i="25"/>
  <c r="BH92" i="25"/>
  <c r="BF92" i="25"/>
  <c r="BU92" i="25"/>
  <c r="BW92" i="25"/>
  <c r="BW267" i="24"/>
  <c r="BW282" i="24"/>
  <c r="BW155" i="24"/>
  <c r="AX196" i="25"/>
  <c r="AW196" i="25"/>
  <c r="BU253" i="24"/>
  <c r="AW12" i="25"/>
  <c r="AX12" i="25"/>
  <c r="AR257" i="25"/>
  <c r="BJ257" i="25"/>
  <c r="BH257" i="25"/>
  <c r="AP257" i="25"/>
  <c r="BW257" i="25"/>
  <c r="BU257" i="25"/>
  <c r="BF257" i="25"/>
  <c r="BA232" i="24"/>
  <c r="AX202" i="25"/>
  <c r="AW202" i="25"/>
  <c r="BL128" i="24"/>
  <c r="AS128" i="24"/>
  <c r="AU128" i="24" s="1"/>
  <c r="BB128" i="24" s="1"/>
  <c r="AQ128" i="24"/>
  <c r="BJ128" i="24"/>
  <c r="BF280" i="25" l="1"/>
  <c r="AP280" i="25"/>
  <c r="BU280" i="25"/>
  <c r="AR280" i="25"/>
  <c r="AT280" i="25" s="1"/>
  <c r="BG112" i="25"/>
  <c r="CE112" i="25"/>
  <c r="BG219" i="25"/>
  <c r="BJ219" i="25" s="1"/>
  <c r="CE219" i="25"/>
  <c r="CE270" i="25"/>
  <c r="BG270" i="25"/>
  <c r="BJ270" i="25" s="1"/>
  <c r="CE274" i="25"/>
  <c r="BG274" i="25"/>
  <c r="BJ274" i="25" s="1"/>
  <c r="AP194" i="25"/>
  <c r="BG194" i="25"/>
  <c r="BJ194" i="25" s="1"/>
  <c r="CE313" i="25"/>
  <c r="BG313" i="25"/>
  <c r="BJ313" i="25" s="1"/>
  <c r="CE116" i="25"/>
  <c r="BG116" i="25"/>
  <c r="BJ116" i="25" s="1"/>
  <c r="CE287" i="25"/>
  <c r="BG287" i="25"/>
  <c r="CE228" i="25"/>
  <c r="BG228" i="25"/>
  <c r="BJ228" i="25" s="1"/>
  <c r="CE307" i="25"/>
  <c r="BG307" i="25"/>
  <c r="BJ307" i="25" s="1"/>
  <c r="CE316" i="25"/>
  <c r="BG316" i="25"/>
  <c r="BJ316" i="25" s="1"/>
  <c r="CE184" i="25"/>
  <c r="BG184" i="25"/>
  <c r="BJ184" i="25" s="1"/>
  <c r="CE182" i="25"/>
  <c r="BG182" i="25"/>
  <c r="BJ182" i="25" s="1"/>
  <c r="CE175" i="25"/>
  <c r="BG175" i="25"/>
  <c r="BJ175" i="25" s="1"/>
  <c r="CE152" i="25"/>
  <c r="BG152" i="25"/>
  <c r="BJ152" i="25" s="1"/>
  <c r="CE164" i="25"/>
  <c r="BG164" i="25"/>
  <c r="CE221" i="25"/>
  <c r="BG221" i="25"/>
  <c r="BJ221" i="25" s="1"/>
  <c r="BH265" i="25"/>
  <c r="BG265" i="25"/>
  <c r="BJ265" i="25" s="1"/>
  <c r="CE125" i="25"/>
  <c r="BG125" i="25"/>
  <c r="BJ125" i="25" s="1"/>
  <c r="CE300" i="25"/>
  <c r="BG300" i="25"/>
  <c r="CE160" i="25"/>
  <c r="BG160" i="25"/>
  <c r="BJ160" i="25" s="1"/>
  <c r="CE163" i="25"/>
  <c r="BG163" i="25"/>
  <c r="CE302" i="25"/>
  <c r="BG302" i="25"/>
  <c r="BJ302" i="25" s="1"/>
  <c r="CE309" i="25"/>
  <c r="BG309" i="25"/>
  <c r="BJ309" i="25" s="1"/>
  <c r="CE153" i="25"/>
  <c r="BG153" i="25"/>
  <c r="BJ153" i="25" s="1"/>
  <c r="CE235" i="25"/>
  <c r="BG235" i="25"/>
  <c r="CE218" i="25"/>
  <c r="BG218" i="25"/>
  <c r="BJ218" i="25" s="1"/>
  <c r="CE156" i="25"/>
  <c r="BG156" i="25"/>
  <c r="CE135" i="25"/>
  <c r="BG135" i="25"/>
  <c r="BJ135" i="25" s="1"/>
  <c r="AP195" i="25"/>
  <c r="BG195" i="25"/>
  <c r="BJ195" i="25" s="1"/>
  <c r="CE284" i="25"/>
  <c r="BG284" i="25"/>
  <c r="BJ284" i="25" s="1"/>
  <c r="CE245" i="25"/>
  <c r="BG245" i="25"/>
  <c r="CE172" i="25"/>
  <c r="BG172" i="25"/>
  <c r="BJ172" i="25" s="1"/>
  <c r="CE180" i="25"/>
  <c r="BG180" i="25"/>
  <c r="CE130" i="25"/>
  <c r="BG130" i="25"/>
  <c r="BJ130" i="25" s="1"/>
  <c r="CE151" i="25"/>
  <c r="BG151" i="25"/>
  <c r="BJ151" i="25" s="1"/>
  <c r="CE168" i="25"/>
  <c r="BG168" i="25"/>
  <c r="CE269" i="25"/>
  <c r="BG269" i="25"/>
  <c r="CE295" i="25"/>
  <c r="BG295" i="25"/>
  <c r="BJ295" i="25" s="1"/>
  <c r="CE159" i="25"/>
  <c r="BG159" i="25"/>
  <c r="BJ159" i="25" s="1"/>
  <c r="CE162" i="25"/>
  <c r="BG162" i="25"/>
  <c r="BJ162" i="25" s="1"/>
  <c r="CE138" i="25"/>
  <c r="BG138" i="25"/>
  <c r="BJ138" i="25" s="1"/>
  <c r="CE183" i="25"/>
  <c r="BG183" i="25"/>
  <c r="BJ183" i="25" s="1"/>
  <c r="CE279" i="25"/>
  <c r="BG279" i="25"/>
  <c r="CE310" i="25"/>
  <c r="BG310" i="25"/>
  <c r="BJ310" i="25" s="1"/>
  <c r="CE272" i="25"/>
  <c r="BG272" i="25"/>
  <c r="BJ272" i="25" s="1"/>
  <c r="CE280" i="25"/>
  <c r="BG280" i="25"/>
  <c r="BJ280" i="25" s="1"/>
  <c r="CE268" i="25"/>
  <c r="BG268" i="25"/>
  <c r="BJ268" i="25" s="1"/>
  <c r="CE242" i="25"/>
  <c r="BG242" i="25"/>
  <c r="BJ242" i="25" s="1"/>
  <c r="CE286" i="25"/>
  <c r="BG286" i="25"/>
  <c r="CE223" i="25"/>
  <c r="BG223" i="25"/>
  <c r="CE165" i="25"/>
  <c r="BG165" i="25"/>
  <c r="BJ165" i="25" s="1"/>
  <c r="BF258" i="25"/>
  <c r="BG258" i="25"/>
  <c r="BJ258" i="25" s="1"/>
  <c r="CE176" i="25"/>
  <c r="BG176" i="25"/>
  <c r="BJ176" i="25" s="1"/>
  <c r="CE115" i="25"/>
  <c r="BG115" i="25"/>
  <c r="BJ115" i="25" s="1"/>
  <c r="CE169" i="25"/>
  <c r="BG169" i="25"/>
  <c r="BJ169" i="25" s="1"/>
  <c r="CE117" i="25"/>
  <c r="BG117" i="25"/>
  <c r="BJ117" i="25" s="1"/>
  <c r="CE294" i="25"/>
  <c r="BG294" i="25"/>
  <c r="BJ294" i="25" s="1"/>
  <c r="AP197" i="25"/>
  <c r="BG197" i="25"/>
  <c r="BJ197" i="25" s="1"/>
  <c r="CE185" i="25"/>
  <c r="BG185" i="25"/>
  <c r="BJ185" i="25" s="1"/>
  <c r="CE171" i="25"/>
  <c r="BG171" i="25"/>
  <c r="BJ171" i="25" s="1"/>
  <c r="CE121" i="25"/>
  <c r="BG121" i="25"/>
  <c r="BJ121" i="25" s="1"/>
  <c r="CE132" i="25"/>
  <c r="BG132" i="25"/>
  <c r="BJ132" i="25" s="1"/>
  <c r="CE181" i="25"/>
  <c r="BG181" i="25"/>
  <c r="CE311" i="25"/>
  <c r="BG311" i="25"/>
  <c r="BJ311" i="25" s="1"/>
  <c r="CE303" i="25"/>
  <c r="BG303" i="25"/>
  <c r="BJ303" i="25" s="1"/>
  <c r="CE191" i="25"/>
  <c r="BG191" i="25"/>
  <c r="CE111" i="25"/>
  <c r="BG111" i="25"/>
  <c r="BJ111" i="25" s="1"/>
  <c r="CE166" i="25"/>
  <c r="BG166" i="25"/>
  <c r="BJ166" i="25" s="1"/>
  <c r="CE74" i="25"/>
  <c r="BG74" i="25"/>
  <c r="CE88" i="25"/>
  <c r="BG88" i="25"/>
  <c r="BJ88" i="25" s="1"/>
  <c r="CE64" i="25"/>
  <c r="BG64" i="25"/>
  <c r="BJ64" i="25" s="1"/>
  <c r="CE86" i="25"/>
  <c r="BG86" i="25"/>
  <c r="BJ86" i="25" s="1"/>
  <c r="BU11" i="25"/>
  <c r="BG11" i="25"/>
  <c r="BJ11" i="25" s="1"/>
  <c r="CE45" i="25"/>
  <c r="BG45" i="25"/>
  <c r="BJ45" i="25" s="1"/>
  <c r="CE72" i="25"/>
  <c r="BG72" i="25"/>
  <c r="BJ72" i="25" s="1"/>
  <c r="CE60" i="25"/>
  <c r="BG60" i="25"/>
  <c r="BJ60" i="25" s="1"/>
  <c r="CE79" i="25"/>
  <c r="BG79" i="25"/>
  <c r="BJ79" i="25" s="1"/>
  <c r="CE55" i="25"/>
  <c r="BG55" i="25"/>
  <c r="BJ55" i="25" s="1"/>
  <c r="AP100" i="25"/>
  <c r="BG100" i="25"/>
  <c r="BJ100" i="25" s="1"/>
  <c r="CE65" i="25"/>
  <c r="BG65" i="25"/>
  <c r="BJ65" i="25" s="1"/>
  <c r="AP97" i="25"/>
  <c r="BG97" i="25"/>
  <c r="BJ97" i="25" s="1"/>
  <c r="CE56" i="25"/>
  <c r="BG56" i="25"/>
  <c r="BJ56" i="25" s="1"/>
  <c r="CE81" i="25"/>
  <c r="BG81" i="25"/>
  <c r="BJ81" i="25" s="1"/>
  <c r="CE77" i="25"/>
  <c r="BG77" i="25"/>
  <c r="BJ77" i="25" s="1"/>
  <c r="CE27" i="25"/>
  <c r="BG27" i="25"/>
  <c r="BJ27" i="25" s="1"/>
  <c r="CE10" i="25"/>
  <c r="BG10" i="25"/>
  <c r="BJ10" i="25" s="1"/>
  <c r="AP99" i="25"/>
  <c r="BG99" i="25"/>
  <c r="CE80" i="25"/>
  <c r="BG80" i="25"/>
  <c r="BJ80" i="25" s="1"/>
  <c r="CE90" i="25"/>
  <c r="BG90" i="25"/>
  <c r="BJ90" i="25" s="1"/>
  <c r="CE22" i="25"/>
  <c r="BG22" i="25"/>
  <c r="BJ22" i="25" s="1"/>
  <c r="AP103" i="25"/>
  <c r="BG103" i="25"/>
  <c r="BJ103" i="25" s="1"/>
  <c r="CE52" i="25"/>
  <c r="BG52" i="25"/>
  <c r="BJ52" i="25" s="1"/>
  <c r="BG104" i="25"/>
  <c r="BJ104" i="25" s="1"/>
  <c r="BH11" i="25"/>
  <c r="AP11" i="25"/>
  <c r="AR11" i="25"/>
  <c r="AT11" i="25" s="1"/>
  <c r="AY11" i="25" s="1"/>
  <c r="BW11" i="25"/>
  <c r="BF11" i="25"/>
  <c r="BW96" i="25"/>
  <c r="CE96" i="25"/>
  <c r="AP205" i="25"/>
  <c r="CE205" i="25"/>
  <c r="AP200" i="25"/>
  <c r="CE200" i="25"/>
  <c r="AP193" i="25"/>
  <c r="CE193" i="25"/>
  <c r="BU96" i="25"/>
  <c r="AP96" i="25"/>
  <c r="BH96" i="25"/>
  <c r="BJ96" i="25"/>
  <c r="AR96" i="25"/>
  <c r="AU96" i="25" s="1"/>
  <c r="BF96" i="25"/>
  <c r="AP101" i="25"/>
  <c r="CE101" i="25"/>
  <c r="AP98" i="25"/>
  <c r="CE98" i="25"/>
  <c r="AP179" i="25"/>
  <c r="CE179" i="25"/>
  <c r="AP203" i="25"/>
  <c r="CE203" i="25"/>
  <c r="AP104" i="25"/>
  <c r="CE104" i="25"/>
  <c r="AP202" i="25"/>
  <c r="CE202" i="25"/>
  <c r="BF104" i="25"/>
  <c r="BH104" i="25"/>
  <c r="AR104" i="25"/>
  <c r="AU104" i="25" s="1"/>
  <c r="BW104" i="25"/>
  <c r="BU104" i="25"/>
  <c r="BW154" i="25"/>
  <c r="CE154" i="25"/>
  <c r="BU258" i="25"/>
  <c r="AP258" i="25"/>
  <c r="AP196" i="25"/>
  <c r="CE196" i="25"/>
  <c r="BU97" i="25"/>
  <c r="BW97" i="25"/>
  <c r="BH97" i="25"/>
  <c r="AP105" i="25"/>
  <c r="B19" i="29" s="1"/>
  <c r="CE105" i="25"/>
  <c r="AR97" i="25"/>
  <c r="AT97" i="25" s="1"/>
  <c r="AY97" i="25" s="1"/>
  <c r="BF97" i="25"/>
  <c r="BW258" i="25"/>
  <c r="BH258" i="25"/>
  <c r="AR258" i="25"/>
  <c r="AU258" i="25" s="1"/>
  <c r="AP207" i="25"/>
  <c r="CE207" i="25"/>
  <c r="AP209" i="25"/>
  <c r="CE209" i="25"/>
  <c r="BF154" i="25"/>
  <c r="BH179" i="25"/>
  <c r="BH154" i="25"/>
  <c r="BJ179" i="25"/>
  <c r="AP154" i="25"/>
  <c r="AR179" i="25"/>
  <c r="AU179" i="25" s="1"/>
  <c r="BJ154" i="25"/>
  <c r="AR154" i="25"/>
  <c r="AT154" i="25" s="1"/>
  <c r="AY154" i="25" s="1"/>
  <c r="BU179" i="25"/>
  <c r="BW179" i="25"/>
  <c r="BU154" i="25"/>
  <c r="BF179" i="25"/>
  <c r="BE292" i="24"/>
  <c r="BT292" i="24" s="1"/>
  <c r="AW147" i="24"/>
  <c r="BE147" i="24" s="1"/>
  <c r="BT147" i="24" s="1"/>
  <c r="AW219" i="24"/>
  <c r="AY219" i="24" s="1"/>
  <c r="AZ219" i="24" s="1"/>
  <c r="AP208" i="25"/>
  <c r="CE208" i="25"/>
  <c r="BW265" i="25"/>
  <c r="AW283" i="24"/>
  <c r="AY283" i="24" s="1"/>
  <c r="AZ283" i="24" s="1"/>
  <c r="AW260" i="24"/>
  <c r="BD260" i="24" s="1"/>
  <c r="AW240" i="24"/>
  <c r="BD240" i="24" s="1"/>
  <c r="AR265" i="25"/>
  <c r="AT265" i="25" s="1"/>
  <c r="AW18" i="24"/>
  <c r="BE18" i="24" s="1"/>
  <c r="BT18" i="24" s="1"/>
  <c r="BU265" i="25"/>
  <c r="AW242" i="24"/>
  <c r="AY242" i="24" s="1"/>
  <c r="AZ242" i="24" s="1"/>
  <c r="BF265" i="25"/>
  <c r="AP265" i="25"/>
  <c r="AW19" i="24"/>
  <c r="BD19" i="24" s="1"/>
  <c r="AW135" i="24"/>
  <c r="BD135" i="24" s="1"/>
  <c r="AW120" i="24"/>
  <c r="AY120" i="24" s="1"/>
  <c r="AZ120" i="24" s="1"/>
  <c r="AW259" i="24"/>
  <c r="BD259" i="24" s="1"/>
  <c r="AY292" i="24"/>
  <c r="AZ292" i="24" s="1"/>
  <c r="AP102" i="25"/>
  <c r="CE102" i="25"/>
  <c r="AW121" i="24"/>
  <c r="AY121" i="24" s="1"/>
  <c r="AZ121" i="24" s="1"/>
  <c r="AW265" i="24"/>
  <c r="AY265" i="24" s="1"/>
  <c r="AZ265" i="24" s="1"/>
  <c r="AW279" i="24"/>
  <c r="BE279" i="24" s="1"/>
  <c r="BT279" i="24" s="1"/>
  <c r="AW111" i="24"/>
  <c r="BD111" i="24" s="1"/>
  <c r="AW296" i="24"/>
  <c r="AY296" i="24" s="1"/>
  <c r="AZ296" i="24" s="1"/>
  <c r="AW26" i="24"/>
  <c r="AY26" i="24" s="1"/>
  <c r="AZ26" i="24" s="1"/>
  <c r="BF237" i="25"/>
  <c r="AR237" i="25"/>
  <c r="BJ237" i="25"/>
  <c r="AP237" i="25"/>
  <c r="BH237" i="25"/>
  <c r="BU237" i="25"/>
  <c r="BW237" i="25"/>
  <c r="V212" i="25"/>
  <c r="X212" i="25" s="1"/>
  <c r="AD212" i="25"/>
  <c r="W212" i="25"/>
  <c r="Z212" i="25" s="1"/>
  <c r="AA212" i="25" s="1"/>
  <c r="AB212" i="25" s="1"/>
  <c r="AI212" i="25" s="1"/>
  <c r="AW34" i="24"/>
  <c r="AY34" i="24" s="1"/>
  <c r="AZ34" i="24" s="1"/>
  <c r="AW152" i="24"/>
  <c r="AY152" i="24" s="1"/>
  <c r="AZ152" i="24" s="1"/>
  <c r="AP210" i="25"/>
  <c r="CE210" i="25"/>
  <c r="BH77" i="25"/>
  <c r="AP77" i="25"/>
  <c r="BF77" i="25"/>
  <c r="BW77" i="25"/>
  <c r="BU77" i="25"/>
  <c r="AR77" i="25"/>
  <c r="AW112" i="24"/>
  <c r="AY112" i="24" s="1"/>
  <c r="AZ112" i="24" s="1"/>
  <c r="AW253" i="24"/>
  <c r="BE253" i="24" s="1"/>
  <c r="BT253" i="24" s="1"/>
  <c r="AW224" i="24"/>
  <c r="BE224" i="24" s="1"/>
  <c r="BT224" i="24" s="1"/>
  <c r="AW247" i="24"/>
  <c r="AY247" i="24" s="1"/>
  <c r="AZ247" i="24" s="1"/>
  <c r="AW28" i="24"/>
  <c r="BE28" i="24" s="1"/>
  <c r="BT28" i="24" s="1"/>
  <c r="AW33" i="24"/>
  <c r="BD33" i="24" s="1"/>
  <c r="L15" i="1"/>
  <c r="AW117" i="24"/>
  <c r="AY117" i="24" s="1"/>
  <c r="AZ117" i="24" s="1"/>
  <c r="AW248" i="24"/>
  <c r="BD248" i="24" s="1"/>
  <c r="AW299" i="24"/>
  <c r="AY299" i="24" s="1"/>
  <c r="AZ299" i="24" s="1"/>
  <c r="AW298" i="24"/>
  <c r="BE298" i="24" s="1"/>
  <c r="BT298" i="24" s="1"/>
  <c r="AW232" i="24"/>
  <c r="BE232" i="24" s="1"/>
  <c r="BT232" i="24" s="1"/>
  <c r="AW228" i="24"/>
  <c r="BE228" i="24" s="1"/>
  <c r="BT228" i="24" s="1"/>
  <c r="AW280" i="24"/>
  <c r="BE280" i="24" s="1"/>
  <c r="BT280" i="24" s="1"/>
  <c r="AW54" i="24"/>
  <c r="BE54" i="24" s="1"/>
  <c r="BT54" i="24" s="1"/>
  <c r="AW6" i="24"/>
  <c r="BD6" i="24" s="1"/>
  <c r="AW12" i="24"/>
  <c r="BE12" i="24" s="1"/>
  <c r="BT12" i="24" s="1"/>
  <c r="AW148" i="24"/>
  <c r="BE148" i="24" s="1"/>
  <c r="BT148" i="24" s="1"/>
  <c r="AW295" i="24"/>
  <c r="AY295" i="24" s="1"/>
  <c r="AZ295" i="24" s="1"/>
  <c r="AW20" i="24"/>
  <c r="BE20" i="24" s="1"/>
  <c r="BT20" i="24" s="1"/>
  <c r="AW238" i="24"/>
  <c r="AY238" i="24" s="1"/>
  <c r="AZ238" i="24" s="1"/>
  <c r="AW130" i="24"/>
  <c r="AY130" i="24" s="1"/>
  <c r="AZ130" i="24" s="1"/>
  <c r="AW24" i="24"/>
  <c r="BE24" i="24" s="1"/>
  <c r="BT24" i="24" s="1"/>
  <c r="AW282" i="24"/>
  <c r="BE282" i="24" s="1"/>
  <c r="BT282" i="24" s="1"/>
  <c r="AW305" i="24"/>
  <c r="BE305" i="24" s="1"/>
  <c r="BT305" i="24" s="1"/>
  <c r="AW58" i="24"/>
  <c r="BD58" i="24" s="1"/>
  <c r="AR193" i="25"/>
  <c r="BJ193" i="25"/>
  <c r="BH193" i="25"/>
  <c r="BW193" i="25"/>
  <c r="BU193" i="25"/>
  <c r="BF193" i="25"/>
  <c r="AU25" i="24"/>
  <c r="BB25" i="24" s="1"/>
  <c r="AW25" i="24"/>
  <c r="BJ239" i="25"/>
  <c r="AR239" i="25"/>
  <c r="BH239" i="25"/>
  <c r="AP239" i="25"/>
  <c r="BW239" i="25"/>
  <c r="BU239" i="25"/>
  <c r="BF239" i="25"/>
  <c r="AR102" i="25"/>
  <c r="BJ102" i="25"/>
  <c r="BH102" i="25"/>
  <c r="BF102" i="25"/>
  <c r="BW102" i="25"/>
  <c r="BU102" i="25"/>
  <c r="AR90" i="25"/>
  <c r="BH90" i="25"/>
  <c r="AP90" i="25"/>
  <c r="BF90" i="25"/>
  <c r="BW90" i="25"/>
  <c r="BU90" i="25"/>
  <c r="AR19" i="25"/>
  <c r="BJ19" i="25"/>
  <c r="BH19" i="25"/>
  <c r="AP19" i="25"/>
  <c r="BW19" i="25"/>
  <c r="BU19" i="25"/>
  <c r="BF19" i="25"/>
  <c r="AR15" i="25"/>
  <c r="BJ15" i="25"/>
  <c r="BH15" i="25"/>
  <c r="AP15" i="25"/>
  <c r="BF15" i="25"/>
  <c r="BU15" i="25"/>
  <c r="BW15" i="25"/>
  <c r="AU63" i="24"/>
  <c r="BB63" i="24" s="1"/>
  <c r="AW63" i="24"/>
  <c r="AR18" i="25"/>
  <c r="BJ18" i="25"/>
  <c r="BH18" i="25"/>
  <c r="AP18" i="25"/>
  <c r="BF18" i="25"/>
  <c r="BW18" i="25"/>
  <c r="BU18" i="25"/>
  <c r="AR231" i="25"/>
  <c r="BJ231" i="25"/>
  <c r="BH231" i="25"/>
  <c r="AP231" i="25"/>
  <c r="BF231" i="25"/>
  <c r="BU231" i="25"/>
  <c r="BW231" i="25"/>
  <c r="AR249" i="25"/>
  <c r="BJ249" i="25"/>
  <c r="BH249" i="25"/>
  <c r="AP249" i="25"/>
  <c r="BF249" i="25"/>
  <c r="BU249" i="25"/>
  <c r="BW249" i="25"/>
  <c r="BJ43" i="25"/>
  <c r="AR43" i="25"/>
  <c r="BH43" i="25"/>
  <c r="AP43" i="25"/>
  <c r="BF43" i="25"/>
  <c r="BW43" i="25"/>
  <c r="BU43" i="25"/>
  <c r="AR124" i="25"/>
  <c r="BJ124" i="25"/>
  <c r="BH124" i="25"/>
  <c r="AP124" i="25"/>
  <c r="BF124" i="25"/>
  <c r="BW124" i="25"/>
  <c r="BU124" i="25"/>
  <c r="AR8" i="25"/>
  <c r="BJ8" i="25"/>
  <c r="BH8" i="25"/>
  <c r="AP8" i="25"/>
  <c r="BF8" i="25"/>
  <c r="BW8" i="25"/>
  <c r="BU8" i="25"/>
  <c r="AU203" i="24"/>
  <c r="BB203" i="24" s="1"/>
  <c r="AW203" i="24"/>
  <c r="AU280" i="25"/>
  <c r="AW258" i="24"/>
  <c r="AT131" i="25"/>
  <c r="AY131" i="25" s="1"/>
  <c r="AU131" i="25"/>
  <c r="AU220" i="24"/>
  <c r="BB220" i="24" s="1"/>
  <c r="AW220" i="24"/>
  <c r="AU181" i="24"/>
  <c r="BB181" i="24" s="1"/>
  <c r="AW181" i="24"/>
  <c r="AU100" i="24"/>
  <c r="BB100" i="24" s="1"/>
  <c r="AW100" i="24"/>
  <c r="AR22" i="25"/>
  <c r="BH22" i="25"/>
  <c r="AP22" i="25"/>
  <c r="BF22" i="25"/>
  <c r="BW22" i="25"/>
  <c r="BU22" i="25"/>
  <c r="AU92" i="24"/>
  <c r="BB92" i="24" s="1"/>
  <c r="AW92" i="24"/>
  <c r="AU209" i="24"/>
  <c r="BB209" i="24" s="1"/>
  <c r="AW209" i="24"/>
  <c r="AR12" i="25"/>
  <c r="BJ12" i="25"/>
  <c r="BH12" i="25"/>
  <c r="AP12" i="25"/>
  <c r="BF12" i="25"/>
  <c r="BW12" i="25"/>
  <c r="BU12" i="25"/>
  <c r="AT113" i="25"/>
  <c r="AY113" i="25" s="1"/>
  <c r="AU113" i="25"/>
  <c r="AT114" i="25"/>
  <c r="AY114" i="25" s="1"/>
  <c r="AU114" i="25"/>
  <c r="AU38" i="24"/>
  <c r="BB38" i="24" s="1"/>
  <c r="AW38" i="24"/>
  <c r="AU52" i="24"/>
  <c r="BB52" i="24" s="1"/>
  <c r="AW52" i="24"/>
  <c r="AR119" i="25"/>
  <c r="BJ119" i="25"/>
  <c r="BH119" i="25"/>
  <c r="AP119" i="25"/>
  <c r="BU119" i="25"/>
  <c r="BF119" i="25"/>
  <c r="BW119" i="25"/>
  <c r="AT232" i="25"/>
  <c r="AU232" i="25"/>
  <c r="AR27" i="25"/>
  <c r="BH27" i="25"/>
  <c r="AP27" i="25"/>
  <c r="BW27" i="25"/>
  <c r="BU27" i="25"/>
  <c r="BF27" i="25"/>
  <c r="AR53" i="25"/>
  <c r="BJ53" i="25"/>
  <c r="BH53" i="25"/>
  <c r="AP53" i="25"/>
  <c r="BF53" i="25"/>
  <c r="BU53" i="25"/>
  <c r="BW53" i="25"/>
  <c r="AU164" i="24"/>
  <c r="BB164" i="24" s="1"/>
  <c r="AW164" i="24"/>
  <c r="AW225" i="24"/>
  <c r="AU90" i="24"/>
  <c r="BB90" i="24" s="1"/>
  <c r="AW90" i="24"/>
  <c r="AR36" i="25"/>
  <c r="BJ36" i="25"/>
  <c r="BH36" i="25"/>
  <c r="AP36" i="25"/>
  <c r="BF36" i="25"/>
  <c r="BW36" i="25"/>
  <c r="BU36" i="25"/>
  <c r="AU286" i="24"/>
  <c r="BB286" i="24" s="1"/>
  <c r="AW286" i="24"/>
  <c r="AT238" i="25"/>
  <c r="AU238" i="25"/>
  <c r="AR16" i="25"/>
  <c r="BJ16" i="25"/>
  <c r="BH16" i="25"/>
  <c r="AP16" i="25"/>
  <c r="BW16" i="25"/>
  <c r="BU16" i="25"/>
  <c r="BF16" i="25"/>
  <c r="AU245" i="24"/>
  <c r="BB245" i="24" s="1"/>
  <c r="AW245" i="24"/>
  <c r="BJ222" i="25"/>
  <c r="AR222" i="25"/>
  <c r="BH222" i="25"/>
  <c r="AP222" i="25"/>
  <c r="BU222" i="25"/>
  <c r="BF222" i="25"/>
  <c r="BW222" i="25"/>
  <c r="AR241" i="25"/>
  <c r="BJ241" i="25"/>
  <c r="BH241" i="25"/>
  <c r="AP241" i="25"/>
  <c r="BF241" i="25"/>
  <c r="BU241" i="25"/>
  <c r="BW241" i="25"/>
  <c r="AU103" i="24"/>
  <c r="BB103" i="24" s="1"/>
  <c r="AW103" i="24"/>
  <c r="AU36" i="24"/>
  <c r="BB36" i="24" s="1"/>
  <c r="AW36" i="24"/>
  <c r="AU138" i="24"/>
  <c r="BB138" i="24" s="1"/>
  <c r="AW138" i="24"/>
  <c r="AU246" i="24"/>
  <c r="BB246" i="24" s="1"/>
  <c r="AW246" i="24"/>
  <c r="AT30" i="25"/>
  <c r="AY30" i="25" s="1"/>
  <c r="AU30" i="25"/>
  <c r="AU78" i="24"/>
  <c r="BB78" i="24" s="1"/>
  <c r="AW78" i="24"/>
  <c r="AU116" i="24"/>
  <c r="BB116" i="24" s="1"/>
  <c r="AW116" i="24"/>
  <c r="AR274" i="25"/>
  <c r="BH274" i="25"/>
  <c r="AP274" i="25"/>
  <c r="BF274" i="25"/>
  <c r="BU274" i="25"/>
  <c r="BW274" i="25"/>
  <c r="AW261" i="24"/>
  <c r="AT275" i="25"/>
  <c r="AU275" i="25"/>
  <c r="AT173" i="25"/>
  <c r="AY173" i="25" s="1"/>
  <c r="AU173" i="25"/>
  <c r="AW133" i="24"/>
  <c r="AW37" i="24"/>
  <c r="AR188" i="25"/>
  <c r="BJ188" i="25"/>
  <c r="BH188" i="25"/>
  <c r="AP188" i="25"/>
  <c r="BU188" i="25"/>
  <c r="BW188" i="25"/>
  <c r="BF188" i="25"/>
  <c r="AR207" i="25"/>
  <c r="BJ207" i="25"/>
  <c r="BH207" i="25"/>
  <c r="BF207" i="25"/>
  <c r="BW207" i="25"/>
  <c r="BU207" i="25"/>
  <c r="AR23" i="25"/>
  <c r="BJ23" i="25"/>
  <c r="BH23" i="25"/>
  <c r="AP23" i="25"/>
  <c r="BW23" i="25"/>
  <c r="BU23" i="25"/>
  <c r="BF23" i="25"/>
  <c r="AU254" i="24"/>
  <c r="BB254" i="24" s="1"/>
  <c r="AW254" i="24"/>
  <c r="AW218" i="24"/>
  <c r="AR86" i="25"/>
  <c r="BH86" i="25"/>
  <c r="AP86" i="25"/>
  <c r="BU86" i="25"/>
  <c r="BF86" i="25"/>
  <c r="BW86" i="25"/>
  <c r="AW153" i="24"/>
  <c r="AU255" i="24"/>
  <c r="BB255" i="24" s="1"/>
  <c r="AW255" i="24"/>
  <c r="AU93" i="24"/>
  <c r="BB93" i="24" s="1"/>
  <c r="AW93" i="24"/>
  <c r="AU74" i="24"/>
  <c r="BB74" i="24" s="1"/>
  <c r="AW74" i="24"/>
  <c r="AU73" i="24"/>
  <c r="BB73" i="24" s="1"/>
  <c r="AW73" i="24"/>
  <c r="AU241" i="24"/>
  <c r="BB241" i="24" s="1"/>
  <c r="AW241" i="24"/>
  <c r="AR310" i="25"/>
  <c r="BH310" i="25"/>
  <c r="AP310" i="25"/>
  <c r="BF310" i="25"/>
  <c r="BW310" i="25"/>
  <c r="BU310" i="25"/>
  <c r="AW235" i="24"/>
  <c r="AR263" i="25"/>
  <c r="BJ263" i="25"/>
  <c r="BH263" i="25"/>
  <c r="AP263" i="25"/>
  <c r="BW263" i="25"/>
  <c r="BU263" i="25"/>
  <c r="BF263" i="25"/>
  <c r="AR20" i="25"/>
  <c r="BJ20" i="25"/>
  <c r="BH20" i="25"/>
  <c r="AP20" i="25"/>
  <c r="BU20" i="25"/>
  <c r="BW20" i="25"/>
  <c r="BF20" i="25"/>
  <c r="AW57" i="24"/>
  <c r="AU179" i="24"/>
  <c r="BB179" i="24" s="1"/>
  <c r="AW179" i="24"/>
  <c r="AT13" i="25"/>
  <c r="AY13" i="25" s="1"/>
  <c r="AU13" i="25"/>
  <c r="AR256" i="25"/>
  <c r="BJ256" i="25"/>
  <c r="BH256" i="25"/>
  <c r="AP256" i="25"/>
  <c r="BF256" i="25"/>
  <c r="BW256" i="25"/>
  <c r="BU256" i="25"/>
  <c r="AR24" i="25"/>
  <c r="BJ24" i="25"/>
  <c r="BH24" i="25"/>
  <c r="AP24" i="25"/>
  <c r="BW24" i="25"/>
  <c r="BU24" i="25"/>
  <c r="BF24" i="25"/>
  <c r="AU234" i="24"/>
  <c r="BB234" i="24" s="1"/>
  <c r="AW234" i="24"/>
  <c r="AR7" i="25"/>
  <c r="BJ7" i="25"/>
  <c r="BH7" i="25"/>
  <c r="AP7" i="25"/>
  <c r="BW7" i="25"/>
  <c r="BU7" i="25"/>
  <c r="BF7" i="25"/>
  <c r="AU177" i="24"/>
  <c r="BB177" i="24" s="1"/>
  <c r="AW177" i="24"/>
  <c r="AU40" i="24"/>
  <c r="BB40" i="24" s="1"/>
  <c r="AW40" i="24"/>
  <c r="BG292" i="24"/>
  <c r="BS292" i="24"/>
  <c r="BE233" i="24"/>
  <c r="BT233" i="24" s="1"/>
  <c r="BD233" i="24"/>
  <c r="AY233" i="24"/>
  <c r="AZ233" i="24" s="1"/>
  <c r="AU79" i="24"/>
  <c r="BB79" i="24" s="1"/>
  <c r="AW79" i="24"/>
  <c r="AR300" i="25"/>
  <c r="BJ300" i="25"/>
  <c r="BH300" i="25"/>
  <c r="AP300" i="25"/>
  <c r="BF300" i="25"/>
  <c r="BW300" i="25"/>
  <c r="BU300" i="25"/>
  <c r="AR9" i="25"/>
  <c r="BJ9" i="25"/>
  <c r="BH9" i="25"/>
  <c r="AP9" i="25"/>
  <c r="BF9" i="25"/>
  <c r="BU9" i="25"/>
  <c r="BW9" i="25"/>
  <c r="AT291" i="25"/>
  <c r="AU291" i="25"/>
  <c r="AR227" i="25"/>
  <c r="BJ227" i="25"/>
  <c r="BH227" i="25"/>
  <c r="AP227" i="25"/>
  <c r="BW227" i="25"/>
  <c r="BF227" i="25"/>
  <c r="BU227" i="25"/>
  <c r="BJ235" i="25"/>
  <c r="AR235" i="25"/>
  <c r="BH235" i="25"/>
  <c r="AP235" i="25"/>
  <c r="BF235" i="25"/>
  <c r="BW235" i="25"/>
  <c r="BU235" i="25"/>
  <c r="AT95" i="25"/>
  <c r="AY95" i="25" s="1"/>
  <c r="AU95" i="25"/>
  <c r="AR65" i="25"/>
  <c r="BH65" i="25"/>
  <c r="AP65" i="25"/>
  <c r="BW65" i="25"/>
  <c r="BU65" i="25"/>
  <c r="BF65" i="25"/>
  <c r="AR112" i="25"/>
  <c r="BJ112" i="25"/>
  <c r="BH112" i="25"/>
  <c r="AP112" i="25"/>
  <c r="BF112" i="25"/>
  <c r="BW112" i="25"/>
  <c r="BU112" i="25"/>
  <c r="AU136" i="24"/>
  <c r="BB136" i="24" s="1"/>
  <c r="AW136" i="24"/>
  <c r="AR303" i="25"/>
  <c r="BH303" i="25"/>
  <c r="AP303" i="25"/>
  <c r="BW303" i="25"/>
  <c r="BU303" i="25"/>
  <c r="BF303" i="25"/>
  <c r="AR160" i="25"/>
  <c r="BH160" i="25"/>
  <c r="AP160" i="25"/>
  <c r="BF160" i="25"/>
  <c r="BU160" i="25"/>
  <c r="BW160" i="25"/>
  <c r="AU66" i="24"/>
  <c r="BB66" i="24" s="1"/>
  <c r="AW66" i="24"/>
  <c r="AR195" i="25"/>
  <c r="BH195" i="25"/>
  <c r="BF195" i="25"/>
  <c r="BW195" i="25"/>
  <c r="BU195" i="25"/>
  <c r="Y12" i="2"/>
  <c r="Y15" i="2" s="1"/>
  <c r="Y16" i="2" s="1"/>
  <c r="Y17" i="2" s="1"/>
  <c r="B4" i="29" s="1"/>
  <c r="AR67" i="25"/>
  <c r="BJ67" i="25"/>
  <c r="BH67" i="25"/>
  <c r="AP67" i="25"/>
  <c r="BW67" i="25"/>
  <c r="BU67" i="25"/>
  <c r="BF67" i="25"/>
  <c r="AR41" i="25"/>
  <c r="BJ41" i="25"/>
  <c r="BH41" i="25"/>
  <c r="AP41" i="25"/>
  <c r="BU41" i="25"/>
  <c r="BW41" i="25"/>
  <c r="BF41" i="25"/>
  <c r="BD236" i="24"/>
  <c r="AY236" i="24"/>
  <c r="AZ236" i="24" s="1"/>
  <c r="BE236" i="24"/>
  <c r="BT236" i="24" s="1"/>
  <c r="AR313" i="25"/>
  <c r="BH313" i="25"/>
  <c r="AP313" i="25"/>
  <c r="BU313" i="25"/>
  <c r="BW313" i="25"/>
  <c r="BF313" i="25"/>
  <c r="AR40" i="25"/>
  <c r="BJ40" i="25"/>
  <c r="BH40" i="25"/>
  <c r="AP40" i="25"/>
  <c r="BU40" i="25"/>
  <c r="BW40" i="25"/>
  <c r="BF40" i="25"/>
  <c r="AU188" i="24"/>
  <c r="BB188" i="24" s="1"/>
  <c r="AW188" i="24"/>
  <c r="AR33" i="25"/>
  <c r="BJ33" i="25"/>
  <c r="BH33" i="25"/>
  <c r="AP33" i="25"/>
  <c r="BU33" i="25"/>
  <c r="BW33" i="25"/>
  <c r="BF33" i="25"/>
  <c r="AR294" i="25"/>
  <c r="BH294" i="25"/>
  <c r="AP294" i="25"/>
  <c r="BF294" i="25"/>
  <c r="BW294" i="25"/>
  <c r="BU294" i="25"/>
  <c r="BJ250" i="25"/>
  <c r="AR250" i="25"/>
  <c r="BH250" i="25"/>
  <c r="AP250" i="25"/>
  <c r="BF250" i="25"/>
  <c r="BU250" i="25"/>
  <c r="BW250" i="25"/>
  <c r="AT314" i="25"/>
  <c r="AU314" i="25"/>
  <c r="AW114" i="24"/>
  <c r="AU186" i="24"/>
  <c r="BB186" i="24" s="1"/>
  <c r="AW186" i="24"/>
  <c r="AU14" i="24"/>
  <c r="BB14" i="24" s="1"/>
  <c r="AW14" i="24"/>
  <c r="AU206" i="24"/>
  <c r="BB206" i="24" s="1"/>
  <c r="AW206" i="24"/>
  <c r="AR56" i="25"/>
  <c r="BH56" i="25"/>
  <c r="AP56" i="25"/>
  <c r="BW56" i="25"/>
  <c r="BU56" i="25"/>
  <c r="BF56" i="25"/>
  <c r="AU159" i="24"/>
  <c r="BB159" i="24" s="1"/>
  <c r="AW159" i="24"/>
  <c r="AR17" i="25"/>
  <c r="BJ17" i="25"/>
  <c r="BH17" i="25"/>
  <c r="AP17" i="25"/>
  <c r="BU17" i="25"/>
  <c r="BF17" i="25"/>
  <c r="BW17" i="25"/>
  <c r="AU104" i="24"/>
  <c r="BB104" i="24" s="1"/>
  <c r="AW104" i="24"/>
  <c r="AU197" i="24"/>
  <c r="BB197" i="24" s="1"/>
  <c r="AW197" i="24"/>
  <c r="AT89" i="25"/>
  <c r="AY89" i="25" s="1"/>
  <c r="AU89" i="25"/>
  <c r="AR312" i="25"/>
  <c r="BJ312" i="25"/>
  <c r="BH312" i="25"/>
  <c r="AP312" i="25"/>
  <c r="BF312" i="25"/>
  <c r="BW312" i="25"/>
  <c r="BU312" i="25"/>
  <c r="AU202" i="24"/>
  <c r="BB202" i="24" s="1"/>
  <c r="AW202" i="24"/>
  <c r="AR175" i="25"/>
  <c r="BH175" i="25"/>
  <c r="AP175" i="25"/>
  <c r="BF175" i="25"/>
  <c r="BU175" i="25"/>
  <c r="BW175" i="25"/>
  <c r="AU47" i="24"/>
  <c r="BB47" i="24" s="1"/>
  <c r="AW47" i="24"/>
  <c r="AR285" i="25"/>
  <c r="BJ285" i="25"/>
  <c r="BH285" i="25"/>
  <c r="AP285" i="25"/>
  <c r="BF285" i="25"/>
  <c r="BW285" i="25"/>
  <c r="BU285" i="25"/>
  <c r="AU184" i="24"/>
  <c r="BB184" i="24" s="1"/>
  <c r="AW184" i="24"/>
  <c r="AY160" i="24"/>
  <c r="AZ160" i="24" s="1"/>
  <c r="BD160" i="24"/>
  <c r="BE160" i="24"/>
  <c r="BT160" i="24" s="1"/>
  <c r="AU88" i="24"/>
  <c r="BB88" i="24" s="1"/>
  <c r="AW88" i="24"/>
  <c r="AU16" i="24"/>
  <c r="BB16" i="24" s="1"/>
  <c r="AW16" i="24"/>
  <c r="AR171" i="25"/>
  <c r="BH171" i="25"/>
  <c r="AP171" i="25"/>
  <c r="BF171" i="25"/>
  <c r="BW171" i="25"/>
  <c r="BU171" i="25"/>
  <c r="AR49" i="25"/>
  <c r="BJ49" i="25"/>
  <c r="BH49" i="25"/>
  <c r="AP49" i="25"/>
  <c r="BF49" i="25"/>
  <c r="BW49" i="25"/>
  <c r="BU49" i="25"/>
  <c r="AR183" i="25"/>
  <c r="BH183" i="25"/>
  <c r="AP183" i="25"/>
  <c r="BF183" i="25"/>
  <c r="BW183" i="25"/>
  <c r="BU183" i="25"/>
  <c r="AY257" i="24"/>
  <c r="AZ257" i="24" s="1"/>
  <c r="BD257" i="24"/>
  <c r="BE257" i="24"/>
  <c r="BT257" i="24" s="1"/>
  <c r="BE119" i="24"/>
  <c r="BT119" i="24" s="1"/>
  <c r="AY119" i="24"/>
  <c r="AZ119" i="24" s="1"/>
  <c r="BD119" i="24"/>
  <c r="AW30" i="24"/>
  <c r="AR253" i="25"/>
  <c r="BJ253" i="25"/>
  <c r="BH253" i="25"/>
  <c r="AP253" i="25"/>
  <c r="BF253" i="25"/>
  <c r="BW253" i="25"/>
  <c r="BU253" i="25"/>
  <c r="AU67" i="24"/>
  <c r="BB67" i="24" s="1"/>
  <c r="AW67" i="24"/>
  <c r="AT34" i="25"/>
  <c r="AY34" i="25" s="1"/>
  <c r="AU34" i="25"/>
  <c r="AU137" i="24"/>
  <c r="BB137" i="24" s="1"/>
  <c r="AW137" i="24"/>
  <c r="AR141" i="25"/>
  <c r="BJ141" i="25"/>
  <c r="BH141" i="25"/>
  <c r="AP141" i="25"/>
  <c r="BW141" i="25"/>
  <c r="BU141" i="25"/>
  <c r="BF141" i="25"/>
  <c r="AT178" i="25"/>
  <c r="AY178" i="25" s="1"/>
  <c r="AU178" i="25"/>
  <c r="BB143" i="25"/>
  <c r="BS143" i="25" s="1"/>
  <c r="BC143" i="25"/>
  <c r="BT143" i="25" s="1"/>
  <c r="BA143" i="25"/>
  <c r="AW284" i="24"/>
  <c r="AU262" i="24"/>
  <c r="BB262" i="24" s="1"/>
  <c r="AW262" i="24"/>
  <c r="BE41" i="24"/>
  <c r="BT41" i="24" s="1"/>
  <c r="AY41" i="24"/>
  <c r="AZ41" i="24" s="1"/>
  <c r="BD41" i="24"/>
  <c r="BJ58" i="25"/>
  <c r="AR58" i="25"/>
  <c r="BH58" i="25"/>
  <c r="AP58" i="25"/>
  <c r="BW58" i="25"/>
  <c r="BF58" i="25"/>
  <c r="BU58" i="25"/>
  <c r="AR307" i="25"/>
  <c r="BH307" i="25"/>
  <c r="AP307" i="25"/>
  <c r="BU307" i="25"/>
  <c r="BW307" i="25"/>
  <c r="BF307" i="25"/>
  <c r="AR42" i="25"/>
  <c r="BJ42" i="25"/>
  <c r="BH42" i="25"/>
  <c r="AP42" i="25"/>
  <c r="BF42" i="25"/>
  <c r="BW42" i="25"/>
  <c r="BU42" i="25"/>
  <c r="AU46" i="24"/>
  <c r="BB46" i="24" s="1"/>
  <c r="AW46" i="24"/>
  <c r="AW237" i="24"/>
  <c r="AR205" i="25"/>
  <c r="BJ205" i="25"/>
  <c r="BH205" i="25"/>
  <c r="BF205" i="25"/>
  <c r="BW205" i="25"/>
  <c r="BU205" i="25"/>
  <c r="AR309" i="25"/>
  <c r="BH309" i="25"/>
  <c r="AP309" i="25"/>
  <c r="BF309" i="25"/>
  <c r="BU309" i="25"/>
  <c r="BW309" i="25"/>
  <c r="AU196" i="24"/>
  <c r="BB196" i="24" s="1"/>
  <c r="AW196" i="24"/>
  <c r="AU83" i="24"/>
  <c r="BB83" i="24" s="1"/>
  <c r="AW83" i="24"/>
  <c r="AU175" i="24"/>
  <c r="BB175" i="24" s="1"/>
  <c r="AW175" i="24"/>
  <c r="AR80" i="25"/>
  <c r="BH80" i="25"/>
  <c r="AP80" i="25"/>
  <c r="BF80" i="25"/>
  <c r="BU80" i="25"/>
  <c r="BW80" i="25"/>
  <c r="AR105" i="25"/>
  <c r="BJ105" i="25"/>
  <c r="BH105" i="25"/>
  <c r="BW105" i="25"/>
  <c r="BU105" i="25"/>
  <c r="BF105" i="25"/>
  <c r="BE45" i="24"/>
  <c r="BT45" i="24" s="1"/>
  <c r="BD45" i="24"/>
  <c r="AY45" i="24"/>
  <c r="AZ45" i="24" s="1"/>
  <c r="AR184" i="25"/>
  <c r="BH184" i="25"/>
  <c r="AP184" i="25"/>
  <c r="BF184" i="25"/>
  <c r="BU184" i="25"/>
  <c r="BW184" i="25"/>
  <c r="AW126" i="24"/>
  <c r="BJ269" i="25"/>
  <c r="AR269" i="25"/>
  <c r="BH269" i="25"/>
  <c r="AP269" i="25"/>
  <c r="BF269" i="25"/>
  <c r="BW269" i="25"/>
  <c r="BU269" i="25"/>
  <c r="AR93" i="25"/>
  <c r="BJ93" i="25"/>
  <c r="BH93" i="25"/>
  <c r="AP93" i="25"/>
  <c r="BU93" i="25"/>
  <c r="BW93" i="25"/>
  <c r="BF93" i="25"/>
  <c r="AT62" i="25"/>
  <c r="AY62" i="25" s="1"/>
  <c r="AU62" i="25"/>
  <c r="AT31" i="25"/>
  <c r="AY31" i="25" s="1"/>
  <c r="AU31" i="25"/>
  <c r="AR218" i="25"/>
  <c r="BH218" i="25"/>
  <c r="AP218" i="25"/>
  <c r="BW218" i="25"/>
  <c r="BF218" i="25"/>
  <c r="BU218" i="25"/>
  <c r="AU222" i="24"/>
  <c r="BB222" i="24" s="1"/>
  <c r="AW222" i="24"/>
  <c r="AU140" i="24"/>
  <c r="BB140" i="24" s="1"/>
  <c r="AW140" i="24"/>
  <c r="AU77" i="24"/>
  <c r="BB77" i="24" s="1"/>
  <c r="AW77" i="24"/>
  <c r="AU53" i="24"/>
  <c r="BB53" i="24" s="1"/>
  <c r="AW53" i="24"/>
  <c r="AR121" i="25"/>
  <c r="BH121" i="25"/>
  <c r="AP121" i="25"/>
  <c r="BF121" i="25"/>
  <c r="BU121" i="25"/>
  <c r="BW121" i="25"/>
  <c r="AY162" i="24"/>
  <c r="AZ162" i="24" s="1"/>
  <c r="BD162" i="24"/>
  <c r="BE162" i="24"/>
  <c r="BT162" i="24" s="1"/>
  <c r="AT161" i="25"/>
  <c r="AY161" i="25" s="1"/>
  <c r="AU161" i="25"/>
  <c r="AU49" i="24"/>
  <c r="BB49" i="24" s="1"/>
  <c r="AW49" i="24"/>
  <c r="AR233" i="25"/>
  <c r="BJ233" i="25"/>
  <c r="BH233" i="25"/>
  <c r="AP233" i="25"/>
  <c r="BF233" i="25"/>
  <c r="BU233" i="25"/>
  <c r="BW233" i="25"/>
  <c r="AR153" i="25"/>
  <c r="BH153" i="25"/>
  <c r="AP153" i="25"/>
  <c r="BF153" i="25"/>
  <c r="BW153" i="25"/>
  <c r="BU153" i="25"/>
  <c r="AR10" i="25"/>
  <c r="BH10" i="25"/>
  <c r="AP10" i="25"/>
  <c r="BF10" i="25"/>
  <c r="BU10" i="25"/>
  <c r="BW10" i="25"/>
  <c r="AR123" i="25"/>
  <c r="BJ123" i="25"/>
  <c r="BH123" i="25"/>
  <c r="AP123" i="25"/>
  <c r="BF123" i="25"/>
  <c r="BU123" i="25"/>
  <c r="BW123" i="25"/>
  <c r="AR159" i="25"/>
  <c r="BH159" i="25"/>
  <c r="AP159" i="25"/>
  <c r="BU159" i="25"/>
  <c r="BW159" i="25"/>
  <c r="BF159" i="25"/>
  <c r="AU39" i="24"/>
  <c r="BB39" i="24" s="1"/>
  <c r="AW39" i="24"/>
  <c r="AU173" i="24"/>
  <c r="BB173" i="24" s="1"/>
  <c r="AW173" i="24"/>
  <c r="AR236" i="25"/>
  <c r="BJ236" i="25"/>
  <c r="BH236" i="25"/>
  <c r="AP236" i="25"/>
  <c r="BF236" i="25"/>
  <c r="BU236" i="25"/>
  <c r="BW236" i="25"/>
  <c r="AU275" i="24"/>
  <c r="BB275" i="24" s="1"/>
  <c r="AW275" i="24"/>
  <c r="AR137" i="25"/>
  <c r="BJ137" i="25"/>
  <c r="BH137" i="25"/>
  <c r="AP137" i="25"/>
  <c r="BF137" i="25"/>
  <c r="BW137" i="25"/>
  <c r="BU137" i="25"/>
  <c r="AR230" i="25"/>
  <c r="BJ230" i="25"/>
  <c r="BH230" i="25"/>
  <c r="AP230" i="25"/>
  <c r="BF230" i="25"/>
  <c r="BW230" i="25"/>
  <c r="BU230" i="25"/>
  <c r="AR46" i="25"/>
  <c r="BJ46" i="25"/>
  <c r="BH46" i="25"/>
  <c r="AP46" i="25"/>
  <c r="BF46" i="25"/>
  <c r="BW46" i="25"/>
  <c r="BU46" i="25"/>
  <c r="AT206" i="25"/>
  <c r="AY206" i="25" s="1"/>
  <c r="AU206" i="25"/>
  <c r="AT29" i="25"/>
  <c r="AY29" i="25" s="1"/>
  <c r="AU29" i="25"/>
  <c r="AU278" i="24"/>
  <c r="BB278" i="24" s="1"/>
  <c r="AW278" i="24"/>
  <c r="AU313" i="24"/>
  <c r="BB313" i="24" s="1"/>
  <c r="AW313" i="24"/>
  <c r="AR268" i="25"/>
  <c r="BH268" i="25"/>
  <c r="AP268" i="25"/>
  <c r="BW268" i="25"/>
  <c r="BU268" i="25"/>
  <c r="BF268" i="25"/>
  <c r="AR242" i="25"/>
  <c r="BH242" i="25"/>
  <c r="AP242" i="25"/>
  <c r="BF242" i="25"/>
  <c r="BU242" i="25"/>
  <c r="BW242" i="25"/>
  <c r="AR146" i="25"/>
  <c r="BJ146" i="25"/>
  <c r="BH146" i="25"/>
  <c r="AP146" i="25"/>
  <c r="BF146" i="25"/>
  <c r="BU146" i="25"/>
  <c r="BW146" i="25"/>
  <c r="AR79" i="25"/>
  <c r="BH79" i="25"/>
  <c r="AP79" i="25"/>
  <c r="BW79" i="25"/>
  <c r="BU79" i="25"/>
  <c r="BF79" i="25"/>
  <c r="BE21" i="24"/>
  <c r="BT21" i="24" s="1"/>
  <c r="AY21" i="24"/>
  <c r="AZ21" i="24" s="1"/>
  <c r="BD21" i="24"/>
  <c r="AU10" i="24"/>
  <c r="BB10" i="24" s="1"/>
  <c r="AW10" i="24"/>
  <c r="AU207" i="24"/>
  <c r="BB207" i="24" s="1"/>
  <c r="AW207" i="24"/>
  <c r="AU157" i="24"/>
  <c r="BB157" i="24" s="1"/>
  <c r="AW157" i="24"/>
  <c r="AU31" i="24"/>
  <c r="BB31" i="24" s="1"/>
  <c r="AW31" i="24"/>
  <c r="AT59" i="25"/>
  <c r="AY59" i="25" s="1"/>
  <c r="AU59" i="25"/>
  <c r="AR111" i="25"/>
  <c r="BH111" i="25"/>
  <c r="AP111" i="25"/>
  <c r="BF111" i="25"/>
  <c r="BU111" i="25"/>
  <c r="BW111" i="25"/>
  <c r="AR127" i="25"/>
  <c r="BJ127" i="25"/>
  <c r="BH127" i="25"/>
  <c r="AP127" i="25"/>
  <c r="BF127" i="25"/>
  <c r="BW127" i="25"/>
  <c r="BU127" i="25"/>
  <c r="AU11" i="24"/>
  <c r="BB11" i="24" s="1"/>
  <c r="AW11" i="24"/>
  <c r="AT248" i="25"/>
  <c r="AU248" i="25"/>
  <c r="AR208" i="25"/>
  <c r="BJ208" i="25"/>
  <c r="BH208" i="25"/>
  <c r="BU208" i="25"/>
  <c r="BW208" i="25"/>
  <c r="BF208" i="25"/>
  <c r="AR264" i="25"/>
  <c r="BJ264" i="25"/>
  <c r="BH264" i="25"/>
  <c r="AP264" i="25"/>
  <c r="BF264" i="25"/>
  <c r="BU264" i="25"/>
  <c r="BW264" i="25"/>
  <c r="AR166" i="25"/>
  <c r="BH166" i="25"/>
  <c r="AP166" i="25"/>
  <c r="BF166" i="25"/>
  <c r="BW166" i="25"/>
  <c r="BU166" i="25"/>
  <c r="AR103" i="25"/>
  <c r="BH103" i="25"/>
  <c r="BW103" i="25"/>
  <c r="BU103" i="25"/>
  <c r="BF103" i="25"/>
  <c r="AR35" i="25"/>
  <c r="BJ35" i="25"/>
  <c r="BH35" i="25"/>
  <c r="AP35" i="25"/>
  <c r="BW35" i="25"/>
  <c r="BU35" i="25"/>
  <c r="BF35" i="25"/>
  <c r="AR75" i="25"/>
  <c r="BJ75" i="25"/>
  <c r="BH75" i="25"/>
  <c r="AP75" i="25"/>
  <c r="BU75" i="25"/>
  <c r="BF75" i="25"/>
  <c r="BW75" i="25"/>
  <c r="AW266" i="24"/>
  <c r="AR63" i="25"/>
  <c r="BJ63" i="25"/>
  <c r="BH63" i="25"/>
  <c r="AP63" i="25"/>
  <c r="BF63" i="25"/>
  <c r="BW63" i="25"/>
  <c r="BU63" i="25"/>
  <c r="AT170" i="25"/>
  <c r="AY170" i="25" s="1"/>
  <c r="AU170" i="25"/>
  <c r="AR165" i="25"/>
  <c r="BH165" i="25"/>
  <c r="AP165" i="25"/>
  <c r="BU165" i="25"/>
  <c r="BW165" i="25"/>
  <c r="BF165" i="25"/>
  <c r="AU118" i="24"/>
  <c r="BB118" i="24" s="1"/>
  <c r="AW118" i="24"/>
  <c r="AU139" i="24"/>
  <c r="BB139" i="24" s="1"/>
  <c r="AW139" i="24"/>
  <c r="AU95" i="24"/>
  <c r="BB95" i="24" s="1"/>
  <c r="AW95" i="24"/>
  <c r="AR50" i="25"/>
  <c r="BJ50" i="25"/>
  <c r="BH50" i="25"/>
  <c r="AP50" i="25"/>
  <c r="BW50" i="25"/>
  <c r="BU50" i="25"/>
  <c r="BF50" i="25"/>
  <c r="AW56" i="24"/>
  <c r="AT267" i="25"/>
  <c r="AU267" i="25"/>
  <c r="AU303" i="24"/>
  <c r="BB303" i="24" s="1"/>
  <c r="AW303" i="24"/>
  <c r="AU127" i="24"/>
  <c r="BB127" i="24" s="1"/>
  <c r="AW127" i="24"/>
  <c r="AU250" i="24"/>
  <c r="BB250" i="24" s="1"/>
  <c r="AW250" i="24"/>
  <c r="BJ286" i="25"/>
  <c r="AR286" i="25"/>
  <c r="BH286" i="25"/>
  <c r="AP286" i="25"/>
  <c r="BU286" i="25"/>
  <c r="BF286" i="25"/>
  <c r="BW286" i="25"/>
  <c r="AT257" i="25"/>
  <c r="AU257" i="25"/>
  <c r="AU42" i="24"/>
  <c r="BB42" i="24" s="1"/>
  <c r="AW42" i="24"/>
  <c r="BJ128" i="25"/>
  <c r="AR128" i="25"/>
  <c r="BH128" i="25"/>
  <c r="AP128" i="25"/>
  <c r="BF128" i="25"/>
  <c r="BU128" i="25"/>
  <c r="BW128" i="25"/>
  <c r="AR209" i="25"/>
  <c r="BJ209" i="25"/>
  <c r="BH209" i="25"/>
  <c r="BU209" i="25"/>
  <c r="BW209" i="25"/>
  <c r="BF209" i="25"/>
  <c r="AR217" i="25"/>
  <c r="BJ217" i="25"/>
  <c r="BH217" i="25"/>
  <c r="AP217" i="25"/>
  <c r="BF217" i="25"/>
  <c r="BW217" i="25"/>
  <c r="BU217" i="25"/>
  <c r="AU70" i="24"/>
  <c r="BB70" i="24" s="1"/>
  <c r="AW70" i="24"/>
  <c r="AR252" i="25"/>
  <c r="BJ252" i="25"/>
  <c r="BH252" i="25"/>
  <c r="AP252" i="25"/>
  <c r="BF252" i="25"/>
  <c r="BU252" i="25"/>
  <c r="BW252" i="25"/>
  <c r="AU122" i="24"/>
  <c r="BB122" i="24" s="1"/>
  <c r="AW122" i="24"/>
  <c r="AU87" i="24"/>
  <c r="BB87" i="24" s="1"/>
  <c r="AW87" i="24"/>
  <c r="AR83" i="25"/>
  <c r="BJ83" i="25"/>
  <c r="BH83" i="25"/>
  <c r="AP83" i="25"/>
  <c r="BF83" i="25"/>
  <c r="BW83" i="25"/>
  <c r="BU83" i="25"/>
  <c r="AU314" i="24"/>
  <c r="BB314" i="24" s="1"/>
  <c r="AW314" i="24"/>
  <c r="AR152" i="25"/>
  <c r="BH152" i="25"/>
  <c r="AP152" i="25"/>
  <c r="BF152" i="25"/>
  <c r="BU152" i="25"/>
  <c r="BW152" i="25"/>
  <c r="AR277" i="25"/>
  <c r="BJ277" i="25"/>
  <c r="BH277" i="25"/>
  <c r="AP277" i="25"/>
  <c r="BW277" i="25"/>
  <c r="BU277" i="25"/>
  <c r="BF277" i="25"/>
  <c r="AY191" i="24"/>
  <c r="AZ191" i="24" s="1"/>
  <c r="BE191" i="24"/>
  <c r="BT191" i="24" s="1"/>
  <c r="BD191" i="24"/>
  <c r="BD294" i="24"/>
  <c r="AY294" i="24"/>
  <c r="AZ294" i="24" s="1"/>
  <c r="BE294" i="24"/>
  <c r="BT294" i="24" s="1"/>
  <c r="BJ271" i="25"/>
  <c r="AR271" i="25"/>
  <c r="BH271" i="25"/>
  <c r="AP271" i="25"/>
  <c r="BF271" i="25"/>
  <c r="BU271" i="25"/>
  <c r="BW271" i="25"/>
  <c r="AT147" i="25"/>
  <c r="AY147" i="25" s="1"/>
  <c r="AU147" i="25"/>
  <c r="AR149" i="25"/>
  <c r="BJ149" i="25"/>
  <c r="BH149" i="25"/>
  <c r="AP149" i="25"/>
  <c r="BF149" i="25"/>
  <c r="BW149" i="25"/>
  <c r="BU149" i="25"/>
  <c r="AU201" i="24"/>
  <c r="BB201" i="24" s="1"/>
  <c r="AW201" i="24"/>
  <c r="AU231" i="24"/>
  <c r="BB231" i="24" s="1"/>
  <c r="AW231" i="24"/>
  <c r="AU91" i="24"/>
  <c r="BB91" i="24" s="1"/>
  <c r="AW91" i="24"/>
  <c r="AU288" i="24"/>
  <c r="BB288" i="24" s="1"/>
  <c r="AW288" i="24"/>
  <c r="AU229" i="24"/>
  <c r="BB229" i="24" s="1"/>
  <c r="AW229" i="24"/>
  <c r="AU172" i="24"/>
  <c r="BB172" i="24" s="1"/>
  <c r="AW172" i="24"/>
  <c r="AU285" i="24"/>
  <c r="BB285" i="24" s="1"/>
  <c r="AW285" i="24"/>
  <c r="AR219" i="25"/>
  <c r="BH219" i="25"/>
  <c r="AP219" i="25"/>
  <c r="BF219" i="25"/>
  <c r="BW219" i="25"/>
  <c r="BU219" i="25"/>
  <c r="AU302" i="24"/>
  <c r="BB302" i="24" s="1"/>
  <c r="AW302" i="24"/>
  <c r="AR120" i="25"/>
  <c r="BJ120" i="25"/>
  <c r="BH120" i="25"/>
  <c r="AP120" i="25"/>
  <c r="BW120" i="25"/>
  <c r="BF120" i="25"/>
  <c r="BU120" i="25"/>
  <c r="AR234" i="25"/>
  <c r="BJ234" i="25"/>
  <c r="BH234" i="25"/>
  <c r="AP234" i="25"/>
  <c r="BF234" i="25"/>
  <c r="BW234" i="25"/>
  <c r="BU234" i="25"/>
  <c r="AU194" i="24"/>
  <c r="BB194" i="24" s="1"/>
  <c r="AW194" i="24"/>
  <c r="BJ164" i="25"/>
  <c r="AR164" i="25"/>
  <c r="BH164" i="25"/>
  <c r="AP164" i="25"/>
  <c r="BW164" i="25"/>
  <c r="BU164" i="25"/>
  <c r="BF164" i="25"/>
  <c r="AT204" i="25"/>
  <c r="AY204" i="25" s="1"/>
  <c r="AU204" i="25"/>
  <c r="AU115" i="24"/>
  <c r="BB115" i="24" s="1"/>
  <c r="AW115" i="24"/>
  <c r="AU293" i="24"/>
  <c r="BB293" i="24" s="1"/>
  <c r="AW293" i="24"/>
  <c r="BJ84" i="25"/>
  <c r="AR84" i="25"/>
  <c r="BH84" i="25"/>
  <c r="AP84" i="25"/>
  <c r="BU84" i="25"/>
  <c r="BF84" i="25"/>
  <c r="BW84" i="25"/>
  <c r="AR61" i="25"/>
  <c r="BJ61" i="25"/>
  <c r="BH61" i="25"/>
  <c r="AP61" i="25"/>
  <c r="BF61" i="25"/>
  <c r="BU61" i="25"/>
  <c r="BW61" i="25"/>
  <c r="AR157" i="25"/>
  <c r="BJ157" i="25"/>
  <c r="BH157" i="25"/>
  <c r="AP157" i="25"/>
  <c r="BU157" i="25"/>
  <c r="BW157" i="25"/>
  <c r="BF157" i="25"/>
  <c r="AT186" i="25"/>
  <c r="AY186" i="25" s="1"/>
  <c r="AU186" i="25"/>
  <c r="AW297" i="24"/>
  <c r="AW51" i="24"/>
  <c r="AR51" i="25"/>
  <c r="BJ51" i="25"/>
  <c r="BH51" i="25"/>
  <c r="AP51" i="25"/>
  <c r="BU51" i="25"/>
  <c r="BW51" i="25"/>
  <c r="BF51" i="25"/>
  <c r="AT259" i="25"/>
  <c r="AU259" i="25"/>
  <c r="AU244" i="24"/>
  <c r="BB244" i="24" s="1"/>
  <c r="AW244" i="24"/>
  <c r="AT199" i="25"/>
  <c r="AY199" i="25" s="1"/>
  <c r="AU199" i="25"/>
  <c r="AR60" i="25"/>
  <c r="BH60" i="25"/>
  <c r="AP60" i="25"/>
  <c r="BU60" i="25"/>
  <c r="BF60" i="25"/>
  <c r="BW60" i="25"/>
  <c r="AT247" i="25"/>
  <c r="AU247" i="25"/>
  <c r="AW243" i="24"/>
  <c r="AU251" i="24"/>
  <c r="BB251" i="24" s="1"/>
  <c r="AW251" i="24"/>
  <c r="AU165" i="24"/>
  <c r="BB165" i="24" s="1"/>
  <c r="AW165" i="24"/>
  <c r="AW9" i="24"/>
  <c r="AU96" i="24"/>
  <c r="BB96" i="24" s="1"/>
  <c r="AW96" i="24"/>
  <c r="AW32" i="24"/>
  <c r="AT283" i="25"/>
  <c r="AU283" i="25"/>
  <c r="AU272" i="24"/>
  <c r="BB272" i="24" s="1"/>
  <c r="AW272" i="24"/>
  <c r="AU97" i="24"/>
  <c r="BB97" i="24" s="1"/>
  <c r="AW97" i="24"/>
  <c r="AU141" i="24"/>
  <c r="BB141" i="24" s="1"/>
  <c r="AW141" i="24"/>
  <c r="AU50" i="24"/>
  <c r="BB50" i="24" s="1"/>
  <c r="AW50" i="24"/>
  <c r="AR52" i="25"/>
  <c r="BH52" i="25"/>
  <c r="AP52" i="25"/>
  <c r="BF52" i="25"/>
  <c r="BW52" i="25"/>
  <c r="BU52" i="25"/>
  <c r="BA110" i="25"/>
  <c r="BC110" i="25"/>
  <c r="BT110" i="25" s="1"/>
  <c r="BB110" i="25"/>
  <c r="BS110" i="25" s="1"/>
  <c r="AT192" i="25"/>
  <c r="AY192" i="25" s="1"/>
  <c r="AU192" i="25"/>
  <c r="AU223" i="24"/>
  <c r="BB223" i="24" s="1"/>
  <c r="AW223" i="24"/>
  <c r="AR194" i="25"/>
  <c r="BH194" i="25"/>
  <c r="CE194" i="25"/>
  <c r="BW194" i="25"/>
  <c r="BU194" i="25"/>
  <c r="BF194" i="25"/>
  <c r="AT282" i="25"/>
  <c r="AU282" i="25"/>
  <c r="AW128" i="24"/>
  <c r="AR45" i="25"/>
  <c r="BH45" i="25"/>
  <c r="AP45" i="25"/>
  <c r="BF45" i="25"/>
  <c r="BW45" i="25"/>
  <c r="BU45" i="25"/>
  <c r="AR37" i="25"/>
  <c r="BJ37" i="25"/>
  <c r="BH37" i="25"/>
  <c r="AP37" i="25"/>
  <c r="BF37" i="25"/>
  <c r="BU37" i="25"/>
  <c r="BW37" i="25"/>
  <c r="AR144" i="25"/>
  <c r="BJ144" i="25"/>
  <c r="BH144" i="25"/>
  <c r="AP144" i="25"/>
  <c r="BF144" i="25"/>
  <c r="BW144" i="25"/>
  <c r="BU144" i="25"/>
  <c r="AU65" i="24"/>
  <c r="BB65" i="24" s="1"/>
  <c r="AW65" i="24"/>
  <c r="AT92" i="25"/>
  <c r="AY92" i="25" s="1"/>
  <c r="AU92" i="25"/>
  <c r="AR125" i="25"/>
  <c r="BH125" i="25"/>
  <c r="AP125" i="25"/>
  <c r="BF125" i="25"/>
  <c r="BU125" i="25"/>
  <c r="BW125" i="25"/>
  <c r="AR244" i="25"/>
  <c r="BJ244" i="25"/>
  <c r="BH244" i="25"/>
  <c r="AP244" i="25"/>
  <c r="BU244" i="25"/>
  <c r="BW244" i="25"/>
  <c r="BF244" i="25"/>
  <c r="AR91" i="25"/>
  <c r="BJ91" i="25"/>
  <c r="BH91" i="25"/>
  <c r="AP91" i="25"/>
  <c r="BF91" i="25"/>
  <c r="BW91" i="25"/>
  <c r="BU91" i="25"/>
  <c r="BJ266" i="25"/>
  <c r="AR266" i="25"/>
  <c r="BH266" i="25"/>
  <c r="AP266" i="25"/>
  <c r="BU266" i="25"/>
  <c r="BF266" i="25"/>
  <c r="BW266" i="25"/>
  <c r="AR135" i="25"/>
  <c r="BH135" i="25"/>
  <c r="AP135" i="25"/>
  <c r="BU135" i="25"/>
  <c r="BW135" i="25"/>
  <c r="BF135" i="25"/>
  <c r="AR311" i="25"/>
  <c r="BH311" i="25"/>
  <c r="AP311" i="25"/>
  <c r="BW311" i="25"/>
  <c r="BU311" i="25"/>
  <c r="BF311" i="25"/>
  <c r="AU210" i="24"/>
  <c r="BB210" i="24" s="1"/>
  <c r="AW210" i="24"/>
  <c r="AU208" i="24"/>
  <c r="BB208" i="24" s="1"/>
  <c r="AW208" i="24"/>
  <c r="AU102" i="24"/>
  <c r="BB102" i="24" s="1"/>
  <c r="AW102" i="24"/>
  <c r="AU193" i="24"/>
  <c r="BB193" i="24" s="1"/>
  <c r="AW193" i="24"/>
  <c r="AU15" i="24"/>
  <c r="BB15" i="24" s="1"/>
  <c r="AW15" i="24"/>
  <c r="AT14" i="25"/>
  <c r="AY14" i="25" s="1"/>
  <c r="AU14" i="25"/>
  <c r="AU307" i="24"/>
  <c r="BB307" i="24" s="1"/>
  <c r="AW307" i="24"/>
  <c r="AU113" i="24"/>
  <c r="BB113" i="24" s="1"/>
  <c r="AW113" i="24"/>
  <c r="AR132" i="25"/>
  <c r="BH132" i="25"/>
  <c r="AP132" i="25"/>
  <c r="BF132" i="25"/>
  <c r="BW132" i="25"/>
  <c r="BU132" i="25"/>
  <c r="AU239" i="24"/>
  <c r="BB239" i="24" s="1"/>
  <c r="AW239" i="24"/>
  <c r="AU311" i="24"/>
  <c r="BB311" i="24" s="1"/>
  <c r="AW311" i="24"/>
  <c r="AT82" i="25"/>
  <c r="AY82" i="25" s="1"/>
  <c r="AU82" i="25"/>
  <c r="AU134" i="24"/>
  <c r="BB134" i="24" s="1"/>
  <c r="AW134" i="24"/>
  <c r="AU71" i="24"/>
  <c r="BB71" i="24" s="1"/>
  <c r="AW71" i="24"/>
  <c r="AR260" i="25"/>
  <c r="BJ260" i="25"/>
  <c r="BH260" i="25"/>
  <c r="AP260" i="25"/>
  <c r="BF260" i="25"/>
  <c r="BU260" i="25"/>
  <c r="BW260" i="25"/>
  <c r="AU291" i="24"/>
  <c r="BB291" i="24" s="1"/>
  <c r="AW291" i="24"/>
  <c r="AU85" i="24"/>
  <c r="BB85" i="24" s="1"/>
  <c r="AW85" i="24"/>
  <c r="AU178" i="24"/>
  <c r="BB178" i="24" s="1"/>
  <c r="AW178" i="24"/>
  <c r="AW267" i="24"/>
  <c r="AU105" i="24"/>
  <c r="BB105" i="24" s="1"/>
  <c r="B150" i="2" s="1"/>
  <c r="B151" i="2" s="1"/>
  <c r="E29" i="1" s="1"/>
  <c r="AW105" i="24"/>
  <c r="AR169" i="25"/>
  <c r="BH169" i="25"/>
  <c r="AP169" i="25"/>
  <c r="BF169" i="25"/>
  <c r="BW169" i="25"/>
  <c r="BU169" i="25"/>
  <c r="AT262" i="25"/>
  <c r="AU262" i="25"/>
  <c r="AR301" i="25"/>
  <c r="BJ301" i="25"/>
  <c r="BH301" i="25"/>
  <c r="AP301" i="25"/>
  <c r="BF301" i="25"/>
  <c r="BW301" i="25"/>
  <c r="BU301" i="25"/>
  <c r="BC129" i="25"/>
  <c r="BT129" i="25" s="1"/>
  <c r="BB129" i="25"/>
  <c r="BS129" i="25" s="1"/>
  <c r="BA129" i="25"/>
  <c r="AR85" i="25"/>
  <c r="BJ85" i="25"/>
  <c r="BH85" i="25"/>
  <c r="AP85" i="25"/>
  <c r="BU85" i="25"/>
  <c r="BF85" i="25"/>
  <c r="BW85" i="25"/>
  <c r="AR69" i="25"/>
  <c r="BJ69" i="25"/>
  <c r="BH69" i="25"/>
  <c r="AP69" i="25"/>
  <c r="BF69" i="25"/>
  <c r="BW69" i="25"/>
  <c r="BU69" i="25"/>
  <c r="BE190" i="24"/>
  <c r="BT190" i="24" s="1"/>
  <c r="BD190" i="24"/>
  <c r="AY190" i="24"/>
  <c r="AZ190" i="24" s="1"/>
  <c r="AU204" i="24"/>
  <c r="BB204" i="24" s="1"/>
  <c r="AW204" i="24"/>
  <c r="BE142" i="24"/>
  <c r="BT142" i="24" s="1"/>
  <c r="BD142" i="24"/>
  <c r="AY142" i="24"/>
  <c r="AZ142" i="24" s="1"/>
  <c r="AU199" i="24"/>
  <c r="BB199" i="24" s="1"/>
  <c r="AW199" i="24"/>
  <c r="AR289" i="25"/>
  <c r="BJ289" i="25"/>
  <c r="BH289" i="25"/>
  <c r="AP289" i="25"/>
  <c r="BW289" i="25"/>
  <c r="BU289" i="25"/>
  <c r="BF289" i="25"/>
  <c r="AT292" i="25"/>
  <c r="AU292" i="25"/>
  <c r="AR290" i="25"/>
  <c r="BJ290" i="25"/>
  <c r="BH290" i="25"/>
  <c r="AP290" i="25"/>
  <c r="BU290" i="25"/>
  <c r="BF290" i="25"/>
  <c r="BW290" i="25"/>
  <c r="AT246" i="25"/>
  <c r="AU246" i="25"/>
  <c r="AR197" i="25"/>
  <c r="BH197" i="25"/>
  <c r="BW197" i="25"/>
  <c r="BU197" i="25"/>
  <c r="BF197" i="25"/>
  <c r="AR72" i="25"/>
  <c r="BH72" i="25"/>
  <c r="AP72" i="25"/>
  <c r="BW72" i="25"/>
  <c r="BU72" i="25"/>
  <c r="BF72" i="25"/>
  <c r="AU168" i="24"/>
  <c r="BB168" i="24" s="1"/>
  <c r="AW168" i="24"/>
  <c r="AR251" i="25"/>
  <c r="BJ251" i="25"/>
  <c r="BH251" i="25"/>
  <c r="AP251" i="25"/>
  <c r="BF251" i="25"/>
  <c r="BW251" i="25"/>
  <c r="BU251" i="25"/>
  <c r="AR270" i="25"/>
  <c r="BH270" i="25"/>
  <c r="AP270" i="25"/>
  <c r="BU270" i="25"/>
  <c r="BW270" i="25"/>
  <c r="BF270" i="25"/>
  <c r="AW271" i="24"/>
  <c r="AU43" i="24"/>
  <c r="BB43" i="24" s="1"/>
  <c r="AW43" i="24"/>
  <c r="AR25" i="25"/>
  <c r="BJ25" i="25"/>
  <c r="BH25" i="25"/>
  <c r="AP25" i="25"/>
  <c r="BW25" i="25"/>
  <c r="BF25" i="25"/>
  <c r="BU25" i="25"/>
  <c r="AU309" i="24"/>
  <c r="BB309" i="24" s="1"/>
  <c r="AW309" i="24"/>
  <c r="AR142" i="25"/>
  <c r="BJ142" i="25"/>
  <c r="BH142" i="25"/>
  <c r="AP142" i="25"/>
  <c r="BF142" i="25"/>
  <c r="BU142" i="25"/>
  <c r="BW142" i="25"/>
  <c r="AT155" i="25"/>
  <c r="AY155" i="25" s="1"/>
  <c r="AU155" i="25"/>
  <c r="AU167" i="24"/>
  <c r="BB167" i="24" s="1"/>
  <c r="AW167" i="24"/>
  <c r="AU252" i="24"/>
  <c r="BB252" i="24" s="1"/>
  <c r="AW252" i="24"/>
  <c r="AU300" i="24"/>
  <c r="BB300" i="24" s="1"/>
  <c r="AW300" i="24"/>
  <c r="AW281" i="24"/>
  <c r="AR181" i="25"/>
  <c r="BJ181" i="25"/>
  <c r="BH181" i="25"/>
  <c r="AP181" i="25"/>
  <c r="BU181" i="25"/>
  <c r="BW181" i="25"/>
  <c r="BF181" i="25"/>
  <c r="AU72" i="24"/>
  <c r="BB72" i="24" s="1"/>
  <c r="AW72" i="24"/>
  <c r="AT177" i="25"/>
  <c r="AY177" i="25" s="1"/>
  <c r="AU177" i="25"/>
  <c r="AU205" i="24"/>
  <c r="BB205" i="24" s="1"/>
  <c r="AW205" i="24"/>
  <c r="AU227" i="24"/>
  <c r="BB227" i="24" s="1"/>
  <c r="AW227" i="24"/>
  <c r="AU187" i="24"/>
  <c r="BB187" i="24" s="1"/>
  <c r="AW187" i="24"/>
  <c r="AU81" i="24"/>
  <c r="BB81" i="24" s="1"/>
  <c r="AW81" i="24"/>
  <c r="BJ225" i="25"/>
  <c r="AR225" i="25"/>
  <c r="BH225" i="25"/>
  <c r="AP225" i="25"/>
  <c r="BF225" i="25"/>
  <c r="BW225" i="25"/>
  <c r="BU225" i="25"/>
  <c r="AR196" i="25"/>
  <c r="BJ196" i="25"/>
  <c r="BH196" i="25"/>
  <c r="BF196" i="25"/>
  <c r="BW196" i="25"/>
  <c r="BU196" i="25"/>
  <c r="AU185" i="24"/>
  <c r="BB185" i="24" s="1"/>
  <c r="AW185" i="24"/>
  <c r="AR68" i="25"/>
  <c r="BJ68" i="25"/>
  <c r="BH68" i="25"/>
  <c r="AP68" i="25"/>
  <c r="BW68" i="25"/>
  <c r="BU68" i="25"/>
  <c r="BF68" i="25"/>
  <c r="AU310" i="24"/>
  <c r="BB310" i="24" s="1"/>
  <c r="AW310" i="24"/>
  <c r="AR228" i="25"/>
  <c r="BH228" i="25"/>
  <c r="AP228" i="25"/>
  <c r="BU228" i="25"/>
  <c r="BW228" i="25"/>
  <c r="BF228" i="25"/>
  <c r="AR73" i="25"/>
  <c r="BJ73" i="25"/>
  <c r="BH73" i="25"/>
  <c r="AP73" i="25"/>
  <c r="BF73" i="25"/>
  <c r="BW73" i="25"/>
  <c r="BU73" i="25"/>
  <c r="AR298" i="25"/>
  <c r="BJ298" i="25"/>
  <c r="BH298" i="25"/>
  <c r="AP298" i="25"/>
  <c r="BF298" i="25"/>
  <c r="BU298" i="25"/>
  <c r="BW298" i="25"/>
  <c r="AR47" i="25"/>
  <c r="BJ47" i="25"/>
  <c r="BH47" i="25"/>
  <c r="AP47" i="25"/>
  <c r="BF47" i="25"/>
  <c r="BU47" i="25"/>
  <c r="BW47" i="25"/>
  <c r="AR187" i="25"/>
  <c r="BJ187" i="25"/>
  <c r="BH187" i="25"/>
  <c r="AP187" i="25"/>
  <c r="BW187" i="25"/>
  <c r="BF187" i="25"/>
  <c r="BU187" i="25"/>
  <c r="AR272" i="25"/>
  <c r="BH272" i="25"/>
  <c r="AP272" i="25"/>
  <c r="BF272" i="25"/>
  <c r="BW272" i="25"/>
  <c r="BU272" i="25"/>
  <c r="AU226" i="24"/>
  <c r="BB226" i="24" s="1"/>
  <c r="AW226" i="24"/>
  <c r="AW8" i="24"/>
  <c r="AR118" i="25"/>
  <c r="BJ118" i="25"/>
  <c r="BH118" i="25"/>
  <c r="AP118" i="25"/>
  <c r="BF118" i="25"/>
  <c r="BW118" i="25"/>
  <c r="BU118" i="25"/>
  <c r="AR98" i="25"/>
  <c r="BJ98" i="25"/>
  <c r="BH98" i="25"/>
  <c r="BW98" i="25"/>
  <c r="BU98" i="25"/>
  <c r="BF98" i="25"/>
  <c r="AR122" i="25"/>
  <c r="BJ122" i="25"/>
  <c r="BH122" i="25"/>
  <c r="AP122" i="25"/>
  <c r="BF122" i="25"/>
  <c r="BU122" i="25"/>
  <c r="BW122" i="25"/>
  <c r="AU60" i="24"/>
  <c r="BB60" i="24" s="1"/>
  <c r="AW60" i="24"/>
  <c r="AT240" i="25"/>
  <c r="AU240" i="25"/>
  <c r="BJ74" i="25"/>
  <c r="AR74" i="25"/>
  <c r="BH74" i="25"/>
  <c r="AP74" i="25"/>
  <c r="BF74" i="25"/>
  <c r="BU74" i="25"/>
  <c r="BW74" i="25"/>
  <c r="AU306" i="24"/>
  <c r="BB306" i="24" s="1"/>
  <c r="AW306" i="24"/>
  <c r="AR55" i="25"/>
  <c r="BH55" i="25"/>
  <c r="AP55" i="25"/>
  <c r="BF55" i="25"/>
  <c r="BW55" i="25"/>
  <c r="BU55" i="25"/>
  <c r="AR200" i="25"/>
  <c r="BJ200" i="25"/>
  <c r="BH200" i="25"/>
  <c r="BF200" i="25"/>
  <c r="BU200" i="25"/>
  <c r="BW200" i="25"/>
  <c r="AU230" i="24"/>
  <c r="BB230" i="24" s="1"/>
  <c r="AW230" i="24"/>
  <c r="AR54" i="25"/>
  <c r="BJ54" i="25"/>
  <c r="BH54" i="25"/>
  <c r="AP54" i="25"/>
  <c r="BF54" i="25"/>
  <c r="BW54" i="25"/>
  <c r="BU54" i="25"/>
  <c r="AU99" i="24"/>
  <c r="BB99" i="24" s="1"/>
  <c r="AW99" i="24"/>
  <c r="AT198" i="25"/>
  <c r="AY198" i="25" s="1"/>
  <c r="AU198" i="25"/>
  <c r="AR78" i="25"/>
  <c r="BJ78" i="25"/>
  <c r="BH78" i="25"/>
  <c r="AP78" i="25"/>
  <c r="BF78" i="25"/>
  <c r="BW78" i="25"/>
  <c r="BU78" i="25"/>
  <c r="AR191" i="25"/>
  <c r="BJ191" i="25"/>
  <c r="BH191" i="25"/>
  <c r="AP191" i="25"/>
  <c r="BF191" i="25"/>
  <c r="BU191" i="25"/>
  <c r="BW191" i="25"/>
  <c r="BD22" i="24"/>
  <c r="AY22" i="24"/>
  <c r="AZ22" i="24" s="1"/>
  <c r="BE22" i="24"/>
  <c r="BT22" i="24" s="1"/>
  <c r="AU80" i="24"/>
  <c r="BB80" i="24" s="1"/>
  <c r="AW80" i="24"/>
  <c r="BJ150" i="25"/>
  <c r="AR150" i="25"/>
  <c r="BH150" i="25"/>
  <c r="AP150" i="25"/>
  <c r="BF150" i="25"/>
  <c r="BU150" i="25"/>
  <c r="BW150" i="25"/>
  <c r="AU84" i="24"/>
  <c r="BB84" i="24" s="1"/>
  <c r="AW84" i="24"/>
  <c r="AU166" i="24"/>
  <c r="BB166" i="24" s="1"/>
  <c r="AW166" i="24"/>
  <c r="AU316" i="24"/>
  <c r="BB316" i="24" s="1"/>
  <c r="AW316" i="24"/>
  <c r="AR116" i="25"/>
  <c r="BH116" i="25"/>
  <c r="AP116" i="25"/>
  <c r="BW116" i="25"/>
  <c r="BF116" i="25"/>
  <c r="BU116" i="25"/>
  <c r="AU150" i="24"/>
  <c r="BB150" i="24" s="1"/>
  <c r="AW150" i="24"/>
  <c r="AR226" i="25"/>
  <c r="BJ226" i="25"/>
  <c r="BH226" i="25"/>
  <c r="AP226" i="25"/>
  <c r="BU226" i="25"/>
  <c r="BW226" i="25"/>
  <c r="BF226" i="25"/>
  <c r="AR88" i="25"/>
  <c r="BH88" i="25"/>
  <c r="AP88" i="25"/>
  <c r="BW88" i="25"/>
  <c r="BU88" i="25"/>
  <c r="BF88" i="25"/>
  <c r="AR302" i="25"/>
  <c r="BH302" i="25"/>
  <c r="AP302" i="25"/>
  <c r="BW302" i="25"/>
  <c r="BF302" i="25"/>
  <c r="BU302" i="25"/>
  <c r="AR64" i="25"/>
  <c r="BH64" i="25"/>
  <c r="AP64" i="25"/>
  <c r="BF64" i="25"/>
  <c r="BW64" i="25"/>
  <c r="BU64" i="25"/>
  <c r="AU268" i="24"/>
  <c r="BB268" i="24" s="1"/>
  <c r="AW268" i="24"/>
  <c r="AW155" i="24"/>
  <c r="AU171" i="24"/>
  <c r="BB171" i="24" s="1"/>
  <c r="AW171" i="24"/>
  <c r="AT190" i="25"/>
  <c r="AY190" i="25" s="1"/>
  <c r="AU190" i="25"/>
  <c r="AT305" i="25"/>
  <c r="AU305" i="25"/>
  <c r="AW59" i="24"/>
  <c r="AR245" i="25"/>
  <c r="BJ245" i="25"/>
  <c r="BH245" i="25"/>
  <c r="AP245" i="25"/>
  <c r="BF245" i="25"/>
  <c r="BW245" i="25"/>
  <c r="BU245" i="25"/>
  <c r="AR288" i="25"/>
  <c r="BJ288" i="25"/>
  <c r="BH288" i="25"/>
  <c r="AP288" i="25"/>
  <c r="BF288" i="25"/>
  <c r="BW288" i="25"/>
  <c r="BU288" i="25"/>
  <c r="BJ223" i="25"/>
  <c r="AR223" i="25"/>
  <c r="BH223" i="25"/>
  <c r="AP223" i="25"/>
  <c r="BF223" i="25"/>
  <c r="BW223" i="25"/>
  <c r="BU223" i="25"/>
  <c r="AR315" i="25"/>
  <c r="BJ315" i="25"/>
  <c r="BH315" i="25"/>
  <c r="AP315" i="25"/>
  <c r="BU315" i="25"/>
  <c r="BW315" i="25"/>
  <c r="BF315" i="25"/>
  <c r="AR278" i="25"/>
  <c r="BJ278" i="25"/>
  <c r="BH278" i="25"/>
  <c r="AP278" i="25"/>
  <c r="BF278" i="25"/>
  <c r="BW278" i="25"/>
  <c r="BU278" i="25"/>
  <c r="BJ139" i="25"/>
  <c r="AR139" i="25"/>
  <c r="BH139" i="25"/>
  <c r="AP139" i="25"/>
  <c r="BU139" i="25"/>
  <c r="BW139" i="25"/>
  <c r="BF139" i="25"/>
  <c r="AR136" i="25"/>
  <c r="BJ136" i="25"/>
  <c r="BH136" i="25"/>
  <c r="AP136" i="25"/>
  <c r="BF136" i="25"/>
  <c r="BW136" i="25"/>
  <c r="BU136" i="25"/>
  <c r="AU23" i="24"/>
  <c r="BB23" i="24" s="1"/>
  <c r="AW23" i="24"/>
  <c r="AU94" i="24"/>
  <c r="BB94" i="24" s="1"/>
  <c r="AW94" i="24"/>
  <c r="AU189" i="24"/>
  <c r="BB189" i="24" s="1"/>
  <c r="AW189" i="24"/>
  <c r="AT243" i="25"/>
  <c r="AU243" i="25"/>
  <c r="AU144" i="24"/>
  <c r="BB144" i="24" s="1"/>
  <c r="AW144" i="24"/>
  <c r="AR145" i="25"/>
  <c r="BJ145" i="25"/>
  <c r="BH145" i="25"/>
  <c r="AP145" i="25"/>
  <c r="BW145" i="25"/>
  <c r="BU145" i="25"/>
  <c r="BF145" i="25"/>
  <c r="AU170" i="24"/>
  <c r="BB170" i="24" s="1"/>
  <c r="AW170" i="24"/>
  <c r="AU315" i="24"/>
  <c r="BB315" i="24" s="1"/>
  <c r="AW315" i="24"/>
  <c r="AW123" i="24"/>
  <c r="AT21" i="25"/>
  <c r="AY21" i="25" s="1"/>
  <c r="AU21" i="25"/>
  <c r="AR221" i="25"/>
  <c r="BH221" i="25"/>
  <c r="AP221" i="25"/>
  <c r="BU221" i="25"/>
  <c r="BW221" i="25"/>
  <c r="BF221" i="25"/>
  <c r="AU200" i="24"/>
  <c r="BB200" i="24" s="1"/>
  <c r="AW200" i="24"/>
  <c r="AU124" i="24"/>
  <c r="BB124" i="24" s="1"/>
  <c r="AW124" i="24"/>
  <c r="BE55" i="24"/>
  <c r="BT55" i="24" s="1"/>
  <c r="BD55" i="24"/>
  <c r="AY55" i="24"/>
  <c r="AZ55" i="24" s="1"/>
  <c r="AR180" i="25"/>
  <c r="BJ180" i="25"/>
  <c r="BH180" i="25"/>
  <c r="AP180" i="25"/>
  <c r="BU180" i="25"/>
  <c r="BW180" i="25"/>
  <c r="BF180" i="25"/>
  <c r="AU89" i="24"/>
  <c r="BB89" i="24" s="1"/>
  <c r="AW89" i="24"/>
  <c r="AW125" i="24"/>
  <c r="AU256" i="24"/>
  <c r="BB256" i="24" s="1"/>
  <c r="AW256" i="24"/>
  <c r="AW35" i="24"/>
  <c r="AR203" i="25"/>
  <c r="BJ203" i="25"/>
  <c r="BH203" i="25"/>
  <c r="BF203" i="25"/>
  <c r="BW203" i="25"/>
  <c r="BU203" i="25"/>
  <c r="AU62" i="24"/>
  <c r="BB62" i="24" s="1"/>
  <c r="AW62" i="24"/>
  <c r="AR168" i="25"/>
  <c r="BJ168" i="25"/>
  <c r="BH168" i="25"/>
  <c r="AP168" i="25"/>
  <c r="BF168" i="25"/>
  <c r="BW168" i="25"/>
  <c r="BU168" i="25"/>
  <c r="AR297" i="25"/>
  <c r="BJ297" i="25"/>
  <c r="BH297" i="25"/>
  <c r="AP297" i="25"/>
  <c r="BW297" i="25"/>
  <c r="BF297" i="25"/>
  <c r="BU297" i="25"/>
  <c r="AU61" i="24"/>
  <c r="BB61" i="24" s="1"/>
  <c r="AW61" i="24"/>
  <c r="AU183" i="24"/>
  <c r="BB183" i="24" s="1"/>
  <c r="AW183" i="24"/>
  <c r="AR100" i="25"/>
  <c r="BH100" i="25"/>
  <c r="BW100" i="25"/>
  <c r="BF100" i="25"/>
  <c r="BU100" i="25"/>
  <c r="AU13" i="24"/>
  <c r="BB13" i="24" s="1"/>
  <c r="AW13" i="24"/>
  <c r="AR176" i="25"/>
  <c r="BH176" i="25"/>
  <c r="AP176" i="25"/>
  <c r="BF176" i="25"/>
  <c r="BU176" i="25"/>
  <c r="BW176" i="25"/>
  <c r="AU304" i="24"/>
  <c r="BB304" i="24" s="1"/>
  <c r="AW304" i="24"/>
  <c r="AU308" i="24"/>
  <c r="BB308" i="24" s="1"/>
  <c r="AW308" i="24"/>
  <c r="AU163" i="24"/>
  <c r="BB163" i="24" s="1"/>
  <c r="AW163" i="24"/>
  <c r="AR115" i="25"/>
  <c r="BH115" i="25"/>
  <c r="AP115" i="25"/>
  <c r="BW115" i="25"/>
  <c r="BF115" i="25"/>
  <c r="BU115" i="25"/>
  <c r="AR126" i="25"/>
  <c r="BJ126" i="25"/>
  <c r="BH126" i="25"/>
  <c r="AP126" i="25"/>
  <c r="BU126" i="25"/>
  <c r="BW126" i="25"/>
  <c r="BF126" i="25"/>
  <c r="AT71" i="25"/>
  <c r="AY71" i="25" s="1"/>
  <c r="AU71" i="25"/>
  <c r="AU276" i="24"/>
  <c r="BB276" i="24" s="1"/>
  <c r="AW276" i="24"/>
  <c r="AR295" i="25"/>
  <c r="BH295" i="25"/>
  <c r="AP295" i="25"/>
  <c r="BF295" i="25"/>
  <c r="BW295" i="25"/>
  <c r="BU295" i="25"/>
  <c r="AT276" i="25"/>
  <c r="AU276" i="25"/>
  <c r="AR284" i="25"/>
  <c r="BH284" i="25"/>
  <c r="AP284" i="25"/>
  <c r="BW284" i="25"/>
  <c r="BU284" i="25"/>
  <c r="BF284" i="25"/>
  <c r="AW249" i="24"/>
  <c r="AR117" i="25"/>
  <c r="BH117" i="25"/>
  <c r="AP117" i="25"/>
  <c r="BW117" i="25"/>
  <c r="BU117" i="25"/>
  <c r="BF117" i="25"/>
  <c r="AT6" i="25"/>
  <c r="AY6" i="25" s="1"/>
  <c r="AU6" i="25"/>
  <c r="AU195" i="24"/>
  <c r="BB195" i="24" s="1"/>
  <c r="AW195" i="24"/>
  <c r="AR162" i="25"/>
  <c r="BH162" i="25"/>
  <c r="AP162" i="25"/>
  <c r="BU162" i="25"/>
  <c r="BF162" i="25"/>
  <c r="BW162" i="25"/>
  <c r="AU161" i="24"/>
  <c r="BB161" i="24" s="1"/>
  <c r="AW161" i="24"/>
  <c r="AR133" i="25"/>
  <c r="BJ133" i="25"/>
  <c r="BH133" i="25"/>
  <c r="AP133" i="25"/>
  <c r="BF133" i="25"/>
  <c r="BU133" i="25"/>
  <c r="BW133" i="25"/>
  <c r="AU131" i="24"/>
  <c r="BB131" i="24" s="1"/>
  <c r="AW131" i="24"/>
  <c r="AT87" i="25"/>
  <c r="AY87" i="25" s="1"/>
  <c r="AU87" i="25"/>
  <c r="AT28" i="25"/>
  <c r="AY28" i="25" s="1"/>
  <c r="AU28" i="25"/>
  <c r="AW263" i="24"/>
  <c r="AR99" i="25"/>
  <c r="BJ99" i="25"/>
  <c r="BH99" i="25"/>
  <c r="BU99" i="25"/>
  <c r="BF99" i="25"/>
  <c r="BW99" i="25"/>
  <c r="AY264" i="24"/>
  <c r="AZ264" i="24" s="1"/>
  <c r="BD264" i="24"/>
  <c r="BE264" i="24"/>
  <c r="BT264" i="24" s="1"/>
  <c r="BJ287" i="25"/>
  <c r="AR287" i="25"/>
  <c r="BH287" i="25"/>
  <c r="AP287" i="25"/>
  <c r="BU287" i="25"/>
  <c r="BF287" i="25"/>
  <c r="BW287" i="25"/>
  <c r="AU146" i="24"/>
  <c r="BB146" i="24" s="1"/>
  <c r="AW146" i="24"/>
  <c r="AR138" i="25"/>
  <c r="BH138" i="25"/>
  <c r="AP138" i="25"/>
  <c r="BF138" i="25"/>
  <c r="BW138" i="25"/>
  <c r="BU138" i="25"/>
  <c r="AU270" i="24"/>
  <c r="BB270" i="24" s="1"/>
  <c r="AW270" i="24"/>
  <c r="AT167" i="25"/>
  <c r="AY167" i="25" s="1"/>
  <c r="AU167" i="25"/>
  <c r="AU158" i="24"/>
  <c r="BB158" i="24" s="1"/>
  <c r="AW158" i="24"/>
  <c r="AY7" i="24"/>
  <c r="AZ7" i="24" s="1"/>
  <c r="BE7" i="24"/>
  <c r="BT7" i="24" s="1"/>
  <c r="BD7" i="24"/>
  <c r="AU180" i="24"/>
  <c r="BB180" i="24" s="1"/>
  <c r="AW180" i="24"/>
  <c r="AW145" i="24"/>
  <c r="AU29" i="24"/>
  <c r="BB29" i="24" s="1"/>
  <c r="AW29" i="24"/>
  <c r="AR202" i="25"/>
  <c r="BJ202" i="25"/>
  <c r="BH202" i="25"/>
  <c r="BF202" i="25"/>
  <c r="BW202" i="25"/>
  <c r="BU202" i="25"/>
  <c r="AR44" i="25"/>
  <c r="BJ44" i="25"/>
  <c r="BH44" i="25"/>
  <c r="AP44" i="25"/>
  <c r="BW44" i="25"/>
  <c r="BU44" i="25"/>
  <c r="BF44" i="25"/>
  <c r="AT306" i="25"/>
  <c r="AU306" i="25"/>
  <c r="BJ101" i="25"/>
  <c r="AR101" i="25"/>
  <c r="BH101" i="25"/>
  <c r="BF101" i="25"/>
  <c r="BW101" i="25"/>
  <c r="BU101" i="25"/>
  <c r="AU143" i="24"/>
  <c r="BB143" i="24" s="1"/>
  <c r="AW143" i="24"/>
  <c r="AU82" i="24"/>
  <c r="BB82" i="24" s="1"/>
  <c r="AW82" i="24"/>
  <c r="AR172" i="25"/>
  <c r="BH172" i="25"/>
  <c r="AP172" i="25"/>
  <c r="BF172" i="25"/>
  <c r="BW172" i="25"/>
  <c r="BU172" i="25"/>
  <c r="AR316" i="25"/>
  <c r="BH316" i="25"/>
  <c r="AP316" i="25"/>
  <c r="BF316" i="25"/>
  <c r="BU316" i="25"/>
  <c r="BW316" i="25"/>
  <c r="AT255" i="25"/>
  <c r="AU255" i="25"/>
  <c r="AU169" i="24"/>
  <c r="BB169" i="24" s="1"/>
  <c r="AW169" i="24"/>
  <c r="AR156" i="25"/>
  <c r="BJ156" i="25"/>
  <c r="BH156" i="25"/>
  <c r="AP156" i="25"/>
  <c r="BU156" i="25"/>
  <c r="BW156" i="25"/>
  <c r="BF156" i="25"/>
  <c r="AU68" i="24"/>
  <c r="BB68" i="24" s="1"/>
  <c r="AW68" i="24"/>
  <c r="AR216" i="25"/>
  <c r="BJ216" i="25"/>
  <c r="BH216" i="25"/>
  <c r="AP216" i="25"/>
  <c r="BF216" i="25"/>
  <c r="BW216" i="25"/>
  <c r="BU216" i="25"/>
  <c r="AT158" i="25"/>
  <c r="AY158" i="25" s="1"/>
  <c r="AU158" i="25"/>
  <c r="AW129" i="24"/>
  <c r="AU86" i="24"/>
  <c r="BB86" i="24" s="1"/>
  <c r="AW86" i="24"/>
  <c r="AW290" i="24"/>
  <c r="AR185" i="25"/>
  <c r="BH185" i="25"/>
  <c r="AP185" i="25"/>
  <c r="BF185" i="25"/>
  <c r="BW185" i="25"/>
  <c r="BU185" i="25"/>
  <c r="AR281" i="25"/>
  <c r="BJ281" i="25"/>
  <c r="BH281" i="25"/>
  <c r="AP281" i="25"/>
  <c r="BU281" i="25"/>
  <c r="BW281" i="25"/>
  <c r="BF281" i="25"/>
  <c r="AU289" i="24"/>
  <c r="BB289" i="24" s="1"/>
  <c r="AW289" i="24"/>
  <c r="AU64" i="24"/>
  <c r="BB64" i="24" s="1"/>
  <c r="AW64" i="24"/>
  <c r="AT261" i="25"/>
  <c r="AU261" i="25"/>
  <c r="AU174" i="24"/>
  <c r="BB174" i="24" s="1"/>
  <c r="AW174" i="24"/>
  <c r="AU221" i="24"/>
  <c r="BB221" i="24" s="1"/>
  <c r="AW221" i="24"/>
  <c r="AR48" i="25"/>
  <c r="BJ48" i="25"/>
  <c r="BH48" i="25"/>
  <c r="AP48" i="25"/>
  <c r="BF48" i="25"/>
  <c r="BU48" i="25"/>
  <c r="BW48" i="25"/>
  <c r="AU192" i="24"/>
  <c r="BB192" i="24" s="1"/>
  <c r="AW192" i="24"/>
  <c r="AT229" i="25"/>
  <c r="AU229" i="25"/>
  <c r="AU156" i="24"/>
  <c r="BB156" i="24" s="1"/>
  <c r="AW156" i="24"/>
  <c r="AR57" i="25"/>
  <c r="BJ57" i="25"/>
  <c r="BH57" i="25"/>
  <c r="AP57" i="25"/>
  <c r="BF57" i="25"/>
  <c r="BU57" i="25"/>
  <c r="BW57" i="25"/>
  <c r="AU149" i="24"/>
  <c r="BB149" i="24" s="1"/>
  <c r="AW149" i="24"/>
  <c r="AR220" i="25"/>
  <c r="BJ220" i="25"/>
  <c r="BH220" i="25"/>
  <c r="AP220" i="25"/>
  <c r="BF220" i="25"/>
  <c r="BW220" i="25"/>
  <c r="BU220" i="25"/>
  <c r="BE132" i="24"/>
  <c r="BT132" i="24" s="1"/>
  <c r="BD132" i="24"/>
  <c r="AY132" i="24"/>
  <c r="AZ132" i="24" s="1"/>
  <c r="AT174" i="25"/>
  <c r="AY174" i="25" s="1"/>
  <c r="AU174" i="25"/>
  <c r="AT32" i="25"/>
  <c r="AY32" i="25" s="1"/>
  <c r="AU32" i="25"/>
  <c r="AT94" i="25"/>
  <c r="AY94" i="25" s="1"/>
  <c r="AU94" i="25"/>
  <c r="AR210" i="25"/>
  <c r="BJ210" i="25"/>
  <c r="BH210" i="25"/>
  <c r="BF210" i="25"/>
  <c r="BU210" i="25"/>
  <c r="BW210" i="25"/>
  <c r="AR182" i="25"/>
  <c r="BH182" i="25"/>
  <c r="AP182" i="25"/>
  <c r="BF182" i="25"/>
  <c r="BW182" i="25"/>
  <c r="BU182" i="25"/>
  <c r="AU277" i="24"/>
  <c r="BB277" i="24" s="1"/>
  <c r="AW277" i="24"/>
  <c r="AU154" i="24"/>
  <c r="BB154" i="24" s="1"/>
  <c r="AW154" i="24"/>
  <c r="AW17" i="24"/>
  <c r="BJ39" i="25"/>
  <c r="AR39" i="25"/>
  <c r="BH39" i="25"/>
  <c r="AP39" i="25"/>
  <c r="BF39" i="25"/>
  <c r="BU39" i="25"/>
  <c r="BW39" i="25"/>
  <c r="AW301" i="24"/>
  <c r="AR26" i="25"/>
  <c r="BJ26" i="25"/>
  <c r="BH26" i="25"/>
  <c r="AP26" i="25"/>
  <c r="BF26" i="25"/>
  <c r="BW26" i="25"/>
  <c r="BU26" i="25"/>
  <c r="BJ163" i="25"/>
  <c r="AR163" i="25"/>
  <c r="BH163" i="25"/>
  <c r="AP163" i="25"/>
  <c r="BU163" i="25"/>
  <c r="BW163" i="25"/>
  <c r="BF163" i="25"/>
  <c r="AW274" i="24"/>
  <c r="AU69" i="24"/>
  <c r="BB69" i="24" s="1"/>
  <c r="AW69" i="24"/>
  <c r="AU27" i="24"/>
  <c r="BB27" i="24" s="1"/>
  <c r="AW27" i="24"/>
  <c r="AR299" i="25"/>
  <c r="BJ299" i="25"/>
  <c r="BH299" i="25"/>
  <c r="AP299" i="25"/>
  <c r="BU299" i="25"/>
  <c r="BF299" i="25"/>
  <c r="BW299" i="25"/>
  <c r="AT273" i="25"/>
  <c r="AU273" i="25"/>
  <c r="AW273" i="24"/>
  <c r="AR81" i="25"/>
  <c r="BH81" i="25"/>
  <c r="AP81" i="25"/>
  <c r="BF81" i="25"/>
  <c r="BW81" i="25"/>
  <c r="BU81" i="25"/>
  <c r="AW48" i="24"/>
  <c r="BJ76" i="25"/>
  <c r="AR76" i="25"/>
  <c r="BH76" i="25"/>
  <c r="AP76" i="25"/>
  <c r="BF76" i="25"/>
  <c r="BU76" i="25"/>
  <c r="BW76" i="25"/>
  <c r="AR134" i="25"/>
  <c r="BJ134" i="25"/>
  <c r="BH134" i="25"/>
  <c r="AP134" i="25"/>
  <c r="BW134" i="25"/>
  <c r="BU134" i="25"/>
  <c r="BF134" i="25"/>
  <c r="AR38" i="25"/>
  <c r="BJ38" i="25"/>
  <c r="BH38" i="25"/>
  <c r="AP38" i="25"/>
  <c r="BF38" i="25"/>
  <c r="BW38" i="25"/>
  <c r="BU38" i="25"/>
  <c r="AU75" i="24"/>
  <c r="BB75" i="24" s="1"/>
  <c r="AW75" i="24"/>
  <c r="AR224" i="25"/>
  <c r="BJ224" i="25"/>
  <c r="BH224" i="25"/>
  <c r="AP224" i="25"/>
  <c r="BU224" i="25"/>
  <c r="BW224" i="25"/>
  <c r="BF224" i="25"/>
  <c r="AU217" i="24"/>
  <c r="BB217" i="24" s="1"/>
  <c r="AW217" i="24"/>
  <c r="AR70" i="25"/>
  <c r="BJ70" i="25"/>
  <c r="BH70" i="25"/>
  <c r="AP70" i="25"/>
  <c r="BF70" i="25"/>
  <c r="BW70" i="25"/>
  <c r="BU70" i="25"/>
  <c r="BD44" i="24"/>
  <c r="BE44" i="24"/>
  <c r="BT44" i="24" s="1"/>
  <c r="AY44" i="24"/>
  <c r="AZ44" i="24" s="1"/>
  <c r="AT296" i="25"/>
  <c r="AU296" i="25"/>
  <c r="AU76" i="24"/>
  <c r="BB76" i="24" s="1"/>
  <c r="AW76" i="24"/>
  <c r="AR151" i="25"/>
  <c r="BH151" i="25"/>
  <c r="AP151" i="25"/>
  <c r="BF151" i="25"/>
  <c r="BU151" i="25"/>
  <c r="BW151" i="25"/>
  <c r="AT189" i="25"/>
  <c r="AY189" i="25" s="1"/>
  <c r="AU189" i="25"/>
  <c r="AR140" i="25"/>
  <c r="BJ140" i="25"/>
  <c r="BH140" i="25"/>
  <c r="AP140" i="25"/>
  <c r="BF140" i="25"/>
  <c r="BU140" i="25"/>
  <c r="BW140" i="25"/>
  <c r="BE101" i="24"/>
  <c r="BT101" i="24" s="1"/>
  <c r="BD101" i="24"/>
  <c r="AY101" i="24"/>
  <c r="AZ101" i="24" s="1"/>
  <c r="AR254" i="25"/>
  <c r="BJ254" i="25"/>
  <c r="BH254" i="25"/>
  <c r="AP254" i="25"/>
  <c r="BF254" i="25"/>
  <c r="BW254" i="25"/>
  <c r="BU254" i="25"/>
  <c r="AT293" i="25"/>
  <c r="AU293" i="25"/>
  <c r="AW269" i="24"/>
  <c r="AU312" i="24"/>
  <c r="BB312" i="24" s="1"/>
  <c r="AW312" i="24"/>
  <c r="AU198" i="24"/>
  <c r="BB198" i="24" s="1"/>
  <c r="AW198" i="24"/>
  <c r="AR130" i="25"/>
  <c r="BH130" i="25"/>
  <c r="AP130" i="25"/>
  <c r="BF130" i="25"/>
  <c r="BU130" i="25"/>
  <c r="BW130" i="25"/>
  <c r="AR279" i="25"/>
  <c r="BJ279" i="25"/>
  <c r="BH279" i="25"/>
  <c r="AP279" i="25"/>
  <c r="BF279" i="25"/>
  <c r="BU279" i="25"/>
  <c r="BW279" i="25"/>
  <c r="AR308" i="25"/>
  <c r="BJ308" i="25"/>
  <c r="BH308" i="25"/>
  <c r="AP308" i="25"/>
  <c r="BW308" i="25"/>
  <c r="BU308" i="25"/>
  <c r="BF308" i="25"/>
  <c r="AU151" i="24"/>
  <c r="BB151" i="24" s="1"/>
  <c r="AW151" i="24"/>
  <c r="AU176" i="24"/>
  <c r="BB176" i="24" s="1"/>
  <c r="AW176" i="24"/>
  <c r="AU182" i="24"/>
  <c r="BB182" i="24" s="1"/>
  <c r="AW182" i="24"/>
  <c r="BJ66" i="25"/>
  <c r="AR66" i="25"/>
  <c r="BH66" i="25"/>
  <c r="AP66" i="25"/>
  <c r="BF66" i="25"/>
  <c r="BU66" i="25"/>
  <c r="BW66" i="25"/>
  <c r="AT148" i="25"/>
  <c r="AY148" i="25" s="1"/>
  <c r="AU148" i="25"/>
  <c r="AU98" i="24"/>
  <c r="BB98" i="24" s="1"/>
  <c r="AW98" i="24"/>
  <c r="AU287" i="24"/>
  <c r="BB287" i="24" s="1"/>
  <c r="AW287" i="24"/>
  <c r="AR304" i="25"/>
  <c r="BJ304" i="25"/>
  <c r="BH304" i="25"/>
  <c r="AP304" i="25"/>
  <c r="BW304" i="25"/>
  <c r="BU304" i="25"/>
  <c r="BF304" i="25"/>
  <c r="AT201" i="25"/>
  <c r="AY201" i="25" s="1"/>
  <c r="AU201" i="25"/>
  <c r="E84" i="1" l="1"/>
  <c r="E85" i="1" s="1"/>
  <c r="AU11" i="25"/>
  <c r="AT104" i="25"/>
  <c r="AY104" i="25" s="1"/>
  <c r="AT96" i="25"/>
  <c r="AY96" i="25" s="1"/>
  <c r="AT258" i="25"/>
  <c r="BD12" i="24"/>
  <c r="BG12" i="24" s="1"/>
  <c r="BM12" i="24" s="1"/>
  <c r="AU97" i="25"/>
  <c r="BE240" i="24"/>
  <c r="BT240" i="24" s="1"/>
  <c r="BD283" i="24"/>
  <c r="BS283" i="24" s="1"/>
  <c r="BD147" i="24"/>
  <c r="BG147" i="24" s="1"/>
  <c r="AY147" i="24"/>
  <c r="AZ147" i="24" s="1"/>
  <c r="BX292" i="24"/>
  <c r="AT179" i="25"/>
  <c r="AY179" i="25" s="1"/>
  <c r="AU265" i="25"/>
  <c r="BB265" i="25" s="1"/>
  <c r="BS265" i="25" s="1"/>
  <c r="BD18" i="24"/>
  <c r="BS18" i="24" s="1"/>
  <c r="BV18" i="24" s="1"/>
  <c r="BX18" i="24" s="1"/>
  <c r="AU154" i="25"/>
  <c r="BB154" i="25" s="1"/>
  <c r="BS154" i="25" s="1"/>
  <c r="BE259" i="24"/>
  <c r="BT259" i="24" s="1"/>
  <c r="BE283" i="24"/>
  <c r="BT283" i="24" s="1"/>
  <c r="BD219" i="24"/>
  <c r="BG219" i="24" s="1"/>
  <c r="BE219" i="24"/>
  <c r="BT219" i="24" s="1"/>
  <c r="BE260" i="24"/>
  <c r="BT260" i="24" s="1"/>
  <c r="BE265" i="24"/>
  <c r="BT265" i="24" s="1"/>
  <c r="AY260" i="24"/>
  <c r="AZ260" i="24" s="1"/>
  <c r="BD265" i="24"/>
  <c r="BG265" i="24" s="1"/>
  <c r="AY12" i="24"/>
  <c r="AZ12" i="24" s="1"/>
  <c r="BE111" i="24"/>
  <c r="BT111" i="24" s="1"/>
  <c r="AY111" i="24"/>
  <c r="AZ111" i="24" s="1"/>
  <c r="BE120" i="24"/>
  <c r="BT120" i="24" s="1"/>
  <c r="AY305" i="24"/>
  <c r="AZ305" i="24" s="1"/>
  <c r="BD120" i="24"/>
  <c r="BS120" i="24" s="1"/>
  <c r="AY18" i="24"/>
  <c r="AZ18" i="24" s="1"/>
  <c r="AY259" i="24"/>
  <c r="AZ259" i="24" s="1"/>
  <c r="AY240" i="24"/>
  <c r="AZ240" i="24" s="1"/>
  <c r="BE242" i="24"/>
  <c r="BT242" i="24" s="1"/>
  <c r="BD242" i="24"/>
  <c r="BG242" i="24" s="1"/>
  <c r="BE135" i="24"/>
  <c r="BT135" i="24" s="1"/>
  <c r="AY135" i="24"/>
  <c r="AZ135" i="24" s="1"/>
  <c r="BD295" i="24"/>
  <c r="BG295" i="24" s="1"/>
  <c r="BE295" i="24"/>
  <c r="BT295" i="24" s="1"/>
  <c r="BD298" i="24"/>
  <c r="BG298" i="24" s="1"/>
  <c r="AY298" i="24"/>
  <c r="AZ298" i="24" s="1"/>
  <c r="BE26" i="24"/>
  <c r="BT26" i="24" s="1"/>
  <c r="BD112" i="24"/>
  <c r="BG112" i="24" s="1"/>
  <c r="AY248" i="24"/>
  <c r="AZ248" i="24" s="1"/>
  <c r="BD121" i="24"/>
  <c r="BS121" i="24" s="1"/>
  <c r="BE121" i="24"/>
  <c r="BT121" i="24" s="1"/>
  <c r="BD34" i="24"/>
  <c r="BG34" i="24" s="1"/>
  <c r="BM34" i="24" s="1"/>
  <c r="AY19" i="24"/>
  <c r="AZ19" i="24" s="1"/>
  <c r="BE247" i="24"/>
  <c r="BT247" i="24" s="1"/>
  <c r="BE19" i="24"/>
  <c r="BT19" i="24" s="1"/>
  <c r="AY279" i="24"/>
  <c r="AZ279" i="24" s="1"/>
  <c r="BD279" i="24"/>
  <c r="BG279" i="24" s="1"/>
  <c r="BE117" i="24"/>
  <c r="BT117" i="24" s="1"/>
  <c r="BD253" i="24"/>
  <c r="BG253" i="24" s="1"/>
  <c r="AY253" i="24"/>
  <c r="AZ253" i="24" s="1"/>
  <c r="BE296" i="24"/>
  <c r="BT296" i="24" s="1"/>
  <c r="BD296" i="24"/>
  <c r="BG296" i="24" s="1"/>
  <c r="BD26" i="24"/>
  <c r="BS26" i="24" s="1"/>
  <c r="AY228" i="24"/>
  <c r="AZ228" i="24" s="1"/>
  <c r="BD20" i="24"/>
  <c r="BG20" i="24" s="1"/>
  <c r="BM20" i="24" s="1"/>
  <c r="BD247" i="24"/>
  <c r="BG247" i="24" s="1"/>
  <c r="BD232" i="24"/>
  <c r="BG232" i="24" s="1"/>
  <c r="AY232" i="24"/>
  <c r="AZ232" i="24" s="1"/>
  <c r="AY20" i="24"/>
  <c r="AZ20" i="24" s="1"/>
  <c r="BE34" i="24"/>
  <c r="BT34" i="24" s="1"/>
  <c r="BD228" i="24"/>
  <c r="BS228" i="24" s="1"/>
  <c r="BX228" i="24" s="1"/>
  <c r="BE130" i="24"/>
  <c r="BT130" i="24" s="1"/>
  <c r="BD130" i="24"/>
  <c r="BG130" i="24" s="1"/>
  <c r="BD28" i="24"/>
  <c r="BS28" i="24" s="1"/>
  <c r="BV28" i="24" s="1"/>
  <c r="BX28" i="24" s="1"/>
  <c r="BD238" i="24"/>
  <c r="BG238" i="24" s="1"/>
  <c r="AY280" i="24"/>
  <c r="AZ280" i="24" s="1"/>
  <c r="AY28" i="24"/>
  <c r="AZ28" i="24" s="1"/>
  <c r="BE238" i="24"/>
  <c r="BT238" i="24" s="1"/>
  <c r="AY33" i="24"/>
  <c r="AZ33" i="24" s="1"/>
  <c r="BD280" i="24"/>
  <c r="BG280" i="24" s="1"/>
  <c r="AY6" i="24"/>
  <c r="AZ6" i="24" s="1"/>
  <c r="BE152" i="24"/>
  <c r="BT152" i="24" s="1"/>
  <c r="BD152" i="24"/>
  <c r="BS152" i="24" s="1"/>
  <c r="AY282" i="24"/>
  <c r="AZ282" i="24" s="1"/>
  <c r="AT237" i="25"/>
  <c r="AU237" i="25"/>
  <c r="AS212" i="25"/>
  <c r="AF212" i="25"/>
  <c r="AE212" i="25"/>
  <c r="BD282" i="24"/>
  <c r="BG282" i="24" s="1"/>
  <c r="BE6" i="24"/>
  <c r="BT6" i="24" s="1"/>
  <c r="BE112" i="24"/>
  <c r="BT112" i="24" s="1"/>
  <c r="AY224" i="24"/>
  <c r="AZ224" i="24" s="1"/>
  <c r="BD117" i="24"/>
  <c r="BG117" i="24" s="1"/>
  <c r="BD224" i="24"/>
  <c r="BS224" i="24" s="1"/>
  <c r="BX224" i="24" s="1"/>
  <c r="BE58" i="24"/>
  <c r="BT58" i="24" s="1"/>
  <c r="BD299" i="24"/>
  <c r="BG299" i="24" s="1"/>
  <c r="BD148" i="24"/>
  <c r="BG148" i="24" s="1"/>
  <c r="AY58" i="24"/>
  <c r="AZ58" i="24" s="1"/>
  <c r="AY148" i="24"/>
  <c r="AZ148" i="24" s="1"/>
  <c r="BE33" i="24"/>
  <c r="BT33" i="24" s="1"/>
  <c r="BE248" i="24"/>
  <c r="BT248" i="24" s="1"/>
  <c r="AT77" i="25"/>
  <c r="AY77" i="25" s="1"/>
  <c r="AU77" i="25"/>
  <c r="BE299" i="24"/>
  <c r="BT299" i="24" s="1"/>
  <c r="BD54" i="24"/>
  <c r="BG54" i="24" s="1"/>
  <c r="BM54" i="24" s="1"/>
  <c r="AY24" i="24"/>
  <c r="AZ24" i="24" s="1"/>
  <c r="AY54" i="24"/>
  <c r="AZ54" i="24" s="1"/>
  <c r="BD24" i="24"/>
  <c r="BG24" i="24" s="1"/>
  <c r="BM24" i="24" s="1"/>
  <c r="BD305" i="24"/>
  <c r="BG305" i="24" s="1"/>
  <c r="BE269" i="24"/>
  <c r="BT269" i="24" s="1"/>
  <c r="AY269" i="24"/>
  <c r="AZ269" i="24" s="1"/>
  <c r="BD269" i="24"/>
  <c r="AT163" i="25"/>
  <c r="AY163" i="25" s="1"/>
  <c r="AU163" i="25"/>
  <c r="AT66" i="25"/>
  <c r="AY66" i="25" s="1"/>
  <c r="AU66" i="25"/>
  <c r="AT130" i="25"/>
  <c r="AY130" i="25" s="1"/>
  <c r="AU130" i="25"/>
  <c r="AT140" i="25"/>
  <c r="AY140" i="25" s="1"/>
  <c r="AU140" i="25"/>
  <c r="BB296" i="25"/>
  <c r="BS296" i="25" s="1"/>
  <c r="BA296" i="25"/>
  <c r="BC296" i="25"/>
  <c r="BT296" i="25" s="1"/>
  <c r="AT224" i="25"/>
  <c r="AU224" i="25"/>
  <c r="AT134" i="25"/>
  <c r="AY134" i="25" s="1"/>
  <c r="AU134" i="25"/>
  <c r="AT26" i="25"/>
  <c r="AY26" i="25" s="1"/>
  <c r="AU26" i="25"/>
  <c r="BE154" i="24"/>
  <c r="BT154" i="24" s="1"/>
  <c r="AY154" i="24"/>
  <c r="AZ154" i="24" s="1"/>
  <c r="BD154" i="24"/>
  <c r="AT220" i="25"/>
  <c r="AU220" i="25"/>
  <c r="L16" i="1"/>
  <c r="BE169" i="24"/>
  <c r="BT169" i="24" s="1"/>
  <c r="BD169" i="24"/>
  <c r="AY169" i="24"/>
  <c r="AZ169" i="24" s="1"/>
  <c r="AT101" i="25"/>
  <c r="AY101" i="25" s="1"/>
  <c r="AU101" i="25"/>
  <c r="AY29" i="24"/>
  <c r="AZ29" i="24" s="1"/>
  <c r="BD29" i="24"/>
  <c r="BE29" i="24"/>
  <c r="BT29" i="24" s="1"/>
  <c r="AT133" i="25"/>
  <c r="AY133" i="25" s="1"/>
  <c r="AU133" i="25"/>
  <c r="AT297" i="25"/>
  <c r="AU297" i="25"/>
  <c r="BD144" i="24"/>
  <c r="BE144" i="24"/>
  <c r="BT144" i="24" s="1"/>
  <c r="AY144" i="24"/>
  <c r="AZ144" i="24" s="1"/>
  <c r="AT139" i="25"/>
  <c r="AY139" i="25" s="1"/>
  <c r="AU139" i="25"/>
  <c r="AT278" i="25"/>
  <c r="AU278" i="25"/>
  <c r="AT315" i="25"/>
  <c r="AU315" i="25"/>
  <c r="BD171" i="24"/>
  <c r="AY171" i="24"/>
  <c r="AZ171" i="24" s="1"/>
  <c r="BE171" i="24"/>
  <c r="BT171" i="24" s="1"/>
  <c r="BD316" i="24"/>
  <c r="BE316" i="24"/>
  <c r="BT316" i="24" s="1"/>
  <c r="AY316" i="24"/>
  <c r="AZ316" i="24" s="1"/>
  <c r="BB198" i="25"/>
  <c r="BS198" i="25" s="1"/>
  <c r="BC198" i="25"/>
  <c r="BT198" i="25" s="1"/>
  <c r="BA198" i="25"/>
  <c r="BD99" i="24"/>
  <c r="AY99" i="24"/>
  <c r="AZ99" i="24" s="1"/>
  <c r="BE99" i="24"/>
  <c r="BT99" i="24" s="1"/>
  <c r="BD306" i="24"/>
  <c r="BE306" i="24"/>
  <c r="BT306" i="24" s="1"/>
  <c r="AY306" i="24"/>
  <c r="AZ306" i="24" s="1"/>
  <c r="AT118" i="25"/>
  <c r="AY118" i="25" s="1"/>
  <c r="AU118" i="25"/>
  <c r="BD310" i="24"/>
  <c r="AY310" i="24"/>
  <c r="AZ310" i="24" s="1"/>
  <c r="BE310" i="24"/>
  <c r="BT310" i="24" s="1"/>
  <c r="AT68" i="25"/>
  <c r="AY68" i="25" s="1"/>
  <c r="AU68" i="25"/>
  <c r="BC177" i="25"/>
  <c r="BT177" i="25" s="1"/>
  <c r="BA177" i="25"/>
  <c r="BB177" i="25"/>
  <c r="BS177" i="25" s="1"/>
  <c r="BA292" i="25"/>
  <c r="BC292" i="25"/>
  <c r="BT292" i="25" s="1"/>
  <c r="BB292" i="25"/>
  <c r="BS292" i="25" s="1"/>
  <c r="AT289" i="25"/>
  <c r="AU289" i="25"/>
  <c r="BG142" i="24"/>
  <c r="BS142" i="24"/>
  <c r="BX142" i="24" s="1"/>
  <c r="AT85" i="25"/>
  <c r="AY85" i="25" s="1"/>
  <c r="AU85" i="25"/>
  <c r="BE105" i="24"/>
  <c r="BT105" i="24" s="1"/>
  <c r="AY105" i="24"/>
  <c r="AZ105" i="24" s="1"/>
  <c r="BD105" i="24"/>
  <c r="BE311" i="24"/>
  <c r="BT311" i="24" s="1"/>
  <c r="AY311" i="24"/>
  <c r="AZ311" i="24" s="1"/>
  <c r="BD311" i="24"/>
  <c r="AT244" i="25"/>
  <c r="AU244" i="25"/>
  <c r="AT60" i="25"/>
  <c r="AY60" i="25" s="1"/>
  <c r="AU60" i="25"/>
  <c r="BD51" i="24"/>
  <c r="AY51" i="24"/>
  <c r="AZ51" i="24" s="1"/>
  <c r="BE51" i="24"/>
  <c r="BT51" i="24" s="1"/>
  <c r="AT157" i="25"/>
  <c r="AY157" i="25" s="1"/>
  <c r="AU157" i="25"/>
  <c r="BD285" i="24"/>
  <c r="AY285" i="24"/>
  <c r="AZ285" i="24" s="1"/>
  <c r="BE285" i="24"/>
  <c r="BT285" i="24" s="1"/>
  <c r="BA257" i="25"/>
  <c r="BC257" i="25"/>
  <c r="BT257" i="25" s="1"/>
  <c r="BB257" i="25"/>
  <c r="BS257" i="25" s="1"/>
  <c r="AT286" i="25"/>
  <c r="AU286" i="25"/>
  <c r="AT264" i="25"/>
  <c r="AU264" i="25"/>
  <c r="BA248" i="25"/>
  <c r="BC248" i="25"/>
  <c r="BT248" i="25" s="1"/>
  <c r="BB248" i="25"/>
  <c r="BS248" i="25" s="1"/>
  <c r="AY31" i="24"/>
  <c r="AZ31" i="24" s="1"/>
  <c r="BE31" i="24"/>
  <c r="BT31" i="24" s="1"/>
  <c r="BD31" i="24"/>
  <c r="AY10" i="24"/>
  <c r="AZ10" i="24" s="1"/>
  <c r="BD10" i="24"/>
  <c r="BE10" i="24"/>
  <c r="BT10" i="24" s="1"/>
  <c r="AY313" i="24"/>
  <c r="AZ313" i="24" s="1"/>
  <c r="BD313" i="24"/>
  <c r="BE313" i="24"/>
  <c r="BT313" i="24" s="1"/>
  <c r="BD140" i="24"/>
  <c r="AY140" i="24"/>
  <c r="AZ140" i="24" s="1"/>
  <c r="BE140" i="24"/>
  <c r="BT140" i="24" s="1"/>
  <c r="BS45" i="24"/>
  <c r="BV45" i="24" s="1"/>
  <c r="BX45" i="24" s="1"/>
  <c r="BG45" i="24"/>
  <c r="BM45" i="24" s="1"/>
  <c r="AT307" i="25"/>
  <c r="AU307" i="25"/>
  <c r="BE143" i="25"/>
  <c r="BR143" i="25"/>
  <c r="BX143" i="25" s="1"/>
  <c r="BG119" i="24"/>
  <c r="BS119" i="24"/>
  <c r="BX119" i="24" s="1"/>
  <c r="AT183" i="25"/>
  <c r="AY183" i="25" s="1"/>
  <c r="AU183" i="25"/>
  <c r="BE16" i="24"/>
  <c r="BT16" i="24" s="1"/>
  <c r="BD16" i="24"/>
  <c r="AY16" i="24"/>
  <c r="AZ16" i="24" s="1"/>
  <c r="BG160" i="24"/>
  <c r="BS160" i="24"/>
  <c r="BX160" i="24" s="1"/>
  <c r="AY104" i="24"/>
  <c r="AZ104" i="24" s="1"/>
  <c r="BD104" i="24"/>
  <c r="BE104" i="24"/>
  <c r="BT104" i="24" s="1"/>
  <c r="AT65" i="25"/>
  <c r="AY65" i="25" s="1"/>
  <c r="AU65" i="25"/>
  <c r="BE40" i="24"/>
  <c r="BT40" i="24" s="1"/>
  <c r="AY40" i="24"/>
  <c r="AZ40" i="24" s="1"/>
  <c r="BD40" i="24"/>
  <c r="BE234" i="24"/>
  <c r="BT234" i="24" s="1"/>
  <c r="BD234" i="24"/>
  <c r="AY234" i="24"/>
  <c r="AZ234" i="24" s="1"/>
  <c r="AT20" i="25"/>
  <c r="AY20" i="25" s="1"/>
  <c r="AU20" i="25"/>
  <c r="BD73" i="24"/>
  <c r="AY73" i="24"/>
  <c r="AZ73" i="24" s="1"/>
  <c r="BE73" i="24"/>
  <c r="BT73" i="24" s="1"/>
  <c r="BC173" i="25"/>
  <c r="BT173" i="25" s="1"/>
  <c r="BB173" i="25"/>
  <c r="BS173" i="25" s="1"/>
  <c r="BA173" i="25"/>
  <c r="BE103" i="24"/>
  <c r="BT103" i="24" s="1"/>
  <c r="BD103" i="24"/>
  <c r="AY103" i="24"/>
  <c r="AZ103" i="24" s="1"/>
  <c r="AT241" i="25"/>
  <c r="AU241" i="25"/>
  <c r="BE100" i="24"/>
  <c r="BT100" i="24" s="1"/>
  <c r="BD100" i="24"/>
  <c r="AY100" i="24"/>
  <c r="AZ100" i="24" s="1"/>
  <c r="BC104" i="25"/>
  <c r="BT104" i="25" s="1"/>
  <c r="BA104" i="25"/>
  <c r="BB104" i="25"/>
  <c r="BS104" i="25" s="1"/>
  <c r="BE151" i="24"/>
  <c r="BT151" i="24" s="1"/>
  <c r="BD151" i="24"/>
  <c r="AY151" i="24"/>
  <c r="AZ151" i="24" s="1"/>
  <c r="AT308" i="25"/>
  <c r="AU308" i="25"/>
  <c r="AT279" i="25"/>
  <c r="AU279" i="25"/>
  <c r="BD75" i="24"/>
  <c r="AY75" i="24"/>
  <c r="AZ75" i="24" s="1"/>
  <c r="BE75" i="24"/>
  <c r="BT75" i="24" s="1"/>
  <c r="AT38" i="25"/>
  <c r="AY38" i="25" s="1"/>
  <c r="AU38" i="25"/>
  <c r="AY48" i="24"/>
  <c r="AZ48" i="24" s="1"/>
  <c r="BE48" i="24"/>
  <c r="BT48" i="24" s="1"/>
  <c r="BD48" i="24"/>
  <c r="AT81" i="25"/>
  <c r="AY81" i="25" s="1"/>
  <c r="AU81" i="25"/>
  <c r="BE129" i="24"/>
  <c r="BT129" i="24" s="1"/>
  <c r="BD129" i="24"/>
  <c r="AY129" i="24"/>
  <c r="AZ129" i="24" s="1"/>
  <c r="BD263" i="24"/>
  <c r="AY263" i="24"/>
  <c r="AZ263" i="24" s="1"/>
  <c r="BE263" i="24"/>
  <c r="BT263" i="24" s="1"/>
  <c r="BD195" i="24"/>
  <c r="AY195" i="24"/>
  <c r="AZ195" i="24" s="1"/>
  <c r="BE195" i="24"/>
  <c r="BT195" i="24" s="1"/>
  <c r="BA276" i="25"/>
  <c r="BB276" i="25"/>
  <c r="BS276" i="25" s="1"/>
  <c r="BC276" i="25"/>
  <c r="BT276" i="25" s="1"/>
  <c r="AT295" i="25"/>
  <c r="AU295" i="25"/>
  <c r="AT115" i="25"/>
  <c r="AY115" i="25" s="1"/>
  <c r="AU115" i="25"/>
  <c r="BE61" i="24"/>
  <c r="BT61" i="24" s="1"/>
  <c r="BD61" i="24"/>
  <c r="AY61" i="24"/>
  <c r="AZ61" i="24" s="1"/>
  <c r="AY62" i="24"/>
  <c r="AZ62" i="24" s="1"/>
  <c r="BE62" i="24"/>
  <c r="BT62" i="24" s="1"/>
  <c r="BD62" i="24"/>
  <c r="BE256" i="24"/>
  <c r="BT256" i="24" s="1"/>
  <c r="AY256" i="24"/>
  <c r="AZ256" i="24" s="1"/>
  <c r="BD256" i="24"/>
  <c r="BS55" i="24"/>
  <c r="BV55" i="24" s="1"/>
  <c r="BX55" i="24" s="1"/>
  <c r="BG55" i="24"/>
  <c r="BM55" i="24" s="1"/>
  <c r="AT288" i="25"/>
  <c r="AU288" i="25"/>
  <c r="AT245" i="25"/>
  <c r="AU245" i="25"/>
  <c r="BG111" i="24"/>
  <c r="BS111" i="24"/>
  <c r="BD8" i="24"/>
  <c r="BE8" i="24"/>
  <c r="BT8" i="24" s="1"/>
  <c r="AY8" i="24"/>
  <c r="AZ8" i="24" s="1"/>
  <c r="AT187" i="25"/>
  <c r="AY187" i="25" s="1"/>
  <c r="AU187" i="25"/>
  <c r="BD185" i="24"/>
  <c r="AY185" i="24"/>
  <c r="AZ185" i="24" s="1"/>
  <c r="BE185" i="24"/>
  <c r="BT185" i="24" s="1"/>
  <c r="AT225" i="25"/>
  <c r="AU225" i="25"/>
  <c r="BE252" i="24"/>
  <c r="BT252" i="24" s="1"/>
  <c r="AY252" i="24"/>
  <c r="AZ252" i="24" s="1"/>
  <c r="BD252" i="24"/>
  <c r="AY271" i="24"/>
  <c r="AZ271" i="24" s="1"/>
  <c r="BD271" i="24"/>
  <c r="BE271" i="24"/>
  <c r="BT271" i="24" s="1"/>
  <c r="AT270" i="25"/>
  <c r="AU270" i="25"/>
  <c r="AT251" i="25"/>
  <c r="AU251" i="25"/>
  <c r="AT197" i="25"/>
  <c r="AY197" i="25" s="1"/>
  <c r="AU197" i="25"/>
  <c r="BG190" i="24"/>
  <c r="BS190" i="24"/>
  <c r="BX190" i="24" s="1"/>
  <c r="AT69" i="25"/>
  <c r="AY69" i="25" s="1"/>
  <c r="AU69" i="25"/>
  <c r="BE71" i="24"/>
  <c r="BT71" i="24" s="1"/>
  <c r="AY71" i="24"/>
  <c r="AZ71" i="24" s="1"/>
  <c r="BD71" i="24"/>
  <c r="AT266" i="25"/>
  <c r="AU266" i="25"/>
  <c r="AT91" i="25"/>
  <c r="AY91" i="25" s="1"/>
  <c r="AU91" i="25"/>
  <c r="BC92" i="25"/>
  <c r="BT92" i="25" s="1"/>
  <c r="BB92" i="25"/>
  <c r="BS92" i="25" s="1"/>
  <c r="BA92" i="25"/>
  <c r="BE128" i="24"/>
  <c r="BT128" i="24" s="1"/>
  <c r="BD128" i="24"/>
  <c r="AY128" i="24"/>
  <c r="AZ128" i="24" s="1"/>
  <c r="BE32" i="24"/>
  <c r="BT32" i="24" s="1"/>
  <c r="BD32" i="24"/>
  <c r="AY32" i="24"/>
  <c r="AZ32" i="24" s="1"/>
  <c r="BA199" i="25"/>
  <c r="BB199" i="25"/>
  <c r="BS199" i="25" s="1"/>
  <c r="BC199" i="25"/>
  <c r="BT199" i="25" s="1"/>
  <c r="BE91" i="24"/>
  <c r="BT91" i="24" s="1"/>
  <c r="BD91" i="24"/>
  <c r="AY91" i="24"/>
  <c r="AZ91" i="24" s="1"/>
  <c r="AT149" i="25"/>
  <c r="AY149" i="25" s="1"/>
  <c r="AU149" i="25"/>
  <c r="AT271" i="25"/>
  <c r="AU271" i="25"/>
  <c r="AT152" i="25"/>
  <c r="AY152" i="25" s="1"/>
  <c r="AU152" i="25"/>
  <c r="BE122" i="24"/>
  <c r="BT122" i="24" s="1"/>
  <c r="BD122" i="24"/>
  <c r="AY122" i="24"/>
  <c r="AZ122" i="24" s="1"/>
  <c r="AT252" i="25"/>
  <c r="AU252" i="25"/>
  <c r="BE56" i="24"/>
  <c r="BT56" i="24" s="1"/>
  <c r="AY56" i="24"/>
  <c r="AZ56" i="24" s="1"/>
  <c r="BD56" i="24"/>
  <c r="AT166" i="25"/>
  <c r="AY166" i="25" s="1"/>
  <c r="AU166" i="25"/>
  <c r="BG162" i="24"/>
  <c r="BS162" i="24"/>
  <c r="BX162" i="24" s="1"/>
  <c r="BC31" i="25"/>
  <c r="BT31" i="25" s="1"/>
  <c r="BB31" i="25"/>
  <c r="BS31" i="25" s="1"/>
  <c r="BA31" i="25"/>
  <c r="BE83" i="24"/>
  <c r="BT83" i="24" s="1"/>
  <c r="BD83" i="24"/>
  <c r="AY83" i="24"/>
  <c r="AZ83" i="24" s="1"/>
  <c r="AT309" i="25"/>
  <c r="AU309" i="25"/>
  <c r="AT205" i="25"/>
  <c r="AY205" i="25" s="1"/>
  <c r="AU205" i="25"/>
  <c r="AT58" i="25"/>
  <c r="AY58" i="25" s="1"/>
  <c r="AU58" i="25"/>
  <c r="BD137" i="24"/>
  <c r="BE137" i="24"/>
  <c r="BT137" i="24" s="1"/>
  <c r="AY137" i="24"/>
  <c r="AZ137" i="24" s="1"/>
  <c r="BG257" i="24"/>
  <c r="BS257" i="24"/>
  <c r="BX257" i="24" s="1"/>
  <c r="AT17" i="25"/>
  <c r="AY17" i="25" s="1"/>
  <c r="AU17" i="25"/>
  <c r="BD14" i="24"/>
  <c r="BE14" i="24"/>
  <c r="BT14" i="24" s="1"/>
  <c r="AY14" i="24"/>
  <c r="AZ14" i="24" s="1"/>
  <c r="AT41" i="25"/>
  <c r="AY41" i="25" s="1"/>
  <c r="AU41" i="25"/>
  <c r="AT67" i="25"/>
  <c r="AY67" i="25" s="1"/>
  <c r="AU67" i="25"/>
  <c r="AT303" i="25"/>
  <c r="AU303" i="25"/>
  <c r="BA95" i="25"/>
  <c r="BC95" i="25"/>
  <c r="BT95" i="25" s="1"/>
  <c r="BB95" i="25"/>
  <c r="BS95" i="25" s="1"/>
  <c r="AT235" i="25"/>
  <c r="AU235" i="25"/>
  <c r="BG233" i="24"/>
  <c r="BS233" i="24"/>
  <c r="BX233" i="24" s="1"/>
  <c r="BE57" i="24"/>
  <c r="BT57" i="24" s="1"/>
  <c r="BD57" i="24"/>
  <c r="AY57" i="24"/>
  <c r="AZ57" i="24" s="1"/>
  <c r="BE255" i="24"/>
  <c r="BT255" i="24" s="1"/>
  <c r="BD255" i="24"/>
  <c r="AY255" i="24"/>
  <c r="AZ255" i="24" s="1"/>
  <c r="AY218" i="24"/>
  <c r="AZ218" i="24" s="1"/>
  <c r="BD218" i="24"/>
  <c r="BE218" i="24"/>
  <c r="BT218" i="24" s="1"/>
  <c r="AY138" i="24"/>
  <c r="AZ138" i="24" s="1"/>
  <c r="BE138" i="24"/>
  <c r="BT138" i="24" s="1"/>
  <c r="BD138" i="24"/>
  <c r="BE90" i="24"/>
  <c r="BT90" i="24" s="1"/>
  <c r="AY90" i="24"/>
  <c r="AZ90" i="24" s="1"/>
  <c r="BD90" i="24"/>
  <c r="BD38" i="24"/>
  <c r="BE38" i="24"/>
  <c r="BT38" i="24" s="1"/>
  <c r="AY38" i="24"/>
  <c r="AZ38" i="24" s="1"/>
  <c r="BE258" i="24"/>
  <c r="BT258" i="24" s="1"/>
  <c r="BD258" i="24"/>
  <c r="AY258" i="24"/>
  <c r="AZ258" i="24" s="1"/>
  <c r="AT124" i="25"/>
  <c r="AY124" i="25" s="1"/>
  <c r="AU124" i="25"/>
  <c r="AT193" i="25"/>
  <c r="AY193" i="25" s="1"/>
  <c r="AU193" i="25"/>
  <c r="BA201" i="25"/>
  <c r="BB201" i="25"/>
  <c r="BS201" i="25" s="1"/>
  <c r="BC201" i="25"/>
  <c r="BT201" i="25" s="1"/>
  <c r="AY182" i="24"/>
  <c r="AZ182" i="24" s="1"/>
  <c r="BE182" i="24"/>
  <c r="BT182" i="24" s="1"/>
  <c r="BD182" i="24"/>
  <c r="BD198" i="24"/>
  <c r="BE198" i="24"/>
  <c r="BT198" i="24" s="1"/>
  <c r="AY198" i="24"/>
  <c r="AZ198" i="24" s="1"/>
  <c r="BC189" i="25"/>
  <c r="BT189" i="25" s="1"/>
  <c r="BA189" i="25"/>
  <c r="BB189" i="25"/>
  <c r="BS189" i="25" s="1"/>
  <c r="AT151" i="25"/>
  <c r="AY151" i="25" s="1"/>
  <c r="AU151" i="25"/>
  <c r="BD273" i="24"/>
  <c r="AY273" i="24"/>
  <c r="AZ273" i="24" s="1"/>
  <c r="BE273" i="24"/>
  <c r="BT273" i="24" s="1"/>
  <c r="BA32" i="25"/>
  <c r="BB32" i="25"/>
  <c r="BS32" i="25" s="1"/>
  <c r="BC32" i="25"/>
  <c r="BT32" i="25" s="1"/>
  <c r="BG132" i="24"/>
  <c r="BS132" i="24"/>
  <c r="BX132" i="24" s="1"/>
  <c r="AT57" i="25"/>
  <c r="AY57" i="25" s="1"/>
  <c r="AU57" i="25"/>
  <c r="AY192" i="24"/>
  <c r="AZ192" i="24" s="1"/>
  <c r="BD192" i="24"/>
  <c r="BE192" i="24"/>
  <c r="BT192" i="24" s="1"/>
  <c r="AT48" i="25"/>
  <c r="AY48" i="25" s="1"/>
  <c r="AU48" i="25"/>
  <c r="BA158" i="25"/>
  <c r="BB158" i="25"/>
  <c r="BS158" i="25" s="1"/>
  <c r="BC158" i="25"/>
  <c r="BT158" i="25" s="1"/>
  <c r="AT216" i="25"/>
  <c r="AU216" i="25"/>
  <c r="BE143" i="24"/>
  <c r="BT143" i="24" s="1"/>
  <c r="BD143" i="24"/>
  <c r="AY143" i="24"/>
  <c r="AZ143" i="24" s="1"/>
  <c r="BD145" i="24"/>
  <c r="AY145" i="24"/>
  <c r="AZ145" i="24" s="1"/>
  <c r="BE145" i="24"/>
  <c r="BT145" i="24" s="1"/>
  <c r="AY158" i="24"/>
  <c r="AZ158" i="24" s="1"/>
  <c r="BD158" i="24"/>
  <c r="BE158" i="24"/>
  <c r="BT158" i="24" s="1"/>
  <c r="AT138" i="25"/>
  <c r="AY138" i="25" s="1"/>
  <c r="AU138" i="25"/>
  <c r="AT287" i="25"/>
  <c r="AU287" i="25"/>
  <c r="BC28" i="25"/>
  <c r="BT28" i="25" s="1"/>
  <c r="BA28" i="25"/>
  <c r="BB28" i="25"/>
  <c r="BS28" i="25" s="1"/>
  <c r="BE161" i="24"/>
  <c r="BT161" i="24" s="1"/>
  <c r="BD161" i="24"/>
  <c r="AY161" i="24"/>
  <c r="AZ161" i="24" s="1"/>
  <c r="BE276" i="24"/>
  <c r="BT276" i="24" s="1"/>
  <c r="BD276" i="24"/>
  <c r="AY276" i="24"/>
  <c r="AZ276" i="24" s="1"/>
  <c r="AT176" i="25"/>
  <c r="AY176" i="25" s="1"/>
  <c r="AU176" i="25"/>
  <c r="AT100" i="25"/>
  <c r="AY100" i="25" s="1"/>
  <c r="AU100" i="25"/>
  <c r="BD123" i="24"/>
  <c r="AY123" i="24"/>
  <c r="AZ123" i="24" s="1"/>
  <c r="BE123" i="24"/>
  <c r="BT123" i="24" s="1"/>
  <c r="AT136" i="25"/>
  <c r="AY136" i="25" s="1"/>
  <c r="AU136" i="25"/>
  <c r="AT302" i="25"/>
  <c r="AU302" i="25"/>
  <c r="BE166" i="24"/>
  <c r="BT166" i="24" s="1"/>
  <c r="BD166" i="24"/>
  <c r="AY166" i="24"/>
  <c r="AZ166" i="24" s="1"/>
  <c r="BG22" i="24"/>
  <c r="BM22" i="24" s="1"/>
  <c r="BS22" i="24"/>
  <c r="BV22" i="24" s="1"/>
  <c r="BX22" i="24" s="1"/>
  <c r="AT191" i="25"/>
  <c r="AY191" i="25" s="1"/>
  <c r="AU191" i="25"/>
  <c r="AT78" i="25"/>
  <c r="AY78" i="25" s="1"/>
  <c r="AU78" i="25"/>
  <c r="BE226" i="24"/>
  <c r="BT226" i="24" s="1"/>
  <c r="BD226" i="24"/>
  <c r="AY226" i="24"/>
  <c r="AZ226" i="24" s="1"/>
  <c r="AT272" i="25"/>
  <c r="AU272" i="25"/>
  <c r="BD72" i="24"/>
  <c r="BE72" i="24"/>
  <c r="BT72" i="24" s="1"/>
  <c r="AY72" i="24"/>
  <c r="AZ72" i="24" s="1"/>
  <c r="AT181" i="25"/>
  <c r="AY181" i="25" s="1"/>
  <c r="AU181" i="25"/>
  <c r="BE204" i="24"/>
  <c r="BT204" i="24" s="1"/>
  <c r="AY204" i="24"/>
  <c r="AZ204" i="24" s="1"/>
  <c r="BD204" i="24"/>
  <c r="BE129" i="25"/>
  <c r="BR129" i="25"/>
  <c r="BX129" i="25" s="1"/>
  <c r="BD85" i="24"/>
  <c r="BE85" i="24"/>
  <c r="BT85" i="24" s="1"/>
  <c r="AY85" i="24"/>
  <c r="AZ85" i="24" s="1"/>
  <c r="AY239" i="24"/>
  <c r="AZ239" i="24" s="1"/>
  <c r="BD239" i="24"/>
  <c r="BE239" i="24"/>
  <c r="BT239" i="24" s="1"/>
  <c r="BB282" i="25"/>
  <c r="BS282" i="25" s="1"/>
  <c r="BC282" i="25"/>
  <c r="BT282" i="25" s="1"/>
  <c r="BA282" i="25"/>
  <c r="AT194" i="25"/>
  <c r="AY194" i="25" s="1"/>
  <c r="AU194" i="25"/>
  <c r="BE50" i="24"/>
  <c r="BT50" i="24" s="1"/>
  <c r="BD50" i="24"/>
  <c r="AY50" i="24"/>
  <c r="AZ50" i="24" s="1"/>
  <c r="BG58" i="24"/>
  <c r="BM58" i="24" s="1"/>
  <c r="BS58" i="24"/>
  <c r="BE165" i="24"/>
  <c r="BT165" i="24" s="1"/>
  <c r="BD165" i="24"/>
  <c r="AY165" i="24"/>
  <c r="AZ165" i="24" s="1"/>
  <c r="BG260" i="24"/>
  <c r="BS260" i="24"/>
  <c r="BE172" i="24"/>
  <c r="BT172" i="24" s="1"/>
  <c r="BD172" i="24"/>
  <c r="AY172" i="24"/>
  <c r="AZ172" i="24" s="1"/>
  <c r="BA147" i="25"/>
  <c r="BC147" i="25"/>
  <c r="BT147" i="25" s="1"/>
  <c r="BB147" i="25"/>
  <c r="BS147" i="25" s="1"/>
  <c r="AY70" i="24"/>
  <c r="AZ70" i="24" s="1"/>
  <c r="BE70" i="24"/>
  <c r="BT70" i="24" s="1"/>
  <c r="BD70" i="24"/>
  <c r="AT128" i="25"/>
  <c r="AY128" i="25" s="1"/>
  <c r="AU128" i="25"/>
  <c r="AY250" i="24"/>
  <c r="AZ250" i="24" s="1"/>
  <c r="BD250" i="24"/>
  <c r="BE250" i="24"/>
  <c r="BT250" i="24" s="1"/>
  <c r="AT50" i="25"/>
  <c r="AY50" i="25" s="1"/>
  <c r="AU50" i="25"/>
  <c r="AT165" i="25"/>
  <c r="AY165" i="25" s="1"/>
  <c r="AU165" i="25"/>
  <c r="AT111" i="25"/>
  <c r="AY111" i="25" s="1"/>
  <c r="AU111" i="25"/>
  <c r="BD157" i="24"/>
  <c r="AY157" i="24"/>
  <c r="AZ157" i="24" s="1"/>
  <c r="BE157" i="24"/>
  <c r="BT157" i="24" s="1"/>
  <c r="BS33" i="24"/>
  <c r="BG33" i="24"/>
  <c r="BM33" i="24" s="1"/>
  <c r="AY53" i="24"/>
  <c r="AZ53" i="24" s="1"/>
  <c r="BD53" i="24"/>
  <c r="BE53" i="24"/>
  <c r="BT53" i="24" s="1"/>
  <c r="BE222" i="24"/>
  <c r="BT222" i="24" s="1"/>
  <c r="BD222" i="24"/>
  <c r="AY222" i="24"/>
  <c r="AZ222" i="24" s="1"/>
  <c r="AT269" i="25"/>
  <c r="AU269" i="25"/>
  <c r="BA258" i="25"/>
  <c r="BC258" i="25"/>
  <c r="BT258" i="25" s="1"/>
  <c r="BB258" i="25"/>
  <c r="BS258" i="25" s="1"/>
  <c r="BE237" i="24"/>
  <c r="BT237" i="24" s="1"/>
  <c r="BD237" i="24"/>
  <c r="AY237" i="24"/>
  <c r="AZ237" i="24" s="1"/>
  <c r="BD184" i="24"/>
  <c r="AY184" i="24"/>
  <c r="AZ184" i="24" s="1"/>
  <c r="BE184" i="24"/>
  <c r="BT184" i="24" s="1"/>
  <c r="AT312" i="25"/>
  <c r="AU312" i="25"/>
  <c r="BG236" i="24"/>
  <c r="BS236" i="24"/>
  <c r="BX236" i="24" s="1"/>
  <c r="AN110" i="29"/>
  <c r="AN84" i="29"/>
  <c r="AN340" i="29"/>
  <c r="AN42" i="29"/>
  <c r="AN412" i="29"/>
  <c r="AN567" i="29"/>
  <c r="AN341" i="29"/>
  <c r="AN140" i="29"/>
  <c r="AN80" i="29"/>
  <c r="AN105" i="29"/>
  <c r="AN22" i="29"/>
  <c r="AN211" i="29"/>
  <c r="AN370" i="29"/>
  <c r="AN69" i="29"/>
  <c r="AN429" i="29"/>
  <c r="AN147" i="29"/>
  <c r="AN363" i="29"/>
  <c r="AN210" i="29"/>
  <c r="AN400" i="29"/>
  <c r="AN307" i="29"/>
  <c r="AN338" i="29"/>
  <c r="AN372" i="29"/>
  <c r="AN364" i="29"/>
  <c r="AN230" i="29"/>
  <c r="AN458" i="29"/>
  <c r="AN117" i="29"/>
  <c r="AN127" i="29"/>
  <c r="AN179" i="29"/>
  <c r="AN104" i="29"/>
  <c r="AN474" i="29"/>
  <c r="AN506" i="29"/>
  <c r="AN337" i="29"/>
  <c r="AN570" i="29"/>
  <c r="AN376" i="29"/>
  <c r="AN598" i="29"/>
  <c r="AN142" i="29"/>
  <c r="AN390" i="29"/>
  <c r="AN182" i="29"/>
  <c r="AN449" i="29"/>
  <c r="AN468" i="29"/>
  <c r="AN382" i="29"/>
  <c r="AN378" i="29"/>
  <c r="AN298" i="29"/>
  <c r="AN260" i="29"/>
  <c r="AN208" i="29"/>
  <c r="AN18" i="29"/>
  <c r="AN490" i="29"/>
  <c r="AN202" i="29"/>
  <c r="AN295" i="29"/>
  <c r="AN52" i="29"/>
  <c r="AN242" i="29"/>
  <c r="AN134" i="29"/>
  <c r="AN359" i="29"/>
  <c r="AN160" i="29"/>
  <c r="AN143" i="29"/>
  <c r="AN346" i="29"/>
  <c r="AN539" i="29"/>
  <c r="AN92" i="29"/>
  <c r="AN233" i="29"/>
  <c r="AN173" i="29"/>
  <c r="AN309" i="29"/>
  <c r="AN314" i="29"/>
  <c r="AN188" i="29"/>
  <c r="AN377" i="29"/>
  <c r="AN484" i="29"/>
  <c r="AN83" i="29"/>
  <c r="AN284" i="29"/>
  <c r="AN47" i="29"/>
  <c r="AN120" i="29"/>
  <c r="AN281" i="29"/>
  <c r="AN574" i="29"/>
  <c r="AN78" i="29"/>
  <c r="AN247" i="29"/>
  <c r="AN183" i="29"/>
  <c r="AN322" i="29"/>
  <c r="AN456" i="29"/>
  <c r="AN555" i="29"/>
  <c r="AN129" i="29"/>
  <c r="AN518" i="29"/>
  <c r="AN315" i="29"/>
  <c r="AN251" i="29"/>
  <c r="AN166" i="29"/>
  <c r="AN493" i="29"/>
  <c r="AN496" i="29"/>
  <c r="AN556" i="29"/>
  <c r="AN375" i="29"/>
  <c r="AN583" i="29"/>
  <c r="AN389" i="29"/>
  <c r="AN392" i="29"/>
  <c r="AN273" i="29"/>
  <c r="AN24" i="29"/>
  <c r="AN286" i="29"/>
  <c r="AN514" i="29"/>
  <c r="AN157" i="29"/>
  <c r="AN20" i="29"/>
  <c r="AN422" i="29"/>
  <c r="AN145" i="29"/>
  <c r="AN297" i="29"/>
  <c r="AN584" i="29"/>
  <c r="AN523" i="29"/>
  <c r="AN151" i="29"/>
  <c r="AN99" i="29"/>
  <c r="AN536" i="29"/>
  <c r="AN332" i="29"/>
  <c r="AN531" i="29"/>
  <c r="AN321" i="29"/>
  <c r="AN229" i="29"/>
  <c r="AN215" i="29"/>
  <c r="AN339" i="29"/>
  <c r="AN218" i="29"/>
  <c r="AN398" i="29"/>
  <c r="AN141" i="29"/>
  <c r="AN528" i="29"/>
  <c r="AN582" i="29"/>
  <c r="AN111" i="29"/>
  <c r="AN473" i="29"/>
  <c r="AN571" i="29"/>
  <c r="AN303" i="29"/>
  <c r="AN479" i="29"/>
  <c r="AN256" i="29"/>
  <c r="AN14" i="29"/>
  <c r="AN154" i="29"/>
  <c r="AN373" i="29"/>
  <c r="AN228" i="29"/>
  <c r="AN35" i="29"/>
  <c r="AN121" i="29"/>
  <c r="AN472" i="29"/>
  <c r="AN445" i="29"/>
  <c r="AN77" i="29"/>
  <c r="AN452" i="29"/>
  <c r="AN194" i="29"/>
  <c r="AN601" i="29"/>
  <c r="AN447" i="29"/>
  <c r="D53" i="29"/>
  <c r="AN552" i="29"/>
  <c r="AN465" i="29"/>
  <c r="AN500" i="29"/>
  <c r="AN395" i="29"/>
  <c r="AN53" i="29"/>
  <c r="AN437" i="29"/>
  <c r="AN236" i="29"/>
  <c r="AN90" i="29"/>
  <c r="AN521" i="29"/>
  <c r="AN100" i="29"/>
  <c r="AN426" i="29"/>
  <c r="AN214" i="29"/>
  <c r="AN257" i="29"/>
  <c r="AN595" i="29"/>
  <c r="AN207" i="29"/>
  <c r="AN65" i="29"/>
  <c r="AN439" i="29"/>
  <c r="AN393" i="29"/>
  <c r="AN149" i="29"/>
  <c r="AN51" i="29"/>
  <c r="AN608" i="29"/>
  <c r="AN109" i="29"/>
  <c r="AN540" i="29"/>
  <c r="AN312" i="29"/>
  <c r="AN119" i="29"/>
  <c r="AN324" i="29"/>
  <c r="AN171" i="29"/>
  <c r="AN313" i="29"/>
  <c r="AN510" i="29"/>
  <c r="AN88" i="29"/>
  <c r="AN448" i="29"/>
  <c r="AN199" i="29"/>
  <c r="AN204" i="29"/>
  <c r="AN195" i="29"/>
  <c r="AN290" i="29"/>
  <c r="AN58" i="29"/>
  <c r="AN471" i="29"/>
  <c r="AN124" i="29"/>
  <c r="AN71" i="29"/>
  <c r="AN593" i="29"/>
  <c r="AN212" i="29"/>
  <c r="AN351" i="29"/>
  <c r="AN287" i="29"/>
  <c r="AN130" i="29"/>
  <c r="AN326" i="29"/>
  <c r="AN282" i="29"/>
  <c r="AN40" i="29"/>
  <c r="AN79" i="29"/>
  <c r="AN75" i="29"/>
  <c r="AN562" i="29"/>
  <c r="AN483" i="29"/>
  <c r="AN244" i="29"/>
  <c r="AN74" i="29"/>
  <c r="AN348" i="29"/>
  <c r="AN402" i="29"/>
  <c r="AN453" i="29"/>
  <c r="AN544" i="29"/>
  <c r="AN423" i="29"/>
  <c r="AN133" i="29"/>
  <c r="AN275" i="29"/>
  <c r="AN161" i="29"/>
  <c r="AN522" i="29"/>
  <c r="AN362" i="29"/>
  <c r="AN153" i="29"/>
  <c r="AN385" i="29"/>
  <c r="AN569" i="29"/>
  <c r="AN425" i="29"/>
  <c r="AN308" i="29"/>
  <c r="AN168" i="29"/>
  <c r="AN401" i="29"/>
  <c r="AN512" i="29"/>
  <c r="AN611" i="29"/>
  <c r="AN489" i="29"/>
  <c r="AN146" i="29"/>
  <c r="AN155" i="29"/>
  <c r="AN97" i="29"/>
  <c r="AN397" i="29"/>
  <c r="AN366" i="29"/>
  <c r="AN499" i="29"/>
  <c r="AN566" i="29"/>
  <c r="AN356" i="29"/>
  <c r="AN114" i="29"/>
  <c r="AN561" i="29"/>
  <c r="AN37" i="29"/>
  <c r="AN361" i="29"/>
  <c r="AN158" i="29"/>
  <c r="AN461" i="29"/>
  <c r="AN463" i="29"/>
  <c r="AN277" i="29"/>
  <c r="AN421" i="29"/>
  <c r="AN477" i="29"/>
  <c r="AN217" i="29"/>
  <c r="AN379" i="29"/>
  <c r="AN311" i="29"/>
  <c r="AN543" i="29"/>
  <c r="AN403" i="29"/>
  <c r="AN513" i="29"/>
  <c r="AN600" i="29"/>
  <c r="AN538" i="29"/>
  <c r="AN252" i="29"/>
  <c r="AN466" i="29"/>
  <c r="AN305" i="29"/>
  <c r="AN118" i="29"/>
  <c r="AN219" i="29"/>
  <c r="AN156" i="29"/>
  <c r="AN504" i="29"/>
  <c r="AN176" i="29"/>
  <c r="AN554" i="29"/>
  <c r="AN443" i="29"/>
  <c r="AN93" i="29"/>
  <c r="AN516" i="29"/>
  <c r="AN594" i="29"/>
  <c r="AN102" i="29"/>
  <c r="AN301" i="29"/>
  <c r="AN581" i="29"/>
  <c r="AN193" i="29"/>
  <c r="AN138" i="29"/>
  <c r="AN509" i="29"/>
  <c r="AN368" i="29"/>
  <c r="AN492" i="29"/>
  <c r="AN591" i="29"/>
  <c r="AN547" i="29"/>
  <c r="AN497" i="29"/>
  <c r="AN272" i="29"/>
  <c r="AN98" i="29"/>
  <c r="AN405" i="29"/>
  <c r="AN316" i="29"/>
  <c r="AN450" i="29"/>
  <c r="AN533" i="29"/>
  <c r="AN592" i="29"/>
  <c r="AN196" i="29"/>
  <c r="AN502" i="29"/>
  <c r="AN613" i="29"/>
  <c r="AN565" i="29"/>
  <c r="AN165" i="29"/>
  <c r="AN68" i="29"/>
  <c r="AN442" i="29"/>
  <c r="AN299" i="29"/>
  <c r="AN276" i="29"/>
  <c r="AN407" i="29"/>
  <c r="AN384" i="29"/>
  <c r="AN498" i="29"/>
  <c r="AN529" i="29"/>
  <c r="AN525" i="29"/>
  <c r="AN292" i="29"/>
  <c r="AN328" i="29"/>
  <c r="AN419" i="29"/>
  <c r="AN285" i="29"/>
  <c r="AN144" i="29"/>
  <c r="AN269" i="29"/>
  <c r="AN136" i="29"/>
  <c r="AN60" i="29"/>
  <c r="AN191" i="29"/>
  <c r="AN122" i="29"/>
  <c r="AN441" i="29"/>
  <c r="AN446" i="29"/>
  <c r="AN475" i="29"/>
  <c r="AN187" i="29"/>
  <c r="AN225" i="29"/>
  <c r="AN383" i="29"/>
  <c r="AN94" i="29"/>
  <c r="AN221" i="29"/>
  <c r="AN245" i="29"/>
  <c r="AN125" i="29"/>
  <c r="AN414" i="29"/>
  <c r="AN262" i="29"/>
  <c r="AN507" i="29"/>
  <c r="AN15" i="29"/>
  <c r="AN576" i="29"/>
  <c r="AN95" i="29"/>
  <c r="AN310" i="29"/>
  <c r="AN81" i="29"/>
  <c r="AN289" i="29"/>
  <c r="AN551" i="29"/>
  <c r="AN39" i="29"/>
  <c r="AN455" i="29"/>
  <c r="AN335" i="29"/>
  <c r="AN517" i="29"/>
  <c r="AN226" i="29"/>
  <c r="AN478" i="29"/>
  <c r="AN91" i="29"/>
  <c r="AN573" i="29"/>
  <c r="AN17" i="29"/>
  <c r="AN135" i="29"/>
  <c r="AN530" i="29"/>
  <c r="AN381" i="29"/>
  <c r="AN255" i="29"/>
  <c r="AN550" i="29"/>
  <c r="AN541" i="29"/>
  <c r="AN469" i="29"/>
  <c r="AN388" i="29"/>
  <c r="AN190" i="29"/>
  <c r="AN482" i="29"/>
  <c r="AN588" i="29"/>
  <c r="AN411" i="29"/>
  <c r="AN67" i="29"/>
  <c r="AN563" i="29"/>
  <c r="AN444" i="29"/>
  <c r="AN612" i="29"/>
  <c r="AN462" i="29"/>
  <c r="AN416" i="29"/>
  <c r="AN163" i="29"/>
  <c r="AN329" i="29"/>
  <c r="AN511" i="29"/>
  <c r="AN49" i="29"/>
  <c r="AN181" i="29"/>
  <c r="AN334" i="29"/>
  <c r="AN336" i="29"/>
  <c r="AN535" i="29"/>
  <c r="AN410" i="29"/>
  <c r="AN568" i="29"/>
  <c r="AN440" i="29"/>
  <c r="AN123" i="29"/>
  <c r="AN607" i="29"/>
  <c r="AN220" i="29"/>
  <c r="AN86" i="29"/>
  <c r="AN380" i="29"/>
  <c r="AN265" i="29"/>
  <c r="AN150" i="29"/>
  <c r="AN70" i="29"/>
  <c r="AN586" i="29"/>
  <c r="AN31" i="29"/>
  <c r="AN50" i="29"/>
  <c r="AN451" i="29"/>
  <c r="AN13" i="29"/>
  <c r="AN243" i="29"/>
  <c r="AN231" i="29"/>
  <c r="AN198" i="29"/>
  <c r="AN596" i="29"/>
  <c r="AN355" i="29"/>
  <c r="AN250" i="29"/>
  <c r="AN476" i="29"/>
  <c r="AN209" i="29"/>
  <c r="AN253" i="29"/>
  <c r="AN302" i="29"/>
  <c r="AN103" i="29"/>
  <c r="AN327" i="29"/>
  <c r="AN280" i="29"/>
  <c r="AN494" i="29"/>
  <c r="AN542" i="29"/>
  <c r="AN527" i="29"/>
  <c r="AN44" i="29"/>
  <c r="AN491" i="29"/>
  <c r="AN294" i="29"/>
  <c r="AN557" i="29"/>
  <c r="AN213" i="29"/>
  <c r="AN330" i="29"/>
  <c r="AN467" i="29"/>
  <c r="AN16" i="29"/>
  <c r="AN116" i="29"/>
  <c r="AN128" i="29"/>
  <c r="AN259" i="29"/>
  <c r="AN152" i="29"/>
  <c r="AN386" i="29"/>
  <c r="AN246" i="29"/>
  <c r="AN267" i="29"/>
  <c r="AN200" i="29"/>
  <c r="AN434" i="29"/>
  <c r="AN464" i="29"/>
  <c r="AN216" i="29"/>
  <c r="AN61" i="29"/>
  <c r="AN201" i="29"/>
  <c r="AN89" i="29"/>
  <c r="AN409" i="29"/>
  <c r="AN63" i="29"/>
  <c r="AN283" i="29"/>
  <c r="AN33" i="29"/>
  <c r="AN353" i="29"/>
  <c r="AN43" i="29"/>
  <c r="AN258" i="29"/>
  <c r="AN488" i="29"/>
  <c r="AN180" i="29"/>
  <c r="AN534" i="29"/>
  <c r="AN345" i="29"/>
  <c r="AN432" i="29"/>
  <c r="AN358" i="29"/>
  <c r="AN577" i="29"/>
  <c r="AN532" i="29"/>
  <c r="AN609" i="29"/>
  <c r="AN278" i="29"/>
  <c r="AN46" i="29"/>
  <c r="AN501" i="29"/>
  <c r="AN170" i="29"/>
  <c r="AN599" i="29"/>
  <c r="AN205" i="29"/>
  <c r="AN288" i="29"/>
  <c r="AN323" i="29"/>
  <c r="AN519" i="29"/>
  <c r="AN408" i="29"/>
  <c r="AN343" i="29"/>
  <c r="AN487" i="29"/>
  <c r="AN264" i="29"/>
  <c r="AN604" i="29"/>
  <c r="AN537" i="29"/>
  <c r="AN418" i="29"/>
  <c r="AN238" i="29"/>
  <c r="AN430" i="29"/>
  <c r="AN106" i="29"/>
  <c r="AN406" i="29"/>
  <c r="AN549" i="29"/>
  <c r="AN606" i="29"/>
  <c r="AN605" i="29"/>
  <c r="AN428" i="29"/>
  <c r="AN223" i="29"/>
  <c r="AN300" i="29"/>
  <c r="AN174" i="29"/>
  <c r="AN126" i="29"/>
  <c r="AN271" i="29"/>
  <c r="AN508" i="29"/>
  <c r="AN460" i="29"/>
  <c r="AN32" i="29"/>
  <c r="AN178" i="29"/>
  <c r="AN177" i="29"/>
  <c r="AN270" i="29"/>
  <c r="AN113" i="29"/>
  <c r="AN480" i="29"/>
  <c r="AN222" i="29"/>
  <c r="AN64" i="29"/>
  <c r="AN505" i="29"/>
  <c r="AN189" i="29"/>
  <c r="AN26" i="29"/>
  <c r="AN331" i="29"/>
  <c r="AN572" i="29"/>
  <c r="AN268" i="29"/>
  <c r="AN107" i="29"/>
  <c r="AN55" i="29"/>
  <c r="AN587" i="29"/>
  <c r="AN62" i="29"/>
  <c r="AN21" i="29"/>
  <c r="AN325" i="29"/>
  <c r="AN431" i="29"/>
  <c r="AN354" i="29"/>
  <c r="AN585" i="29"/>
  <c r="AN28" i="29"/>
  <c r="AN48" i="29"/>
  <c r="AN357" i="29"/>
  <c r="AN317" i="29"/>
  <c r="AN559" i="29"/>
  <c r="AN224" i="29"/>
  <c r="AN342" i="29"/>
  <c r="AN578" i="29"/>
  <c r="AN296" i="29"/>
  <c r="AN319" i="29"/>
  <c r="AN396" i="29"/>
  <c r="AN76" i="29"/>
  <c r="AN548" i="29"/>
  <c r="AN234" i="29"/>
  <c r="AN304" i="29"/>
  <c r="AN391" i="29"/>
  <c r="AN115" i="29"/>
  <c r="AN371" i="29"/>
  <c r="AN318" i="29"/>
  <c r="AN87" i="29"/>
  <c r="AN427" i="29"/>
  <c r="AN436" i="29"/>
  <c r="AN503" i="29"/>
  <c r="AN352" i="29"/>
  <c r="AN85" i="29"/>
  <c r="AN349" i="29"/>
  <c r="AN185" i="29"/>
  <c r="AN415" i="29"/>
  <c r="AN424" i="29"/>
  <c r="AN545" i="29"/>
  <c r="AN404" i="29"/>
  <c r="AN203" i="29"/>
  <c r="AN263" i="29"/>
  <c r="AN186" i="29"/>
  <c r="AN344" i="29"/>
  <c r="AN481" i="29"/>
  <c r="AN306" i="29"/>
  <c r="AN589" i="29"/>
  <c r="AN112" i="29"/>
  <c r="AN293" i="29"/>
  <c r="AN36" i="29"/>
  <c r="AN365" i="29"/>
  <c r="AN131" i="29"/>
  <c r="AN45" i="29"/>
  <c r="AN164" i="29"/>
  <c r="AN29" i="29"/>
  <c r="AN526" i="29"/>
  <c r="AN417" i="29"/>
  <c r="AN30" i="29"/>
  <c r="AN239" i="29"/>
  <c r="AN546" i="29"/>
  <c r="AN240" i="29"/>
  <c r="AN132" i="29"/>
  <c r="AN162" i="29"/>
  <c r="AN347" i="29"/>
  <c r="AN248" i="29"/>
  <c r="AN394" i="29"/>
  <c r="AN387" i="29"/>
  <c r="AN575" i="29"/>
  <c r="AN82" i="29"/>
  <c r="AN27" i="29"/>
  <c r="AN369" i="29"/>
  <c r="AN435" i="29"/>
  <c r="AN515" i="29"/>
  <c r="AN520" i="29"/>
  <c r="AN597" i="29"/>
  <c r="AN232" i="29"/>
  <c r="AM601" i="29"/>
  <c r="AN274" i="29"/>
  <c r="AN41" i="29"/>
  <c r="AN254" i="29"/>
  <c r="AN603" i="29"/>
  <c r="AN192" i="29"/>
  <c r="AN580" i="29"/>
  <c r="AN56" i="29"/>
  <c r="AN227" i="29"/>
  <c r="AN108" i="29"/>
  <c r="AN249" i="29"/>
  <c r="AN25" i="29"/>
  <c r="AN470" i="29"/>
  <c r="AN175" i="29"/>
  <c r="AN438" i="29"/>
  <c r="AN374" i="29"/>
  <c r="AN139" i="29"/>
  <c r="AN167" i="29"/>
  <c r="AN495" i="29"/>
  <c r="AN485" i="29"/>
  <c r="AN558" i="29"/>
  <c r="AN241" i="29"/>
  <c r="AN413" i="29"/>
  <c r="AN360" i="29"/>
  <c r="AN524" i="29"/>
  <c r="AN59" i="29"/>
  <c r="AN197" i="29"/>
  <c r="AN159" i="29"/>
  <c r="AN454" i="29"/>
  <c r="AN610" i="29"/>
  <c r="AN486" i="29"/>
  <c r="AN459" i="29"/>
  <c r="AN457" i="29"/>
  <c r="AN261" i="29"/>
  <c r="AN399" i="29"/>
  <c r="AN433" i="29"/>
  <c r="AN73" i="29"/>
  <c r="AN66" i="29"/>
  <c r="AN169" i="29"/>
  <c r="AN564" i="29"/>
  <c r="AN23" i="29"/>
  <c r="AN206" i="29"/>
  <c r="AN279" i="29"/>
  <c r="AN320" i="29"/>
  <c r="AN367" i="29"/>
  <c r="AN560" i="29"/>
  <c r="AN57" i="29"/>
  <c r="AN137" i="29"/>
  <c r="AN172" i="29"/>
  <c r="AN291" i="29"/>
  <c r="AN72" i="29"/>
  <c r="AN350" i="29"/>
  <c r="AM24" i="29"/>
  <c r="AN420" i="29"/>
  <c r="AN553" i="29"/>
  <c r="AM456" i="29"/>
  <c r="AN96" i="29"/>
  <c r="AN38" i="29"/>
  <c r="AN602" i="29"/>
  <c r="AN34" i="29"/>
  <c r="AN590" i="29"/>
  <c r="AN101" i="29"/>
  <c r="AM138" i="29"/>
  <c r="AM87" i="29"/>
  <c r="AM79" i="29"/>
  <c r="AM594" i="29"/>
  <c r="AN184" i="29"/>
  <c r="AN266" i="29"/>
  <c r="AN54" i="29"/>
  <c r="AM169" i="29"/>
  <c r="AM38" i="29"/>
  <c r="AN333" i="29"/>
  <c r="AN148" i="29"/>
  <c r="AN235" i="29"/>
  <c r="AN579" i="29"/>
  <c r="AN237" i="29"/>
  <c r="AN19" i="29"/>
  <c r="AM257" i="29"/>
  <c r="AM183" i="29"/>
  <c r="AM414" i="29"/>
  <c r="AM245" i="29"/>
  <c r="AM253" i="29"/>
  <c r="AM262" i="29"/>
  <c r="AM348" i="29"/>
  <c r="AM325" i="29"/>
  <c r="AM80" i="29"/>
  <c r="AM260" i="29"/>
  <c r="AM600" i="29"/>
  <c r="AM402" i="29"/>
  <c r="AM337" i="29"/>
  <c r="AM37" i="29"/>
  <c r="AM585" i="29"/>
  <c r="AM455" i="29"/>
  <c r="AM91" i="29"/>
  <c r="AM565" i="29"/>
  <c r="AM341" i="29"/>
  <c r="AM267" i="29"/>
  <c r="AM206" i="29"/>
  <c r="AM373" i="29"/>
  <c r="AM336" i="29"/>
  <c r="AM514" i="29"/>
  <c r="AM167" i="29"/>
  <c r="AM581" i="29"/>
  <c r="AM294" i="29"/>
  <c r="AM593" i="29"/>
  <c r="AM582" i="29"/>
  <c r="AM207" i="29"/>
  <c r="AM295" i="29"/>
  <c r="AM88" i="29"/>
  <c r="AM118" i="29"/>
  <c r="AM200" i="29"/>
  <c r="AM518" i="29"/>
  <c r="AM381" i="29"/>
  <c r="AM292" i="29"/>
  <c r="AM17" i="29"/>
  <c r="AM307" i="29"/>
  <c r="AM469" i="29"/>
  <c r="AM85" i="29"/>
  <c r="AM235" i="29"/>
  <c r="AM353" i="29"/>
  <c r="AM544" i="29"/>
  <c r="AM357" i="29"/>
  <c r="AM483" i="29"/>
  <c r="AM149" i="29"/>
  <c r="AM606" i="29"/>
  <c r="AM501" i="29"/>
  <c r="AM371" i="29"/>
  <c r="AM50" i="29"/>
  <c r="AM250" i="29"/>
  <c r="AM51" i="29"/>
  <c r="AM26" i="29"/>
  <c r="AM145" i="29"/>
  <c r="AM258" i="29"/>
  <c r="AM537" i="29"/>
  <c r="AO537" i="29" s="1"/>
  <c r="AM435" i="29"/>
  <c r="AM33" i="29"/>
  <c r="AM443" i="29"/>
  <c r="AM82" i="29"/>
  <c r="AM338" i="29"/>
  <c r="AM468" i="29"/>
  <c r="AM81" i="29"/>
  <c r="AM135" i="29"/>
  <c r="AM173" i="29"/>
  <c r="AM179" i="29"/>
  <c r="AM302" i="29"/>
  <c r="AM403" i="29"/>
  <c r="AM549" i="29"/>
  <c r="AM573" i="29"/>
  <c r="AM444" i="29"/>
  <c r="AM157" i="29"/>
  <c r="AM531" i="29"/>
  <c r="AM566" i="29"/>
  <c r="AM313" i="29"/>
  <c r="AM163" i="29"/>
  <c r="AM155" i="29"/>
  <c r="AO155" i="29" s="1"/>
  <c r="AM119" i="29"/>
  <c r="AM584" i="29"/>
  <c r="AM524" i="29"/>
  <c r="AM147" i="29"/>
  <c r="AM252" i="29"/>
  <c r="AM528" i="29"/>
  <c r="AM533" i="29"/>
  <c r="AM596" i="29"/>
  <c r="AM416" i="29"/>
  <c r="AM309" i="29"/>
  <c r="AM297" i="29"/>
  <c r="AM199" i="29"/>
  <c r="AM407" i="29"/>
  <c r="AM28" i="29"/>
  <c r="AM370" i="29"/>
  <c r="AM327" i="29"/>
  <c r="AM507" i="29"/>
  <c r="AM568" i="29"/>
  <c r="AM406" i="29"/>
  <c r="AM420" i="29"/>
  <c r="AM264" i="29"/>
  <c r="AM521" i="29"/>
  <c r="AM117" i="29"/>
  <c r="AM233" i="29"/>
  <c r="AM525" i="29"/>
  <c r="AM542" i="29"/>
  <c r="AM426" i="29"/>
  <c r="AM410" i="29"/>
  <c r="AM612" i="29"/>
  <c r="AM89" i="29"/>
  <c r="AM43" i="29"/>
  <c r="AM256" i="29"/>
  <c r="AM58" i="29"/>
  <c r="AO58" i="29" s="1"/>
  <c r="AM355" i="29"/>
  <c r="AM432" i="29"/>
  <c r="AM449" i="29"/>
  <c r="AM436" i="29"/>
  <c r="AM369" i="29"/>
  <c r="AM174" i="29"/>
  <c r="AO174" i="29" s="1"/>
  <c r="AM324" i="29"/>
  <c r="AM471" i="29"/>
  <c r="AM62" i="29"/>
  <c r="AM75" i="29"/>
  <c r="AM527" i="29"/>
  <c r="AM137" i="29"/>
  <c r="AM496" i="29"/>
  <c r="AM570" i="29"/>
  <c r="AM221" i="29"/>
  <c r="AM447" i="29"/>
  <c r="AM474" i="29"/>
  <c r="AM195" i="29"/>
  <c r="AM121" i="29"/>
  <c r="AM18" i="29"/>
  <c r="AO18" i="29" s="1"/>
  <c r="AM576" i="29"/>
  <c r="AM396" i="29"/>
  <c r="AM178" i="29"/>
  <c r="AM319" i="29"/>
  <c r="AM554" i="29"/>
  <c r="AM434" i="29"/>
  <c r="AM289" i="29"/>
  <c r="AM220" i="29"/>
  <c r="AM442" i="29"/>
  <c r="AO442" i="29" s="1"/>
  <c r="AM288" i="29"/>
  <c r="AM486" i="29"/>
  <c r="AM42" i="29"/>
  <c r="AM405" i="29"/>
  <c r="AM298" i="29"/>
  <c r="AM67" i="29"/>
  <c r="AM40" i="29"/>
  <c r="AM413" i="29"/>
  <c r="AM128" i="29"/>
  <c r="AM315" i="29"/>
  <c r="AM346" i="29"/>
  <c r="AM422" i="29"/>
  <c r="AM504" i="29"/>
  <c r="AM70" i="29"/>
  <c r="AM588" i="29"/>
  <c r="AM401" i="29"/>
  <c r="AM239" i="29"/>
  <c r="AM113" i="29"/>
  <c r="AM209" i="29"/>
  <c r="AM532" i="29"/>
  <c r="AM124" i="29"/>
  <c r="AO124" i="29" s="1"/>
  <c r="AM605" i="29"/>
  <c r="AM237" i="29"/>
  <c r="AM388" i="29"/>
  <c r="AM564" i="29"/>
  <c r="AM386" i="29"/>
  <c r="AM229" i="29"/>
  <c r="AM34" i="29"/>
  <c r="AM509" i="29"/>
  <c r="AO509" i="29" s="1"/>
  <c r="AM127" i="29"/>
  <c r="AM299" i="29"/>
  <c r="AM598" i="29"/>
  <c r="AM59" i="29"/>
  <c r="AM515" i="29"/>
  <c r="AM31" i="29"/>
  <c r="AM270" i="29"/>
  <c r="AM526" i="29"/>
  <c r="AM142" i="29"/>
  <c r="AM177" i="29"/>
  <c r="AM150" i="29"/>
  <c r="AM383" i="29"/>
  <c r="AM130" i="29"/>
  <c r="AM55" i="29"/>
  <c r="AM74" i="29"/>
  <c r="AM552" i="29"/>
  <c r="AM83" i="29"/>
  <c r="AM326" i="29"/>
  <c r="AM441" i="29"/>
  <c r="AM78" i="29"/>
  <c r="AO78" i="29" s="1"/>
  <c r="AM517" i="29"/>
  <c r="AM30" i="29"/>
  <c r="AM428" i="29"/>
  <c r="AM66" i="29"/>
  <c r="AM273" i="29"/>
  <c r="AM387" i="29"/>
  <c r="AM345" i="29"/>
  <c r="AM433" i="29"/>
  <c r="AM361" i="29"/>
  <c r="AM478" i="29"/>
  <c r="AM571" i="29"/>
  <c r="AM84" i="29"/>
  <c r="AM546" i="29"/>
  <c r="AM359" i="29"/>
  <c r="AM409" i="29"/>
  <c r="AM144" i="29"/>
  <c r="AM92" i="29"/>
  <c r="AM574" i="29"/>
  <c r="AM248" i="29"/>
  <c r="AM379" i="29"/>
  <c r="AM21" i="29"/>
  <c r="AM57" i="29"/>
  <c r="AM440" i="29"/>
  <c r="AM586" i="29"/>
  <c r="AM363" i="29"/>
  <c r="AM201" i="29"/>
  <c r="AM166" i="29"/>
  <c r="AM153" i="29"/>
  <c r="AM109" i="29"/>
  <c r="AM247" i="29"/>
  <c r="AM214" i="29"/>
  <c r="AM103" i="29"/>
  <c r="AM421" i="29"/>
  <c r="AM193" i="29"/>
  <c r="AO193" i="29" s="1"/>
  <c r="AM96" i="29"/>
  <c r="AM535" i="29"/>
  <c r="AM107" i="29"/>
  <c r="AM204" i="29"/>
  <c r="AM219" i="29"/>
  <c r="AM610" i="29"/>
  <c r="AM602" i="29"/>
  <c r="AM251" i="29"/>
  <c r="AM491" i="29"/>
  <c r="AM222" i="29"/>
  <c r="AM98" i="29"/>
  <c r="AM226" i="29"/>
  <c r="AM587" i="29"/>
  <c r="AM259" i="29"/>
  <c r="AM331" i="29"/>
  <c r="AM304" i="29"/>
  <c r="AM133" i="29"/>
  <c r="AM424" i="29"/>
  <c r="AM249" i="29"/>
  <c r="AM378" i="29"/>
  <c r="AM301" i="29"/>
  <c r="AM29" i="29"/>
  <c r="AM213" i="29"/>
  <c r="AM599" i="29"/>
  <c r="AO599" i="29" s="1"/>
  <c r="AM477" i="29"/>
  <c r="AM172" i="29"/>
  <c r="AM340" i="29"/>
  <c r="AM461" i="29"/>
  <c r="AM241" i="29"/>
  <c r="AM347" i="29"/>
  <c r="AM557" i="29"/>
  <c r="AM140" i="29"/>
  <c r="AM108" i="29"/>
  <c r="AM583" i="29"/>
  <c r="AM384" i="29"/>
  <c r="AM165" i="29"/>
  <c r="AM100" i="29"/>
  <c r="AM349" i="29"/>
  <c r="AM16" i="29"/>
  <c r="AM69" i="29"/>
  <c r="AM61" i="29"/>
  <c r="AO61" i="29" s="1"/>
  <c r="AM52" i="29"/>
  <c r="AM454" i="29"/>
  <c r="AM282" i="29"/>
  <c r="AM577" i="29"/>
  <c r="AM342" i="29"/>
  <c r="AM321" i="29"/>
  <c r="AM255" i="29"/>
  <c r="AM408" i="29"/>
  <c r="AM437" i="29"/>
  <c r="AO437" i="29" s="1"/>
  <c r="AM306" i="29"/>
  <c r="AM272" i="29"/>
  <c r="AM39" i="29"/>
  <c r="AM448" i="29"/>
  <c r="AM364" i="29"/>
  <c r="AM65" i="29"/>
  <c r="AM508" i="29"/>
  <c r="AM71" i="29"/>
  <c r="AM122" i="29"/>
  <c r="AM366" i="29"/>
  <c r="AM446" i="29"/>
  <c r="AM139" i="29"/>
  <c r="AM350" i="29"/>
  <c r="AM333" i="29"/>
  <c r="AM329" i="29"/>
  <c r="AM277" i="29"/>
  <c r="AM607" i="29"/>
  <c r="AM330" i="29"/>
  <c r="AM368" i="29"/>
  <c r="AM305" i="29"/>
  <c r="AM529" i="29"/>
  <c r="AM48" i="29"/>
  <c r="AM317" i="29"/>
  <c r="AM360" i="29"/>
  <c r="AM498" i="29"/>
  <c r="AM102" i="29"/>
  <c r="AM591" i="29"/>
  <c r="AM466" i="29"/>
  <c r="AM300" i="29"/>
  <c r="AM271" i="29"/>
  <c r="AM392" i="29"/>
  <c r="AM161" i="29"/>
  <c r="AM284" i="29"/>
  <c r="AM398" i="29"/>
  <c r="AM320" i="29"/>
  <c r="AM19" i="29"/>
  <c r="AM372" i="29"/>
  <c r="AM460" i="29"/>
  <c r="AM41" i="29"/>
  <c r="AM534" i="29"/>
  <c r="AM194" i="29"/>
  <c r="AM223" i="29"/>
  <c r="AM563" i="29"/>
  <c r="AM513" i="29"/>
  <c r="AM427" i="29"/>
  <c r="AM285" i="29"/>
  <c r="AO285" i="29" s="1"/>
  <c r="AM356" i="29"/>
  <c r="AM208" i="29"/>
  <c r="AM323" i="29"/>
  <c r="AM597" i="29"/>
  <c r="AM389" i="29"/>
  <c r="AM411" i="29"/>
  <c r="AM519" i="29"/>
  <c r="AM603" i="29"/>
  <c r="AM211" i="29"/>
  <c r="AM90" i="29"/>
  <c r="AM510" i="29"/>
  <c r="AM203" i="29"/>
  <c r="AM185" i="29"/>
  <c r="AM192" i="29"/>
  <c r="AM198" i="29"/>
  <c r="AM592" i="29"/>
  <c r="AM290" i="29"/>
  <c r="AM125" i="29"/>
  <c r="AM225" i="29"/>
  <c r="AM114" i="29"/>
  <c r="AM431" i="29"/>
  <c r="AM328" i="29"/>
  <c r="AO328" i="29" s="1"/>
  <c r="AM246" i="29"/>
  <c r="AM425" i="29"/>
  <c r="AM286" i="29"/>
  <c r="AM429" i="29"/>
  <c r="AM358" i="29"/>
  <c r="AM291" i="29"/>
  <c r="AM473" i="29"/>
  <c r="AM261" i="29"/>
  <c r="AM27" i="29"/>
  <c r="AM562" i="29"/>
  <c r="AM126" i="29"/>
  <c r="AM457" i="29"/>
  <c r="AM269" i="29"/>
  <c r="AM93" i="29"/>
  <c r="AM63" i="29"/>
  <c r="AM106" i="29"/>
  <c r="AM391" i="29"/>
  <c r="AM287" i="29"/>
  <c r="AM548" i="29"/>
  <c r="AM216" i="29"/>
  <c r="AM20" i="29"/>
  <c r="AM604" i="29"/>
  <c r="AM268" i="29"/>
  <c r="AM472" i="29"/>
  <c r="AM45" i="29"/>
  <c r="AM215" i="29"/>
  <c r="AM116" i="29"/>
  <c r="AM160" i="29"/>
  <c r="AM72" i="29"/>
  <c r="AM112" i="29"/>
  <c r="AM380" i="29"/>
  <c r="AM276" i="29"/>
  <c r="AM111" i="29"/>
  <c r="AM575" i="29"/>
  <c r="AM495" i="29"/>
  <c r="AM240" i="29"/>
  <c r="AM23" i="29"/>
  <c r="AM311" i="29"/>
  <c r="AM234" i="29"/>
  <c r="AM205" i="29"/>
  <c r="AM217" i="29"/>
  <c r="AM202" i="29"/>
  <c r="AM430" i="29"/>
  <c r="AM499" i="29"/>
  <c r="AM68" i="29"/>
  <c r="AM191" i="29"/>
  <c r="AM190" i="29"/>
  <c r="AM503" i="29"/>
  <c r="AM56" i="29"/>
  <c r="AM485" i="29"/>
  <c r="AM385" i="29"/>
  <c r="AM458" i="29"/>
  <c r="AM451" i="29"/>
  <c r="AM488" i="29"/>
  <c r="AM608" i="29"/>
  <c r="AM556" i="29"/>
  <c r="AM154" i="29"/>
  <c r="AM32" i="29"/>
  <c r="AM210" i="29"/>
  <c r="AM555" i="29"/>
  <c r="AM15" i="29"/>
  <c r="AM578" i="29"/>
  <c r="AM572" i="29"/>
  <c r="AM450" i="29"/>
  <c r="AM558" i="29"/>
  <c r="AM171" i="29"/>
  <c r="AM335" i="29"/>
  <c r="AM376" i="29"/>
  <c r="AM312" i="29"/>
  <c r="AM162" i="29"/>
  <c r="AM580" i="29"/>
  <c r="AM77" i="29"/>
  <c r="AM522" i="29"/>
  <c r="AM569" i="29"/>
  <c r="AM115" i="29"/>
  <c r="AM278" i="29"/>
  <c r="AM439" i="29"/>
  <c r="AM101" i="29"/>
  <c r="AM540" i="29"/>
  <c r="AM232" i="29"/>
  <c r="AM344" i="29"/>
  <c r="AM417" i="29"/>
  <c r="AM352" i="29"/>
  <c r="AM470" i="29"/>
  <c r="AM561" i="29"/>
  <c r="AM547" i="29"/>
  <c r="AM86" i="29"/>
  <c r="AM242" i="29"/>
  <c r="AM502" i="29"/>
  <c r="AM375" i="29"/>
  <c r="AM143" i="29"/>
  <c r="AM551" i="29"/>
  <c r="AM156" i="29"/>
  <c r="AM334" i="29"/>
  <c r="AM197" i="29"/>
  <c r="AM281" i="29"/>
  <c r="AM279" i="29"/>
  <c r="AM438" i="29"/>
  <c r="AM560" i="29"/>
  <c r="AM354" i="29"/>
  <c r="AM467" i="29"/>
  <c r="AM164" i="29"/>
  <c r="AM332" i="29"/>
  <c r="AM459" i="29"/>
  <c r="AM318" i="29"/>
  <c r="AM182" i="29"/>
  <c r="AM158" i="29"/>
  <c r="AM482" i="29"/>
  <c r="AM545" i="29"/>
  <c r="AM516" i="29"/>
  <c r="AM280" i="29"/>
  <c r="AM339" i="29"/>
  <c r="AM76" i="29"/>
  <c r="AM14" i="29"/>
  <c r="AM224" i="29"/>
  <c r="AM196" i="29"/>
  <c r="AM94" i="29"/>
  <c r="AM399" i="29"/>
  <c r="AM543" i="29"/>
  <c r="AM129" i="29"/>
  <c r="AM283" i="29"/>
  <c r="AM539" i="29"/>
  <c r="AM404" i="29"/>
  <c r="AM343" i="29"/>
  <c r="AM296" i="29"/>
  <c r="AM490" i="29"/>
  <c r="AM308" i="29"/>
  <c r="AM322" i="29"/>
  <c r="AM275" i="29"/>
  <c r="AM99" i="29"/>
  <c r="AM25" i="29"/>
  <c r="AM132" i="29"/>
  <c r="AM188" i="29"/>
  <c r="AM238" i="29"/>
  <c r="AO238" i="29" s="1"/>
  <c r="AM134" i="29"/>
  <c r="AM494" i="29"/>
  <c r="AM227" i="29"/>
  <c r="AM419" i="29"/>
  <c r="AM266" i="29"/>
  <c r="AM487" i="29"/>
  <c r="AM303" i="29"/>
  <c r="AM189" i="29"/>
  <c r="AO189" i="29" s="1"/>
  <c r="AM595" i="29"/>
  <c r="AM512" i="29"/>
  <c r="AM505" i="29"/>
  <c r="AM362" i="29"/>
  <c r="AM541" i="29"/>
  <c r="AM351" i="29"/>
  <c r="AM462" i="29"/>
  <c r="AM520" i="29"/>
  <c r="AM148" i="29"/>
  <c r="AM445" i="29"/>
  <c r="AM131" i="29"/>
  <c r="AM13" i="29"/>
  <c r="AM35" i="29"/>
  <c r="AM184" i="29"/>
  <c r="AM274" i="29"/>
  <c r="AM365" i="29"/>
  <c r="AM44" i="29"/>
  <c r="AM53" i="29"/>
  <c r="AM236" i="29"/>
  <c r="AM530" i="29"/>
  <c r="AM479" i="29"/>
  <c r="AM64" i="29"/>
  <c r="AM314" i="29"/>
  <c r="AM400" i="29"/>
  <c r="AM484" i="29"/>
  <c r="AM151" i="29"/>
  <c r="AM590" i="29"/>
  <c r="AM228" i="29"/>
  <c r="AM104" i="29"/>
  <c r="AM123" i="29"/>
  <c r="AM170" i="29"/>
  <c r="AM60" i="29"/>
  <c r="AO60" i="29" s="1"/>
  <c r="AM212" i="29"/>
  <c r="AM475" i="29"/>
  <c r="AM175" i="29"/>
  <c r="AM481" i="29"/>
  <c r="AM254" i="29"/>
  <c r="AM367" i="29"/>
  <c r="AM382" i="29"/>
  <c r="AM243" i="29"/>
  <c r="AM230" i="29"/>
  <c r="AM493" i="29"/>
  <c r="AM464" i="29"/>
  <c r="AO464" i="29" s="1"/>
  <c r="AM310" i="29"/>
  <c r="AM423" i="29"/>
  <c r="AM589" i="29"/>
  <c r="AM397" i="29"/>
  <c r="AM293" i="29"/>
  <c r="AM538" i="29"/>
  <c r="AM47" i="29"/>
  <c r="AM231" i="29"/>
  <c r="AM176" i="29"/>
  <c r="AM550" i="29"/>
  <c r="AM22" i="29"/>
  <c r="AM567" i="29"/>
  <c r="AM480" i="29"/>
  <c r="AM46" i="29"/>
  <c r="AM613" i="29"/>
  <c r="AM95" i="29"/>
  <c r="AM159" i="29"/>
  <c r="AM316" i="29"/>
  <c r="AM412" i="29"/>
  <c r="AM465" i="29"/>
  <c r="AM374" i="29"/>
  <c r="AM168" i="29"/>
  <c r="AM390" i="29"/>
  <c r="AM553" i="29"/>
  <c r="AM263" i="29"/>
  <c r="AM186" i="29"/>
  <c r="AM146" i="29"/>
  <c r="AM506" i="29"/>
  <c r="AM136" i="29"/>
  <c r="AM609" i="29"/>
  <c r="AM500" i="29"/>
  <c r="AM110" i="29"/>
  <c r="AO110" i="29" s="1"/>
  <c r="AM97" i="29"/>
  <c r="AO97" i="29" s="1"/>
  <c r="AM395" i="29"/>
  <c r="AM180" i="29"/>
  <c r="AM453" i="29"/>
  <c r="AM187" i="29"/>
  <c r="AM418" i="29"/>
  <c r="AM393" i="29"/>
  <c r="AM120" i="29"/>
  <c r="AM476" i="29"/>
  <c r="AM559" i="29"/>
  <c r="AM73" i="29"/>
  <c r="AM492" i="29"/>
  <c r="AM489" i="29"/>
  <c r="AM579" i="29"/>
  <c r="AM218" i="29"/>
  <c r="AM152" i="29"/>
  <c r="AM265" i="29"/>
  <c r="AM244" i="29"/>
  <c r="AM415" i="29"/>
  <c r="AM49" i="29"/>
  <c r="AM497" i="29"/>
  <c r="AM141" i="29"/>
  <c r="AM54" i="29"/>
  <c r="AM463" i="29"/>
  <c r="AM394" i="29"/>
  <c r="AM105" i="29"/>
  <c r="AM377" i="29"/>
  <c r="AP114" i="29"/>
  <c r="AQ114" i="29" s="1"/>
  <c r="AR114" i="29" s="1"/>
  <c r="AP204" i="29"/>
  <c r="AQ204" i="29" s="1"/>
  <c r="AR204" i="29" s="1"/>
  <c r="AP132" i="29"/>
  <c r="AQ132" i="29" s="1"/>
  <c r="AR132" i="29" s="1"/>
  <c r="AP255" i="29"/>
  <c r="AQ255" i="29" s="1"/>
  <c r="AR255" i="29" s="1"/>
  <c r="AP290" i="29"/>
  <c r="AQ290" i="29" s="1"/>
  <c r="AR290" i="29" s="1"/>
  <c r="AP330" i="29"/>
  <c r="AQ330" i="29" s="1"/>
  <c r="AR330" i="29" s="1"/>
  <c r="AP306" i="29"/>
  <c r="AQ306" i="29" s="1"/>
  <c r="AR306" i="29" s="1"/>
  <c r="AP84" i="29"/>
  <c r="AQ84" i="29" s="1"/>
  <c r="AR84" i="29" s="1"/>
  <c r="AP167" i="29"/>
  <c r="AQ167" i="29" s="1"/>
  <c r="AR167" i="29" s="1"/>
  <c r="AP459" i="29"/>
  <c r="AQ459" i="29" s="1"/>
  <c r="AR459" i="29" s="1"/>
  <c r="AP599" i="29"/>
  <c r="AQ599" i="29" s="1"/>
  <c r="AR599" i="29" s="1"/>
  <c r="AP520" i="29"/>
  <c r="AQ520" i="29" s="1"/>
  <c r="AR520" i="29" s="1"/>
  <c r="AP237" i="29"/>
  <c r="AQ237" i="29" s="1"/>
  <c r="AR237" i="29" s="1"/>
  <c r="AP175" i="29"/>
  <c r="AQ175" i="29" s="1"/>
  <c r="AR175" i="29" s="1"/>
  <c r="AP311" i="29"/>
  <c r="AQ311" i="29" s="1"/>
  <c r="AR311" i="29" s="1"/>
  <c r="AP557" i="29"/>
  <c r="AQ557" i="29" s="1"/>
  <c r="AR557" i="29" s="1"/>
  <c r="AP293" i="29"/>
  <c r="AQ293" i="29" s="1"/>
  <c r="AR293" i="29" s="1"/>
  <c r="AP450" i="29"/>
  <c r="AQ450" i="29" s="1"/>
  <c r="AR450" i="29" s="1"/>
  <c r="AP308" i="29"/>
  <c r="AQ308" i="29" s="1"/>
  <c r="AR308" i="29" s="1"/>
  <c r="AP417" i="29"/>
  <c r="AQ417" i="29" s="1"/>
  <c r="AR417" i="29" s="1"/>
  <c r="AP586" i="29"/>
  <c r="AQ586" i="29" s="1"/>
  <c r="AR586" i="29" s="1"/>
  <c r="AP488" i="29"/>
  <c r="AQ488" i="29" s="1"/>
  <c r="AR488" i="29" s="1"/>
  <c r="AM611" i="29"/>
  <c r="AP86" i="29"/>
  <c r="AQ86" i="29" s="1"/>
  <c r="AR86" i="29" s="1"/>
  <c r="AP213" i="29"/>
  <c r="AQ213" i="29" s="1"/>
  <c r="AR213" i="29" s="1"/>
  <c r="AP54" i="29"/>
  <c r="AQ54" i="29" s="1"/>
  <c r="AR54" i="29" s="1"/>
  <c r="AP233" i="29"/>
  <c r="AQ233" i="29" s="1"/>
  <c r="AR233" i="29" s="1"/>
  <c r="AP593" i="29"/>
  <c r="AQ593" i="29" s="1"/>
  <c r="AR593" i="29" s="1"/>
  <c r="AP502" i="29"/>
  <c r="AQ502" i="29" s="1"/>
  <c r="AR502" i="29" s="1"/>
  <c r="AP195" i="29"/>
  <c r="AQ195" i="29" s="1"/>
  <c r="AR195" i="29" s="1"/>
  <c r="AP168" i="29"/>
  <c r="AQ168" i="29" s="1"/>
  <c r="AR168" i="29" s="1"/>
  <c r="AP82" i="29"/>
  <c r="AQ82" i="29" s="1"/>
  <c r="AR82" i="29" s="1"/>
  <c r="AP321" i="29"/>
  <c r="AQ321" i="29" s="1"/>
  <c r="AR321" i="29" s="1"/>
  <c r="AP382" i="29"/>
  <c r="AQ382" i="29" s="1"/>
  <c r="AR382" i="29" s="1"/>
  <c r="AP253" i="29"/>
  <c r="AQ253" i="29" s="1"/>
  <c r="AR253" i="29" s="1"/>
  <c r="AP294" i="29"/>
  <c r="AQ294" i="29" s="1"/>
  <c r="AR294" i="29" s="1"/>
  <c r="AP567" i="29"/>
  <c r="AQ567" i="29" s="1"/>
  <c r="AR567" i="29" s="1"/>
  <c r="AP236" i="29"/>
  <c r="AQ236" i="29" s="1"/>
  <c r="AR236" i="29" s="1"/>
  <c r="AP507" i="29"/>
  <c r="AQ507" i="29" s="1"/>
  <c r="AR507" i="29" s="1"/>
  <c r="AP198" i="29"/>
  <c r="AQ198" i="29" s="1"/>
  <c r="AR198" i="29" s="1"/>
  <c r="AP367" i="29"/>
  <c r="AQ367" i="29" s="1"/>
  <c r="AR367" i="29" s="1"/>
  <c r="AP98" i="29"/>
  <c r="AQ98" i="29" s="1"/>
  <c r="AR98" i="29" s="1"/>
  <c r="AP383" i="29"/>
  <c r="AQ383" i="29" s="1"/>
  <c r="AR383" i="29" s="1"/>
  <c r="AP454" i="29"/>
  <c r="AQ454" i="29" s="1"/>
  <c r="AR454" i="29" s="1"/>
  <c r="AP379" i="29"/>
  <c r="AQ379" i="29" s="1"/>
  <c r="AR379" i="29" s="1"/>
  <c r="AM452" i="29"/>
  <c r="AO452" i="29" s="1"/>
  <c r="AP349" i="29"/>
  <c r="AQ349" i="29" s="1"/>
  <c r="AR349" i="29" s="1"/>
  <c r="AP248" i="29"/>
  <c r="AQ248" i="29" s="1"/>
  <c r="AR248" i="29" s="1"/>
  <c r="AP577" i="29"/>
  <c r="AQ577" i="29" s="1"/>
  <c r="AR577" i="29" s="1"/>
  <c r="AP281" i="29"/>
  <c r="AQ281" i="29" s="1"/>
  <c r="AR281" i="29" s="1"/>
  <c r="AP485" i="29"/>
  <c r="AQ485" i="29" s="1"/>
  <c r="AR485" i="29" s="1"/>
  <c r="AP572" i="29"/>
  <c r="AQ572" i="29" s="1"/>
  <c r="AR572" i="29" s="1"/>
  <c r="AP201" i="29"/>
  <c r="AQ201" i="29" s="1"/>
  <c r="AR201" i="29" s="1"/>
  <c r="AM36" i="29"/>
  <c r="AP282" i="29"/>
  <c r="AQ282" i="29" s="1"/>
  <c r="AR282" i="29" s="1"/>
  <c r="AP468" i="29"/>
  <c r="AQ468" i="29" s="1"/>
  <c r="AR468" i="29" s="1"/>
  <c r="AP476" i="29"/>
  <c r="AQ476" i="29" s="1"/>
  <c r="AR476" i="29" s="1"/>
  <c r="AP340" i="29"/>
  <c r="AQ340" i="29" s="1"/>
  <c r="AR340" i="29" s="1"/>
  <c r="AP522" i="29"/>
  <c r="AQ522" i="29" s="1"/>
  <c r="AR522" i="29" s="1"/>
  <c r="AP243" i="29"/>
  <c r="AQ243" i="29" s="1"/>
  <c r="AR243" i="29" s="1"/>
  <c r="AP221" i="29"/>
  <c r="AQ221" i="29" s="1"/>
  <c r="AR221" i="29" s="1"/>
  <c r="AP176" i="29"/>
  <c r="AQ176" i="29" s="1"/>
  <c r="AR176" i="29" s="1"/>
  <c r="AP75" i="29"/>
  <c r="AQ75" i="29" s="1"/>
  <c r="AR75" i="29" s="1"/>
  <c r="AP527" i="29"/>
  <c r="AQ527" i="29" s="1"/>
  <c r="AR527" i="29" s="1"/>
  <c r="AP52" i="29"/>
  <c r="AQ52" i="29" s="1"/>
  <c r="AR52" i="29" s="1"/>
  <c r="AP24" i="29"/>
  <c r="AQ24" i="29" s="1"/>
  <c r="AR24" i="29" s="1"/>
  <c r="AP418" i="29"/>
  <c r="AQ418" i="29" s="1"/>
  <c r="AR418" i="29" s="1"/>
  <c r="AP179" i="29"/>
  <c r="AQ179" i="29" s="1"/>
  <c r="AR179" i="29" s="1"/>
  <c r="AP324" i="29"/>
  <c r="AQ324" i="29" s="1"/>
  <c r="AR324" i="29" s="1"/>
  <c r="AP590" i="29"/>
  <c r="AQ590" i="29" s="1"/>
  <c r="AR590" i="29" s="1"/>
  <c r="AP85" i="29"/>
  <c r="AQ85" i="29" s="1"/>
  <c r="AR85" i="29" s="1"/>
  <c r="AP223" i="29"/>
  <c r="AQ223" i="29" s="1"/>
  <c r="AR223" i="29" s="1"/>
  <c r="AP436" i="29"/>
  <c r="AQ436" i="29" s="1"/>
  <c r="AR436" i="29" s="1"/>
  <c r="AP441" i="29"/>
  <c r="AQ441" i="29" s="1"/>
  <c r="AR441" i="29" s="1"/>
  <c r="AP414" i="29"/>
  <c r="AQ414" i="29" s="1"/>
  <c r="AR414" i="29" s="1"/>
  <c r="AP26" i="29"/>
  <c r="AQ26" i="29" s="1"/>
  <c r="AR26" i="29" s="1"/>
  <c r="AP581" i="29"/>
  <c r="AQ581" i="29" s="1"/>
  <c r="AR581" i="29" s="1"/>
  <c r="AP105" i="29"/>
  <c r="AQ105" i="29" s="1"/>
  <c r="AR105" i="29" s="1"/>
  <c r="AP53" i="29"/>
  <c r="AQ53" i="29" s="1"/>
  <c r="AR53" i="29" s="1"/>
  <c r="AP451" i="29"/>
  <c r="AQ451" i="29" s="1"/>
  <c r="AR451" i="29" s="1"/>
  <c r="AP541" i="29"/>
  <c r="AQ541" i="29" s="1"/>
  <c r="AR541" i="29" s="1"/>
  <c r="AP58" i="29"/>
  <c r="AQ58" i="29" s="1"/>
  <c r="AR58" i="29" s="1"/>
  <c r="AP474" i="29"/>
  <c r="AQ474" i="29" s="1"/>
  <c r="AR474" i="29" s="1"/>
  <c r="AP192" i="29"/>
  <c r="AQ192" i="29" s="1"/>
  <c r="AR192" i="29" s="1"/>
  <c r="AP299" i="29"/>
  <c r="AQ299" i="29" s="1"/>
  <c r="AR299" i="29" s="1"/>
  <c r="AP466" i="29"/>
  <c r="AQ466" i="29" s="1"/>
  <c r="AR466" i="29" s="1"/>
  <c r="AP111" i="29"/>
  <c r="AQ111" i="29" s="1"/>
  <c r="AR111" i="29" s="1"/>
  <c r="AP524" i="29"/>
  <c r="AQ524" i="29" s="1"/>
  <c r="AR524" i="29" s="1"/>
  <c r="AP160" i="29"/>
  <c r="AQ160" i="29" s="1"/>
  <c r="AR160" i="29" s="1"/>
  <c r="AP226" i="29"/>
  <c r="AQ226" i="29" s="1"/>
  <c r="AR226" i="29" s="1"/>
  <c r="AM511" i="29"/>
  <c r="AP554" i="29"/>
  <c r="AQ554" i="29" s="1"/>
  <c r="AR554" i="29" s="1"/>
  <c r="AP212" i="29"/>
  <c r="AQ212" i="29" s="1"/>
  <c r="AR212" i="29" s="1"/>
  <c r="AP467" i="29"/>
  <c r="AQ467" i="29" s="1"/>
  <c r="AR467" i="29" s="1"/>
  <c r="AP180" i="29"/>
  <c r="AQ180" i="29" s="1"/>
  <c r="AR180" i="29" s="1"/>
  <c r="AP309" i="29"/>
  <c r="AQ309" i="29" s="1"/>
  <c r="AR309" i="29" s="1"/>
  <c r="AP410" i="29"/>
  <c r="AQ410" i="29" s="1"/>
  <c r="AR410" i="29" s="1"/>
  <c r="AP288" i="29"/>
  <c r="AQ288" i="29" s="1"/>
  <c r="AR288" i="29" s="1"/>
  <c r="AP380" i="29"/>
  <c r="AQ380" i="29" s="1"/>
  <c r="AR380" i="29" s="1"/>
  <c r="AP603" i="29"/>
  <c r="AQ603" i="29" s="1"/>
  <c r="AR603" i="29" s="1"/>
  <c r="AP206" i="29"/>
  <c r="AQ206" i="29" s="1"/>
  <c r="AR206" i="29" s="1"/>
  <c r="AP392" i="29"/>
  <c r="AQ392" i="29" s="1"/>
  <c r="AR392" i="29" s="1"/>
  <c r="AP481" i="29"/>
  <c r="AQ481" i="29" s="1"/>
  <c r="AR481" i="29" s="1"/>
  <c r="AP109" i="29"/>
  <c r="AQ109" i="29" s="1"/>
  <c r="AR109" i="29" s="1"/>
  <c r="AP208" i="29"/>
  <c r="AQ208" i="29" s="1"/>
  <c r="AR208" i="29" s="1"/>
  <c r="AP218" i="29"/>
  <c r="AQ218" i="29" s="1"/>
  <c r="AR218" i="29" s="1"/>
  <c r="AP222" i="29"/>
  <c r="AQ222" i="29" s="1"/>
  <c r="AR222" i="29" s="1"/>
  <c r="AP352" i="29"/>
  <c r="AQ352" i="29" s="1"/>
  <c r="AR352" i="29" s="1"/>
  <c r="AP302" i="29"/>
  <c r="AQ302" i="29" s="1"/>
  <c r="AR302" i="29" s="1"/>
  <c r="AP122" i="29"/>
  <c r="AQ122" i="29" s="1"/>
  <c r="AR122" i="29" s="1"/>
  <c r="AP35" i="29"/>
  <c r="AQ35" i="29" s="1"/>
  <c r="AR35" i="29" s="1"/>
  <c r="AP545" i="29"/>
  <c r="AQ545" i="29" s="1"/>
  <c r="AR545" i="29" s="1"/>
  <c r="AP36" i="29"/>
  <c r="AQ36" i="29" s="1"/>
  <c r="AR36" i="29" s="1"/>
  <c r="D52" i="29"/>
  <c r="D54" i="29" s="1"/>
  <c r="AM536" i="29"/>
  <c r="AP153" i="29"/>
  <c r="AQ153" i="29" s="1"/>
  <c r="AR153" i="29" s="1"/>
  <c r="AP187" i="29"/>
  <c r="AQ187" i="29" s="1"/>
  <c r="AR187" i="29" s="1"/>
  <c r="AP144" i="29"/>
  <c r="AQ144" i="29" s="1"/>
  <c r="AR144" i="29" s="1"/>
  <c r="AP210" i="29"/>
  <c r="AQ210" i="29" s="1"/>
  <c r="AR210" i="29" s="1"/>
  <c r="AP214" i="29"/>
  <c r="AQ214" i="29" s="1"/>
  <c r="AR214" i="29" s="1"/>
  <c r="AP518" i="29"/>
  <c r="AQ518" i="29" s="1"/>
  <c r="AR518" i="29" s="1"/>
  <c r="AP351" i="29"/>
  <c r="AQ351" i="29" s="1"/>
  <c r="AR351" i="29" s="1"/>
  <c r="AP194" i="29"/>
  <c r="AQ194" i="29" s="1"/>
  <c r="AR194" i="29" s="1"/>
  <c r="AP163" i="29"/>
  <c r="AQ163" i="29" s="1"/>
  <c r="AR163" i="29" s="1"/>
  <c r="AP61" i="29"/>
  <c r="AQ61" i="29" s="1"/>
  <c r="AR61" i="29" s="1"/>
  <c r="AP430" i="29"/>
  <c r="AQ430" i="29" s="1"/>
  <c r="AR430" i="29" s="1"/>
  <c r="AP139" i="29"/>
  <c r="AQ139" i="29" s="1"/>
  <c r="AR139" i="29" s="1"/>
  <c r="AP182" i="29"/>
  <c r="AQ182" i="29" s="1"/>
  <c r="AR182" i="29" s="1"/>
  <c r="AP534" i="29"/>
  <c r="AQ534" i="29" s="1"/>
  <c r="AR534" i="29" s="1"/>
  <c r="AP137" i="29"/>
  <c r="AQ137" i="29" s="1"/>
  <c r="AR137" i="29" s="1"/>
  <c r="AP536" i="29"/>
  <c r="AQ536" i="29" s="1"/>
  <c r="AR536" i="29" s="1"/>
  <c r="AP186" i="29"/>
  <c r="AQ186" i="29" s="1"/>
  <c r="AR186" i="29" s="1"/>
  <c r="AP568" i="29"/>
  <c r="AQ568" i="29" s="1"/>
  <c r="AR568" i="29" s="1"/>
  <c r="AP583" i="29"/>
  <c r="AQ583" i="29" s="1"/>
  <c r="AR583" i="29" s="1"/>
  <c r="AP66" i="29"/>
  <c r="AQ66" i="29" s="1"/>
  <c r="AR66" i="29" s="1"/>
  <c r="AP125" i="29"/>
  <c r="AQ125" i="29" s="1"/>
  <c r="AR125" i="29" s="1"/>
  <c r="AP147" i="29"/>
  <c r="AQ147" i="29" s="1"/>
  <c r="AR147" i="29" s="1"/>
  <c r="AP197" i="29"/>
  <c r="AQ197" i="29" s="1"/>
  <c r="AR197" i="29" s="1"/>
  <c r="AP291" i="29"/>
  <c r="AQ291" i="29" s="1"/>
  <c r="AR291" i="29" s="1"/>
  <c r="AP491" i="29"/>
  <c r="AQ491" i="29" s="1"/>
  <c r="AR491" i="29" s="1"/>
  <c r="AP217" i="29"/>
  <c r="AQ217" i="29" s="1"/>
  <c r="AR217" i="29" s="1"/>
  <c r="AP32" i="29"/>
  <c r="AQ32" i="29" s="1"/>
  <c r="AR32" i="29" s="1"/>
  <c r="AP56" i="29"/>
  <c r="AQ56" i="29" s="1"/>
  <c r="AR56" i="29" s="1"/>
  <c r="AP134" i="29"/>
  <c r="AQ134" i="29" s="1"/>
  <c r="AR134" i="29" s="1"/>
  <c r="AP13" i="29"/>
  <c r="AQ13" i="29" s="1"/>
  <c r="AR13" i="29" s="1"/>
  <c r="AP356" i="29"/>
  <c r="AQ356" i="29" s="1"/>
  <c r="AR356" i="29" s="1"/>
  <c r="AP34" i="29"/>
  <c r="AQ34" i="29" s="1"/>
  <c r="AR34" i="29" s="1"/>
  <c r="AP475" i="29"/>
  <c r="AQ475" i="29" s="1"/>
  <c r="AR475" i="29" s="1"/>
  <c r="AP270" i="29"/>
  <c r="AQ270" i="29" s="1"/>
  <c r="AR270" i="29" s="1"/>
  <c r="AP357" i="29"/>
  <c r="AQ357" i="29" s="1"/>
  <c r="AR357" i="29" s="1"/>
  <c r="AP50" i="29"/>
  <c r="AQ50" i="29" s="1"/>
  <c r="AR50" i="29" s="1"/>
  <c r="AP447" i="29"/>
  <c r="AQ447" i="29" s="1"/>
  <c r="AR447" i="29" s="1"/>
  <c r="AP483" i="29"/>
  <c r="AQ483" i="29" s="1"/>
  <c r="AR483" i="29" s="1"/>
  <c r="AP533" i="29"/>
  <c r="AQ533" i="29" s="1"/>
  <c r="AR533" i="29" s="1"/>
  <c r="AP136" i="29"/>
  <c r="AQ136" i="29" s="1"/>
  <c r="AR136" i="29" s="1"/>
  <c r="AP15" i="29"/>
  <c r="AQ15" i="29" s="1"/>
  <c r="AR15" i="29" s="1"/>
  <c r="AP543" i="29"/>
  <c r="AQ543" i="29" s="1"/>
  <c r="AR543" i="29" s="1"/>
  <c r="AP78" i="29"/>
  <c r="AQ78" i="29" s="1"/>
  <c r="AR78" i="29" s="1"/>
  <c r="AP336" i="29"/>
  <c r="AQ336" i="29" s="1"/>
  <c r="AR336" i="29" s="1"/>
  <c r="AM181" i="29"/>
  <c r="AM523" i="29"/>
  <c r="AP347" i="29"/>
  <c r="AQ347" i="29" s="1"/>
  <c r="AR347" i="29" s="1"/>
  <c r="AP610" i="29"/>
  <c r="AQ610" i="29" s="1"/>
  <c r="AR610" i="29" s="1"/>
  <c r="AP241" i="29"/>
  <c r="AQ241" i="29" s="1"/>
  <c r="AR241" i="29" s="1"/>
  <c r="AP96" i="29"/>
  <c r="AQ96" i="29" s="1"/>
  <c r="AR96" i="29" s="1"/>
  <c r="AP280" i="29"/>
  <c r="AQ280" i="29" s="1"/>
  <c r="AR280" i="29" s="1"/>
  <c r="AP440" i="29"/>
  <c r="AQ440" i="29" s="1"/>
  <c r="AR440" i="29" s="1"/>
  <c r="AP33" i="29"/>
  <c r="AQ33" i="29" s="1"/>
  <c r="AR33" i="29" s="1"/>
  <c r="AP434" i="29"/>
  <c r="AQ434" i="29" s="1"/>
  <c r="AR434" i="29" s="1"/>
  <c r="AP276" i="29"/>
  <c r="AQ276" i="29" s="1"/>
  <c r="AR276" i="29" s="1"/>
  <c r="AP322" i="29"/>
  <c r="AQ322" i="29" s="1"/>
  <c r="AR322" i="29" s="1"/>
  <c r="AP133" i="29"/>
  <c r="AQ133" i="29" s="1"/>
  <c r="AR133" i="29" s="1"/>
  <c r="AP227" i="29"/>
  <c r="AQ227" i="29" s="1"/>
  <c r="AR227" i="29" s="1"/>
  <c r="AP516" i="29"/>
  <c r="AQ516" i="29" s="1"/>
  <c r="AR516" i="29" s="1"/>
  <c r="AP360" i="29"/>
  <c r="AQ360" i="29" s="1"/>
  <c r="AR360" i="29" s="1"/>
  <c r="AP131" i="29"/>
  <c r="AQ131" i="29" s="1"/>
  <c r="AR131" i="29" s="1"/>
  <c r="AP44" i="29"/>
  <c r="AQ44" i="29" s="1"/>
  <c r="AR44" i="29" s="1"/>
  <c r="AP224" i="29"/>
  <c r="AQ224" i="29" s="1"/>
  <c r="AR224" i="29" s="1"/>
  <c r="AP539" i="29"/>
  <c r="AQ539" i="29" s="1"/>
  <c r="AR539" i="29" s="1"/>
  <c r="AP207" i="29"/>
  <c r="AQ207" i="29" s="1"/>
  <c r="AR207" i="29" s="1"/>
  <c r="AP424" i="29"/>
  <c r="AQ424" i="29" s="1"/>
  <c r="AR424" i="29" s="1"/>
  <c r="AP529" i="29"/>
  <c r="AQ529" i="29" s="1"/>
  <c r="AR529" i="29" s="1"/>
  <c r="AP129" i="29"/>
  <c r="AQ129" i="29" s="1"/>
  <c r="AR129" i="29" s="1"/>
  <c r="AP613" i="29"/>
  <c r="AQ613" i="29" s="1"/>
  <c r="AR613" i="29" s="1"/>
  <c r="AP265" i="29"/>
  <c r="AQ265" i="29" s="1"/>
  <c r="AR265" i="29" s="1"/>
  <c r="AP433" i="29"/>
  <c r="AQ433" i="29" s="1"/>
  <c r="AR433" i="29" s="1"/>
  <c r="AP505" i="29"/>
  <c r="AQ505" i="29" s="1"/>
  <c r="AR505" i="29" s="1"/>
  <c r="AP57" i="29"/>
  <c r="AQ57" i="29" s="1"/>
  <c r="AR57" i="29" s="1"/>
  <c r="AP178" i="29"/>
  <c r="AQ178" i="29" s="1"/>
  <c r="AR178" i="29" s="1"/>
  <c r="AP277" i="29"/>
  <c r="AQ277" i="29" s="1"/>
  <c r="AR277" i="29" s="1"/>
  <c r="AP200" i="29"/>
  <c r="AQ200" i="29" s="1"/>
  <c r="AR200" i="29" s="1"/>
  <c r="AP449" i="29"/>
  <c r="AQ449" i="29" s="1"/>
  <c r="AR449" i="29" s="1"/>
  <c r="AP113" i="29"/>
  <c r="AQ113" i="29" s="1"/>
  <c r="AR113" i="29" s="1"/>
  <c r="AP73" i="29"/>
  <c r="AQ73" i="29" s="1"/>
  <c r="AR73" i="29" s="1"/>
  <c r="AP59" i="29"/>
  <c r="AQ59" i="29" s="1"/>
  <c r="AR59" i="29" s="1"/>
  <c r="AP540" i="29"/>
  <c r="AQ540" i="29" s="1"/>
  <c r="AR540" i="29" s="1"/>
  <c r="AP92" i="29"/>
  <c r="AQ92" i="29" s="1"/>
  <c r="AR92" i="29" s="1"/>
  <c r="AP335" i="29"/>
  <c r="AQ335" i="29" s="1"/>
  <c r="AR335" i="29" s="1"/>
  <c r="AP251" i="29"/>
  <c r="AQ251" i="29" s="1"/>
  <c r="AR251" i="29" s="1"/>
  <c r="AP438" i="29"/>
  <c r="AQ438" i="29" s="1"/>
  <c r="AR438" i="29" s="1"/>
  <c r="AP108" i="29"/>
  <c r="AQ108" i="29" s="1"/>
  <c r="AR108" i="29" s="1"/>
  <c r="AP183" i="29"/>
  <c r="AQ183" i="29" s="1"/>
  <c r="AR183" i="29" s="1"/>
  <c r="AP283" i="29"/>
  <c r="AQ283" i="29" s="1"/>
  <c r="AR283" i="29" s="1"/>
  <c r="AP170" i="29"/>
  <c r="AQ170" i="29" s="1"/>
  <c r="AR170" i="29" s="1"/>
  <c r="AP530" i="29"/>
  <c r="AQ530" i="29" s="1"/>
  <c r="AR530" i="29" s="1"/>
  <c r="AP388" i="29"/>
  <c r="AQ388" i="29" s="1"/>
  <c r="AR388" i="29" s="1"/>
  <c r="AP18" i="29"/>
  <c r="AQ18" i="29" s="1"/>
  <c r="AR18" i="29" s="1"/>
  <c r="AP284" i="29"/>
  <c r="AQ284" i="29" s="1"/>
  <c r="AR284" i="29" s="1"/>
  <c r="AP307" i="29"/>
  <c r="AQ307" i="29" s="1"/>
  <c r="AR307" i="29" s="1"/>
  <c r="AP310" i="29"/>
  <c r="AQ310" i="29" s="1"/>
  <c r="AR310" i="29" s="1"/>
  <c r="AP273" i="29"/>
  <c r="AQ273" i="29" s="1"/>
  <c r="AR273" i="29" s="1"/>
  <c r="AP215" i="29"/>
  <c r="AQ215" i="29" s="1"/>
  <c r="AR215" i="29" s="1"/>
  <c r="AP582" i="29"/>
  <c r="AQ582" i="29" s="1"/>
  <c r="AR582" i="29" s="1"/>
  <c r="AP478" i="29"/>
  <c r="AQ478" i="29" s="1"/>
  <c r="AR478" i="29" s="1"/>
  <c r="AP67" i="29"/>
  <c r="AQ67" i="29" s="1"/>
  <c r="AR67" i="29" s="1"/>
  <c r="AP546" i="29"/>
  <c r="AQ546" i="29" s="1"/>
  <c r="AR546" i="29" s="1"/>
  <c r="AP551" i="29"/>
  <c r="AQ551" i="29" s="1"/>
  <c r="AR551" i="29" s="1"/>
  <c r="AP46" i="29"/>
  <c r="AQ46" i="29" s="1"/>
  <c r="AR46" i="29" s="1"/>
  <c r="AP161" i="29"/>
  <c r="AQ161" i="29" s="1"/>
  <c r="AR161" i="29" s="1"/>
  <c r="AP393" i="29"/>
  <c r="AQ393" i="29" s="1"/>
  <c r="AR393" i="29" s="1"/>
  <c r="AP193" i="29"/>
  <c r="AQ193" i="29" s="1"/>
  <c r="AR193" i="29" s="1"/>
  <c r="AP526" i="29"/>
  <c r="AQ526" i="29" s="1"/>
  <c r="AR526" i="29" s="1"/>
  <c r="AP239" i="29"/>
  <c r="AQ239" i="29" s="1"/>
  <c r="AR239" i="29" s="1"/>
  <c r="AP37" i="29"/>
  <c r="AQ37" i="29" s="1"/>
  <c r="AR37" i="29" s="1"/>
  <c r="AP523" i="29"/>
  <c r="AQ523" i="29" s="1"/>
  <c r="AR523" i="29" s="1"/>
  <c r="AP40" i="29"/>
  <c r="AQ40" i="29" s="1"/>
  <c r="AR40" i="29" s="1"/>
  <c r="AP370" i="29"/>
  <c r="AQ370" i="29" s="1"/>
  <c r="AR370" i="29" s="1"/>
  <c r="AP188" i="29"/>
  <c r="AQ188" i="29" s="1"/>
  <c r="AR188" i="29" s="1"/>
  <c r="AP72" i="29"/>
  <c r="AQ72" i="29" s="1"/>
  <c r="AR72" i="29" s="1"/>
  <c r="AP547" i="29"/>
  <c r="AQ547" i="29" s="1"/>
  <c r="AR547" i="29" s="1"/>
  <c r="AP445" i="29"/>
  <c r="AQ445" i="29" s="1"/>
  <c r="AR445" i="29" s="1"/>
  <c r="AP573" i="29"/>
  <c r="AQ573" i="29" s="1"/>
  <c r="AR573" i="29" s="1"/>
  <c r="AP456" i="29"/>
  <c r="AQ456" i="29" s="1"/>
  <c r="AR456" i="29" s="1"/>
  <c r="AP318" i="29"/>
  <c r="AQ318" i="29" s="1"/>
  <c r="AR318" i="29" s="1"/>
  <c r="AP298" i="29"/>
  <c r="AQ298" i="29" s="1"/>
  <c r="AR298" i="29" s="1"/>
  <c r="AP49" i="29"/>
  <c r="AQ49" i="29" s="1"/>
  <c r="AR49" i="29" s="1"/>
  <c r="AP446" i="29"/>
  <c r="AQ446" i="29" s="1"/>
  <c r="AR446" i="29" s="1"/>
  <c r="AP189" i="29"/>
  <c r="AQ189" i="29" s="1"/>
  <c r="AR189" i="29" s="1"/>
  <c r="AP70" i="29"/>
  <c r="AQ70" i="29" s="1"/>
  <c r="AR70" i="29" s="1"/>
  <c r="AP531" i="29"/>
  <c r="AQ531" i="29" s="1"/>
  <c r="AR531" i="29" s="1"/>
  <c r="AP329" i="29"/>
  <c r="AQ329" i="29" s="1"/>
  <c r="AR329" i="29" s="1"/>
  <c r="AP240" i="29"/>
  <c r="AQ240" i="29" s="1"/>
  <c r="AR240" i="29" s="1"/>
  <c r="AP146" i="29"/>
  <c r="AQ146" i="29" s="1"/>
  <c r="AR146" i="29" s="1"/>
  <c r="AP320" i="29"/>
  <c r="AQ320" i="29" s="1"/>
  <c r="AR320" i="29" s="1"/>
  <c r="AP448" i="29"/>
  <c r="AQ448" i="29" s="1"/>
  <c r="AR448" i="29" s="1"/>
  <c r="AP39" i="29"/>
  <c r="AQ39" i="29" s="1"/>
  <c r="AR39" i="29" s="1"/>
  <c r="AP381" i="29"/>
  <c r="AQ381" i="29" s="1"/>
  <c r="AR381" i="29" s="1"/>
  <c r="AP138" i="29"/>
  <c r="AQ138" i="29" s="1"/>
  <c r="AR138" i="29" s="1"/>
  <c r="AP313" i="29"/>
  <c r="AQ313" i="29" s="1"/>
  <c r="AR313" i="29" s="1"/>
  <c r="AP558" i="29"/>
  <c r="AQ558" i="29" s="1"/>
  <c r="AR558" i="29" s="1"/>
  <c r="AP415" i="29"/>
  <c r="AQ415" i="29" s="1"/>
  <c r="AR415" i="29" s="1"/>
  <c r="AP519" i="29"/>
  <c r="AQ519" i="29" s="1"/>
  <c r="AR519" i="29" s="1"/>
  <c r="AP257" i="29"/>
  <c r="AQ257" i="29" s="1"/>
  <c r="AR257" i="29" s="1"/>
  <c r="AP225" i="29"/>
  <c r="AQ225" i="29" s="1"/>
  <c r="AR225" i="29" s="1"/>
  <c r="AP235" i="29"/>
  <c r="AQ235" i="29" s="1"/>
  <c r="AR235" i="29" s="1"/>
  <c r="AP559" i="29"/>
  <c r="AQ559" i="29" s="1"/>
  <c r="AR559" i="29" s="1"/>
  <c r="AP597" i="29"/>
  <c r="AQ597" i="29" s="1"/>
  <c r="AR597" i="29" s="1"/>
  <c r="AP171" i="29"/>
  <c r="AQ171" i="29" s="1"/>
  <c r="AR171" i="29" s="1"/>
  <c r="AP65" i="29"/>
  <c r="AQ65" i="29" s="1"/>
  <c r="AR65" i="29" s="1"/>
  <c r="AP141" i="29"/>
  <c r="AQ141" i="29" s="1"/>
  <c r="AR141" i="29" s="1"/>
  <c r="AP107" i="29"/>
  <c r="AQ107" i="29" s="1"/>
  <c r="AR107" i="29" s="1"/>
  <c r="AP348" i="29"/>
  <c r="AQ348" i="29" s="1"/>
  <c r="AR348" i="29" s="1"/>
  <c r="AP71" i="29"/>
  <c r="AQ71" i="29" s="1"/>
  <c r="AR71" i="29" s="1"/>
  <c r="AP428" i="29"/>
  <c r="AQ428" i="29" s="1"/>
  <c r="AR428" i="29" s="1"/>
  <c r="AP337" i="29"/>
  <c r="AQ337" i="29" s="1"/>
  <c r="AR337" i="29" s="1"/>
  <c r="AP538" i="29"/>
  <c r="AQ538" i="29" s="1"/>
  <c r="AR538" i="29" s="1"/>
  <c r="AP552" i="29"/>
  <c r="AQ552" i="29" s="1"/>
  <c r="AR552" i="29" s="1"/>
  <c r="AP115" i="29"/>
  <c r="AQ115" i="29" s="1"/>
  <c r="AR115" i="29" s="1"/>
  <c r="AP396" i="29"/>
  <c r="AQ396" i="29" s="1"/>
  <c r="AR396" i="29" s="1"/>
  <c r="AP574" i="29"/>
  <c r="AQ574" i="29" s="1"/>
  <c r="AR574" i="29" s="1"/>
  <c r="AP423" i="29"/>
  <c r="AQ423" i="29" s="1"/>
  <c r="AR423" i="29" s="1"/>
  <c r="AP354" i="29"/>
  <c r="AQ354" i="29" s="1"/>
  <c r="AR354" i="29" s="1"/>
  <c r="AP358" i="29"/>
  <c r="AQ358" i="29" s="1"/>
  <c r="AR358" i="29" s="1"/>
  <c r="AP612" i="29"/>
  <c r="AQ612" i="29" s="1"/>
  <c r="AR612" i="29" s="1"/>
  <c r="AP94" i="29"/>
  <c r="AQ94" i="29" s="1"/>
  <c r="AR94" i="29" s="1"/>
  <c r="AP196" i="29"/>
  <c r="AQ196" i="29" s="1"/>
  <c r="AR196" i="29" s="1"/>
  <c r="AP611" i="29"/>
  <c r="AQ611" i="29" s="1"/>
  <c r="AR611" i="29" s="1"/>
  <c r="AP262" i="29"/>
  <c r="AQ262" i="29" s="1"/>
  <c r="AR262" i="29" s="1"/>
  <c r="AP267" i="29"/>
  <c r="AQ267" i="29" s="1"/>
  <c r="AR267" i="29" s="1"/>
  <c r="AP595" i="29"/>
  <c r="AQ595" i="29" s="1"/>
  <c r="AR595" i="29" s="1"/>
  <c r="AP405" i="29"/>
  <c r="AQ405" i="29" s="1"/>
  <c r="AR405" i="29" s="1"/>
  <c r="AP231" i="29"/>
  <c r="AQ231" i="29" s="1"/>
  <c r="AR231" i="29" s="1"/>
  <c r="AP490" i="29"/>
  <c r="AQ490" i="29" s="1"/>
  <c r="AR490" i="29" s="1"/>
  <c r="AP461" i="29"/>
  <c r="AQ461" i="29" s="1"/>
  <c r="AR461" i="29" s="1"/>
  <c r="AP355" i="29"/>
  <c r="AQ355" i="29" s="1"/>
  <c r="AR355" i="29" s="1"/>
  <c r="AP435" i="29"/>
  <c r="AQ435" i="29" s="1"/>
  <c r="AR435" i="29" s="1"/>
  <c r="AP442" i="29"/>
  <c r="AQ442" i="29" s="1"/>
  <c r="AR442" i="29" s="1"/>
  <c r="AP106" i="29"/>
  <c r="AQ106" i="29" s="1"/>
  <c r="AR106" i="29" s="1"/>
  <c r="AP157" i="29"/>
  <c r="AQ157" i="29" s="1"/>
  <c r="AR157" i="29" s="1"/>
  <c r="AP101" i="29"/>
  <c r="AQ101" i="29" s="1"/>
  <c r="AR101" i="29" s="1"/>
  <c r="AP350" i="29"/>
  <c r="AQ350" i="29" s="1"/>
  <c r="AR350" i="29" s="1"/>
  <c r="AP130" i="29"/>
  <c r="AQ130" i="29" s="1"/>
  <c r="AR130" i="29" s="1"/>
  <c r="AP47" i="29"/>
  <c r="AQ47" i="29" s="1"/>
  <c r="AR47" i="29" s="1"/>
  <c r="AP173" i="29"/>
  <c r="AQ173" i="29" s="1"/>
  <c r="AR173" i="29" s="1"/>
  <c r="AP589" i="29"/>
  <c r="AQ589" i="29" s="1"/>
  <c r="AR589" i="29" s="1"/>
  <c r="AP17" i="29"/>
  <c r="AQ17" i="29" s="1"/>
  <c r="AR17" i="29" s="1"/>
  <c r="AP604" i="29"/>
  <c r="AQ604" i="29" s="1"/>
  <c r="AR604" i="29" s="1"/>
  <c r="AP104" i="29"/>
  <c r="AQ104" i="29" s="1"/>
  <c r="AR104" i="29" s="1"/>
  <c r="AP376" i="29"/>
  <c r="AQ376" i="29" s="1"/>
  <c r="AR376" i="29" s="1"/>
  <c r="AP498" i="29"/>
  <c r="AQ498" i="29" s="1"/>
  <c r="AR498" i="29" s="1"/>
  <c r="AP608" i="29"/>
  <c r="AQ608" i="29" s="1"/>
  <c r="AR608" i="29" s="1"/>
  <c r="AP334" i="29"/>
  <c r="AQ334" i="29" s="1"/>
  <c r="AR334" i="29" s="1"/>
  <c r="AP135" i="29"/>
  <c r="AQ135" i="29" s="1"/>
  <c r="AR135" i="29" s="1"/>
  <c r="AP166" i="29"/>
  <c r="AQ166" i="29" s="1"/>
  <c r="AR166" i="29" s="1"/>
  <c r="AP81" i="29"/>
  <c r="AQ81" i="29" s="1"/>
  <c r="AR81" i="29" s="1"/>
  <c r="AP169" i="29"/>
  <c r="AQ169" i="29" s="1"/>
  <c r="AR169" i="29" s="1"/>
  <c r="AP570" i="29"/>
  <c r="AQ570" i="29" s="1"/>
  <c r="AR570" i="29" s="1"/>
  <c r="AP158" i="29"/>
  <c r="AQ158" i="29" s="1"/>
  <c r="AR158" i="29" s="1"/>
  <c r="AP261" i="29"/>
  <c r="AQ261" i="29" s="1"/>
  <c r="AR261" i="29" s="1"/>
  <c r="AP317" i="29"/>
  <c r="AQ317" i="29" s="1"/>
  <c r="AR317" i="29" s="1"/>
  <c r="AP344" i="29"/>
  <c r="AQ344" i="29" s="1"/>
  <c r="AR344" i="29" s="1"/>
  <c r="AP301" i="29"/>
  <c r="AQ301" i="29" s="1"/>
  <c r="AR301" i="29" s="1"/>
  <c r="AP342" i="29"/>
  <c r="AQ342" i="29" s="1"/>
  <c r="AR342" i="29" s="1"/>
  <c r="AP278" i="29"/>
  <c r="AQ278" i="29" s="1"/>
  <c r="AR278" i="29" s="1"/>
  <c r="AP292" i="29"/>
  <c r="AQ292" i="29" s="1"/>
  <c r="AR292" i="29" s="1"/>
  <c r="AP398" i="29"/>
  <c r="AQ398" i="29" s="1"/>
  <c r="AR398" i="29" s="1"/>
  <c r="AP31" i="29"/>
  <c r="AQ31" i="29" s="1"/>
  <c r="AR31" i="29" s="1"/>
  <c r="AP90" i="29"/>
  <c r="AQ90" i="29" s="1"/>
  <c r="AR90" i="29" s="1"/>
  <c r="AP28" i="29"/>
  <c r="AQ28" i="29" s="1"/>
  <c r="AR28" i="29" s="1"/>
  <c r="AP544" i="29"/>
  <c r="AQ544" i="29" s="1"/>
  <c r="AR544" i="29" s="1"/>
  <c r="AP245" i="29"/>
  <c r="AQ245" i="29" s="1"/>
  <c r="AR245" i="29" s="1"/>
  <c r="AP19" i="29"/>
  <c r="AQ19" i="29" s="1"/>
  <c r="AR19" i="29" s="1"/>
  <c r="AP25" i="29"/>
  <c r="AQ25" i="29" s="1"/>
  <c r="AR25" i="29" s="1"/>
  <c r="AP124" i="29"/>
  <c r="AQ124" i="29" s="1"/>
  <c r="AR124" i="29" s="1"/>
  <c r="AP68" i="29"/>
  <c r="AQ68" i="29" s="1"/>
  <c r="AR68" i="29" s="1"/>
  <c r="AP140" i="29"/>
  <c r="AQ140" i="29" s="1"/>
  <c r="AR140" i="29" s="1"/>
  <c r="AP332" i="29"/>
  <c r="AQ332" i="29" s="1"/>
  <c r="AR332" i="29" s="1"/>
  <c r="AP203" i="29"/>
  <c r="AQ203" i="29" s="1"/>
  <c r="AR203" i="29" s="1"/>
  <c r="AP88" i="29"/>
  <c r="AQ88" i="29" s="1"/>
  <c r="AR88" i="29" s="1"/>
  <c r="AP494" i="29"/>
  <c r="AQ494" i="29" s="1"/>
  <c r="AR494" i="29" s="1"/>
  <c r="AP63" i="29"/>
  <c r="AQ63" i="29" s="1"/>
  <c r="AR63" i="29" s="1"/>
  <c r="AP87" i="29"/>
  <c r="AQ87" i="29" s="1"/>
  <c r="AR87" i="29" s="1"/>
  <c r="AP29" i="29"/>
  <c r="AQ29" i="29" s="1"/>
  <c r="AR29" i="29" s="1"/>
  <c r="AP605" i="29"/>
  <c r="AQ605" i="29" s="1"/>
  <c r="AR605" i="29" s="1"/>
  <c r="AP585" i="29"/>
  <c r="AQ585" i="29" s="1"/>
  <c r="AR585" i="29" s="1"/>
  <c r="AP346" i="29"/>
  <c r="AQ346" i="29" s="1"/>
  <c r="AR346" i="29" s="1"/>
  <c r="AP601" i="29"/>
  <c r="AQ601" i="29" s="1"/>
  <c r="AR601" i="29" s="1"/>
  <c r="AP202" i="29"/>
  <c r="AQ202" i="29" s="1"/>
  <c r="AR202" i="29" s="1"/>
  <c r="AP432" i="29"/>
  <c r="AQ432" i="29" s="1"/>
  <c r="AR432" i="29" s="1"/>
  <c r="AP496" i="29"/>
  <c r="AQ496" i="29" s="1"/>
  <c r="AR496" i="29" s="1"/>
  <c r="AP229" i="29"/>
  <c r="AQ229" i="29" s="1"/>
  <c r="AR229" i="29" s="1"/>
  <c r="AP561" i="29"/>
  <c r="AQ561" i="29" s="1"/>
  <c r="AR561" i="29" s="1"/>
  <c r="AP521" i="29"/>
  <c r="AQ521" i="29" s="1"/>
  <c r="AR521" i="29" s="1"/>
  <c r="AP254" i="29"/>
  <c r="AQ254" i="29" s="1"/>
  <c r="AR254" i="29" s="1"/>
  <c r="AP487" i="29"/>
  <c r="AQ487" i="29" s="1"/>
  <c r="AR487" i="29" s="1"/>
  <c r="AP560" i="29"/>
  <c r="AQ560" i="29" s="1"/>
  <c r="AR560" i="29" s="1"/>
  <c r="AP575" i="29"/>
  <c r="AQ575" i="29" s="1"/>
  <c r="AR575" i="29" s="1"/>
  <c r="AP462" i="29"/>
  <c r="AQ462" i="29" s="1"/>
  <c r="AR462" i="29" s="1"/>
  <c r="AP305" i="29"/>
  <c r="AQ305" i="29" s="1"/>
  <c r="AR305" i="29" s="1"/>
  <c r="AP151" i="29"/>
  <c r="AQ151" i="29" s="1"/>
  <c r="AR151" i="29" s="1"/>
  <c r="AP287" i="29"/>
  <c r="AQ287" i="29" s="1"/>
  <c r="AR287" i="29" s="1"/>
  <c r="AP588" i="29"/>
  <c r="AQ588" i="29" s="1"/>
  <c r="AR588" i="29" s="1"/>
  <c r="AP319" i="29"/>
  <c r="AQ319" i="29" s="1"/>
  <c r="AR319" i="29" s="1"/>
  <c r="AP279" i="29"/>
  <c r="AQ279" i="29" s="1"/>
  <c r="AR279" i="29" s="1"/>
  <c r="AP437" i="29"/>
  <c r="AQ437" i="29" s="1"/>
  <c r="AR437" i="29" s="1"/>
  <c r="AP100" i="29"/>
  <c r="AQ100" i="29" s="1"/>
  <c r="AR100" i="29" s="1"/>
  <c r="AP500" i="29"/>
  <c r="AQ500" i="29" s="1"/>
  <c r="AR500" i="29" s="1"/>
  <c r="AP400" i="29"/>
  <c r="AQ400" i="29" s="1"/>
  <c r="AR400" i="29" s="1"/>
  <c r="AP495" i="29"/>
  <c r="AQ495" i="29" s="1"/>
  <c r="AR495" i="29" s="1"/>
  <c r="AP569" i="29"/>
  <c r="AQ569" i="29" s="1"/>
  <c r="AR569" i="29" s="1"/>
  <c r="AP411" i="29"/>
  <c r="AQ411" i="29" s="1"/>
  <c r="AR411" i="29" s="1"/>
  <c r="AP439" i="29"/>
  <c r="AQ439" i="29" s="1"/>
  <c r="AR439" i="29" s="1"/>
  <c r="AP409" i="29"/>
  <c r="AQ409" i="29" s="1"/>
  <c r="AR409" i="29" s="1"/>
  <c r="AP41" i="29"/>
  <c r="AQ41" i="29" s="1"/>
  <c r="AR41" i="29" s="1"/>
  <c r="AP247" i="29"/>
  <c r="AQ247" i="29" s="1"/>
  <c r="AR247" i="29" s="1"/>
  <c r="AP562" i="29"/>
  <c r="AQ562" i="29" s="1"/>
  <c r="AR562" i="29" s="1"/>
  <c r="AP42" i="29"/>
  <c r="AQ42" i="29" s="1"/>
  <c r="AR42" i="29" s="1"/>
  <c r="AP60" i="29"/>
  <c r="AQ60" i="29" s="1"/>
  <c r="AR60" i="29" s="1"/>
  <c r="AP579" i="29"/>
  <c r="AQ579" i="29" s="1"/>
  <c r="AR579" i="29" s="1"/>
  <c r="AP359" i="29"/>
  <c r="AQ359" i="29" s="1"/>
  <c r="AR359" i="29" s="1"/>
  <c r="AP578" i="29"/>
  <c r="AQ578" i="29" s="1"/>
  <c r="AR578" i="29" s="1"/>
  <c r="AP260" i="29"/>
  <c r="AQ260" i="29" s="1"/>
  <c r="AR260" i="29" s="1"/>
  <c r="AP20" i="29"/>
  <c r="AQ20" i="29" s="1"/>
  <c r="AR20" i="29" s="1"/>
  <c r="AP43" i="29"/>
  <c r="AQ43" i="29" s="1"/>
  <c r="AR43" i="29" s="1"/>
  <c r="AP484" i="29"/>
  <c r="AQ484" i="29" s="1"/>
  <c r="AR484" i="29" s="1"/>
  <c r="AP457" i="29"/>
  <c r="AQ457" i="29" s="1"/>
  <c r="AR457" i="29" s="1"/>
  <c r="AP413" i="29"/>
  <c r="AQ413" i="29" s="1"/>
  <c r="AR413" i="29" s="1"/>
  <c r="AP91" i="29"/>
  <c r="AQ91" i="29" s="1"/>
  <c r="AR91" i="29" s="1"/>
  <c r="AP150" i="29"/>
  <c r="AQ150" i="29" s="1"/>
  <c r="AR150" i="29" s="1"/>
  <c r="AP238" i="29"/>
  <c r="AQ238" i="29" s="1"/>
  <c r="AR238" i="29" s="1"/>
  <c r="AP374" i="29"/>
  <c r="AQ374" i="29" s="1"/>
  <c r="AR374" i="29" s="1"/>
  <c r="AP564" i="29"/>
  <c r="AQ564" i="29" s="1"/>
  <c r="AR564" i="29" s="1"/>
  <c r="AP327" i="29"/>
  <c r="AQ327" i="29" s="1"/>
  <c r="AR327" i="29" s="1"/>
  <c r="AP263" i="29"/>
  <c r="AQ263" i="29" s="1"/>
  <c r="AR263" i="29" s="1"/>
  <c r="AP315" i="29"/>
  <c r="AQ315" i="29" s="1"/>
  <c r="AR315" i="29" s="1"/>
  <c r="AP492" i="29"/>
  <c r="AQ492" i="29" s="1"/>
  <c r="AR492" i="29" s="1"/>
  <c r="AP325" i="29"/>
  <c r="AQ325" i="29" s="1"/>
  <c r="AR325" i="29" s="1"/>
  <c r="AP339" i="29"/>
  <c r="AQ339" i="29" s="1"/>
  <c r="AR339" i="29" s="1"/>
  <c r="AP256" i="29"/>
  <c r="AQ256" i="29" s="1"/>
  <c r="AR256" i="29" s="1"/>
  <c r="AP542" i="29"/>
  <c r="AQ542" i="29" s="1"/>
  <c r="AR542" i="29" s="1"/>
  <c r="AP164" i="29"/>
  <c r="AQ164" i="29" s="1"/>
  <c r="AR164" i="29" s="1"/>
  <c r="AP386" i="29"/>
  <c r="AQ386" i="29" s="1"/>
  <c r="AR386" i="29" s="1"/>
  <c r="AP470" i="29"/>
  <c r="AQ470" i="29" s="1"/>
  <c r="AR470" i="29" s="1"/>
  <c r="AP312" i="29"/>
  <c r="AQ312" i="29" s="1"/>
  <c r="AR312" i="29" s="1"/>
  <c r="AP295" i="29"/>
  <c r="AQ295" i="29" s="1"/>
  <c r="AR295" i="29" s="1"/>
  <c r="AP116" i="29"/>
  <c r="AQ116" i="29" s="1"/>
  <c r="AR116" i="29" s="1"/>
  <c r="AP482" i="29"/>
  <c r="AQ482" i="29" s="1"/>
  <c r="AR482" i="29" s="1"/>
  <c r="AP83" i="29"/>
  <c r="AQ83" i="29" s="1"/>
  <c r="AR83" i="29" s="1"/>
  <c r="AP285" i="29"/>
  <c r="AQ285" i="29" s="1"/>
  <c r="AR285" i="29" s="1"/>
  <c r="AP128" i="29"/>
  <c r="AQ128" i="29" s="1"/>
  <c r="AR128" i="29" s="1"/>
  <c r="AP272" i="29"/>
  <c r="AQ272" i="29" s="1"/>
  <c r="AR272" i="29" s="1"/>
  <c r="AP97" i="29"/>
  <c r="AQ97" i="29" s="1"/>
  <c r="AR97" i="29" s="1"/>
  <c r="AP422" i="29"/>
  <c r="AQ422" i="29" s="1"/>
  <c r="AR422" i="29" s="1"/>
  <c r="AP556" i="29"/>
  <c r="AQ556" i="29" s="1"/>
  <c r="AR556" i="29" s="1"/>
  <c r="AP252" i="29"/>
  <c r="AQ252" i="29" s="1"/>
  <c r="AR252" i="29" s="1"/>
  <c r="AP244" i="29"/>
  <c r="AQ244" i="29" s="1"/>
  <c r="AR244" i="29" s="1"/>
  <c r="AP452" i="29"/>
  <c r="AQ452" i="29" s="1"/>
  <c r="AR452" i="29" s="1"/>
  <c r="AP21" i="29"/>
  <c r="AQ21" i="29" s="1"/>
  <c r="AR21" i="29" s="1"/>
  <c r="AP30" i="29"/>
  <c r="AQ30" i="29" s="1"/>
  <c r="AR30" i="29" s="1"/>
  <c r="AP102" i="29"/>
  <c r="AQ102" i="29" s="1"/>
  <c r="AR102" i="29" s="1"/>
  <c r="AP580" i="29"/>
  <c r="AQ580" i="29" s="1"/>
  <c r="AR580" i="29" s="1"/>
  <c r="AP268" i="29"/>
  <c r="AQ268" i="29" s="1"/>
  <c r="AR268" i="29" s="1"/>
  <c r="AP460" i="29"/>
  <c r="AQ460" i="29" s="1"/>
  <c r="AR460" i="29" s="1"/>
  <c r="AP497" i="29"/>
  <c r="AQ497" i="29" s="1"/>
  <c r="AR497" i="29" s="1"/>
  <c r="AP345" i="29"/>
  <c r="AQ345" i="29" s="1"/>
  <c r="AR345" i="29" s="1"/>
  <c r="AP220" i="29"/>
  <c r="AQ220" i="29" s="1"/>
  <c r="AR220" i="29" s="1"/>
  <c r="AP609" i="29"/>
  <c r="AQ609" i="29" s="1"/>
  <c r="AR609" i="29" s="1"/>
  <c r="AP504" i="29"/>
  <c r="AQ504" i="29" s="1"/>
  <c r="AR504" i="29" s="1"/>
  <c r="AP512" i="29"/>
  <c r="AQ512" i="29" s="1"/>
  <c r="AR512" i="29" s="1"/>
  <c r="AP587" i="29"/>
  <c r="AQ587" i="29" s="1"/>
  <c r="AR587" i="29" s="1"/>
  <c r="AP443" i="29"/>
  <c r="AQ443" i="29" s="1"/>
  <c r="AR443" i="29" s="1"/>
  <c r="AP506" i="29"/>
  <c r="AQ506" i="29" s="1"/>
  <c r="AR506" i="29" s="1"/>
  <c r="AP16" i="29"/>
  <c r="AQ16" i="29" s="1"/>
  <c r="AR16" i="29" s="1"/>
  <c r="AP112" i="29"/>
  <c r="AQ112" i="29" s="1"/>
  <c r="AR112" i="29" s="1"/>
  <c r="AP387" i="29"/>
  <c r="AQ387" i="29" s="1"/>
  <c r="AR387" i="29" s="1"/>
  <c r="AP148" i="29"/>
  <c r="AQ148" i="29" s="1"/>
  <c r="AR148" i="29" s="1"/>
  <c r="AP373" i="29"/>
  <c r="AQ373" i="29" s="1"/>
  <c r="AR373" i="29" s="1"/>
  <c r="AP420" i="29"/>
  <c r="AQ420" i="29" s="1"/>
  <c r="AR420" i="29" s="1"/>
  <c r="AP145" i="29"/>
  <c r="AQ145" i="29" s="1"/>
  <c r="AR145" i="29" s="1"/>
  <c r="AP246" i="29"/>
  <c r="AQ246" i="29" s="1"/>
  <c r="AR246" i="29" s="1"/>
  <c r="AP174" i="29"/>
  <c r="AQ174" i="29" s="1"/>
  <c r="AR174" i="29" s="1"/>
  <c r="AP421" i="29"/>
  <c r="AQ421" i="29" s="1"/>
  <c r="AR421" i="29" s="1"/>
  <c r="AP80" i="29"/>
  <c r="AQ80" i="29" s="1"/>
  <c r="AR80" i="29" s="1"/>
  <c r="AP403" i="29"/>
  <c r="AQ403" i="29" s="1"/>
  <c r="AR403" i="29" s="1"/>
  <c r="AP509" i="29"/>
  <c r="AQ509" i="29" s="1"/>
  <c r="AR509" i="29" s="1"/>
  <c r="AP477" i="29"/>
  <c r="AQ477" i="29" s="1"/>
  <c r="AR477" i="29" s="1"/>
  <c r="AP479" i="29"/>
  <c r="AQ479" i="29" s="1"/>
  <c r="AR479" i="29" s="1"/>
  <c r="AP566" i="29"/>
  <c r="AQ566" i="29" s="1"/>
  <c r="AR566" i="29" s="1"/>
  <c r="AP172" i="29"/>
  <c r="AQ172" i="29" s="1"/>
  <c r="AR172" i="29" s="1"/>
  <c r="AP471" i="29"/>
  <c r="AQ471" i="29" s="1"/>
  <c r="AR471" i="29" s="1"/>
  <c r="AP553" i="29"/>
  <c r="AQ553" i="29" s="1"/>
  <c r="AR553" i="29" s="1"/>
  <c r="AP121" i="29"/>
  <c r="AQ121" i="29" s="1"/>
  <c r="AR121" i="29" s="1"/>
  <c r="AP363" i="29"/>
  <c r="AQ363" i="29" s="1"/>
  <c r="AR363" i="29" s="1"/>
  <c r="AP549" i="29"/>
  <c r="AQ549" i="29" s="1"/>
  <c r="AR549" i="29" s="1"/>
  <c r="AP274" i="29"/>
  <c r="AQ274" i="29" s="1"/>
  <c r="AR274" i="29" s="1"/>
  <c r="AP425" i="29"/>
  <c r="AQ425" i="29" s="1"/>
  <c r="AR425" i="29" s="1"/>
  <c r="AP316" i="29"/>
  <c r="AQ316" i="29" s="1"/>
  <c r="AR316" i="29" s="1"/>
  <c r="AP343" i="29"/>
  <c r="AQ343" i="29" s="1"/>
  <c r="AR343" i="29" s="1"/>
  <c r="AP508" i="29"/>
  <c r="AQ508" i="29" s="1"/>
  <c r="AR508" i="29" s="1"/>
  <c r="AP366" i="29"/>
  <c r="AQ366" i="29" s="1"/>
  <c r="AR366" i="29" s="1"/>
  <c r="AP297" i="29"/>
  <c r="AQ297" i="29" s="1"/>
  <c r="AR297" i="29" s="1"/>
  <c r="AP48" i="29"/>
  <c r="AQ48" i="29" s="1"/>
  <c r="AR48" i="29" s="1"/>
  <c r="AP142" i="29"/>
  <c r="AQ142" i="29" s="1"/>
  <c r="AR142" i="29" s="1"/>
  <c r="AP127" i="29"/>
  <c r="AQ127" i="29" s="1"/>
  <c r="AR127" i="29" s="1"/>
  <c r="AP408" i="29"/>
  <c r="AQ408" i="29" s="1"/>
  <c r="AR408" i="29" s="1"/>
  <c r="AP511" i="29"/>
  <c r="AQ511" i="29" s="1"/>
  <c r="AR511" i="29" s="1"/>
  <c r="AP69" i="29"/>
  <c r="AQ69" i="29" s="1"/>
  <c r="AR69" i="29" s="1"/>
  <c r="AP205" i="29"/>
  <c r="AQ205" i="29" s="1"/>
  <c r="AR205" i="29" s="1"/>
  <c r="AP377" i="29"/>
  <c r="AQ377" i="29" s="1"/>
  <c r="AR377" i="29" s="1"/>
  <c r="AP93" i="29"/>
  <c r="AQ93" i="29" s="1"/>
  <c r="AR93" i="29" s="1"/>
  <c r="AP331" i="29"/>
  <c r="AQ331" i="29" s="1"/>
  <c r="AR331" i="29" s="1"/>
  <c r="AP76" i="29"/>
  <c r="AQ76" i="29" s="1"/>
  <c r="AR76" i="29" s="1"/>
  <c r="AP395" i="29"/>
  <c r="AQ395" i="29" s="1"/>
  <c r="AR395" i="29" s="1"/>
  <c r="AP14" i="29"/>
  <c r="AQ14" i="29" s="1"/>
  <c r="AR14" i="29" s="1"/>
  <c r="AP602" i="29"/>
  <c r="AQ602" i="29" s="1"/>
  <c r="AR602" i="29" s="1"/>
  <c r="AP242" i="29"/>
  <c r="AQ242" i="29" s="1"/>
  <c r="AR242" i="29" s="1"/>
  <c r="AP230" i="29"/>
  <c r="AQ230" i="29" s="1"/>
  <c r="AR230" i="29" s="1"/>
  <c r="AP486" i="29"/>
  <c r="AQ486" i="29" s="1"/>
  <c r="AR486" i="29" s="1"/>
  <c r="AP23" i="29"/>
  <c r="AQ23" i="29" s="1"/>
  <c r="AR23" i="29" s="1"/>
  <c r="AP211" i="29"/>
  <c r="AQ211" i="29" s="1"/>
  <c r="AR211" i="29" s="1"/>
  <c r="AP453" i="29"/>
  <c r="AQ453" i="29" s="1"/>
  <c r="AR453" i="29" s="1"/>
  <c r="AP528" i="29"/>
  <c r="AQ528" i="29" s="1"/>
  <c r="AR528" i="29" s="1"/>
  <c r="AP77" i="29"/>
  <c r="AQ77" i="29" s="1"/>
  <c r="AR77" i="29" s="1"/>
  <c r="AP271" i="29"/>
  <c r="AQ271" i="29" s="1"/>
  <c r="AR271" i="29" s="1"/>
  <c r="AP385" i="29"/>
  <c r="AQ385" i="29" s="1"/>
  <c r="AR385" i="29" s="1"/>
  <c r="AP232" i="29"/>
  <c r="AQ232" i="29" s="1"/>
  <c r="AR232" i="29" s="1"/>
  <c r="AP74" i="29"/>
  <c r="AQ74" i="29" s="1"/>
  <c r="AR74" i="29" s="1"/>
  <c r="AP384" i="29"/>
  <c r="AQ384" i="29" s="1"/>
  <c r="AR384" i="29" s="1"/>
  <c r="AP514" i="29"/>
  <c r="AQ514" i="29" s="1"/>
  <c r="AR514" i="29" s="1"/>
  <c r="AP427" i="29"/>
  <c r="AQ427" i="29" s="1"/>
  <c r="AR427" i="29" s="1"/>
  <c r="AP328" i="29"/>
  <c r="AQ328" i="29" s="1"/>
  <c r="AR328" i="29" s="1"/>
  <c r="AP517" i="29"/>
  <c r="AQ517" i="29" s="1"/>
  <c r="AR517" i="29" s="1"/>
  <c r="AP404" i="29"/>
  <c r="AQ404" i="29" s="1"/>
  <c r="AR404" i="29" s="1"/>
  <c r="AP389" i="29"/>
  <c r="AQ389" i="29" s="1"/>
  <c r="AR389" i="29" s="1"/>
  <c r="AP372" i="29"/>
  <c r="AQ372" i="29" s="1"/>
  <c r="AR372" i="29" s="1"/>
  <c r="AP300" i="29"/>
  <c r="AQ300" i="29" s="1"/>
  <c r="AR300" i="29" s="1"/>
  <c r="AP493" i="29"/>
  <c r="AQ493" i="29" s="1"/>
  <c r="AR493" i="29" s="1"/>
  <c r="AP219" i="29"/>
  <c r="AQ219" i="29" s="1"/>
  <c r="AR219" i="29" s="1"/>
  <c r="AP123" i="29"/>
  <c r="AQ123" i="29" s="1"/>
  <c r="AR123" i="29" s="1"/>
  <c r="AP22" i="29"/>
  <c r="AQ22" i="29" s="1"/>
  <c r="AR22" i="29" s="1"/>
  <c r="AP431" i="29"/>
  <c r="AQ431" i="29" s="1"/>
  <c r="AR431" i="29" s="1"/>
  <c r="AP156" i="29"/>
  <c r="AQ156" i="29" s="1"/>
  <c r="AR156" i="29" s="1"/>
  <c r="AP472" i="29"/>
  <c r="AQ472" i="29" s="1"/>
  <c r="AR472" i="29" s="1"/>
  <c r="AP364" i="29"/>
  <c r="AQ364" i="29" s="1"/>
  <c r="AR364" i="29" s="1"/>
  <c r="AP489" i="29"/>
  <c r="AQ489" i="29" s="1"/>
  <c r="AR489" i="29" s="1"/>
  <c r="AP444" i="29"/>
  <c r="AQ444" i="29" s="1"/>
  <c r="AR444" i="29" s="1"/>
  <c r="AP209" i="29"/>
  <c r="AQ209" i="29" s="1"/>
  <c r="AR209" i="29" s="1"/>
  <c r="AP304" i="29"/>
  <c r="AQ304" i="29" s="1"/>
  <c r="AR304" i="29" s="1"/>
  <c r="AP537" i="29"/>
  <c r="AQ537" i="29" s="1"/>
  <c r="AR537" i="29" s="1"/>
  <c r="AP264" i="29"/>
  <c r="AQ264" i="29" s="1"/>
  <c r="AR264" i="29" s="1"/>
  <c r="AP79" i="29"/>
  <c r="AQ79" i="29" s="1"/>
  <c r="AR79" i="29" s="1"/>
  <c r="AP473" i="29"/>
  <c r="AQ473" i="29" s="1"/>
  <c r="AR473" i="29" s="1"/>
  <c r="AP532" i="29"/>
  <c r="AQ532" i="29" s="1"/>
  <c r="AR532" i="29" s="1"/>
  <c r="AP592" i="29"/>
  <c r="AQ592" i="29" s="1"/>
  <c r="AR592" i="29" s="1"/>
  <c r="AP399" i="29"/>
  <c r="AQ399" i="29" s="1"/>
  <c r="AR399" i="29" s="1"/>
  <c r="AP362" i="29"/>
  <c r="AQ362" i="29" s="1"/>
  <c r="AR362" i="29" s="1"/>
  <c r="AP390" i="29"/>
  <c r="AQ390" i="29" s="1"/>
  <c r="AR390" i="29" s="1"/>
  <c r="AP64" i="29"/>
  <c r="AQ64" i="29" s="1"/>
  <c r="AR64" i="29" s="1"/>
  <c r="AP314" i="29"/>
  <c r="AQ314" i="29" s="1"/>
  <c r="AR314" i="29" s="1"/>
  <c r="AP576" i="29"/>
  <c r="AQ576" i="29" s="1"/>
  <c r="AR576" i="29" s="1"/>
  <c r="AP45" i="29"/>
  <c r="AQ45" i="29" s="1"/>
  <c r="AR45" i="29" s="1"/>
  <c r="AP391" i="29"/>
  <c r="AQ391" i="29" s="1"/>
  <c r="AR391" i="29" s="1"/>
  <c r="AP368" i="29"/>
  <c r="AQ368" i="29" s="1"/>
  <c r="AR368" i="29" s="1"/>
  <c r="AP118" i="29"/>
  <c r="AQ118" i="29" s="1"/>
  <c r="AR118" i="29" s="1"/>
  <c r="AP296" i="29"/>
  <c r="AQ296" i="29" s="1"/>
  <c r="AR296" i="29" s="1"/>
  <c r="AP177" i="29"/>
  <c r="AQ177" i="29" s="1"/>
  <c r="AR177" i="29" s="1"/>
  <c r="AP375" i="29"/>
  <c r="AQ375" i="29" s="1"/>
  <c r="AR375" i="29" s="1"/>
  <c r="AP563" i="29"/>
  <c r="AQ563" i="29" s="1"/>
  <c r="AR563" i="29" s="1"/>
  <c r="AP89" i="29"/>
  <c r="AQ89" i="29" s="1"/>
  <c r="AR89" i="29" s="1"/>
  <c r="AP465" i="29"/>
  <c r="AQ465" i="29" s="1"/>
  <c r="AR465" i="29" s="1"/>
  <c r="AP234" i="29"/>
  <c r="AQ234" i="29" s="1"/>
  <c r="AR234" i="29" s="1"/>
  <c r="AP397" i="29"/>
  <c r="AQ397" i="29" s="1"/>
  <c r="AR397" i="29" s="1"/>
  <c r="AP591" i="29"/>
  <c r="AQ591" i="29" s="1"/>
  <c r="AR591" i="29" s="1"/>
  <c r="AP338" i="29"/>
  <c r="AQ338" i="29" s="1"/>
  <c r="AR338" i="29" s="1"/>
  <c r="AP190" i="29"/>
  <c r="AQ190" i="29" s="1"/>
  <c r="AR190" i="29" s="1"/>
  <c r="AP269" i="29"/>
  <c r="AQ269" i="29" s="1"/>
  <c r="AR269" i="29" s="1"/>
  <c r="AP600" i="29"/>
  <c r="AQ600" i="29" s="1"/>
  <c r="AR600" i="29" s="1"/>
  <c r="AP250" i="29"/>
  <c r="AQ250" i="29" s="1"/>
  <c r="AR250" i="29" s="1"/>
  <c r="AP378" i="29"/>
  <c r="AQ378" i="29" s="1"/>
  <c r="AR378" i="29" s="1"/>
  <c r="AP361" i="29"/>
  <c r="AQ361" i="29" s="1"/>
  <c r="AR361" i="29" s="1"/>
  <c r="AP249" i="29"/>
  <c r="AQ249" i="29" s="1"/>
  <c r="AR249" i="29" s="1"/>
  <c r="AP407" i="29"/>
  <c r="AQ407" i="29" s="1"/>
  <c r="AR407" i="29" s="1"/>
  <c r="AP323" i="29"/>
  <c r="AQ323" i="29" s="1"/>
  <c r="AR323" i="29" s="1"/>
  <c r="AP184" i="29"/>
  <c r="AQ184" i="29" s="1"/>
  <c r="AR184" i="29" s="1"/>
  <c r="AP458" i="29"/>
  <c r="AQ458" i="29" s="1"/>
  <c r="AR458" i="29" s="1"/>
  <c r="AP120" i="29"/>
  <c r="AQ120" i="29" s="1"/>
  <c r="AR120" i="29" s="1"/>
  <c r="AP38" i="29"/>
  <c r="AQ38" i="29" s="1"/>
  <c r="AR38" i="29" s="1"/>
  <c r="AP119" i="29"/>
  <c r="AQ119" i="29" s="1"/>
  <c r="AR119" i="29" s="1"/>
  <c r="AP303" i="29"/>
  <c r="AQ303" i="29" s="1"/>
  <c r="AR303" i="29" s="1"/>
  <c r="AP266" i="29"/>
  <c r="AQ266" i="29" s="1"/>
  <c r="AR266" i="29" s="1"/>
  <c r="AP27" i="29"/>
  <c r="AQ27" i="29" s="1"/>
  <c r="AR27" i="29" s="1"/>
  <c r="AP416" i="29"/>
  <c r="AQ416" i="29" s="1"/>
  <c r="AR416" i="29" s="1"/>
  <c r="AP463" i="29"/>
  <c r="AQ463" i="29" s="1"/>
  <c r="AR463" i="29" s="1"/>
  <c r="AP584" i="29"/>
  <c r="AQ584" i="29" s="1"/>
  <c r="AR584" i="29" s="1"/>
  <c r="AP149" i="29"/>
  <c r="AQ149" i="29" s="1"/>
  <c r="AR149" i="29" s="1"/>
  <c r="AP503" i="29"/>
  <c r="AQ503" i="29" s="1"/>
  <c r="AR503" i="29" s="1"/>
  <c r="AP464" i="29"/>
  <c r="AQ464" i="29" s="1"/>
  <c r="AR464" i="29" s="1"/>
  <c r="AP199" i="29"/>
  <c r="AQ199" i="29" s="1"/>
  <c r="AR199" i="29" s="1"/>
  <c r="AP341" i="29"/>
  <c r="AQ341" i="29" s="1"/>
  <c r="AR341" i="29" s="1"/>
  <c r="AP165" i="29"/>
  <c r="AQ165" i="29" s="1"/>
  <c r="AR165" i="29" s="1"/>
  <c r="AP426" i="29"/>
  <c r="AQ426" i="29" s="1"/>
  <c r="AR426" i="29" s="1"/>
  <c r="AP103" i="29"/>
  <c r="AQ103" i="29" s="1"/>
  <c r="AR103" i="29" s="1"/>
  <c r="AP110" i="29"/>
  <c r="AQ110" i="29" s="1"/>
  <c r="AR110" i="29" s="1"/>
  <c r="AP159" i="29"/>
  <c r="AQ159" i="29" s="1"/>
  <c r="AR159" i="29" s="1"/>
  <c r="AP469" i="29"/>
  <c r="AQ469" i="29" s="1"/>
  <c r="AR469" i="29" s="1"/>
  <c r="AP152" i="29"/>
  <c r="AQ152" i="29" s="1"/>
  <c r="AR152" i="29" s="1"/>
  <c r="AP185" i="29"/>
  <c r="AQ185" i="29" s="1"/>
  <c r="AR185" i="29" s="1"/>
  <c r="AP594" i="29"/>
  <c r="AQ594" i="29" s="1"/>
  <c r="AR594" i="29" s="1"/>
  <c r="AP181" i="29"/>
  <c r="AQ181" i="29" s="1"/>
  <c r="AR181" i="29" s="1"/>
  <c r="AP155" i="29"/>
  <c r="AQ155" i="29" s="1"/>
  <c r="AR155" i="29" s="1"/>
  <c r="AP369" i="29"/>
  <c r="AQ369" i="29" s="1"/>
  <c r="AR369" i="29" s="1"/>
  <c r="AP394" i="29"/>
  <c r="AQ394" i="29" s="1"/>
  <c r="AR394" i="29" s="1"/>
  <c r="AP607" i="29"/>
  <c r="AQ607" i="29" s="1"/>
  <c r="AR607" i="29" s="1"/>
  <c r="AP333" i="29"/>
  <c r="AQ333" i="29" s="1"/>
  <c r="AR333" i="29" s="1"/>
  <c r="AP401" i="29"/>
  <c r="AQ401" i="29" s="1"/>
  <c r="AR401" i="29" s="1"/>
  <c r="AP429" i="29"/>
  <c r="AQ429" i="29" s="1"/>
  <c r="AR429" i="29" s="1"/>
  <c r="AP258" i="29"/>
  <c r="AQ258" i="29" s="1"/>
  <c r="AR258" i="29" s="1"/>
  <c r="AP606" i="29"/>
  <c r="AQ606" i="29" s="1"/>
  <c r="AR606" i="29" s="1"/>
  <c r="AP62" i="29"/>
  <c r="AQ62" i="29" s="1"/>
  <c r="AR62" i="29" s="1"/>
  <c r="AP548" i="29"/>
  <c r="AQ548" i="29" s="1"/>
  <c r="AR548" i="29" s="1"/>
  <c r="AP154" i="29"/>
  <c r="AQ154" i="29" s="1"/>
  <c r="AR154" i="29" s="1"/>
  <c r="AP275" i="29"/>
  <c r="AQ275" i="29" s="1"/>
  <c r="AR275" i="29" s="1"/>
  <c r="AP216" i="29"/>
  <c r="AQ216" i="29" s="1"/>
  <c r="AR216" i="29" s="1"/>
  <c r="AP326" i="29"/>
  <c r="AQ326" i="29" s="1"/>
  <c r="AR326" i="29" s="1"/>
  <c r="AP513" i="29"/>
  <c r="AQ513" i="29" s="1"/>
  <c r="AR513" i="29" s="1"/>
  <c r="AP419" i="29"/>
  <c r="AQ419" i="29" s="1"/>
  <c r="AR419" i="29" s="1"/>
  <c r="AP499" i="29"/>
  <c r="AQ499" i="29" s="1"/>
  <c r="AR499" i="29" s="1"/>
  <c r="AP353" i="29"/>
  <c r="AQ353" i="29" s="1"/>
  <c r="AR353" i="29" s="1"/>
  <c r="AP55" i="29"/>
  <c r="AQ55" i="29" s="1"/>
  <c r="AR55" i="29" s="1"/>
  <c r="AP455" i="29"/>
  <c r="AQ455" i="29" s="1"/>
  <c r="AR455" i="29" s="1"/>
  <c r="AP555" i="29"/>
  <c r="AQ555" i="29" s="1"/>
  <c r="AR555" i="29" s="1"/>
  <c r="AP565" i="29"/>
  <c r="AQ565" i="29" s="1"/>
  <c r="AR565" i="29" s="1"/>
  <c r="AP550" i="29"/>
  <c r="AQ550" i="29" s="1"/>
  <c r="AR550" i="29" s="1"/>
  <c r="AP535" i="29"/>
  <c r="AQ535" i="29" s="1"/>
  <c r="AR535" i="29" s="1"/>
  <c r="AP406" i="29"/>
  <c r="AQ406" i="29" s="1"/>
  <c r="AR406" i="29" s="1"/>
  <c r="AP596" i="29"/>
  <c r="AQ596" i="29" s="1"/>
  <c r="AR596" i="29" s="1"/>
  <c r="AP162" i="29"/>
  <c r="AQ162" i="29" s="1"/>
  <c r="AR162" i="29" s="1"/>
  <c r="AP571" i="29"/>
  <c r="AQ571" i="29" s="1"/>
  <c r="AR571" i="29" s="1"/>
  <c r="AP515" i="29"/>
  <c r="AQ515" i="29" s="1"/>
  <c r="AR515" i="29" s="1"/>
  <c r="AP480" i="29"/>
  <c r="AQ480" i="29" s="1"/>
  <c r="AR480" i="29" s="1"/>
  <c r="AP126" i="29"/>
  <c r="AQ126" i="29" s="1"/>
  <c r="AR126" i="29" s="1"/>
  <c r="AP501" i="29"/>
  <c r="AQ501" i="29" s="1"/>
  <c r="AR501" i="29" s="1"/>
  <c r="AP289" i="29"/>
  <c r="AQ289" i="29" s="1"/>
  <c r="AR289" i="29" s="1"/>
  <c r="AP402" i="29"/>
  <c r="AQ402" i="29" s="1"/>
  <c r="AR402" i="29" s="1"/>
  <c r="AP228" i="29"/>
  <c r="AQ228" i="29" s="1"/>
  <c r="AR228" i="29" s="1"/>
  <c r="AP259" i="29"/>
  <c r="AQ259" i="29" s="1"/>
  <c r="AR259" i="29" s="1"/>
  <c r="AP598" i="29"/>
  <c r="AQ598" i="29" s="1"/>
  <c r="AR598" i="29" s="1"/>
  <c r="AP371" i="29"/>
  <c r="AQ371" i="29" s="1"/>
  <c r="AR371" i="29" s="1"/>
  <c r="AP510" i="29"/>
  <c r="AQ510" i="29" s="1"/>
  <c r="AR510" i="29" s="1"/>
  <c r="AP51" i="29"/>
  <c r="AQ51" i="29" s="1"/>
  <c r="AR51" i="29" s="1"/>
  <c r="AP95" i="29"/>
  <c r="AQ95" i="29" s="1"/>
  <c r="AR95" i="29" s="1"/>
  <c r="AP365" i="29"/>
  <c r="AQ365" i="29" s="1"/>
  <c r="AR365" i="29" s="1"/>
  <c r="AP286" i="29"/>
  <c r="AQ286" i="29" s="1"/>
  <c r="AR286" i="29" s="1"/>
  <c r="AP117" i="29"/>
  <c r="AQ117" i="29" s="1"/>
  <c r="AR117" i="29" s="1"/>
  <c r="AP99" i="29"/>
  <c r="AQ99" i="29" s="1"/>
  <c r="AR99" i="29" s="1"/>
  <c r="D55" i="29"/>
  <c r="D56" i="29" s="1"/>
  <c r="D57" i="29" s="1"/>
  <c r="AP191" i="29"/>
  <c r="AQ191" i="29" s="1"/>
  <c r="AR191" i="29" s="1"/>
  <c r="AP412" i="29"/>
  <c r="AQ412" i="29" s="1"/>
  <c r="AR412" i="29" s="1"/>
  <c r="AP525" i="29"/>
  <c r="AQ525" i="29" s="1"/>
  <c r="AR525" i="29" s="1"/>
  <c r="AP143" i="29"/>
  <c r="AQ143" i="29" s="1"/>
  <c r="AR143" i="29" s="1"/>
  <c r="AT195" i="25"/>
  <c r="AY195" i="25" s="1"/>
  <c r="AU195" i="25"/>
  <c r="AT160" i="25"/>
  <c r="AY160" i="25" s="1"/>
  <c r="AU160" i="25"/>
  <c r="AT227" i="25"/>
  <c r="AU227" i="25"/>
  <c r="BY292" i="24"/>
  <c r="CA292" i="24" s="1"/>
  <c r="BM292" i="24"/>
  <c r="BN292" i="24" s="1"/>
  <c r="BE254" i="24"/>
  <c r="BT254" i="24" s="1"/>
  <c r="BD254" i="24"/>
  <c r="AY254" i="24"/>
  <c r="AZ254" i="24" s="1"/>
  <c r="BD37" i="24"/>
  <c r="AY37" i="24"/>
  <c r="AZ37" i="24" s="1"/>
  <c r="BE37" i="24"/>
  <c r="BT37" i="24" s="1"/>
  <c r="BB275" i="25"/>
  <c r="BS275" i="25" s="1"/>
  <c r="BC275" i="25"/>
  <c r="BT275" i="25" s="1"/>
  <c r="BA275" i="25"/>
  <c r="BE245" i="24"/>
  <c r="BT245" i="24" s="1"/>
  <c r="AY245" i="24"/>
  <c r="AZ245" i="24" s="1"/>
  <c r="BD245" i="24"/>
  <c r="AT16" i="25"/>
  <c r="AY16" i="25" s="1"/>
  <c r="AU16" i="25"/>
  <c r="BB232" i="25"/>
  <c r="BS232" i="25" s="1"/>
  <c r="BC232" i="25"/>
  <c r="BT232" i="25" s="1"/>
  <c r="BA232" i="25"/>
  <c r="AT119" i="25"/>
  <c r="AY119" i="25" s="1"/>
  <c r="AU119" i="25"/>
  <c r="BE220" i="24"/>
  <c r="BT220" i="24" s="1"/>
  <c r="AY220" i="24"/>
  <c r="AZ220" i="24" s="1"/>
  <c r="BD220" i="24"/>
  <c r="BS19" i="24"/>
  <c r="BG19" i="24"/>
  <c r="BM19" i="24" s="1"/>
  <c r="AT304" i="25"/>
  <c r="AU304" i="25"/>
  <c r="AT299" i="25"/>
  <c r="AU299" i="25"/>
  <c r="AT182" i="25"/>
  <c r="AY182" i="25" s="1"/>
  <c r="AU182" i="25"/>
  <c r="BC261" i="25"/>
  <c r="BT261" i="25" s="1"/>
  <c r="BB261" i="25"/>
  <c r="BS261" i="25" s="1"/>
  <c r="BA261" i="25"/>
  <c r="AT281" i="25"/>
  <c r="AU281" i="25"/>
  <c r="AT185" i="25"/>
  <c r="AY185" i="25" s="1"/>
  <c r="AU185" i="25"/>
  <c r="BC179" i="25"/>
  <c r="BT179" i="25" s="1"/>
  <c r="BA179" i="25"/>
  <c r="BB179" i="25"/>
  <c r="BS179" i="25" s="1"/>
  <c r="AY146" i="24"/>
  <c r="AZ146" i="24" s="1"/>
  <c r="BE146" i="24"/>
  <c r="BT146" i="24" s="1"/>
  <c r="BD146" i="24"/>
  <c r="BB6" i="25"/>
  <c r="BS6" i="25" s="1"/>
  <c r="BA6" i="25"/>
  <c r="BC6" i="25"/>
  <c r="BT6" i="25" s="1"/>
  <c r="BE163" i="24"/>
  <c r="BT163" i="24" s="1"/>
  <c r="BD163" i="24"/>
  <c r="AY163" i="24"/>
  <c r="AZ163" i="24" s="1"/>
  <c r="BD13" i="24"/>
  <c r="AY13" i="24"/>
  <c r="AZ13" i="24" s="1"/>
  <c r="BE13" i="24"/>
  <c r="BT13" i="24" s="1"/>
  <c r="BE124" i="24"/>
  <c r="BT124" i="24" s="1"/>
  <c r="BD124" i="24"/>
  <c r="AY124" i="24"/>
  <c r="AZ124" i="24" s="1"/>
  <c r="BE315" i="24"/>
  <c r="BT315" i="24" s="1"/>
  <c r="BD315" i="24"/>
  <c r="AY315" i="24"/>
  <c r="AZ315" i="24" s="1"/>
  <c r="BB243" i="25"/>
  <c r="BS243" i="25" s="1"/>
  <c r="BA243" i="25"/>
  <c r="BC243" i="25"/>
  <c r="BT243" i="25" s="1"/>
  <c r="BE94" i="24"/>
  <c r="BT94" i="24" s="1"/>
  <c r="AY94" i="24"/>
  <c r="AZ94" i="24" s="1"/>
  <c r="BD94" i="24"/>
  <c r="BD59" i="24"/>
  <c r="BE59" i="24"/>
  <c r="BT59" i="24" s="1"/>
  <c r="AY59" i="24"/>
  <c r="AZ59" i="24" s="1"/>
  <c r="BE150" i="24"/>
  <c r="BT150" i="24" s="1"/>
  <c r="BD150" i="24"/>
  <c r="AY150" i="24"/>
  <c r="AZ150" i="24" s="1"/>
  <c r="AT54" i="25"/>
  <c r="AY54" i="25" s="1"/>
  <c r="AU54" i="25"/>
  <c r="BE60" i="24"/>
  <c r="BT60" i="24" s="1"/>
  <c r="BD60" i="24"/>
  <c r="AY60" i="24"/>
  <c r="AZ60" i="24" s="1"/>
  <c r="AT196" i="25"/>
  <c r="AY196" i="25" s="1"/>
  <c r="AU196" i="25"/>
  <c r="BD227" i="24"/>
  <c r="AY227" i="24"/>
  <c r="AZ227" i="24" s="1"/>
  <c r="BE227" i="24"/>
  <c r="BT227" i="24" s="1"/>
  <c r="BD281" i="24"/>
  <c r="AY281" i="24"/>
  <c r="AZ281" i="24" s="1"/>
  <c r="BE281" i="24"/>
  <c r="BT281" i="24" s="1"/>
  <c r="BD167" i="24"/>
  <c r="BE167" i="24"/>
  <c r="BT167" i="24" s="1"/>
  <c r="AY167" i="24"/>
  <c r="AZ167" i="24" s="1"/>
  <c r="BG152" i="24"/>
  <c r="AT301" i="25"/>
  <c r="AU301" i="25"/>
  <c r="BE267" i="24"/>
  <c r="BT267" i="24" s="1"/>
  <c r="BD267" i="24"/>
  <c r="AY267" i="24"/>
  <c r="AZ267" i="24" s="1"/>
  <c r="BD134" i="24"/>
  <c r="AY134" i="24"/>
  <c r="AZ134" i="24" s="1"/>
  <c r="BE134" i="24"/>
  <c r="BT134" i="24" s="1"/>
  <c r="BE307" i="24"/>
  <c r="BT307" i="24" s="1"/>
  <c r="BD307" i="24"/>
  <c r="AY307" i="24"/>
  <c r="AZ307" i="24" s="1"/>
  <c r="AY210" i="24"/>
  <c r="AZ210" i="24" s="1"/>
  <c r="BD210" i="24"/>
  <c r="BE210" i="24"/>
  <c r="BT210" i="24" s="1"/>
  <c r="AT311" i="25"/>
  <c r="AU311" i="25"/>
  <c r="AT135" i="25"/>
  <c r="AY135" i="25" s="1"/>
  <c r="AU135" i="25"/>
  <c r="BE272" i="24"/>
  <c r="BT272" i="24" s="1"/>
  <c r="BD272" i="24"/>
  <c r="AY272" i="24"/>
  <c r="AZ272" i="24" s="1"/>
  <c r="BD96" i="24"/>
  <c r="BE96" i="24"/>
  <c r="BT96" i="24" s="1"/>
  <c r="AY96" i="24"/>
  <c r="AZ96" i="24" s="1"/>
  <c r="AY244" i="24"/>
  <c r="AZ244" i="24" s="1"/>
  <c r="BE244" i="24"/>
  <c r="BT244" i="24" s="1"/>
  <c r="BD244" i="24"/>
  <c r="BD297" i="24"/>
  <c r="AY297" i="24"/>
  <c r="AZ297" i="24" s="1"/>
  <c r="BE297" i="24"/>
  <c r="BT297" i="24" s="1"/>
  <c r="BE115" i="24"/>
  <c r="BT115" i="24" s="1"/>
  <c r="BD115" i="24"/>
  <c r="AY115" i="24"/>
  <c r="AZ115" i="24" s="1"/>
  <c r="AT164" i="25"/>
  <c r="AY164" i="25" s="1"/>
  <c r="AU164" i="25"/>
  <c r="AY231" i="24"/>
  <c r="AZ231" i="24" s="1"/>
  <c r="BD231" i="24"/>
  <c r="BE231" i="24"/>
  <c r="BT231" i="24" s="1"/>
  <c r="AY314" i="24"/>
  <c r="AZ314" i="24" s="1"/>
  <c r="BD314" i="24"/>
  <c r="BE314" i="24"/>
  <c r="BT314" i="24" s="1"/>
  <c r="BE303" i="24"/>
  <c r="BT303" i="24" s="1"/>
  <c r="BD303" i="24"/>
  <c r="AY303" i="24"/>
  <c r="AZ303" i="24" s="1"/>
  <c r="AY95" i="24"/>
  <c r="AZ95" i="24" s="1"/>
  <c r="BE95" i="24"/>
  <c r="BT95" i="24" s="1"/>
  <c r="BD95" i="24"/>
  <c r="AT103" i="25"/>
  <c r="AY103" i="25" s="1"/>
  <c r="AU103" i="25"/>
  <c r="AY11" i="24"/>
  <c r="AZ11" i="24" s="1"/>
  <c r="BE11" i="24"/>
  <c r="BT11" i="24" s="1"/>
  <c r="BD11" i="24"/>
  <c r="AT127" i="25"/>
  <c r="AY127" i="25" s="1"/>
  <c r="AU127" i="25"/>
  <c r="BA59" i="25"/>
  <c r="BC59" i="25"/>
  <c r="BT59" i="25" s="1"/>
  <c r="BB59" i="25"/>
  <c r="BS59" i="25" s="1"/>
  <c r="BG21" i="24"/>
  <c r="BM21" i="24" s="1"/>
  <c r="BS21" i="24"/>
  <c r="BV21" i="24" s="1"/>
  <c r="BX21" i="24" s="1"/>
  <c r="AT242" i="25"/>
  <c r="AU242" i="25"/>
  <c r="BE39" i="24"/>
  <c r="BT39" i="24" s="1"/>
  <c r="AY39" i="24"/>
  <c r="AZ39" i="24" s="1"/>
  <c r="BD39" i="24"/>
  <c r="AT153" i="25"/>
  <c r="AY153" i="25" s="1"/>
  <c r="AU153" i="25"/>
  <c r="AT233" i="25"/>
  <c r="AU233" i="25"/>
  <c r="AT218" i="25"/>
  <c r="AU218" i="25"/>
  <c r="BA62" i="25"/>
  <c r="BC62" i="25"/>
  <c r="BT62" i="25" s="1"/>
  <c r="BB62" i="25"/>
  <c r="BS62" i="25" s="1"/>
  <c r="AT93" i="25"/>
  <c r="AY93" i="25" s="1"/>
  <c r="AU93" i="25"/>
  <c r="BS41" i="24"/>
  <c r="BV41" i="24" s="1"/>
  <c r="BX41" i="24" s="1"/>
  <c r="BG41" i="24"/>
  <c r="BM41" i="24" s="1"/>
  <c r="BE262" i="24"/>
  <c r="BT262" i="24" s="1"/>
  <c r="BD262" i="24"/>
  <c r="AY262" i="24"/>
  <c r="AZ262" i="24" s="1"/>
  <c r="BG135" i="24"/>
  <c r="BS135" i="24"/>
  <c r="AT49" i="25"/>
  <c r="AY49" i="25" s="1"/>
  <c r="AU49" i="25"/>
  <c r="AT285" i="25"/>
  <c r="AU285" i="25"/>
  <c r="BD186" i="24"/>
  <c r="AY186" i="24"/>
  <c r="AZ186" i="24" s="1"/>
  <c r="BE186" i="24"/>
  <c r="BT186" i="24" s="1"/>
  <c r="AT300" i="25"/>
  <c r="AU300" i="25"/>
  <c r="AT263" i="25"/>
  <c r="AU263" i="25"/>
  <c r="AT310" i="25"/>
  <c r="AU310" i="25"/>
  <c r="AT274" i="25"/>
  <c r="AU274" i="25"/>
  <c r="BD78" i="24"/>
  <c r="AY78" i="24"/>
  <c r="AZ78" i="24" s="1"/>
  <c r="BE78" i="24"/>
  <c r="BT78" i="24" s="1"/>
  <c r="AY36" i="24"/>
  <c r="AZ36" i="24" s="1"/>
  <c r="BD36" i="24"/>
  <c r="BE36" i="24"/>
  <c r="BT36" i="24" s="1"/>
  <c r="AY225" i="24"/>
  <c r="AZ225" i="24" s="1"/>
  <c r="BD225" i="24"/>
  <c r="BE225" i="24"/>
  <c r="BT225" i="24" s="1"/>
  <c r="BC114" i="25"/>
  <c r="BT114" i="25" s="1"/>
  <c r="BB114" i="25"/>
  <c r="BS114" i="25" s="1"/>
  <c r="BA114" i="25"/>
  <c r="BD92" i="24"/>
  <c r="AY92" i="24"/>
  <c r="AZ92" i="24" s="1"/>
  <c r="BE92" i="24"/>
  <c r="BT92" i="24" s="1"/>
  <c r="BA280" i="25"/>
  <c r="BC280" i="25"/>
  <c r="BT280" i="25" s="1"/>
  <c r="BB280" i="25"/>
  <c r="BS280" i="25" s="1"/>
  <c r="AT249" i="25"/>
  <c r="AU249" i="25"/>
  <c r="AT18" i="25"/>
  <c r="AY18" i="25" s="1"/>
  <c r="AU18" i="25"/>
  <c r="BB273" i="25"/>
  <c r="BS273" i="25" s="1"/>
  <c r="BA273" i="25"/>
  <c r="BC273" i="25"/>
  <c r="BT273" i="25" s="1"/>
  <c r="BD277" i="24"/>
  <c r="BE277" i="24"/>
  <c r="BT277" i="24" s="1"/>
  <c r="AY277" i="24"/>
  <c r="AZ277" i="24" s="1"/>
  <c r="AT210" i="25"/>
  <c r="AY210" i="25" s="1"/>
  <c r="AU210" i="25"/>
  <c r="BE68" i="24"/>
  <c r="BT68" i="24" s="1"/>
  <c r="BD68" i="24"/>
  <c r="AY68" i="24"/>
  <c r="AZ68" i="24" s="1"/>
  <c r="AY287" i="24"/>
  <c r="AZ287" i="24" s="1"/>
  <c r="BD287" i="24"/>
  <c r="BE287" i="24"/>
  <c r="BT287" i="24" s="1"/>
  <c r="BE312" i="24"/>
  <c r="BT312" i="24" s="1"/>
  <c r="BD312" i="24"/>
  <c r="AY312" i="24"/>
  <c r="AZ312" i="24" s="1"/>
  <c r="BC293" i="25"/>
  <c r="BT293" i="25" s="1"/>
  <c r="BA293" i="25"/>
  <c r="BB293" i="25"/>
  <c r="BS293" i="25" s="1"/>
  <c r="AT254" i="25"/>
  <c r="AU254" i="25"/>
  <c r="AT39" i="25"/>
  <c r="AY39" i="25" s="1"/>
  <c r="AU39" i="25"/>
  <c r="BC229" i="25"/>
  <c r="BT229" i="25" s="1"/>
  <c r="BB229" i="25"/>
  <c r="BS229" i="25" s="1"/>
  <c r="BA229" i="25"/>
  <c r="BD221" i="24"/>
  <c r="AY221" i="24"/>
  <c r="AZ221" i="24" s="1"/>
  <c r="BE221" i="24"/>
  <c r="BT221" i="24" s="1"/>
  <c r="AT156" i="25"/>
  <c r="AY156" i="25" s="1"/>
  <c r="AU156" i="25"/>
  <c r="BA255" i="25"/>
  <c r="BB255" i="25"/>
  <c r="BS255" i="25" s="1"/>
  <c r="BC255" i="25"/>
  <c r="BT255" i="25" s="1"/>
  <c r="AT316" i="25"/>
  <c r="AU316" i="25"/>
  <c r="AT172" i="25"/>
  <c r="AY172" i="25" s="1"/>
  <c r="AU172" i="25"/>
  <c r="BA306" i="25"/>
  <c r="BC306" i="25"/>
  <c r="BT306" i="25" s="1"/>
  <c r="BB306" i="25"/>
  <c r="BS306" i="25" s="1"/>
  <c r="AT99" i="25"/>
  <c r="AY99" i="25" s="1"/>
  <c r="AU99" i="25"/>
  <c r="BB87" i="25"/>
  <c r="BS87" i="25" s="1"/>
  <c r="BA87" i="25"/>
  <c r="BC87" i="25"/>
  <c r="BT87" i="25" s="1"/>
  <c r="AT162" i="25"/>
  <c r="AY162" i="25" s="1"/>
  <c r="AU162" i="25"/>
  <c r="AT117" i="25"/>
  <c r="AY117" i="25" s="1"/>
  <c r="AU117" i="25"/>
  <c r="AY125" i="24"/>
  <c r="AZ125" i="24" s="1"/>
  <c r="BD125" i="24"/>
  <c r="BE125" i="24"/>
  <c r="BT125" i="24" s="1"/>
  <c r="BA305" i="25"/>
  <c r="BC305" i="25"/>
  <c r="BT305" i="25" s="1"/>
  <c r="BB305" i="25"/>
  <c r="BS305" i="25" s="1"/>
  <c r="AT88" i="25"/>
  <c r="AY88" i="25" s="1"/>
  <c r="AU88" i="25"/>
  <c r="AT226" i="25"/>
  <c r="AU226" i="25"/>
  <c r="BE84" i="24"/>
  <c r="BT84" i="24" s="1"/>
  <c r="BD84" i="24"/>
  <c r="AY84" i="24"/>
  <c r="AZ84" i="24" s="1"/>
  <c r="BE80" i="24"/>
  <c r="BT80" i="24" s="1"/>
  <c r="BD80" i="24"/>
  <c r="AY80" i="24"/>
  <c r="AZ80" i="24" s="1"/>
  <c r="AT25" i="25"/>
  <c r="AY25" i="25" s="1"/>
  <c r="AU25" i="25"/>
  <c r="BC246" i="25"/>
  <c r="BT246" i="25" s="1"/>
  <c r="BA246" i="25"/>
  <c r="BB246" i="25"/>
  <c r="BS246" i="25" s="1"/>
  <c r="AT290" i="25"/>
  <c r="AU290" i="25"/>
  <c r="BC262" i="25"/>
  <c r="BT262" i="25" s="1"/>
  <c r="BB262" i="25"/>
  <c r="BS262" i="25" s="1"/>
  <c r="BA262" i="25"/>
  <c r="AT169" i="25"/>
  <c r="AY169" i="25" s="1"/>
  <c r="AU169" i="25"/>
  <c r="AY291" i="24"/>
  <c r="AZ291" i="24" s="1"/>
  <c r="BE291" i="24"/>
  <c r="BT291" i="24" s="1"/>
  <c r="BD291" i="24"/>
  <c r="AT260" i="25"/>
  <c r="AU260" i="25"/>
  <c r="AY102" i="24"/>
  <c r="AZ102" i="24" s="1"/>
  <c r="BD102" i="24"/>
  <c r="BE102" i="24"/>
  <c r="BT102" i="24" s="1"/>
  <c r="BE223" i="24"/>
  <c r="BT223" i="24" s="1"/>
  <c r="AY223" i="24"/>
  <c r="AZ223" i="24" s="1"/>
  <c r="BD223" i="24"/>
  <c r="AT52" i="25"/>
  <c r="AY52" i="25" s="1"/>
  <c r="AU52" i="25"/>
  <c r="BE141" i="24"/>
  <c r="BT141" i="24" s="1"/>
  <c r="AY141" i="24"/>
  <c r="AZ141" i="24" s="1"/>
  <c r="BD141" i="24"/>
  <c r="BD251" i="24"/>
  <c r="BE251" i="24"/>
  <c r="BT251" i="24" s="1"/>
  <c r="AY251" i="24"/>
  <c r="AZ251" i="24" s="1"/>
  <c r="BA186" i="25"/>
  <c r="BC186" i="25"/>
  <c r="BT186" i="25" s="1"/>
  <c r="BB186" i="25"/>
  <c r="BS186" i="25" s="1"/>
  <c r="AT120" i="25"/>
  <c r="AY120" i="25" s="1"/>
  <c r="AU120" i="25"/>
  <c r="BD302" i="24"/>
  <c r="AY302" i="24"/>
  <c r="AZ302" i="24" s="1"/>
  <c r="BE302" i="24"/>
  <c r="BT302" i="24" s="1"/>
  <c r="AT219" i="25"/>
  <c r="AU219" i="25"/>
  <c r="AT217" i="25"/>
  <c r="AU217" i="25"/>
  <c r="AT209" i="25"/>
  <c r="AY209" i="25" s="1"/>
  <c r="AU209" i="25"/>
  <c r="BD127" i="24"/>
  <c r="AY127" i="24"/>
  <c r="AZ127" i="24" s="1"/>
  <c r="BE127" i="24"/>
  <c r="BT127" i="24" s="1"/>
  <c r="BB170" i="25"/>
  <c r="BS170" i="25" s="1"/>
  <c r="BA170" i="25"/>
  <c r="BC170" i="25"/>
  <c r="BT170" i="25" s="1"/>
  <c r="AT63" i="25"/>
  <c r="AY63" i="25" s="1"/>
  <c r="AU63" i="25"/>
  <c r="BE207" i="24"/>
  <c r="BT207" i="24" s="1"/>
  <c r="BD207" i="24"/>
  <c r="AY207" i="24"/>
  <c r="AZ207" i="24" s="1"/>
  <c r="AT79" i="25"/>
  <c r="AY79" i="25" s="1"/>
  <c r="AU79" i="25"/>
  <c r="AT146" i="25"/>
  <c r="AY146" i="25" s="1"/>
  <c r="AU146" i="25"/>
  <c r="BB206" i="25"/>
  <c r="BS206" i="25" s="1"/>
  <c r="BA206" i="25"/>
  <c r="BC206" i="25"/>
  <c r="BT206" i="25" s="1"/>
  <c r="AT137" i="25"/>
  <c r="AY137" i="25" s="1"/>
  <c r="AU137" i="25"/>
  <c r="AY173" i="24"/>
  <c r="AZ173" i="24" s="1"/>
  <c r="BE173" i="24"/>
  <c r="BT173" i="24" s="1"/>
  <c r="BD173" i="24"/>
  <c r="AT159" i="25"/>
  <c r="AY159" i="25" s="1"/>
  <c r="AU159" i="25"/>
  <c r="AT10" i="25"/>
  <c r="AY10" i="25" s="1"/>
  <c r="AU10" i="25"/>
  <c r="AY49" i="24"/>
  <c r="AZ49" i="24" s="1"/>
  <c r="BD49" i="24"/>
  <c r="BE49" i="24"/>
  <c r="BT49" i="24" s="1"/>
  <c r="AT121" i="25"/>
  <c r="AY121" i="25" s="1"/>
  <c r="AU121" i="25"/>
  <c r="BD77" i="24"/>
  <c r="BE77" i="24"/>
  <c r="BT77" i="24" s="1"/>
  <c r="AY77" i="24"/>
  <c r="AZ77" i="24" s="1"/>
  <c r="BS6" i="24"/>
  <c r="BG6" i="24"/>
  <c r="BM6" i="24" s="1"/>
  <c r="AY196" i="24"/>
  <c r="AZ196" i="24" s="1"/>
  <c r="BD196" i="24"/>
  <c r="BE196" i="24"/>
  <c r="BT196" i="24" s="1"/>
  <c r="BA178" i="25"/>
  <c r="BB178" i="25"/>
  <c r="BS178" i="25" s="1"/>
  <c r="BC178" i="25"/>
  <c r="BT178" i="25" s="1"/>
  <c r="AT141" i="25"/>
  <c r="AY141" i="25" s="1"/>
  <c r="AU141" i="25"/>
  <c r="BA34" i="25"/>
  <c r="BC34" i="25"/>
  <c r="BT34" i="25" s="1"/>
  <c r="BB34" i="25"/>
  <c r="BS34" i="25" s="1"/>
  <c r="BE67" i="24"/>
  <c r="BT67" i="24" s="1"/>
  <c r="BD67" i="24"/>
  <c r="AY67" i="24"/>
  <c r="AZ67" i="24" s="1"/>
  <c r="AT253" i="25"/>
  <c r="AU253" i="25"/>
  <c r="AY88" i="24"/>
  <c r="AZ88" i="24" s="1"/>
  <c r="BE88" i="24"/>
  <c r="BT88" i="24" s="1"/>
  <c r="BD88" i="24"/>
  <c r="BB89" i="25"/>
  <c r="BS89" i="25" s="1"/>
  <c r="BA89" i="25"/>
  <c r="BC89" i="25"/>
  <c r="BT89" i="25" s="1"/>
  <c r="AT294" i="25"/>
  <c r="AU294" i="25"/>
  <c r="BS248" i="24"/>
  <c r="BG248" i="24"/>
  <c r="AT40" i="25"/>
  <c r="AY40" i="25" s="1"/>
  <c r="AU40" i="25"/>
  <c r="BA291" i="25"/>
  <c r="BC291" i="25"/>
  <c r="BT291" i="25" s="1"/>
  <c r="BB291" i="25"/>
  <c r="BS291" i="25" s="1"/>
  <c r="AT9" i="25"/>
  <c r="AY9" i="25" s="1"/>
  <c r="AU9" i="25"/>
  <c r="AT24" i="25"/>
  <c r="AY24" i="25" s="1"/>
  <c r="AU24" i="25"/>
  <c r="BE235" i="24"/>
  <c r="BT235" i="24" s="1"/>
  <c r="BD235" i="24"/>
  <c r="AY235" i="24"/>
  <c r="AZ235" i="24" s="1"/>
  <c r="BE241" i="24"/>
  <c r="BT241" i="24" s="1"/>
  <c r="AY241" i="24"/>
  <c r="AZ241" i="24" s="1"/>
  <c r="BD241" i="24"/>
  <c r="BE74" i="24"/>
  <c r="BT74" i="24" s="1"/>
  <c r="BD74" i="24"/>
  <c r="AY74" i="24"/>
  <c r="AZ74" i="24" s="1"/>
  <c r="BA97" i="25"/>
  <c r="BC97" i="25"/>
  <c r="BT97" i="25" s="1"/>
  <c r="BB97" i="25"/>
  <c r="BS97" i="25" s="1"/>
  <c r="BD261" i="24"/>
  <c r="AY261" i="24"/>
  <c r="AZ261" i="24" s="1"/>
  <c r="BE261" i="24"/>
  <c r="BT261" i="24" s="1"/>
  <c r="BE116" i="24"/>
  <c r="BT116" i="24" s="1"/>
  <c r="BD116" i="24"/>
  <c r="AY116" i="24"/>
  <c r="AZ116" i="24" s="1"/>
  <c r="AT222" i="25"/>
  <c r="AU222" i="25"/>
  <c r="BA238" i="25"/>
  <c r="BC238" i="25"/>
  <c r="BT238" i="25" s="1"/>
  <c r="BB238" i="25"/>
  <c r="BS238" i="25" s="1"/>
  <c r="BD164" i="24"/>
  <c r="BE164" i="24"/>
  <c r="BT164" i="24" s="1"/>
  <c r="AY164" i="24"/>
  <c r="AZ164" i="24" s="1"/>
  <c r="AT53" i="25"/>
  <c r="AY53" i="25" s="1"/>
  <c r="AU53" i="25"/>
  <c r="AT22" i="25"/>
  <c r="AY22" i="25" s="1"/>
  <c r="AU22" i="25"/>
  <c r="AT231" i="25"/>
  <c r="AU231" i="25"/>
  <c r="AT90" i="25"/>
  <c r="AY90" i="25" s="1"/>
  <c r="AU90" i="25"/>
  <c r="BE98" i="24"/>
  <c r="BT98" i="24" s="1"/>
  <c r="BD98" i="24"/>
  <c r="AY98" i="24"/>
  <c r="AZ98" i="24" s="1"/>
  <c r="BD69" i="24"/>
  <c r="AY69" i="24"/>
  <c r="AZ69" i="24" s="1"/>
  <c r="BE69" i="24"/>
  <c r="BT69" i="24" s="1"/>
  <c r="BC94" i="25"/>
  <c r="BT94" i="25" s="1"/>
  <c r="BB94" i="25"/>
  <c r="BS94" i="25" s="1"/>
  <c r="BA94" i="25"/>
  <c r="AY149" i="24"/>
  <c r="AZ149" i="24" s="1"/>
  <c r="BD149" i="24"/>
  <c r="BE149" i="24"/>
  <c r="BT149" i="24" s="1"/>
  <c r="AY64" i="24"/>
  <c r="AZ64" i="24" s="1"/>
  <c r="BE64" i="24"/>
  <c r="BT64" i="24" s="1"/>
  <c r="BD64" i="24"/>
  <c r="AY82" i="24"/>
  <c r="AZ82" i="24" s="1"/>
  <c r="BD82" i="24"/>
  <c r="BE82" i="24"/>
  <c r="BT82" i="24" s="1"/>
  <c r="AY180" i="24"/>
  <c r="AZ180" i="24" s="1"/>
  <c r="BD180" i="24"/>
  <c r="BE180" i="24"/>
  <c r="BT180" i="24" s="1"/>
  <c r="BA167" i="25"/>
  <c r="BC167" i="25"/>
  <c r="BT167" i="25" s="1"/>
  <c r="BB167" i="25"/>
  <c r="BS167" i="25" s="1"/>
  <c r="BG264" i="24"/>
  <c r="BS264" i="24"/>
  <c r="BX264" i="24" s="1"/>
  <c r="BE308" i="24"/>
  <c r="BT308" i="24" s="1"/>
  <c r="AY308" i="24"/>
  <c r="AZ308" i="24" s="1"/>
  <c r="BD308" i="24"/>
  <c r="AT203" i="25"/>
  <c r="AY203" i="25" s="1"/>
  <c r="AU203" i="25"/>
  <c r="BE200" i="24"/>
  <c r="BT200" i="24" s="1"/>
  <c r="AY200" i="24"/>
  <c r="AZ200" i="24" s="1"/>
  <c r="BD200" i="24"/>
  <c r="AT221" i="25"/>
  <c r="AU221" i="25"/>
  <c r="BD170" i="24"/>
  <c r="BE170" i="24"/>
  <c r="BT170" i="24" s="1"/>
  <c r="AY170" i="24"/>
  <c r="AZ170" i="24" s="1"/>
  <c r="BE23" i="24"/>
  <c r="BT23" i="24" s="1"/>
  <c r="BD23" i="24"/>
  <c r="AY23" i="24"/>
  <c r="AZ23" i="24" s="1"/>
  <c r="AY155" i="24"/>
  <c r="AZ155" i="24" s="1"/>
  <c r="BD155" i="24"/>
  <c r="BE155" i="24"/>
  <c r="BT155" i="24" s="1"/>
  <c r="AT116" i="25"/>
  <c r="AY116" i="25" s="1"/>
  <c r="AU116" i="25"/>
  <c r="AT74" i="25"/>
  <c r="AY74" i="25" s="1"/>
  <c r="AU74" i="25"/>
  <c r="AT47" i="25"/>
  <c r="AY47" i="25" s="1"/>
  <c r="AU47" i="25"/>
  <c r="AT298" i="25"/>
  <c r="AU298" i="25"/>
  <c r="BD81" i="24"/>
  <c r="AY81" i="24"/>
  <c r="AZ81" i="24" s="1"/>
  <c r="BE81" i="24"/>
  <c r="BT81" i="24" s="1"/>
  <c r="BB155" i="25"/>
  <c r="BS155" i="25" s="1"/>
  <c r="BC155" i="25"/>
  <c r="BT155" i="25" s="1"/>
  <c r="BA155" i="25"/>
  <c r="AT142" i="25"/>
  <c r="AY142" i="25" s="1"/>
  <c r="AU142" i="25"/>
  <c r="BD43" i="24"/>
  <c r="BE43" i="24"/>
  <c r="BT43" i="24" s="1"/>
  <c r="AY43" i="24"/>
  <c r="AZ43" i="24" s="1"/>
  <c r="BD199" i="24"/>
  <c r="BE199" i="24"/>
  <c r="BT199" i="24" s="1"/>
  <c r="AY199" i="24"/>
  <c r="AZ199" i="24" s="1"/>
  <c r="AY178" i="24"/>
  <c r="AZ178" i="24" s="1"/>
  <c r="BE178" i="24"/>
  <c r="BT178" i="24" s="1"/>
  <c r="BD178" i="24"/>
  <c r="AT132" i="25"/>
  <c r="AY132" i="25" s="1"/>
  <c r="AU132" i="25"/>
  <c r="BA14" i="25"/>
  <c r="BC14" i="25"/>
  <c r="BT14" i="25" s="1"/>
  <c r="BB14" i="25"/>
  <c r="BS14" i="25" s="1"/>
  <c r="AT45" i="25"/>
  <c r="AY45" i="25" s="1"/>
  <c r="AU45" i="25"/>
  <c r="BA192" i="25"/>
  <c r="BC192" i="25"/>
  <c r="BT192" i="25" s="1"/>
  <c r="BB192" i="25"/>
  <c r="BS192" i="25" s="1"/>
  <c r="BC283" i="25"/>
  <c r="BT283" i="25" s="1"/>
  <c r="BA283" i="25"/>
  <c r="BB283" i="25"/>
  <c r="BS283" i="25" s="1"/>
  <c r="BE9" i="24"/>
  <c r="BT9" i="24" s="1"/>
  <c r="AY9" i="24"/>
  <c r="AZ9" i="24" s="1"/>
  <c r="BD9" i="24"/>
  <c r="AT84" i="25"/>
  <c r="AY84" i="25" s="1"/>
  <c r="AU84" i="25"/>
  <c r="BB204" i="25"/>
  <c r="BS204" i="25" s="1"/>
  <c r="BA204" i="25"/>
  <c r="BC204" i="25"/>
  <c r="BT204" i="25" s="1"/>
  <c r="BE194" i="24"/>
  <c r="BT194" i="24" s="1"/>
  <c r="BD194" i="24"/>
  <c r="AY194" i="24"/>
  <c r="AZ194" i="24" s="1"/>
  <c r="AT234" i="25"/>
  <c r="AU234" i="25"/>
  <c r="BE229" i="24"/>
  <c r="BT229" i="24" s="1"/>
  <c r="BD229" i="24"/>
  <c r="AY229" i="24"/>
  <c r="AZ229" i="24" s="1"/>
  <c r="AY201" i="24"/>
  <c r="AZ201" i="24" s="1"/>
  <c r="BE201" i="24"/>
  <c r="BT201" i="24" s="1"/>
  <c r="BD201" i="24"/>
  <c r="BG191" i="24"/>
  <c r="BS191" i="24"/>
  <c r="BX191" i="24" s="1"/>
  <c r="AT83" i="25"/>
  <c r="AY83" i="25" s="1"/>
  <c r="AU83" i="25"/>
  <c r="BE42" i="24"/>
  <c r="BT42" i="24" s="1"/>
  <c r="AY42" i="24"/>
  <c r="AZ42" i="24" s="1"/>
  <c r="BD42" i="24"/>
  <c r="BE139" i="24"/>
  <c r="BT139" i="24" s="1"/>
  <c r="BD139" i="24"/>
  <c r="AY139" i="24"/>
  <c r="AZ139" i="24" s="1"/>
  <c r="AT35" i="25"/>
  <c r="AY35" i="25" s="1"/>
  <c r="AU35" i="25"/>
  <c r="AY278" i="24"/>
  <c r="AZ278" i="24" s="1"/>
  <c r="BE278" i="24"/>
  <c r="BT278" i="24" s="1"/>
  <c r="BD278" i="24"/>
  <c r="AT230" i="25"/>
  <c r="AU230" i="25"/>
  <c r="BE275" i="24"/>
  <c r="BT275" i="24" s="1"/>
  <c r="AY275" i="24"/>
  <c r="AZ275" i="24" s="1"/>
  <c r="BD275" i="24"/>
  <c r="AT236" i="25"/>
  <c r="AU236" i="25"/>
  <c r="AT123" i="25"/>
  <c r="AY123" i="25" s="1"/>
  <c r="AU123" i="25"/>
  <c r="BE126" i="24"/>
  <c r="BT126" i="24" s="1"/>
  <c r="AY126" i="24"/>
  <c r="AZ126" i="24" s="1"/>
  <c r="BD126" i="24"/>
  <c r="BE284" i="24"/>
  <c r="BT284" i="24" s="1"/>
  <c r="AY284" i="24"/>
  <c r="AZ284" i="24" s="1"/>
  <c r="BD284" i="24"/>
  <c r="BD30" i="24"/>
  <c r="AY30" i="24"/>
  <c r="AZ30" i="24" s="1"/>
  <c r="BE30" i="24"/>
  <c r="BT30" i="24" s="1"/>
  <c r="AY114" i="24"/>
  <c r="AZ114" i="24" s="1"/>
  <c r="BE114" i="24"/>
  <c r="BT114" i="24" s="1"/>
  <c r="BD114" i="24"/>
  <c r="AT250" i="25"/>
  <c r="AU250" i="25"/>
  <c r="AT33" i="25"/>
  <c r="AY33" i="25" s="1"/>
  <c r="AU33" i="25"/>
  <c r="BD136" i="24"/>
  <c r="AY136" i="24"/>
  <c r="AZ136" i="24" s="1"/>
  <c r="BE136" i="24"/>
  <c r="BT136" i="24" s="1"/>
  <c r="AT112" i="25"/>
  <c r="AY112" i="25" s="1"/>
  <c r="AU112" i="25"/>
  <c r="BD177" i="24"/>
  <c r="AY177" i="24"/>
  <c r="AZ177" i="24" s="1"/>
  <c r="BE177" i="24"/>
  <c r="BT177" i="24" s="1"/>
  <c r="AT7" i="25"/>
  <c r="AY7" i="25" s="1"/>
  <c r="AU7" i="25"/>
  <c r="AT256" i="25"/>
  <c r="AU256" i="25"/>
  <c r="BA30" i="25"/>
  <c r="BB30" i="25"/>
  <c r="BS30" i="25" s="1"/>
  <c r="BC30" i="25"/>
  <c r="BT30" i="25" s="1"/>
  <c r="BA113" i="25"/>
  <c r="BC113" i="25"/>
  <c r="BT113" i="25" s="1"/>
  <c r="BB113" i="25"/>
  <c r="BS113" i="25" s="1"/>
  <c r="AY203" i="24"/>
  <c r="AZ203" i="24" s="1"/>
  <c r="BD203" i="24"/>
  <c r="BE203" i="24"/>
  <c r="BT203" i="24" s="1"/>
  <c r="AT8" i="25"/>
  <c r="AY8" i="25" s="1"/>
  <c r="AU8" i="25"/>
  <c r="BE63" i="24"/>
  <c r="BT63" i="24" s="1"/>
  <c r="BD63" i="24"/>
  <c r="AY63" i="24"/>
  <c r="AZ63" i="24" s="1"/>
  <c r="AT15" i="25"/>
  <c r="AY15" i="25" s="1"/>
  <c r="AU15" i="25"/>
  <c r="AT239" i="25"/>
  <c r="AU239" i="25"/>
  <c r="BD76" i="24"/>
  <c r="BE76" i="24"/>
  <c r="BT76" i="24" s="1"/>
  <c r="AY76" i="24"/>
  <c r="AZ76" i="24" s="1"/>
  <c r="BG44" i="24"/>
  <c r="BM44" i="24" s="1"/>
  <c r="BS44" i="24"/>
  <c r="BV44" i="24" s="1"/>
  <c r="BX44" i="24" s="1"/>
  <c r="AT70" i="25"/>
  <c r="AY70" i="25" s="1"/>
  <c r="AU70" i="25"/>
  <c r="AT76" i="25"/>
  <c r="AY76" i="25" s="1"/>
  <c r="AU76" i="25"/>
  <c r="BE27" i="24"/>
  <c r="BT27" i="24" s="1"/>
  <c r="AY27" i="24"/>
  <c r="AZ27" i="24" s="1"/>
  <c r="BD27" i="24"/>
  <c r="BD301" i="24"/>
  <c r="BE301" i="24"/>
  <c r="BT301" i="24" s="1"/>
  <c r="AY301" i="24"/>
  <c r="AZ301" i="24" s="1"/>
  <c r="BE17" i="24"/>
  <c r="BT17" i="24" s="1"/>
  <c r="BD17" i="24"/>
  <c r="AY17" i="24"/>
  <c r="AZ17" i="24" s="1"/>
  <c r="BE156" i="24"/>
  <c r="BT156" i="24" s="1"/>
  <c r="BD156" i="24"/>
  <c r="AY156" i="24"/>
  <c r="AZ156" i="24" s="1"/>
  <c r="AY174" i="24"/>
  <c r="AZ174" i="24" s="1"/>
  <c r="BE174" i="24"/>
  <c r="BT174" i="24" s="1"/>
  <c r="BD174" i="24"/>
  <c r="BE290" i="24"/>
  <c r="BT290" i="24" s="1"/>
  <c r="AY290" i="24"/>
  <c r="AZ290" i="24" s="1"/>
  <c r="BD290" i="24"/>
  <c r="AT202" i="25"/>
  <c r="AY202" i="25" s="1"/>
  <c r="AU202" i="25"/>
  <c r="BD131" i="24"/>
  <c r="AY131" i="24"/>
  <c r="AZ131" i="24" s="1"/>
  <c r="BE131" i="24"/>
  <c r="BT131" i="24" s="1"/>
  <c r="AY249" i="24"/>
  <c r="AZ249" i="24" s="1"/>
  <c r="BE249" i="24"/>
  <c r="BT249" i="24" s="1"/>
  <c r="BD249" i="24"/>
  <c r="BD183" i="24"/>
  <c r="AY183" i="24"/>
  <c r="AZ183" i="24" s="1"/>
  <c r="BE183" i="24"/>
  <c r="BT183" i="24" s="1"/>
  <c r="BE35" i="24"/>
  <c r="BT35" i="24" s="1"/>
  <c r="BD35" i="24"/>
  <c r="AY35" i="24"/>
  <c r="AZ35" i="24" s="1"/>
  <c r="BE89" i="24"/>
  <c r="BT89" i="24" s="1"/>
  <c r="BD89" i="24"/>
  <c r="AY89" i="24"/>
  <c r="AZ89" i="24" s="1"/>
  <c r="AT180" i="25"/>
  <c r="AY180" i="25" s="1"/>
  <c r="AU180" i="25"/>
  <c r="BC21" i="25"/>
  <c r="BT21" i="25" s="1"/>
  <c r="BB21" i="25"/>
  <c r="BS21" i="25" s="1"/>
  <c r="BA21" i="25"/>
  <c r="AT223" i="25"/>
  <c r="AU223" i="25"/>
  <c r="BB190" i="25"/>
  <c r="BS190" i="25" s="1"/>
  <c r="BC190" i="25"/>
  <c r="BT190" i="25" s="1"/>
  <c r="BA190" i="25"/>
  <c r="BE268" i="24"/>
  <c r="BT268" i="24" s="1"/>
  <c r="BD268" i="24"/>
  <c r="AY268" i="24"/>
  <c r="AZ268" i="24" s="1"/>
  <c r="AT64" i="25"/>
  <c r="AY64" i="25" s="1"/>
  <c r="AU64" i="25"/>
  <c r="AT200" i="25"/>
  <c r="AY200" i="25" s="1"/>
  <c r="AU200" i="25"/>
  <c r="AT55" i="25"/>
  <c r="AY55" i="25" s="1"/>
  <c r="AU55" i="25"/>
  <c r="AT122" i="25"/>
  <c r="AY122" i="25" s="1"/>
  <c r="AU122" i="25"/>
  <c r="AT73" i="25"/>
  <c r="AY73" i="25" s="1"/>
  <c r="AU73" i="25"/>
  <c r="AY205" i="24"/>
  <c r="AZ205" i="24" s="1"/>
  <c r="BE205" i="24"/>
  <c r="BT205" i="24" s="1"/>
  <c r="BD205" i="24"/>
  <c r="BE309" i="24"/>
  <c r="BT309" i="24" s="1"/>
  <c r="AY309" i="24"/>
  <c r="AZ309" i="24" s="1"/>
  <c r="BD309" i="24"/>
  <c r="AT72" i="25"/>
  <c r="AY72" i="25" s="1"/>
  <c r="AU72" i="25"/>
  <c r="BG259" i="24"/>
  <c r="BS259" i="24"/>
  <c r="BC82" i="25"/>
  <c r="BT82" i="25" s="1"/>
  <c r="BB82" i="25"/>
  <c r="BS82" i="25" s="1"/>
  <c r="BA82" i="25"/>
  <c r="BE193" i="24"/>
  <c r="BT193" i="24" s="1"/>
  <c r="BD193" i="24"/>
  <c r="AY193" i="24"/>
  <c r="AZ193" i="24" s="1"/>
  <c r="AT125" i="25"/>
  <c r="AY125" i="25" s="1"/>
  <c r="AU125" i="25"/>
  <c r="BE65" i="24"/>
  <c r="BT65" i="24" s="1"/>
  <c r="BD65" i="24"/>
  <c r="AY65" i="24"/>
  <c r="AZ65" i="24" s="1"/>
  <c r="AT37" i="25"/>
  <c r="AY37" i="25" s="1"/>
  <c r="AU37" i="25"/>
  <c r="BE110" i="25"/>
  <c r="BR110" i="25"/>
  <c r="BX110" i="25" s="1"/>
  <c r="BD97" i="24"/>
  <c r="BE97" i="24"/>
  <c r="BT97" i="24" s="1"/>
  <c r="AY97" i="24"/>
  <c r="AZ97" i="24" s="1"/>
  <c r="AY243" i="24"/>
  <c r="AZ243" i="24" s="1"/>
  <c r="BD243" i="24"/>
  <c r="BE243" i="24"/>
  <c r="BT243" i="24" s="1"/>
  <c r="BA259" i="25"/>
  <c r="BB259" i="25"/>
  <c r="BS259" i="25" s="1"/>
  <c r="BC259" i="25"/>
  <c r="BT259" i="25" s="1"/>
  <c r="BG294" i="24"/>
  <c r="BS294" i="24"/>
  <c r="BX294" i="24" s="1"/>
  <c r="AT277" i="25"/>
  <c r="AU277" i="25"/>
  <c r="BD87" i="24"/>
  <c r="AY87" i="24"/>
  <c r="AZ87" i="24" s="1"/>
  <c r="BE87" i="24"/>
  <c r="BT87" i="24" s="1"/>
  <c r="AT75" i="25"/>
  <c r="AY75" i="25" s="1"/>
  <c r="AU75" i="25"/>
  <c r="AT268" i="25"/>
  <c r="AU268" i="25"/>
  <c r="AT46" i="25"/>
  <c r="AY46" i="25" s="1"/>
  <c r="AU46" i="25"/>
  <c r="BA161" i="25"/>
  <c r="BC161" i="25"/>
  <c r="BT161" i="25" s="1"/>
  <c r="BB161" i="25"/>
  <c r="BS161" i="25" s="1"/>
  <c r="AT184" i="25"/>
  <c r="AY184" i="25" s="1"/>
  <c r="AU184" i="25"/>
  <c r="AT80" i="25"/>
  <c r="AY80" i="25" s="1"/>
  <c r="AU80" i="25"/>
  <c r="BE46" i="24"/>
  <c r="BT46" i="24" s="1"/>
  <c r="AY46" i="24"/>
  <c r="AZ46" i="24" s="1"/>
  <c r="BD46" i="24"/>
  <c r="BE47" i="24"/>
  <c r="BT47" i="24" s="1"/>
  <c r="BD47" i="24"/>
  <c r="AY47" i="24"/>
  <c r="AZ47" i="24" s="1"/>
  <c r="AT175" i="25"/>
  <c r="AY175" i="25" s="1"/>
  <c r="AU175" i="25"/>
  <c r="BE197" i="24"/>
  <c r="BT197" i="24" s="1"/>
  <c r="BD197" i="24"/>
  <c r="AY197" i="24"/>
  <c r="AZ197" i="24" s="1"/>
  <c r="AY159" i="24"/>
  <c r="AZ159" i="24" s="1"/>
  <c r="BD159" i="24"/>
  <c r="BE159" i="24"/>
  <c r="BT159" i="24" s="1"/>
  <c r="AT56" i="25"/>
  <c r="AY56" i="25" s="1"/>
  <c r="AU56" i="25"/>
  <c r="BC314" i="25"/>
  <c r="BT314" i="25" s="1"/>
  <c r="BB314" i="25"/>
  <c r="BS314" i="25" s="1"/>
  <c r="BA314" i="25"/>
  <c r="AT313" i="25"/>
  <c r="AU313" i="25"/>
  <c r="BE79" i="24"/>
  <c r="BT79" i="24" s="1"/>
  <c r="BD79" i="24"/>
  <c r="AY79" i="24"/>
  <c r="AZ79" i="24" s="1"/>
  <c r="BC13" i="25"/>
  <c r="BT13" i="25" s="1"/>
  <c r="BB13" i="25"/>
  <c r="BS13" i="25" s="1"/>
  <c r="BA13" i="25"/>
  <c r="AY93" i="24"/>
  <c r="AZ93" i="24" s="1"/>
  <c r="BE93" i="24"/>
  <c r="BT93" i="24" s="1"/>
  <c r="BD93" i="24"/>
  <c r="AT23" i="25"/>
  <c r="AY23" i="25" s="1"/>
  <c r="AU23" i="25"/>
  <c r="AT207" i="25"/>
  <c r="AY207" i="25" s="1"/>
  <c r="AU207" i="25"/>
  <c r="BD286" i="24"/>
  <c r="AY286" i="24"/>
  <c r="AZ286" i="24" s="1"/>
  <c r="BE286" i="24"/>
  <c r="BT286" i="24" s="1"/>
  <c r="AT36" i="25"/>
  <c r="AY36" i="25" s="1"/>
  <c r="AU36" i="25"/>
  <c r="AT27" i="25"/>
  <c r="AY27" i="25" s="1"/>
  <c r="AU27" i="25"/>
  <c r="BE52" i="24"/>
  <c r="BT52" i="24" s="1"/>
  <c r="AY52" i="24"/>
  <c r="AZ52" i="24" s="1"/>
  <c r="BD52" i="24"/>
  <c r="AT12" i="25"/>
  <c r="AY12" i="25" s="1"/>
  <c r="AU12" i="25"/>
  <c r="BE181" i="24"/>
  <c r="BT181" i="24" s="1"/>
  <c r="BD181" i="24"/>
  <c r="AY181" i="24"/>
  <c r="AZ181" i="24" s="1"/>
  <c r="AT19" i="25"/>
  <c r="AY19" i="25" s="1"/>
  <c r="AU19" i="25"/>
  <c r="BC148" i="25"/>
  <c r="BT148" i="25" s="1"/>
  <c r="BA148" i="25"/>
  <c r="BB148" i="25"/>
  <c r="BS148" i="25" s="1"/>
  <c r="BD176" i="24"/>
  <c r="AY176" i="24"/>
  <c r="AZ176" i="24" s="1"/>
  <c r="BE176" i="24"/>
  <c r="BT176" i="24" s="1"/>
  <c r="BG101" i="24"/>
  <c r="BM101" i="24" s="1"/>
  <c r="BS101" i="24"/>
  <c r="BV101" i="24" s="1"/>
  <c r="BX101" i="24" s="1"/>
  <c r="BE217" i="24"/>
  <c r="BT217" i="24" s="1"/>
  <c r="BD217" i="24"/>
  <c r="AY217" i="24"/>
  <c r="AZ217" i="24" s="1"/>
  <c r="BD274" i="24"/>
  <c r="AY274" i="24"/>
  <c r="AZ274" i="24" s="1"/>
  <c r="BE274" i="24"/>
  <c r="BT274" i="24" s="1"/>
  <c r="BA174" i="25"/>
  <c r="BB174" i="25"/>
  <c r="BS174" i="25" s="1"/>
  <c r="BC174" i="25"/>
  <c r="BT174" i="25" s="1"/>
  <c r="BD289" i="24"/>
  <c r="AY289" i="24"/>
  <c r="AZ289" i="24" s="1"/>
  <c r="BE289" i="24"/>
  <c r="BT289" i="24" s="1"/>
  <c r="BE86" i="24"/>
  <c r="BT86" i="24" s="1"/>
  <c r="BD86" i="24"/>
  <c r="AY86" i="24"/>
  <c r="AZ86" i="24" s="1"/>
  <c r="AT44" i="25"/>
  <c r="AY44" i="25" s="1"/>
  <c r="AU44" i="25"/>
  <c r="BS7" i="24"/>
  <c r="BV7" i="24" s="1"/>
  <c r="BX7" i="24" s="1"/>
  <c r="BG7" i="24"/>
  <c r="BM7" i="24" s="1"/>
  <c r="BD270" i="24"/>
  <c r="BE270" i="24"/>
  <c r="BT270" i="24" s="1"/>
  <c r="AY270" i="24"/>
  <c r="AZ270" i="24" s="1"/>
  <c r="AT284" i="25"/>
  <c r="AU284" i="25"/>
  <c r="BC71" i="25"/>
  <c r="BT71" i="25" s="1"/>
  <c r="BB71" i="25"/>
  <c r="BS71" i="25" s="1"/>
  <c r="BA71" i="25"/>
  <c r="AT126" i="25"/>
  <c r="AY126" i="25" s="1"/>
  <c r="AU126" i="25"/>
  <c r="AY304" i="24"/>
  <c r="AZ304" i="24" s="1"/>
  <c r="BE304" i="24"/>
  <c r="BT304" i="24" s="1"/>
  <c r="BD304" i="24"/>
  <c r="AT168" i="25"/>
  <c r="AY168" i="25" s="1"/>
  <c r="AU168" i="25"/>
  <c r="BA96" i="25"/>
  <c r="BB96" i="25"/>
  <c r="BS96" i="25" s="1"/>
  <c r="BC96" i="25"/>
  <c r="BT96" i="25" s="1"/>
  <c r="AT145" i="25"/>
  <c r="AY145" i="25" s="1"/>
  <c r="AU145" i="25"/>
  <c r="BE189" i="24"/>
  <c r="BT189" i="24" s="1"/>
  <c r="AY189" i="24"/>
  <c r="AZ189" i="24" s="1"/>
  <c r="BD189" i="24"/>
  <c r="AT150" i="25"/>
  <c r="AY150" i="25" s="1"/>
  <c r="AU150" i="25"/>
  <c r="AY230" i="24"/>
  <c r="AZ230" i="24" s="1"/>
  <c r="BE230" i="24"/>
  <c r="BT230" i="24" s="1"/>
  <c r="BD230" i="24"/>
  <c r="BA240" i="25"/>
  <c r="BC240" i="25"/>
  <c r="BT240" i="25" s="1"/>
  <c r="BB240" i="25"/>
  <c r="BS240" i="25" s="1"/>
  <c r="AT98" i="25"/>
  <c r="AY98" i="25" s="1"/>
  <c r="AU98" i="25"/>
  <c r="AT228" i="25"/>
  <c r="AU228" i="25"/>
  <c r="BE187" i="24"/>
  <c r="BT187" i="24" s="1"/>
  <c r="AY187" i="24"/>
  <c r="AZ187" i="24" s="1"/>
  <c r="BD187" i="24"/>
  <c r="BD300" i="24"/>
  <c r="BE300" i="24"/>
  <c r="BT300" i="24" s="1"/>
  <c r="AY300" i="24"/>
  <c r="AZ300" i="24" s="1"/>
  <c r="AY168" i="24"/>
  <c r="AZ168" i="24" s="1"/>
  <c r="BE168" i="24"/>
  <c r="BT168" i="24" s="1"/>
  <c r="BD168" i="24"/>
  <c r="BD113" i="24"/>
  <c r="AY113" i="24"/>
  <c r="AZ113" i="24" s="1"/>
  <c r="BE113" i="24"/>
  <c r="BT113" i="24" s="1"/>
  <c r="BE15" i="24"/>
  <c r="BT15" i="24" s="1"/>
  <c r="BD15" i="24"/>
  <c r="AY15" i="24"/>
  <c r="AZ15" i="24" s="1"/>
  <c r="BE208" i="24"/>
  <c r="BT208" i="24" s="1"/>
  <c r="BD208" i="24"/>
  <c r="AY208" i="24"/>
  <c r="AZ208" i="24" s="1"/>
  <c r="AT144" i="25"/>
  <c r="AY144" i="25" s="1"/>
  <c r="AU144" i="25"/>
  <c r="BB247" i="25"/>
  <c r="BS247" i="25" s="1"/>
  <c r="BA247" i="25"/>
  <c r="BC247" i="25"/>
  <c r="BT247" i="25" s="1"/>
  <c r="AT51" i="25"/>
  <c r="AY51" i="25" s="1"/>
  <c r="AU51" i="25"/>
  <c r="AT61" i="25"/>
  <c r="AY61" i="25" s="1"/>
  <c r="AU61" i="25"/>
  <c r="AY293" i="24"/>
  <c r="AZ293" i="24" s="1"/>
  <c r="BD293" i="24"/>
  <c r="BE293" i="24"/>
  <c r="BT293" i="24" s="1"/>
  <c r="BE288" i="24"/>
  <c r="BT288" i="24" s="1"/>
  <c r="AY288" i="24"/>
  <c r="AZ288" i="24" s="1"/>
  <c r="BD288" i="24"/>
  <c r="BC267" i="25"/>
  <c r="BT267" i="25" s="1"/>
  <c r="BB267" i="25"/>
  <c r="BS267" i="25" s="1"/>
  <c r="BA267" i="25"/>
  <c r="BE118" i="24"/>
  <c r="BT118" i="24" s="1"/>
  <c r="BD118" i="24"/>
  <c r="AY118" i="24"/>
  <c r="AZ118" i="24" s="1"/>
  <c r="BE266" i="24"/>
  <c r="BT266" i="24" s="1"/>
  <c r="AY266" i="24"/>
  <c r="AZ266" i="24" s="1"/>
  <c r="BD266" i="24"/>
  <c r="AT208" i="25"/>
  <c r="AY208" i="25" s="1"/>
  <c r="AU208" i="25"/>
  <c r="BB29" i="25"/>
  <c r="BS29" i="25" s="1"/>
  <c r="BC29" i="25"/>
  <c r="BT29" i="25" s="1"/>
  <c r="BA29" i="25"/>
  <c r="AT105" i="25"/>
  <c r="B140" i="2"/>
  <c r="B130" i="2"/>
  <c r="AU105" i="25"/>
  <c r="BD175" i="24"/>
  <c r="AY175" i="24"/>
  <c r="AZ175" i="24" s="1"/>
  <c r="BE175" i="24"/>
  <c r="BT175" i="24" s="1"/>
  <c r="AT42" i="25"/>
  <c r="AY42" i="25" s="1"/>
  <c r="AU42" i="25"/>
  <c r="AT171" i="25"/>
  <c r="AY171" i="25" s="1"/>
  <c r="AU171" i="25"/>
  <c r="AY202" i="24"/>
  <c r="AZ202" i="24" s="1"/>
  <c r="BE202" i="24"/>
  <c r="BT202" i="24" s="1"/>
  <c r="BD202" i="24"/>
  <c r="BD206" i="24"/>
  <c r="AY206" i="24"/>
  <c r="AZ206" i="24" s="1"/>
  <c r="BE206" i="24"/>
  <c r="BT206" i="24" s="1"/>
  <c r="AY188" i="24"/>
  <c r="AZ188" i="24" s="1"/>
  <c r="BD188" i="24"/>
  <c r="BE188" i="24"/>
  <c r="BT188" i="24" s="1"/>
  <c r="AY66" i="24"/>
  <c r="AZ66" i="24" s="1"/>
  <c r="BE66" i="24"/>
  <c r="BT66" i="24" s="1"/>
  <c r="BD66" i="24"/>
  <c r="BE179" i="24"/>
  <c r="BT179" i="24" s="1"/>
  <c r="BD179" i="24"/>
  <c r="AY179" i="24"/>
  <c r="AZ179" i="24" s="1"/>
  <c r="BD153" i="24"/>
  <c r="AY153" i="24"/>
  <c r="AZ153" i="24" s="1"/>
  <c r="BE153" i="24"/>
  <c r="BT153" i="24" s="1"/>
  <c r="AT86" i="25"/>
  <c r="AY86" i="25" s="1"/>
  <c r="AU86" i="25"/>
  <c r="BA11" i="25"/>
  <c r="BB11" i="25"/>
  <c r="BS11" i="25" s="1"/>
  <c r="BC11" i="25"/>
  <c r="BT11" i="25" s="1"/>
  <c r="AT188" i="25"/>
  <c r="AY188" i="25" s="1"/>
  <c r="AU188" i="25"/>
  <c r="BE133" i="24"/>
  <c r="BT133" i="24" s="1"/>
  <c r="BD133" i="24"/>
  <c r="AY133" i="24"/>
  <c r="AZ133" i="24" s="1"/>
  <c r="AY246" i="24"/>
  <c r="AZ246" i="24" s="1"/>
  <c r="BD246" i="24"/>
  <c r="BE246" i="24"/>
  <c r="BT246" i="24" s="1"/>
  <c r="AY209" i="24"/>
  <c r="AZ209" i="24" s="1"/>
  <c r="BE209" i="24"/>
  <c r="BT209" i="24" s="1"/>
  <c r="BD209" i="24"/>
  <c r="BB131" i="25"/>
  <c r="BS131" i="25" s="1"/>
  <c r="BC131" i="25"/>
  <c r="BT131" i="25" s="1"/>
  <c r="BA131" i="25"/>
  <c r="AT43" i="25"/>
  <c r="AY43" i="25" s="1"/>
  <c r="AU43" i="25"/>
  <c r="BG240" i="24"/>
  <c r="BS240" i="24"/>
  <c r="AT102" i="25"/>
  <c r="AY102" i="25" s="1"/>
  <c r="AU102" i="25"/>
  <c r="AY25" i="24"/>
  <c r="AZ25" i="24" s="1"/>
  <c r="BD25" i="24"/>
  <c r="BE25" i="24"/>
  <c r="BT25" i="24" s="1"/>
  <c r="AO231" i="29" l="1"/>
  <c r="AO323" i="29"/>
  <c r="AO541" i="29"/>
  <c r="AO544" i="29"/>
  <c r="AO352" i="29"/>
  <c r="AO508" i="29"/>
  <c r="AO521" i="29"/>
  <c r="BX240" i="24"/>
  <c r="AO63" i="29"/>
  <c r="U63" i="29" s="1"/>
  <c r="AO584" i="29"/>
  <c r="V584" i="29" s="1"/>
  <c r="AO380" i="29"/>
  <c r="V380" i="29" s="1"/>
  <c r="AO591" i="29"/>
  <c r="U591" i="29" s="1"/>
  <c r="AO576" i="29"/>
  <c r="V576" i="29" s="1"/>
  <c r="AO163" i="29"/>
  <c r="V163" i="29" s="1"/>
  <c r="AO485" i="29"/>
  <c r="U485" i="29" s="1"/>
  <c r="AO478" i="29"/>
  <c r="U478" i="29" s="1"/>
  <c r="AO304" i="29"/>
  <c r="U304" i="29" s="1"/>
  <c r="BG120" i="24"/>
  <c r="BY120" i="24" s="1"/>
  <c r="CA120" i="24" s="1"/>
  <c r="CB120" i="24" s="1"/>
  <c r="BC265" i="25"/>
  <c r="BT265" i="25" s="1"/>
  <c r="BA265" i="25"/>
  <c r="BE265" i="25" s="1"/>
  <c r="AO271" i="29"/>
  <c r="U271" i="29" s="1"/>
  <c r="AO566" i="29"/>
  <c r="V566" i="29" s="1"/>
  <c r="AO181" i="29"/>
  <c r="U181" i="29" s="1"/>
  <c r="AO261" i="29"/>
  <c r="V261" i="29" s="1"/>
  <c r="AO279" i="29"/>
  <c r="V279" i="29" s="1"/>
  <c r="AO59" i="29"/>
  <c r="U59" i="29" s="1"/>
  <c r="AO253" i="29"/>
  <c r="V253" i="29" s="1"/>
  <c r="AO393" i="29"/>
  <c r="U393" i="29" s="1"/>
  <c r="AO64" i="29"/>
  <c r="V64" i="29" s="1"/>
  <c r="AO445" i="29"/>
  <c r="U445" i="29" s="1"/>
  <c r="AO551" i="29"/>
  <c r="U551" i="29" s="1"/>
  <c r="AO66" i="29"/>
  <c r="U66" i="29" s="1"/>
  <c r="AO337" i="29"/>
  <c r="U337" i="29" s="1"/>
  <c r="AO606" i="29"/>
  <c r="V606" i="29" s="1"/>
  <c r="AO363" i="29"/>
  <c r="U363" i="29" s="1"/>
  <c r="AO483" i="29"/>
  <c r="V483" i="29" s="1"/>
  <c r="AO223" i="29"/>
  <c r="V223" i="29" s="1"/>
  <c r="AO137" i="29"/>
  <c r="V137" i="29" s="1"/>
  <c r="AO225" i="29"/>
  <c r="V225" i="29" s="1"/>
  <c r="AO602" i="29"/>
  <c r="U602" i="29" s="1"/>
  <c r="AO113" i="29"/>
  <c r="V113" i="29" s="1"/>
  <c r="AO371" i="29"/>
  <c r="U371" i="29" s="1"/>
  <c r="AO536" i="29"/>
  <c r="U536" i="29" s="1"/>
  <c r="AO248" i="29"/>
  <c r="V248" i="29" s="1"/>
  <c r="AO74" i="29"/>
  <c r="U74" i="29" s="1"/>
  <c r="AO46" i="29"/>
  <c r="U46" i="29" s="1"/>
  <c r="AO212" i="29"/>
  <c r="U212" i="29" s="1"/>
  <c r="AO148" i="29"/>
  <c r="V148" i="29" s="1"/>
  <c r="AO24" i="29"/>
  <c r="V24" i="29" s="1"/>
  <c r="AO206" i="29"/>
  <c r="U206" i="29" s="1"/>
  <c r="AO374" i="29"/>
  <c r="U374" i="29" s="1"/>
  <c r="AO85" i="29"/>
  <c r="V85" i="29" s="1"/>
  <c r="AO159" i="29"/>
  <c r="U159" i="29" s="1"/>
  <c r="BG283" i="24"/>
  <c r="BY283" i="24" s="1"/>
  <c r="CA283" i="24" s="1"/>
  <c r="CB283" i="24" s="1"/>
  <c r="CB292" i="24"/>
  <c r="CF292" i="24"/>
  <c r="BS12" i="24"/>
  <c r="BV12" i="24" s="1"/>
  <c r="BX12" i="24" s="1"/>
  <c r="BS219" i="24"/>
  <c r="BX219" i="24" s="1"/>
  <c r="AO106" i="29"/>
  <c r="U106" i="29" s="1"/>
  <c r="BS147" i="24"/>
  <c r="BX147" i="24" s="1"/>
  <c r="BS242" i="24"/>
  <c r="BX242" i="24" s="1"/>
  <c r="BX260" i="24"/>
  <c r="BG18" i="24"/>
  <c r="BM18" i="24" s="1"/>
  <c r="BY18" i="24" s="1"/>
  <c r="CA18" i="24" s="1"/>
  <c r="CB18" i="24" s="1"/>
  <c r="BS34" i="24"/>
  <c r="BV34" i="24" s="1"/>
  <c r="BX34" i="24" s="1"/>
  <c r="BA154" i="25"/>
  <c r="BE154" i="25" s="1"/>
  <c r="BC154" i="25"/>
  <c r="BT154" i="25" s="1"/>
  <c r="BS265" i="24"/>
  <c r="BX265" i="24" s="1"/>
  <c r="BX259" i="24"/>
  <c r="BX283" i="24"/>
  <c r="BG121" i="24"/>
  <c r="BM121" i="24" s="1"/>
  <c r="BN121" i="24" s="1"/>
  <c r="BX120" i="24"/>
  <c r="BV26" i="24"/>
  <c r="BX26" i="24" s="1"/>
  <c r="BX111" i="24"/>
  <c r="AO49" i="29"/>
  <c r="V49" i="29" s="1"/>
  <c r="AO397" i="29"/>
  <c r="U397" i="29" s="1"/>
  <c r="AO510" i="29"/>
  <c r="U510" i="29" s="1"/>
  <c r="AO194" i="29"/>
  <c r="V194" i="29" s="1"/>
  <c r="AO284" i="29"/>
  <c r="V284" i="29" s="1"/>
  <c r="AO454" i="29"/>
  <c r="U454" i="29" s="1"/>
  <c r="AO384" i="29"/>
  <c r="U384" i="29" s="1"/>
  <c r="AO340" i="29"/>
  <c r="U340" i="29" s="1"/>
  <c r="AO98" i="29"/>
  <c r="V98" i="29" s="1"/>
  <c r="AO107" i="29"/>
  <c r="V107" i="29" s="1"/>
  <c r="AO127" i="29"/>
  <c r="U127" i="29" s="1"/>
  <c r="AO289" i="29"/>
  <c r="V289" i="29" s="1"/>
  <c r="BX152" i="24"/>
  <c r="AO73" i="29"/>
  <c r="V73" i="29" s="1"/>
  <c r="AO22" i="29"/>
  <c r="U22" i="29" s="1"/>
  <c r="AO367" i="29"/>
  <c r="U367" i="29" s="1"/>
  <c r="AO123" i="29"/>
  <c r="V123" i="29" s="1"/>
  <c r="AO470" i="29"/>
  <c r="U470" i="29" s="1"/>
  <c r="AO161" i="29"/>
  <c r="U161" i="29" s="1"/>
  <c r="AO222" i="29"/>
  <c r="V222" i="29" s="1"/>
  <c r="AO379" i="29"/>
  <c r="V379" i="29" s="1"/>
  <c r="AO298" i="29"/>
  <c r="U298" i="29" s="1"/>
  <c r="AO257" i="29"/>
  <c r="U257" i="29" s="1"/>
  <c r="AO417" i="29"/>
  <c r="V417" i="29" s="1"/>
  <c r="AO603" i="29"/>
  <c r="V603" i="29" s="1"/>
  <c r="AO229" i="29"/>
  <c r="U229" i="29" s="1"/>
  <c r="AO471" i="29"/>
  <c r="U471" i="29" s="1"/>
  <c r="AO152" i="29"/>
  <c r="U152" i="29" s="1"/>
  <c r="AO590" i="29"/>
  <c r="U590" i="29" s="1"/>
  <c r="AO558" i="29"/>
  <c r="U558" i="29" s="1"/>
  <c r="AO111" i="29"/>
  <c r="V111" i="29" s="1"/>
  <c r="AO391" i="29"/>
  <c r="U391" i="29" s="1"/>
  <c r="AO557" i="29"/>
  <c r="V557" i="29" s="1"/>
  <c r="AO361" i="29"/>
  <c r="U361" i="29" s="1"/>
  <c r="AO515" i="29"/>
  <c r="V515" i="29" s="1"/>
  <c r="AO233" i="29"/>
  <c r="U233" i="29" s="1"/>
  <c r="AO327" i="29"/>
  <c r="U327" i="29" s="1"/>
  <c r="AO596" i="29"/>
  <c r="U596" i="29" s="1"/>
  <c r="AO373" i="29"/>
  <c r="V373" i="29" s="1"/>
  <c r="AO54" i="29"/>
  <c r="U54" i="29" s="1"/>
  <c r="AO613" i="29"/>
  <c r="U613" i="29" s="1"/>
  <c r="AO493" i="29"/>
  <c r="V493" i="29" s="1"/>
  <c r="AO475" i="29"/>
  <c r="V475" i="29" s="1"/>
  <c r="AO53" i="29"/>
  <c r="U53" i="29" s="1"/>
  <c r="AO322" i="29"/>
  <c r="V322" i="29" s="1"/>
  <c r="AO242" i="29"/>
  <c r="V242" i="29" s="1"/>
  <c r="AO205" i="29"/>
  <c r="U205" i="29" s="1"/>
  <c r="AO19" i="29"/>
  <c r="V19" i="29" s="1"/>
  <c r="AO466" i="29"/>
  <c r="U466" i="29" s="1"/>
  <c r="AO586" i="29"/>
  <c r="U586" i="29" s="1"/>
  <c r="AO144" i="29"/>
  <c r="V144" i="29" s="1"/>
  <c r="AO43" i="29"/>
  <c r="U43" i="29" s="1"/>
  <c r="BS130" i="24"/>
  <c r="BY130" i="24" s="1"/>
  <c r="CA130" i="24" s="1"/>
  <c r="CB130" i="24" s="1"/>
  <c r="BX135" i="24"/>
  <c r="AO168" i="29"/>
  <c r="U168" i="29" s="1"/>
  <c r="AO608" i="29"/>
  <c r="V608" i="29" s="1"/>
  <c r="AO563" i="29"/>
  <c r="U563" i="29" s="1"/>
  <c r="AO577" i="29"/>
  <c r="U577" i="29" s="1"/>
  <c r="AO598" i="29"/>
  <c r="V598" i="29" s="1"/>
  <c r="AO443" i="29"/>
  <c r="U443" i="29" s="1"/>
  <c r="AO293" i="29"/>
  <c r="U293" i="29" s="1"/>
  <c r="AO400" i="29"/>
  <c r="U400" i="29" s="1"/>
  <c r="AO578" i="29"/>
  <c r="U578" i="29" s="1"/>
  <c r="AO604" i="29"/>
  <c r="U604" i="29" s="1"/>
  <c r="AO203" i="29"/>
  <c r="U203" i="29" s="1"/>
  <c r="AO326" i="29"/>
  <c r="V326" i="29" s="1"/>
  <c r="BX121" i="24"/>
  <c r="BS232" i="24"/>
  <c r="BX232" i="24" s="1"/>
  <c r="BS295" i="24"/>
  <c r="BX295" i="24" s="1"/>
  <c r="BS253" i="24"/>
  <c r="BX253" i="24" s="1"/>
  <c r="BV6" i="24"/>
  <c r="BX6" i="24" s="1"/>
  <c r="BS238" i="24"/>
  <c r="BX238" i="24" s="1"/>
  <c r="BS298" i="24"/>
  <c r="BX298" i="24" s="1"/>
  <c r="BS296" i="24"/>
  <c r="BX296" i="24" s="1"/>
  <c r="BS305" i="24"/>
  <c r="BX305" i="24" s="1"/>
  <c r="BS280" i="24"/>
  <c r="BX280" i="24" s="1"/>
  <c r="BS112" i="24"/>
  <c r="BX112" i="24" s="1"/>
  <c r="BG28" i="24"/>
  <c r="BM28" i="24" s="1"/>
  <c r="BY28" i="24" s="1"/>
  <c r="CA28" i="24" s="1"/>
  <c r="CB28" i="24" s="1"/>
  <c r="AO105" i="29"/>
  <c r="V105" i="29" s="1"/>
  <c r="AO511" i="29"/>
  <c r="V511" i="29" s="1"/>
  <c r="AO412" i="29"/>
  <c r="V412" i="29" s="1"/>
  <c r="AO555" i="29"/>
  <c r="V555" i="29" s="1"/>
  <c r="AO499" i="29"/>
  <c r="U499" i="29" s="1"/>
  <c r="AO208" i="29"/>
  <c r="U208" i="29" s="1"/>
  <c r="AO71" i="29"/>
  <c r="U71" i="29" s="1"/>
  <c r="AO118" i="29"/>
  <c r="U118" i="29" s="1"/>
  <c r="AO186" i="29"/>
  <c r="V186" i="29" s="1"/>
  <c r="AO316" i="29"/>
  <c r="V316" i="29" s="1"/>
  <c r="AO104" i="29"/>
  <c r="V104" i="29" s="1"/>
  <c r="AO35" i="29"/>
  <c r="U35" i="29" s="1"/>
  <c r="AO571" i="29"/>
  <c r="V571" i="29" s="1"/>
  <c r="AO428" i="29"/>
  <c r="U428" i="29" s="1"/>
  <c r="AO309" i="29"/>
  <c r="U309" i="29" s="1"/>
  <c r="AO514" i="29"/>
  <c r="V514" i="29" s="1"/>
  <c r="AO362" i="29"/>
  <c r="V362" i="29" s="1"/>
  <c r="AO438" i="29"/>
  <c r="U438" i="29" s="1"/>
  <c r="AO32" i="29"/>
  <c r="V32" i="29" s="1"/>
  <c r="AO48" i="29"/>
  <c r="U48" i="29" s="1"/>
  <c r="AO319" i="29"/>
  <c r="V319" i="29" s="1"/>
  <c r="AO447" i="29"/>
  <c r="V447" i="29" s="1"/>
  <c r="AO507" i="29"/>
  <c r="V507" i="29" s="1"/>
  <c r="AO120" i="29"/>
  <c r="V120" i="29" s="1"/>
  <c r="AO553" i="29"/>
  <c r="U553" i="29" s="1"/>
  <c r="AO236" i="29"/>
  <c r="U236" i="29" s="1"/>
  <c r="AO505" i="29"/>
  <c r="U505" i="29" s="1"/>
  <c r="AO246" i="29"/>
  <c r="V246" i="29" s="1"/>
  <c r="AO529" i="29"/>
  <c r="V529" i="29" s="1"/>
  <c r="AO486" i="29"/>
  <c r="U486" i="29" s="1"/>
  <c r="AO338" i="29"/>
  <c r="V338" i="29" s="1"/>
  <c r="AO17" i="29"/>
  <c r="U17" i="29" s="1"/>
  <c r="AO207" i="29"/>
  <c r="V207" i="29" s="1"/>
  <c r="AO390" i="29"/>
  <c r="V390" i="29" s="1"/>
  <c r="AO151" i="29"/>
  <c r="U151" i="29" s="1"/>
  <c r="AO512" i="29"/>
  <c r="U512" i="29" s="1"/>
  <c r="AO494" i="29"/>
  <c r="U494" i="29" s="1"/>
  <c r="AO339" i="29"/>
  <c r="U339" i="29" s="1"/>
  <c r="AO556" i="29"/>
  <c r="V556" i="29" s="1"/>
  <c r="AO448" i="29"/>
  <c r="V448" i="29" s="1"/>
  <c r="AO349" i="29"/>
  <c r="V349" i="29" s="1"/>
  <c r="AO239" i="29"/>
  <c r="U239" i="29" s="1"/>
  <c r="AO370" i="29"/>
  <c r="U370" i="29" s="1"/>
  <c r="AO418" i="29"/>
  <c r="U418" i="29" s="1"/>
  <c r="AO609" i="29"/>
  <c r="V609" i="29" s="1"/>
  <c r="AO543" i="29"/>
  <c r="U543" i="29" s="1"/>
  <c r="AO540" i="29"/>
  <c r="V540" i="29" s="1"/>
  <c r="AO580" i="29"/>
  <c r="U580" i="29" s="1"/>
  <c r="AO368" i="29"/>
  <c r="U368" i="29" s="1"/>
  <c r="AO39" i="29"/>
  <c r="U39" i="29" s="1"/>
  <c r="AO587" i="29"/>
  <c r="V587" i="29" s="1"/>
  <c r="AO388" i="29"/>
  <c r="U388" i="29" s="1"/>
  <c r="AO413" i="29"/>
  <c r="U413" i="29" s="1"/>
  <c r="AO89" i="29"/>
  <c r="V89" i="29" s="1"/>
  <c r="AO250" i="29"/>
  <c r="U250" i="29" s="1"/>
  <c r="AO402" i="29"/>
  <c r="U402" i="29" s="1"/>
  <c r="AO136" i="29"/>
  <c r="U136" i="29" s="1"/>
  <c r="AO365" i="29"/>
  <c r="V365" i="29" s="1"/>
  <c r="AO516" i="29"/>
  <c r="U516" i="29" s="1"/>
  <c r="AO334" i="29"/>
  <c r="U334" i="29" s="1"/>
  <c r="AO488" i="29"/>
  <c r="V488" i="29" s="1"/>
  <c r="AO597" i="29"/>
  <c r="U597" i="29" s="1"/>
  <c r="AO330" i="29"/>
  <c r="V330" i="29" s="1"/>
  <c r="AO165" i="29"/>
  <c r="V165" i="29" s="1"/>
  <c r="AO461" i="29"/>
  <c r="U461" i="29" s="1"/>
  <c r="AO57" i="29"/>
  <c r="U57" i="29" s="1"/>
  <c r="AO359" i="29"/>
  <c r="U359" i="29" s="1"/>
  <c r="AO387" i="29"/>
  <c r="V387" i="29" s="1"/>
  <c r="AO40" i="29"/>
  <c r="U40" i="29" s="1"/>
  <c r="AO220" i="29"/>
  <c r="U220" i="29" s="1"/>
  <c r="AO612" i="29"/>
  <c r="U612" i="29" s="1"/>
  <c r="AO50" i="29"/>
  <c r="V50" i="29" s="1"/>
  <c r="BV19" i="24"/>
  <c r="BX19" i="24" s="1"/>
  <c r="BS279" i="24"/>
  <c r="BX279" i="24" s="1"/>
  <c r="BS299" i="24"/>
  <c r="BX299" i="24" s="1"/>
  <c r="AO354" i="29"/>
  <c r="U354" i="29" s="1"/>
  <c r="AO376" i="29"/>
  <c r="U376" i="29" s="1"/>
  <c r="AO216" i="29"/>
  <c r="V216" i="29" s="1"/>
  <c r="AO125" i="29"/>
  <c r="U125" i="29" s="1"/>
  <c r="AO244" i="29"/>
  <c r="V244" i="29" s="1"/>
  <c r="AO395" i="29"/>
  <c r="U395" i="29" s="1"/>
  <c r="AO550" i="29"/>
  <c r="U550" i="29" s="1"/>
  <c r="AO254" i="29"/>
  <c r="V254" i="29" s="1"/>
  <c r="AO266" i="29"/>
  <c r="V266" i="29" s="1"/>
  <c r="AO25" i="29"/>
  <c r="V25" i="29" s="1"/>
  <c r="AO404" i="29"/>
  <c r="U404" i="29" s="1"/>
  <c r="AO210" i="29"/>
  <c r="V210" i="29" s="1"/>
  <c r="AO275" i="29"/>
  <c r="U275" i="29" s="1"/>
  <c r="AO502" i="29"/>
  <c r="V502" i="29" s="1"/>
  <c r="AO154" i="29"/>
  <c r="V154" i="29" s="1"/>
  <c r="AO217" i="29"/>
  <c r="U217" i="29" s="1"/>
  <c r="AO503" i="29"/>
  <c r="U503" i="29" s="1"/>
  <c r="AO342" i="29"/>
  <c r="U342" i="29" s="1"/>
  <c r="AO347" i="29"/>
  <c r="V347" i="29" s="1"/>
  <c r="AO259" i="29"/>
  <c r="U259" i="29" s="1"/>
  <c r="AO103" i="29"/>
  <c r="V103" i="29" s="1"/>
  <c r="AO433" i="29"/>
  <c r="V433" i="29" s="1"/>
  <c r="AO117" i="29"/>
  <c r="V117" i="29" s="1"/>
  <c r="AO582" i="29"/>
  <c r="U582" i="29" s="1"/>
  <c r="AO308" i="29"/>
  <c r="U308" i="29" s="1"/>
  <c r="AO268" i="29"/>
  <c r="U268" i="29" s="1"/>
  <c r="AO480" i="29"/>
  <c r="V480" i="29" s="1"/>
  <c r="AO112" i="29"/>
  <c r="V112" i="29" s="1"/>
  <c r="AO272" i="29"/>
  <c r="U272" i="29" s="1"/>
  <c r="AO378" i="29"/>
  <c r="U378" i="29" s="1"/>
  <c r="AO358" i="29"/>
  <c r="U358" i="29" s="1"/>
  <c r="BG26" i="24"/>
  <c r="BM26" i="24" s="1"/>
  <c r="BN26" i="24" s="1"/>
  <c r="AO86" i="29"/>
  <c r="V86" i="29" s="1"/>
  <c r="AO190" i="29"/>
  <c r="U190" i="29" s="1"/>
  <c r="AO185" i="29"/>
  <c r="V185" i="29" s="1"/>
  <c r="AO219" i="29"/>
  <c r="V219" i="29" s="1"/>
  <c r="AO409" i="29"/>
  <c r="U409" i="29" s="1"/>
  <c r="AO593" i="29"/>
  <c r="U593" i="29" s="1"/>
  <c r="AO267" i="29"/>
  <c r="U267" i="29" s="1"/>
  <c r="AO79" i="29"/>
  <c r="U79" i="29" s="1"/>
  <c r="BS148" i="24"/>
  <c r="BX148" i="24" s="1"/>
  <c r="BS282" i="24"/>
  <c r="BX282" i="24" s="1"/>
  <c r="BS54" i="24"/>
  <c r="BV54" i="24" s="1"/>
  <c r="BX54" i="24" s="1"/>
  <c r="BS247" i="24"/>
  <c r="BX247" i="24" s="1"/>
  <c r="BG228" i="24"/>
  <c r="BM228" i="24" s="1"/>
  <c r="BN228" i="24" s="1"/>
  <c r="BS20" i="24"/>
  <c r="BV20" i="24" s="1"/>
  <c r="BX20" i="24" s="1"/>
  <c r="BX248" i="24"/>
  <c r="AO141" i="29"/>
  <c r="U141" i="29" s="1"/>
  <c r="AO230" i="29"/>
  <c r="V230" i="29" s="1"/>
  <c r="AO44" i="29"/>
  <c r="U44" i="29" s="1"/>
  <c r="AO332" i="29"/>
  <c r="V332" i="29" s="1"/>
  <c r="AO389" i="29"/>
  <c r="V389" i="29" s="1"/>
  <c r="AO320" i="29"/>
  <c r="U320" i="29" s="1"/>
  <c r="AO446" i="29"/>
  <c r="U446" i="29" s="1"/>
  <c r="AO100" i="29"/>
  <c r="V100" i="29" s="1"/>
  <c r="AO301" i="29"/>
  <c r="V301" i="29" s="1"/>
  <c r="AO214" i="29"/>
  <c r="U214" i="29" s="1"/>
  <c r="AO440" i="29"/>
  <c r="V440" i="29" s="1"/>
  <c r="AO345" i="29"/>
  <c r="U345" i="29" s="1"/>
  <c r="AO381" i="29"/>
  <c r="V381" i="29" s="1"/>
  <c r="AO243" i="29"/>
  <c r="U243" i="29" s="1"/>
  <c r="AO164" i="29"/>
  <c r="V164" i="29" s="1"/>
  <c r="AO547" i="29"/>
  <c r="V547" i="29" s="1"/>
  <c r="AO291" i="29"/>
  <c r="V291" i="29" s="1"/>
  <c r="AO114" i="29"/>
  <c r="U114" i="29" s="1"/>
  <c r="AO299" i="29"/>
  <c r="U299" i="29" s="1"/>
  <c r="AO237" i="29"/>
  <c r="U237" i="29" s="1"/>
  <c r="AO588" i="29"/>
  <c r="V588" i="29" s="1"/>
  <c r="AO407" i="29"/>
  <c r="U407" i="29" s="1"/>
  <c r="AO252" i="29"/>
  <c r="V252" i="29" s="1"/>
  <c r="AO600" i="29"/>
  <c r="U600" i="29" s="1"/>
  <c r="AO465" i="29"/>
  <c r="V465" i="29" s="1"/>
  <c r="AO274" i="29"/>
  <c r="U274" i="29" s="1"/>
  <c r="AO122" i="29"/>
  <c r="V122" i="29" s="1"/>
  <c r="AO306" i="29"/>
  <c r="U306" i="29" s="1"/>
  <c r="AO273" i="29"/>
  <c r="U273" i="29" s="1"/>
  <c r="AO83" i="29"/>
  <c r="U83" i="29" s="1"/>
  <c r="AO70" i="29"/>
  <c r="V70" i="29" s="1"/>
  <c r="AO410" i="29"/>
  <c r="V410" i="29" s="1"/>
  <c r="AO147" i="29"/>
  <c r="V147" i="29" s="1"/>
  <c r="AO183" i="29"/>
  <c r="V183" i="29" s="1"/>
  <c r="AO377" i="29"/>
  <c r="U377" i="29" s="1"/>
  <c r="AO146" i="29"/>
  <c r="V146" i="29" s="1"/>
  <c r="AO351" i="29"/>
  <c r="V351" i="29" s="1"/>
  <c r="AO132" i="29"/>
  <c r="V132" i="29" s="1"/>
  <c r="AO343" i="29"/>
  <c r="V343" i="29" s="1"/>
  <c r="AO52" i="29"/>
  <c r="V52" i="29" s="1"/>
  <c r="AO424" i="29"/>
  <c r="U424" i="29" s="1"/>
  <c r="AO84" i="29"/>
  <c r="V84" i="29" s="1"/>
  <c r="AO526" i="29"/>
  <c r="V526" i="29" s="1"/>
  <c r="AO504" i="29"/>
  <c r="V504" i="29" s="1"/>
  <c r="AO434" i="29"/>
  <c r="V434" i="29" s="1"/>
  <c r="AO195" i="29"/>
  <c r="V195" i="29" s="1"/>
  <c r="AO297" i="29"/>
  <c r="V297" i="29" s="1"/>
  <c r="AO501" i="29"/>
  <c r="U501" i="29" s="1"/>
  <c r="AO167" i="29"/>
  <c r="U167" i="29" s="1"/>
  <c r="AO559" i="29"/>
  <c r="V559" i="29" s="1"/>
  <c r="AO423" i="29"/>
  <c r="U423" i="29" s="1"/>
  <c r="AO116" i="29"/>
  <c r="V116" i="29" s="1"/>
  <c r="AO548" i="29"/>
  <c r="U548" i="29" s="1"/>
  <c r="AO108" i="29"/>
  <c r="V108" i="29" s="1"/>
  <c r="AO166" i="29"/>
  <c r="V166" i="29" s="1"/>
  <c r="AO270" i="29"/>
  <c r="V270" i="29" s="1"/>
  <c r="AO422" i="29"/>
  <c r="V422" i="29" s="1"/>
  <c r="AO325" i="29"/>
  <c r="V325" i="29" s="1"/>
  <c r="AO265" i="29"/>
  <c r="V265" i="29" s="1"/>
  <c r="AO569" i="29"/>
  <c r="V569" i="29" s="1"/>
  <c r="AO202" i="29"/>
  <c r="V202" i="29" s="1"/>
  <c r="AO562" i="29"/>
  <c r="V562" i="29" s="1"/>
  <c r="AO592" i="29"/>
  <c r="U592" i="29" s="1"/>
  <c r="AO140" i="29"/>
  <c r="V140" i="29" s="1"/>
  <c r="AO346" i="29"/>
  <c r="U346" i="29" s="1"/>
  <c r="AO468" i="29"/>
  <c r="U468" i="29" s="1"/>
  <c r="AO95" i="29"/>
  <c r="U95" i="29" s="1"/>
  <c r="AO283" i="29"/>
  <c r="U283" i="29" s="1"/>
  <c r="AO27" i="29"/>
  <c r="U27" i="29" s="1"/>
  <c r="AO198" i="29"/>
  <c r="V198" i="29" s="1"/>
  <c r="AO427" i="29"/>
  <c r="U427" i="29" s="1"/>
  <c r="AO350" i="29"/>
  <c r="V350" i="29" s="1"/>
  <c r="AO321" i="29"/>
  <c r="U321" i="29" s="1"/>
  <c r="AO331" i="29"/>
  <c r="U331" i="29" s="1"/>
  <c r="AO421" i="29"/>
  <c r="V421" i="29" s="1"/>
  <c r="AO92" i="29"/>
  <c r="V92" i="29" s="1"/>
  <c r="AO517" i="29"/>
  <c r="U517" i="29" s="1"/>
  <c r="AO130" i="29"/>
  <c r="V130" i="29" s="1"/>
  <c r="AO315" i="29"/>
  <c r="V315" i="29" s="1"/>
  <c r="AO221" i="29"/>
  <c r="V221" i="29" s="1"/>
  <c r="AO324" i="29"/>
  <c r="V324" i="29" s="1"/>
  <c r="AO256" i="29"/>
  <c r="U256" i="29" s="1"/>
  <c r="AO38" i="29"/>
  <c r="V38" i="29" s="1"/>
  <c r="AO91" i="29"/>
  <c r="V91" i="29" s="1"/>
  <c r="BV33" i="24"/>
  <c r="BX33" i="24" s="1"/>
  <c r="BS24" i="24"/>
  <c r="BV24" i="24" s="1"/>
  <c r="BX24" i="24" s="1"/>
  <c r="AO414" i="29"/>
  <c r="U414" i="29" s="1"/>
  <c r="AO235" i="29"/>
  <c r="U235" i="29" s="1"/>
  <c r="AO138" i="29"/>
  <c r="U138" i="29" s="1"/>
  <c r="AO102" i="29"/>
  <c r="U102" i="29" s="1"/>
  <c r="AO177" i="29"/>
  <c r="V177" i="29" s="1"/>
  <c r="AO492" i="29"/>
  <c r="V492" i="29" s="1"/>
  <c r="AO453" i="29"/>
  <c r="V453" i="29" s="1"/>
  <c r="AO506" i="29"/>
  <c r="U506" i="29" s="1"/>
  <c r="AO567" i="29"/>
  <c r="U567" i="29" s="1"/>
  <c r="AO314" i="29"/>
  <c r="V314" i="29" s="1"/>
  <c r="AO462" i="29"/>
  <c r="U462" i="29" s="1"/>
  <c r="AO303" i="29"/>
  <c r="U303" i="29" s="1"/>
  <c r="AO188" i="29"/>
  <c r="U188" i="29" s="1"/>
  <c r="AO94" i="29"/>
  <c r="U94" i="29" s="1"/>
  <c r="AO467" i="29"/>
  <c r="U467" i="29" s="1"/>
  <c r="AO156" i="29"/>
  <c r="V156" i="29" s="1"/>
  <c r="AO439" i="29"/>
  <c r="V439" i="29" s="1"/>
  <c r="AO312" i="29"/>
  <c r="V312" i="29" s="1"/>
  <c r="AO15" i="29"/>
  <c r="V15" i="29" s="1"/>
  <c r="AO451" i="29"/>
  <c r="U451" i="29" s="1"/>
  <c r="AO68" i="29"/>
  <c r="U68" i="29" s="1"/>
  <c r="AO23" i="29"/>
  <c r="V23" i="29" s="1"/>
  <c r="AO20" i="29"/>
  <c r="U20" i="29" s="1"/>
  <c r="AO21" i="29"/>
  <c r="U21" i="29" s="1"/>
  <c r="AO546" i="29"/>
  <c r="U546" i="29" s="1"/>
  <c r="AO121" i="29"/>
  <c r="V121" i="29" s="1"/>
  <c r="AO527" i="29"/>
  <c r="V527" i="29" s="1"/>
  <c r="AO449" i="29"/>
  <c r="V449" i="29" s="1"/>
  <c r="AO199" i="29"/>
  <c r="V199" i="29" s="1"/>
  <c r="AO200" i="29"/>
  <c r="V200" i="29" s="1"/>
  <c r="BV58" i="24"/>
  <c r="BX58" i="24" s="1"/>
  <c r="AO204" i="29"/>
  <c r="V204" i="29" s="1"/>
  <c r="AO415" i="29"/>
  <c r="U415" i="29" s="1"/>
  <c r="AO180" i="29"/>
  <c r="V180" i="29" s="1"/>
  <c r="AO482" i="29"/>
  <c r="U482" i="29" s="1"/>
  <c r="AO278" i="29"/>
  <c r="V278" i="29" s="1"/>
  <c r="AO240" i="29"/>
  <c r="V240" i="29" s="1"/>
  <c r="AO160" i="29"/>
  <c r="U160" i="29" s="1"/>
  <c r="AO457" i="29"/>
  <c r="U457" i="29" s="1"/>
  <c r="AO429" i="29"/>
  <c r="V429" i="29" s="1"/>
  <c r="AO90" i="29"/>
  <c r="V90" i="29" s="1"/>
  <c r="AO534" i="29"/>
  <c r="V534" i="29" s="1"/>
  <c r="AO360" i="29"/>
  <c r="V360" i="29" s="1"/>
  <c r="AO277" i="29"/>
  <c r="V277" i="29" s="1"/>
  <c r="AO583" i="29"/>
  <c r="V583" i="29" s="1"/>
  <c r="AO172" i="29"/>
  <c r="V172" i="29" s="1"/>
  <c r="AO535" i="29"/>
  <c r="U535" i="29" s="1"/>
  <c r="AO153" i="29"/>
  <c r="V153" i="29" s="1"/>
  <c r="AO552" i="29"/>
  <c r="U552" i="29" s="1"/>
  <c r="AO75" i="29"/>
  <c r="V75" i="29" s="1"/>
  <c r="AO524" i="29"/>
  <c r="V524" i="29" s="1"/>
  <c r="AO157" i="29"/>
  <c r="V157" i="29" s="1"/>
  <c r="AO135" i="29"/>
  <c r="U135" i="29" s="1"/>
  <c r="AO489" i="29"/>
  <c r="V489" i="29" s="1"/>
  <c r="AO490" i="29"/>
  <c r="V490" i="29" s="1"/>
  <c r="AO611" i="29"/>
  <c r="V611" i="29" s="1"/>
  <c r="AO479" i="29"/>
  <c r="U479" i="29" s="1"/>
  <c r="AO143" i="29"/>
  <c r="V143" i="29" s="1"/>
  <c r="AO335" i="29"/>
  <c r="V335" i="29" s="1"/>
  <c r="AO385" i="29"/>
  <c r="U385" i="29" s="1"/>
  <c r="AO430" i="29"/>
  <c r="V430" i="29" s="1"/>
  <c r="AO356" i="29"/>
  <c r="V356" i="29" s="1"/>
  <c r="AO317" i="29"/>
  <c r="U317" i="29" s="1"/>
  <c r="AO408" i="29"/>
  <c r="U408" i="29" s="1"/>
  <c r="AO96" i="29"/>
  <c r="U96" i="29" s="1"/>
  <c r="AO474" i="29"/>
  <c r="V474" i="29" s="1"/>
  <c r="AO62" i="29"/>
  <c r="U62" i="29" s="1"/>
  <c r="AO542" i="29"/>
  <c r="V542" i="29" s="1"/>
  <c r="AO455" i="29"/>
  <c r="V455" i="29" s="1"/>
  <c r="AO191" i="29"/>
  <c r="U191" i="29" s="1"/>
  <c r="AO476" i="29"/>
  <c r="U476" i="29" s="1"/>
  <c r="AO481" i="29"/>
  <c r="U481" i="29" s="1"/>
  <c r="AO530" i="29"/>
  <c r="V530" i="29" s="1"/>
  <c r="AO13" i="29"/>
  <c r="V13" i="29" s="1"/>
  <c r="AO99" i="29"/>
  <c r="V99" i="29" s="1"/>
  <c r="AO182" i="29"/>
  <c r="U182" i="29" s="1"/>
  <c r="AO375" i="29"/>
  <c r="V375" i="29" s="1"/>
  <c r="AO575" i="29"/>
  <c r="U575" i="29" s="1"/>
  <c r="AO333" i="29"/>
  <c r="U333" i="29" s="1"/>
  <c r="AO65" i="29"/>
  <c r="U65" i="29" s="1"/>
  <c r="AO69" i="29"/>
  <c r="U69" i="29" s="1"/>
  <c r="AO574" i="29"/>
  <c r="V574" i="29" s="1"/>
  <c r="AO209" i="29"/>
  <c r="V209" i="29" s="1"/>
  <c r="AO525" i="29"/>
  <c r="V525" i="29" s="1"/>
  <c r="AO416" i="29"/>
  <c r="U416" i="29" s="1"/>
  <c r="AO119" i="29"/>
  <c r="V119" i="29" s="1"/>
  <c r="AO336" i="29"/>
  <c r="V336" i="29" s="1"/>
  <c r="AO398" i="29"/>
  <c r="V398" i="29" s="1"/>
  <c r="AO341" i="29"/>
  <c r="V341" i="29" s="1"/>
  <c r="AO463" i="29"/>
  <c r="V463" i="29" s="1"/>
  <c r="AO131" i="29"/>
  <c r="U131" i="29" s="1"/>
  <c r="AO227" i="29"/>
  <c r="U227" i="29" s="1"/>
  <c r="AO76" i="29"/>
  <c r="U76" i="29" s="1"/>
  <c r="AO318" i="29"/>
  <c r="V318" i="29" s="1"/>
  <c r="AO344" i="29"/>
  <c r="U344" i="29" s="1"/>
  <c r="AO56" i="29"/>
  <c r="V56" i="29" s="1"/>
  <c r="AO45" i="29"/>
  <c r="V45" i="29" s="1"/>
  <c r="AO519" i="29"/>
  <c r="U519" i="29" s="1"/>
  <c r="AO372" i="29"/>
  <c r="U372" i="29" s="1"/>
  <c r="AO300" i="29"/>
  <c r="U300" i="29" s="1"/>
  <c r="AO364" i="29"/>
  <c r="U364" i="29" s="1"/>
  <c r="AO16" i="29"/>
  <c r="U16" i="29" s="1"/>
  <c r="AO178" i="29"/>
  <c r="U178" i="29" s="1"/>
  <c r="AO518" i="29"/>
  <c r="V518" i="29" s="1"/>
  <c r="AO218" i="29"/>
  <c r="V218" i="29" s="1"/>
  <c r="AO129" i="29"/>
  <c r="U129" i="29" s="1"/>
  <c r="AO459" i="29"/>
  <c r="V459" i="29" s="1"/>
  <c r="AO281" i="29"/>
  <c r="U281" i="29" s="1"/>
  <c r="AO232" i="29"/>
  <c r="V232" i="29" s="1"/>
  <c r="AO450" i="29"/>
  <c r="V450" i="29" s="1"/>
  <c r="AO472" i="29"/>
  <c r="U472" i="29" s="1"/>
  <c r="AO513" i="29"/>
  <c r="V513" i="29" s="1"/>
  <c r="AO139" i="29"/>
  <c r="V139" i="29" s="1"/>
  <c r="AO383" i="29"/>
  <c r="V383" i="29" s="1"/>
  <c r="AO564" i="29"/>
  <c r="V564" i="29" s="1"/>
  <c r="AO396" i="29"/>
  <c r="U396" i="29" s="1"/>
  <c r="AO533" i="29"/>
  <c r="V533" i="29" s="1"/>
  <c r="AO403" i="29"/>
  <c r="U403" i="29" s="1"/>
  <c r="AO357" i="29"/>
  <c r="V357" i="29" s="1"/>
  <c r="AO292" i="29"/>
  <c r="U292" i="29" s="1"/>
  <c r="AO594" i="29"/>
  <c r="V594" i="29" s="1"/>
  <c r="BB237" i="25"/>
  <c r="BS237" i="25" s="1"/>
  <c r="BA237" i="25"/>
  <c r="BC237" i="25"/>
  <c r="BT237" i="25" s="1"/>
  <c r="AO169" i="29"/>
  <c r="U169" i="29" s="1"/>
  <c r="AO67" i="29"/>
  <c r="U67" i="29" s="1"/>
  <c r="AO435" i="29"/>
  <c r="U435" i="29" s="1"/>
  <c r="AO34" i="29"/>
  <c r="U34" i="29" s="1"/>
  <c r="AO554" i="29"/>
  <c r="U554" i="29" s="1"/>
  <c r="AO81" i="29"/>
  <c r="U81" i="29" s="1"/>
  <c r="AO549" i="29"/>
  <c r="U549" i="29" s="1"/>
  <c r="AO37" i="29"/>
  <c r="V37" i="29" s="1"/>
  <c r="AO51" i="29"/>
  <c r="U51" i="29" s="1"/>
  <c r="AO313" i="29"/>
  <c r="U313" i="29" s="1"/>
  <c r="AO264" i="29"/>
  <c r="V264" i="29" s="1"/>
  <c r="AO353" i="29"/>
  <c r="V353" i="29" s="1"/>
  <c r="AO294" i="29"/>
  <c r="V294" i="29" s="1"/>
  <c r="BS117" i="24"/>
  <c r="BX117" i="24" s="1"/>
  <c r="AJ212" i="25"/>
  <c r="AM212" i="25"/>
  <c r="AX212" i="25"/>
  <c r="AW212" i="25"/>
  <c r="AO187" i="29"/>
  <c r="V187" i="29" s="1"/>
  <c r="AO520" i="29"/>
  <c r="V520" i="29" s="1"/>
  <c r="AO101" i="29"/>
  <c r="U101" i="29" s="1"/>
  <c r="AO311" i="29"/>
  <c r="U311" i="29" s="1"/>
  <c r="AO93" i="29"/>
  <c r="U93" i="29" s="1"/>
  <c r="AO366" i="29"/>
  <c r="V366" i="29" s="1"/>
  <c r="AO282" i="29"/>
  <c r="U282" i="29" s="1"/>
  <c r="AO179" i="29"/>
  <c r="V179" i="29" s="1"/>
  <c r="AO87" i="29"/>
  <c r="U87" i="29" s="1"/>
  <c r="AO456" i="29"/>
  <c r="U456" i="29" s="1"/>
  <c r="BG224" i="24"/>
  <c r="BY224" i="24" s="1"/>
  <c r="CA224" i="24" s="1"/>
  <c r="AO523" i="29"/>
  <c r="V523" i="29" s="1"/>
  <c r="AO296" i="29"/>
  <c r="V296" i="29" s="1"/>
  <c r="AO269" i="29"/>
  <c r="U269" i="29" s="1"/>
  <c r="AO498" i="29"/>
  <c r="V498" i="29" s="1"/>
  <c r="AO607" i="29"/>
  <c r="U607" i="29" s="1"/>
  <c r="AO109" i="29"/>
  <c r="V109" i="29" s="1"/>
  <c r="AO142" i="29"/>
  <c r="V142" i="29" s="1"/>
  <c r="AO605" i="29"/>
  <c r="U605" i="29" s="1"/>
  <c r="AO420" i="29"/>
  <c r="U420" i="29" s="1"/>
  <c r="AO173" i="29"/>
  <c r="V173" i="29" s="1"/>
  <c r="AO565" i="29"/>
  <c r="V565" i="29" s="1"/>
  <c r="AO260" i="29"/>
  <c r="V260" i="29" s="1"/>
  <c r="AO158" i="29"/>
  <c r="V158" i="29" s="1"/>
  <c r="AO560" i="29"/>
  <c r="V560" i="29" s="1"/>
  <c r="AO115" i="29"/>
  <c r="V115" i="29" s="1"/>
  <c r="AO286" i="29"/>
  <c r="V286" i="29" s="1"/>
  <c r="AO211" i="29"/>
  <c r="U211" i="29" s="1"/>
  <c r="AO532" i="29"/>
  <c r="V532" i="29" s="1"/>
  <c r="AO405" i="29"/>
  <c r="U405" i="29" s="1"/>
  <c r="AO355" i="29"/>
  <c r="U355" i="29" s="1"/>
  <c r="AO444" i="29"/>
  <c r="V444" i="29" s="1"/>
  <c r="AO258" i="29"/>
  <c r="U258" i="29" s="1"/>
  <c r="AO469" i="29"/>
  <c r="U469" i="29" s="1"/>
  <c r="AO88" i="29"/>
  <c r="V88" i="29" s="1"/>
  <c r="AO36" i="29"/>
  <c r="U36" i="29" s="1"/>
  <c r="AO394" i="29"/>
  <c r="U394" i="29" s="1"/>
  <c r="AO263" i="29"/>
  <c r="U263" i="29" s="1"/>
  <c r="AO228" i="29"/>
  <c r="U228" i="29" s="1"/>
  <c r="AO215" i="29"/>
  <c r="U215" i="29" s="1"/>
  <c r="AO460" i="29"/>
  <c r="V460" i="29" s="1"/>
  <c r="AO201" i="29"/>
  <c r="V201" i="29" s="1"/>
  <c r="AO30" i="29"/>
  <c r="U30" i="29" s="1"/>
  <c r="AO55" i="29"/>
  <c r="V55" i="29" s="1"/>
  <c r="AO31" i="29"/>
  <c r="V31" i="29" s="1"/>
  <c r="AO42" i="29"/>
  <c r="U42" i="29" s="1"/>
  <c r="AO573" i="29"/>
  <c r="V573" i="29" s="1"/>
  <c r="AO307" i="29"/>
  <c r="U307" i="29" s="1"/>
  <c r="AO348" i="29"/>
  <c r="V348" i="29" s="1"/>
  <c r="AO175" i="29"/>
  <c r="U175" i="29" s="1"/>
  <c r="AO522" i="29"/>
  <c r="V522" i="29" s="1"/>
  <c r="AO213" i="29"/>
  <c r="V213" i="29" s="1"/>
  <c r="AO386" i="29"/>
  <c r="U386" i="29" s="1"/>
  <c r="AO26" i="29"/>
  <c r="V26" i="29" s="1"/>
  <c r="AO262" i="29"/>
  <c r="U262" i="29" s="1"/>
  <c r="AO47" i="29"/>
  <c r="U47" i="29" s="1"/>
  <c r="AO192" i="29"/>
  <c r="V192" i="29" s="1"/>
  <c r="AO305" i="29"/>
  <c r="V305" i="29" s="1"/>
  <c r="AO610" i="29"/>
  <c r="V610" i="29" s="1"/>
  <c r="AO288" i="29"/>
  <c r="U288" i="29" s="1"/>
  <c r="AO82" i="29"/>
  <c r="V82" i="29" s="1"/>
  <c r="AO595" i="29"/>
  <c r="V595" i="29" s="1"/>
  <c r="AO134" i="29"/>
  <c r="U134" i="29" s="1"/>
  <c r="AO280" i="29"/>
  <c r="V280" i="29" s="1"/>
  <c r="AO473" i="29"/>
  <c r="U473" i="29" s="1"/>
  <c r="AO241" i="29"/>
  <c r="U241" i="29" s="1"/>
  <c r="AO401" i="29"/>
  <c r="V401" i="29" s="1"/>
  <c r="AO496" i="29"/>
  <c r="U496" i="29" s="1"/>
  <c r="AO28" i="29"/>
  <c r="U28" i="29" s="1"/>
  <c r="AO601" i="29"/>
  <c r="U601" i="29" s="1"/>
  <c r="AO500" i="29"/>
  <c r="V500" i="29" s="1"/>
  <c r="AO77" i="29"/>
  <c r="U77" i="29" s="1"/>
  <c r="AO276" i="29"/>
  <c r="U276" i="29" s="1"/>
  <c r="AO411" i="29"/>
  <c r="U411" i="29" s="1"/>
  <c r="AO29" i="29"/>
  <c r="U29" i="29" s="1"/>
  <c r="AO128" i="29"/>
  <c r="V128" i="29" s="1"/>
  <c r="AO570" i="29"/>
  <c r="U570" i="29" s="1"/>
  <c r="AO579" i="29"/>
  <c r="U579" i="29" s="1"/>
  <c r="AO538" i="29"/>
  <c r="U538" i="29" s="1"/>
  <c r="AO484" i="29"/>
  <c r="U484" i="29" s="1"/>
  <c r="AO197" i="29"/>
  <c r="U197" i="29" s="1"/>
  <c r="AO572" i="29"/>
  <c r="U572" i="29" s="1"/>
  <c r="AO234" i="29"/>
  <c r="V234" i="29" s="1"/>
  <c r="AO431" i="29"/>
  <c r="V431" i="29" s="1"/>
  <c r="AO441" i="29"/>
  <c r="V441" i="29" s="1"/>
  <c r="AO150" i="29"/>
  <c r="V150" i="29" s="1"/>
  <c r="AO369" i="29"/>
  <c r="V369" i="29" s="1"/>
  <c r="AO528" i="29"/>
  <c r="V528" i="29" s="1"/>
  <c r="AO302" i="29"/>
  <c r="U302" i="29" s="1"/>
  <c r="AO245" i="29"/>
  <c r="V245" i="29" s="1"/>
  <c r="AO497" i="29"/>
  <c r="U497" i="29" s="1"/>
  <c r="AO399" i="29"/>
  <c r="U399" i="29" s="1"/>
  <c r="AO162" i="29"/>
  <c r="U162" i="29" s="1"/>
  <c r="AO226" i="29"/>
  <c r="V226" i="29" s="1"/>
  <c r="AO247" i="29"/>
  <c r="U247" i="29" s="1"/>
  <c r="AO436" i="29"/>
  <c r="U436" i="29" s="1"/>
  <c r="AO33" i="29"/>
  <c r="V33" i="29" s="1"/>
  <c r="AO382" i="29"/>
  <c r="V382" i="29" s="1"/>
  <c r="AO170" i="29"/>
  <c r="V170" i="29" s="1"/>
  <c r="AO545" i="29"/>
  <c r="U545" i="29" s="1"/>
  <c r="AO561" i="29"/>
  <c r="V561" i="29" s="1"/>
  <c r="AO72" i="29"/>
  <c r="V72" i="29" s="1"/>
  <c r="AO249" i="29"/>
  <c r="U249" i="29" s="1"/>
  <c r="AO531" i="29"/>
  <c r="V531" i="29" s="1"/>
  <c r="AO581" i="29"/>
  <c r="U581" i="29" s="1"/>
  <c r="AO589" i="29"/>
  <c r="U589" i="29" s="1"/>
  <c r="AO184" i="29"/>
  <c r="U184" i="29" s="1"/>
  <c r="AO487" i="29"/>
  <c r="U487" i="29" s="1"/>
  <c r="AO196" i="29"/>
  <c r="U196" i="29" s="1"/>
  <c r="AO458" i="29"/>
  <c r="U458" i="29" s="1"/>
  <c r="AO432" i="29"/>
  <c r="V432" i="29" s="1"/>
  <c r="AO426" i="29"/>
  <c r="V426" i="29" s="1"/>
  <c r="AO406" i="29"/>
  <c r="V406" i="29" s="1"/>
  <c r="AO80" i="29"/>
  <c r="U80" i="29" s="1"/>
  <c r="AO224" i="29"/>
  <c r="U224" i="29" s="1"/>
  <c r="AO495" i="29"/>
  <c r="V495" i="29" s="1"/>
  <c r="AO126" i="29"/>
  <c r="U126" i="29" s="1"/>
  <c r="AO290" i="29"/>
  <c r="V290" i="29" s="1"/>
  <c r="AO41" i="29"/>
  <c r="V41" i="29" s="1"/>
  <c r="AO392" i="29"/>
  <c r="U392" i="29" s="1"/>
  <c r="AO329" i="29"/>
  <c r="U329" i="29" s="1"/>
  <c r="AO477" i="29"/>
  <c r="U477" i="29" s="1"/>
  <c r="AO133" i="29"/>
  <c r="V133" i="29" s="1"/>
  <c r="AO491" i="29"/>
  <c r="U491" i="29" s="1"/>
  <c r="AO568" i="29"/>
  <c r="V568" i="29" s="1"/>
  <c r="AO176" i="29"/>
  <c r="U176" i="29" s="1"/>
  <c r="AO310" i="29"/>
  <c r="V310" i="29" s="1"/>
  <c r="AO419" i="29"/>
  <c r="U419" i="29" s="1"/>
  <c r="AO539" i="29"/>
  <c r="U539" i="29" s="1"/>
  <c r="AO14" i="29"/>
  <c r="U14" i="29" s="1"/>
  <c r="AO171" i="29"/>
  <c r="U171" i="29" s="1"/>
  <c r="AO287" i="29"/>
  <c r="V287" i="29" s="1"/>
  <c r="AO425" i="29"/>
  <c r="U425" i="29" s="1"/>
  <c r="AO255" i="29"/>
  <c r="V255" i="29" s="1"/>
  <c r="AO251" i="29"/>
  <c r="V251" i="29" s="1"/>
  <c r="AO145" i="29"/>
  <c r="V145" i="29" s="1"/>
  <c r="AO149" i="29"/>
  <c r="V149" i="29" s="1"/>
  <c r="AO295" i="29"/>
  <c r="U295" i="29" s="1"/>
  <c r="BB77" i="25"/>
  <c r="BS77" i="25" s="1"/>
  <c r="BA77" i="25"/>
  <c r="BC77" i="25"/>
  <c r="BT77" i="25" s="1"/>
  <c r="BS25" i="24"/>
  <c r="BV25" i="24" s="1"/>
  <c r="BX25" i="24" s="1"/>
  <c r="BG25" i="24"/>
  <c r="BM25" i="24" s="1"/>
  <c r="BG133" i="24"/>
  <c r="BS133" i="24"/>
  <c r="BX133" i="24" s="1"/>
  <c r="BC175" i="25"/>
  <c r="BT175" i="25" s="1"/>
  <c r="BA175" i="25"/>
  <c r="BB175" i="25"/>
  <c r="BS175" i="25" s="1"/>
  <c r="BA64" i="25"/>
  <c r="BB64" i="25"/>
  <c r="BS64" i="25" s="1"/>
  <c r="BC64" i="25"/>
  <c r="BT64" i="25" s="1"/>
  <c r="BB171" i="25"/>
  <c r="BS171" i="25" s="1"/>
  <c r="BA171" i="25"/>
  <c r="BC171" i="25"/>
  <c r="BT171" i="25" s="1"/>
  <c r="BR240" i="25"/>
  <c r="BX240" i="25" s="1"/>
  <c r="BE240" i="25"/>
  <c r="BG189" i="24"/>
  <c r="BS189" i="24"/>
  <c r="BX189" i="24" s="1"/>
  <c r="BG93" i="24"/>
  <c r="BM93" i="24" s="1"/>
  <c r="BS93" i="24"/>
  <c r="BV93" i="24" s="1"/>
  <c r="BX93" i="24" s="1"/>
  <c r="BC73" i="25"/>
  <c r="BT73" i="25" s="1"/>
  <c r="BA73" i="25"/>
  <c r="BB73" i="25"/>
  <c r="BS73" i="25" s="1"/>
  <c r="BS268" i="24"/>
  <c r="BX268" i="24" s="1"/>
  <c r="BG268" i="24"/>
  <c r="BR21" i="25"/>
  <c r="BV21" i="25" s="1"/>
  <c r="BX21" i="25" s="1"/>
  <c r="BE21" i="25"/>
  <c r="BK21" i="25" s="1"/>
  <c r="BN44" i="24"/>
  <c r="BY44" i="24"/>
  <c r="CA44" i="24" s="1"/>
  <c r="CB44" i="24" s="1"/>
  <c r="BB8" i="25"/>
  <c r="BS8" i="25" s="1"/>
  <c r="BA8" i="25"/>
  <c r="BC8" i="25"/>
  <c r="BT8" i="25" s="1"/>
  <c r="BG42" i="24"/>
  <c r="BM42" i="24" s="1"/>
  <c r="BS42" i="24"/>
  <c r="BV42" i="24" s="1"/>
  <c r="BX42" i="24" s="1"/>
  <c r="BY191" i="24"/>
  <c r="CA191" i="24" s="1"/>
  <c r="BM191" i="24"/>
  <c r="BN191" i="24" s="1"/>
  <c r="BA234" i="25"/>
  <c r="BC234" i="25"/>
  <c r="BT234" i="25" s="1"/>
  <c r="BB234" i="25"/>
  <c r="BS234" i="25" s="1"/>
  <c r="BB84" i="25"/>
  <c r="BS84" i="25" s="1"/>
  <c r="BC84" i="25"/>
  <c r="BT84" i="25" s="1"/>
  <c r="BA84" i="25"/>
  <c r="BS43" i="24"/>
  <c r="BV43" i="24" s="1"/>
  <c r="BX43" i="24" s="1"/>
  <c r="BG43" i="24"/>
  <c r="BM43" i="24" s="1"/>
  <c r="BC116" i="25"/>
  <c r="BT116" i="25" s="1"/>
  <c r="BB116" i="25"/>
  <c r="BS116" i="25" s="1"/>
  <c r="BA116" i="25"/>
  <c r="BG116" i="24"/>
  <c r="BS116" i="24"/>
  <c r="BX116" i="24" s="1"/>
  <c r="BE34" i="25"/>
  <c r="BK34" i="25" s="1"/>
  <c r="BR34" i="25"/>
  <c r="BV34" i="25" s="1"/>
  <c r="BX34" i="25" s="1"/>
  <c r="BG196" i="24"/>
  <c r="BS196" i="24"/>
  <c r="BX196" i="24" s="1"/>
  <c r="BG173" i="24"/>
  <c r="BS173" i="24"/>
  <c r="BX173" i="24" s="1"/>
  <c r="BB146" i="25"/>
  <c r="BS146" i="25" s="1"/>
  <c r="BC146" i="25"/>
  <c r="BT146" i="25" s="1"/>
  <c r="BA146" i="25"/>
  <c r="BC63" i="25"/>
  <c r="BT63" i="25" s="1"/>
  <c r="BB63" i="25"/>
  <c r="BS63" i="25" s="1"/>
  <c r="BA63" i="25"/>
  <c r="BA52" i="25"/>
  <c r="BB52" i="25"/>
  <c r="BS52" i="25" s="1"/>
  <c r="BC52" i="25"/>
  <c r="BT52" i="25" s="1"/>
  <c r="BB290" i="25"/>
  <c r="BS290" i="25" s="1"/>
  <c r="BC290" i="25"/>
  <c r="BT290" i="25" s="1"/>
  <c r="BA290" i="25"/>
  <c r="BG125" i="24"/>
  <c r="BS125" i="24"/>
  <c r="BX125" i="24" s="1"/>
  <c r="BS221" i="24"/>
  <c r="BX221" i="24" s="1"/>
  <c r="BG221" i="24"/>
  <c r="BB249" i="25"/>
  <c r="BS249" i="25" s="1"/>
  <c r="BA249" i="25"/>
  <c r="BC249" i="25"/>
  <c r="BT249" i="25" s="1"/>
  <c r="BE114" i="25"/>
  <c r="BR114" i="25"/>
  <c r="BX114" i="25" s="1"/>
  <c r="BB300" i="25"/>
  <c r="BS300" i="25" s="1"/>
  <c r="BA300" i="25"/>
  <c r="BC300" i="25"/>
  <c r="BT300" i="25" s="1"/>
  <c r="BG186" i="24"/>
  <c r="BS186" i="24"/>
  <c r="BX186" i="24" s="1"/>
  <c r="BA153" i="25"/>
  <c r="BB153" i="25"/>
  <c r="BS153" i="25" s="1"/>
  <c r="BC153" i="25"/>
  <c r="BT153" i="25" s="1"/>
  <c r="BN21" i="24"/>
  <c r="BY21" i="24"/>
  <c r="CA21" i="24" s="1"/>
  <c r="BG267" i="24"/>
  <c r="BS267" i="24"/>
  <c r="BX267" i="24" s="1"/>
  <c r="BG281" i="24"/>
  <c r="BS281" i="24"/>
  <c r="BX281" i="24" s="1"/>
  <c r="BS94" i="24"/>
  <c r="BV94" i="24" s="1"/>
  <c r="BX94" i="24" s="1"/>
  <c r="BG94" i="24"/>
  <c r="BM94" i="24" s="1"/>
  <c r="BS13" i="24"/>
  <c r="BV13" i="24" s="1"/>
  <c r="BX13" i="24" s="1"/>
  <c r="BG13" i="24"/>
  <c r="BM13" i="24" s="1"/>
  <c r="BA281" i="25"/>
  <c r="BC281" i="25"/>
  <c r="BT281" i="25" s="1"/>
  <c r="BB281" i="25"/>
  <c r="BS281" i="25" s="1"/>
  <c r="BG220" i="24"/>
  <c r="BS220" i="24"/>
  <c r="BX220" i="24" s="1"/>
  <c r="BE275" i="25"/>
  <c r="BR275" i="25"/>
  <c r="BX275" i="25" s="1"/>
  <c r="BA160" i="25"/>
  <c r="BB160" i="25"/>
  <c r="BS160" i="25" s="1"/>
  <c r="BC160" i="25"/>
  <c r="BT160" i="25" s="1"/>
  <c r="U452" i="29"/>
  <c r="V452" i="29"/>
  <c r="U97" i="29"/>
  <c r="V97" i="29"/>
  <c r="V285" i="29"/>
  <c r="U285" i="29"/>
  <c r="V599" i="29"/>
  <c r="U599" i="29"/>
  <c r="V193" i="29"/>
  <c r="U193" i="29"/>
  <c r="U58" i="29"/>
  <c r="V58" i="29"/>
  <c r="AO585" i="29"/>
  <c r="BG222" i="24"/>
  <c r="BS222" i="24"/>
  <c r="BX222" i="24" s="1"/>
  <c r="BS70" i="24"/>
  <c r="BV70" i="24" s="1"/>
  <c r="BX70" i="24" s="1"/>
  <c r="BG70" i="24"/>
  <c r="BM70" i="24" s="1"/>
  <c r="BE282" i="25"/>
  <c r="BR282" i="25"/>
  <c r="BX282" i="25" s="1"/>
  <c r="BB302" i="25"/>
  <c r="BS302" i="25" s="1"/>
  <c r="BC302" i="25"/>
  <c r="BT302" i="25" s="1"/>
  <c r="BA302" i="25"/>
  <c r="BB176" i="25"/>
  <c r="BS176" i="25" s="1"/>
  <c r="BC176" i="25"/>
  <c r="BT176" i="25" s="1"/>
  <c r="BA176" i="25"/>
  <c r="BG158" i="24"/>
  <c r="BS158" i="24"/>
  <c r="BX158" i="24" s="1"/>
  <c r="BR201" i="25"/>
  <c r="BX201" i="25" s="1"/>
  <c r="BE201" i="25"/>
  <c r="BG90" i="24"/>
  <c r="BM90" i="24" s="1"/>
  <c r="BS90" i="24"/>
  <c r="BV90" i="24" s="1"/>
  <c r="BX90" i="24" s="1"/>
  <c r="BE95" i="25"/>
  <c r="BK95" i="25" s="1"/>
  <c r="BR95" i="25"/>
  <c r="BV95" i="25" s="1"/>
  <c r="BX95" i="25" s="1"/>
  <c r="BA41" i="25"/>
  <c r="BB41" i="25"/>
  <c r="BS41" i="25" s="1"/>
  <c r="BC41" i="25"/>
  <c r="BT41" i="25" s="1"/>
  <c r="BA17" i="25"/>
  <c r="BB17" i="25"/>
  <c r="BS17" i="25" s="1"/>
  <c r="BC17" i="25"/>
  <c r="BT17" i="25" s="1"/>
  <c r="BS56" i="24"/>
  <c r="BV56" i="24" s="1"/>
  <c r="BX56" i="24" s="1"/>
  <c r="BG56" i="24"/>
  <c r="BM56" i="24" s="1"/>
  <c r="BS91" i="24"/>
  <c r="BV91" i="24" s="1"/>
  <c r="BX91" i="24" s="1"/>
  <c r="BG91" i="24"/>
  <c r="BM91" i="24" s="1"/>
  <c r="BE92" i="25"/>
  <c r="BK92" i="25" s="1"/>
  <c r="BR92" i="25"/>
  <c r="BV92" i="25" s="1"/>
  <c r="BX92" i="25" s="1"/>
  <c r="BN24" i="24"/>
  <c r="BY190" i="24"/>
  <c r="CA190" i="24" s="1"/>
  <c r="CB190" i="24" s="1"/>
  <c r="BM190" i="24"/>
  <c r="BN190" i="24" s="1"/>
  <c r="BS40" i="24"/>
  <c r="BV40" i="24" s="1"/>
  <c r="BX40" i="24" s="1"/>
  <c r="BG40" i="24"/>
  <c r="BM40" i="24" s="1"/>
  <c r="BG140" i="24"/>
  <c r="BS140" i="24"/>
  <c r="BX140" i="24" s="1"/>
  <c r="BC286" i="25"/>
  <c r="BT286" i="25" s="1"/>
  <c r="BB286" i="25"/>
  <c r="BS286" i="25" s="1"/>
  <c r="BA286" i="25"/>
  <c r="BA60" i="25"/>
  <c r="BC60" i="25"/>
  <c r="BT60" i="25" s="1"/>
  <c r="BB60" i="25"/>
  <c r="BS60" i="25" s="1"/>
  <c r="BG310" i="24"/>
  <c r="BS310" i="24"/>
  <c r="BX310" i="24" s="1"/>
  <c r="BA101" i="25"/>
  <c r="BC101" i="25"/>
  <c r="BT101" i="25" s="1"/>
  <c r="BB101" i="25"/>
  <c r="BS101" i="25" s="1"/>
  <c r="BB26" i="25"/>
  <c r="BS26" i="25" s="1"/>
  <c r="BC26" i="25"/>
  <c r="BT26" i="25" s="1"/>
  <c r="BA26" i="25"/>
  <c r="BE296" i="25"/>
  <c r="BR296" i="25"/>
  <c r="BX296" i="25" s="1"/>
  <c r="BN34" i="24"/>
  <c r="BA51" i="25"/>
  <c r="BC51" i="25"/>
  <c r="BT51" i="25" s="1"/>
  <c r="BB51" i="25"/>
  <c r="BS51" i="25" s="1"/>
  <c r="BG113" i="24"/>
  <c r="BS113" i="24"/>
  <c r="BX113" i="24" s="1"/>
  <c r="BA150" i="25"/>
  <c r="BB150" i="25"/>
  <c r="BS150" i="25" s="1"/>
  <c r="BC150" i="25"/>
  <c r="BT150" i="25" s="1"/>
  <c r="BG181" i="24"/>
  <c r="BS181" i="24"/>
  <c r="BX181" i="24" s="1"/>
  <c r="BS87" i="24"/>
  <c r="BV87" i="24" s="1"/>
  <c r="BX87" i="24" s="1"/>
  <c r="BG87" i="24"/>
  <c r="BM87" i="24" s="1"/>
  <c r="BG118" i="24"/>
  <c r="BS118" i="24"/>
  <c r="BX118" i="24" s="1"/>
  <c r="BE247" i="25"/>
  <c r="BR247" i="25"/>
  <c r="BX247" i="25" s="1"/>
  <c r="BG168" i="24"/>
  <c r="BS168" i="24"/>
  <c r="BX168" i="24" s="1"/>
  <c r="BB12" i="25"/>
  <c r="BS12" i="25" s="1"/>
  <c r="BC12" i="25"/>
  <c r="BT12" i="25" s="1"/>
  <c r="BA12" i="25"/>
  <c r="BG47" i="24"/>
  <c r="BM47" i="24" s="1"/>
  <c r="BS47" i="24"/>
  <c r="BV47" i="24" s="1"/>
  <c r="BX47" i="24" s="1"/>
  <c r="BA46" i="25"/>
  <c r="BB46" i="25"/>
  <c r="BS46" i="25" s="1"/>
  <c r="BC46" i="25"/>
  <c r="BT46" i="25" s="1"/>
  <c r="BB75" i="25"/>
  <c r="BS75" i="25" s="1"/>
  <c r="BC75" i="25"/>
  <c r="BT75" i="25" s="1"/>
  <c r="BA75" i="25"/>
  <c r="BG243" i="24"/>
  <c r="BS243" i="24"/>
  <c r="BX243" i="24" s="1"/>
  <c r="BG249" i="24"/>
  <c r="BS249" i="24"/>
  <c r="BX249" i="24" s="1"/>
  <c r="BA7" i="25"/>
  <c r="BB7" i="25"/>
  <c r="BS7" i="25" s="1"/>
  <c r="BC7" i="25"/>
  <c r="BT7" i="25" s="1"/>
  <c r="BC112" i="25"/>
  <c r="BT112" i="25" s="1"/>
  <c r="BB112" i="25"/>
  <c r="BS112" i="25" s="1"/>
  <c r="BA112" i="25"/>
  <c r="BC250" i="25"/>
  <c r="BT250" i="25" s="1"/>
  <c r="BA250" i="25"/>
  <c r="BB250" i="25"/>
  <c r="BS250" i="25" s="1"/>
  <c r="BG126" i="24"/>
  <c r="BS126" i="24"/>
  <c r="BX126" i="24" s="1"/>
  <c r="BG275" i="24"/>
  <c r="BS275" i="24"/>
  <c r="BX275" i="24" s="1"/>
  <c r="BG81" i="24"/>
  <c r="BM81" i="24" s="1"/>
  <c r="BS81" i="24"/>
  <c r="BV81" i="24" s="1"/>
  <c r="BX81" i="24" s="1"/>
  <c r="BG200" i="24"/>
  <c r="BS200" i="24"/>
  <c r="BX200" i="24" s="1"/>
  <c r="BS180" i="24"/>
  <c r="BX180" i="24" s="1"/>
  <c r="BG180" i="24"/>
  <c r="BC294" i="25"/>
  <c r="BT294" i="25" s="1"/>
  <c r="BB294" i="25"/>
  <c r="BS294" i="25" s="1"/>
  <c r="BA294" i="25"/>
  <c r="BE186" i="25"/>
  <c r="BR186" i="25"/>
  <c r="BX186" i="25" s="1"/>
  <c r="BE131" i="25"/>
  <c r="BR131" i="25"/>
  <c r="BX131" i="25" s="1"/>
  <c r="BG246" i="24"/>
  <c r="BS246" i="24"/>
  <c r="BX246" i="24" s="1"/>
  <c r="BS66" i="24"/>
  <c r="BV66" i="24" s="1"/>
  <c r="BX66" i="24" s="1"/>
  <c r="BG66" i="24"/>
  <c r="BM66" i="24" s="1"/>
  <c r="BG293" i="24"/>
  <c r="BS293" i="24"/>
  <c r="BX293" i="24" s="1"/>
  <c r="BG15" i="24"/>
  <c r="BM15" i="24" s="1"/>
  <c r="BS15" i="24"/>
  <c r="BV15" i="24" s="1"/>
  <c r="BX15" i="24" s="1"/>
  <c r="BG230" i="24"/>
  <c r="BS230" i="24"/>
  <c r="BX230" i="24" s="1"/>
  <c r="BB168" i="25"/>
  <c r="BS168" i="25" s="1"/>
  <c r="BC168" i="25"/>
  <c r="BT168" i="25" s="1"/>
  <c r="BA168" i="25"/>
  <c r="BE174" i="25"/>
  <c r="BR174" i="25"/>
  <c r="BX174" i="25" s="1"/>
  <c r="BE314" i="25"/>
  <c r="BR314" i="25"/>
  <c r="BX314" i="25" s="1"/>
  <c r="BB184" i="25"/>
  <c r="BS184" i="25" s="1"/>
  <c r="BC184" i="25"/>
  <c r="BT184" i="25" s="1"/>
  <c r="BA184" i="25"/>
  <c r="BY294" i="24"/>
  <c r="CA294" i="24" s="1"/>
  <c r="CB294" i="24" s="1"/>
  <c r="BM294" i="24"/>
  <c r="BN294" i="24" s="1"/>
  <c r="BR82" i="25"/>
  <c r="BV82" i="25" s="1"/>
  <c r="BX82" i="25" s="1"/>
  <c r="BE82" i="25"/>
  <c r="BK82" i="25" s="1"/>
  <c r="BG309" i="24"/>
  <c r="BS309" i="24"/>
  <c r="BX309" i="24" s="1"/>
  <c r="BG35" i="24"/>
  <c r="BM35" i="24" s="1"/>
  <c r="BS35" i="24"/>
  <c r="BV35" i="24" s="1"/>
  <c r="BX35" i="24" s="1"/>
  <c r="BC202" i="25"/>
  <c r="BT202" i="25" s="1"/>
  <c r="BB202" i="25"/>
  <c r="BS202" i="25" s="1"/>
  <c r="BA202" i="25"/>
  <c r="BG174" i="24"/>
  <c r="BS174" i="24"/>
  <c r="BX174" i="24" s="1"/>
  <c r="BC142" i="25"/>
  <c r="BT142" i="25" s="1"/>
  <c r="BB142" i="25"/>
  <c r="BS142" i="25" s="1"/>
  <c r="BA142" i="25"/>
  <c r="BC298" i="25"/>
  <c r="BT298" i="25" s="1"/>
  <c r="BB298" i="25"/>
  <c r="BS298" i="25" s="1"/>
  <c r="BA298" i="25"/>
  <c r="BS23" i="24"/>
  <c r="BV23" i="24" s="1"/>
  <c r="BX23" i="24" s="1"/>
  <c r="BG23" i="24"/>
  <c r="BM23" i="24" s="1"/>
  <c r="BA22" i="25"/>
  <c r="BC22" i="25"/>
  <c r="BT22" i="25" s="1"/>
  <c r="BB22" i="25"/>
  <c r="BS22" i="25" s="1"/>
  <c r="BG74" i="24"/>
  <c r="BM74" i="24" s="1"/>
  <c r="BS74" i="24"/>
  <c r="BV74" i="24" s="1"/>
  <c r="BX74" i="24" s="1"/>
  <c r="BB253" i="25"/>
  <c r="BS253" i="25" s="1"/>
  <c r="BC253" i="25"/>
  <c r="BT253" i="25" s="1"/>
  <c r="BA253" i="25"/>
  <c r="BA141" i="25"/>
  <c r="BC141" i="25"/>
  <c r="BT141" i="25" s="1"/>
  <c r="BB141" i="25"/>
  <c r="BS141" i="25" s="1"/>
  <c r="BG127" i="24"/>
  <c r="BS127" i="24"/>
  <c r="BX127" i="24" s="1"/>
  <c r="BB162" i="25"/>
  <c r="BS162" i="25" s="1"/>
  <c r="BC162" i="25"/>
  <c r="BT162" i="25" s="1"/>
  <c r="BA162" i="25"/>
  <c r="BE229" i="25"/>
  <c r="BR229" i="25"/>
  <c r="BX229" i="25" s="1"/>
  <c r="BG312" i="24"/>
  <c r="BS312" i="24"/>
  <c r="BX312" i="24" s="1"/>
  <c r="BS68" i="24"/>
  <c r="BV68" i="24" s="1"/>
  <c r="BX68" i="24" s="1"/>
  <c r="BG68" i="24"/>
  <c r="BM68" i="24" s="1"/>
  <c r="BM282" i="24"/>
  <c r="BN282" i="24" s="1"/>
  <c r="BS36" i="24"/>
  <c r="BV36" i="24" s="1"/>
  <c r="BX36" i="24" s="1"/>
  <c r="BG36" i="24"/>
  <c r="BM36" i="24" s="1"/>
  <c r="BA285" i="25"/>
  <c r="BB285" i="25"/>
  <c r="BS285" i="25" s="1"/>
  <c r="BC285" i="25"/>
  <c r="BT285" i="25" s="1"/>
  <c r="BG262" i="24"/>
  <c r="BS262" i="24"/>
  <c r="BX262" i="24" s="1"/>
  <c r="BA103" i="25"/>
  <c r="BC103" i="25"/>
  <c r="BT103" i="25" s="1"/>
  <c r="BB103" i="25"/>
  <c r="BS103" i="25" s="1"/>
  <c r="BA164" i="25"/>
  <c r="BC164" i="25"/>
  <c r="BT164" i="25" s="1"/>
  <c r="BB164" i="25"/>
  <c r="BS164" i="25" s="1"/>
  <c r="BG297" i="24"/>
  <c r="BS297" i="24"/>
  <c r="BX297" i="24" s="1"/>
  <c r="BS96" i="24"/>
  <c r="BV96" i="24" s="1"/>
  <c r="BX96" i="24" s="1"/>
  <c r="BG96" i="24"/>
  <c r="BM96" i="24" s="1"/>
  <c r="BS60" i="24"/>
  <c r="BV60" i="24" s="1"/>
  <c r="BX60" i="24" s="1"/>
  <c r="BG60" i="24"/>
  <c r="BM60" i="24" s="1"/>
  <c r="U110" i="29"/>
  <c r="V110" i="29"/>
  <c r="U231" i="29"/>
  <c r="V231" i="29"/>
  <c r="V464" i="29"/>
  <c r="U464" i="29"/>
  <c r="U155" i="29"/>
  <c r="V155" i="29"/>
  <c r="BE258" i="25"/>
  <c r="BR258" i="25"/>
  <c r="BX258" i="25" s="1"/>
  <c r="BA50" i="25"/>
  <c r="BB50" i="25"/>
  <c r="BS50" i="25" s="1"/>
  <c r="BC50" i="25"/>
  <c r="BT50" i="25" s="1"/>
  <c r="BR28" i="25"/>
  <c r="BV28" i="25" s="1"/>
  <c r="BX28" i="25" s="1"/>
  <c r="BE28" i="25"/>
  <c r="BK28" i="25" s="1"/>
  <c r="BA216" i="25"/>
  <c r="BB216" i="25"/>
  <c r="BS216" i="25" s="1"/>
  <c r="BC216" i="25"/>
  <c r="BT216" i="25" s="1"/>
  <c r="BG192" i="24"/>
  <c r="BS192" i="24"/>
  <c r="BX192" i="24" s="1"/>
  <c r="BE32" i="25"/>
  <c r="BK32" i="25" s="1"/>
  <c r="BR32" i="25"/>
  <c r="BV32" i="25" s="1"/>
  <c r="BX32" i="25" s="1"/>
  <c r="BA193" i="25"/>
  <c r="BB193" i="25"/>
  <c r="BS193" i="25" s="1"/>
  <c r="BC193" i="25"/>
  <c r="BT193" i="25" s="1"/>
  <c r="BG218" i="24"/>
  <c r="BS218" i="24"/>
  <c r="BX218" i="24" s="1"/>
  <c r="BM117" i="24"/>
  <c r="BN117" i="24" s="1"/>
  <c r="BA152" i="25"/>
  <c r="BB152" i="25"/>
  <c r="BS152" i="25" s="1"/>
  <c r="BC152" i="25"/>
  <c r="BT152" i="25" s="1"/>
  <c r="BS32" i="24"/>
  <c r="BV32" i="24" s="1"/>
  <c r="BX32" i="24" s="1"/>
  <c r="BG32" i="24"/>
  <c r="BM32" i="24" s="1"/>
  <c r="BB197" i="25"/>
  <c r="BS197" i="25" s="1"/>
  <c r="BC197" i="25"/>
  <c r="BT197" i="25" s="1"/>
  <c r="BA197" i="25"/>
  <c r="BG271" i="24"/>
  <c r="BS271" i="24"/>
  <c r="BX271" i="24" s="1"/>
  <c r="BC288" i="25"/>
  <c r="BT288" i="25" s="1"/>
  <c r="BB288" i="25"/>
  <c r="BS288" i="25" s="1"/>
  <c r="BA288" i="25"/>
  <c r="BS62" i="24"/>
  <c r="BV62" i="24" s="1"/>
  <c r="BX62" i="24" s="1"/>
  <c r="BG62" i="24"/>
  <c r="BM62" i="24" s="1"/>
  <c r="BC308" i="25"/>
  <c r="BT308" i="25" s="1"/>
  <c r="BB308" i="25"/>
  <c r="BS308" i="25" s="1"/>
  <c r="BA308" i="25"/>
  <c r="BS103" i="24"/>
  <c r="BV103" i="24" s="1"/>
  <c r="BX103" i="24" s="1"/>
  <c r="BG103" i="24"/>
  <c r="BM103" i="24" s="1"/>
  <c r="BS73" i="24"/>
  <c r="BV73" i="24" s="1"/>
  <c r="BX73" i="24" s="1"/>
  <c r="BG73" i="24"/>
  <c r="BM73" i="24" s="1"/>
  <c r="BY143" i="25"/>
  <c r="CA143" i="25" s="1"/>
  <c r="CB143" i="25" s="1"/>
  <c r="BL143" i="25"/>
  <c r="BK143" i="25"/>
  <c r="BG285" i="24"/>
  <c r="BS285" i="24"/>
  <c r="BX285" i="24" s="1"/>
  <c r="BE177" i="25"/>
  <c r="BR177" i="25"/>
  <c r="BX177" i="25" s="1"/>
  <c r="BG171" i="24"/>
  <c r="BS171" i="24"/>
  <c r="BX171" i="24" s="1"/>
  <c r="BB220" i="25"/>
  <c r="BS220" i="25" s="1"/>
  <c r="BC220" i="25"/>
  <c r="BT220" i="25" s="1"/>
  <c r="BA220" i="25"/>
  <c r="BA163" i="25"/>
  <c r="BC163" i="25"/>
  <c r="BT163" i="25" s="1"/>
  <c r="BB163" i="25"/>
  <c r="BS163" i="25" s="1"/>
  <c r="B138" i="2"/>
  <c r="B141" i="2"/>
  <c r="L36" i="1" s="1"/>
  <c r="BG176" i="24"/>
  <c r="BS176" i="24"/>
  <c r="BX176" i="24" s="1"/>
  <c r="BA27" i="25"/>
  <c r="BB27" i="25"/>
  <c r="BS27" i="25" s="1"/>
  <c r="BC27" i="25"/>
  <c r="BT27" i="25" s="1"/>
  <c r="BG153" i="24"/>
  <c r="BS153" i="24"/>
  <c r="BX153" i="24" s="1"/>
  <c r="BA208" i="25"/>
  <c r="BC208" i="25"/>
  <c r="BT208" i="25" s="1"/>
  <c r="BB208" i="25"/>
  <c r="BS208" i="25" s="1"/>
  <c r="BY240" i="24"/>
  <c r="CA240" i="24" s="1"/>
  <c r="CB240" i="24" s="1"/>
  <c r="BM240" i="24"/>
  <c r="BN240" i="24" s="1"/>
  <c r="BG175" i="24"/>
  <c r="BS175" i="24"/>
  <c r="BX175" i="24" s="1"/>
  <c r="BE267" i="25"/>
  <c r="BR267" i="25"/>
  <c r="BX267" i="25" s="1"/>
  <c r="BA228" i="25"/>
  <c r="BB228" i="25"/>
  <c r="BS228" i="25" s="1"/>
  <c r="BC228" i="25"/>
  <c r="BT228" i="25" s="1"/>
  <c r="BA126" i="25"/>
  <c r="BB126" i="25"/>
  <c r="BS126" i="25" s="1"/>
  <c r="BC126" i="25"/>
  <c r="BT126" i="25" s="1"/>
  <c r="BG86" i="24"/>
  <c r="BM86" i="24" s="1"/>
  <c r="BS86" i="24"/>
  <c r="BV86" i="24" s="1"/>
  <c r="BX86" i="24" s="1"/>
  <c r="BN101" i="24"/>
  <c r="BY101" i="24"/>
  <c r="CA101" i="24" s="1"/>
  <c r="BA19" i="25"/>
  <c r="BC19" i="25"/>
  <c r="BT19" i="25" s="1"/>
  <c r="BB19" i="25"/>
  <c r="BS19" i="25" s="1"/>
  <c r="BS52" i="24"/>
  <c r="BV52" i="24" s="1"/>
  <c r="BX52" i="24" s="1"/>
  <c r="BG52" i="24"/>
  <c r="BM52" i="24" s="1"/>
  <c r="BS79" i="24"/>
  <c r="BV79" i="24" s="1"/>
  <c r="BX79" i="24" s="1"/>
  <c r="BG79" i="24"/>
  <c r="BM79" i="24" s="1"/>
  <c r="BG197" i="24"/>
  <c r="BS197" i="24"/>
  <c r="BX197" i="24" s="1"/>
  <c r="BA268" i="25"/>
  <c r="BC268" i="25"/>
  <c r="BT268" i="25" s="1"/>
  <c r="BB268" i="25"/>
  <c r="BS268" i="25" s="1"/>
  <c r="BS65" i="24"/>
  <c r="BV65" i="24" s="1"/>
  <c r="BX65" i="24" s="1"/>
  <c r="BG65" i="24"/>
  <c r="BM65" i="24" s="1"/>
  <c r="BE190" i="25"/>
  <c r="BR190" i="25"/>
  <c r="BX190" i="25" s="1"/>
  <c r="BG17" i="24"/>
  <c r="BM17" i="24" s="1"/>
  <c r="BS17" i="24"/>
  <c r="BV17" i="24" s="1"/>
  <c r="BX17" i="24" s="1"/>
  <c r="BG114" i="24"/>
  <c r="BS114" i="24"/>
  <c r="BX114" i="24" s="1"/>
  <c r="BG30" i="24"/>
  <c r="BM30" i="24" s="1"/>
  <c r="BS30" i="24"/>
  <c r="BV30" i="24" s="1"/>
  <c r="BX30" i="24" s="1"/>
  <c r="BA35" i="25"/>
  <c r="BB35" i="25"/>
  <c r="BS35" i="25" s="1"/>
  <c r="BC35" i="25"/>
  <c r="BT35" i="25" s="1"/>
  <c r="BG201" i="24"/>
  <c r="BS201" i="24"/>
  <c r="BX201" i="24" s="1"/>
  <c r="BS9" i="24"/>
  <c r="BV9" i="24" s="1"/>
  <c r="BX9" i="24" s="1"/>
  <c r="BG9" i="24"/>
  <c r="BM9" i="24" s="1"/>
  <c r="BR192" i="25"/>
  <c r="BX192" i="25" s="1"/>
  <c r="BE192" i="25"/>
  <c r="BE238" i="25"/>
  <c r="BR238" i="25"/>
  <c r="BX238" i="25" s="1"/>
  <c r="BA24" i="25"/>
  <c r="BB24" i="25"/>
  <c r="BS24" i="25" s="1"/>
  <c r="BC24" i="25"/>
  <c r="BT24" i="25" s="1"/>
  <c r="BE291" i="25"/>
  <c r="BR291" i="25"/>
  <c r="BX291" i="25" s="1"/>
  <c r="BN6" i="24"/>
  <c r="BS49" i="24"/>
  <c r="BV49" i="24" s="1"/>
  <c r="BX49" i="24" s="1"/>
  <c r="BG49" i="24"/>
  <c r="BM49" i="24" s="1"/>
  <c r="BC79" i="25"/>
  <c r="BT79" i="25" s="1"/>
  <c r="BB79" i="25"/>
  <c r="BS79" i="25" s="1"/>
  <c r="BA79" i="25"/>
  <c r="BG223" i="24"/>
  <c r="BS223" i="24"/>
  <c r="BX223" i="24" s="1"/>
  <c r="BM279" i="24"/>
  <c r="BN279" i="24" s="1"/>
  <c r="BB169" i="25"/>
  <c r="BS169" i="25" s="1"/>
  <c r="BC169" i="25"/>
  <c r="BT169" i="25" s="1"/>
  <c r="BA169" i="25"/>
  <c r="BC310" i="25"/>
  <c r="BT310" i="25" s="1"/>
  <c r="BA310" i="25"/>
  <c r="BB310" i="25"/>
  <c r="BS310" i="25" s="1"/>
  <c r="BS39" i="24"/>
  <c r="BV39" i="24" s="1"/>
  <c r="BX39" i="24" s="1"/>
  <c r="BG39" i="24"/>
  <c r="BM39" i="24" s="1"/>
  <c r="BG314" i="24"/>
  <c r="BS314" i="24"/>
  <c r="BX314" i="24" s="1"/>
  <c r="BA135" i="25"/>
  <c r="BB135" i="25"/>
  <c r="BS135" i="25" s="1"/>
  <c r="BC135" i="25"/>
  <c r="BT135" i="25" s="1"/>
  <c r="BG307" i="24"/>
  <c r="BS307" i="24"/>
  <c r="BX307" i="24" s="1"/>
  <c r="BA301" i="25"/>
  <c r="BB301" i="25"/>
  <c r="BS301" i="25" s="1"/>
  <c r="BC301" i="25"/>
  <c r="BT301" i="25" s="1"/>
  <c r="BY152" i="24"/>
  <c r="CA152" i="24" s="1"/>
  <c r="CB152" i="24" s="1"/>
  <c r="BM152" i="24"/>
  <c r="BN152" i="24" s="1"/>
  <c r="BG124" i="24"/>
  <c r="BS124" i="24"/>
  <c r="BX124" i="24" s="1"/>
  <c r="BG163" i="24"/>
  <c r="BS163" i="24"/>
  <c r="BX163" i="24" s="1"/>
  <c r="BR261" i="25"/>
  <c r="BX261" i="25" s="1"/>
  <c r="BE261" i="25"/>
  <c r="BA304" i="25"/>
  <c r="BC304" i="25"/>
  <c r="BT304" i="25" s="1"/>
  <c r="BB304" i="25"/>
  <c r="BS304" i="25" s="1"/>
  <c r="BB195" i="25"/>
  <c r="BS195" i="25" s="1"/>
  <c r="BC195" i="25"/>
  <c r="BT195" i="25" s="1"/>
  <c r="BA195" i="25"/>
  <c r="U328" i="29"/>
  <c r="V328" i="29"/>
  <c r="V78" i="29"/>
  <c r="U78" i="29"/>
  <c r="V174" i="29"/>
  <c r="U174" i="29"/>
  <c r="BG184" i="24"/>
  <c r="BS184" i="24"/>
  <c r="BX184" i="24" s="1"/>
  <c r="BG157" i="24"/>
  <c r="BS157" i="24"/>
  <c r="BX157" i="24" s="1"/>
  <c r="BY260" i="24"/>
  <c r="CA260" i="24" s="1"/>
  <c r="CB260" i="24" s="1"/>
  <c r="BM260" i="24"/>
  <c r="BN260" i="24" s="1"/>
  <c r="BN58" i="24"/>
  <c r="BC272" i="25"/>
  <c r="BT272" i="25" s="1"/>
  <c r="BB272" i="25"/>
  <c r="BS272" i="25" s="1"/>
  <c r="BA272" i="25"/>
  <c r="BY22" i="24"/>
  <c r="CA22" i="24" s="1"/>
  <c r="BN22" i="24"/>
  <c r="BG123" i="24"/>
  <c r="BS123" i="24"/>
  <c r="BX123" i="24" s="1"/>
  <c r="BG198" i="24"/>
  <c r="BS198" i="24"/>
  <c r="BX198" i="24" s="1"/>
  <c r="BG258" i="24"/>
  <c r="BS258" i="24"/>
  <c r="BX258" i="24" s="1"/>
  <c r="BA303" i="25"/>
  <c r="BC303" i="25"/>
  <c r="BT303" i="25" s="1"/>
  <c r="BB303" i="25"/>
  <c r="BS303" i="25" s="1"/>
  <c r="BB205" i="25"/>
  <c r="BS205" i="25" s="1"/>
  <c r="BC205" i="25"/>
  <c r="BT205" i="25" s="1"/>
  <c r="BA205" i="25"/>
  <c r="BE31" i="25"/>
  <c r="BK31" i="25" s="1"/>
  <c r="BR31" i="25"/>
  <c r="BV31" i="25" s="1"/>
  <c r="BX31" i="25" s="1"/>
  <c r="BG71" i="24"/>
  <c r="BM71" i="24" s="1"/>
  <c r="BS71" i="24"/>
  <c r="BV71" i="24" s="1"/>
  <c r="BX71" i="24" s="1"/>
  <c r="BB295" i="25"/>
  <c r="BS295" i="25" s="1"/>
  <c r="BC295" i="25"/>
  <c r="BT295" i="25" s="1"/>
  <c r="BA295" i="25"/>
  <c r="BG195" i="24"/>
  <c r="BS195" i="24"/>
  <c r="BX195" i="24" s="1"/>
  <c r="BG129" i="24"/>
  <c r="BS129" i="24"/>
  <c r="BX129" i="24" s="1"/>
  <c r="BA38" i="25"/>
  <c r="BC38" i="25"/>
  <c r="BT38" i="25" s="1"/>
  <c r="BB38" i="25"/>
  <c r="BS38" i="25" s="1"/>
  <c r="BA20" i="25"/>
  <c r="BC20" i="25"/>
  <c r="BT20" i="25" s="1"/>
  <c r="BB20" i="25"/>
  <c r="BS20" i="25" s="1"/>
  <c r="BG104" i="24"/>
  <c r="BM104" i="24" s="1"/>
  <c r="BS104" i="24"/>
  <c r="BV104" i="24" s="1"/>
  <c r="BX104" i="24" s="1"/>
  <c r="BN20" i="24"/>
  <c r="BA307" i="25"/>
  <c r="BB307" i="25"/>
  <c r="BS307" i="25" s="1"/>
  <c r="BC307" i="25"/>
  <c r="BT307" i="25" s="1"/>
  <c r="BY142" i="24"/>
  <c r="CA142" i="24" s="1"/>
  <c r="CB142" i="24" s="1"/>
  <c r="BM142" i="24"/>
  <c r="BN142" i="24" s="1"/>
  <c r="BB315" i="25"/>
  <c r="BS315" i="25" s="1"/>
  <c r="BC315" i="25"/>
  <c r="BT315" i="25" s="1"/>
  <c r="BA315" i="25"/>
  <c r="BG144" i="24"/>
  <c r="BS144" i="24"/>
  <c r="BX144" i="24" s="1"/>
  <c r="BB133" i="25"/>
  <c r="BS133" i="25" s="1"/>
  <c r="BA133" i="25"/>
  <c r="BC133" i="25"/>
  <c r="BT133" i="25" s="1"/>
  <c r="BC134" i="25"/>
  <c r="BT134" i="25" s="1"/>
  <c r="BB134" i="25"/>
  <c r="BS134" i="25" s="1"/>
  <c r="BA134" i="25"/>
  <c r="BC140" i="25"/>
  <c r="BT140" i="25" s="1"/>
  <c r="BB140" i="25"/>
  <c r="BS140" i="25" s="1"/>
  <c r="BA140" i="25"/>
  <c r="BG304" i="24"/>
  <c r="BS304" i="24"/>
  <c r="BX304" i="24" s="1"/>
  <c r="BA70" i="25"/>
  <c r="BB70" i="25"/>
  <c r="BS70" i="25" s="1"/>
  <c r="BC70" i="25"/>
  <c r="BT70" i="25" s="1"/>
  <c r="BG206" i="24"/>
  <c r="BS206" i="24"/>
  <c r="BX206" i="24" s="1"/>
  <c r="BB61" i="25"/>
  <c r="BS61" i="25" s="1"/>
  <c r="BA61" i="25"/>
  <c r="BC61" i="25"/>
  <c r="BT61" i="25" s="1"/>
  <c r="BB145" i="25"/>
  <c r="BS145" i="25" s="1"/>
  <c r="BC145" i="25"/>
  <c r="BT145" i="25" s="1"/>
  <c r="BA145" i="25"/>
  <c r="BG286" i="24"/>
  <c r="BS286" i="24"/>
  <c r="BX286" i="24" s="1"/>
  <c r="BE13" i="25"/>
  <c r="BK13" i="25" s="1"/>
  <c r="BR13" i="25"/>
  <c r="BV13" i="25" s="1"/>
  <c r="BX13" i="25" s="1"/>
  <c r="BG46" i="24"/>
  <c r="BM46" i="24" s="1"/>
  <c r="BS46" i="24"/>
  <c r="BV46" i="24" s="1"/>
  <c r="BX46" i="24" s="1"/>
  <c r="BC122" i="25"/>
  <c r="BT122" i="25" s="1"/>
  <c r="BA122" i="25"/>
  <c r="BB122" i="25"/>
  <c r="BS122" i="25" s="1"/>
  <c r="BA180" i="25"/>
  <c r="BC180" i="25"/>
  <c r="BT180" i="25" s="1"/>
  <c r="BB180" i="25"/>
  <c r="BS180" i="25" s="1"/>
  <c r="BB76" i="25"/>
  <c r="BS76" i="25" s="1"/>
  <c r="BC76" i="25"/>
  <c r="BT76" i="25" s="1"/>
  <c r="BA76" i="25"/>
  <c r="BG76" i="24"/>
  <c r="BM76" i="24" s="1"/>
  <c r="BS76" i="24"/>
  <c r="BV76" i="24" s="1"/>
  <c r="BX76" i="24" s="1"/>
  <c r="BS203" i="24"/>
  <c r="BX203" i="24" s="1"/>
  <c r="BG203" i="24"/>
  <c r="BG284" i="24"/>
  <c r="BS284" i="24"/>
  <c r="BX284" i="24" s="1"/>
  <c r="BB230" i="25"/>
  <c r="BS230" i="25" s="1"/>
  <c r="BA230" i="25"/>
  <c r="BC230" i="25"/>
  <c r="BT230" i="25" s="1"/>
  <c r="BG194" i="24"/>
  <c r="BS194" i="24"/>
  <c r="BX194" i="24" s="1"/>
  <c r="BB45" i="25"/>
  <c r="BS45" i="25" s="1"/>
  <c r="BC45" i="25"/>
  <c r="BT45" i="25" s="1"/>
  <c r="BA45" i="25"/>
  <c r="BR14" i="25"/>
  <c r="BV14" i="25" s="1"/>
  <c r="BX14" i="25" s="1"/>
  <c r="BE14" i="25"/>
  <c r="BK14" i="25" s="1"/>
  <c r="BE155" i="25"/>
  <c r="BR155" i="25"/>
  <c r="BX155" i="25" s="1"/>
  <c r="BA47" i="25"/>
  <c r="BC47" i="25"/>
  <c r="BT47" i="25" s="1"/>
  <c r="BB47" i="25"/>
  <c r="BS47" i="25" s="1"/>
  <c r="BC203" i="25"/>
  <c r="BT203" i="25" s="1"/>
  <c r="BB203" i="25"/>
  <c r="BS203" i="25" s="1"/>
  <c r="BA203" i="25"/>
  <c r="BY264" i="24"/>
  <c r="CA264" i="24" s="1"/>
  <c r="CB264" i="24" s="1"/>
  <c r="BM264" i="24"/>
  <c r="BN264" i="24" s="1"/>
  <c r="BS82" i="24"/>
  <c r="BV82" i="24" s="1"/>
  <c r="BX82" i="24" s="1"/>
  <c r="BG82" i="24"/>
  <c r="BM82" i="24" s="1"/>
  <c r="BS69" i="24"/>
  <c r="BV69" i="24" s="1"/>
  <c r="BX69" i="24" s="1"/>
  <c r="BG69" i="24"/>
  <c r="BM69" i="24" s="1"/>
  <c r="BB53" i="25"/>
  <c r="BS53" i="25" s="1"/>
  <c r="BC53" i="25"/>
  <c r="BT53" i="25" s="1"/>
  <c r="BA53" i="25"/>
  <c r="BG241" i="24"/>
  <c r="BS241" i="24"/>
  <c r="BX241" i="24" s="1"/>
  <c r="BB137" i="25"/>
  <c r="BS137" i="25" s="1"/>
  <c r="BC137" i="25"/>
  <c r="BT137" i="25" s="1"/>
  <c r="BA137" i="25"/>
  <c r="BE170" i="25"/>
  <c r="BR170" i="25"/>
  <c r="BX170" i="25" s="1"/>
  <c r="BA209" i="25"/>
  <c r="BB209" i="25"/>
  <c r="BS209" i="25" s="1"/>
  <c r="BC209" i="25"/>
  <c r="BT209" i="25" s="1"/>
  <c r="BG302" i="24"/>
  <c r="BS302" i="24"/>
  <c r="BX302" i="24" s="1"/>
  <c r="BE246" i="25"/>
  <c r="BR246" i="25"/>
  <c r="BX246" i="25" s="1"/>
  <c r="BS84" i="24"/>
  <c r="BV84" i="24" s="1"/>
  <c r="BX84" i="24" s="1"/>
  <c r="BG84" i="24"/>
  <c r="BM84" i="24" s="1"/>
  <c r="BE305" i="25"/>
  <c r="BR305" i="25"/>
  <c r="BX305" i="25" s="1"/>
  <c r="BN54" i="24"/>
  <c r="BE306" i="25"/>
  <c r="BR306" i="25"/>
  <c r="BX306" i="25" s="1"/>
  <c r="BE255" i="25"/>
  <c r="BR255" i="25"/>
  <c r="BX255" i="25" s="1"/>
  <c r="BA254" i="25"/>
  <c r="BB254" i="25"/>
  <c r="BS254" i="25" s="1"/>
  <c r="BC254" i="25"/>
  <c r="BT254" i="25" s="1"/>
  <c r="BB210" i="25"/>
  <c r="BS210" i="25" s="1"/>
  <c r="BC210" i="25"/>
  <c r="BT210" i="25" s="1"/>
  <c r="BA210" i="25"/>
  <c r="BE273" i="25"/>
  <c r="BR273" i="25"/>
  <c r="BX273" i="25" s="1"/>
  <c r="BY41" i="24"/>
  <c r="CA41" i="24" s="1"/>
  <c r="CB41" i="24" s="1"/>
  <c r="BN41" i="24"/>
  <c r="BR62" i="25"/>
  <c r="BV62" i="25" s="1"/>
  <c r="BX62" i="25" s="1"/>
  <c r="BE62" i="25"/>
  <c r="BK62" i="25" s="1"/>
  <c r="BE59" i="25"/>
  <c r="BK59" i="25" s="1"/>
  <c r="BR59" i="25"/>
  <c r="BV59" i="25" s="1"/>
  <c r="BX59" i="25" s="1"/>
  <c r="BS95" i="24"/>
  <c r="BV95" i="24" s="1"/>
  <c r="BX95" i="24" s="1"/>
  <c r="BG95" i="24"/>
  <c r="BM95" i="24" s="1"/>
  <c r="BG244" i="24"/>
  <c r="BS244" i="24"/>
  <c r="BX244" i="24" s="1"/>
  <c r="BG272" i="24"/>
  <c r="BS272" i="24"/>
  <c r="BX272" i="24" s="1"/>
  <c r="BG227" i="24"/>
  <c r="BS227" i="24"/>
  <c r="BX227" i="24" s="1"/>
  <c r="BG59" i="24"/>
  <c r="BM59" i="24" s="1"/>
  <c r="BS59" i="24"/>
  <c r="BV59" i="24" s="1"/>
  <c r="BX59" i="24" s="1"/>
  <c r="BE179" i="25"/>
  <c r="BR179" i="25"/>
  <c r="BX179" i="25" s="1"/>
  <c r="BA16" i="25"/>
  <c r="BB16" i="25"/>
  <c r="BS16" i="25" s="1"/>
  <c r="BC16" i="25"/>
  <c r="BT16" i="25" s="1"/>
  <c r="V442" i="29"/>
  <c r="U442" i="29"/>
  <c r="U521" i="29"/>
  <c r="V521" i="29"/>
  <c r="U544" i="29"/>
  <c r="V544" i="29"/>
  <c r="BY236" i="24"/>
  <c r="CA236" i="24" s="1"/>
  <c r="CB236" i="24" s="1"/>
  <c r="BM236" i="24"/>
  <c r="BN236" i="24" s="1"/>
  <c r="BG53" i="24"/>
  <c r="BM53" i="24" s="1"/>
  <c r="BS53" i="24"/>
  <c r="BV53" i="24" s="1"/>
  <c r="BX53" i="24" s="1"/>
  <c r="BC111" i="25"/>
  <c r="BT111" i="25" s="1"/>
  <c r="BB111" i="25"/>
  <c r="BS111" i="25" s="1"/>
  <c r="BA111" i="25"/>
  <c r="BG85" i="24"/>
  <c r="BM85" i="24" s="1"/>
  <c r="BS85" i="24"/>
  <c r="BV85" i="24" s="1"/>
  <c r="BX85" i="24" s="1"/>
  <c r="BC181" i="25"/>
  <c r="BT181" i="25" s="1"/>
  <c r="BB181" i="25"/>
  <c r="BS181" i="25" s="1"/>
  <c r="BA181" i="25"/>
  <c r="BM148" i="24"/>
  <c r="BN148" i="24" s="1"/>
  <c r="BG276" i="24"/>
  <c r="BS276" i="24"/>
  <c r="BX276" i="24" s="1"/>
  <c r="BB287" i="25"/>
  <c r="BS287" i="25" s="1"/>
  <c r="BC287" i="25"/>
  <c r="BT287" i="25" s="1"/>
  <c r="BA287" i="25"/>
  <c r="BA57" i="25"/>
  <c r="BB57" i="25"/>
  <c r="BS57" i="25" s="1"/>
  <c r="BC57" i="25"/>
  <c r="BT57" i="25" s="1"/>
  <c r="BB151" i="25"/>
  <c r="BS151" i="25" s="1"/>
  <c r="BC151" i="25"/>
  <c r="BT151" i="25" s="1"/>
  <c r="BA151" i="25"/>
  <c r="BG182" i="24"/>
  <c r="BS182" i="24"/>
  <c r="BX182" i="24" s="1"/>
  <c r="BG138" i="24"/>
  <c r="BS138" i="24"/>
  <c r="BX138" i="24" s="1"/>
  <c r="BY233" i="24"/>
  <c r="CA233" i="24" s="1"/>
  <c r="BM233" i="24"/>
  <c r="BN233" i="24" s="1"/>
  <c r="BY257" i="24"/>
  <c r="CA257" i="24" s="1"/>
  <c r="BM257" i="24"/>
  <c r="BN257" i="24" s="1"/>
  <c r="BC252" i="25"/>
  <c r="BT252" i="25" s="1"/>
  <c r="BB252" i="25"/>
  <c r="BS252" i="25" s="1"/>
  <c r="BA252" i="25"/>
  <c r="BB271" i="25"/>
  <c r="BS271" i="25" s="1"/>
  <c r="BC271" i="25"/>
  <c r="BT271" i="25" s="1"/>
  <c r="BA271" i="25"/>
  <c r="BB91" i="25"/>
  <c r="BS91" i="25" s="1"/>
  <c r="BC91" i="25"/>
  <c r="BT91" i="25" s="1"/>
  <c r="BA91" i="25"/>
  <c r="BG185" i="24"/>
  <c r="BS185" i="24"/>
  <c r="BX185" i="24" s="1"/>
  <c r="BS8" i="24"/>
  <c r="BV8" i="24" s="1"/>
  <c r="BX8" i="24" s="1"/>
  <c r="BG8" i="24"/>
  <c r="BM8" i="24" s="1"/>
  <c r="BE173" i="25"/>
  <c r="BR173" i="25"/>
  <c r="BX173" i="25" s="1"/>
  <c r="BA183" i="25"/>
  <c r="BB183" i="25"/>
  <c r="BS183" i="25" s="1"/>
  <c r="BC183" i="25"/>
  <c r="BT183" i="25" s="1"/>
  <c r="BE248" i="25"/>
  <c r="BR248" i="25"/>
  <c r="BX248" i="25" s="1"/>
  <c r="BA157" i="25"/>
  <c r="BB157" i="25"/>
  <c r="BS157" i="25" s="1"/>
  <c r="BC157" i="25"/>
  <c r="BT157" i="25" s="1"/>
  <c r="BM265" i="24"/>
  <c r="BN265" i="24" s="1"/>
  <c r="BG105" i="24"/>
  <c r="BM105" i="24" s="1"/>
  <c r="BS105" i="24"/>
  <c r="BV105" i="24" s="1"/>
  <c r="BX105" i="24" s="1"/>
  <c r="BA289" i="25"/>
  <c r="BB289" i="25"/>
  <c r="BS289" i="25" s="1"/>
  <c r="BC289" i="25"/>
  <c r="BT289" i="25" s="1"/>
  <c r="BA118" i="25"/>
  <c r="BB118" i="25"/>
  <c r="BS118" i="25" s="1"/>
  <c r="BC118" i="25"/>
  <c r="BT118" i="25" s="1"/>
  <c r="BS99" i="24"/>
  <c r="BV99" i="24" s="1"/>
  <c r="BX99" i="24" s="1"/>
  <c r="BG99" i="24"/>
  <c r="BM99" i="24" s="1"/>
  <c r="BG269" i="24"/>
  <c r="BS269" i="24"/>
  <c r="BX269" i="24" s="1"/>
  <c r="BG274" i="24"/>
  <c r="BS274" i="24"/>
  <c r="BX274" i="24" s="1"/>
  <c r="BE11" i="25"/>
  <c r="BK11" i="25" s="1"/>
  <c r="BR11" i="25"/>
  <c r="BV11" i="25" s="1"/>
  <c r="BX11" i="25" s="1"/>
  <c r="BG179" i="24"/>
  <c r="BS179" i="24"/>
  <c r="BX179" i="24" s="1"/>
  <c r="BA105" i="25"/>
  <c r="BB105" i="25"/>
  <c r="BS105" i="25" s="1"/>
  <c r="BC105" i="25"/>
  <c r="BT105" i="25" s="1"/>
  <c r="BE29" i="25"/>
  <c r="BK29" i="25" s="1"/>
  <c r="BR29" i="25"/>
  <c r="BV29" i="25" s="1"/>
  <c r="BX29" i="25" s="1"/>
  <c r="BM295" i="24"/>
  <c r="BN295" i="24" s="1"/>
  <c r="BB144" i="25"/>
  <c r="BS144" i="25" s="1"/>
  <c r="BC144" i="25"/>
  <c r="BT144" i="25" s="1"/>
  <c r="BA144" i="25"/>
  <c r="BG209" i="24"/>
  <c r="BS209" i="24"/>
  <c r="BX209" i="24" s="1"/>
  <c r="BA86" i="25"/>
  <c r="BB86" i="25"/>
  <c r="BS86" i="25" s="1"/>
  <c r="BC86" i="25"/>
  <c r="BT86" i="25" s="1"/>
  <c r="BG202" i="24"/>
  <c r="BS202" i="24"/>
  <c r="BX202" i="24" s="1"/>
  <c r="B128" i="2"/>
  <c r="B131" i="2"/>
  <c r="E36" i="1" s="1"/>
  <c r="BG266" i="24"/>
  <c r="BS266" i="24"/>
  <c r="BX266" i="24" s="1"/>
  <c r="BG288" i="24"/>
  <c r="BS288" i="24"/>
  <c r="BX288" i="24" s="1"/>
  <c r="BA98" i="25"/>
  <c r="BB98" i="25"/>
  <c r="BS98" i="25" s="1"/>
  <c r="BC98" i="25"/>
  <c r="BT98" i="25" s="1"/>
  <c r="BR71" i="25"/>
  <c r="BV71" i="25" s="1"/>
  <c r="BX71" i="25" s="1"/>
  <c r="BE71" i="25"/>
  <c r="BK71" i="25" s="1"/>
  <c r="BG270" i="24"/>
  <c r="BS270" i="24"/>
  <c r="BX270" i="24" s="1"/>
  <c r="BA207" i="25"/>
  <c r="BC207" i="25"/>
  <c r="BT207" i="25" s="1"/>
  <c r="BB207" i="25"/>
  <c r="BS207" i="25" s="1"/>
  <c r="BA56" i="25"/>
  <c r="BB56" i="25"/>
  <c r="BS56" i="25" s="1"/>
  <c r="BC56" i="25"/>
  <c r="BT56" i="25" s="1"/>
  <c r="BG97" i="24"/>
  <c r="BM97" i="24" s="1"/>
  <c r="BS97" i="24"/>
  <c r="BV97" i="24" s="1"/>
  <c r="BX97" i="24" s="1"/>
  <c r="BB125" i="25"/>
  <c r="BS125" i="25" s="1"/>
  <c r="BC125" i="25"/>
  <c r="BT125" i="25" s="1"/>
  <c r="BA125" i="25"/>
  <c r="BG205" i="24"/>
  <c r="BS205" i="24"/>
  <c r="BX205" i="24" s="1"/>
  <c r="BS63" i="24"/>
  <c r="BV63" i="24" s="1"/>
  <c r="BX63" i="24" s="1"/>
  <c r="BG63" i="24"/>
  <c r="BM63" i="24" s="1"/>
  <c r="BE30" i="25"/>
  <c r="BK30" i="25" s="1"/>
  <c r="BR30" i="25"/>
  <c r="BV30" i="25" s="1"/>
  <c r="BX30" i="25" s="1"/>
  <c r="BG177" i="24"/>
  <c r="BS177" i="24"/>
  <c r="BX177" i="24" s="1"/>
  <c r="BS136" i="24"/>
  <c r="BX136" i="24" s="1"/>
  <c r="BG136" i="24"/>
  <c r="BC123" i="25"/>
  <c r="BT123" i="25" s="1"/>
  <c r="BB123" i="25"/>
  <c r="BS123" i="25" s="1"/>
  <c r="BA123" i="25"/>
  <c r="BA83" i="25"/>
  <c r="BB83" i="25"/>
  <c r="BS83" i="25" s="1"/>
  <c r="BC83" i="25"/>
  <c r="BT83" i="25" s="1"/>
  <c r="BB132" i="25"/>
  <c r="BS132" i="25" s="1"/>
  <c r="BA132" i="25"/>
  <c r="BC132" i="25"/>
  <c r="BT132" i="25" s="1"/>
  <c r="BG199" i="24"/>
  <c r="BS199" i="24"/>
  <c r="BX199" i="24" s="1"/>
  <c r="BG155" i="24"/>
  <c r="BS155" i="24"/>
  <c r="BX155" i="24" s="1"/>
  <c r="BG149" i="24"/>
  <c r="BS149" i="24"/>
  <c r="BX149" i="24" s="1"/>
  <c r="BB90" i="25"/>
  <c r="BS90" i="25" s="1"/>
  <c r="BC90" i="25"/>
  <c r="BT90" i="25" s="1"/>
  <c r="BA90" i="25"/>
  <c r="BC222" i="25"/>
  <c r="BT222" i="25" s="1"/>
  <c r="BB222" i="25"/>
  <c r="BS222" i="25" s="1"/>
  <c r="BA222" i="25"/>
  <c r="BG261" i="24"/>
  <c r="BS261" i="24"/>
  <c r="BX261" i="24" s="1"/>
  <c r="BA40" i="25"/>
  <c r="BB40" i="25"/>
  <c r="BS40" i="25" s="1"/>
  <c r="BC40" i="25"/>
  <c r="BT40" i="25" s="1"/>
  <c r="BE89" i="25"/>
  <c r="BK89" i="25" s="1"/>
  <c r="BR89" i="25"/>
  <c r="BV89" i="25" s="1"/>
  <c r="BX89" i="25" s="1"/>
  <c r="BG67" i="24"/>
  <c r="BM67" i="24" s="1"/>
  <c r="BS67" i="24"/>
  <c r="BV67" i="24" s="1"/>
  <c r="BX67" i="24" s="1"/>
  <c r="BB10" i="25"/>
  <c r="BS10" i="25" s="1"/>
  <c r="BA10" i="25"/>
  <c r="BC10" i="25"/>
  <c r="BT10" i="25" s="1"/>
  <c r="BB120" i="25"/>
  <c r="BS120" i="25" s="1"/>
  <c r="BC120" i="25"/>
  <c r="BT120" i="25" s="1"/>
  <c r="BA120" i="25"/>
  <c r="BG251" i="24"/>
  <c r="BS251" i="24"/>
  <c r="BX251" i="24" s="1"/>
  <c r="BM238" i="24"/>
  <c r="BN238" i="24" s="1"/>
  <c r="BE262" i="25"/>
  <c r="BR262" i="25"/>
  <c r="BX262" i="25" s="1"/>
  <c r="BA156" i="25"/>
  <c r="BB156" i="25"/>
  <c r="BS156" i="25" s="1"/>
  <c r="BC156" i="25"/>
  <c r="BT156" i="25" s="1"/>
  <c r="BE280" i="25"/>
  <c r="BR280" i="25"/>
  <c r="BX280" i="25" s="1"/>
  <c r="BM219" i="24"/>
  <c r="BN219" i="24" s="1"/>
  <c r="BA263" i="25"/>
  <c r="BB263" i="25"/>
  <c r="BS263" i="25" s="1"/>
  <c r="BC263" i="25"/>
  <c r="BT263" i="25" s="1"/>
  <c r="BA49" i="25"/>
  <c r="BB49" i="25"/>
  <c r="BS49" i="25" s="1"/>
  <c r="BC49" i="25"/>
  <c r="BT49" i="25" s="1"/>
  <c r="BA218" i="25"/>
  <c r="BC218" i="25"/>
  <c r="BT218" i="25" s="1"/>
  <c r="BB218" i="25"/>
  <c r="BS218" i="25" s="1"/>
  <c r="BC127" i="25"/>
  <c r="BT127" i="25" s="1"/>
  <c r="BB127" i="25"/>
  <c r="BS127" i="25" s="1"/>
  <c r="BA127" i="25"/>
  <c r="BM296" i="24"/>
  <c r="BN296" i="24" s="1"/>
  <c r="BG115" i="24"/>
  <c r="BS115" i="24"/>
  <c r="BX115" i="24" s="1"/>
  <c r="BC311" i="25"/>
  <c r="BT311" i="25" s="1"/>
  <c r="BB311" i="25"/>
  <c r="BS311" i="25" s="1"/>
  <c r="BA311" i="25"/>
  <c r="BC196" i="25"/>
  <c r="BT196" i="25" s="1"/>
  <c r="BB196" i="25"/>
  <c r="BS196" i="25" s="1"/>
  <c r="BA196" i="25"/>
  <c r="BB54" i="25"/>
  <c r="BS54" i="25" s="1"/>
  <c r="BA54" i="25"/>
  <c r="BC54" i="25"/>
  <c r="BT54" i="25" s="1"/>
  <c r="BE243" i="25"/>
  <c r="BR243" i="25"/>
  <c r="BX243" i="25" s="1"/>
  <c r="BB119" i="25"/>
  <c r="BS119" i="25" s="1"/>
  <c r="BC119" i="25"/>
  <c r="BT119" i="25" s="1"/>
  <c r="BA119" i="25"/>
  <c r="D58" i="29"/>
  <c r="D50" i="29" s="1"/>
  <c r="D51" i="29" s="1"/>
  <c r="D60" i="29" s="1"/>
  <c r="U60" i="29"/>
  <c r="V60" i="29"/>
  <c r="U189" i="29"/>
  <c r="V189" i="29"/>
  <c r="U238" i="29"/>
  <c r="V238" i="29"/>
  <c r="V18" i="29"/>
  <c r="U18" i="29"/>
  <c r="BG250" i="24"/>
  <c r="BS250" i="24"/>
  <c r="BX250" i="24" s="1"/>
  <c r="BS50" i="24"/>
  <c r="BV50" i="24" s="1"/>
  <c r="BX50" i="24" s="1"/>
  <c r="BG50" i="24"/>
  <c r="BM50" i="24" s="1"/>
  <c r="BM130" i="24"/>
  <c r="BN130" i="24" s="1"/>
  <c r="BN12" i="24"/>
  <c r="BM147" i="24"/>
  <c r="BN147" i="24" s="1"/>
  <c r="BG145" i="24"/>
  <c r="BS145" i="24"/>
  <c r="BX145" i="24" s="1"/>
  <c r="BG255" i="24"/>
  <c r="BS255" i="24"/>
  <c r="BX255" i="24" s="1"/>
  <c r="BA235" i="25"/>
  <c r="BB235" i="25"/>
  <c r="BS235" i="25" s="1"/>
  <c r="BC235" i="25"/>
  <c r="BT235" i="25" s="1"/>
  <c r="BC309" i="25"/>
  <c r="BT309" i="25" s="1"/>
  <c r="BB309" i="25"/>
  <c r="BS309" i="25" s="1"/>
  <c r="BA309" i="25"/>
  <c r="BC251" i="25"/>
  <c r="BT251" i="25" s="1"/>
  <c r="BA251" i="25"/>
  <c r="BB251" i="25"/>
  <c r="BS251" i="25" s="1"/>
  <c r="BG252" i="24"/>
  <c r="BS252" i="24"/>
  <c r="BX252" i="24" s="1"/>
  <c r="BN55" i="24"/>
  <c r="BY55" i="24"/>
  <c r="CA55" i="24" s="1"/>
  <c r="BG151" i="24"/>
  <c r="BS151" i="24"/>
  <c r="BX151" i="24" s="1"/>
  <c r="BR104" i="25"/>
  <c r="BV104" i="25" s="1"/>
  <c r="BX104" i="25" s="1"/>
  <c r="BE104" i="25"/>
  <c r="BK104" i="25" s="1"/>
  <c r="BA65" i="25"/>
  <c r="BB65" i="25"/>
  <c r="BS65" i="25" s="1"/>
  <c r="BC65" i="25"/>
  <c r="BT65" i="25" s="1"/>
  <c r="BN45" i="24"/>
  <c r="BY45" i="24"/>
  <c r="CA45" i="24" s="1"/>
  <c r="BS10" i="24"/>
  <c r="BV10" i="24" s="1"/>
  <c r="BX10" i="24" s="1"/>
  <c r="BG10" i="24"/>
  <c r="BM10" i="24" s="1"/>
  <c r="BA264" i="25"/>
  <c r="BC264" i="25"/>
  <c r="BT264" i="25" s="1"/>
  <c r="BB264" i="25"/>
  <c r="BS264" i="25" s="1"/>
  <c r="BE257" i="25"/>
  <c r="BR257" i="25"/>
  <c r="BX257" i="25" s="1"/>
  <c r="BA68" i="25"/>
  <c r="BC68" i="25"/>
  <c r="BT68" i="25" s="1"/>
  <c r="BB68" i="25"/>
  <c r="BS68" i="25" s="1"/>
  <c r="BE198" i="25"/>
  <c r="BR198" i="25"/>
  <c r="BX198" i="25" s="1"/>
  <c r="BG316" i="24"/>
  <c r="BS316" i="24"/>
  <c r="BX316" i="24" s="1"/>
  <c r="BA278" i="25"/>
  <c r="BB278" i="25"/>
  <c r="BS278" i="25" s="1"/>
  <c r="BC278" i="25"/>
  <c r="BT278" i="25" s="1"/>
  <c r="BC297" i="25"/>
  <c r="BT297" i="25" s="1"/>
  <c r="BB297" i="25"/>
  <c r="BS297" i="25" s="1"/>
  <c r="BA297" i="25"/>
  <c r="BG169" i="24"/>
  <c r="BS169" i="24"/>
  <c r="BX169" i="24" s="1"/>
  <c r="BS154" i="24"/>
  <c r="BX154" i="24" s="1"/>
  <c r="BG154" i="24"/>
  <c r="BA224" i="25"/>
  <c r="BC224" i="25"/>
  <c r="BT224" i="25" s="1"/>
  <c r="BB224" i="25"/>
  <c r="BS224" i="25" s="1"/>
  <c r="BY7" i="24"/>
  <c r="CA7" i="24" s="1"/>
  <c r="CB7" i="24" s="1"/>
  <c r="BN7" i="24"/>
  <c r="BB74" i="25"/>
  <c r="BS74" i="25" s="1"/>
  <c r="BC74" i="25"/>
  <c r="BT74" i="25" s="1"/>
  <c r="BA74" i="25"/>
  <c r="BG170" i="24"/>
  <c r="BS170" i="24"/>
  <c r="BX170" i="24" s="1"/>
  <c r="BM280" i="24"/>
  <c r="BN280" i="24" s="1"/>
  <c r="BE178" i="25"/>
  <c r="BR178" i="25"/>
  <c r="BX178" i="25" s="1"/>
  <c r="BG207" i="24"/>
  <c r="BS207" i="24"/>
  <c r="BX207" i="24" s="1"/>
  <c r="BA217" i="25"/>
  <c r="BB217" i="25"/>
  <c r="BS217" i="25" s="1"/>
  <c r="BC217" i="25"/>
  <c r="BT217" i="25" s="1"/>
  <c r="BG141" i="24"/>
  <c r="BS141" i="24"/>
  <c r="BX141" i="24" s="1"/>
  <c r="BA260" i="25"/>
  <c r="BC260" i="25"/>
  <c r="BT260" i="25" s="1"/>
  <c r="BB260" i="25"/>
  <c r="BS260" i="25" s="1"/>
  <c r="BA226" i="25"/>
  <c r="BC226" i="25"/>
  <c r="BT226" i="25" s="1"/>
  <c r="BB226" i="25"/>
  <c r="BS226" i="25" s="1"/>
  <c r="BR87" i="25"/>
  <c r="BV87" i="25" s="1"/>
  <c r="BX87" i="25" s="1"/>
  <c r="BE87" i="25"/>
  <c r="BK87" i="25" s="1"/>
  <c r="BA172" i="25"/>
  <c r="BC172" i="25"/>
  <c r="BT172" i="25" s="1"/>
  <c r="BB172" i="25"/>
  <c r="BS172" i="25" s="1"/>
  <c r="BG78" i="24"/>
  <c r="BM78" i="24" s="1"/>
  <c r="BS78" i="24"/>
  <c r="BV78" i="24" s="1"/>
  <c r="BX78" i="24" s="1"/>
  <c r="BA242" i="25"/>
  <c r="BC242" i="25"/>
  <c r="BT242" i="25" s="1"/>
  <c r="BB242" i="25"/>
  <c r="BS242" i="25" s="1"/>
  <c r="BG167" i="24"/>
  <c r="BS167" i="24"/>
  <c r="BX167" i="24" s="1"/>
  <c r="BE6" i="25"/>
  <c r="BK6" i="25" s="1"/>
  <c r="BR6" i="25"/>
  <c r="BV6" i="25" s="1"/>
  <c r="BX6" i="25" s="1"/>
  <c r="BC182" i="25"/>
  <c r="BT182" i="25" s="1"/>
  <c r="BB182" i="25"/>
  <c r="BS182" i="25" s="1"/>
  <c r="BA182" i="25"/>
  <c r="BN19" i="24"/>
  <c r="BG245" i="24"/>
  <c r="BS245" i="24"/>
  <c r="BX245" i="24" s="1"/>
  <c r="BG37" i="24"/>
  <c r="BM37" i="24" s="1"/>
  <c r="BS37" i="24"/>
  <c r="BV37" i="24" s="1"/>
  <c r="BX37" i="24" s="1"/>
  <c r="BC227" i="25"/>
  <c r="BT227" i="25" s="1"/>
  <c r="BB227" i="25"/>
  <c r="BS227" i="25" s="1"/>
  <c r="BA227" i="25"/>
  <c r="U323" i="29"/>
  <c r="V323" i="29"/>
  <c r="BC312" i="25"/>
  <c r="BT312" i="25" s="1"/>
  <c r="BA312" i="25"/>
  <c r="BB312" i="25"/>
  <c r="BS312" i="25" s="1"/>
  <c r="BG237" i="24"/>
  <c r="BS237" i="24"/>
  <c r="BX237" i="24" s="1"/>
  <c r="BC269" i="25"/>
  <c r="BT269" i="25" s="1"/>
  <c r="BB269" i="25"/>
  <c r="BS269" i="25" s="1"/>
  <c r="BA269" i="25"/>
  <c r="BE147" i="25"/>
  <c r="BR147" i="25"/>
  <c r="BX147" i="25" s="1"/>
  <c r="BL129" i="25"/>
  <c r="BY129" i="25"/>
  <c r="CA129" i="25" s="1"/>
  <c r="CB129" i="25" s="1"/>
  <c r="BK129" i="25"/>
  <c r="BG226" i="24"/>
  <c r="BS226" i="24"/>
  <c r="BX226" i="24" s="1"/>
  <c r="BC78" i="25"/>
  <c r="BT78" i="25" s="1"/>
  <c r="BA78" i="25"/>
  <c r="BB78" i="25"/>
  <c r="BS78" i="25" s="1"/>
  <c r="BC138" i="25"/>
  <c r="BT138" i="25" s="1"/>
  <c r="BB138" i="25"/>
  <c r="BS138" i="25" s="1"/>
  <c r="BA138" i="25"/>
  <c r="BR158" i="25"/>
  <c r="BX158" i="25" s="1"/>
  <c r="BE158" i="25"/>
  <c r="BM298" i="24"/>
  <c r="BN298" i="24" s="1"/>
  <c r="BA166" i="25"/>
  <c r="BC166" i="25"/>
  <c r="BT166" i="25" s="1"/>
  <c r="BB166" i="25"/>
  <c r="BS166" i="25" s="1"/>
  <c r="BC149" i="25"/>
  <c r="BT149" i="25" s="1"/>
  <c r="BB149" i="25"/>
  <c r="BS149" i="25" s="1"/>
  <c r="BA149" i="25"/>
  <c r="BG128" i="24"/>
  <c r="BS128" i="24"/>
  <c r="BX128" i="24" s="1"/>
  <c r="BB266" i="25"/>
  <c r="BS266" i="25" s="1"/>
  <c r="BC266" i="25"/>
  <c r="BT266" i="25" s="1"/>
  <c r="BA266" i="25"/>
  <c r="BB69" i="25"/>
  <c r="BS69" i="25" s="1"/>
  <c r="BC69" i="25"/>
  <c r="BT69" i="25" s="1"/>
  <c r="BA69" i="25"/>
  <c r="BS61" i="24"/>
  <c r="BV61" i="24" s="1"/>
  <c r="BX61" i="24" s="1"/>
  <c r="BG61" i="24"/>
  <c r="BM61" i="24" s="1"/>
  <c r="BG263" i="24"/>
  <c r="BS263" i="24"/>
  <c r="BX263" i="24" s="1"/>
  <c r="BC81" i="25"/>
  <c r="BT81" i="25" s="1"/>
  <c r="BA81" i="25"/>
  <c r="BB81" i="25"/>
  <c r="BS81" i="25" s="1"/>
  <c r="BG234" i="24"/>
  <c r="BS234" i="24"/>
  <c r="BX234" i="24" s="1"/>
  <c r="BY160" i="24"/>
  <c r="CA160" i="24" s="1"/>
  <c r="CB160" i="24" s="1"/>
  <c r="BM160" i="24"/>
  <c r="BN160" i="24" s="1"/>
  <c r="BA244" i="25"/>
  <c r="BC244" i="25"/>
  <c r="BT244" i="25" s="1"/>
  <c r="BB244" i="25"/>
  <c r="BS244" i="25" s="1"/>
  <c r="BB130" i="25"/>
  <c r="BS130" i="25" s="1"/>
  <c r="BC130" i="25"/>
  <c r="BT130" i="25" s="1"/>
  <c r="BA130" i="25"/>
  <c r="BB55" i="25"/>
  <c r="BS55" i="25" s="1"/>
  <c r="BA55" i="25"/>
  <c r="BC55" i="25"/>
  <c r="BT55" i="25" s="1"/>
  <c r="BG183" i="24"/>
  <c r="BS183" i="24"/>
  <c r="BX183" i="24" s="1"/>
  <c r="BC239" i="25"/>
  <c r="BT239" i="25" s="1"/>
  <c r="BB239" i="25"/>
  <c r="BS239" i="25" s="1"/>
  <c r="BA239" i="25"/>
  <c r="BG278" i="24"/>
  <c r="BS278" i="24"/>
  <c r="BX278" i="24" s="1"/>
  <c r="BG139" i="24"/>
  <c r="BS139" i="24"/>
  <c r="BX139" i="24" s="1"/>
  <c r="BA43" i="25"/>
  <c r="BB43" i="25"/>
  <c r="BS43" i="25" s="1"/>
  <c r="BC43" i="25"/>
  <c r="BT43" i="25" s="1"/>
  <c r="BG188" i="24"/>
  <c r="BS188" i="24"/>
  <c r="BX188" i="24" s="1"/>
  <c r="BC42" i="25"/>
  <c r="BT42" i="25" s="1"/>
  <c r="BB42" i="25"/>
  <c r="BS42" i="25" s="1"/>
  <c r="BA42" i="25"/>
  <c r="B159" i="2"/>
  <c r="AY105" i="25"/>
  <c r="BG208" i="24"/>
  <c r="BS208" i="24"/>
  <c r="BX208" i="24" s="1"/>
  <c r="BG300" i="24"/>
  <c r="BS300" i="24"/>
  <c r="BX300" i="24" s="1"/>
  <c r="BG289" i="24"/>
  <c r="BS289" i="24"/>
  <c r="BX289" i="24" s="1"/>
  <c r="BC23" i="25"/>
  <c r="BT23" i="25" s="1"/>
  <c r="BB23" i="25"/>
  <c r="BS23" i="25" s="1"/>
  <c r="BA23" i="25"/>
  <c r="BA313" i="25"/>
  <c r="BC313" i="25"/>
  <c r="BT313" i="25" s="1"/>
  <c r="BB313" i="25"/>
  <c r="BS313" i="25" s="1"/>
  <c r="BE161" i="25"/>
  <c r="BR161" i="25"/>
  <c r="BX161" i="25" s="1"/>
  <c r="BA277" i="25"/>
  <c r="BB277" i="25"/>
  <c r="BS277" i="25" s="1"/>
  <c r="BC277" i="25"/>
  <c r="BT277" i="25" s="1"/>
  <c r="BE259" i="25"/>
  <c r="BR259" i="25"/>
  <c r="BX259" i="25" s="1"/>
  <c r="BL110" i="25"/>
  <c r="BY110" i="25"/>
  <c r="CA110" i="25" s="1"/>
  <c r="CB110" i="25" s="1"/>
  <c r="BK110" i="25"/>
  <c r="BA72" i="25"/>
  <c r="BC72" i="25"/>
  <c r="BT72" i="25" s="1"/>
  <c r="BB72" i="25"/>
  <c r="BS72" i="25" s="1"/>
  <c r="BG89" i="24"/>
  <c r="BM89" i="24" s="1"/>
  <c r="BS89" i="24"/>
  <c r="BV89" i="24" s="1"/>
  <c r="BX89" i="24" s="1"/>
  <c r="BG131" i="24"/>
  <c r="BS131" i="24"/>
  <c r="BX131" i="24" s="1"/>
  <c r="BS290" i="24"/>
  <c r="BX290" i="24" s="1"/>
  <c r="BG290" i="24"/>
  <c r="BG156" i="24"/>
  <c r="BS156" i="24"/>
  <c r="BX156" i="24" s="1"/>
  <c r="BG301" i="24"/>
  <c r="BS301" i="24"/>
  <c r="BX301" i="24" s="1"/>
  <c r="BC256" i="25"/>
  <c r="BT256" i="25" s="1"/>
  <c r="BB256" i="25"/>
  <c r="BS256" i="25" s="1"/>
  <c r="BA256" i="25"/>
  <c r="BM299" i="24"/>
  <c r="BN299" i="24" s="1"/>
  <c r="BA33" i="25"/>
  <c r="BB33" i="25"/>
  <c r="BS33" i="25" s="1"/>
  <c r="BC33" i="25"/>
  <c r="BT33" i="25" s="1"/>
  <c r="BC236" i="25"/>
  <c r="BT236" i="25" s="1"/>
  <c r="BA236" i="25"/>
  <c r="BB236" i="25"/>
  <c r="BS236" i="25" s="1"/>
  <c r="BG229" i="24"/>
  <c r="BS229" i="24"/>
  <c r="BX229" i="24" s="1"/>
  <c r="BE204" i="25"/>
  <c r="BR204" i="25"/>
  <c r="BX204" i="25" s="1"/>
  <c r="BE283" i="25"/>
  <c r="BR283" i="25"/>
  <c r="BX283" i="25" s="1"/>
  <c r="BG178" i="24"/>
  <c r="BS178" i="24"/>
  <c r="BX178" i="24" s="1"/>
  <c r="BA221" i="25"/>
  <c r="BB221" i="25"/>
  <c r="BS221" i="25" s="1"/>
  <c r="BC221" i="25"/>
  <c r="BT221" i="25" s="1"/>
  <c r="BG308" i="24"/>
  <c r="BS308" i="24"/>
  <c r="BX308" i="24" s="1"/>
  <c r="BR167" i="25"/>
  <c r="BX167" i="25" s="1"/>
  <c r="BE167" i="25"/>
  <c r="BS64" i="24"/>
  <c r="BV64" i="24" s="1"/>
  <c r="BX64" i="24" s="1"/>
  <c r="BG64" i="24"/>
  <c r="BM64" i="24" s="1"/>
  <c r="BE94" i="25"/>
  <c r="BK94" i="25" s="1"/>
  <c r="BR94" i="25"/>
  <c r="BV94" i="25" s="1"/>
  <c r="BX94" i="25" s="1"/>
  <c r="BA231" i="25"/>
  <c r="BB231" i="25"/>
  <c r="BS231" i="25" s="1"/>
  <c r="BC231" i="25"/>
  <c r="BT231" i="25" s="1"/>
  <c r="BA9" i="25"/>
  <c r="BB9" i="25"/>
  <c r="BS9" i="25" s="1"/>
  <c r="BC9" i="25"/>
  <c r="BT9" i="25" s="1"/>
  <c r="BY248" i="24"/>
  <c r="CA248" i="24" s="1"/>
  <c r="CB248" i="24" s="1"/>
  <c r="BM248" i="24"/>
  <c r="BN248" i="24" s="1"/>
  <c r="BS88" i="24"/>
  <c r="BV88" i="24" s="1"/>
  <c r="BX88" i="24" s="1"/>
  <c r="BG88" i="24"/>
  <c r="BM88" i="24" s="1"/>
  <c r="BG77" i="24"/>
  <c r="BM77" i="24" s="1"/>
  <c r="BS77" i="24"/>
  <c r="BV77" i="24" s="1"/>
  <c r="BX77" i="24" s="1"/>
  <c r="BA159" i="25"/>
  <c r="BB159" i="25"/>
  <c r="BS159" i="25" s="1"/>
  <c r="BC159" i="25"/>
  <c r="BT159" i="25" s="1"/>
  <c r="BR206" i="25"/>
  <c r="BX206" i="25" s="1"/>
  <c r="BE206" i="25"/>
  <c r="BC25" i="25"/>
  <c r="BT25" i="25" s="1"/>
  <c r="BB25" i="25"/>
  <c r="BS25" i="25" s="1"/>
  <c r="BA25" i="25"/>
  <c r="BM242" i="24"/>
  <c r="BN242" i="24" s="1"/>
  <c r="BM253" i="24"/>
  <c r="BN253" i="24" s="1"/>
  <c r="BE293" i="25"/>
  <c r="BR293" i="25"/>
  <c r="BX293" i="25" s="1"/>
  <c r="BG287" i="24"/>
  <c r="BS287" i="24"/>
  <c r="BX287" i="24" s="1"/>
  <c r="BC18" i="25"/>
  <c r="BT18" i="25" s="1"/>
  <c r="BB18" i="25"/>
  <c r="BS18" i="25" s="1"/>
  <c r="BA18" i="25"/>
  <c r="BG225" i="24"/>
  <c r="BS225" i="24"/>
  <c r="BX225" i="24" s="1"/>
  <c r="BA274" i="25"/>
  <c r="BB274" i="25"/>
  <c r="BS274" i="25" s="1"/>
  <c r="BC274" i="25"/>
  <c r="BT274" i="25" s="1"/>
  <c r="BC233" i="25"/>
  <c r="BT233" i="25" s="1"/>
  <c r="BA233" i="25"/>
  <c r="BB233" i="25"/>
  <c r="BS233" i="25" s="1"/>
  <c r="BG11" i="24"/>
  <c r="BM11" i="24" s="1"/>
  <c r="BS11" i="24"/>
  <c r="BV11" i="24" s="1"/>
  <c r="BX11" i="24" s="1"/>
  <c r="BS134" i="24"/>
  <c r="BX134" i="24" s="1"/>
  <c r="BG134" i="24"/>
  <c r="BB185" i="25"/>
  <c r="BS185" i="25" s="1"/>
  <c r="BC185" i="25"/>
  <c r="BT185" i="25" s="1"/>
  <c r="BA185" i="25"/>
  <c r="BE232" i="25"/>
  <c r="BR232" i="25"/>
  <c r="BX232" i="25" s="1"/>
  <c r="V437" i="29"/>
  <c r="U437" i="29"/>
  <c r="U509" i="29"/>
  <c r="V509" i="29"/>
  <c r="U124" i="29"/>
  <c r="V124" i="29"/>
  <c r="U537" i="29"/>
  <c r="V537" i="29"/>
  <c r="BN33" i="24"/>
  <c r="BC128" i="25"/>
  <c r="BT128" i="25" s="1"/>
  <c r="BA128" i="25"/>
  <c r="BB128" i="25"/>
  <c r="BS128" i="25" s="1"/>
  <c r="BB194" i="25"/>
  <c r="BS194" i="25" s="1"/>
  <c r="BC194" i="25"/>
  <c r="BT194" i="25" s="1"/>
  <c r="BA194" i="25"/>
  <c r="BG204" i="24"/>
  <c r="BS204" i="24"/>
  <c r="BX204" i="24" s="1"/>
  <c r="BG166" i="24"/>
  <c r="BS166" i="24"/>
  <c r="BX166" i="24" s="1"/>
  <c r="BB136" i="25"/>
  <c r="BS136" i="25" s="1"/>
  <c r="BC136" i="25"/>
  <c r="BT136" i="25" s="1"/>
  <c r="BA136" i="25"/>
  <c r="BA100" i="25"/>
  <c r="BB100" i="25"/>
  <c r="BS100" i="25" s="1"/>
  <c r="BC100" i="25"/>
  <c r="BT100" i="25" s="1"/>
  <c r="BG161" i="24"/>
  <c r="BS161" i="24"/>
  <c r="BX161" i="24" s="1"/>
  <c r="BB48" i="25"/>
  <c r="BS48" i="25" s="1"/>
  <c r="BA48" i="25"/>
  <c r="BC48" i="25"/>
  <c r="BT48" i="25" s="1"/>
  <c r="BY132" i="24"/>
  <c r="CA132" i="24" s="1"/>
  <c r="BM132" i="24"/>
  <c r="BN132" i="24" s="1"/>
  <c r="BS273" i="24"/>
  <c r="BX273" i="24" s="1"/>
  <c r="BG273" i="24"/>
  <c r="BE189" i="25"/>
  <c r="BR189" i="25"/>
  <c r="BX189" i="25" s="1"/>
  <c r="BA124" i="25"/>
  <c r="BC124" i="25"/>
  <c r="BT124" i="25" s="1"/>
  <c r="BB124" i="25"/>
  <c r="BS124" i="25" s="1"/>
  <c r="BS38" i="24"/>
  <c r="BV38" i="24" s="1"/>
  <c r="BX38" i="24" s="1"/>
  <c r="BG38" i="24"/>
  <c r="BM38" i="24" s="1"/>
  <c r="BA67" i="25"/>
  <c r="BC67" i="25"/>
  <c r="BT67" i="25" s="1"/>
  <c r="BB67" i="25"/>
  <c r="BS67" i="25" s="1"/>
  <c r="BG14" i="24"/>
  <c r="BM14" i="24" s="1"/>
  <c r="BS14" i="24"/>
  <c r="BV14" i="24" s="1"/>
  <c r="BX14" i="24" s="1"/>
  <c r="BG137" i="24"/>
  <c r="BS137" i="24"/>
  <c r="BX137" i="24" s="1"/>
  <c r="BY162" i="24"/>
  <c r="CA162" i="24" s="1"/>
  <c r="BM162" i="24"/>
  <c r="BN162" i="24" s="1"/>
  <c r="BG122" i="24"/>
  <c r="BS122" i="24"/>
  <c r="BX122" i="24" s="1"/>
  <c r="BA270" i="25"/>
  <c r="BC270" i="25"/>
  <c r="BT270" i="25" s="1"/>
  <c r="BB270" i="25"/>
  <c r="BS270" i="25" s="1"/>
  <c r="BY111" i="24"/>
  <c r="CA111" i="24" s="1"/>
  <c r="BM111" i="24"/>
  <c r="BN111" i="24" s="1"/>
  <c r="BS256" i="24"/>
  <c r="BX256" i="24" s="1"/>
  <c r="BG256" i="24"/>
  <c r="BE276" i="25"/>
  <c r="BR276" i="25"/>
  <c r="BX276" i="25" s="1"/>
  <c r="BG75" i="24"/>
  <c r="BM75" i="24" s="1"/>
  <c r="BS75" i="24"/>
  <c r="BV75" i="24" s="1"/>
  <c r="BX75" i="24" s="1"/>
  <c r="BB241" i="25"/>
  <c r="BS241" i="25" s="1"/>
  <c r="BC241" i="25"/>
  <c r="BT241" i="25" s="1"/>
  <c r="BA241" i="25"/>
  <c r="BY119" i="24"/>
  <c r="CA119" i="24" s="1"/>
  <c r="BM119" i="24"/>
  <c r="BN119" i="24" s="1"/>
  <c r="BG31" i="24"/>
  <c r="BM31" i="24" s="1"/>
  <c r="BS31" i="24"/>
  <c r="BV31" i="24" s="1"/>
  <c r="BX31" i="24" s="1"/>
  <c r="BB139" i="25"/>
  <c r="BS139" i="25" s="1"/>
  <c r="BC139" i="25"/>
  <c r="BT139" i="25" s="1"/>
  <c r="BA139" i="25"/>
  <c r="BS29" i="24"/>
  <c r="BV29" i="24" s="1"/>
  <c r="BX29" i="24" s="1"/>
  <c r="BG29" i="24"/>
  <c r="BM29" i="24" s="1"/>
  <c r="BY259" i="24"/>
  <c r="CA259" i="24" s="1"/>
  <c r="CB259" i="24" s="1"/>
  <c r="BM259" i="24"/>
  <c r="BN259" i="24" s="1"/>
  <c r="BA223" i="25"/>
  <c r="BC223" i="25"/>
  <c r="BT223" i="25" s="1"/>
  <c r="BB223" i="25"/>
  <c r="BS223" i="25" s="1"/>
  <c r="BA102" i="25"/>
  <c r="BB102" i="25"/>
  <c r="BS102" i="25" s="1"/>
  <c r="BC102" i="25"/>
  <c r="BT102" i="25" s="1"/>
  <c r="BA188" i="25"/>
  <c r="BC188" i="25"/>
  <c r="BT188" i="25" s="1"/>
  <c r="BB188" i="25"/>
  <c r="BS188" i="25" s="1"/>
  <c r="BG187" i="24"/>
  <c r="BS187" i="24"/>
  <c r="BX187" i="24" s="1"/>
  <c r="BE96" i="25"/>
  <c r="BK96" i="25" s="1"/>
  <c r="BR96" i="25"/>
  <c r="BV96" i="25" s="1"/>
  <c r="BX96" i="25" s="1"/>
  <c r="BA284" i="25"/>
  <c r="BB284" i="25"/>
  <c r="BS284" i="25" s="1"/>
  <c r="BC284" i="25"/>
  <c r="BT284" i="25" s="1"/>
  <c r="BC44" i="25"/>
  <c r="BT44" i="25" s="1"/>
  <c r="BB44" i="25"/>
  <c r="BS44" i="25" s="1"/>
  <c r="BA44" i="25"/>
  <c r="BG217" i="24"/>
  <c r="BS217" i="24"/>
  <c r="BX217" i="24" s="1"/>
  <c r="BE148" i="25"/>
  <c r="BR148" i="25"/>
  <c r="BX148" i="25" s="1"/>
  <c r="BB36" i="25"/>
  <c r="BS36" i="25" s="1"/>
  <c r="BA36" i="25"/>
  <c r="BC36" i="25"/>
  <c r="BT36" i="25" s="1"/>
  <c r="BG159" i="24"/>
  <c r="BS159" i="24"/>
  <c r="BX159" i="24" s="1"/>
  <c r="BA80" i="25"/>
  <c r="BB80" i="25"/>
  <c r="BS80" i="25" s="1"/>
  <c r="BC80" i="25"/>
  <c r="BT80" i="25" s="1"/>
  <c r="BB37" i="25"/>
  <c r="BS37" i="25" s="1"/>
  <c r="BC37" i="25"/>
  <c r="BT37" i="25" s="1"/>
  <c r="BA37" i="25"/>
  <c r="BG193" i="24"/>
  <c r="BS193" i="24"/>
  <c r="BX193" i="24" s="1"/>
  <c r="BA200" i="25"/>
  <c r="BB200" i="25"/>
  <c r="BS200" i="25" s="1"/>
  <c r="BC200" i="25"/>
  <c r="BT200" i="25" s="1"/>
  <c r="BS27" i="24"/>
  <c r="BV27" i="24" s="1"/>
  <c r="BX27" i="24" s="1"/>
  <c r="BG27" i="24"/>
  <c r="BM27" i="24" s="1"/>
  <c r="BB15" i="25"/>
  <c r="BS15" i="25" s="1"/>
  <c r="BC15" i="25"/>
  <c r="BT15" i="25" s="1"/>
  <c r="BA15" i="25"/>
  <c r="BE113" i="25"/>
  <c r="BR113" i="25"/>
  <c r="BX113" i="25" s="1"/>
  <c r="BG98" i="24"/>
  <c r="BM98" i="24" s="1"/>
  <c r="BS98" i="24"/>
  <c r="BV98" i="24" s="1"/>
  <c r="BX98" i="24" s="1"/>
  <c r="BG164" i="24"/>
  <c r="BS164" i="24"/>
  <c r="BX164" i="24" s="1"/>
  <c r="BE97" i="25"/>
  <c r="BK97" i="25" s="1"/>
  <c r="BR97" i="25"/>
  <c r="BV97" i="25" s="1"/>
  <c r="BX97" i="25" s="1"/>
  <c r="BG235" i="24"/>
  <c r="BS235" i="24"/>
  <c r="BX235" i="24" s="1"/>
  <c r="BA121" i="25"/>
  <c r="BB121" i="25"/>
  <c r="BS121" i="25" s="1"/>
  <c r="BC121" i="25"/>
  <c r="BT121" i="25" s="1"/>
  <c r="BB219" i="25"/>
  <c r="BS219" i="25" s="1"/>
  <c r="BC219" i="25"/>
  <c r="BT219" i="25" s="1"/>
  <c r="BA219" i="25"/>
  <c r="BG102" i="24"/>
  <c r="BM102" i="24" s="1"/>
  <c r="BS102" i="24"/>
  <c r="BV102" i="24" s="1"/>
  <c r="BX102" i="24" s="1"/>
  <c r="BG291" i="24"/>
  <c r="BS291" i="24"/>
  <c r="BX291" i="24" s="1"/>
  <c r="BS80" i="24"/>
  <c r="BV80" i="24" s="1"/>
  <c r="BX80" i="24" s="1"/>
  <c r="BG80" i="24"/>
  <c r="BM80" i="24" s="1"/>
  <c r="BA88" i="25"/>
  <c r="BC88" i="25"/>
  <c r="BT88" i="25" s="1"/>
  <c r="BB88" i="25"/>
  <c r="BS88" i="25" s="1"/>
  <c r="BA117" i="25"/>
  <c r="BC117" i="25"/>
  <c r="BT117" i="25" s="1"/>
  <c r="BB117" i="25"/>
  <c r="BS117" i="25" s="1"/>
  <c r="BB99" i="25"/>
  <c r="BS99" i="25" s="1"/>
  <c r="BC99" i="25"/>
  <c r="BT99" i="25" s="1"/>
  <c r="BA99" i="25"/>
  <c r="BA316" i="25"/>
  <c r="BC316" i="25"/>
  <c r="BT316" i="25" s="1"/>
  <c r="BB316" i="25"/>
  <c r="BS316" i="25" s="1"/>
  <c r="BC39" i="25"/>
  <c r="BT39" i="25" s="1"/>
  <c r="BA39" i="25"/>
  <c r="BB39" i="25"/>
  <c r="BS39" i="25" s="1"/>
  <c r="BG277" i="24"/>
  <c r="BS277" i="24"/>
  <c r="BX277" i="24" s="1"/>
  <c r="BS92" i="24"/>
  <c r="BV92" i="24" s="1"/>
  <c r="BX92" i="24" s="1"/>
  <c r="BG92" i="24"/>
  <c r="BM92" i="24" s="1"/>
  <c r="BM112" i="24"/>
  <c r="BN112" i="24" s="1"/>
  <c r="BY135" i="24"/>
  <c r="CA135" i="24" s="1"/>
  <c r="BM135" i="24"/>
  <c r="BN135" i="24" s="1"/>
  <c r="BA93" i="25"/>
  <c r="BC93" i="25"/>
  <c r="BT93" i="25" s="1"/>
  <c r="BB93" i="25"/>
  <c r="BS93" i="25" s="1"/>
  <c r="BG303" i="24"/>
  <c r="BS303" i="24"/>
  <c r="BX303" i="24" s="1"/>
  <c r="BS231" i="24"/>
  <c r="BX231" i="24" s="1"/>
  <c r="BG231" i="24"/>
  <c r="BM232" i="24"/>
  <c r="BN232" i="24" s="1"/>
  <c r="BG210" i="24"/>
  <c r="E19" i="1"/>
  <c r="BS210" i="24"/>
  <c r="BX210" i="24" s="1"/>
  <c r="BM247" i="24"/>
  <c r="BN247" i="24" s="1"/>
  <c r="BG150" i="24"/>
  <c r="BS150" i="24"/>
  <c r="BX150" i="24" s="1"/>
  <c r="BM305" i="24"/>
  <c r="BN305" i="24" s="1"/>
  <c r="BG315" i="24"/>
  <c r="BS315" i="24"/>
  <c r="BX315" i="24" s="1"/>
  <c r="BG146" i="24"/>
  <c r="BS146" i="24"/>
  <c r="BX146" i="24" s="1"/>
  <c r="BB299" i="25"/>
  <c r="BS299" i="25" s="1"/>
  <c r="BC299" i="25"/>
  <c r="BT299" i="25" s="1"/>
  <c r="BA299" i="25"/>
  <c r="BG254" i="24"/>
  <c r="BS254" i="24"/>
  <c r="BX254" i="24" s="1"/>
  <c r="V541" i="29"/>
  <c r="U541" i="29"/>
  <c r="U352" i="29"/>
  <c r="V352" i="29"/>
  <c r="V508" i="29"/>
  <c r="U508" i="29"/>
  <c r="U61" i="29"/>
  <c r="V61" i="29"/>
  <c r="BA165" i="25"/>
  <c r="BC165" i="25"/>
  <c r="BT165" i="25" s="1"/>
  <c r="BB165" i="25"/>
  <c r="BS165" i="25" s="1"/>
  <c r="BG172" i="24"/>
  <c r="BS172" i="24"/>
  <c r="BX172" i="24" s="1"/>
  <c r="BG165" i="24"/>
  <c r="BS165" i="24"/>
  <c r="BX165" i="24" s="1"/>
  <c r="BG239" i="24"/>
  <c r="BS239" i="24"/>
  <c r="BX239" i="24" s="1"/>
  <c r="BS72" i="24"/>
  <c r="BV72" i="24" s="1"/>
  <c r="BX72" i="24" s="1"/>
  <c r="BG72" i="24"/>
  <c r="BM72" i="24" s="1"/>
  <c r="BC191" i="25"/>
  <c r="BT191" i="25" s="1"/>
  <c r="BA191" i="25"/>
  <c r="BB191" i="25"/>
  <c r="BS191" i="25" s="1"/>
  <c r="BG143" i="24"/>
  <c r="BS143" i="24"/>
  <c r="BX143" i="24" s="1"/>
  <c r="BS57" i="24"/>
  <c r="BV57" i="24" s="1"/>
  <c r="BX57" i="24" s="1"/>
  <c r="BG57" i="24"/>
  <c r="BM57" i="24" s="1"/>
  <c r="BA58" i="25"/>
  <c r="BB58" i="25"/>
  <c r="BS58" i="25" s="1"/>
  <c r="BC58" i="25"/>
  <c r="BT58" i="25" s="1"/>
  <c r="BS83" i="24"/>
  <c r="BV83" i="24" s="1"/>
  <c r="BX83" i="24" s="1"/>
  <c r="BG83" i="24"/>
  <c r="BM83" i="24" s="1"/>
  <c r="BR199" i="25"/>
  <c r="BX199" i="25" s="1"/>
  <c r="BE199" i="25"/>
  <c r="BB225" i="25"/>
  <c r="BS225" i="25" s="1"/>
  <c r="BA225" i="25"/>
  <c r="BC225" i="25"/>
  <c r="BT225" i="25" s="1"/>
  <c r="BB187" i="25"/>
  <c r="BS187" i="25" s="1"/>
  <c r="BC187" i="25"/>
  <c r="BT187" i="25" s="1"/>
  <c r="BA187" i="25"/>
  <c r="BA245" i="25"/>
  <c r="BC245" i="25"/>
  <c r="BT245" i="25" s="1"/>
  <c r="BB245" i="25"/>
  <c r="BS245" i="25" s="1"/>
  <c r="BC115" i="25"/>
  <c r="BT115" i="25" s="1"/>
  <c r="BB115" i="25"/>
  <c r="BS115" i="25" s="1"/>
  <c r="BA115" i="25"/>
  <c r="BS48" i="24"/>
  <c r="BV48" i="24" s="1"/>
  <c r="BX48" i="24" s="1"/>
  <c r="BG48" i="24"/>
  <c r="BM48" i="24" s="1"/>
  <c r="BB279" i="25"/>
  <c r="BS279" i="25" s="1"/>
  <c r="BC279" i="25"/>
  <c r="BT279" i="25" s="1"/>
  <c r="BA279" i="25"/>
  <c r="BS100" i="24"/>
  <c r="BV100" i="24" s="1"/>
  <c r="BX100" i="24" s="1"/>
  <c r="BG100" i="24"/>
  <c r="BM100" i="24" s="1"/>
  <c r="BS16" i="24"/>
  <c r="BV16" i="24" s="1"/>
  <c r="BX16" i="24" s="1"/>
  <c r="BG16" i="24"/>
  <c r="BM16" i="24" s="1"/>
  <c r="BG313" i="24"/>
  <c r="BS313" i="24"/>
  <c r="BX313" i="24" s="1"/>
  <c r="BS51" i="24"/>
  <c r="BV51" i="24" s="1"/>
  <c r="BX51" i="24" s="1"/>
  <c r="BG51" i="24"/>
  <c r="BM51" i="24" s="1"/>
  <c r="BG311" i="24"/>
  <c r="BS311" i="24"/>
  <c r="BX311" i="24" s="1"/>
  <c r="BB85" i="25"/>
  <c r="BS85" i="25" s="1"/>
  <c r="BC85" i="25"/>
  <c r="BT85" i="25" s="1"/>
  <c r="BA85" i="25"/>
  <c r="BE292" i="25"/>
  <c r="BR292" i="25"/>
  <c r="BX292" i="25" s="1"/>
  <c r="BG306" i="24"/>
  <c r="BS306" i="24"/>
  <c r="BX306" i="24" s="1"/>
  <c r="BB66" i="25"/>
  <c r="BS66" i="25" s="1"/>
  <c r="BA66" i="25"/>
  <c r="BC66" i="25"/>
  <c r="BT66" i="25" s="1"/>
  <c r="CB224" i="24" l="1"/>
  <c r="CF224" i="24"/>
  <c r="AP212" i="25"/>
  <c r="BG212" i="25"/>
  <c r="V63" i="29"/>
  <c r="U584" i="29"/>
  <c r="U380" i="29"/>
  <c r="AG380" i="29" s="1"/>
  <c r="V591" i="29"/>
  <c r="X591" i="29" s="1"/>
  <c r="Y591" i="29" s="1"/>
  <c r="U483" i="29"/>
  <c r="W483" i="29" s="1"/>
  <c r="U576" i="29"/>
  <c r="W576" i="29" s="1"/>
  <c r="CB132" i="24"/>
  <c r="CF132" i="24"/>
  <c r="CB233" i="24"/>
  <c r="CF233" i="24"/>
  <c r="CB21" i="24"/>
  <c r="CF21" i="24"/>
  <c r="CB22" i="24"/>
  <c r="CF22" i="24"/>
  <c r="CB119" i="24"/>
  <c r="CF119" i="24"/>
  <c r="U163" i="29"/>
  <c r="AG163" i="29" s="1"/>
  <c r="CB111" i="24"/>
  <c r="CF111" i="24"/>
  <c r="V536" i="29"/>
  <c r="AH536" i="29" s="1"/>
  <c r="V551" i="29"/>
  <c r="AH551" i="29" s="1"/>
  <c r="BR265" i="25"/>
  <c r="BX265" i="25" s="1"/>
  <c r="V485" i="29"/>
  <c r="X485" i="29" s="1"/>
  <c r="Y485" i="29" s="1"/>
  <c r="V445" i="29"/>
  <c r="X445" i="29" s="1"/>
  <c r="Y445" i="29" s="1"/>
  <c r="V371" i="29"/>
  <c r="AH371" i="29" s="1"/>
  <c r="BM120" i="24"/>
  <c r="BN120" i="24" s="1"/>
  <c r="U225" i="29"/>
  <c r="AG225" i="29" s="1"/>
  <c r="V393" i="29"/>
  <c r="AH393" i="29" s="1"/>
  <c r="V478" i="29"/>
  <c r="AH478" i="29" s="1"/>
  <c r="U24" i="29"/>
  <c r="W24" i="29" s="1"/>
  <c r="V74" i="29"/>
  <c r="AH74" i="29" s="1"/>
  <c r="V304" i="29"/>
  <c r="X304" i="29" s="1"/>
  <c r="Y304" i="29" s="1"/>
  <c r="V66" i="29"/>
  <c r="AH66" i="29" s="1"/>
  <c r="V271" i="29"/>
  <c r="X271" i="29" s="1"/>
  <c r="Y271" i="29" s="1"/>
  <c r="U566" i="29"/>
  <c r="AG566" i="29" s="1"/>
  <c r="U148" i="29"/>
  <c r="W148" i="29" s="1"/>
  <c r="V212" i="29"/>
  <c r="AH212" i="29" s="1"/>
  <c r="V181" i="29"/>
  <c r="AH181" i="29" s="1"/>
  <c r="U223" i="29"/>
  <c r="AG223" i="29" s="1"/>
  <c r="U261" i="29"/>
  <c r="AG261" i="29" s="1"/>
  <c r="V59" i="29"/>
  <c r="AH59" i="29" s="1"/>
  <c r="U137" i="29"/>
  <c r="AG137" i="29" s="1"/>
  <c r="V206" i="29"/>
  <c r="AH206" i="29" s="1"/>
  <c r="U279" i="29"/>
  <c r="W279" i="29" s="1"/>
  <c r="V374" i="29"/>
  <c r="X374" i="29" s="1"/>
  <c r="Y374" i="29" s="1"/>
  <c r="U253" i="29"/>
  <c r="AG253" i="29" s="1"/>
  <c r="U113" i="29"/>
  <c r="AG113" i="29" s="1"/>
  <c r="V159" i="29"/>
  <c r="X159" i="29" s="1"/>
  <c r="Y159" i="29" s="1"/>
  <c r="V602" i="29"/>
  <c r="AH602" i="29" s="1"/>
  <c r="U248" i="29"/>
  <c r="W248" i="29" s="1"/>
  <c r="U64" i="29"/>
  <c r="W64" i="29" s="1"/>
  <c r="V337" i="29"/>
  <c r="AH337" i="29" s="1"/>
  <c r="V363" i="29"/>
  <c r="AH363" i="29" s="1"/>
  <c r="V106" i="29"/>
  <c r="AH106" i="29" s="1"/>
  <c r="U606" i="29"/>
  <c r="W606" i="29" s="1"/>
  <c r="V46" i="29"/>
  <c r="X46" i="29" s="1"/>
  <c r="Y46" i="29" s="1"/>
  <c r="BY219" i="24"/>
  <c r="CA219" i="24" s="1"/>
  <c r="CB219" i="24" s="1"/>
  <c r="BM283" i="24"/>
  <c r="BN283" i="24" s="1"/>
  <c r="BY295" i="24"/>
  <c r="CA295" i="24" s="1"/>
  <c r="CB295" i="24" s="1"/>
  <c r="U85" i="29"/>
  <c r="W85" i="29" s="1"/>
  <c r="CB257" i="24"/>
  <c r="CF257" i="24"/>
  <c r="CB101" i="24"/>
  <c r="CF101" i="24"/>
  <c r="CB191" i="24"/>
  <c r="CF191" i="24"/>
  <c r="BY147" i="24"/>
  <c r="CA147" i="24" s="1"/>
  <c r="CB147" i="24" s="1"/>
  <c r="BY12" i="24"/>
  <c r="CA12" i="24" s="1"/>
  <c r="CB12" i="24" s="1"/>
  <c r="BY242" i="24"/>
  <c r="CA242" i="24" s="1"/>
  <c r="CB242" i="24" s="1"/>
  <c r="BY121" i="24"/>
  <c r="CA121" i="24" s="1"/>
  <c r="CB121" i="24" s="1"/>
  <c r="V71" i="29"/>
  <c r="X71" i="29" s="1"/>
  <c r="Y71" i="29" s="1"/>
  <c r="BN18" i="24"/>
  <c r="U19" i="29"/>
  <c r="AG19" i="29" s="1"/>
  <c r="V604" i="29"/>
  <c r="X604" i="29" s="1"/>
  <c r="Y604" i="29" s="1"/>
  <c r="U266" i="29"/>
  <c r="W266" i="29" s="1"/>
  <c r="BR154" i="25"/>
  <c r="BX154" i="25" s="1"/>
  <c r="BY265" i="24"/>
  <c r="CA265" i="24" s="1"/>
  <c r="CB265" i="24" s="1"/>
  <c r="U603" i="29"/>
  <c r="AG603" i="29" s="1"/>
  <c r="V309" i="29"/>
  <c r="AH309" i="29" s="1"/>
  <c r="U379" i="29"/>
  <c r="W379" i="29" s="1"/>
  <c r="U338" i="29"/>
  <c r="W338" i="29" s="1"/>
  <c r="U507" i="29"/>
  <c r="AG507" i="29" s="1"/>
  <c r="BY112" i="24"/>
  <c r="CA112" i="24" s="1"/>
  <c r="CB112" i="24" s="1"/>
  <c r="U284" i="29"/>
  <c r="W284" i="29" s="1"/>
  <c r="BX130" i="24"/>
  <c r="U322" i="29"/>
  <c r="AG322" i="29" s="1"/>
  <c r="V384" i="29"/>
  <c r="AH384" i="29" s="1"/>
  <c r="V168" i="29"/>
  <c r="X168" i="29" s="1"/>
  <c r="Y168" i="29" s="1"/>
  <c r="U186" i="29"/>
  <c r="W186" i="29" s="1"/>
  <c r="U105" i="29"/>
  <c r="W105" i="29" s="1"/>
  <c r="V205" i="29"/>
  <c r="X205" i="29" s="1"/>
  <c r="Y205" i="29" s="1"/>
  <c r="U562" i="29"/>
  <c r="AG562" i="29" s="1"/>
  <c r="U198" i="29"/>
  <c r="AG198" i="29" s="1"/>
  <c r="V367" i="29"/>
  <c r="AH367" i="29" s="1"/>
  <c r="V578" i="29"/>
  <c r="AH578" i="29" s="1"/>
  <c r="U608" i="29"/>
  <c r="W608" i="29" s="1"/>
  <c r="BY6" i="24"/>
  <c r="CA6" i="24" s="1"/>
  <c r="U373" i="29"/>
  <c r="AG373" i="29" s="1"/>
  <c r="V391" i="29"/>
  <c r="AH391" i="29" s="1"/>
  <c r="V257" i="29"/>
  <c r="AH257" i="29" s="1"/>
  <c r="V22" i="29"/>
  <c r="X22" i="29" s="1"/>
  <c r="Y22" i="29" s="1"/>
  <c r="U511" i="29"/>
  <c r="W511" i="29" s="1"/>
  <c r="U417" i="29"/>
  <c r="W417" i="29" s="1"/>
  <c r="BY238" i="24"/>
  <c r="CA238" i="24" s="1"/>
  <c r="U207" i="29"/>
  <c r="AG207" i="29" s="1"/>
  <c r="U111" i="29"/>
  <c r="W111" i="29" s="1"/>
  <c r="V553" i="29"/>
  <c r="AH553" i="29" s="1"/>
  <c r="U362" i="29"/>
  <c r="W362" i="29" s="1"/>
  <c r="U343" i="29"/>
  <c r="AG343" i="29" s="1"/>
  <c r="V340" i="29"/>
  <c r="AH340" i="29" s="1"/>
  <c r="V54" i="29"/>
  <c r="AH54" i="29" s="1"/>
  <c r="BY279" i="24"/>
  <c r="CA279" i="24" s="1"/>
  <c r="CB279" i="24" s="1"/>
  <c r="U108" i="29"/>
  <c r="AG108" i="29" s="1"/>
  <c r="V358" i="29"/>
  <c r="X358" i="29" s="1"/>
  <c r="Y358" i="29" s="1"/>
  <c r="BY27" i="24"/>
  <c r="CA27" i="24" s="1"/>
  <c r="CB27" i="24" s="1"/>
  <c r="V457" i="29"/>
  <c r="AH457" i="29" s="1"/>
  <c r="V79" i="29"/>
  <c r="AH79" i="29" s="1"/>
  <c r="V370" i="29"/>
  <c r="AH370" i="29" s="1"/>
  <c r="V276" i="29"/>
  <c r="AH276" i="29" s="1"/>
  <c r="U348" i="29"/>
  <c r="AG348" i="29" s="1"/>
  <c r="BY298" i="24"/>
  <c r="CA298" i="24" s="1"/>
  <c r="CB298" i="24" s="1"/>
  <c r="V317" i="29"/>
  <c r="AH317" i="29" s="1"/>
  <c r="U252" i="29"/>
  <c r="W252" i="29" s="1"/>
  <c r="U365" i="29"/>
  <c r="W365" i="29" s="1"/>
  <c r="V203" i="29"/>
  <c r="X203" i="29" s="1"/>
  <c r="Y203" i="29" s="1"/>
  <c r="U70" i="29"/>
  <c r="AG70" i="29" s="1"/>
  <c r="U357" i="29"/>
  <c r="AG357" i="29" s="1"/>
  <c r="V258" i="29"/>
  <c r="AH258" i="29" s="1"/>
  <c r="U123" i="29"/>
  <c r="W123" i="29" s="1"/>
  <c r="BY299" i="24"/>
  <c r="CA299" i="24" s="1"/>
  <c r="U109" i="29"/>
  <c r="AG109" i="29" s="1"/>
  <c r="U560" i="29"/>
  <c r="W560" i="29" s="1"/>
  <c r="V466" i="29"/>
  <c r="X466" i="29" s="1"/>
  <c r="Y466" i="29" s="1"/>
  <c r="U107" i="29"/>
  <c r="AG107" i="29" s="1"/>
  <c r="U475" i="29"/>
  <c r="W475" i="29" s="1"/>
  <c r="CB55" i="24"/>
  <c r="B287" i="2" s="1"/>
  <c r="CF55" i="24"/>
  <c r="U115" i="29"/>
  <c r="AG115" i="29" s="1"/>
  <c r="U254" i="29"/>
  <c r="AG254" i="29" s="1"/>
  <c r="V80" i="29"/>
  <c r="AH80" i="29" s="1"/>
  <c r="V516" i="29"/>
  <c r="X516" i="29" s="1"/>
  <c r="Y516" i="29" s="1"/>
  <c r="V563" i="29"/>
  <c r="AH563" i="29" s="1"/>
  <c r="V34" i="29"/>
  <c r="X34" i="29" s="1"/>
  <c r="Y34" i="29" s="1"/>
  <c r="V408" i="29"/>
  <c r="AH408" i="29" s="1"/>
  <c r="V501" i="29"/>
  <c r="AH501" i="29" s="1"/>
  <c r="U429" i="29"/>
  <c r="AG429" i="29" s="1"/>
  <c r="U156" i="29"/>
  <c r="AG156" i="29" s="1"/>
  <c r="V151" i="29"/>
  <c r="AH151" i="29" s="1"/>
  <c r="U49" i="29"/>
  <c r="AG49" i="29" s="1"/>
  <c r="U587" i="29"/>
  <c r="AG587" i="29" s="1"/>
  <c r="V582" i="29"/>
  <c r="AH582" i="29" s="1"/>
  <c r="V217" i="29"/>
  <c r="AH217" i="29" s="1"/>
  <c r="U611" i="29"/>
  <c r="W611" i="29" s="1"/>
  <c r="V359" i="29"/>
  <c r="X359" i="29" s="1"/>
  <c r="Y359" i="29" s="1"/>
  <c r="U557" i="29"/>
  <c r="AG557" i="29" s="1"/>
  <c r="BY24" i="24"/>
  <c r="CA24" i="24" s="1"/>
  <c r="CB24" i="24" s="1"/>
  <c r="U166" i="29"/>
  <c r="AG166" i="29" s="1"/>
  <c r="U104" i="29"/>
  <c r="W104" i="29" s="1"/>
  <c r="U153" i="29"/>
  <c r="AG153" i="29" s="1"/>
  <c r="V589" i="29"/>
  <c r="X589" i="29" s="1"/>
  <c r="Y589" i="29" s="1"/>
  <c r="U98" i="29"/>
  <c r="AG98" i="29" s="1"/>
  <c r="V292" i="29"/>
  <c r="AH292" i="29" s="1"/>
  <c r="U513" i="29"/>
  <c r="W513" i="29" s="1"/>
  <c r="V613" i="29"/>
  <c r="AH613" i="29" s="1"/>
  <c r="V477" i="29"/>
  <c r="X477" i="29" s="1"/>
  <c r="Y477" i="29" s="1"/>
  <c r="U52" i="29"/>
  <c r="AG52" i="29" s="1"/>
  <c r="U204" i="29"/>
  <c r="W204" i="29" s="1"/>
  <c r="BY282" i="24"/>
  <c r="CA282" i="24" s="1"/>
  <c r="CB282" i="24" s="1"/>
  <c r="U571" i="29"/>
  <c r="AG571" i="29" s="1"/>
  <c r="V161" i="29"/>
  <c r="X161" i="29" s="1"/>
  <c r="Y161" i="29" s="1"/>
  <c r="V235" i="29"/>
  <c r="X235" i="29" s="1"/>
  <c r="Y235" i="29" s="1"/>
  <c r="U598" i="29"/>
  <c r="AG598" i="29" s="1"/>
  <c r="U144" i="29"/>
  <c r="W144" i="29" s="1"/>
  <c r="V510" i="29"/>
  <c r="X510" i="29" s="1"/>
  <c r="Y510" i="29" s="1"/>
  <c r="U515" i="29"/>
  <c r="W515" i="29" s="1"/>
  <c r="V471" i="29"/>
  <c r="AH471" i="29" s="1"/>
  <c r="BY305" i="24"/>
  <c r="CA305" i="24" s="1"/>
  <c r="V127" i="29"/>
  <c r="X127" i="29" s="1"/>
  <c r="Y127" i="29" s="1"/>
  <c r="U216" i="29"/>
  <c r="AG216" i="29" s="1"/>
  <c r="U326" i="29"/>
  <c r="AG326" i="29" s="1"/>
  <c r="BY296" i="24"/>
  <c r="CA296" i="24" s="1"/>
  <c r="CB296" i="24" s="1"/>
  <c r="U555" i="29"/>
  <c r="W555" i="29" s="1"/>
  <c r="V361" i="29"/>
  <c r="X361" i="29" s="1"/>
  <c r="Y361" i="29" s="1"/>
  <c r="V397" i="29"/>
  <c r="X397" i="29" s="1"/>
  <c r="Y397" i="29" s="1"/>
  <c r="U493" i="29"/>
  <c r="AG493" i="29" s="1"/>
  <c r="V229" i="29"/>
  <c r="X229" i="29" s="1"/>
  <c r="Y229" i="29" s="1"/>
  <c r="V35" i="29"/>
  <c r="AH35" i="29" s="1"/>
  <c r="V470" i="29"/>
  <c r="X470" i="29" s="1"/>
  <c r="Y470" i="29" s="1"/>
  <c r="V577" i="29"/>
  <c r="X577" i="29" s="1"/>
  <c r="Y577" i="29" s="1"/>
  <c r="V586" i="29"/>
  <c r="AH586" i="29" s="1"/>
  <c r="U270" i="29"/>
  <c r="AG270" i="29" s="1"/>
  <c r="U90" i="29"/>
  <c r="AG90" i="29" s="1"/>
  <c r="V241" i="29"/>
  <c r="AH241" i="29" s="1"/>
  <c r="U325" i="29"/>
  <c r="W325" i="29" s="1"/>
  <c r="V377" i="29"/>
  <c r="AH377" i="29" s="1"/>
  <c r="U532" i="29"/>
  <c r="W532" i="29" s="1"/>
  <c r="V339" i="29"/>
  <c r="X339" i="29" s="1"/>
  <c r="Y339" i="29" s="1"/>
  <c r="U194" i="29"/>
  <c r="W194" i="29" s="1"/>
  <c r="U347" i="29"/>
  <c r="AG347" i="29" s="1"/>
  <c r="V152" i="29"/>
  <c r="X152" i="29" s="1"/>
  <c r="Y152" i="29" s="1"/>
  <c r="V345" i="29"/>
  <c r="X345" i="29" s="1"/>
  <c r="Y345" i="29" s="1"/>
  <c r="V256" i="29"/>
  <c r="X256" i="29" s="1"/>
  <c r="Y256" i="29" s="1"/>
  <c r="U89" i="29"/>
  <c r="AG89" i="29" s="1"/>
  <c r="BY232" i="24"/>
  <c r="CA232" i="24" s="1"/>
  <c r="V220" i="29"/>
  <c r="AH220" i="29" s="1"/>
  <c r="U559" i="29"/>
  <c r="W559" i="29" s="1"/>
  <c r="V299" i="29"/>
  <c r="AH299" i="29" s="1"/>
  <c r="V138" i="29"/>
  <c r="X138" i="29" s="1"/>
  <c r="Y138" i="29" s="1"/>
  <c r="V462" i="29"/>
  <c r="AH462" i="29" s="1"/>
  <c r="BY280" i="24"/>
  <c r="CA280" i="24" s="1"/>
  <c r="CB280" i="24" s="1"/>
  <c r="V597" i="29"/>
  <c r="X597" i="29" s="1"/>
  <c r="Y597" i="29" s="1"/>
  <c r="U185" i="29"/>
  <c r="AG185" i="29" s="1"/>
  <c r="U332" i="29"/>
  <c r="W332" i="29" s="1"/>
  <c r="U222" i="29"/>
  <c r="AG222" i="29" s="1"/>
  <c r="U480" i="29"/>
  <c r="AG480" i="29" s="1"/>
  <c r="V443" i="29"/>
  <c r="X443" i="29" s="1"/>
  <c r="Y443" i="29" s="1"/>
  <c r="V43" i="29"/>
  <c r="AH43" i="29" s="1"/>
  <c r="V331" i="29"/>
  <c r="AH331" i="29" s="1"/>
  <c r="U526" i="29"/>
  <c r="AG526" i="29" s="1"/>
  <c r="U122" i="29"/>
  <c r="AG122" i="29" s="1"/>
  <c r="V543" i="29"/>
  <c r="X543" i="29" s="1"/>
  <c r="Y543" i="29" s="1"/>
  <c r="BY54" i="24"/>
  <c r="CA54" i="24" s="1"/>
  <c r="CB54" i="24" s="1"/>
  <c r="V53" i="29"/>
  <c r="AH53" i="29" s="1"/>
  <c r="V468" i="29"/>
  <c r="X468" i="29" s="1"/>
  <c r="Y468" i="29" s="1"/>
  <c r="V404" i="29"/>
  <c r="AH404" i="29" s="1"/>
  <c r="V233" i="29"/>
  <c r="AH233" i="29" s="1"/>
  <c r="U289" i="29"/>
  <c r="AG289" i="29" s="1"/>
  <c r="V327" i="29"/>
  <c r="AH327" i="29" s="1"/>
  <c r="V93" i="29"/>
  <c r="X93" i="29" s="1"/>
  <c r="Y93" i="29" s="1"/>
  <c r="U73" i="29"/>
  <c r="W73" i="29" s="1"/>
  <c r="U165" i="29"/>
  <c r="W165" i="29" s="1"/>
  <c r="V293" i="29"/>
  <c r="AH293" i="29" s="1"/>
  <c r="V402" i="29"/>
  <c r="AH402" i="29" s="1"/>
  <c r="V596" i="29"/>
  <c r="AH596" i="29" s="1"/>
  <c r="V590" i="29"/>
  <c r="X590" i="29" s="1"/>
  <c r="Y590" i="29" s="1"/>
  <c r="V580" i="29"/>
  <c r="AH580" i="29" s="1"/>
  <c r="BN28" i="24"/>
  <c r="V454" i="29"/>
  <c r="X454" i="29" s="1"/>
  <c r="Y454" i="29" s="1"/>
  <c r="U50" i="29"/>
  <c r="W50" i="29" s="1"/>
  <c r="U448" i="29"/>
  <c r="AG448" i="29" s="1"/>
  <c r="U556" i="29"/>
  <c r="AG556" i="29" s="1"/>
  <c r="V558" i="29"/>
  <c r="X558" i="29" s="1"/>
  <c r="Y558" i="29" s="1"/>
  <c r="V298" i="29"/>
  <c r="AH298" i="29" s="1"/>
  <c r="V400" i="29"/>
  <c r="X400" i="29" s="1"/>
  <c r="Y400" i="29" s="1"/>
  <c r="U242" i="29"/>
  <c r="AG242" i="29" s="1"/>
  <c r="BY253" i="24"/>
  <c r="CA253" i="24" s="1"/>
  <c r="CB253" i="24" s="1"/>
  <c r="V303" i="29"/>
  <c r="AH303" i="29" s="1"/>
  <c r="V503" i="29"/>
  <c r="AH503" i="29" s="1"/>
  <c r="U139" i="29"/>
  <c r="W139" i="29" s="1"/>
  <c r="V48" i="29"/>
  <c r="AH48" i="29" s="1"/>
  <c r="V308" i="29"/>
  <c r="AH308" i="29" s="1"/>
  <c r="V184" i="29"/>
  <c r="AH184" i="29" s="1"/>
  <c r="V546" i="29"/>
  <c r="X546" i="29" s="1"/>
  <c r="Y546" i="29" s="1"/>
  <c r="U246" i="29"/>
  <c r="W246" i="29" s="1"/>
  <c r="U387" i="29"/>
  <c r="W387" i="29" s="1"/>
  <c r="U610" i="29"/>
  <c r="AG610" i="29" s="1"/>
  <c r="V497" i="29"/>
  <c r="AH497" i="29" s="1"/>
  <c r="CB45" i="24"/>
  <c r="CF45" i="24"/>
  <c r="CB135" i="24"/>
  <c r="CF135" i="24"/>
  <c r="U530" i="29"/>
  <c r="W530" i="29" s="1"/>
  <c r="V96" i="29"/>
  <c r="X96" i="29" s="1"/>
  <c r="Y96" i="29" s="1"/>
  <c r="U439" i="29"/>
  <c r="AG439" i="29" s="1"/>
  <c r="U86" i="29"/>
  <c r="W86" i="29" s="1"/>
  <c r="V512" i="29"/>
  <c r="AH512" i="29" s="1"/>
  <c r="U218" i="29"/>
  <c r="AG218" i="29" s="1"/>
  <c r="U221" i="29"/>
  <c r="AG221" i="29" s="1"/>
  <c r="U350" i="29"/>
  <c r="AG350" i="29" s="1"/>
  <c r="BM224" i="24"/>
  <c r="BN224" i="24" s="1"/>
  <c r="V567" i="29"/>
  <c r="AH567" i="29" s="1"/>
  <c r="V414" i="29"/>
  <c r="AH414" i="29" s="1"/>
  <c r="U401" i="29"/>
  <c r="AG401" i="29" s="1"/>
  <c r="V214" i="29"/>
  <c r="X214" i="29" s="1"/>
  <c r="Y214" i="29" s="1"/>
  <c r="V29" i="29"/>
  <c r="AH29" i="29" s="1"/>
  <c r="U45" i="29"/>
  <c r="W45" i="29" s="1"/>
  <c r="U522" i="29"/>
  <c r="AG522" i="29" s="1"/>
  <c r="V30" i="29"/>
  <c r="AH30" i="29" s="1"/>
  <c r="V171" i="29"/>
  <c r="X171" i="29" s="1"/>
  <c r="Y171" i="29" s="1"/>
  <c r="U88" i="29"/>
  <c r="W88" i="29" s="1"/>
  <c r="V224" i="29"/>
  <c r="X224" i="29" s="1"/>
  <c r="Y224" i="29" s="1"/>
  <c r="V605" i="29"/>
  <c r="X605" i="29" s="1"/>
  <c r="Y605" i="29" s="1"/>
  <c r="V101" i="29"/>
  <c r="AH101" i="29" s="1"/>
  <c r="U234" i="29"/>
  <c r="AG234" i="29" s="1"/>
  <c r="V418" i="29"/>
  <c r="AH418" i="29" s="1"/>
  <c r="U529" i="29"/>
  <c r="AG529" i="29" s="1"/>
  <c r="U140" i="29"/>
  <c r="AG140" i="29" s="1"/>
  <c r="U133" i="29"/>
  <c r="AG133" i="29" s="1"/>
  <c r="V554" i="29"/>
  <c r="AH554" i="29" s="1"/>
  <c r="U465" i="29"/>
  <c r="AG465" i="29" s="1"/>
  <c r="U341" i="29"/>
  <c r="AG341" i="29" s="1"/>
  <c r="U291" i="29"/>
  <c r="AG291" i="29" s="1"/>
  <c r="V388" i="29"/>
  <c r="AH388" i="29" s="1"/>
  <c r="U594" i="29"/>
  <c r="W594" i="29" s="1"/>
  <c r="V552" i="29"/>
  <c r="AH552" i="29" s="1"/>
  <c r="V499" i="29"/>
  <c r="AH499" i="29" s="1"/>
  <c r="V354" i="29"/>
  <c r="X354" i="29" s="1"/>
  <c r="Y354" i="29" s="1"/>
  <c r="V334" i="29"/>
  <c r="AH334" i="29" s="1"/>
  <c r="U230" i="29"/>
  <c r="W230" i="29" s="1"/>
  <c r="V69" i="29"/>
  <c r="AH69" i="29" s="1"/>
  <c r="V479" i="29"/>
  <c r="AH479" i="29" s="1"/>
  <c r="V415" i="29"/>
  <c r="AH415" i="29" s="1"/>
  <c r="U286" i="29"/>
  <c r="W286" i="29" s="1"/>
  <c r="V167" i="29"/>
  <c r="AH167" i="29" s="1"/>
  <c r="V424" i="29"/>
  <c r="AH424" i="29" s="1"/>
  <c r="U147" i="29"/>
  <c r="AG147" i="29" s="1"/>
  <c r="U170" i="29"/>
  <c r="AG170" i="29" s="1"/>
  <c r="U294" i="29"/>
  <c r="W294" i="29" s="1"/>
  <c r="U319" i="29"/>
  <c r="W319" i="29" s="1"/>
  <c r="U25" i="29"/>
  <c r="AG25" i="29" s="1"/>
  <c r="V44" i="29"/>
  <c r="AH44" i="29" s="1"/>
  <c r="V190" i="29"/>
  <c r="X190" i="29" s="1"/>
  <c r="Y190" i="29" s="1"/>
  <c r="V376" i="29"/>
  <c r="AH376" i="29" s="1"/>
  <c r="V342" i="29"/>
  <c r="AH342" i="29" s="1"/>
  <c r="V413" i="29"/>
  <c r="AH413" i="29" s="1"/>
  <c r="V81" i="29"/>
  <c r="X81" i="29" s="1"/>
  <c r="Y81" i="29" s="1"/>
  <c r="U440" i="29"/>
  <c r="W440" i="29" s="1"/>
  <c r="U422" i="29"/>
  <c r="AG422" i="29" s="1"/>
  <c r="V428" i="29"/>
  <c r="AH428" i="29" s="1"/>
  <c r="V40" i="29"/>
  <c r="AH40" i="29" s="1"/>
  <c r="V268" i="29"/>
  <c r="AH268" i="29" s="1"/>
  <c r="U609" i="29"/>
  <c r="W609" i="29" s="1"/>
  <c r="V486" i="29"/>
  <c r="X486" i="29" s="1"/>
  <c r="Y486" i="29" s="1"/>
  <c r="V321" i="29"/>
  <c r="X321" i="29" s="1"/>
  <c r="Y321" i="29" s="1"/>
  <c r="U447" i="29"/>
  <c r="W447" i="29" s="1"/>
  <c r="U84" i="29"/>
  <c r="AG84" i="29" s="1"/>
  <c r="V208" i="29"/>
  <c r="X208" i="29" s="1"/>
  <c r="Y208" i="29" s="1"/>
  <c r="U180" i="29"/>
  <c r="W180" i="29" s="1"/>
  <c r="V274" i="29"/>
  <c r="AH274" i="29" s="1"/>
  <c r="U488" i="29"/>
  <c r="W488" i="29" s="1"/>
  <c r="V494" i="29"/>
  <c r="X494" i="29" s="1"/>
  <c r="Y494" i="29" s="1"/>
  <c r="U183" i="29"/>
  <c r="AG183" i="29" s="1"/>
  <c r="V114" i="29"/>
  <c r="AH114" i="29" s="1"/>
  <c r="U463" i="29"/>
  <c r="AG463" i="29" s="1"/>
  <c r="U474" i="29"/>
  <c r="AG474" i="29" s="1"/>
  <c r="U324" i="29"/>
  <c r="W324" i="29" s="1"/>
  <c r="V346" i="29"/>
  <c r="X346" i="29" s="1"/>
  <c r="Y346" i="29" s="1"/>
  <c r="U13" i="29"/>
  <c r="AG13" i="29" s="1"/>
  <c r="BY26" i="24"/>
  <c r="CA26" i="24" s="1"/>
  <c r="CB26" i="24" s="1"/>
  <c r="BY148" i="24"/>
  <c r="CA148" i="24" s="1"/>
  <c r="CB148" i="24" s="1"/>
  <c r="V550" i="29"/>
  <c r="X550" i="29" s="1"/>
  <c r="Y550" i="29" s="1"/>
  <c r="U406" i="29"/>
  <c r="AG406" i="29" s="1"/>
  <c r="V581" i="29"/>
  <c r="X581" i="29" s="1"/>
  <c r="Y581" i="29" s="1"/>
  <c r="U453" i="29"/>
  <c r="W453" i="29" s="1"/>
  <c r="U33" i="29"/>
  <c r="W33" i="29" s="1"/>
  <c r="V57" i="29"/>
  <c r="AH57" i="29" s="1"/>
  <c r="U187" i="29"/>
  <c r="AG187" i="29" s="1"/>
  <c r="V302" i="29"/>
  <c r="X302" i="29" s="1"/>
  <c r="Y302" i="29" s="1"/>
  <c r="V197" i="29"/>
  <c r="AH197" i="29" s="1"/>
  <c r="BY58" i="24"/>
  <c r="CA58" i="24" s="1"/>
  <c r="CB58" i="24" s="1"/>
  <c r="V239" i="29"/>
  <c r="X239" i="29" s="1"/>
  <c r="Y239" i="29" s="1"/>
  <c r="U154" i="29"/>
  <c r="AG154" i="29" s="1"/>
  <c r="U336" i="29"/>
  <c r="AG336" i="29" s="1"/>
  <c r="V333" i="29"/>
  <c r="X333" i="29" s="1"/>
  <c r="Y333" i="29" s="1"/>
  <c r="U32" i="29"/>
  <c r="W32" i="29" s="1"/>
  <c r="U412" i="29"/>
  <c r="AG412" i="29" s="1"/>
  <c r="V267" i="29"/>
  <c r="X267" i="29" s="1"/>
  <c r="Y267" i="29" s="1"/>
  <c r="U117" i="29"/>
  <c r="W117" i="29" s="1"/>
  <c r="U390" i="29"/>
  <c r="W390" i="29" s="1"/>
  <c r="V178" i="29"/>
  <c r="AH178" i="29" s="1"/>
  <c r="U130" i="29"/>
  <c r="AG130" i="29" s="1"/>
  <c r="V505" i="29"/>
  <c r="AH505" i="29" s="1"/>
  <c r="U149" i="29"/>
  <c r="AG149" i="29" s="1"/>
  <c r="V329" i="29"/>
  <c r="AH329" i="29" s="1"/>
  <c r="BY33" i="24"/>
  <c r="CA33" i="24" s="1"/>
  <c r="CB33" i="24" s="1"/>
  <c r="V535" i="29"/>
  <c r="AH535" i="29" s="1"/>
  <c r="V467" i="29"/>
  <c r="X467" i="29" s="1"/>
  <c r="Y467" i="29" s="1"/>
  <c r="U164" i="29"/>
  <c r="AG164" i="29" s="1"/>
  <c r="U100" i="29"/>
  <c r="W100" i="29" s="1"/>
  <c r="U192" i="29"/>
  <c r="W192" i="29" s="1"/>
  <c r="V472" i="29"/>
  <c r="AH472" i="29" s="1"/>
  <c r="U297" i="29"/>
  <c r="AG297" i="29" s="1"/>
  <c r="V435" i="29"/>
  <c r="X435" i="29" s="1"/>
  <c r="Y435" i="29" s="1"/>
  <c r="V20" i="29"/>
  <c r="X20" i="29" s="1"/>
  <c r="Y20" i="29" s="1"/>
  <c r="V344" i="29"/>
  <c r="AH344" i="29" s="1"/>
  <c r="U460" i="29"/>
  <c r="W460" i="29" s="1"/>
  <c r="V476" i="29"/>
  <c r="AH476" i="29" s="1"/>
  <c r="V87" i="29"/>
  <c r="X87" i="29" s="1"/>
  <c r="Y87" i="29" s="1"/>
  <c r="U264" i="29"/>
  <c r="W264" i="29" s="1"/>
  <c r="U490" i="29"/>
  <c r="W490" i="29" s="1"/>
  <c r="V39" i="29"/>
  <c r="X39" i="29" s="1"/>
  <c r="Y39" i="29" s="1"/>
  <c r="V473" i="29"/>
  <c r="X473" i="29" s="1"/>
  <c r="Y473" i="29" s="1"/>
  <c r="V118" i="29"/>
  <c r="X118" i="29" s="1"/>
  <c r="Y118" i="29" s="1"/>
  <c r="V306" i="29"/>
  <c r="AH306" i="29" s="1"/>
  <c r="U540" i="29"/>
  <c r="W540" i="29" s="1"/>
  <c r="U330" i="29"/>
  <c r="AG330" i="29" s="1"/>
  <c r="U514" i="29"/>
  <c r="AG514" i="29" s="1"/>
  <c r="V17" i="29"/>
  <c r="X17" i="29" s="1"/>
  <c r="Y17" i="29" s="1"/>
  <c r="U120" i="29"/>
  <c r="W120" i="29" s="1"/>
  <c r="BY247" i="24"/>
  <c r="CA247" i="24" s="1"/>
  <c r="CB247" i="24" s="1"/>
  <c r="U210" i="29"/>
  <c r="AG210" i="29" s="1"/>
  <c r="U574" i="29"/>
  <c r="W574" i="29" s="1"/>
  <c r="V236" i="29"/>
  <c r="X236" i="29" s="1"/>
  <c r="Y236" i="29" s="1"/>
  <c r="U349" i="29"/>
  <c r="W349" i="29" s="1"/>
  <c r="U316" i="29"/>
  <c r="W316" i="29" s="1"/>
  <c r="BY19" i="24"/>
  <c r="CA19" i="24" s="1"/>
  <c r="CB19" i="24" s="1"/>
  <c r="V461" i="29"/>
  <c r="AH461" i="29" s="1"/>
  <c r="V136" i="29"/>
  <c r="X136" i="29" s="1"/>
  <c r="Y136" i="29" s="1"/>
  <c r="V438" i="29"/>
  <c r="X438" i="29" s="1"/>
  <c r="Y438" i="29" s="1"/>
  <c r="U23" i="29"/>
  <c r="AG23" i="29" s="1"/>
  <c r="V368" i="29"/>
  <c r="AH368" i="29" s="1"/>
  <c r="V612" i="29"/>
  <c r="X612" i="29" s="1"/>
  <c r="Y612" i="29" s="1"/>
  <c r="V250" i="29"/>
  <c r="AH250" i="29" s="1"/>
  <c r="U128" i="29"/>
  <c r="W128" i="29" s="1"/>
  <c r="V125" i="29"/>
  <c r="X125" i="29" s="1"/>
  <c r="Y125" i="29" s="1"/>
  <c r="U112" i="29"/>
  <c r="W112" i="29" s="1"/>
  <c r="U277" i="29"/>
  <c r="W277" i="29" s="1"/>
  <c r="U72" i="29"/>
  <c r="W72" i="29" s="1"/>
  <c r="U146" i="29"/>
  <c r="W146" i="29" s="1"/>
  <c r="U498" i="29"/>
  <c r="AG498" i="29" s="1"/>
  <c r="U219" i="29"/>
  <c r="AG219" i="29" s="1"/>
  <c r="U150" i="29"/>
  <c r="AG150" i="29" s="1"/>
  <c r="V281" i="29"/>
  <c r="AH281" i="29" s="1"/>
  <c r="V259" i="29"/>
  <c r="AH259" i="29" s="1"/>
  <c r="U366" i="29"/>
  <c r="W366" i="29" s="1"/>
  <c r="U569" i="29"/>
  <c r="W569" i="29" s="1"/>
  <c r="V262" i="29"/>
  <c r="AH262" i="29" s="1"/>
  <c r="U116" i="29"/>
  <c r="AG116" i="29" s="1"/>
  <c r="U588" i="29"/>
  <c r="AG588" i="29" s="1"/>
  <c r="BY228" i="24"/>
  <c r="CA228" i="24" s="1"/>
  <c r="CB228" i="24" s="1"/>
  <c r="U455" i="29"/>
  <c r="W455" i="29" s="1"/>
  <c r="V320" i="29"/>
  <c r="X320" i="29" s="1"/>
  <c r="Y320" i="29" s="1"/>
  <c r="U430" i="29"/>
  <c r="AG430" i="29" s="1"/>
  <c r="U432" i="29"/>
  <c r="AG432" i="29" s="1"/>
  <c r="U240" i="29"/>
  <c r="AG240" i="29" s="1"/>
  <c r="U351" i="29"/>
  <c r="AG351" i="29" s="1"/>
  <c r="V272" i="29"/>
  <c r="AH272" i="29" s="1"/>
  <c r="U199" i="29"/>
  <c r="AG199" i="29" s="1"/>
  <c r="V538" i="29"/>
  <c r="X538" i="29" s="1"/>
  <c r="Y538" i="29" s="1"/>
  <c r="V228" i="29"/>
  <c r="AH228" i="29" s="1"/>
  <c r="U41" i="29"/>
  <c r="AG41" i="29" s="1"/>
  <c r="V135" i="29"/>
  <c r="X135" i="29" s="1"/>
  <c r="Y135" i="29" s="1"/>
  <c r="U434" i="29"/>
  <c r="AG434" i="29" s="1"/>
  <c r="U38" i="29"/>
  <c r="W38" i="29" s="1"/>
  <c r="U177" i="29"/>
  <c r="AG177" i="29" s="1"/>
  <c r="V409" i="29"/>
  <c r="AH409" i="29" s="1"/>
  <c r="V76" i="29"/>
  <c r="X76" i="29" s="1"/>
  <c r="Y76" i="29" s="1"/>
  <c r="U244" i="29"/>
  <c r="W244" i="29" s="1"/>
  <c r="U583" i="29"/>
  <c r="W583" i="29" s="1"/>
  <c r="V273" i="29"/>
  <c r="AH273" i="29" s="1"/>
  <c r="V283" i="29"/>
  <c r="X283" i="29" s="1"/>
  <c r="Y283" i="29" s="1"/>
  <c r="V169" i="29"/>
  <c r="AH169" i="29" s="1"/>
  <c r="U103" i="29"/>
  <c r="W103" i="29" s="1"/>
  <c r="U92" i="29"/>
  <c r="W92" i="29" s="1"/>
  <c r="V355" i="29"/>
  <c r="X355" i="29" s="1"/>
  <c r="Y355" i="29" s="1"/>
  <c r="V249" i="29"/>
  <c r="X249" i="29" s="1"/>
  <c r="Y249" i="29" s="1"/>
  <c r="V188" i="29"/>
  <c r="X188" i="29" s="1"/>
  <c r="Y188" i="29" s="1"/>
  <c r="U232" i="29"/>
  <c r="W232" i="29" s="1"/>
  <c r="V275" i="29"/>
  <c r="X275" i="29" s="1"/>
  <c r="Y275" i="29" s="1"/>
  <c r="BY34" i="24"/>
  <c r="CA34" i="24" s="1"/>
  <c r="CB34" i="24" s="1"/>
  <c r="U260" i="29"/>
  <c r="W260" i="29" s="1"/>
  <c r="V395" i="29"/>
  <c r="AH395" i="29" s="1"/>
  <c r="V378" i="29"/>
  <c r="AH378" i="29" s="1"/>
  <c r="V539" i="29"/>
  <c r="AH539" i="29" s="1"/>
  <c r="V403" i="29"/>
  <c r="X403" i="29" s="1"/>
  <c r="Y403" i="29" s="1"/>
  <c r="V575" i="29"/>
  <c r="AH575" i="29" s="1"/>
  <c r="V446" i="29"/>
  <c r="X446" i="29" s="1"/>
  <c r="Y446" i="29" s="1"/>
  <c r="U433" i="29"/>
  <c r="AG433" i="29" s="1"/>
  <c r="U195" i="29"/>
  <c r="W195" i="29" s="1"/>
  <c r="V407" i="29"/>
  <c r="X407" i="29" s="1"/>
  <c r="Y407" i="29" s="1"/>
  <c r="V593" i="29"/>
  <c r="AH593" i="29" s="1"/>
  <c r="V484" i="29"/>
  <c r="X484" i="29" s="1"/>
  <c r="Y484" i="29" s="1"/>
  <c r="U502" i="29"/>
  <c r="AG502" i="29" s="1"/>
  <c r="V94" i="29"/>
  <c r="AH94" i="29" s="1"/>
  <c r="BY20" i="24"/>
  <c r="CA20" i="24" s="1"/>
  <c r="CB20" i="24" s="1"/>
  <c r="V295" i="29"/>
  <c r="X295" i="29" s="1"/>
  <c r="Y295" i="29" s="1"/>
  <c r="U201" i="29"/>
  <c r="W201" i="29" s="1"/>
  <c r="U523" i="29"/>
  <c r="W523" i="29" s="1"/>
  <c r="U383" i="29"/>
  <c r="AG383" i="29" s="1"/>
  <c r="V519" i="29"/>
  <c r="AH519" i="29" s="1"/>
  <c r="V36" i="29"/>
  <c r="AH36" i="29" s="1"/>
  <c r="V469" i="29"/>
  <c r="AH469" i="29" s="1"/>
  <c r="U245" i="29"/>
  <c r="AG245" i="29" s="1"/>
  <c r="V572" i="29"/>
  <c r="X572" i="29" s="1"/>
  <c r="Y572" i="29" s="1"/>
  <c r="U305" i="29"/>
  <c r="AG305" i="29" s="1"/>
  <c r="V411" i="29"/>
  <c r="AH411" i="29" s="1"/>
  <c r="U410" i="29"/>
  <c r="AG410" i="29" s="1"/>
  <c r="V21" i="29"/>
  <c r="AH21" i="29" s="1"/>
  <c r="U518" i="29"/>
  <c r="W518" i="29" s="1"/>
  <c r="U520" i="29"/>
  <c r="W520" i="29" s="1"/>
  <c r="V592" i="29"/>
  <c r="X592" i="29" s="1"/>
  <c r="Y592" i="29" s="1"/>
  <c r="V141" i="29"/>
  <c r="AH141" i="29" s="1"/>
  <c r="V14" i="29"/>
  <c r="AH14" i="29" s="1"/>
  <c r="V481" i="29"/>
  <c r="X481" i="29" s="1"/>
  <c r="Y481" i="29" s="1"/>
  <c r="U142" i="29"/>
  <c r="AG142" i="29" s="1"/>
  <c r="U382" i="29"/>
  <c r="AG382" i="29" s="1"/>
  <c r="V506" i="29"/>
  <c r="X506" i="29" s="1"/>
  <c r="Y506" i="29" s="1"/>
  <c r="V600" i="29"/>
  <c r="AH600" i="29" s="1"/>
  <c r="U353" i="29"/>
  <c r="AG353" i="29" s="1"/>
  <c r="U547" i="29"/>
  <c r="AG547" i="29" s="1"/>
  <c r="U315" i="29"/>
  <c r="AG315" i="29" s="1"/>
  <c r="V65" i="29"/>
  <c r="X65" i="29" s="1"/>
  <c r="Y65" i="29" s="1"/>
  <c r="U398" i="29"/>
  <c r="W398" i="29" s="1"/>
  <c r="U56" i="29"/>
  <c r="AG56" i="29" s="1"/>
  <c r="V456" i="29"/>
  <c r="X456" i="29" s="1"/>
  <c r="Y456" i="29" s="1"/>
  <c r="U301" i="29"/>
  <c r="AG301" i="29" s="1"/>
  <c r="V427" i="29"/>
  <c r="X427" i="29" s="1"/>
  <c r="Y427" i="29" s="1"/>
  <c r="V175" i="29"/>
  <c r="X175" i="29" s="1"/>
  <c r="Y175" i="29" s="1"/>
  <c r="V263" i="29"/>
  <c r="AH263" i="29" s="1"/>
  <c r="U145" i="29"/>
  <c r="W145" i="29" s="1"/>
  <c r="U356" i="29"/>
  <c r="AG356" i="29" s="1"/>
  <c r="U91" i="29"/>
  <c r="AG91" i="29" s="1"/>
  <c r="V243" i="29"/>
  <c r="X243" i="29" s="1"/>
  <c r="Y243" i="29" s="1"/>
  <c r="U450" i="29"/>
  <c r="AG450" i="29" s="1"/>
  <c r="U200" i="29"/>
  <c r="AG200" i="29" s="1"/>
  <c r="U531" i="29"/>
  <c r="AG531" i="29" s="1"/>
  <c r="U179" i="29"/>
  <c r="AG179" i="29" s="1"/>
  <c r="U202" i="29"/>
  <c r="W202" i="29" s="1"/>
  <c r="U426" i="29"/>
  <c r="W426" i="29" s="1"/>
  <c r="U172" i="29"/>
  <c r="W172" i="29" s="1"/>
  <c r="V191" i="29"/>
  <c r="AH191" i="29" s="1"/>
  <c r="V77" i="29"/>
  <c r="X77" i="29" s="1"/>
  <c r="Y77" i="29" s="1"/>
  <c r="V47" i="29"/>
  <c r="X47" i="29" s="1"/>
  <c r="Y47" i="29" s="1"/>
  <c r="V27" i="29"/>
  <c r="X27" i="29" s="1"/>
  <c r="Y27" i="29" s="1"/>
  <c r="U318" i="29"/>
  <c r="W318" i="29" s="1"/>
  <c r="V307" i="29"/>
  <c r="AH307" i="29" s="1"/>
  <c r="U119" i="29"/>
  <c r="W119" i="29" s="1"/>
  <c r="V160" i="29"/>
  <c r="AH160" i="29" s="1"/>
  <c r="V67" i="29"/>
  <c r="AH67" i="29" s="1"/>
  <c r="V313" i="29"/>
  <c r="X313" i="29" s="1"/>
  <c r="Y313" i="29" s="1"/>
  <c r="V16" i="29"/>
  <c r="X16" i="29" s="1"/>
  <c r="Y16" i="29" s="1"/>
  <c r="U158" i="29"/>
  <c r="W158" i="29" s="1"/>
  <c r="V392" i="29"/>
  <c r="X392" i="29" s="1"/>
  <c r="Y392" i="29" s="1"/>
  <c r="V548" i="29"/>
  <c r="AH548" i="29" s="1"/>
  <c r="U489" i="29"/>
  <c r="W489" i="29" s="1"/>
  <c r="U280" i="29"/>
  <c r="AG280" i="29" s="1"/>
  <c r="U444" i="29"/>
  <c r="AG444" i="29" s="1"/>
  <c r="U132" i="29"/>
  <c r="AG132" i="29" s="1"/>
  <c r="V83" i="29"/>
  <c r="AH83" i="29" s="1"/>
  <c r="V607" i="29"/>
  <c r="AH607" i="29" s="1"/>
  <c r="U492" i="29"/>
  <c r="AG492" i="29" s="1"/>
  <c r="V436" i="29"/>
  <c r="AH436" i="29" s="1"/>
  <c r="U528" i="29"/>
  <c r="AG528" i="29" s="1"/>
  <c r="V517" i="29"/>
  <c r="AH517" i="29" s="1"/>
  <c r="V215" i="29"/>
  <c r="AH215" i="29" s="1"/>
  <c r="V385" i="29"/>
  <c r="X385" i="29" s="1"/>
  <c r="Y385" i="29" s="1"/>
  <c r="U157" i="29"/>
  <c r="W157" i="29" s="1"/>
  <c r="U504" i="29"/>
  <c r="W504" i="29" s="1"/>
  <c r="V458" i="29"/>
  <c r="AH458" i="29" s="1"/>
  <c r="U449" i="29"/>
  <c r="W449" i="29" s="1"/>
  <c r="V237" i="29"/>
  <c r="X237" i="29" s="1"/>
  <c r="Y237" i="29" s="1"/>
  <c r="U226" i="29"/>
  <c r="W226" i="29" s="1"/>
  <c r="V601" i="29"/>
  <c r="AH601" i="29" s="1"/>
  <c r="U595" i="29"/>
  <c r="AG595" i="29" s="1"/>
  <c r="U26" i="29"/>
  <c r="AG26" i="29" s="1"/>
  <c r="V42" i="29"/>
  <c r="AH42" i="29" s="1"/>
  <c r="U265" i="29"/>
  <c r="W265" i="29" s="1"/>
  <c r="U542" i="29"/>
  <c r="AG542" i="29" s="1"/>
  <c r="U565" i="29"/>
  <c r="W565" i="29" s="1"/>
  <c r="U381" i="29"/>
  <c r="W381" i="29" s="1"/>
  <c r="U389" i="29"/>
  <c r="W389" i="29" s="1"/>
  <c r="V396" i="29"/>
  <c r="AH396" i="29" s="1"/>
  <c r="V95" i="29"/>
  <c r="X95" i="29" s="1"/>
  <c r="Y95" i="29" s="1"/>
  <c r="V182" i="29"/>
  <c r="AH182" i="29" s="1"/>
  <c r="V579" i="29"/>
  <c r="AH579" i="29" s="1"/>
  <c r="V269" i="29"/>
  <c r="AH269" i="29" s="1"/>
  <c r="V451" i="29"/>
  <c r="AH451" i="29" s="1"/>
  <c r="V102" i="29"/>
  <c r="X102" i="29" s="1"/>
  <c r="Y102" i="29" s="1"/>
  <c r="U37" i="29"/>
  <c r="AG37" i="29" s="1"/>
  <c r="U421" i="29"/>
  <c r="AG421" i="29" s="1"/>
  <c r="V300" i="29"/>
  <c r="X300" i="29" s="1"/>
  <c r="Y300" i="29" s="1"/>
  <c r="V227" i="29"/>
  <c r="AH227" i="29" s="1"/>
  <c r="V405" i="29"/>
  <c r="X405" i="29" s="1"/>
  <c r="Y405" i="29" s="1"/>
  <c r="U290" i="29"/>
  <c r="W290" i="29" s="1"/>
  <c r="V423" i="29"/>
  <c r="AH423" i="29" s="1"/>
  <c r="U278" i="29"/>
  <c r="AG278" i="29" s="1"/>
  <c r="U525" i="29"/>
  <c r="AG525" i="29" s="1"/>
  <c r="U568" i="29"/>
  <c r="W568" i="29" s="1"/>
  <c r="V126" i="29"/>
  <c r="AH126" i="29" s="1"/>
  <c r="CB162" i="24"/>
  <c r="CF162" i="24"/>
  <c r="U524" i="29"/>
  <c r="W524" i="29" s="1"/>
  <c r="U561" i="29"/>
  <c r="W561" i="29" s="1"/>
  <c r="U255" i="29"/>
  <c r="W255" i="29" s="1"/>
  <c r="V247" i="29"/>
  <c r="AH247" i="29" s="1"/>
  <c r="V134" i="29"/>
  <c r="X134" i="29" s="1"/>
  <c r="Y134" i="29" s="1"/>
  <c r="U287" i="29"/>
  <c r="W287" i="29" s="1"/>
  <c r="U533" i="29"/>
  <c r="AG533" i="29" s="1"/>
  <c r="U573" i="29"/>
  <c r="AG573" i="29" s="1"/>
  <c r="U375" i="29"/>
  <c r="AG375" i="29" s="1"/>
  <c r="U251" i="29"/>
  <c r="AG251" i="29" s="1"/>
  <c r="V51" i="29"/>
  <c r="AH51" i="29" s="1"/>
  <c r="U310" i="29"/>
  <c r="AG310" i="29" s="1"/>
  <c r="V68" i="29"/>
  <c r="AH68" i="29" s="1"/>
  <c r="V282" i="29"/>
  <c r="AH282" i="29" s="1"/>
  <c r="U369" i="29"/>
  <c r="AG369" i="29" s="1"/>
  <c r="U500" i="29"/>
  <c r="W500" i="29" s="1"/>
  <c r="V364" i="29"/>
  <c r="AH364" i="29" s="1"/>
  <c r="V416" i="29"/>
  <c r="X416" i="29" s="1"/>
  <c r="Y416" i="29" s="1"/>
  <c r="U15" i="29"/>
  <c r="AG15" i="29" s="1"/>
  <c r="U296" i="29"/>
  <c r="W296" i="29" s="1"/>
  <c r="V386" i="29"/>
  <c r="X386" i="29" s="1"/>
  <c r="Y386" i="29" s="1"/>
  <c r="U31" i="29"/>
  <c r="W31" i="29" s="1"/>
  <c r="V491" i="29"/>
  <c r="AH491" i="29" s="1"/>
  <c r="V211" i="29"/>
  <c r="AH211" i="29" s="1"/>
  <c r="U75" i="29"/>
  <c r="AG75" i="29" s="1"/>
  <c r="U534" i="29"/>
  <c r="W534" i="29" s="1"/>
  <c r="V399" i="29"/>
  <c r="AH399" i="29" s="1"/>
  <c r="U82" i="29"/>
  <c r="AG82" i="29" s="1"/>
  <c r="V570" i="29"/>
  <c r="AH570" i="29" s="1"/>
  <c r="U459" i="29"/>
  <c r="W459" i="29" s="1"/>
  <c r="V549" i="29"/>
  <c r="AH549" i="29" s="1"/>
  <c r="U99" i="29"/>
  <c r="AG99" i="29" s="1"/>
  <c r="U527" i="29"/>
  <c r="W527" i="29" s="1"/>
  <c r="U312" i="29"/>
  <c r="AG312" i="29" s="1"/>
  <c r="U314" i="29"/>
  <c r="W314" i="29" s="1"/>
  <c r="U431" i="29"/>
  <c r="AG431" i="29" s="1"/>
  <c r="V131" i="29"/>
  <c r="X131" i="29" s="1"/>
  <c r="Y131" i="29" s="1"/>
  <c r="U55" i="29"/>
  <c r="W55" i="29" s="1"/>
  <c r="V425" i="29"/>
  <c r="AH425" i="29" s="1"/>
  <c r="V394" i="29"/>
  <c r="X394" i="29" s="1"/>
  <c r="Y394" i="29" s="1"/>
  <c r="U143" i="29"/>
  <c r="W143" i="29" s="1"/>
  <c r="V482" i="29"/>
  <c r="X482" i="29" s="1"/>
  <c r="Y482" i="29" s="1"/>
  <c r="V487" i="29"/>
  <c r="AH487" i="29" s="1"/>
  <c r="U564" i="29"/>
  <c r="W564" i="29" s="1"/>
  <c r="V419" i="29"/>
  <c r="AH419" i="29" s="1"/>
  <c r="U173" i="29"/>
  <c r="W173" i="29" s="1"/>
  <c r="V420" i="29"/>
  <c r="AH420" i="29" s="1"/>
  <c r="U121" i="29"/>
  <c r="W121" i="29" s="1"/>
  <c r="V545" i="29"/>
  <c r="X545" i="29" s="1"/>
  <c r="Y545" i="29" s="1"/>
  <c r="V28" i="29"/>
  <c r="X28" i="29" s="1"/>
  <c r="Y28" i="29" s="1"/>
  <c r="V496" i="29"/>
  <c r="AH496" i="29" s="1"/>
  <c r="U441" i="29"/>
  <c r="AG441" i="29" s="1"/>
  <c r="BY117" i="24"/>
  <c r="CA117" i="24" s="1"/>
  <c r="U213" i="29"/>
  <c r="AG213" i="29" s="1"/>
  <c r="V372" i="29"/>
  <c r="AH372" i="29" s="1"/>
  <c r="U209" i="29"/>
  <c r="W209" i="29" s="1"/>
  <c r="V62" i="29"/>
  <c r="AH62" i="29" s="1"/>
  <c r="U495" i="29"/>
  <c r="AG495" i="29" s="1"/>
  <c r="U335" i="29"/>
  <c r="AG335" i="29" s="1"/>
  <c r="U360" i="29"/>
  <c r="AG360" i="29" s="1"/>
  <c r="V196" i="29"/>
  <c r="X196" i="29" s="1"/>
  <c r="Y196" i="29" s="1"/>
  <c r="V311" i="29"/>
  <c r="AH311" i="29" s="1"/>
  <c r="V162" i="29"/>
  <c r="AH162" i="29" s="1"/>
  <c r="V288" i="29"/>
  <c r="AH288" i="29" s="1"/>
  <c r="V129" i="29"/>
  <c r="AH129" i="29" s="1"/>
  <c r="BE237" i="25"/>
  <c r="BR237" i="25"/>
  <c r="BX237" i="25" s="1"/>
  <c r="V176" i="29"/>
  <c r="X176" i="29" s="1"/>
  <c r="Y176" i="29" s="1"/>
  <c r="AR212" i="25"/>
  <c r="BJ212" i="25"/>
  <c r="CE212" i="25"/>
  <c r="BH212" i="25"/>
  <c r="BW212" i="25"/>
  <c r="BU212" i="25"/>
  <c r="BF212" i="25"/>
  <c r="BR77" i="25"/>
  <c r="BV77" i="25" s="1"/>
  <c r="BX77" i="25" s="1"/>
  <c r="BE77" i="25"/>
  <c r="BK77" i="25" s="1"/>
  <c r="CF279" i="24"/>
  <c r="AH24" i="29"/>
  <c r="X24" i="29"/>
  <c r="Y24" i="29" s="1"/>
  <c r="BN16" i="24"/>
  <c r="BY16" i="24"/>
  <c r="CA16" i="24" s="1"/>
  <c r="CB16" i="24" s="1"/>
  <c r="BE191" i="25"/>
  <c r="BR191" i="25"/>
  <c r="BX191" i="25" s="1"/>
  <c r="X455" i="29"/>
  <c r="Y455" i="29" s="1"/>
  <c r="AH455" i="29"/>
  <c r="X116" i="29"/>
  <c r="Y116" i="29" s="1"/>
  <c r="AH116" i="29"/>
  <c r="BY311" i="24"/>
  <c r="CA311" i="24" s="1"/>
  <c r="BM311" i="24"/>
  <c r="BN311" i="24" s="1"/>
  <c r="BR225" i="25"/>
  <c r="BX225" i="25" s="1"/>
  <c r="BE225" i="25"/>
  <c r="BR58" i="25"/>
  <c r="BV58" i="25" s="1"/>
  <c r="BX58" i="25" s="1"/>
  <c r="BE58" i="25"/>
  <c r="BK58" i="25" s="1"/>
  <c r="BY72" i="24"/>
  <c r="CA72" i="24" s="1"/>
  <c r="CB72" i="24" s="1"/>
  <c r="BN72" i="24"/>
  <c r="AH606" i="29"/>
  <c r="X606" i="29"/>
  <c r="Y606" i="29" s="1"/>
  <c r="AH584" i="29"/>
  <c r="X584" i="29"/>
  <c r="Y584" i="29" s="1"/>
  <c r="W355" i="29"/>
  <c r="AG355" i="29"/>
  <c r="X270" i="29"/>
  <c r="Y270" i="29" s="1"/>
  <c r="AH270" i="29"/>
  <c r="X248" i="29"/>
  <c r="Y248" i="29" s="1"/>
  <c r="AH248" i="29"/>
  <c r="X133" i="29"/>
  <c r="Y133" i="29" s="1"/>
  <c r="AH133" i="29"/>
  <c r="AG408" i="29"/>
  <c r="W408" i="29"/>
  <c r="W392" i="29"/>
  <c r="AG392" i="29"/>
  <c r="X290" i="29"/>
  <c r="Y290" i="29" s="1"/>
  <c r="AH290" i="29"/>
  <c r="AH143" i="29"/>
  <c r="X143" i="29"/>
  <c r="Y143" i="29" s="1"/>
  <c r="AG404" i="29"/>
  <c r="W404" i="29"/>
  <c r="AG35" i="29"/>
  <c r="W35" i="29"/>
  <c r="W423" i="29"/>
  <c r="AG423" i="29"/>
  <c r="X611" i="29"/>
  <c r="Y611" i="29" s="1"/>
  <c r="AH611" i="29"/>
  <c r="BY303" i="24"/>
  <c r="CA303" i="24" s="1"/>
  <c r="CB303" i="24" s="1"/>
  <c r="BM303" i="24"/>
  <c r="BN303" i="24" s="1"/>
  <c r="BY92" i="24"/>
  <c r="CA92" i="24" s="1"/>
  <c r="BN92" i="24"/>
  <c r="BN102" i="24"/>
  <c r="BY102" i="24"/>
  <c r="CA102" i="24" s="1"/>
  <c r="BY235" i="24"/>
  <c r="CA235" i="24" s="1"/>
  <c r="CB235" i="24" s="1"/>
  <c r="BM235" i="24"/>
  <c r="BN235" i="24" s="1"/>
  <c r="BY113" i="25"/>
  <c r="CA113" i="25" s="1"/>
  <c r="BL113" i="25"/>
  <c r="BK113" i="25"/>
  <c r="BE200" i="25"/>
  <c r="BR200" i="25"/>
  <c r="BX200" i="25" s="1"/>
  <c r="BE80" i="25"/>
  <c r="BK80" i="25" s="1"/>
  <c r="BR80" i="25"/>
  <c r="BV80" i="25" s="1"/>
  <c r="BX80" i="25" s="1"/>
  <c r="BE188" i="25"/>
  <c r="BR188" i="25"/>
  <c r="BX188" i="25" s="1"/>
  <c r="BL276" i="25"/>
  <c r="BY276" i="25"/>
  <c r="CA276" i="25" s="1"/>
  <c r="CB276" i="25" s="1"/>
  <c r="BK276" i="25"/>
  <c r="W257" i="29"/>
  <c r="AG257" i="29"/>
  <c r="AG118" i="29"/>
  <c r="W118" i="29"/>
  <c r="W135" i="29"/>
  <c r="AG135" i="29"/>
  <c r="AH406" i="29"/>
  <c r="X406" i="29"/>
  <c r="Y406" i="29" s="1"/>
  <c r="AG124" i="29"/>
  <c r="W124" i="29"/>
  <c r="AG66" i="29"/>
  <c r="W66" i="29"/>
  <c r="AG535" i="29"/>
  <c r="W535" i="29"/>
  <c r="AH583" i="29"/>
  <c r="X583" i="29"/>
  <c r="Y583" i="29" s="1"/>
  <c r="X277" i="29"/>
  <c r="Y277" i="29" s="1"/>
  <c r="AH277" i="29"/>
  <c r="W208" i="29"/>
  <c r="AG208" i="29"/>
  <c r="W457" i="29"/>
  <c r="AG457" i="29"/>
  <c r="W499" i="29"/>
  <c r="AG499" i="29"/>
  <c r="AH278" i="29"/>
  <c r="X278" i="29"/>
  <c r="Y278" i="29" s="1"/>
  <c r="AG482" i="29"/>
  <c r="W482" i="29"/>
  <c r="AG487" i="29"/>
  <c r="W487" i="29"/>
  <c r="X123" i="29"/>
  <c r="Y123" i="29" s="1"/>
  <c r="AH123" i="29"/>
  <c r="AH412" i="29"/>
  <c r="X412" i="29"/>
  <c r="Y412" i="29" s="1"/>
  <c r="AG415" i="29"/>
  <c r="W415" i="29"/>
  <c r="BE159" i="25"/>
  <c r="BR159" i="25"/>
  <c r="BX159" i="25" s="1"/>
  <c r="BE256" i="25"/>
  <c r="BR256" i="25"/>
  <c r="BX256" i="25" s="1"/>
  <c r="BR42" i="25"/>
  <c r="BV42" i="25" s="1"/>
  <c r="BX42" i="25" s="1"/>
  <c r="BE42" i="25"/>
  <c r="BK42" i="25" s="1"/>
  <c r="BY183" i="24"/>
  <c r="CA183" i="24" s="1"/>
  <c r="CB183" i="24" s="1"/>
  <c r="BM183" i="24"/>
  <c r="BN183" i="24" s="1"/>
  <c r="BE266" i="25"/>
  <c r="BR266" i="25"/>
  <c r="BX266" i="25" s="1"/>
  <c r="BY237" i="24"/>
  <c r="CA237" i="24" s="1"/>
  <c r="CB237" i="24" s="1"/>
  <c r="BM237" i="24"/>
  <c r="BN237" i="24" s="1"/>
  <c r="AG384" i="29"/>
  <c r="W384" i="29"/>
  <c r="AH323" i="29"/>
  <c r="X323" i="29"/>
  <c r="Y323" i="29" s="1"/>
  <c r="W303" i="29"/>
  <c r="AG303" i="29"/>
  <c r="BY37" i="24"/>
  <c r="CA37" i="24" s="1"/>
  <c r="CB37" i="24" s="1"/>
  <c r="BN37" i="24"/>
  <c r="BY78" i="24"/>
  <c r="CA78" i="24" s="1"/>
  <c r="BN78" i="24"/>
  <c r="BL198" i="25"/>
  <c r="BY198" i="25"/>
  <c r="CA198" i="25" s="1"/>
  <c r="BK198" i="25"/>
  <c r="BE264" i="25"/>
  <c r="BR264" i="25"/>
  <c r="BX264" i="25" s="1"/>
  <c r="BL104" i="25"/>
  <c r="BY104" i="25"/>
  <c r="CA104" i="25" s="1"/>
  <c r="BE235" i="25"/>
  <c r="BR235" i="25"/>
  <c r="BX235" i="25" s="1"/>
  <c r="AG456" i="29"/>
  <c r="W456" i="29"/>
  <c r="AH341" i="29"/>
  <c r="X341" i="29"/>
  <c r="Y341" i="29" s="1"/>
  <c r="X252" i="29"/>
  <c r="Y252" i="29" s="1"/>
  <c r="AH252" i="29"/>
  <c r="AG436" i="29"/>
  <c r="W436" i="29"/>
  <c r="W40" i="29"/>
  <c r="AG40" i="29"/>
  <c r="AG57" i="29"/>
  <c r="W57" i="29"/>
  <c r="AG272" i="29"/>
  <c r="W272" i="29"/>
  <c r="AH398" i="29"/>
  <c r="X398" i="29"/>
  <c r="Y398" i="29" s="1"/>
  <c r="W114" i="29"/>
  <c r="AG114" i="29"/>
  <c r="AG578" i="29"/>
  <c r="W578" i="29"/>
  <c r="AG334" i="29"/>
  <c r="W334" i="29"/>
  <c r="X490" i="29"/>
  <c r="Y490" i="29" s="1"/>
  <c r="AH490" i="29"/>
  <c r="X365" i="29"/>
  <c r="Y365" i="29" s="1"/>
  <c r="AH365" i="29"/>
  <c r="AG293" i="29"/>
  <c r="W293" i="29"/>
  <c r="AH187" i="29"/>
  <c r="X187" i="29"/>
  <c r="Y187" i="29" s="1"/>
  <c r="BE127" i="25"/>
  <c r="BR127" i="25"/>
  <c r="BX127" i="25" s="1"/>
  <c r="BR49" i="25"/>
  <c r="BV49" i="25" s="1"/>
  <c r="BX49" i="25" s="1"/>
  <c r="BE49" i="25"/>
  <c r="BK49" i="25" s="1"/>
  <c r="BY251" i="24"/>
  <c r="CA251" i="24" s="1"/>
  <c r="CB251" i="24" s="1"/>
  <c r="BM251" i="24"/>
  <c r="BN251" i="24" s="1"/>
  <c r="BY67" i="24"/>
  <c r="CA67" i="24" s="1"/>
  <c r="CB67" i="24" s="1"/>
  <c r="BN67" i="24"/>
  <c r="BE222" i="25"/>
  <c r="BR222" i="25"/>
  <c r="BX222" i="25" s="1"/>
  <c r="BY177" i="24"/>
  <c r="CA177" i="24" s="1"/>
  <c r="CB177" i="24" s="1"/>
  <c r="BM177" i="24"/>
  <c r="BN177" i="24" s="1"/>
  <c r="BR98" i="25"/>
  <c r="BV98" i="25" s="1"/>
  <c r="BX98" i="25" s="1"/>
  <c r="BE98" i="25"/>
  <c r="BK98" i="25" s="1"/>
  <c r="BY202" i="24"/>
  <c r="CA202" i="24" s="1"/>
  <c r="BM202" i="24"/>
  <c r="BN202" i="24" s="1"/>
  <c r="BE183" i="25"/>
  <c r="BR183" i="25"/>
  <c r="BX183" i="25" s="1"/>
  <c r="BE151" i="25"/>
  <c r="BR151" i="25"/>
  <c r="BX151" i="25" s="1"/>
  <c r="AG402" i="29"/>
  <c r="W402" i="29"/>
  <c r="AG544" i="29"/>
  <c r="W544" i="29"/>
  <c r="AG313" i="29"/>
  <c r="W313" i="29"/>
  <c r="AH442" i="29"/>
  <c r="X442" i="29"/>
  <c r="Y442" i="29" s="1"/>
  <c r="AH598" i="29"/>
  <c r="X598" i="29"/>
  <c r="Y598" i="29" s="1"/>
  <c r="AG409" i="29"/>
  <c r="W409" i="29"/>
  <c r="AH587" i="29"/>
  <c r="X587" i="29"/>
  <c r="Y587" i="29" s="1"/>
  <c r="AG577" i="29"/>
  <c r="W577" i="29"/>
  <c r="AG591" i="29"/>
  <c r="W591" i="29"/>
  <c r="AH185" i="29"/>
  <c r="X185" i="29"/>
  <c r="Y185" i="29" s="1"/>
  <c r="W268" i="29"/>
  <c r="AG268" i="29"/>
  <c r="AH86" i="29"/>
  <c r="X86" i="29"/>
  <c r="Y86" i="29" s="1"/>
  <c r="W543" i="29"/>
  <c r="AG543" i="29"/>
  <c r="X148" i="29"/>
  <c r="Y148" i="29" s="1"/>
  <c r="AH148" i="29"/>
  <c r="X230" i="29"/>
  <c r="Y230" i="29" s="1"/>
  <c r="AH230" i="29"/>
  <c r="X609" i="29"/>
  <c r="Y609" i="29" s="1"/>
  <c r="AH609" i="29"/>
  <c r="X511" i="29"/>
  <c r="Y511" i="29" s="1"/>
  <c r="AH511" i="29"/>
  <c r="BY95" i="24"/>
  <c r="CA95" i="24" s="1"/>
  <c r="CB95" i="24" s="1"/>
  <c r="BN95" i="24"/>
  <c r="BN84" i="24"/>
  <c r="BY84" i="24"/>
  <c r="CA84" i="24" s="1"/>
  <c r="CB84" i="24" s="1"/>
  <c r="BE47" i="25"/>
  <c r="BK47" i="25" s="1"/>
  <c r="BR47" i="25"/>
  <c r="BV47" i="25" s="1"/>
  <c r="BX47" i="25" s="1"/>
  <c r="BE180" i="25"/>
  <c r="BR180" i="25"/>
  <c r="BX180" i="25" s="1"/>
  <c r="BR61" i="25"/>
  <c r="BV61" i="25" s="1"/>
  <c r="BX61" i="25" s="1"/>
  <c r="BE61" i="25"/>
  <c r="BK61" i="25" s="1"/>
  <c r="BY304" i="24"/>
  <c r="CA304" i="24" s="1"/>
  <c r="CB304" i="24" s="1"/>
  <c r="BM304" i="24"/>
  <c r="BN304" i="24" s="1"/>
  <c r="BE133" i="25"/>
  <c r="BR133" i="25"/>
  <c r="BX133" i="25" s="1"/>
  <c r="BY31" i="25"/>
  <c r="CA31" i="25" s="1"/>
  <c r="CB31" i="25" s="1"/>
  <c r="BL31" i="25"/>
  <c r="BY258" i="24"/>
  <c r="CA258" i="24" s="1"/>
  <c r="CB258" i="24" s="1"/>
  <c r="BM258" i="24"/>
  <c r="BN258" i="24" s="1"/>
  <c r="W206" i="29"/>
  <c r="AG206" i="29"/>
  <c r="AG174" i="29"/>
  <c r="W174" i="29"/>
  <c r="AH128" i="29"/>
  <c r="X128" i="29"/>
  <c r="Y128" i="29" s="1"/>
  <c r="AH19" i="29"/>
  <c r="X19" i="29"/>
  <c r="Y19" i="29" s="1"/>
  <c r="AH328" i="29"/>
  <c r="X328" i="29"/>
  <c r="Y328" i="29" s="1"/>
  <c r="AH322" i="29"/>
  <c r="X322" i="29"/>
  <c r="Y322" i="29" s="1"/>
  <c r="W393" i="29"/>
  <c r="AG393" i="29"/>
  <c r="BY307" i="24"/>
  <c r="CA307" i="24" s="1"/>
  <c r="BM307" i="24"/>
  <c r="BN307" i="24" s="1"/>
  <c r="BL192" i="25"/>
  <c r="BY192" i="25"/>
  <c r="CA192" i="25" s="1"/>
  <c r="BK192" i="25"/>
  <c r="BE35" i="25"/>
  <c r="BK35" i="25" s="1"/>
  <c r="BR35" i="25"/>
  <c r="BV35" i="25" s="1"/>
  <c r="BX35" i="25" s="1"/>
  <c r="BY190" i="25"/>
  <c r="CA190" i="25" s="1"/>
  <c r="BL190" i="25"/>
  <c r="BK190" i="25"/>
  <c r="BN79" i="24"/>
  <c r="BY79" i="24"/>
  <c r="CA79" i="24" s="1"/>
  <c r="BE228" i="25"/>
  <c r="BR228" i="25"/>
  <c r="BX228" i="25" s="1"/>
  <c r="BY176" i="24"/>
  <c r="CA176" i="24" s="1"/>
  <c r="CB176" i="24" s="1"/>
  <c r="BM176" i="24"/>
  <c r="BN176" i="24" s="1"/>
  <c r="BE288" i="25"/>
  <c r="BR288" i="25"/>
  <c r="BX288" i="25" s="1"/>
  <c r="BN32" i="24"/>
  <c r="BY32" i="24"/>
  <c r="CA32" i="24" s="1"/>
  <c r="CB32" i="24" s="1"/>
  <c r="BY218" i="24"/>
  <c r="CA218" i="24" s="1"/>
  <c r="CB218" i="24" s="1"/>
  <c r="BM218" i="24"/>
  <c r="BN218" i="24" s="1"/>
  <c r="AG327" i="29"/>
  <c r="W327" i="29"/>
  <c r="BY15" i="24"/>
  <c r="CA15" i="24" s="1"/>
  <c r="CB15" i="24" s="1"/>
  <c r="B288" i="2" s="1"/>
  <c r="BN15" i="24"/>
  <c r="BY131" i="25"/>
  <c r="CA131" i="25" s="1"/>
  <c r="CB131" i="25" s="1"/>
  <c r="BL131" i="25"/>
  <c r="BK131" i="25"/>
  <c r="BR7" i="25"/>
  <c r="BV7" i="25" s="1"/>
  <c r="BX7" i="25" s="1"/>
  <c r="BE7" i="25"/>
  <c r="BK7" i="25" s="1"/>
  <c r="BR60" i="25"/>
  <c r="BV60" i="25" s="1"/>
  <c r="BX60" i="25" s="1"/>
  <c r="BE60" i="25"/>
  <c r="BK60" i="25" s="1"/>
  <c r="BN56" i="24"/>
  <c r="BY56" i="24"/>
  <c r="CA56" i="24" s="1"/>
  <c r="BE176" i="25"/>
  <c r="BR176" i="25"/>
  <c r="BX176" i="25" s="1"/>
  <c r="BN70" i="24"/>
  <c r="BY70" i="24"/>
  <c r="CA70" i="24" s="1"/>
  <c r="CB70" i="24" s="1"/>
  <c r="AG416" i="29"/>
  <c r="W416" i="29"/>
  <c r="AG346" i="29"/>
  <c r="W346" i="29"/>
  <c r="AH55" i="29"/>
  <c r="X55" i="29"/>
  <c r="Y55" i="29" s="1"/>
  <c r="X201" i="29"/>
  <c r="Y201" i="29" s="1"/>
  <c r="AH201" i="29"/>
  <c r="X599" i="29"/>
  <c r="Y599" i="29" s="1"/>
  <c r="AH599" i="29"/>
  <c r="W65" i="29"/>
  <c r="AG65" i="29"/>
  <c r="AH460" i="29"/>
  <c r="X460" i="29"/>
  <c r="Y460" i="29" s="1"/>
  <c r="AG425" i="29"/>
  <c r="W425" i="29"/>
  <c r="W575" i="29"/>
  <c r="AG575" i="29"/>
  <c r="W171" i="29"/>
  <c r="AG171" i="29"/>
  <c r="AG438" i="29"/>
  <c r="W438" i="29"/>
  <c r="AH99" i="29"/>
  <c r="X99" i="29"/>
  <c r="Y99" i="29" s="1"/>
  <c r="AG176" i="29"/>
  <c r="W176" i="29"/>
  <c r="AG476" i="29"/>
  <c r="W476" i="29"/>
  <c r="BY281" i="24"/>
  <c r="CA281" i="24" s="1"/>
  <c r="CB281" i="24" s="1"/>
  <c r="BM281" i="24"/>
  <c r="BN281" i="24" s="1"/>
  <c r="BE249" i="25"/>
  <c r="BR249" i="25"/>
  <c r="BX249" i="25" s="1"/>
  <c r="BY42" i="24"/>
  <c r="CA42" i="24" s="1"/>
  <c r="CB42" i="24" s="1"/>
  <c r="BN42" i="24"/>
  <c r="BY268" i="24"/>
  <c r="CA268" i="24" s="1"/>
  <c r="BM268" i="24"/>
  <c r="BN268" i="24" s="1"/>
  <c r="BY189" i="24"/>
  <c r="CA189" i="24" s="1"/>
  <c r="CB189" i="24" s="1"/>
  <c r="BM189" i="24"/>
  <c r="BN189" i="24" s="1"/>
  <c r="BR64" i="25"/>
  <c r="BV64" i="25" s="1"/>
  <c r="BX64" i="25" s="1"/>
  <c r="BE64" i="25"/>
  <c r="BK64" i="25" s="1"/>
  <c r="BY165" i="24"/>
  <c r="CA165" i="24" s="1"/>
  <c r="BM165" i="24"/>
  <c r="BN165" i="24" s="1"/>
  <c r="AH61" i="29"/>
  <c r="X61" i="29"/>
  <c r="Y61" i="29" s="1"/>
  <c r="BE115" i="25"/>
  <c r="BR115" i="25"/>
  <c r="BX115" i="25" s="1"/>
  <c r="BN100" i="24"/>
  <c r="BY100" i="24"/>
  <c r="CA100" i="24" s="1"/>
  <c r="CB100" i="24" s="1"/>
  <c r="BY172" i="24"/>
  <c r="CA172" i="24" s="1"/>
  <c r="CB172" i="24" s="1"/>
  <c r="BM172" i="24"/>
  <c r="BN172" i="24" s="1"/>
  <c r="AG584" i="29"/>
  <c r="W584" i="29"/>
  <c r="AH210" i="29"/>
  <c r="X210" i="29"/>
  <c r="Y210" i="29" s="1"/>
  <c r="BY306" i="24"/>
  <c r="CA306" i="24" s="1"/>
  <c r="BM306" i="24"/>
  <c r="BN306" i="24" s="1"/>
  <c r="BY51" i="24"/>
  <c r="CA51" i="24" s="1"/>
  <c r="CB51" i="24" s="1"/>
  <c r="BN51" i="24"/>
  <c r="BE279" i="25"/>
  <c r="BR279" i="25"/>
  <c r="BX279" i="25" s="1"/>
  <c r="BY57" i="24"/>
  <c r="CA57" i="24" s="1"/>
  <c r="CB57" i="24" s="1"/>
  <c r="BN57" i="24"/>
  <c r="AG74" i="29"/>
  <c r="W74" i="29"/>
  <c r="W508" i="29"/>
  <c r="AG508" i="29"/>
  <c r="AH286" i="29"/>
  <c r="X286" i="29"/>
  <c r="Y286" i="29" s="1"/>
  <c r="AH560" i="29"/>
  <c r="X560" i="29"/>
  <c r="Y560" i="29" s="1"/>
  <c r="AH25" i="29"/>
  <c r="X25" i="29"/>
  <c r="Y25" i="29" s="1"/>
  <c r="BY315" i="24"/>
  <c r="CA315" i="24" s="1"/>
  <c r="BM315" i="24"/>
  <c r="BN315" i="24" s="1"/>
  <c r="BE316" i="25"/>
  <c r="BR316" i="25"/>
  <c r="BX316" i="25" s="1"/>
  <c r="BE219" i="25"/>
  <c r="BR219" i="25"/>
  <c r="BX219" i="25" s="1"/>
  <c r="BR15" i="25"/>
  <c r="BV15" i="25" s="1"/>
  <c r="BX15" i="25" s="1"/>
  <c r="BE15" i="25"/>
  <c r="BK15" i="25" s="1"/>
  <c r="BY148" i="25"/>
  <c r="CA148" i="25" s="1"/>
  <c r="CB148" i="25" s="1"/>
  <c r="BL148" i="25"/>
  <c r="BK148" i="25"/>
  <c r="BE284" i="25"/>
  <c r="BR284" i="25"/>
  <c r="BX284" i="25" s="1"/>
  <c r="BY29" i="24"/>
  <c r="CA29" i="24" s="1"/>
  <c r="CB29" i="24" s="1"/>
  <c r="BN29" i="24"/>
  <c r="BY256" i="24"/>
  <c r="CA256" i="24" s="1"/>
  <c r="CB256" i="24" s="1"/>
  <c r="BM256" i="24"/>
  <c r="BN256" i="24" s="1"/>
  <c r="BY122" i="24"/>
  <c r="CA122" i="24" s="1"/>
  <c r="CB122" i="24" s="1"/>
  <c r="BM122" i="24"/>
  <c r="BN122" i="24" s="1"/>
  <c r="BL189" i="25"/>
  <c r="BY189" i="25"/>
  <c r="CA189" i="25" s="1"/>
  <c r="BK189" i="25"/>
  <c r="BR128" i="25"/>
  <c r="BX128" i="25" s="1"/>
  <c r="BE128" i="25"/>
  <c r="AH509" i="29"/>
  <c r="X509" i="29"/>
  <c r="Y509" i="29" s="1"/>
  <c r="X52" i="29"/>
  <c r="Y52" i="29" s="1"/>
  <c r="AH52" i="29"/>
  <c r="AH90" i="29"/>
  <c r="X90" i="29"/>
  <c r="Y90" i="29" s="1"/>
  <c r="AH216" i="29"/>
  <c r="X216" i="29"/>
  <c r="Y216" i="29" s="1"/>
  <c r="W367" i="29"/>
  <c r="AG367" i="29"/>
  <c r="BE25" i="25"/>
  <c r="BK25" i="25" s="1"/>
  <c r="BR25" i="25"/>
  <c r="BV25" i="25" s="1"/>
  <c r="BX25" i="25" s="1"/>
  <c r="BR9" i="25"/>
  <c r="BV9" i="25" s="1"/>
  <c r="BX9" i="25" s="1"/>
  <c r="BE9" i="25"/>
  <c r="BK9" i="25" s="1"/>
  <c r="BY167" i="25"/>
  <c r="CA167" i="25" s="1"/>
  <c r="CB167" i="25" s="1"/>
  <c r="BL167" i="25"/>
  <c r="BK167" i="25"/>
  <c r="BY178" i="24"/>
  <c r="CA178" i="24" s="1"/>
  <c r="BM178" i="24"/>
  <c r="BN178" i="24" s="1"/>
  <c r="BR236" i="25"/>
  <c r="BX236" i="25" s="1"/>
  <c r="BE236" i="25"/>
  <c r="BY161" i="25"/>
  <c r="CA161" i="25" s="1"/>
  <c r="BL161" i="25"/>
  <c r="BK161" i="25"/>
  <c r="BY289" i="24"/>
  <c r="CA289" i="24" s="1"/>
  <c r="CB289" i="24" s="1"/>
  <c r="BM289" i="24"/>
  <c r="BN289" i="24" s="1"/>
  <c r="BY139" i="24"/>
  <c r="CA139" i="24" s="1"/>
  <c r="BM139" i="24"/>
  <c r="BN139" i="24" s="1"/>
  <c r="BE244" i="25"/>
  <c r="BR244" i="25"/>
  <c r="BX244" i="25" s="1"/>
  <c r="AH183" i="29"/>
  <c r="X183" i="29"/>
  <c r="Y183" i="29" s="1"/>
  <c r="AH200" i="29"/>
  <c r="X200" i="29"/>
  <c r="Y200" i="29" s="1"/>
  <c r="AH173" i="29"/>
  <c r="X173" i="29"/>
  <c r="Y173" i="29" s="1"/>
  <c r="W420" i="29"/>
  <c r="AG420" i="29"/>
  <c r="AH121" i="29"/>
  <c r="X121" i="29"/>
  <c r="Y121" i="29" s="1"/>
  <c r="W605" i="29"/>
  <c r="AG605" i="29"/>
  <c r="AG273" i="29"/>
  <c r="W273" i="29"/>
  <c r="AH107" i="29"/>
  <c r="X107" i="29"/>
  <c r="Y107" i="29" s="1"/>
  <c r="AG607" i="29"/>
  <c r="W607" i="29"/>
  <c r="W323" i="29"/>
  <c r="AG323" i="29"/>
  <c r="W269" i="29"/>
  <c r="AG269" i="29"/>
  <c r="W68" i="29"/>
  <c r="AG68" i="29"/>
  <c r="AH439" i="29"/>
  <c r="X439" i="29"/>
  <c r="Y439" i="29" s="1"/>
  <c r="W545" i="29"/>
  <c r="AG545" i="29"/>
  <c r="X170" i="29"/>
  <c r="Y170" i="29" s="1"/>
  <c r="AH170" i="29"/>
  <c r="X465" i="29"/>
  <c r="Y465" i="29" s="1"/>
  <c r="AH465" i="29"/>
  <c r="X49" i="29"/>
  <c r="Y49" i="29" s="1"/>
  <c r="AH49" i="29"/>
  <c r="BY6" i="25"/>
  <c r="CA6" i="25" s="1"/>
  <c r="BL6" i="25"/>
  <c r="BY10" i="24"/>
  <c r="CA10" i="24" s="1"/>
  <c r="CB10" i="24" s="1"/>
  <c r="BN10" i="24"/>
  <c r="BE251" i="25"/>
  <c r="BR251" i="25"/>
  <c r="BX251" i="25" s="1"/>
  <c r="AH588" i="29"/>
  <c r="X588" i="29"/>
  <c r="Y588" i="29" s="1"/>
  <c r="AH326" i="29"/>
  <c r="X326" i="29"/>
  <c r="Y326" i="29" s="1"/>
  <c r="AH366" i="29"/>
  <c r="X366" i="29"/>
  <c r="Y366" i="29" s="1"/>
  <c r="AH223" i="29"/>
  <c r="X223" i="29"/>
  <c r="Y223" i="29" s="1"/>
  <c r="AH238" i="29"/>
  <c r="X238" i="29"/>
  <c r="Y238" i="29" s="1"/>
  <c r="BE311" i="25"/>
  <c r="BR311" i="25"/>
  <c r="BX311" i="25" s="1"/>
  <c r="BE120" i="25"/>
  <c r="BR120" i="25"/>
  <c r="BX120" i="25" s="1"/>
  <c r="BY155" i="24"/>
  <c r="CA155" i="24" s="1"/>
  <c r="CB155" i="24" s="1"/>
  <c r="BM155" i="24"/>
  <c r="BN155" i="24" s="1"/>
  <c r="BR83" i="25"/>
  <c r="BV83" i="25" s="1"/>
  <c r="BX83" i="25" s="1"/>
  <c r="BE83" i="25"/>
  <c r="BK83" i="25" s="1"/>
  <c r="BR207" i="25"/>
  <c r="BX207" i="25" s="1"/>
  <c r="BE207" i="25"/>
  <c r="BY179" i="24"/>
  <c r="CA179" i="24" s="1"/>
  <c r="BM179" i="24"/>
  <c r="BN179" i="24" s="1"/>
  <c r="BY269" i="24"/>
  <c r="CA269" i="24" s="1"/>
  <c r="BM269" i="24"/>
  <c r="BN269" i="24" s="1"/>
  <c r="BE118" i="25"/>
  <c r="BR118" i="25"/>
  <c r="BX118" i="25" s="1"/>
  <c r="BN85" i="24"/>
  <c r="BY85" i="24"/>
  <c r="CA85" i="24" s="1"/>
  <c r="CB85" i="24" s="1"/>
  <c r="AG601" i="29"/>
  <c r="W601" i="29"/>
  <c r="AG413" i="29"/>
  <c r="W413" i="29"/>
  <c r="AH150" i="29"/>
  <c r="X150" i="29"/>
  <c r="Y150" i="29" s="1"/>
  <c r="AG308" i="29"/>
  <c r="W308" i="29"/>
  <c r="W538" i="29"/>
  <c r="AG538" i="29"/>
  <c r="BY59" i="24"/>
  <c r="CA59" i="24" s="1"/>
  <c r="CB59" i="24" s="1"/>
  <c r="BN59" i="24"/>
  <c r="BL273" i="25"/>
  <c r="BY273" i="25"/>
  <c r="CA273" i="25" s="1"/>
  <c r="CB273" i="25" s="1"/>
  <c r="BK273" i="25"/>
  <c r="BY255" i="25"/>
  <c r="CA255" i="25" s="1"/>
  <c r="CB255" i="25" s="1"/>
  <c r="BL255" i="25"/>
  <c r="BK255" i="25"/>
  <c r="BY241" i="24"/>
  <c r="CA241" i="24" s="1"/>
  <c r="BM241" i="24"/>
  <c r="BN241" i="24" s="1"/>
  <c r="BY194" i="24"/>
  <c r="CA194" i="24" s="1"/>
  <c r="CB194" i="24" s="1"/>
  <c r="BM194" i="24"/>
  <c r="BN194" i="24" s="1"/>
  <c r="BY286" i="24"/>
  <c r="CA286" i="24" s="1"/>
  <c r="BM286" i="24"/>
  <c r="BN286" i="24" s="1"/>
  <c r="BE140" i="25"/>
  <c r="BR140" i="25"/>
  <c r="BX140" i="25" s="1"/>
  <c r="BY195" i="24"/>
  <c r="CA195" i="24" s="1"/>
  <c r="CB195" i="24" s="1"/>
  <c r="BM195" i="24"/>
  <c r="BN195" i="24" s="1"/>
  <c r="BR205" i="25"/>
  <c r="BX205" i="25" s="1"/>
  <c r="BE205" i="25"/>
  <c r="BY184" i="24"/>
  <c r="CA184" i="24" s="1"/>
  <c r="CB184" i="24" s="1"/>
  <c r="BM184" i="24"/>
  <c r="BN184" i="24" s="1"/>
  <c r="W51" i="29"/>
  <c r="AG51" i="29"/>
  <c r="X533" i="29"/>
  <c r="Y533" i="29" s="1"/>
  <c r="AH533" i="29"/>
  <c r="AH174" i="29"/>
  <c r="X174" i="29"/>
  <c r="Y174" i="29" s="1"/>
  <c r="AH383" i="29"/>
  <c r="X383" i="29"/>
  <c r="Y383" i="29" s="1"/>
  <c r="AG586" i="29"/>
  <c r="W586" i="29"/>
  <c r="W29" i="29"/>
  <c r="AG29" i="29"/>
  <c r="AH448" i="29"/>
  <c r="X448" i="29"/>
  <c r="Y448" i="29" s="1"/>
  <c r="W328" i="29"/>
  <c r="AG328" i="29"/>
  <c r="W276" i="29"/>
  <c r="AG276" i="29"/>
  <c r="AH450" i="29"/>
  <c r="X450" i="29"/>
  <c r="Y450" i="29" s="1"/>
  <c r="W281" i="29"/>
  <c r="AG281" i="29"/>
  <c r="W53" i="29"/>
  <c r="AG53" i="29"/>
  <c r="W47" i="29"/>
  <c r="AG47" i="29"/>
  <c r="BY124" i="24"/>
  <c r="CA124" i="24" s="1"/>
  <c r="CB124" i="24" s="1"/>
  <c r="BM124" i="24"/>
  <c r="BN124" i="24" s="1"/>
  <c r="BE310" i="25"/>
  <c r="BR310" i="25"/>
  <c r="BX310" i="25" s="1"/>
  <c r="BY223" i="24"/>
  <c r="CA223" i="24" s="1"/>
  <c r="CB223" i="24" s="1"/>
  <c r="BM223" i="24"/>
  <c r="BN223" i="24" s="1"/>
  <c r="BN65" i="24"/>
  <c r="BY65" i="24"/>
  <c r="CA65" i="24" s="1"/>
  <c r="CB65" i="24" s="1"/>
  <c r="BR208" i="25"/>
  <c r="BX208" i="25" s="1"/>
  <c r="BE208" i="25"/>
  <c r="BY177" i="25"/>
  <c r="CA177" i="25" s="1"/>
  <c r="BL177" i="25"/>
  <c r="BK177" i="25"/>
  <c r="BN103" i="24"/>
  <c r="BY103" i="24"/>
  <c r="CA103" i="24" s="1"/>
  <c r="BL258" i="25"/>
  <c r="BY258" i="25"/>
  <c r="CA258" i="25" s="1"/>
  <c r="CB258" i="25" s="1"/>
  <c r="BK258" i="25"/>
  <c r="AH207" i="29"/>
  <c r="X207" i="29"/>
  <c r="Y207" i="29" s="1"/>
  <c r="AH338" i="29"/>
  <c r="X338" i="29"/>
  <c r="Y338" i="29" s="1"/>
  <c r="X221" i="29"/>
  <c r="Y221" i="29" s="1"/>
  <c r="AH221" i="29"/>
  <c r="AH113" i="29"/>
  <c r="X113" i="29"/>
  <c r="Y113" i="29" s="1"/>
  <c r="AG517" i="29"/>
  <c r="W517" i="29"/>
  <c r="AH421" i="29"/>
  <c r="X421" i="29"/>
  <c r="Y421" i="29" s="1"/>
  <c r="AH557" i="29"/>
  <c r="X557" i="29"/>
  <c r="Y557" i="29" s="1"/>
  <c r="AH350" i="29"/>
  <c r="X350" i="29"/>
  <c r="Y350" i="29" s="1"/>
  <c r="W427" i="29"/>
  <c r="AG427" i="29"/>
  <c r="AG27" i="29"/>
  <c r="W27" i="29"/>
  <c r="AG217" i="29"/>
  <c r="W217" i="29"/>
  <c r="AH522" i="29"/>
  <c r="X522" i="29"/>
  <c r="Y522" i="29" s="1"/>
  <c r="X318" i="29"/>
  <c r="Y318" i="29" s="1"/>
  <c r="AH318" i="29"/>
  <c r="AG227" i="29"/>
  <c r="W227" i="29"/>
  <c r="AG590" i="29"/>
  <c r="W590" i="29"/>
  <c r="AG95" i="29"/>
  <c r="W95" i="29"/>
  <c r="AG152" i="29"/>
  <c r="W152" i="29"/>
  <c r="BY297" i="24"/>
  <c r="CA297" i="24" s="1"/>
  <c r="BM297" i="24"/>
  <c r="BN297" i="24" s="1"/>
  <c r="BY262" i="24"/>
  <c r="CA262" i="24" s="1"/>
  <c r="BM262" i="24"/>
  <c r="BN262" i="24" s="1"/>
  <c r="BY68" i="24"/>
  <c r="CA68" i="24" s="1"/>
  <c r="CB68" i="24" s="1"/>
  <c r="BN68" i="24"/>
  <c r="BE298" i="25"/>
  <c r="BR298" i="25"/>
  <c r="BX298" i="25" s="1"/>
  <c r="BE184" i="25"/>
  <c r="BR184" i="25"/>
  <c r="BX184" i="25" s="1"/>
  <c r="BY200" i="24"/>
  <c r="CA200" i="24" s="1"/>
  <c r="BM200" i="24"/>
  <c r="BN200" i="24" s="1"/>
  <c r="BR250" i="25"/>
  <c r="BX250" i="25" s="1"/>
  <c r="BE250" i="25"/>
  <c r="BY168" i="24"/>
  <c r="CA168" i="24" s="1"/>
  <c r="BM168" i="24"/>
  <c r="BN168" i="24" s="1"/>
  <c r="BY181" i="24"/>
  <c r="CA181" i="24" s="1"/>
  <c r="CB181" i="24" s="1"/>
  <c r="BM181" i="24"/>
  <c r="BN181" i="24" s="1"/>
  <c r="BR51" i="25"/>
  <c r="BV51" i="25" s="1"/>
  <c r="BX51" i="25" s="1"/>
  <c r="BE51" i="25"/>
  <c r="BK51" i="25" s="1"/>
  <c r="BR286" i="25"/>
  <c r="BX286" i="25" s="1"/>
  <c r="BE286" i="25"/>
  <c r="BY95" i="25"/>
  <c r="CA95" i="25" s="1"/>
  <c r="CB95" i="25" s="1"/>
  <c r="BL95" i="25"/>
  <c r="AG295" i="29"/>
  <c r="W295" i="29"/>
  <c r="AG193" i="29"/>
  <c r="W193" i="29"/>
  <c r="W333" i="29"/>
  <c r="AG333" i="29"/>
  <c r="AG285" i="29"/>
  <c r="W285" i="29"/>
  <c r="X562" i="29"/>
  <c r="Y562" i="29" s="1"/>
  <c r="AH562" i="29"/>
  <c r="AH569" i="29"/>
  <c r="X569" i="29"/>
  <c r="Y569" i="29" s="1"/>
  <c r="AH265" i="29"/>
  <c r="X265" i="29"/>
  <c r="Y265" i="29" s="1"/>
  <c r="BY186" i="24"/>
  <c r="CA186" i="24" s="1"/>
  <c r="BM186" i="24"/>
  <c r="BN186" i="24" s="1"/>
  <c r="BY116" i="24"/>
  <c r="CA116" i="24" s="1"/>
  <c r="CB116" i="24" s="1"/>
  <c r="BM116" i="24"/>
  <c r="BN116" i="24" s="1"/>
  <c r="BL240" i="25"/>
  <c r="BY240" i="25"/>
  <c r="CA240" i="25" s="1"/>
  <c r="CB240" i="25" s="1"/>
  <c r="BK240" i="25"/>
  <c r="AH514" i="29"/>
  <c r="X514" i="29"/>
  <c r="Y514" i="29" s="1"/>
  <c r="AG309" i="29"/>
  <c r="W309" i="29"/>
  <c r="W62" i="29"/>
  <c r="AG62" i="29"/>
  <c r="AH422" i="29"/>
  <c r="X422" i="29"/>
  <c r="Y422" i="29" s="1"/>
  <c r="AH166" i="29"/>
  <c r="X166" i="29"/>
  <c r="Y166" i="29" s="1"/>
  <c r="AG477" i="29"/>
  <c r="W477" i="29"/>
  <c r="X508" i="29"/>
  <c r="Y508" i="29" s="1"/>
  <c r="AH508" i="29"/>
  <c r="X41" i="29"/>
  <c r="Y41" i="29" s="1"/>
  <c r="AH41" i="29"/>
  <c r="AH495" i="29"/>
  <c r="X495" i="29"/>
  <c r="Y495" i="29" s="1"/>
  <c r="AH335" i="29"/>
  <c r="X335" i="29"/>
  <c r="Y335" i="29" s="1"/>
  <c r="AG479" i="29"/>
  <c r="W479" i="29"/>
  <c r="W550" i="29"/>
  <c r="AG550" i="29"/>
  <c r="AH559" i="29"/>
  <c r="X559" i="29"/>
  <c r="Y559" i="29" s="1"/>
  <c r="BY254" i="24"/>
  <c r="CA254" i="24" s="1"/>
  <c r="CB254" i="24" s="1"/>
  <c r="BM254" i="24"/>
  <c r="BN254" i="24" s="1"/>
  <c r="BY210" i="24"/>
  <c r="CA210" i="24" s="1"/>
  <c r="BM210" i="24"/>
  <c r="BN210" i="24" s="1"/>
  <c r="BE99" i="25"/>
  <c r="BK99" i="25" s="1"/>
  <c r="BR99" i="25"/>
  <c r="BV99" i="25" s="1"/>
  <c r="BX99" i="25" s="1"/>
  <c r="BE88" i="25"/>
  <c r="BK88" i="25" s="1"/>
  <c r="BR88" i="25"/>
  <c r="BV88" i="25" s="1"/>
  <c r="BX88" i="25" s="1"/>
  <c r="BY97" i="25"/>
  <c r="CA97" i="25" s="1"/>
  <c r="BL97" i="25"/>
  <c r="BY193" i="24"/>
  <c r="CA193" i="24" s="1"/>
  <c r="BM193" i="24"/>
  <c r="BN193" i="24" s="1"/>
  <c r="BY159" i="24"/>
  <c r="CA159" i="24" s="1"/>
  <c r="CB159" i="24" s="1"/>
  <c r="BM159" i="24"/>
  <c r="BN159" i="24" s="1"/>
  <c r="BE241" i="25"/>
  <c r="BR241" i="25"/>
  <c r="BX241" i="25" s="1"/>
  <c r="BE67" i="25"/>
  <c r="BK67" i="25" s="1"/>
  <c r="BR67" i="25"/>
  <c r="BV67" i="25" s="1"/>
  <c r="BX67" i="25" s="1"/>
  <c r="BY273" i="24"/>
  <c r="CA273" i="24" s="1"/>
  <c r="CB273" i="24" s="1"/>
  <c r="BM273" i="24"/>
  <c r="BN273" i="24" s="1"/>
  <c r="BY161" i="24"/>
  <c r="CA161" i="24" s="1"/>
  <c r="BM161" i="24"/>
  <c r="BN161" i="24" s="1"/>
  <c r="BY166" i="24"/>
  <c r="CA166" i="24" s="1"/>
  <c r="BM166" i="24"/>
  <c r="BN166" i="24" s="1"/>
  <c r="AG80" i="29"/>
  <c r="W80" i="29"/>
  <c r="AH85" i="29"/>
  <c r="X85" i="29"/>
  <c r="Y85" i="29" s="1"/>
  <c r="AH157" i="29"/>
  <c r="X157" i="29"/>
  <c r="Y157" i="29" s="1"/>
  <c r="X426" i="29"/>
  <c r="Y426" i="29" s="1"/>
  <c r="AH426" i="29"/>
  <c r="X434" i="29"/>
  <c r="Y434" i="29" s="1"/>
  <c r="AH434" i="29"/>
  <c r="W509" i="29"/>
  <c r="AG509" i="29"/>
  <c r="AH84" i="29"/>
  <c r="X84" i="29"/>
  <c r="Y84" i="29" s="1"/>
  <c r="AH222" i="29"/>
  <c r="X222" i="29"/>
  <c r="Y222" i="29" s="1"/>
  <c r="AH360" i="29"/>
  <c r="X360" i="29"/>
  <c r="Y360" i="29" s="1"/>
  <c r="AG458" i="29"/>
  <c r="W458" i="29"/>
  <c r="W470" i="29"/>
  <c r="AG470" i="29"/>
  <c r="W196" i="29"/>
  <c r="AG196" i="29"/>
  <c r="AH351" i="29"/>
  <c r="X351" i="29"/>
  <c r="Y351" i="29" s="1"/>
  <c r="AH146" i="29"/>
  <c r="X146" i="29"/>
  <c r="Y146" i="29" s="1"/>
  <c r="W377" i="29"/>
  <c r="AG377" i="29"/>
  <c r="BY134" i="24"/>
  <c r="CA134" i="24" s="1"/>
  <c r="CB134" i="24" s="1"/>
  <c r="BM134" i="24"/>
  <c r="BN134" i="24" s="1"/>
  <c r="BY287" i="24"/>
  <c r="CA287" i="24" s="1"/>
  <c r="CB287" i="24" s="1"/>
  <c r="BM287" i="24"/>
  <c r="BN287" i="24" s="1"/>
  <c r="BY77" i="24"/>
  <c r="CA77" i="24" s="1"/>
  <c r="CB77" i="24" s="1"/>
  <c r="BN77" i="24"/>
  <c r="BY131" i="24"/>
  <c r="CA131" i="24" s="1"/>
  <c r="CB131" i="24" s="1"/>
  <c r="BM131" i="24"/>
  <c r="BN131" i="24" s="1"/>
  <c r="BE55" i="25"/>
  <c r="BK55" i="25" s="1"/>
  <c r="BR55" i="25"/>
  <c r="BV55" i="25" s="1"/>
  <c r="BX55" i="25" s="1"/>
  <c r="BY263" i="24"/>
  <c r="CA263" i="24" s="1"/>
  <c r="BM263" i="24"/>
  <c r="BN263" i="24" s="1"/>
  <c r="BE166" i="25"/>
  <c r="BR166" i="25"/>
  <c r="BX166" i="25" s="1"/>
  <c r="BE312" i="25"/>
  <c r="BR312" i="25"/>
  <c r="BX312" i="25" s="1"/>
  <c r="X260" i="29"/>
  <c r="Y260" i="29" s="1"/>
  <c r="AH260" i="29"/>
  <c r="AG235" i="29"/>
  <c r="W235" i="29"/>
  <c r="W546" i="29"/>
  <c r="AG546" i="29"/>
  <c r="W454" i="29"/>
  <c r="AG454" i="29"/>
  <c r="AH498" i="29"/>
  <c r="X498" i="29"/>
  <c r="Y498" i="29" s="1"/>
  <c r="AH561" i="29"/>
  <c r="X561" i="29"/>
  <c r="Y561" i="29" s="1"/>
  <c r="W462" i="29"/>
  <c r="AG462" i="29"/>
  <c r="AH523" i="29"/>
  <c r="X523" i="29"/>
  <c r="Y523" i="29" s="1"/>
  <c r="BY245" i="24"/>
  <c r="CA245" i="24" s="1"/>
  <c r="BM245" i="24"/>
  <c r="BN245" i="24" s="1"/>
  <c r="BE226" i="25"/>
  <c r="BR226" i="25"/>
  <c r="BX226" i="25" s="1"/>
  <c r="BE217" i="25"/>
  <c r="BR217" i="25"/>
  <c r="BX217" i="25" s="1"/>
  <c r="BY170" i="24"/>
  <c r="CA170" i="24" s="1"/>
  <c r="BM170" i="24"/>
  <c r="BN170" i="24" s="1"/>
  <c r="BE224" i="25"/>
  <c r="BR224" i="25"/>
  <c r="BX224" i="25" s="1"/>
  <c r="BY255" i="24"/>
  <c r="CA255" i="24" s="1"/>
  <c r="CB255" i="24" s="1"/>
  <c r="BM255" i="24"/>
  <c r="BN255" i="24" s="1"/>
  <c r="W87" i="29"/>
  <c r="AG87" i="29"/>
  <c r="AH294" i="29"/>
  <c r="X294" i="29"/>
  <c r="Y294" i="29" s="1"/>
  <c r="X33" i="29"/>
  <c r="Y33" i="29" s="1"/>
  <c r="AH33" i="29"/>
  <c r="W407" i="29"/>
  <c r="AG407" i="29"/>
  <c r="X137" i="29"/>
  <c r="Y137" i="29" s="1"/>
  <c r="AH137" i="29"/>
  <c r="W247" i="29"/>
  <c r="AG247" i="29"/>
  <c r="AG461" i="29"/>
  <c r="W461" i="29"/>
  <c r="AH291" i="29"/>
  <c r="X291" i="29"/>
  <c r="Y291" i="29" s="1"/>
  <c r="W311" i="29"/>
  <c r="AG311" i="29"/>
  <c r="W162" i="29"/>
  <c r="AG162" i="29"/>
  <c r="AH164" i="29"/>
  <c r="X164" i="29"/>
  <c r="Y164" i="29" s="1"/>
  <c r="AG238" i="29"/>
  <c r="W238" i="29"/>
  <c r="AG400" i="29"/>
  <c r="W400" i="29"/>
  <c r="X480" i="29"/>
  <c r="Y480" i="29" s="1"/>
  <c r="AH480" i="29"/>
  <c r="AH489" i="29"/>
  <c r="X489" i="29"/>
  <c r="Y489" i="29" s="1"/>
  <c r="BY243" i="25"/>
  <c r="CA243" i="25" s="1"/>
  <c r="CB243" i="25" s="1"/>
  <c r="BL243" i="25"/>
  <c r="BK243" i="25"/>
  <c r="BE156" i="25"/>
  <c r="BR156" i="25"/>
  <c r="BX156" i="25" s="1"/>
  <c r="BY89" i="25"/>
  <c r="CA89" i="25" s="1"/>
  <c r="BL89" i="25"/>
  <c r="BE123" i="25"/>
  <c r="BR123" i="25"/>
  <c r="BX123" i="25" s="1"/>
  <c r="BY30" i="25"/>
  <c r="CA30" i="25" s="1"/>
  <c r="BL30" i="25"/>
  <c r="BY288" i="24"/>
  <c r="CA288" i="24" s="1"/>
  <c r="BM288" i="24"/>
  <c r="BN288" i="24" s="1"/>
  <c r="BY173" i="25"/>
  <c r="CA173" i="25" s="1"/>
  <c r="BL173" i="25"/>
  <c r="BK173" i="25"/>
  <c r="BE271" i="25"/>
  <c r="BR271" i="25"/>
  <c r="BX271" i="25" s="1"/>
  <c r="BY276" i="24"/>
  <c r="CA276" i="24" s="1"/>
  <c r="BM276" i="24"/>
  <c r="BN276" i="24" s="1"/>
  <c r="BE111" i="25"/>
  <c r="BR111" i="25"/>
  <c r="BX111" i="25" s="1"/>
  <c r="W267" i="29"/>
  <c r="AG267" i="29"/>
  <c r="AG250" i="29"/>
  <c r="W250" i="29"/>
  <c r="AH528" i="29"/>
  <c r="X528" i="29"/>
  <c r="Y528" i="29" s="1"/>
  <c r="AH369" i="29"/>
  <c r="X369" i="29"/>
  <c r="Y369" i="29" s="1"/>
  <c r="X440" i="29"/>
  <c r="Y440" i="29" s="1"/>
  <c r="AH440" i="29"/>
  <c r="X301" i="29"/>
  <c r="Y301" i="29" s="1"/>
  <c r="AH301" i="29"/>
  <c r="AG39" i="29"/>
  <c r="W39" i="29"/>
  <c r="W320" i="29"/>
  <c r="AG320" i="29"/>
  <c r="X431" i="29"/>
  <c r="Y431" i="29" s="1"/>
  <c r="AH431" i="29"/>
  <c r="AH380" i="29"/>
  <c r="X380" i="29"/>
  <c r="Y380" i="29" s="1"/>
  <c r="AG572" i="29"/>
  <c r="W572" i="29"/>
  <c r="W197" i="29"/>
  <c r="AG197" i="29"/>
  <c r="AG44" i="29"/>
  <c r="W44" i="29"/>
  <c r="AG418" i="29"/>
  <c r="W418" i="29"/>
  <c r="W536" i="29"/>
  <c r="AG536" i="29"/>
  <c r="BE210" i="25"/>
  <c r="BR210" i="25"/>
  <c r="BX210" i="25" s="1"/>
  <c r="BR209" i="25"/>
  <c r="BX209" i="25" s="1"/>
  <c r="BE209" i="25"/>
  <c r="BE53" i="25"/>
  <c r="BK53" i="25" s="1"/>
  <c r="BR53" i="25"/>
  <c r="BV53" i="25" s="1"/>
  <c r="BX53" i="25" s="1"/>
  <c r="BY155" i="25"/>
  <c r="CA155" i="25" s="1"/>
  <c r="CB155" i="25" s="1"/>
  <c r="BL155" i="25"/>
  <c r="BK155" i="25"/>
  <c r="BN76" i="24"/>
  <c r="BY76" i="24"/>
  <c r="CA76" i="24" s="1"/>
  <c r="CB76" i="24" s="1"/>
  <c r="BE122" i="25"/>
  <c r="BR122" i="25"/>
  <c r="BX122" i="25" s="1"/>
  <c r="BE20" i="25"/>
  <c r="BK20" i="25" s="1"/>
  <c r="BR20" i="25"/>
  <c r="BV20" i="25" s="1"/>
  <c r="BX20" i="25" s="1"/>
  <c r="BE295" i="25"/>
  <c r="BR295" i="25"/>
  <c r="BX295" i="25" s="1"/>
  <c r="BY198" i="24"/>
  <c r="CA198" i="24" s="1"/>
  <c r="CB198" i="24" s="1"/>
  <c r="BM198" i="24"/>
  <c r="BN198" i="24" s="1"/>
  <c r="AG239" i="29"/>
  <c r="W239" i="29"/>
  <c r="AG78" i="29"/>
  <c r="W78" i="29"/>
  <c r="X347" i="29"/>
  <c r="Y347" i="29" s="1"/>
  <c r="AH347" i="29"/>
  <c r="X513" i="29"/>
  <c r="Y513" i="29" s="1"/>
  <c r="AH513" i="29"/>
  <c r="AG205" i="29"/>
  <c r="W205" i="29"/>
  <c r="BR79" i="25"/>
  <c r="BV79" i="25" s="1"/>
  <c r="BX79" i="25" s="1"/>
  <c r="BE79" i="25"/>
  <c r="BK79" i="25" s="1"/>
  <c r="BY291" i="25"/>
  <c r="CA291" i="25" s="1"/>
  <c r="CB291" i="25" s="1"/>
  <c r="BL291" i="25"/>
  <c r="BK291" i="25"/>
  <c r="BY9" i="24"/>
  <c r="CA9" i="24" s="1"/>
  <c r="CB9" i="24" s="1"/>
  <c r="BN9" i="24"/>
  <c r="BY30" i="24"/>
  <c r="CA30" i="24" s="1"/>
  <c r="BN30" i="24"/>
  <c r="BY52" i="24"/>
  <c r="CA52" i="24" s="1"/>
  <c r="CB52" i="24" s="1"/>
  <c r="BN52" i="24"/>
  <c r="BY86" i="24"/>
  <c r="CA86" i="24" s="1"/>
  <c r="CB86" i="24" s="1"/>
  <c r="BN86" i="24"/>
  <c r="BL267" i="25"/>
  <c r="BY267" i="25"/>
  <c r="CA267" i="25" s="1"/>
  <c r="CB267" i="25" s="1"/>
  <c r="BK267" i="25"/>
  <c r="BE216" i="25"/>
  <c r="BR216" i="25"/>
  <c r="BX216" i="25" s="1"/>
  <c r="AG549" i="29"/>
  <c r="W549" i="29"/>
  <c r="AG76" i="29"/>
  <c r="W76" i="29"/>
  <c r="BY35" i="24"/>
  <c r="CA35" i="24" s="1"/>
  <c r="CB35" i="24" s="1"/>
  <c r="BN35" i="24"/>
  <c r="BE168" i="25"/>
  <c r="BR168" i="25"/>
  <c r="BX168" i="25" s="1"/>
  <c r="BY293" i="24"/>
  <c r="CA293" i="24" s="1"/>
  <c r="CB293" i="24" s="1"/>
  <c r="BM293" i="24"/>
  <c r="BN293" i="24" s="1"/>
  <c r="BY186" i="25"/>
  <c r="CA186" i="25" s="1"/>
  <c r="BL186" i="25"/>
  <c r="BK186" i="25"/>
  <c r="BY249" i="24"/>
  <c r="CA249" i="24" s="1"/>
  <c r="CB249" i="24" s="1"/>
  <c r="BM249" i="24"/>
  <c r="BN249" i="24" s="1"/>
  <c r="BR46" i="25"/>
  <c r="BV46" i="25" s="1"/>
  <c r="BX46" i="25" s="1"/>
  <c r="BE46" i="25"/>
  <c r="BK46" i="25" s="1"/>
  <c r="AG468" i="29"/>
  <c r="W468" i="29"/>
  <c r="AH507" i="29"/>
  <c r="X507" i="29"/>
  <c r="Y507" i="29" s="1"/>
  <c r="AH447" i="29"/>
  <c r="X447" i="29"/>
  <c r="Y447" i="29" s="1"/>
  <c r="AH209" i="29"/>
  <c r="X209" i="29"/>
  <c r="Y209" i="29" s="1"/>
  <c r="W30" i="29"/>
  <c r="AG30" i="29"/>
  <c r="X193" i="29"/>
  <c r="Y193" i="29" s="1"/>
  <c r="AH193" i="29"/>
  <c r="AH140" i="29"/>
  <c r="X140" i="29"/>
  <c r="Y140" i="29" s="1"/>
  <c r="X285" i="29"/>
  <c r="Y285" i="29" s="1"/>
  <c r="AH285" i="29"/>
  <c r="X202" i="29"/>
  <c r="Y202" i="29" s="1"/>
  <c r="AH202" i="29"/>
  <c r="W182" i="29"/>
  <c r="AG182" i="29"/>
  <c r="AG419" i="29"/>
  <c r="W419" i="29"/>
  <c r="AG228" i="29"/>
  <c r="W228" i="29"/>
  <c r="AG159" i="29"/>
  <c r="W159" i="29"/>
  <c r="BE281" i="25"/>
  <c r="BR281" i="25"/>
  <c r="BX281" i="25" s="1"/>
  <c r="BY267" i="24"/>
  <c r="CA267" i="24" s="1"/>
  <c r="BM267" i="24"/>
  <c r="BN267" i="24" s="1"/>
  <c r="BY221" i="24"/>
  <c r="CA221" i="24" s="1"/>
  <c r="CB221" i="24" s="1"/>
  <c r="BM221" i="24"/>
  <c r="BN221" i="24" s="1"/>
  <c r="BE116" i="25"/>
  <c r="BR116" i="25"/>
  <c r="BX116" i="25" s="1"/>
  <c r="BE8" i="25"/>
  <c r="BK8" i="25" s="1"/>
  <c r="BR8" i="25"/>
  <c r="BV8" i="25" s="1"/>
  <c r="BX8" i="25" s="1"/>
  <c r="BE175" i="25"/>
  <c r="BR175" i="25"/>
  <c r="BX175" i="25" s="1"/>
  <c r="AG258" i="29"/>
  <c r="W258" i="29"/>
  <c r="BL292" i="25"/>
  <c r="BY292" i="25"/>
  <c r="CA292" i="25" s="1"/>
  <c r="CB292" i="25" s="1"/>
  <c r="BK292" i="25"/>
  <c r="BE245" i="25"/>
  <c r="BR245" i="25"/>
  <c r="BX245" i="25" s="1"/>
  <c r="BY239" i="24"/>
  <c r="CA239" i="24" s="1"/>
  <c r="CB239" i="24" s="1"/>
  <c r="BM239" i="24"/>
  <c r="BN239" i="24" s="1"/>
  <c r="W81" i="29"/>
  <c r="AG81" i="29"/>
  <c r="X108" i="29"/>
  <c r="Y108" i="29" s="1"/>
  <c r="AH108" i="29"/>
  <c r="X266" i="29"/>
  <c r="Y266" i="29" s="1"/>
  <c r="AH266" i="29"/>
  <c r="AH104" i="29"/>
  <c r="X104" i="29"/>
  <c r="Y104" i="29" s="1"/>
  <c r="BE299" i="25"/>
  <c r="BR299" i="25"/>
  <c r="BX299" i="25" s="1"/>
  <c r="BR93" i="25"/>
  <c r="BV93" i="25" s="1"/>
  <c r="BX93" i="25" s="1"/>
  <c r="BE93" i="25"/>
  <c r="BK93" i="25" s="1"/>
  <c r="BY277" i="24"/>
  <c r="CA277" i="24" s="1"/>
  <c r="CB277" i="24" s="1"/>
  <c r="BM277" i="24"/>
  <c r="BN277" i="24" s="1"/>
  <c r="BN80" i="24"/>
  <c r="BY80" i="24"/>
  <c r="CA80" i="24" s="1"/>
  <c r="BE37" i="25"/>
  <c r="BK37" i="25" s="1"/>
  <c r="BR37" i="25"/>
  <c r="BV37" i="25" s="1"/>
  <c r="BX37" i="25" s="1"/>
  <c r="BY217" i="24"/>
  <c r="CA217" i="24" s="1"/>
  <c r="BM217" i="24"/>
  <c r="BN217" i="24" s="1"/>
  <c r="BL96" i="25"/>
  <c r="BY96" i="25"/>
  <c r="CA96" i="25" s="1"/>
  <c r="BE102" i="25"/>
  <c r="BK102" i="25" s="1"/>
  <c r="BR102" i="25"/>
  <c r="BV102" i="25" s="1"/>
  <c r="BX102" i="25" s="1"/>
  <c r="BE139" i="25"/>
  <c r="BR139" i="25"/>
  <c r="BX139" i="25" s="1"/>
  <c r="BY38" i="24"/>
  <c r="CA38" i="24" s="1"/>
  <c r="CB38" i="24" s="1"/>
  <c r="BN38" i="24"/>
  <c r="AG437" i="29"/>
  <c r="W437" i="29"/>
  <c r="BE274" i="25"/>
  <c r="BR274" i="25"/>
  <c r="BX274" i="25" s="1"/>
  <c r="BN88" i="24"/>
  <c r="BY88" i="24"/>
  <c r="CA88" i="24" s="1"/>
  <c r="BY283" i="25"/>
  <c r="CA283" i="25" s="1"/>
  <c r="CB283" i="25" s="1"/>
  <c r="BL283" i="25"/>
  <c r="BK283" i="25"/>
  <c r="BY300" i="24"/>
  <c r="CA300" i="24" s="1"/>
  <c r="CB300" i="24" s="1"/>
  <c r="BM300" i="24"/>
  <c r="BN300" i="24" s="1"/>
  <c r="BY278" i="24"/>
  <c r="CA278" i="24" s="1"/>
  <c r="CB278" i="24" s="1"/>
  <c r="BM278" i="24"/>
  <c r="BN278" i="24" s="1"/>
  <c r="BY61" i="24"/>
  <c r="CA61" i="24" s="1"/>
  <c r="BN61" i="24"/>
  <c r="BR78" i="25"/>
  <c r="BV78" i="25" s="1"/>
  <c r="BX78" i="25" s="1"/>
  <c r="BE78" i="25"/>
  <c r="BK78" i="25" s="1"/>
  <c r="BY147" i="25"/>
  <c r="CA147" i="25" s="1"/>
  <c r="BL147" i="25"/>
  <c r="BK147" i="25"/>
  <c r="X531" i="29"/>
  <c r="Y531" i="29" s="1"/>
  <c r="AH531" i="29"/>
  <c r="AH410" i="29"/>
  <c r="X410" i="29"/>
  <c r="Y410" i="29" s="1"/>
  <c r="X289" i="29"/>
  <c r="Y289" i="29" s="1"/>
  <c r="AH289" i="29"/>
  <c r="W127" i="29"/>
  <c r="AG127" i="29"/>
  <c r="AH98" i="29"/>
  <c r="X98" i="29"/>
  <c r="Y98" i="29" s="1"/>
  <c r="AG510" i="29"/>
  <c r="W510" i="29"/>
  <c r="W20" i="29"/>
  <c r="AG20" i="29"/>
  <c r="AG451" i="29"/>
  <c r="W451" i="29"/>
  <c r="W94" i="29"/>
  <c r="AG94" i="29"/>
  <c r="AH382" i="29"/>
  <c r="X382" i="29"/>
  <c r="Y382" i="29" s="1"/>
  <c r="W506" i="29"/>
  <c r="AG506" i="29"/>
  <c r="BY167" i="24"/>
  <c r="CA167" i="24" s="1"/>
  <c r="CB167" i="24" s="1"/>
  <c r="BM167" i="24"/>
  <c r="BN167" i="24" s="1"/>
  <c r="BE74" i="25"/>
  <c r="BK74" i="25" s="1"/>
  <c r="BR74" i="25"/>
  <c r="BV74" i="25" s="1"/>
  <c r="BX74" i="25" s="1"/>
  <c r="BY154" i="24"/>
  <c r="CA154" i="24" s="1"/>
  <c r="CB154" i="24" s="1"/>
  <c r="BM154" i="24"/>
  <c r="BN154" i="24" s="1"/>
  <c r="BE68" i="25"/>
  <c r="BK68" i="25" s="1"/>
  <c r="BR68" i="25"/>
  <c r="BV68" i="25" s="1"/>
  <c r="BX68" i="25" s="1"/>
  <c r="BY151" i="24"/>
  <c r="CA151" i="24" s="1"/>
  <c r="BM151" i="24"/>
  <c r="BN151" i="24" s="1"/>
  <c r="BE309" i="25"/>
  <c r="BR309" i="25"/>
  <c r="BX309" i="25" s="1"/>
  <c r="BY50" i="24"/>
  <c r="CA50" i="24" s="1"/>
  <c r="CB50" i="24" s="1"/>
  <c r="BN50" i="24"/>
  <c r="AG18" i="29"/>
  <c r="W18" i="29"/>
  <c r="AH387" i="29"/>
  <c r="X387" i="29"/>
  <c r="Y387" i="29" s="1"/>
  <c r="X330" i="29"/>
  <c r="Y330" i="29" s="1"/>
  <c r="AH330" i="29"/>
  <c r="AH189" i="29"/>
  <c r="X189" i="29"/>
  <c r="Y189" i="29" s="1"/>
  <c r="AH60" i="29"/>
  <c r="X60" i="29"/>
  <c r="Y60" i="29" s="1"/>
  <c r="BE263" i="25"/>
  <c r="BR263" i="25"/>
  <c r="BX263" i="25" s="1"/>
  <c r="BR90" i="25"/>
  <c r="BV90" i="25" s="1"/>
  <c r="BX90" i="25" s="1"/>
  <c r="BE90" i="25"/>
  <c r="BK90" i="25" s="1"/>
  <c r="BY199" i="24"/>
  <c r="CA199" i="24" s="1"/>
  <c r="BM199" i="24"/>
  <c r="BN199" i="24" s="1"/>
  <c r="BN63" i="24"/>
  <c r="BY63" i="24"/>
  <c r="CA63" i="24" s="1"/>
  <c r="CB63" i="24" s="1"/>
  <c r="BN97" i="24"/>
  <c r="BY97" i="24"/>
  <c r="CA97" i="24" s="1"/>
  <c r="BY270" i="24"/>
  <c r="CA270" i="24" s="1"/>
  <c r="CB270" i="24" s="1"/>
  <c r="BM270" i="24"/>
  <c r="BN270" i="24" s="1"/>
  <c r="BR86" i="25"/>
  <c r="BV86" i="25" s="1"/>
  <c r="BX86" i="25" s="1"/>
  <c r="BE86" i="25"/>
  <c r="BK86" i="25" s="1"/>
  <c r="BY11" i="25"/>
  <c r="CA11" i="25" s="1"/>
  <c r="CB11" i="25" s="1"/>
  <c r="BL11" i="25"/>
  <c r="BE157" i="25"/>
  <c r="BR157" i="25"/>
  <c r="BX157" i="25" s="1"/>
  <c r="BN8" i="24"/>
  <c r="BY8" i="24"/>
  <c r="CA8" i="24" s="1"/>
  <c r="CB8" i="24" s="1"/>
  <c r="AG446" i="29"/>
  <c r="W446" i="29"/>
  <c r="W484" i="29"/>
  <c r="AG484" i="29"/>
  <c r="BY227" i="24"/>
  <c r="CA227" i="24" s="1"/>
  <c r="CB227" i="24" s="1"/>
  <c r="BM227" i="24"/>
  <c r="BN227" i="24" s="1"/>
  <c r="BY59" i="25"/>
  <c r="CA59" i="25" s="1"/>
  <c r="CB59" i="25" s="1"/>
  <c r="BL59" i="25"/>
  <c r="BY306" i="25"/>
  <c r="CA306" i="25" s="1"/>
  <c r="CB306" i="25" s="1"/>
  <c r="BL306" i="25"/>
  <c r="BK306" i="25"/>
  <c r="BE203" i="25"/>
  <c r="BR203" i="25"/>
  <c r="BX203" i="25" s="1"/>
  <c r="BY14" i="25"/>
  <c r="CA14" i="25" s="1"/>
  <c r="BL14" i="25"/>
  <c r="BE230" i="25"/>
  <c r="BR230" i="25"/>
  <c r="BX230" i="25" s="1"/>
  <c r="BR76" i="25"/>
  <c r="BV76" i="25" s="1"/>
  <c r="BX76" i="25" s="1"/>
  <c r="BE76" i="25"/>
  <c r="BK76" i="25" s="1"/>
  <c r="BY206" i="24"/>
  <c r="CA206" i="24" s="1"/>
  <c r="BM206" i="24"/>
  <c r="BN206" i="24" s="1"/>
  <c r="BY144" i="24"/>
  <c r="CA144" i="24" s="1"/>
  <c r="CB144" i="24" s="1"/>
  <c r="BM144" i="24"/>
  <c r="BN144" i="24" s="1"/>
  <c r="BE307" i="25"/>
  <c r="BR307" i="25"/>
  <c r="BX307" i="25" s="1"/>
  <c r="X594" i="29"/>
  <c r="Y594" i="29" s="1"/>
  <c r="AH594" i="29"/>
  <c r="AG582" i="29"/>
  <c r="W582" i="29"/>
  <c r="X82" i="29"/>
  <c r="Y82" i="29" s="1"/>
  <c r="AH82" i="29"/>
  <c r="W370" i="29"/>
  <c r="AG370" i="29"/>
  <c r="W570" i="29"/>
  <c r="AG570" i="29"/>
  <c r="AH78" i="29"/>
  <c r="X78" i="29"/>
  <c r="Y78" i="29" s="1"/>
  <c r="AH103" i="29"/>
  <c r="X103" i="29"/>
  <c r="Y103" i="29" s="1"/>
  <c r="AH139" i="29"/>
  <c r="X139" i="29"/>
  <c r="Y139" i="29" s="1"/>
  <c r="X261" i="29"/>
  <c r="Y261" i="29" s="1"/>
  <c r="AH261" i="29"/>
  <c r="AG77" i="29"/>
  <c r="W77" i="29"/>
  <c r="AH459" i="29"/>
  <c r="X459" i="29"/>
  <c r="Y459" i="29" s="1"/>
  <c r="AG494" i="29"/>
  <c r="W494" i="29"/>
  <c r="W151" i="29"/>
  <c r="AG151" i="29"/>
  <c r="W613" i="29"/>
  <c r="AG613" i="29"/>
  <c r="AH218" i="29"/>
  <c r="X218" i="29"/>
  <c r="Y218" i="29" s="1"/>
  <c r="BE304" i="25"/>
  <c r="BR304" i="25"/>
  <c r="BX304" i="25" s="1"/>
  <c r="BE135" i="25"/>
  <c r="BR135" i="25"/>
  <c r="BX135" i="25" s="1"/>
  <c r="BE169" i="25"/>
  <c r="BR169" i="25"/>
  <c r="BX169" i="25" s="1"/>
  <c r="BY153" i="24"/>
  <c r="CA153" i="24" s="1"/>
  <c r="CB153" i="24" s="1"/>
  <c r="BM153" i="24"/>
  <c r="BN153" i="24" s="1"/>
  <c r="BY285" i="24"/>
  <c r="CA285" i="24" s="1"/>
  <c r="BM285" i="24"/>
  <c r="BN285" i="24" s="1"/>
  <c r="BE308" i="25"/>
  <c r="BR308" i="25"/>
  <c r="BX308" i="25" s="1"/>
  <c r="BE193" i="25"/>
  <c r="BR193" i="25"/>
  <c r="BX193" i="25" s="1"/>
  <c r="BL28" i="25"/>
  <c r="BY28" i="25"/>
  <c r="CA28" i="25" s="1"/>
  <c r="CB28" i="25" s="1"/>
  <c r="AG262" i="29"/>
  <c r="W262" i="29"/>
  <c r="W17" i="29"/>
  <c r="AG17" i="29"/>
  <c r="AG233" i="29"/>
  <c r="W233" i="29"/>
  <c r="W178" i="29"/>
  <c r="AG178" i="29"/>
  <c r="W386" i="29"/>
  <c r="AG386" i="29"/>
  <c r="AG361" i="29"/>
  <c r="W361" i="29"/>
  <c r="AG602" i="29"/>
  <c r="W602" i="29"/>
  <c r="AG16" i="29"/>
  <c r="W16" i="29"/>
  <c r="AH529" i="29"/>
  <c r="X529" i="29"/>
  <c r="Y529" i="29" s="1"/>
  <c r="AG519" i="29"/>
  <c r="W519" i="29"/>
  <c r="W391" i="29"/>
  <c r="AG391" i="29"/>
  <c r="X56" i="29"/>
  <c r="Y56" i="29" s="1"/>
  <c r="AH56" i="29"/>
  <c r="W344" i="29"/>
  <c r="AG344" i="29"/>
  <c r="AG505" i="29"/>
  <c r="W505" i="29"/>
  <c r="W175" i="29"/>
  <c r="AG175" i="29"/>
  <c r="AG553" i="29"/>
  <c r="W553" i="29"/>
  <c r="AH463" i="29"/>
  <c r="X463" i="29"/>
  <c r="Y463" i="29" s="1"/>
  <c r="BY127" i="24"/>
  <c r="CA127" i="24" s="1"/>
  <c r="BM127" i="24"/>
  <c r="BN127" i="24" s="1"/>
  <c r="BY74" i="24"/>
  <c r="CA74" i="24" s="1"/>
  <c r="BN74" i="24"/>
  <c r="BY66" i="24"/>
  <c r="CA66" i="24" s="1"/>
  <c r="BN66" i="24"/>
  <c r="BR294" i="25"/>
  <c r="BX294" i="25" s="1"/>
  <c r="BE294" i="25"/>
  <c r="BY81" i="24"/>
  <c r="CA81" i="24" s="1"/>
  <c r="BN81" i="24"/>
  <c r="BE112" i="25"/>
  <c r="BR112" i="25"/>
  <c r="BX112" i="25" s="1"/>
  <c r="BY247" i="25"/>
  <c r="CA247" i="25" s="1"/>
  <c r="CB247" i="25" s="1"/>
  <c r="BL247" i="25"/>
  <c r="BK247" i="25"/>
  <c r="BR101" i="25"/>
  <c r="BV101" i="25" s="1"/>
  <c r="BX101" i="25" s="1"/>
  <c r="BE101" i="25"/>
  <c r="BK101" i="25" s="1"/>
  <c r="BY90" i="24"/>
  <c r="CA90" i="24" s="1"/>
  <c r="CB90" i="24" s="1"/>
  <c r="BN90" i="24"/>
  <c r="BE302" i="25"/>
  <c r="BR302" i="25"/>
  <c r="BX302" i="25" s="1"/>
  <c r="BY222" i="24"/>
  <c r="CA222" i="24" s="1"/>
  <c r="CB222" i="24" s="1"/>
  <c r="BM222" i="24"/>
  <c r="BN222" i="24" s="1"/>
  <c r="AH603" i="29"/>
  <c r="X603" i="29"/>
  <c r="Y603" i="29" s="1"/>
  <c r="AH287" i="29"/>
  <c r="X287" i="29"/>
  <c r="Y287" i="29" s="1"/>
  <c r="W485" i="29"/>
  <c r="AG485" i="29"/>
  <c r="W263" i="29"/>
  <c r="AG263" i="29"/>
  <c r="BR160" i="25"/>
  <c r="BX160" i="25" s="1"/>
  <c r="BE160" i="25"/>
  <c r="BY13" i="24"/>
  <c r="CA13" i="24" s="1"/>
  <c r="CB13" i="24" s="1"/>
  <c r="BN13" i="24"/>
  <c r="BE300" i="25"/>
  <c r="BR300" i="25"/>
  <c r="BX300" i="25" s="1"/>
  <c r="BE52" i="25"/>
  <c r="BK52" i="25" s="1"/>
  <c r="BR52" i="25"/>
  <c r="BV52" i="25" s="1"/>
  <c r="BX52" i="25" s="1"/>
  <c r="BY173" i="24"/>
  <c r="CA173" i="24" s="1"/>
  <c r="BM173" i="24"/>
  <c r="BN173" i="24" s="1"/>
  <c r="BR73" i="25"/>
  <c r="BV73" i="25" s="1"/>
  <c r="BX73" i="25" s="1"/>
  <c r="BE73" i="25"/>
  <c r="BK73" i="25" s="1"/>
  <c r="BE85" i="25"/>
  <c r="BK85" i="25" s="1"/>
  <c r="BR85" i="25"/>
  <c r="BV85" i="25" s="1"/>
  <c r="BX85" i="25" s="1"/>
  <c r="X568" i="29"/>
  <c r="Y568" i="29" s="1"/>
  <c r="AH568" i="29"/>
  <c r="X474" i="29"/>
  <c r="Y474" i="29" s="1"/>
  <c r="AH474" i="29"/>
  <c r="AH532" i="29"/>
  <c r="X532" i="29"/>
  <c r="Y532" i="29" s="1"/>
  <c r="AG428" i="29"/>
  <c r="W428" i="29"/>
  <c r="AG96" i="29"/>
  <c r="W96" i="29"/>
  <c r="W329" i="29"/>
  <c r="AG329" i="29"/>
  <c r="AH356" i="29"/>
  <c r="X356" i="29"/>
  <c r="Y356" i="29" s="1"/>
  <c r="W126" i="29"/>
  <c r="AG126" i="29"/>
  <c r="AH430" i="29"/>
  <c r="X430" i="29"/>
  <c r="Y430" i="29" s="1"/>
  <c r="AH115" i="29"/>
  <c r="X115" i="29"/>
  <c r="Y115" i="29" s="1"/>
  <c r="AH158" i="29"/>
  <c r="X158" i="29"/>
  <c r="Y158" i="29" s="1"/>
  <c r="AH316" i="29"/>
  <c r="X316" i="29"/>
  <c r="Y316" i="29" s="1"/>
  <c r="AH244" i="29"/>
  <c r="X244" i="29"/>
  <c r="Y244" i="29" s="1"/>
  <c r="BY164" i="24"/>
  <c r="CA164" i="24" s="1"/>
  <c r="CB164" i="24" s="1"/>
  <c r="BM164" i="24"/>
  <c r="BN164" i="24" s="1"/>
  <c r="BN27" i="24"/>
  <c r="BE44" i="25"/>
  <c r="BK44" i="25" s="1"/>
  <c r="BR44" i="25"/>
  <c r="BV44" i="25" s="1"/>
  <c r="BX44" i="25" s="1"/>
  <c r="BY204" i="24"/>
  <c r="CA204" i="24" s="1"/>
  <c r="BM204" i="24"/>
  <c r="BN204" i="24" s="1"/>
  <c r="AH91" i="29"/>
  <c r="X91" i="29"/>
  <c r="Y91" i="29" s="1"/>
  <c r="AG501" i="29"/>
  <c r="W501" i="29"/>
  <c r="X524" i="29"/>
  <c r="Y524" i="29" s="1"/>
  <c r="AH524" i="29"/>
  <c r="AH432" i="29"/>
  <c r="X432" i="29"/>
  <c r="Y432" i="29" s="1"/>
  <c r="AG298" i="29"/>
  <c r="W298" i="29"/>
  <c r="AH526" i="29"/>
  <c r="X526" i="29"/>
  <c r="Y526" i="29" s="1"/>
  <c r="AH379" i="29"/>
  <c r="X379" i="29"/>
  <c r="Y379" i="29" s="1"/>
  <c r="AG424" i="29"/>
  <c r="W424" i="29"/>
  <c r="AH437" i="29"/>
  <c r="X437" i="29"/>
  <c r="Y437" i="29" s="1"/>
  <c r="AG161" i="29"/>
  <c r="W161" i="29"/>
  <c r="AG125" i="29"/>
  <c r="W125" i="29"/>
  <c r="W160" i="29"/>
  <c r="AG160" i="29"/>
  <c r="AH555" i="29"/>
  <c r="X555" i="29"/>
  <c r="Y555" i="29" s="1"/>
  <c r="AG551" i="29"/>
  <c r="W551" i="29"/>
  <c r="AH343" i="29"/>
  <c r="X343" i="29"/>
  <c r="Y343" i="29" s="1"/>
  <c r="W184" i="29"/>
  <c r="AG184" i="29"/>
  <c r="AG589" i="29"/>
  <c r="W589" i="29"/>
  <c r="AH180" i="29"/>
  <c r="X180" i="29"/>
  <c r="Y180" i="29" s="1"/>
  <c r="W181" i="29"/>
  <c r="AG181" i="29"/>
  <c r="BL293" i="25"/>
  <c r="BY293" i="25"/>
  <c r="CA293" i="25" s="1"/>
  <c r="CB293" i="25" s="1"/>
  <c r="BK293" i="25"/>
  <c r="BL206" i="25"/>
  <c r="BY206" i="25"/>
  <c r="CA206" i="25" s="1"/>
  <c r="BK206" i="25"/>
  <c r="BE231" i="25"/>
  <c r="BR231" i="25"/>
  <c r="BX231" i="25" s="1"/>
  <c r="BY308" i="24"/>
  <c r="CA308" i="24" s="1"/>
  <c r="BM308" i="24"/>
  <c r="BN308" i="24" s="1"/>
  <c r="BY301" i="24"/>
  <c r="CA301" i="24" s="1"/>
  <c r="CB301" i="24" s="1"/>
  <c r="BM301" i="24"/>
  <c r="BN301" i="24" s="1"/>
  <c r="BN89" i="24"/>
  <c r="BY89" i="24"/>
  <c r="CA89" i="24" s="1"/>
  <c r="CB89" i="24" s="1"/>
  <c r="BY259" i="25"/>
  <c r="CA259" i="25" s="1"/>
  <c r="CB259" i="25" s="1"/>
  <c r="BL259" i="25"/>
  <c r="BK259" i="25"/>
  <c r="BE313" i="25"/>
  <c r="BR313" i="25"/>
  <c r="BX313" i="25" s="1"/>
  <c r="BY188" i="24"/>
  <c r="CA188" i="24" s="1"/>
  <c r="CB188" i="24" s="1"/>
  <c r="BM188" i="24"/>
  <c r="BN188" i="24" s="1"/>
  <c r="BR239" i="25"/>
  <c r="BX239" i="25" s="1"/>
  <c r="BE239" i="25"/>
  <c r="BE130" i="25"/>
  <c r="BR130" i="25"/>
  <c r="BX130" i="25" s="1"/>
  <c r="BY128" i="24"/>
  <c r="CA128" i="24" s="1"/>
  <c r="CB128" i="24" s="1"/>
  <c r="BM128" i="24"/>
  <c r="BN128" i="24" s="1"/>
  <c r="BE269" i="25"/>
  <c r="BR269" i="25"/>
  <c r="BX269" i="25" s="1"/>
  <c r="AH449" i="29"/>
  <c r="X449" i="29"/>
  <c r="Y449" i="29" s="1"/>
  <c r="W249" i="29"/>
  <c r="AG249" i="29"/>
  <c r="X225" i="29"/>
  <c r="Y225" i="29" s="1"/>
  <c r="AH225" i="29"/>
  <c r="AH72" i="29"/>
  <c r="X72" i="29"/>
  <c r="Y72" i="29" s="1"/>
  <c r="AH156" i="29"/>
  <c r="X156" i="29"/>
  <c r="Y156" i="29" s="1"/>
  <c r="BE227" i="25"/>
  <c r="BR227" i="25"/>
  <c r="BX227" i="25" s="1"/>
  <c r="BY207" i="24"/>
  <c r="CA207" i="24" s="1"/>
  <c r="CB207" i="24" s="1"/>
  <c r="BM207" i="24"/>
  <c r="BN207" i="24" s="1"/>
  <c r="BE278" i="25"/>
  <c r="BR278" i="25"/>
  <c r="BX278" i="25" s="1"/>
  <c r="BY145" i="24"/>
  <c r="CA145" i="24" s="1"/>
  <c r="CB145" i="24" s="1"/>
  <c r="BM145" i="24"/>
  <c r="BN145" i="24" s="1"/>
  <c r="AG414" i="29"/>
  <c r="W414" i="29"/>
  <c r="AH518" i="29"/>
  <c r="X518" i="29"/>
  <c r="Y518" i="29" s="1"/>
  <c r="AH179" i="29"/>
  <c r="X179" i="29"/>
  <c r="Y179" i="29" s="1"/>
  <c r="AH264" i="29"/>
  <c r="X264" i="29"/>
  <c r="Y264" i="29" s="1"/>
  <c r="AH18" i="29"/>
  <c r="X18" i="29"/>
  <c r="Y18" i="29" s="1"/>
  <c r="AG237" i="29"/>
  <c r="W237" i="29"/>
  <c r="X204" i="29"/>
  <c r="Y204" i="29" s="1"/>
  <c r="AH204" i="29"/>
  <c r="AH165" i="29"/>
  <c r="X165" i="29"/>
  <c r="Y165" i="29" s="1"/>
  <c r="AG597" i="29"/>
  <c r="W597" i="29"/>
  <c r="W93" i="29"/>
  <c r="AG93" i="29"/>
  <c r="AG191" i="29"/>
  <c r="W191" i="29"/>
  <c r="W101" i="29"/>
  <c r="AG101" i="29"/>
  <c r="W516" i="29"/>
  <c r="AG516" i="29"/>
  <c r="AG189" i="29"/>
  <c r="W189" i="29"/>
  <c r="W60" i="29"/>
  <c r="AG60" i="29"/>
  <c r="W374" i="29"/>
  <c r="AG374" i="29"/>
  <c r="AG497" i="29"/>
  <c r="W497" i="29"/>
  <c r="BE54" i="25"/>
  <c r="BK54" i="25" s="1"/>
  <c r="BR54" i="25"/>
  <c r="BV54" i="25" s="1"/>
  <c r="BX54" i="25" s="1"/>
  <c r="BY262" i="25"/>
  <c r="CA262" i="25" s="1"/>
  <c r="CB262" i="25" s="1"/>
  <c r="BL262" i="25"/>
  <c r="BK262" i="25"/>
  <c r="BL71" i="25"/>
  <c r="BY71" i="25"/>
  <c r="CA71" i="25" s="1"/>
  <c r="BY266" i="24"/>
  <c r="CA266" i="24" s="1"/>
  <c r="CB266" i="24" s="1"/>
  <c r="BM266" i="24"/>
  <c r="BN266" i="24" s="1"/>
  <c r="BY29" i="25"/>
  <c r="CA29" i="25" s="1"/>
  <c r="CB29" i="25" s="1"/>
  <c r="BL29" i="25"/>
  <c r="BE289" i="25"/>
  <c r="BR289" i="25"/>
  <c r="BX289" i="25" s="1"/>
  <c r="W79" i="29"/>
  <c r="AG79" i="29"/>
  <c r="W593" i="29"/>
  <c r="AG593" i="29"/>
  <c r="AG443" i="29"/>
  <c r="W443" i="29"/>
  <c r="AG28" i="29"/>
  <c r="W28" i="29"/>
  <c r="W496" i="29"/>
  <c r="AG496" i="29"/>
  <c r="X401" i="29"/>
  <c r="Y401" i="29" s="1"/>
  <c r="AH401" i="29"/>
  <c r="X441" i="29"/>
  <c r="Y441" i="29" s="1"/>
  <c r="AH441" i="29"/>
  <c r="W214" i="29"/>
  <c r="AG214" i="29"/>
  <c r="W241" i="29"/>
  <c r="AG241" i="29"/>
  <c r="W563" i="29"/>
  <c r="AG563" i="29"/>
  <c r="W473" i="29"/>
  <c r="AG473" i="29"/>
  <c r="X234" i="29"/>
  <c r="Y234" i="29" s="1"/>
  <c r="AH234" i="29"/>
  <c r="W580" i="29"/>
  <c r="AG580" i="29"/>
  <c r="X332" i="29"/>
  <c r="Y332" i="29" s="1"/>
  <c r="AH332" i="29"/>
  <c r="AG134" i="29"/>
  <c r="W134" i="29"/>
  <c r="W46" i="29"/>
  <c r="AG46" i="29"/>
  <c r="W579" i="29"/>
  <c r="AG579" i="29"/>
  <c r="BL62" i="25"/>
  <c r="BY62" i="25"/>
  <c r="CA62" i="25" s="1"/>
  <c r="BL170" i="25"/>
  <c r="BY170" i="25"/>
  <c r="CA170" i="25" s="1"/>
  <c r="BK170" i="25"/>
  <c r="BR145" i="25"/>
  <c r="BX145" i="25" s="1"/>
  <c r="BE145" i="25"/>
  <c r="BE134" i="25"/>
  <c r="BR134" i="25"/>
  <c r="BX134" i="25" s="1"/>
  <c r="BE315" i="25"/>
  <c r="BR315" i="25"/>
  <c r="BX315" i="25" s="1"/>
  <c r="BY123" i="24"/>
  <c r="CA123" i="24" s="1"/>
  <c r="CB123" i="24" s="1"/>
  <c r="BM123" i="24"/>
  <c r="BN123" i="24" s="1"/>
  <c r="AG403" i="29"/>
  <c r="W403" i="29"/>
  <c r="AG106" i="29"/>
  <c r="W106" i="29"/>
  <c r="W339" i="29"/>
  <c r="AG339" i="29"/>
  <c r="X475" i="29"/>
  <c r="Y475" i="29" s="1"/>
  <c r="AH475" i="29"/>
  <c r="BL261" i="25"/>
  <c r="BY261" i="25"/>
  <c r="CA261" i="25" s="1"/>
  <c r="CB261" i="25" s="1"/>
  <c r="BK261" i="25"/>
  <c r="BY114" i="24"/>
  <c r="CA114" i="24" s="1"/>
  <c r="CB114" i="24" s="1"/>
  <c r="BM114" i="24"/>
  <c r="BN114" i="24" s="1"/>
  <c r="BY175" i="24"/>
  <c r="CA175" i="24" s="1"/>
  <c r="CB175" i="24" s="1"/>
  <c r="BM175" i="24"/>
  <c r="BN175" i="24" s="1"/>
  <c r="BY271" i="24"/>
  <c r="CA271" i="24" s="1"/>
  <c r="BM271" i="24"/>
  <c r="BN271" i="24" s="1"/>
  <c r="BE152" i="25"/>
  <c r="BR152" i="25"/>
  <c r="BX152" i="25" s="1"/>
  <c r="AH483" i="29"/>
  <c r="X483" i="29"/>
  <c r="Y483" i="29" s="1"/>
  <c r="X155" i="29"/>
  <c r="Y155" i="29" s="1"/>
  <c r="AH155" i="29"/>
  <c r="AG256" i="29"/>
  <c r="W256" i="29"/>
  <c r="AH198" i="29"/>
  <c r="X198" i="29"/>
  <c r="Y198" i="29" s="1"/>
  <c r="AH154" i="29"/>
  <c r="X154" i="29"/>
  <c r="Y154" i="29" s="1"/>
  <c r="W464" i="29"/>
  <c r="AG464" i="29"/>
  <c r="X110" i="29"/>
  <c r="Y110" i="29" s="1"/>
  <c r="AH110" i="29"/>
  <c r="BY60" i="24"/>
  <c r="CA60" i="24" s="1"/>
  <c r="CB60" i="24" s="1"/>
  <c r="BN60" i="24"/>
  <c r="BE164" i="25"/>
  <c r="BR164" i="25"/>
  <c r="BX164" i="25" s="1"/>
  <c r="BE285" i="25"/>
  <c r="BR285" i="25"/>
  <c r="BX285" i="25" s="1"/>
  <c r="BY312" i="24"/>
  <c r="CA312" i="24" s="1"/>
  <c r="BM312" i="24"/>
  <c r="BN312" i="24" s="1"/>
  <c r="BE142" i="25"/>
  <c r="BR142" i="25"/>
  <c r="BX142" i="25" s="1"/>
  <c r="BY309" i="24"/>
  <c r="CA309" i="24" s="1"/>
  <c r="BM309" i="24"/>
  <c r="BN309" i="24" s="1"/>
  <c r="BY243" i="24"/>
  <c r="CA243" i="24" s="1"/>
  <c r="BM243" i="24"/>
  <c r="BN243" i="24" s="1"/>
  <c r="BY47" i="24"/>
  <c r="CA47" i="24" s="1"/>
  <c r="CB47" i="24" s="1"/>
  <c r="BN47" i="24"/>
  <c r="BE150" i="25"/>
  <c r="BR150" i="25"/>
  <c r="BX150" i="25" s="1"/>
  <c r="BE17" i="25"/>
  <c r="BK17" i="25" s="1"/>
  <c r="BR17" i="25"/>
  <c r="BV17" i="25" s="1"/>
  <c r="BX17" i="25" s="1"/>
  <c r="BY201" i="25"/>
  <c r="CA201" i="25" s="1"/>
  <c r="BL201" i="25"/>
  <c r="BK201" i="25"/>
  <c r="AG307" i="29"/>
  <c r="W307" i="29"/>
  <c r="X573" i="29"/>
  <c r="Y573" i="29" s="1"/>
  <c r="AH573" i="29"/>
  <c r="AH525" i="29"/>
  <c r="X525" i="29"/>
  <c r="Y525" i="29" s="1"/>
  <c r="AH319" i="29"/>
  <c r="X319" i="29"/>
  <c r="Y319" i="29" s="1"/>
  <c r="AG229" i="29"/>
  <c r="W229" i="29"/>
  <c r="AG478" i="29"/>
  <c r="W478" i="29"/>
  <c r="X251" i="29"/>
  <c r="Y251" i="29" s="1"/>
  <c r="AH251" i="29"/>
  <c r="AG69" i="29"/>
  <c r="W69" i="29"/>
  <c r="AG48" i="29"/>
  <c r="W48" i="29"/>
  <c r="AH417" i="29"/>
  <c r="X417" i="29"/>
  <c r="Y417" i="29" s="1"/>
  <c r="AG14" i="29"/>
  <c r="W14" i="29"/>
  <c r="AH362" i="29"/>
  <c r="X362" i="29"/>
  <c r="Y362" i="29" s="1"/>
  <c r="AG481" i="29"/>
  <c r="W481" i="29"/>
  <c r="AG394" i="29"/>
  <c r="W394" i="29"/>
  <c r="BR63" i="25"/>
  <c r="BV63" i="25" s="1"/>
  <c r="BX63" i="25" s="1"/>
  <c r="BE63" i="25"/>
  <c r="BK63" i="25" s="1"/>
  <c r="BE234" i="25"/>
  <c r="BR234" i="25"/>
  <c r="BX234" i="25" s="1"/>
  <c r="BE171" i="25"/>
  <c r="BR171" i="25"/>
  <c r="BX171" i="25" s="1"/>
  <c r="BR165" i="25"/>
  <c r="BX165" i="25" s="1"/>
  <c r="BE165" i="25"/>
  <c r="BN48" i="24"/>
  <c r="BY48" i="24"/>
  <c r="CA48" i="24" s="1"/>
  <c r="CB48" i="24" s="1"/>
  <c r="BE187" i="25"/>
  <c r="BR187" i="25"/>
  <c r="BX187" i="25" s="1"/>
  <c r="BY143" i="24"/>
  <c r="CA143" i="24" s="1"/>
  <c r="CB143" i="24" s="1"/>
  <c r="BM143" i="24"/>
  <c r="BN143" i="24" s="1"/>
  <c r="AH352" i="29"/>
  <c r="X352" i="29"/>
  <c r="Y352" i="29" s="1"/>
  <c r="AG541" i="29"/>
  <c r="W541" i="29"/>
  <c r="AH186" i="29"/>
  <c r="X186" i="29"/>
  <c r="Y186" i="29" s="1"/>
  <c r="BY150" i="24"/>
  <c r="CA150" i="24" s="1"/>
  <c r="CB150" i="24" s="1"/>
  <c r="BM150" i="24"/>
  <c r="BN150" i="24" s="1"/>
  <c r="BY231" i="24"/>
  <c r="CA231" i="24" s="1"/>
  <c r="CB231" i="24" s="1"/>
  <c r="BM231" i="24"/>
  <c r="BN231" i="24" s="1"/>
  <c r="BR39" i="25"/>
  <c r="BV39" i="25" s="1"/>
  <c r="BX39" i="25" s="1"/>
  <c r="BE39" i="25"/>
  <c r="BK39" i="25" s="1"/>
  <c r="BY187" i="24"/>
  <c r="CA187" i="24" s="1"/>
  <c r="CB187" i="24" s="1"/>
  <c r="BM187" i="24"/>
  <c r="BN187" i="24" s="1"/>
  <c r="BY137" i="24"/>
  <c r="CA137" i="24" s="1"/>
  <c r="BM137" i="24"/>
  <c r="BN137" i="24" s="1"/>
  <c r="BE100" i="25"/>
  <c r="BK100" i="25" s="1"/>
  <c r="BR100" i="25"/>
  <c r="BV100" i="25" s="1"/>
  <c r="BX100" i="25" s="1"/>
  <c r="BE194" i="25"/>
  <c r="BR194" i="25"/>
  <c r="BX194" i="25" s="1"/>
  <c r="X537" i="29"/>
  <c r="Y537" i="29" s="1"/>
  <c r="AH537" i="29"/>
  <c r="X153" i="29"/>
  <c r="Y153" i="29" s="1"/>
  <c r="AH153" i="29"/>
  <c r="AG71" i="29"/>
  <c r="W71" i="29"/>
  <c r="AG376" i="29"/>
  <c r="W376" i="29"/>
  <c r="AH64" i="29"/>
  <c r="X64" i="29"/>
  <c r="Y64" i="29" s="1"/>
  <c r="BY11" i="24"/>
  <c r="CA11" i="24" s="1"/>
  <c r="CB11" i="24" s="1"/>
  <c r="BN11" i="24"/>
  <c r="BY225" i="24"/>
  <c r="CA225" i="24" s="1"/>
  <c r="BM225" i="24"/>
  <c r="BN225" i="24" s="1"/>
  <c r="BY204" i="25"/>
  <c r="CA204" i="25" s="1"/>
  <c r="BL204" i="25"/>
  <c r="BK204" i="25"/>
  <c r="BE33" i="25"/>
  <c r="BK33" i="25" s="1"/>
  <c r="BR33" i="25"/>
  <c r="BV33" i="25" s="1"/>
  <c r="BX33" i="25" s="1"/>
  <c r="BE23" i="25"/>
  <c r="BK23" i="25" s="1"/>
  <c r="BR23" i="25"/>
  <c r="BV23" i="25" s="1"/>
  <c r="BX23" i="25" s="1"/>
  <c r="BY208" i="24"/>
  <c r="CA208" i="24" s="1"/>
  <c r="BM208" i="24"/>
  <c r="BN208" i="24" s="1"/>
  <c r="BY234" i="24"/>
  <c r="CA234" i="24" s="1"/>
  <c r="CB234" i="24" s="1"/>
  <c r="BM234" i="24"/>
  <c r="BN234" i="24" s="1"/>
  <c r="BR69" i="25"/>
  <c r="BV69" i="25" s="1"/>
  <c r="BX69" i="25" s="1"/>
  <c r="BE69" i="25"/>
  <c r="BK69" i="25" s="1"/>
  <c r="BR149" i="25"/>
  <c r="BX149" i="25" s="1"/>
  <c r="BE149" i="25"/>
  <c r="BY158" i="25"/>
  <c r="CA158" i="25" s="1"/>
  <c r="CB158" i="25" s="1"/>
  <c r="BL158" i="25"/>
  <c r="BK158" i="25"/>
  <c r="AG138" i="29"/>
  <c r="W138" i="29"/>
  <c r="AH565" i="29"/>
  <c r="X565" i="29"/>
  <c r="Y565" i="29" s="1"/>
  <c r="W371" i="29"/>
  <c r="AG371" i="29"/>
  <c r="AH147" i="29"/>
  <c r="X147" i="29"/>
  <c r="Y147" i="29" s="1"/>
  <c r="AG67" i="29"/>
  <c r="W67" i="29"/>
  <c r="X142" i="29"/>
  <c r="Y142" i="29" s="1"/>
  <c r="AH142" i="29"/>
  <c r="W21" i="29"/>
  <c r="AG21" i="29"/>
  <c r="AG306" i="29"/>
  <c r="W306" i="29"/>
  <c r="X284" i="29"/>
  <c r="Y284" i="29" s="1"/>
  <c r="AH284" i="29"/>
  <c r="AH15" i="29"/>
  <c r="X15" i="29"/>
  <c r="Y15" i="29" s="1"/>
  <c r="AH296" i="29"/>
  <c r="X296" i="29"/>
  <c r="Y296" i="29" s="1"/>
  <c r="AG274" i="29"/>
  <c r="W274" i="29"/>
  <c r="W397" i="29"/>
  <c r="AG397" i="29"/>
  <c r="X453" i="29"/>
  <c r="Y453" i="29" s="1"/>
  <c r="AH453" i="29"/>
  <c r="BE182" i="25"/>
  <c r="BR182" i="25"/>
  <c r="BX182" i="25" s="1"/>
  <c r="BE172" i="25"/>
  <c r="BR172" i="25"/>
  <c r="BX172" i="25" s="1"/>
  <c r="BE260" i="25"/>
  <c r="BR260" i="25"/>
  <c r="BX260" i="25" s="1"/>
  <c r="BY257" i="25"/>
  <c r="CA257" i="25" s="1"/>
  <c r="CB257" i="25" s="1"/>
  <c r="BL257" i="25"/>
  <c r="BK257" i="25"/>
  <c r="AG612" i="29"/>
  <c r="W612" i="29"/>
  <c r="AG220" i="29"/>
  <c r="W220" i="29"/>
  <c r="AH226" i="29"/>
  <c r="X226" i="29"/>
  <c r="Y226" i="29" s="1"/>
  <c r="D64" i="29"/>
  <c r="E59" i="1" s="1"/>
  <c r="D61" i="29"/>
  <c r="BY115" i="24"/>
  <c r="CA115" i="24" s="1"/>
  <c r="CB115" i="24" s="1"/>
  <c r="BM115" i="24"/>
  <c r="BN115" i="24" s="1"/>
  <c r="BE218" i="25"/>
  <c r="BR218" i="25"/>
  <c r="BX218" i="25" s="1"/>
  <c r="BE10" i="25"/>
  <c r="BK10" i="25" s="1"/>
  <c r="BR10" i="25"/>
  <c r="BV10" i="25" s="1"/>
  <c r="BX10" i="25" s="1"/>
  <c r="BR40" i="25"/>
  <c r="BV40" i="25" s="1"/>
  <c r="BX40" i="25" s="1"/>
  <c r="BE40" i="25"/>
  <c r="BK40" i="25" s="1"/>
  <c r="BE132" i="25"/>
  <c r="BR132" i="25"/>
  <c r="BX132" i="25" s="1"/>
  <c r="BY136" i="24"/>
  <c r="CA136" i="24" s="1"/>
  <c r="CB136" i="24" s="1"/>
  <c r="BM136" i="24"/>
  <c r="BN136" i="24" s="1"/>
  <c r="BY209" i="24"/>
  <c r="CA209" i="24" s="1"/>
  <c r="BM209" i="24"/>
  <c r="BN209" i="24" s="1"/>
  <c r="BY274" i="24"/>
  <c r="CA274" i="24" s="1"/>
  <c r="BM274" i="24"/>
  <c r="BN274" i="24" s="1"/>
  <c r="BY99" i="24"/>
  <c r="CA99" i="24" s="1"/>
  <c r="CB99" i="24" s="1"/>
  <c r="BN99" i="24"/>
  <c r="BY248" i="25"/>
  <c r="CA248" i="25" s="1"/>
  <c r="CB248" i="25" s="1"/>
  <c r="BL248" i="25"/>
  <c r="BK248" i="25"/>
  <c r="BE252" i="25"/>
  <c r="BR252" i="25"/>
  <c r="BX252" i="25" s="1"/>
  <c r="BY138" i="24"/>
  <c r="CA138" i="24" s="1"/>
  <c r="CB138" i="24" s="1"/>
  <c r="BM138" i="24"/>
  <c r="BN138" i="24" s="1"/>
  <c r="BR57" i="25"/>
  <c r="BV57" i="25" s="1"/>
  <c r="BX57" i="25" s="1"/>
  <c r="BE57" i="25"/>
  <c r="BK57" i="25" s="1"/>
  <c r="BE181" i="25"/>
  <c r="BR181" i="25"/>
  <c r="BX181" i="25" s="1"/>
  <c r="W302" i="29"/>
  <c r="AG302" i="29"/>
  <c r="X521" i="29"/>
  <c r="Y521" i="29" s="1"/>
  <c r="AH521" i="29"/>
  <c r="AG576" i="29"/>
  <c r="AG345" i="29"/>
  <c r="W345" i="29"/>
  <c r="AH63" i="29"/>
  <c r="X63" i="29"/>
  <c r="Y63" i="29" s="1"/>
  <c r="X595" i="29"/>
  <c r="Y595" i="29" s="1"/>
  <c r="AH595" i="29"/>
  <c r="BE16" i="25"/>
  <c r="BK16" i="25" s="1"/>
  <c r="BR16" i="25"/>
  <c r="BV16" i="25" s="1"/>
  <c r="BX16" i="25" s="1"/>
  <c r="BY272" i="24"/>
  <c r="CA272" i="24" s="1"/>
  <c r="BM272" i="24"/>
  <c r="BN272" i="24" s="1"/>
  <c r="BY246" i="25"/>
  <c r="CA246" i="25" s="1"/>
  <c r="CB246" i="25" s="1"/>
  <c r="BL246" i="25"/>
  <c r="BK246" i="25"/>
  <c r="BE137" i="25"/>
  <c r="BR137" i="25"/>
  <c r="BX137" i="25" s="1"/>
  <c r="BY69" i="24"/>
  <c r="CA69" i="24" s="1"/>
  <c r="CB69" i="24" s="1"/>
  <c r="BN69" i="24"/>
  <c r="BR45" i="25"/>
  <c r="BV45" i="25" s="1"/>
  <c r="BX45" i="25" s="1"/>
  <c r="BE45" i="25"/>
  <c r="BK45" i="25" s="1"/>
  <c r="BN46" i="24"/>
  <c r="BY46" i="24"/>
  <c r="CA46" i="24" s="1"/>
  <c r="CB46" i="24" s="1"/>
  <c r="BR38" i="25"/>
  <c r="BV38" i="25" s="1"/>
  <c r="BX38" i="25" s="1"/>
  <c r="BE38" i="25"/>
  <c r="BK38" i="25" s="1"/>
  <c r="AH253" i="29"/>
  <c r="X253" i="29"/>
  <c r="Y253" i="29" s="1"/>
  <c r="AG292" i="29"/>
  <c r="W292" i="29"/>
  <c r="X117" i="29"/>
  <c r="Y117" i="29" s="1"/>
  <c r="AH117" i="29"/>
  <c r="W396" i="29"/>
  <c r="AG396" i="29"/>
  <c r="X564" i="29"/>
  <c r="Y564" i="29" s="1"/>
  <c r="AH564" i="29"/>
  <c r="X433" i="29"/>
  <c r="Y433" i="29" s="1"/>
  <c r="AH433" i="29"/>
  <c r="X610" i="29"/>
  <c r="Y610" i="29" s="1"/>
  <c r="AH610" i="29"/>
  <c r="AH349" i="29"/>
  <c r="X349" i="29"/>
  <c r="Y349" i="29" s="1"/>
  <c r="AH305" i="29"/>
  <c r="X305" i="29"/>
  <c r="Y305" i="29" s="1"/>
  <c r="W411" i="29"/>
  <c r="AG411" i="29"/>
  <c r="W503" i="29"/>
  <c r="AG503" i="29"/>
  <c r="AH232" i="29"/>
  <c r="X232" i="29"/>
  <c r="Y232" i="29" s="1"/>
  <c r="AG512" i="29"/>
  <c r="W512" i="29"/>
  <c r="X390" i="29"/>
  <c r="Y390" i="29" s="1"/>
  <c r="AH390" i="29"/>
  <c r="AG54" i="29"/>
  <c r="W54" i="29"/>
  <c r="BY314" i="24"/>
  <c r="CA314" i="24" s="1"/>
  <c r="CB314" i="24" s="1"/>
  <c r="BM314" i="24"/>
  <c r="BN314" i="24" s="1"/>
  <c r="BY49" i="24"/>
  <c r="CA49" i="24" s="1"/>
  <c r="CB49" i="24" s="1"/>
  <c r="BN49" i="24"/>
  <c r="BE24" i="25"/>
  <c r="BK24" i="25" s="1"/>
  <c r="BR24" i="25"/>
  <c r="BV24" i="25" s="1"/>
  <c r="BX24" i="25" s="1"/>
  <c r="BY201" i="24"/>
  <c r="CA201" i="24" s="1"/>
  <c r="BM201" i="24"/>
  <c r="BN201" i="24" s="1"/>
  <c r="BE268" i="25"/>
  <c r="BR268" i="25"/>
  <c r="BX268" i="25" s="1"/>
  <c r="BE126" i="25"/>
  <c r="BR126" i="25"/>
  <c r="BX126" i="25" s="1"/>
  <c r="BE163" i="25"/>
  <c r="BR163" i="25"/>
  <c r="BX163" i="25" s="1"/>
  <c r="BY171" i="24"/>
  <c r="CA171" i="24" s="1"/>
  <c r="CB171" i="24" s="1"/>
  <c r="BM171" i="24"/>
  <c r="BN171" i="24" s="1"/>
  <c r="BE197" i="25"/>
  <c r="BR197" i="25"/>
  <c r="BX197" i="25" s="1"/>
  <c r="BY32" i="25"/>
  <c r="CA32" i="25" s="1"/>
  <c r="CB32" i="25" s="1"/>
  <c r="BL32" i="25"/>
  <c r="AH37" i="29"/>
  <c r="X37" i="29"/>
  <c r="Y37" i="29" s="1"/>
  <c r="W155" i="29"/>
  <c r="AG155" i="29"/>
  <c r="AG486" i="29"/>
  <c r="W486" i="29"/>
  <c r="AH515" i="29"/>
  <c r="X515" i="29"/>
  <c r="Y515" i="29" s="1"/>
  <c r="AH92" i="29"/>
  <c r="X92" i="29"/>
  <c r="Y92" i="29" s="1"/>
  <c r="W331" i="29"/>
  <c r="AG331" i="29"/>
  <c r="AG321" i="29"/>
  <c r="W321" i="29"/>
  <c r="W300" i="29"/>
  <c r="AG300" i="29"/>
  <c r="AH45" i="29"/>
  <c r="X45" i="29"/>
  <c r="Y45" i="29" s="1"/>
  <c r="AH502" i="29"/>
  <c r="X502" i="29"/>
  <c r="Y502" i="29" s="1"/>
  <c r="AG283" i="29"/>
  <c r="W283" i="29"/>
  <c r="W131" i="29"/>
  <c r="AG131" i="29"/>
  <c r="AH464" i="29"/>
  <c r="X464" i="29"/>
  <c r="Y464" i="29" s="1"/>
  <c r="W110" i="29"/>
  <c r="AG110" i="29"/>
  <c r="BY36" i="24"/>
  <c r="CA36" i="24" s="1"/>
  <c r="CB36" i="24" s="1"/>
  <c r="BN36" i="24"/>
  <c r="BY174" i="24"/>
  <c r="CA174" i="24" s="1"/>
  <c r="CB174" i="24" s="1"/>
  <c r="BM174" i="24"/>
  <c r="BN174" i="24" s="1"/>
  <c r="BL82" i="25"/>
  <c r="BY82" i="25"/>
  <c r="CA82" i="25" s="1"/>
  <c r="BY314" i="25"/>
  <c r="CA314" i="25" s="1"/>
  <c r="CB314" i="25" s="1"/>
  <c r="BL314" i="25"/>
  <c r="BK314" i="25"/>
  <c r="BY275" i="24"/>
  <c r="CA275" i="24" s="1"/>
  <c r="CB275" i="24" s="1"/>
  <c r="BM275" i="24"/>
  <c r="BN275" i="24" s="1"/>
  <c r="BR75" i="25"/>
  <c r="BV75" i="25" s="1"/>
  <c r="BX75" i="25" s="1"/>
  <c r="BE75" i="25"/>
  <c r="BK75" i="25" s="1"/>
  <c r="BR12" i="25"/>
  <c r="BV12" i="25" s="1"/>
  <c r="BX12" i="25" s="1"/>
  <c r="BE12" i="25"/>
  <c r="BK12" i="25" s="1"/>
  <c r="BY118" i="24"/>
  <c r="CA118" i="24" s="1"/>
  <c r="BM118" i="24"/>
  <c r="BN118" i="24" s="1"/>
  <c r="BL296" i="25"/>
  <c r="BY296" i="25"/>
  <c r="CA296" i="25" s="1"/>
  <c r="CB296" i="25" s="1"/>
  <c r="BK296" i="25"/>
  <c r="BY310" i="24"/>
  <c r="CA310" i="24" s="1"/>
  <c r="BM310" i="24"/>
  <c r="BN310" i="24" s="1"/>
  <c r="BY140" i="24"/>
  <c r="CA140" i="24" s="1"/>
  <c r="CB140" i="24" s="1"/>
  <c r="BM140" i="24"/>
  <c r="BN140" i="24" s="1"/>
  <c r="BY92" i="25"/>
  <c r="CA92" i="25" s="1"/>
  <c r="BL92" i="25"/>
  <c r="X348" i="29"/>
  <c r="Y348" i="29" s="1"/>
  <c r="AH348" i="29"/>
  <c r="AH58" i="29"/>
  <c r="X58" i="29"/>
  <c r="Y58" i="29" s="1"/>
  <c r="X32" i="29"/>
  <c r="Y32" i="29" s="1"/>
  <c r="AH32" i="29"/>
  <c r="AH13" i="29"/>
  <c r="X13" i="29"/>
  <c r="Y13" i="29" s="1"/>
  <c r="X97" i="29"/>
  <c r="Y97" i="29" s="1"/>
  <c r="AH97" i="29"/>
  <c r="AH452" i="29"/>
  <c r="X452" i="29"/>
  <c r="Y452" i="29" s="1"/>
  <c r="BL275" i="25"/>
  <c r="BY275" i="25"/>
  <c r="CA275" i="25" s="1"/>
  <c r="CB275" i="25" s="1"/>
  <c r="BK275" i="25"/>
  <c r="BN94" i="24"/>
  <c r="BY94" i="24"/>
  <c r="CA94" i="24" s="1"/>
  <c r="CB94" i="24" s="1"/>
  <c r="BY125" i="24"/>
  <c r="CA125" i="24" s="1"/>
  <c r="CB125" i="24" s="1"/>
  <c r="BM125" i="24"/>
  <c r="BN125" i="24" s="1"/>
  <c r="BY196" i="24"/>
  <c r="CA196" i="24" s="1"/>
  <c r="CB196" i="24" s="1"/>
  <c r="BM196" i="24"/>
  <c r="BN196" i="24" s="1"/>
  <c r="BY43" i="24"/>
  <c r="CA43" i="24" s="1"/>
  <c r="CB43" i="24" s="1"/>
  <c r="BN43" i="24"/>
  <c r="BY133" i="24"/>
  <c r="CA133" i="24" s="1"/>
  <c r="CB133" i="24" s="1"/>
  <c r="BM133" i="24"/>
  <c r="BN133" i="24" s="1"/>
  <c r="BR66" i="25"/>
  <c r="BV66" i="25" s="1"/>
  <c r="BX66" i="25" s="1"/>
  <c r="BE66" i="25"/>
  <c r="BK66" i="25" s="1"/>
  <c r="BY313" i="24"/>
  <c r="CA313" i="24" s="1"/>
  <c r="CB313" i="24" s="1"/>
  <c r="BM313" i="24"/>
  <c r="BN313" i="24" s="1"/>
  <c r="BY83" i="24"/>
  <c r="CA83" i="24" s="1"/>
  <c r="CB83" i="24" s="1"/>
  <c r="BN83" i="24"/>
  <c r="AH325" i="29"/>
  <c r="X325" i="29"/>
  <c r="Y325" i="29" s="1"/>
  <c r="W469" i="29"/>
  <c r="AG469" i="29"/>
  <c r="AH444" i="29"/>
  <c r="X444" i="29"/>
  <c r="Y444" i="29" s="1"/>
  <c r="AH542" i="29"/>
  <c r="X542" i="29"/>
  <c r="Y542" i="29" s="1"/>
  <c r="AG554" i="29"/>
  <c r="W554" i="29"/>
  <c r="AG34" i="29"/>
  <c r="W34" i="29"/>
  <c r="W491" i="29"/>
  <c r="AG491" i="29"/>
  <c r="AG61" i="29"/>
  <c r="W61" i="29"/>
  <c r="AG317" i="29"/>
  <c r="W317" i="29"/>
  <c r="AG211" i="29"/>
  <c r="W211" i="29"/>
  <c r="AG548" i="29"/>
  <c r="W548" i="29"/>
  <c r="AG385" i="29"/>
  <c r="W385" i="29"/>
  <c r="W352" i="29"/>
  <c r="AG352" i="29"/>
  <c r="AG224" i="29"/>
  <c r="W224" i="29"/>
  <c r="AH541" i="29"/>
  <c r="X541" i="29"/>
  <c r="Y541" i="29" s="1"/>
  <c r="AH254" i="29"/>
  <c r="X254" i="29"/>
  <c r="Y254" i="29" s="1"/>
  <c r="AH105" i="29"/>
  <c r="X105" i="29"/>
  <c r="Y105" i="29" s="1"/>
  <c r="BY291" i="24"/>
  <c r="CA291" i="24" s="1"/>
  <c r="BM291" i="24"/>
  <c r="BN291" i="24" s="1"/>
  <c r="BE121" i="25"/>
  <c r="BR121" i="25"/>
  <c r="BX121" i="25" s="1"/>
  <c r="BN98" i="24"/>
  <c r="BY98" i="24"/>
  <c r="CA98" i="24" s="1"/>
  <c r="BE36" i="25"/>
  <c r="BK36" i="25" s="1"/>
  <c r="BR36" i="25"/>
  <c r="BV36" i="25" s="1"/>
  <c r="BX36" i="25" s="1"/>
  <c r="BE223" i="25"/>
  <c r="BR223" i="25"/>
  <c r="BX223" i="25" s="1"/>
  <c r="BN75" i="24"/>
  <c r="BY75" i="24"/>
  <c r="CA75" i="24" s="1"/>
  <c r="CB75" i="24" s="1"/>
  <c r="BE136" i="25"/>
  <c r="BR136" i="25"/>
  <c r="BX136" i="25" s="1"/>
  <c r="AG169" i="29"/>
  <c r="W169" i="29"/>
  <c r="W167" i="29"/>
  <c r="AG167" i="29"/>
  <c r="W537" i="29"/>
  <c r="AG537" i="29"/>
  <c r="X297" i="29"/>
  <c r="Y297" i="29" s="1"/>
  <c r="AH297" i="29"/>
  <c r="X75" i="29"/>
  <c r="Y75" i="29" s="1"/>
  <c r="AH75" i="29"/>
  <c r="AH504" i="29"/>
  <c r="X504" i="29"/>
  <c r="Y504" i="29" s="1"/>
  <c r="W552" i="29"/>
  <c r="AG552" i="29"/>
  <c r="AH172" i="29"/>
  <c r="X172" i="29"/>
  <c r="Y172" i="29" s="1"/>
  <c r="X534" i="29"/>
  <c r="Y534" i="29" s="1"/>
  <c r="AH534" i="29"/>
  <c r="AH429" i="29"/>
  <c r="X429" i="29"/>
  <c r="Y429" i="29" s="1"/>
  <c r="X240" i="29"/>
  <c r="Y240" i="29" s="1"/>
  <c r="AH240" i="29"/>
  <c r="W354" i="29"/>
  <c r="AG354" i="29"/>
  <c r="AH132" i="29"/>
  <c r="X132" i="29"/>
  <c r="Y132" i="29" s="1"/>
  <c r="AG22" i="29"/>
  <c r="W22" i="29"/>
  <c r="AH73" i="29"/>
  <c r="X73" i="29"/>
  <c r="Y73" i="29" s="1"/>
  <c r="BL232" i="25"/>
  <c r="BY232" i="25"/>
  <c r="CA232" i="25" s="1"/>
  <c r="CB232" i="25" s="1"/>
  <c r="BK232" i="25"/>
  <c r="BR18" i="25"/>
  <c r="BV18" i="25" s="1"/>
  <c r="BX18" i="25" s="1"/>
  <c r="BE18" i="25"/>
  <c r="BK18" i="25" s="1"/>
  <c r="BL94" i="25"/>
  <c r="BY94" i="25"/>
  <c r="CA94" i="25" s="1"/>
  <c r="CB94" i="25" s="1"/>
  <c r="BY156" i="24"/>
  <c r="CA156" i="24" s="1"/>
  <c r="BM156" i="24"/>
  <c r="BN156" i="24" s="1"/>
  <c r="BY226" i="24"/>
  <c r="CA226" i="24" s="1"/>
  <c r="CB226" i="24" s="1"/>
  <c r="BM226" i="24"/>
  <c r="BN226" i="24" s="1"/>
  <c r="W581" i="29"/>
  <c r="AG581" i="29"/>
  <c r="AH70" i="29"/>
  <c r="X70" i="29"/>
  <c r="Y70" i="29" s="1"/>
  <c r="X109" i="29"/>
  <c r="Y109" i="29" s="1"/>
  <c r="AH109" i="29"/>
  <c r="W340" i="29"/>
  <c r="AG340" i="29"/>
  <c r="AG358" i="29"/>
  <c r="W358" i="29"/>
  <c r="BE242" i="25"/>
  <c r="BR242" i="25"/>
  <c r="BX242" i="25" s="1"/>
  <c r="BY87" i="25"/>
  <c r="CA87" i="25" s="1"/>
  <c r="CB87" i="25" s="1"/>
  <c r="BL87" i="25"/>
  <c r="BY178" i="25"/>
  <c r="CA178" i="25" s="1"/>
  <c r="CB178" i="25" s="1"/>
  <c r="BL178" i="25"/>
  <c r="BK178" i="25"/>
  <c r="BY169" i="24"/>
  <c r="CA169" i="24" s="1"/>
  <c r="CB169" i="24" s="1"/>
  <c r="BM169" i="24"/>
  <c r="BN169" i="24" s="1"/>
  <c r="BY316" i="24"/>
  <c r="CA316" i="24" s="1"/>
  <c r="BM316" i="24"/>
  <c r="L110" i="2" s="1"/>
  <c r="BY250" i="24"/>
  <c r="CA250" i="24" s="1"/>
  <c r="CB250" i="24" s="1"/>
  <c r="BM250" i="24"/>
  <c r="BN250" i="24" s="1"/>
  <c r="W600" i="29"/>
  <c r="AG600" i="29"/>
  <c r="AH353" i="29"/>
  <c r="X353" i="29"/>
  <c r="Y353" i="29" s="1"/>
  <c r="AH566" i="29"/>
  <c r="X566" i="29"/>
  <c r="Y566" i="29" s="1"/>
  <c r="W299" i="29"/>
  <c r="AG299" i="29"/>
  <c r="W359" i="29"/>
  <c r="AG359" i="29"/>
  <c r="W282" i="29"/>
  <c r="AG282" i="29"/>
  <c r="AG102" i="29"/>
  <c r="W102" i="29"/>
  <c r="AG203" i="29"/>
  <c r="W203" i="29"/>
  <c r="W604" i="29"/>
  <c r="AG604" i="29"/>
  <c r="X488" i="29"/>
  <c r="Y488" i="29" s="1"/>
  <c r="AH488" i="29"/>
  <c r="AH547" i="29"/>
  <c r="X547" i="29"/>
  <c r="Y547" i="29" s="1"/>
  <c r="W399" i="29"/>
  <c r="AG399" i="29"/>
  <c r="X520" i="29"/>
  <c r="Y520" i="29" s="1"/>
  <c r="AH520" i="29"/>
  <c r="W243" i="29"/>
  <c r="AG243" i="29"/>
  <c r="W136" i="29"/>
  <c r="AG136" i="29"/>
  <c r="BR119" i="25"/>
  <c r="BX119" i="25" s="1"/>
  <c r="BE119" i="25"/>
  <c r="BR196" i="25"/>
  <c r="BX196" i="25" s="1"/>
  <c r="BE196" i="25"/>
  <c r="BY205" i="24"/>
  <c r="CA205" i="24" s="1"/>
  <c r="BM205" i="24"/>
  <c r="BN205" i="24" s="1"/>
  <c r="BR56" i="25"/>
  <c r="BV56" i="25" s="1"/>
  <c r="BX56" i="25" s="1"/>
  <c r="BE56" i="25"/>
  <c r="BK56" i="25" s="1"/>
  <c r="BE144" i="25"/>
  <c r="BR144" i="25"/>
  <c r="BX144" i="25" s="1"/>
  <c r="BN105" i="24"/>
  <c r="BY105" i="24"/>
  <c r="CA105" i="24" s="1"/>
  <c r="BY185" i="24"/>
  <c r="CA185" i="24" s="1"/>
  <c r="BM185" i="24"/>
  <c r="BN185" i="24" s="1"/>
  <c r="BE287" i="25"/>
  <c r="BR287" i="25"/>
  <c r="BX287" i="25" s="1"/>
  <c r="BN53" i="24"/>
  <c r="BY53" i="24"/>
  <c r="CA53" i="24" s="1"/>
  <c r="CB53" i="24" s="1"/>
  <c r="AH245" i="29"/>
  <c r="X245" i="29"/>
  <c r="Y245" i="29" s="1"/>
  <c r="AH381" i="29"/>
  <c r="X381" i="29"/>
  <c r="Y381" i="29" s="1"/>
  <c r="AG521" i="29"/>
  <c r="W521" i="29"/>
  <c r="X576" i="29"/>
  <c r="Y576" i="29" s="1"/>
  <c r="AH576" i="29"/>
  <c r="AG388" i="29"/>
  <c r="W388" i="29"/>
  <c r="X219" i="29"/>
  <c r="Y219" i="29" s="1"/>
  <c r="AH219" i="29"/>
  <c r="X100" i="29"/>
  <c r="Y100" i="29" s="1"/>
  <c r="AH100" i="29"/>
  <c r="AG368" i="29"/>
  <c r="W368" i="29"/>
  <c r="X389" i="29"/>
  <c r="Y389" i="29" s="1"/>
  <c r="AH389" i="29"/>
  <c r="AG63" i="29"/>
  <c r="W63" i="29"/>
  <c r="AG190" i="29"/>
  <c r="W190" i="29"/>
  <c r="AH540" i="29"/>
  <c r="X540" i="29"/>
  <c r="Y540" i="29" s="1"/>
  <c r="X280" i="29"/>
  <c r="Y280" i="29" s="1"/>
  <c r="AH280" i="29"/>
  <c r="AG212" i="29"/>
  <c r="W212" i="29"/>
  <c r="W168" i="29"/>
  <c r="AG168" i="29"/>
  <c r="W141" i="29"/>
  <c r="AG141" i="29"/>
  <c r="BY284" i="24"/>
  <c r="CA284" i="24" s="1"/>
  <c r="BM284" i="24"/>
  <c r="BN284" i="24" s="1"/>
  <c r="BR70" i="25"/>
  <c r="BV70" i="25" s="1"/>
  <c r="BX70" i="25" s="1"/>
  <c r="BE70" i="25"/>
  <c r="BK70" i="25" s="1"/>
  <c r="BY71" i="24"/>
  <c r="CA71" i="24" s="1"/>
  <c r="CB71" i="24" s="1"/>
  <c r="BN71" i="24"/>
  <c r="BE303" i="25"/>
  <c r="BR303" i="25"/>
  <c r="BX303" i="25" s="1"/>
  <c r="AH357" i="29"/>
  <c r="X357" i="29"/>
  <c r="Y357" i="29" s="1"/>
  <c r="W342" i="29"/>
  <c r="AG342" i="29"/>
  <c r="AH556" i="29"/>
  <c r="X556" i="29"/>
  <c r="Y556" i="29" s="1"/>
  <c r="BE195" i="25"/>
  <c r="BR195" i="25"/>
  <c r="BX195" i="25" s="1"/>
  <c r="BE301" i="25"/>
  <c r="BR301" i="25"/>
  <c r="BX301" i="25" s="1"/>
  <c r="BN39" i="24"/>
  <c r="BY39" i="24"/>
  <c r="CA39" i="24" s="1"/>
  <c r="CB39" i="24" s="1"/>
  <c r="BY17" i="24"/>
  <c r="CA17" i="24" s="1"/>
  <c r="CB17" i="24" s="1"/>
  <c r="BN17" i="24"/>
  <c r="BR19" i="25"/>
  <c r="BV19" i="25" s="1"/>
  <c r="BX19" i="25" s="1"/>
  <c r="BE19" i="25"/>
  <c r="BK19" i="25" s="1"/>
  <c r="BE27" i="25"/>
  <c r="BK27" i="25" s="1"/>
  <c r="BR27" i="25"/>
  <c r="BV27" i="25" s="1"/>
  <c r="BX27" i="25" s="1"/>
  <c r="BE220" i="25"/>
  <c r="BR220" i="25"/>
  <c r="BX220" i="25" s="1"/>
  <c r="BN62" i="24"/>
  <c r="BY62" i="24"/>
  <c r="CA62" i="24" s="1"/>
  <c r="X26" i="29"/>
  <c r="Y26" i="29" s="1"/>
  <c r="AH26" i="29"/>
  <c r="AG596" i="29"/>
  <c r="W596" i="29"/>
  <c r="AH231" i="29"/>
  <c r="X231" i="29"/>
  <c r="Y231" i="29" s="1"/>
  <c r="AH120" i="29"/>
  <c r="X120" i="29"/>
  <c r="Y120" i="29" s="1"/>
  <c r="BY96" i="24"/>
  <c r="CA96" i="24" s="1"/>
  <c r="CB96" i="24" s="1"/>
  <c r="BN96" i="24"/>
  <c r="BL229" i="25"/>
  <c r="BY229" i="25"/>
  <c r="CA229" i="25" s="1"/>
  <c r="CB229" i="25" s="1"/>
  <c r="BK229" i="25"/>
  <c r="BE141" i="25"/>
  <c r="BR141" i="25"/>
  <c r="BX141" i="25" s="1"/>
  <c r="BE22" i="25"/>
  <c r="BK22" i="25" s="1"/>
  <c r="BR22" i="25"/>
  <c r="BV22" i="25" s="1"/>
  <c r="BX22" i="25" s="1"/>
  <c r="BR202" i="25"/>
  <c r="BX202" i="25" s="1"/>
  <c r="BE202" i="25"/>
  <c r="BY230" i="24"/>
  <c r="CA230" i="24" s="1"/>
  <c r="CB230" i="24" s="1"/>
  <c r="BM230" i="24"/>
  <c r="BN230" i="24" s="1"/>
  <c r="BY246" i="24"/>
  <c r="CA246" i="24" s="1"/>
  <c r="CB246" i="24" s="1"/>
  <c r="BM246" i="24"/>
  <c r="BN246" i="24" s="1"/>
  <c r="BY180" i="24"/>
  <c r="CA180" i="24" s="1"/>
  <c r="BM180" i="24"/>
  <c r="BN180" i="24" s="1"/>
  <c r="BN87" i="24"/>
  <c r="BY87" i="24"/>
  <c r="CA87" i="24" s="1"/>
  <c r="BY113" i="24"/>
  <c r="CA113" i="24" s="1"/>
  <c r="CB113" i="24" s="1"/>
  <c r="BM113" i="24"/>
  <c r="BN113" i="24" s="1"/>
  <c r="BR26" i="25"/>
  <c r="BV26" i="25" s="1"/>
  <c r="BX26" i="25" s="1"/>
  <c r="BE26" i="25"/>
  <c r="BK26" i="25" s="1"/>
  <c r="BN40" i="24"/>
  <c r="BY40" i="24"/>
  <c r="CA40" i="24" s="1"/>
  <c r="CB40" i="24" s="1"/>
  <c r="BN91" i="24"/>
  <c r="BY91" i="24"/>
  <c r="CA91" i="24" s="1"/>
  <c r="CB91" i="24" s="1"/>
  <c r="V585" i="29"/>
  <c r="U585" i="29"/>
  <c r="AH149" i="29"/>
  <c r="X149" i="29"/>
  <c r="Y149" i="29" s="1"/>
  <c r="AH119" i="29"/>
  <c r="X119" i="29"/>
  <c r="Y119" i="29" s="1"/>
  <c r="AG58" i="29"/>
  <c r="W58" i="29"/>
  <c r="W42" i="29"/>
  <c r="AG42" i="29"/>
  <c r="X31" i="29"/>
  <c r="Y31" i="29" s="1"/>
  <c r="AH31" i="29"/>
  <c r="AH574" i="29"/>
  <c r="X574" i="29"/>
  <c r="Y574" i="29" s="1"/>
  <c r="AG304" i="29"/>
  <c r="W304" i="29"/>
  <c r="X255" i="29"/>
  <c r="Y255" i="29" s="1"/>
  <c r="AH255" i="29"/>
  <c r="AG271" i="29"/>
  <c r="W271" i="29"/>
  <c r="AG592" i="29"/>
  <c r="W592" i="29"/>
  <c r="W215" i="29"/>
  <c r="AG215" i="29"/>
  <c r="X375" i="29"/>
  <c r="Y375" i="29" s="1"/>
  <c r="AH375" i="29"/>
  <c r="W539" i="29"/>
  <c r="AG539" i="29"/>
  <c r="AH310" i="29"/>
  <c r="X310" i="29"/>
  <c r="Y310" i="29" s="1"/>
  <c r="AG97" i="29"/>
  <c r="W97" i="29"/>
  <c r="W452" i="29"/>
  <c r="AG452" i="29"/>
  <c r="BY114" i="25"/>
  <c r="CA114" i="25" s="1"/>
  <c r="CB114" i="25" s="1"/>
  <c r="BL114" i="25"/>
  <c r="BK114" i="25"/>
  <c r="BE290" i="25"/>
  <c r="BR290" i="25"/>
  <c r="BX290" i="25" s="1"/>
  <c r="BY21" i="25"/>
  <c r="CA21" i="25" s="1"/>
  <c r="BL21" i="25"/>
  <c r="BY93" i="24"/>
  <c r="CA93" i="24" s="1"/>
  <c r="CB93" i="24" s="1"/>
  <c r="BN93" i="24"/>
  <c r="BY25" i="24"/>
  <c r="CA25" i="24" s="1"/>
  <c r="CB25" i="24" s="1"/>
  <c r="BN25" i="24"/>
  <c r="BY199" i="25"/>
  <c r="CA199" i="25" s="1"/>
  <c r="BL199" i="25"/>
  <c r="BK199" i="25"/>
  <c r="X88" i="29"/>
  <c r="Y88" i="29" s="1"/>
  <c r="AH88" i="29"/>
  <c r="X571" i="29"/>
  <c r="Y571" i="29" s="1"/>
  <c r="AH571" i="29"/>
  <c r="AG405" i="29"/>
  <c r="W405" i="29"/>
  <c r="W395" i="29"/>
  <c r="AG395" i="29"/>
  <c r="BY146" i="24"/>
  <c r="CA146" i="24" s="1"/>
  <c r="CB146" i="24" s="1"/>
  <c r="BM146" i="24"/>
  <c r="BN146" i="24" s="1"/>
  <c r="BE117" i="25"/>
  <c r="BR117" i="25"/>
  <c r="BX117" i="25" s="1"/>
  <c r="BN31" i="24"/>
  <c r="BY31" i="24"/>
  <c r="CA31" i="24" s="1"/>
  <c r="CB31" i="24" s="1"/>
  <c r="BE270" i="25"/>
  <c r="BR270" i="25"/>
  <c r="BX270" i="25" s="1"/>
  <c r="BY14" i="24"/>
  <c r="CA14" i="24" s="1"/>
  <c r="BN14" i="24"/>
  <c r="BE124" i="25"/>
  <c r="BR124" i="25"/>
  <c r="BX124" i="25" s="1"/>
  <c r="BR48" i="25"/>
  <c r="BV48" i="25" s="1"/>
  <c r="BX48" i="25" s="1"/>
  <c r="BE48" i="25"/>
  <c r="BK48" i="25" s="1"/>
  <c r="AH195" i="29"/>
  <c r="X195" i="29"/>
  <c r="Y195" i="29" s="1"/>
  <c r="AH124" i="29"/>
  <c r="X124" i="29"/>
  <c r="Y124" i="29" s="1"/>
  <c r="BR185" i="25"/>
  <c r="BX185" i="25" s="1"/>
  <c r="BE185" i="25"/>
  <c r="BE233" i="25"/>
  <c r="BR233" i="25"/>
  <c r="BX233" i="25" s="1"/>
  <c r="BY64" i="24"/>
  <c r="CA64" i="24" s="1"/>
  <c r="CB64" i="24" s="1"/>
  <c r="BN64" i="24"/>
  <c r="BE221" i="25"/>
  <c r="BR221" i="25"/>
  <c r="BX221" i="25" s="1"/>
  <c r="BY229" i="24"/>
  <c r="CA229" i="24" s="1"/>
  <c r="CB229" i="24" s="1"/>
  <c r="BM229" i="24"/>
  <c r="BN229" i="24" s="1"/>
  <c r="BY290" i="24"/>
  <c r="CA290" i="24" s="1"/>
  <c r="CB290" i="24" s="1"/>
  <c r="BM290" i="24"/>
  <c r="BN290" i="24" s="1"/>
  <c r="BR72" i="25"/>
  <c r="BV72" i="25" s="1"/>
  <c r="BX72" i="25" s="1"/>
  <c r="BE72" i="25"/>
  <c r="BK72" i="25" s="1"/>
  <c r="BE277" i="25"/>
  <c r="BR277" i="25"/>
  <c r="BX277" i="25" s="1"/>
  <c r="B154" i="2"/>
  <c r="B160" i="2"/>
  <c r="E32" i="1" s="1"/>
  <c r="BR43" i="25"/>
  <c r="BV43" i="25" s="1"/>
  <c r="BX43" i="25" s="1"/>
  <c r="BE43" i="25"/>
  <c r="BK43" i="25" s="1"/>
  <c r="BR81" i="25"/>
  <c r="BV81" i="25" s="1"/>
  <c r="BX81" i="25" s="1"/>
  <c r="BE81" i="25"/>
  <c r="BK81" i="25" s="1"/>
  <c r="BE138" i="25"/>
  <c r="BR138" i="25"/>
  <c r="BX138" i="25" s="1"/>
  <c r="X38" i="29"/>
  <c r="Y38" i="29" s="1"/>
  <c r="AH38" i="29"/>
  <c r="W435" i="29"/>
  <c r="AG435" i="29"/>
  <c r="AH199" i="29"/>
  <c r="X199" i="29"/>
  <c r="Y199" i="29" s="1"/>
  <c r="AH527" i="29"/>
  <c r="X527" i="29"/>
  <c r="Y527" i="29" s="1"/>
  <c r="AG83" i="29"/>
  <c r="W83" i="29"/>
  <c r="X122" i="29"/>
  <c r="Y122" i="29" s="1"/>
  <c r="AH122" i="29"/>
  <c r="AH194" i="29"/>
  <c r="X194" i="29"/>
  <c r="Y194" i="29" s="1"/>
  <c r="AH23" i="29"/>
  <c r="X23" i="29"/>
  <c r="Y23" i="29" s="1"/>
  <c r="X312" i="29"/>
  <c r="Y312" i="29" s="1"/>
  <c r="AH312" i="29"/>
  <c r="AG467" i="29"/>
  <c r="W467" i="29"/>
  <c r="AG188" i="29"/>
  <c r="W188" i="29"/>
  <c r="AH314" i="29"/>
  <c r="X314" i="29"/>
  <c r="Y314" i="29" s="1"/>
  <c r="W567" i="29"/>
  <c r="AG567" i="29"/>
  <c r="X492" i="29"/>
  <c r="Y492" i="29" s="1"/>
  <c r="AH492" i="29"/>
  <c r="BY141" i="24"/>
  <c r="CA141" i="24" s="1"/>
  <c r="CB141" i="24" s="1"/>
  <c r="BM141" i="24"/>
  <c r="BN141" i="24" s="1"/>
  <c r="BE297" i="25"/>
  <c r="BR297" i="25"/>
  <c r="BX297" i="25" s="1"/>
  <c r="BR65" i="25"/>
  <c r="BV65" i="25" s="1"/>
  <c r="BX65" i="25" s="1"/>
  <c r="BE65" i="25"/>
  <c r="BK65" i="25" s="1"/>
  <c r="BY252" i="24"/>
  <c r="CA252" i="24" s="1"/>
  <c r="CB252" i="24" s="1"/>
  <c r="BM252" i="24"/>
  <c r="BN252" i="24" s="1"/>
  <c r="X50" i="29"/>
  <c r="Y50" i="29" s="1"/>
  <c r="AH50" i="29"/>
  <c r="AH177" i="29"/>
  <c r="X177" i="29"/>
  <c r="Y177" i="29" s="1"/>
  <c r="W378" i="29"/>
  <c r="AG378" i="29"/>
  <c r="AH112" i="29"/>
  <c r="X112" i="29"/>
  <c r="Y112" i="29" s="1"/>
  <c r="BY280" i="25"/>
  <c r="CA280" i="25" s="1"/>
  <c r="CB280" i="25" s="1"/>
  <c r="BL280" i="25"/>
  <c r="BK280" i="25"/>
  <c r="BY261" i="24"/>
  <c r="CA261" i="24" s="1"/>
  <c r="CB261" i="24" s="1"/>
  <c r="BM261" i="24"/>
  <c r="BN261" i="24" s="1"/>
  <c r="BY149" i="24"/>
  <c r="CA149" i="24" s="1"/>
  <c r="CB149" i="24" s="1"/>
  <c r="BM149" i="24"/>
  <c r="BN149" i="24" s="1"/>
  <c r="BR125" i="25"/>
  <c r="BX125" i="25" s="1"/>
  <c r="BE125" i="25"/>
  <c r="BE105" i="25"/>
  <c r="BK105" i="25" s="1"/>
  <c r="BR105" i="25"/>
  <c r="BV105" i="25" s="1"/>
  <c r="BX105" i="25" s="1"/>
  <c r="BL265" i="25"/>
  <c r="BK265" i="25"/>
  <c r="BE91" i="25"/>
  <c r="BK91" i="25" s="1"/>
  <c r="BR91" i="25"/>
  <c r="BV91" i="25" s="1"/>
  <c r="BX91" i="25" s="1"/>
  <c r="BY182" i="24"/>
  <c r="CA182" i="24" s="1"/>
  <c r="BM182" i="24"/>
  <c r="BN182" i="24" s="1"/>
  <c r="AH544" i="29"/>
  <c r="X544" i="29"/>
  <c r="Y544" i="29" s="1"/>
  <c r="X89" i="29"/>
  <c r="Y89" i="29" s="1"/>
  <c r="AH89" i="29"/>
  <c r="AG442" i="29"/>
  <c r="W442" i="29"/>
  <c r="AH608" i="29"/>
  <c r="X608" i="29"/>
  <c r="Y608" i="29" s="1"/>
  <c r="BL179" i="25"/>
  <c r="BY179" i="25"/>
  <c r="CA179" i="25" s="1"/>
  <c r="BK179" i="25"/>
  <c r="BY244" i="24"/>
  <c r="CA244" i="24" s="1"/>
  <c r="CB244" i="24" s="1"/>
  <c r="BM244" i="24"/>
  <c r="BN244" i="24" s="1"/>
  <c r="BE254" i="25"/>
  <c r="BR254" i="25"/>
  <c r="BX254" i="25" s="1"/>
  <c r="BL305" i="25"/>
  <c r="BY305" i="25"/>
  <c r="CA305" i="25" s="1"/>
  <c r="CB305" i="25" s="1"/>
  <c r="BK305" i="25"/>
  <c r="BY302" i="24"/>
  <c r="CA302" i="24" s="1"/>
  <c r="CB302" i="24" s="1"/>
  <c r="BM302" i="24"/>
  <c r="BN302" i="24" s="1"/>
  <c r="BN82" i="24"/>
  <c r="BY82" i="24"/>
  <c r="CA82" i="24" s="1"/>
  <c r="CB82" i="24" s="1"/>
  <c r="BY203" i="24"/>
  <c r="CA203" i="24" s="1"/>
  <c r="BM203" i="24"/>
  <c r="BN203" i="24" s="1"/>
  <c r="BL13" i="25"/>
  <c r="BY13" i="25"/>
  <c r="CA13" i="25" s="1"/>
  <c r="CB13" i="25" s="1"/>
  <c r="BY104" i="24"/>
  <c r="CA104" i="24" s="1"/>
  <c r="BN104" i="24"/>
  <c r="BY129" i="24"/>
  <c r="CA129" i="24" s="1"/>
  <c r="CB129" i="24" s="1"/>
  <c r="BM129" i="24"/>
  <c r="BN129" i="24" s="1"/>
  <c r="BE272" i="25"/>
  <c r="BR272" i="25"/>
  <c r="BX272" i="25" s="1"/>
  <c r="BY157" i="24"/>
  <c r="CA157" i="24" s="1"/>
  <c r="BM157" i="24"/>
  <c r="BN157" i="24" s="1"/>
  <c r="AG337" i="29"/>
  <c r="W337" i="29"/>
  <c r="AH163" i="29"/>
  <c r="X163" i="29"/>
  <c r="Y163" i="29" s="1"/>
  <c r="AG43" i="29"/>
  <c r="W43" i="29"/>
  <c r="AG288" i="29"/>
  <c r="W288" i="29"/>
  <c r="W59" i="29"/>
  <c r="AG59" i="29"/>
  <c r="X144" i="29"/>
  <c r="Y144" i="29" s="1"/>
  <c r="AH144" i="29"/>
  <c r="W259" i="29"/>
  <c r="AG259" i="29"/>
  <c r="W466" i="29"/>
  <c r="AG466" i="29"/>
  <c r="AH192" i="29"/>
  <c r="X192" i="29"/>
  <c r="Y192" i="29" s="1"/>
  <c r="AG472" i="29"/>
  <c r="W472" i="29"/>
  <c r="AH242" i="29"/>
  <c r="X242" i="29"/>
  <c r="Y242" i="29" s="1"/>
  <c r="W129" i="29"/>
  <c r="AG129" i="29"/>
  <c r="W445" i="29"/>
  <c r="AG445" i="29"/>
  <c r="AH493" i="29"/>
  <c r="X493" i="29"/>
  <c r="Y493" i="29" s="1"/>
  <c r="AH500" i="29"/>
  <c r="X500" i="29"/>
  <c r="Y500" i="29" s="1"/>
  <c r="BY163" i="24"/>
  <c r="CA163" i="24" s="1"/>
  <c r="BM163" i="24"/>
  <c r="BN163" i="24" s="1"/>
  <c r="BL238" i="25"/>
  <c r="BY238" i="25"/>
  <c r="CA238" i="25" s="1"/>
  <c r="CB238" i="25" s="1"/>
  <c r="BK238" i="25"/>
  <c r="BY197" i="24"/>
  <c r="CA197" i="24" s="1"/>
  <c r="CB197" i="24" s="1"/>
  <c r="BM197" i="24"/>
  <c r="BN197" i="24" s="1"/>
  <c r="BL154" i="25"/>
  <c r="BK154" i="25"/>
  <c r="BY73" i="24"/>
  <c r="CA73" i="24" s="1"/>
  <c r="BN73" i="24"/>
  <c r="BY192" i="24"/>
  <c r="CA192" i="24" s="1"/>
  <c r="CB192" i="24" s="1"/>
  <c r="BM192" i="24"/>
  <c r="BN192" i="24" s="1"/>
  <c r="BE50" i="25"/>
  <c r="BK50" i="25" s="1"/>
  <c r="BR50" i="25"/>
  <c r="BV50" i="25" s="1"/>
  <c r="BX50" i="25" s="1"/>
  <c r="X373" i="29"/>
  <c r="Y373" i="29" s="1"/>
  <c r="AH373" i="29"/>
  <c r="X324" i="29"/>
  <c r="Y324" i="29" s="1"/>
  <c r="AH324" i="29"/>
  <c r="X315" i="29"/>
  <c r="Y315" i="29" s="1"/>
  <c r="AH315" i="29"/>
  <c r="X130" i="29"/>
  <c r="Y130" i="29" s="1"/>
  <c r="AH130" i="29"/>
  <c r="W363" i="29"/>
  <c r="AG363" i="29"/>
  <c r="AH213" i="29"/>
  <c r="X213" i="29"/>
  <c r="Y213" i="29" s="1"/>
  <c r="W364" i="29"/>
  <c r="AG364" i="29"/>
  <c r="AG372" i="29"/>
  <c r="W372" i="29"/>
  <c r="AH246" i="29"/>
  <c r="X246" i="29"/>
  <c r="Y246" i="29" s="1"/>
  <c r="X111" i="29"/>
  <c r="Y111" i="29" s="1"/>
  <c r="AH111" i="29"/>
  <c r="W558" i="29"/>
  <c r="AG558" i="29"/>
  <c r="X279" i="29"/>
  <c r="Y279" i="29" s="1"/>
  <c r="AH279" i="29"/>
  <c r="W275" i="29"/>
  <c r="AG275" i="29"/>
  <c r="AG236" i="29"/>
  <c r="W236" i="29"/>
  <c r="W231" i="29"/>
  <c r="AG231" i="29"/>
  <c r="BE103" i="25"/>
  <c r="BK103" i="25" s="1"/>
  <c r="BR103" i="25"/>
  <c r="BV103" i="25" s="1"/>
  <c r="BX103" i="25" s="1"/>
  <c r="BE162" i="25"/>
  <c r="BR162" i="25"/>
  <c r="BX162" i="25" s="1"/>
  <c r="BE253" i="25"/>
  <c r="BR253" i="25"/>
  <c r="BX253" i="25" s="1"/>
  <c r="BY23" i="24"/>
  <c r="CA23" i="24" s="1"/>
  <c r="BN23" i="24"/>
  <c r="BL174" i="25"/>
  <c r="BY174" i="25"/>
  <c r="CA174" i="25" s="1"/>
  <c r="BK174" i="25"/>
  <c r="BY126" i="24"/>
  <c r="CA126" i="24" s="1"/>
  <c r="BM126" i="24"/>
  <c r="BN126" i="24" s="1"/>
  <c r="BR41" i="25"/>
  <c r="BV41" i="25" s="1"/>
  <c r="BX41" i="25" s="1"/>
  <c r="BE41" i="25"/>
  <c r="BK41" i="25" s="1"/>
  <c r="BY158" i="24"/>
  <c r="CA158" i="24" s="1"/>
  <c r="CB158" i="24" s="1"/>
  <c r="BM158" i="24"/>
  <c r="BN158" i="24" s="1"/>
  <c r="BY282" i="25"/>
  <c r="CA282" i="25" s="1"/>
  <c r="CB282" i="25" s="1"/>
  <c r="BL282" i="25"/>
  <c r="BK282" i="25"/>
  <c r="AH336" i="29"/>
  <c r="X336" i="29"/>
  <c r="Y336" i="29" s="1"/>
  <c r="X145" i="29"/>
  <c r="Y145" i="29" s="1"/>
  <c r="AH145" i="29"/>
  <c r="AG471" i="29"/>
  <c r="W471" i="29"/>
  <c r="W599" i="29"/>
  <c r="AG599" i="29"/>
  <c r="AH530" i="29"/>
  <c r="X530" i="29"/>
  <c r="Y530" i="29" s="1"/>
  <c r="W36" i="29"/>
  <c r="AG36" i="29"/>
  <c r="BY220" i="24"/>
  <c r="CA220" i="24" s="1"/>
  <c r="CB220" i="24" s="1"/>
  <c r="BM220" i="24"/>
  <c r="BN220" i="24" s="1"/>
  <c r="BE153" i="25"/>
  <c r="BR153" i="25"/>
  <c r="BX153" i="25" s="1"/>
  <c r="BE146" i="25"/>
  <c r="BR146" i="25"/>
  <c r="BX146" i="25" s="1"/>
  <c r="BY34" i="25"/>
  <c r="CA34" i="25" s="1"/>
  <c r="CB34" i="25" s="1"/>
  <c r="BL34" i="25"/>
  <c r="BR84" i="25"/>
  <c r="BV84" i="25" s="1"/>
  <c r="BX84" i="25" s="1"/>
  <c r="BE84" i="25"/>
  <c r="BK84" i="25" s="1"/>
  <c r="W380" i="29" l="1"/>
  <c r="AH591" i="29"/>
  <c r="AG483" i="29"/>
  <c r="W163" i="29"/>
  <c r="CB113" i="25"/>
  <c r="CF113" i="25"/>
  <c r="CB118" i="24"/>
  <c r="CF118" i="24"/>
  <c r="X551" i="29"/>
  <c r="Y551" i="29" s="1"/>
  <c r="X371" i="29"/>
  <c r="Y371" i="29" s="1"/>
  <c r="CB30" i="25"/>
  <c r="CF30" i="25"/>
  <c r="W225" i="29"/>
  <c r="AJ224" i="29" s="1"/>
  <c r="AK224" i="29" s="1"/>
  <c r="CB238" i="24"/>
  <c r="CF238" i="24"/>
  <c r="CB21" i="25"/>
  <c r="CF21" i="25"/>
  <c r="CB127" i="24"/>
  <c r="CF127" i="24"/>
  <c r="CB23" i="24"/>
  <c r="CF23" i="24"/>
  <c r="CB30" i="24"/>
  <c r="CF30" i="24"/>
  <c r="BY265" i="25"/>
  <c r="CA265" i="25" s="1"/>
  <c r="CB265" i="25" s="1"/>
  <c r="X536" i="29"/>
  <c r="Y536" i="29" s="1"/>
  <c r="CB232" i="24"/>
  <c r="CF232" i="24"/>
  <c r="CB126" i="24"/>
  <c r="CF126" i="24"/>
  <c r="AH485" i="29"/>
  <c r="CB78" i="24"/>
  <c r="CF78" i="24"/>
  <c r="AH159" i="29"/>
  <c r="CB62" i="24"/>
  <c r="CF62" i="24"/>
  <c r="AH445" i="29"/>
  <c r="CB243" i="24"/>
  <c r="CF243" i="24"/>
  <c r="CB61" i="24"/>
  <c r="CF61" i="24"/>
  <c r="CB137" i="24"/>
  <c r="CF137" i="24"/>
  <c r="CB117" i="24"/>
  <c r="CF117" i="24"/>
  <c r="CB225" i="24"/>
  <c r="CF225" i="24"/>
  <c r="CB14" i="24"/>
  <c r="CF14" i="24"/>
  <c r="CB14" i="25"/>
  <c r="CF14" i="25"/>
  <c r="CB312" i="24"/>
  <c r="CF312" i="24"/>
  <c r="CB206" i="24"/>
  <c r="CF206" i="24"/>
  <c r="CB66" i="24"/>
  <c r="CF66" i="24"/>
  <c r="CB6" i="24"/>
  <c r="CF6" i="24"/>
  <c r="CB217" i="24"/>
  <c r="CF217" i="24"/>
  <c r="CB6" i="25"/>
  <c r="CF6" i="25"/>
  <c r="X393" i="29"/>
  <c r="Y393" i="29" s="1"/>
  <c r="X478" i="29"/>
  <c r="Y478" i="29" s="1"/>
  <c r="X74" i="29"/>
  <c r="Y74" i="29" s="1"/>
  <c r="X66" i="29"/>
  <c r="Y66" i="29" s="1"/>
  <c r="AH374" i="29"/>
  <c r="AH304" i="29"/>
  <c r="W566" i="29"/>
  <c r="AJ565" i="29" s="1"/>
  <c r="AK565" i="29" s="1"/>
  <c r="AH271" i="29"/>
  <c r="AG148" i="29"/>
  <c r="W223" i="29"/>
  <c r="AA223" i="29" s="1"/>
  <c r="X106" i="29"/>
  <c r="Y106" i="29" s="1"/>
  <c r="AG24" i="29"/>
  <c r="X59" i="29"/>
  <c r="Y59" i="29" s="1"/>
  <c r="X602" i="29"/>
  <c r="Y602" i="29" s="1"/>
  <c r="X212" i="29"/>
  <c r="Y212" i="29" s="1"/>
  <c r="X181" i="29"/>
  <c r="Y181" i="29" s="1"/>
  <c r="W261" i="29"/>
  <c r="AA261" i="29" s="1"/>
  <c r="X206" i="29"/>
  <c r="Y206" i="29" s="1"/>
  <c r="W137" i="29"/>
  <c r="AJ137" i="29" s="1"/>
  <c r="AK137" i="29" s="1"/>
  <c r="AG279" i="29"/>
  <c r="AG248" i="29"/>
  <c r="W113" i="29"/>
  <c r="AJ112" i="29" s="1"/>
  <c r="AK112" i="29" s="1"/>
  <c r="W253" i="29"/>
  <c r="AA253" i="29" s="1"/>
  <c r="AG64" i="29"/>
  <c r="X337" i="29"/>
  <c r="Y337" i="29" s="1"/>
  <c r="CB262" i="24"/>
  <c r="CF262" i="24"/>
  <c r="CB87" i="24"/>
  <c r="CF87" i="24"/>
  <c r="CB156" i="24"/>
  <c r="CF156" i="24"/>
  <c r="AG606" i="29"/>
  <c r="CB269" i="24"/>
  <c r="CF269" i="24"/>
  <c r="CB163" i="24"/>
  <c r="CF163" i="24"/>
  <c r="AH46" i="29"/>
  <c r="X363" i="29"/>
  <c r="Y363" i="29" s="1"/>
  <c r="AG85" i="29"/>
  <c r="W19" i="29"/>
  <c r="AJ18" i="29" s="1"/>
  <c r="AK18" i="29" s="1"/>
  <c r="CB271" i="24"/>
  <c r="CF271" i="24"/>
  <c r="CB165" i="24"/>
  <c r="CF165" i="24"/>
  <c r="AH71" i="29"/>
  <c r="CB96" i="25"/>
  <c r="CF96" i="25"/>
  <c r="CB305" i="24"/>
  <c r="CF305" i="24"/>
  <c r="CB199" i="24"/>
  <c r="CF199" i="24"/>
  <c r="CB97" i="24"/>
  <c r="CF97" i="24"/>
  <c r="CB206" i="25"/>
  <c r="CF206" i="25"/>
  <c r="AG338" i="29"/>
  <c r="W108" i="29"/>
  <c r="AA108" i="29" s="1"/>
  <c r="CB161" i="24"/>
  <c r="CF161" i="24"/>
  <c r="CB267" i="24"/>
  <c r="CF267" i="24"/>
  <c r="CB73" i="24"/>
  <c r="CF73" i="24"/>
  <c r="CB147" i="25"/>
  <c r="CF147" i="25"/>
  <c r="CB56" i="24"/>
  <c r="CF56" i="24"/>
  <c r="CB151" i="24"/>
  <c r="CF151" i="24"/>
  <c r="CB177" i="25"/>
  <c r="CF177" i="25"/>
  <c r="CB316" i="24"/>
  <c r="CF316" i="24"/>
  <c r="CB210" i="24"/>
  <c r="CF210" i="24"/>
  <c r="CB198" i="25"/>
  <c r="CF198" i="25"/>
  <c r="CB173" i="25"/>
  <c r="CF173" i="25"/>
  <c r="CB192" i="25"/>
  <c r="CF192" i="25"/>
  <c r="CB182" i="24"/>
  <c r="CF182" i="24"/>
  <c r="CB288" i="24"/>
  <c r="CF288" i="24"/>
  <c r="CB80" i="24"/>
  <c r="CF80" i="24"/>
  <c r="CB208" i="24"/>
  <c r="CF208" i="24"/>
  <c r="CB174" i="25"/>
  <c r="CF174" i="25"/>
  <c r="CB193" i="24"/>
  <c r="CF193" i="24"/>
  <c r="CB299" i="24"/>
  <c r="CF299" i="24"/>
  <c r="CB88" i="24"/>
  <c r="CF88" i="24"/>
  <c r="CB89" i="25"/>
  <c r="CF89" i="25"/>
  <c r="CB104" i="24"/>
  <c r="CF104" i="24"/>
  <c r="CB308" i="24"/>
  <c r="CF308" i="24"/>
  <c r="CB202" i="24"/>
  <c r="CF202" i="24"/>
  <c r="CB204" i="25"/>
  <c r="CF204" i="25"/>
  <c r="CB297" i="24"/>
  <c r="CF297" i="24"/>
  <c r="CB82" i="25"/>
  <c r="CF82" i="25"/>
  <c r="CB180" i="24"/>
  <c r="CF180" i="24"/>
  <c r="CB286" i="24"/>
  <c r="CF286" i="24"/>
  <c r="CB81" i="24"/>
  <c r="CF81" i="24"/>
  <c r="AH604" i="29"/>
  <c r="CB204" i="24"/>
  <c r="CF204" i="24"/>
  <c r="CB310" i="24"/>
  <c r="CF310" i="24"/>
  <c r="CB190" i="25"/>
  <c r="CF190" i="25"/>
  <c r="CB98" i="24"/>
  <c r="CF98" i="24"/>
  <c r="CB306" i="24"/>
  <c r="CF306" i="24"/>
  <c r="CB200" i="24"/>
  <c r="CF200" i="24"/>
  <c r="CB179" i="25"/>
  <c r="CF179" i="25"/>
  <c r="W562" i="29"/>
  <c r="AJ562" i="29" s="1"/>
  <c r="AK562" i="29" s="1"/>
  <c r="CB203" i="24"/>
  <c r="CF203" i="24"/>
  <c r="CB309" i="24"/>
  <c r="CF309" i="24"/>
  <c r="CB307" i="24"/>
  <c r="CF307" i="24"/>
  <c r="CB201" i="24"/>
  <c r="CF201" i="24"/>
  <c r="CB103" i="24"/>
  <c r="CF103" i="24"/>
  <c r="AG266" i="29"/>
  <c r="CB62" i="25"/>
  <c r="CF62" i="25"/>
  <c r="CB71" i="25"/>
  <c r="CF71" i="25"/>
  <c r="W603" i="29"/>
  <c r="AJ602" i="29" s="1"/>
  <c r="AK602" i="29" s="1"/>
  <c r="CB104" i="25"/>
  <c r="CF104" i="25"/>
  <c r="AG511" i="29"/>
  <c r="AH203" i="29"/>
  <c r="W49" i="29"/>
  <c r="AJ48" i="29" s="1"/>
  <c r="AK48" i="29" s="1"/>
  <c r="AH543" i="29"/>
  <c r="AH477" i="29"/>
  <c r="W322" i="29"/>
  <c r="AJ322" i="29" s="1"/>
  <c r="AK322" i="29" s="1"/>
  <c r="X309" i="29"/>
  <c r="Y309" i="29" s="1"/>
  <c r="AG475" i="29"/>
  <c r="AG417" i="29"/>
  <c r="X384" i="29"/>
  <c r="Y384" i="29" s="1"/>
  <c r="AH34" i="29"/>
  <c r="W153" i="29"/>
  <c r="AJ152" i="29" s="1"/>
  <c r="AK152" i="29" s="1"/>
  <c r="X578" i="29"/>
  <c r="Y578" i="29" s="1"/>
  <c r="AH339" i="29"/>
  <c r="X220" i="29"/>
  <c r="Y220" i="29" s="1"/>
  <c r="AH577" i="29"/>
  <c r="AH466" i="29"/>
  <c r="AH22" i="29"/>
  <c r="X79" i="29"/>
  <c r="Y79" i="29" s="1"/>
  <c r="AG144" i="29"/>
  <c r="W198" i="29"/>
  <c r="AJ197" i="29" s="1"/>
  <c r="AK197" i="29" s="1"/>
  <c r="W166" i="29"/>
  <c r="AJ166" i="29" s="1"/>
  <c r="AK166" i="29" s="1"/>
  <c r="AG284" i="29"/>
  <c r="AG332" i="29"/>
  <c r="AH516" i="29"/>
  <c r="BY154" i="25"/>
  <c r="CA154" i="25" s="1"/>
  <c r="CB154" i="25" s="1"/>
  <c r="AH93" i="29"/>
  <c r="W343" i="29"/>
  <c r="AJ343" i="29" s="1"/>
  <c r="AK343" i="29" s="1"/>
  <c r="CB311" i="24"/>
  <c r="CF311" i="24"/>
  <c r="CB205" i="24"/>
  <c r="CF205" i="24"/>
  <c r="AG379" i="29"/>
  <c r="X408" i="29"/>
  <c r="Y408" i="29" s="1"/>
  <c r="AH589" i="29"/>
  <c r="CB189" i="25"/>
  <c r="CF189" i="25"/>
  <c r="CB199" i="25"/>
  <c r="CF199" i="25"/>
  <c r="AH168" i="29"/>
  <c r="X217" i="29"/>
  <c r="Y217" i="29" s="1"/>
  <c r="AG608" i="29"/>
  <c r="CB186" i="25"/>
  <c r="CF186" i="25"/>
  <c r="CB201" i="25"/>
  <c r="CF201" i="25"/>
  <c r="AG611" i="29"/>
  <c r="AG186" i="29"/>
  <c r="W207" i="29"/>
  <c r="AA207" i="29" s="1"/>
  <c r="W98" i="29"/>
  <c r="AJ97" i="29" s="1"/>
  <c r="AK97" i="29" s="1"/>
  <c r="W109" i="29"/>
  <c r="AJ109" i="29" s="1"/>
  <c r="AK109" i="29" s="1"/>
  <c r="AG252" i="29"/>
  <c r="X391" i="29"/>
  <c r="Y391" i="29" s="1"/>
  <c r="AG123" i="29"/>
  <c r="W493" i="29"/>
  <c r="AA493" i="29" s="1"/>
  <c r="AH205" i="29"/>
  <c r="X553" i="29"/>
  <c r="Y553" i="29" s="1"/>
  <c r="W557" i="29"/>
  <c r="AJ557" i="29" s="1"/>
  <c r="AK557" i="29" s="1"/>
  <c r="W571" i="29"/>
  <c r="AJ570" i="29" s="1"/>
  <c r="AK570" i="29" s="1"/>
  <c r="X241" i="29"/>
  <c r="Y241" i="29" s="1"/>
  <c r="X501" i="29"/>
  <c r="Y501" i="29" s="1"/>
  <c r="W89" i="29"/>
  <c r="AA89" i="29" s="1"/>
  <c r="AG349" i="29"/>
  <c r="W507" i="29"/>
  <c r="AJ506" i="29" s="1"/>
  <c r="AK506" i="29" s="1"/>
  <c r="AG488" i="29"/>
  <c r="X596" i="29"/>
  <c r="Y596" i="29" s="1"/>
  <c r="AH229" i="29"/>
  <c r="AG105" i="29"/>
  <c r="AH359" i="29"/>
  <c r="W115" i="29"/>
  <c r="AJ114" i="29" s="1"/>
  <c r="AK114" i="29" s="1"/>
  <c r="AH161" i="29"/>
  <c r="CB105" i="24"/>
  <c r="CF105" i="24"/>
  <c r="CB161" i="25"/>
  <c r="CF161" i="25"/>
  <c r="CB186" i="24"/>
  <c r="CF186" i="24"/>
  <c r="X367" i="29"/>
  <c r="Y367" i="29" s="1"/>
  <c r="W70" i="29"/>
  <c r="AA70" i="29" s="1"/>
  <c r="X340" i="29"/>
  <c r="Y340" i="29" s="1"/>
  <c r="X415" i="29"/>
  <c r="Y415" i="29" s="1"/>
  <c r="X370" i="29"/>
  <c r="Y370" i="29" s="1"/>
  <c r="W107" i="29"/>
  <c r="AJ106" i="29" s="1"/>
  <c r="W357" i="29"/>
  <c r="AJ357" i="29" s="1"/>
  <c r="AK357" i="29" s="1"/>
  <c r="AG204" i="29"/>
  <c r="X54" i="29"/>
  <c r="Y54" i="29" s="1"/>
  <c r="X582" i="29"/>
  <c r="Y582" i="29" s="1"/>
  <c r="X276" i="29"/>
  <c r="Y276" i="29" s="1"/>
  <c r="X151" i="29"/>
  <c r="Y151" i="29" s="1"/>
  <c r="AG365" i="29"/>
  <c r="W291" i="29"/>
  <c r="AJ290" i="29" s="1"/>
  <c r="AK290" i="29" s="1"/>
  <c r="W185" i="29"/>
  <c r="AJ185" i="29" s="1"/>
  <c r="AK185" i="29" s="1"/>
  <c r="AG560" i="29"/>
  <c r="W234" i="29"/>
  <c r="AA234" i="29" s="1"/>
  <c r="W326" i="29"/>
  <c r="AJ325" i="29" s="1"/>
  <c r="AK325" i="29" s="1"/>
  <c r="X457" i="29"/>
  <c r="Y457" i="29" s="1"/>
  <c r="X257" i="29"/>
  <c r="Y257" i="29" s="1"/>
  <c r="W122" i="29"/>
  <c r="AJ121" i="29" s="1"/>
  <c r="AK121" i="29" s="1"/>
  <c r="AG294" i="29"/>
  <c r="W598" i="29"/>
  <c r="AJ598" i="29" s="1"/>
  <c r="AK598" i="29" s="1"/>
  <c r="AH302" i="29"/>
  <c r="AG362" i="29"/>
  <c r="X580" i="29"/>
  <c r="Y580" i="29" s="1"/>
  <c r="X184" i="29"/>
  <c r="Y184" i="29" s="1"/>
  <c r="AG532" i="29"/>
  <c r="X613" i="29"/>
  <c r="Y613" i="29" s="1"/>
  <c r="X327" i="29"/>
  <c r="Y327" i="29" s="1"/>
  <c r="X80" i="29"/>
  <c r="Y80" i="29" s="1"/>
  <c r="AG45" i="29"/>
  <c r="AH400" i="29"/>
  <c r="AH470" i="29"/>
  <c r="AH17" i="29"/>
  <c r="AH81" i="29"/>
  <c r="W330" i="29"/>
  <c r="AA330" i="29" s="1"/>
  <c r="AG325" i="29"/>
  <c r="W13" i="29"/>
  <c r="AA13" i="29" s="1"/>
  <c r="AG111" i="29"/>
  <c r="W373" i="29"/>
  <c r="AJ372" i="29" s="1"/>
  <c r="AK372" i="29" s="1"/>
  <c r="AG192" i="29"/>
  <c r="W547" i="29"/>
  <c r="AJ546" i="29" s="1"/>
  <c r="AK546" i="29" s="1"/>
  <c r="X292" i="29"/>
  <c r="Y292" i="29" s="1"/>
  <c r="W147" i="29"/>
  <c r="AA147" i="29" s="1"/>
  <c r="AH214" i="29"/>
  <c r="AH333" i="29"/>
  <c r="X512" i="29"/>
  <c r="Y512" i="29" s="1"/>
  <c r="W433" i="29"/>
  <c r="AA433" i="29" s="1"/>
  <c r="W498" i="29"/>
  <c r="AA498" i="29" s="1"/>
  <c r="AG609" i="29"/>
  <c r="AH358" i="29"/>
  <c r="X42" i="29"/>
  <c r="Y42" i="29" s="1"/>
  <c r="W429" i="29"/>
  <c r="AA429" i="29" s="1"/>
  <c r="X169" i="29"/>
  <c r="Y169" i="29" s="1"/>
  <c r="X317" i="29"/>
  <c r="Y317" i="29" s="1"/>
  <c r="X331" i="29"/>
  <c r="Y331" i="29" s="1"/>
  <c r="AH612" i="29"/>
  <c r="AH256" i="29"/>
  <c r="AH127" i="29"/>
  <c r="W465" i="29"/>
  <c r="AJ464" i="29" s="1"/>
  <c r="AK464" i="29" s="1"/>
  <c r="X342" i="29"/>
  <c r="Y342" i="29" s="1"/>
  <c r="X334" i="29"/>
  <c r="Y334" i="29" s="1"/>
  <c r="X57" i="29"/>
  <c r="Y57" i="29" s="1"/>
  <c r="AH558" i="29"/>
  <c r="AG38" i="29"/>
  <c r="X141" i="29"/>
  <c r="Y141" i="29" s="1"/>
  <c r="X48" i="29"/>
  <c r="Y48" i="29" s="1"/>
  <c r="X505" i="29"/>
  <c r="Y505" i="29" s="1"/>
  <c r="X233" i="29"/>
  <c r="Y233" i="29" s="1"/>
  <c r="W348" i="29"/>
  <c r="AA348" i="29" s="1"/>
  <c r="X471" i="29"/>
  <c r="Y471" i="29" s="1"/>
  <c r="AH397" i="29"/>
  <c r="X258" i="29"/>
  <c r="Y258" i="29" s="1"/>
  <c r="X293" i="29"/>
  <c r="Y293" i="29" s="1"/>
  <c r="AH605" i="29"/>
  <c r="W116" i="29"/>
  <c r="AH87" i="29"/>
  <c r="W351" i="29"/>
  <c r="AA351" i="29" s="1"/>
  <c r="AH175" i="29"/>
  <c r="AH572" i="29"/>
  <c r="AG230" i="29"/>
  <c r="X35" i="29"/>
  <c r="Y35" i="29" s="1"/>
  <c r="W526" i="29"/>
  <c r="AA526" i="29" s="1"/>
  <c r="W216" i="29"/>
  <c r="AA216" i="29" s="1"/>
  <c r="X377" i="29"/>
  <c r="Y377" i="29" s="1"/>
  <c r="W219" i="29"/>
  <c r="AJ219" i="29" s="1"/>
  <c r="AK219" i="29" s="1"/>
  <c r="W341" i="29"/>
  <c r="AJ341" i="29" s="1"/>
  <c r="AK341" i="29" s="1"/>
  <c r="W289" i="29"/>
  <c r="AJ288" i="29" s="1"/>
  <c r="AK288" i="29" s="1"/>
  <c r="W156" i="29"/>
  <c r="AJ155" i="29" s="1"/>
  <c r="AK155" i="29" s="1"/>
  <c r="W254" i="29"/>
  <c r="AJ254" i="29" s="1"/>
  <c r="AK254" i="29" s="1"/>
  <c r="AH597" i="29"/>
  <c r="AH235" i="29"/>
  <c r="AG513" i="29"/>
  <c r="W187" i="29"/>
  <c r="AA187" i="29" s="1"/>
  <c r="W52" i="29"/>
  <c r="AJ52" i="29" s="1"/>
  <c r="AK52" i="29" s="1"/>
  <c r="W529" i="29"/>
  <c r="AA529" i="29" s="1"/>
  <c r="W587" i="29"/>
  <c r="AA587" i="29" s="1"/>
  <c r="AG246" i="29"/>
  <c r="AG73" i="29"/>
  <c r="X586" i="29"/>
  <c r="Y586" i="29" s="1"/>
  <c r="AH473" i="29"/>
  <c r="AH20" i="29"/>
  <c r="X563" i="29"/>
  <c r="Y563" i="29" s="1"/>
  <c r="AH510" i="29"/>
  <c r="AG530" i="29"/>
  <c r="AG117" i="29"/>
  <c r="AH484" i="29"/>
  <c r="AG104" i="29"/>
  <c r="CB245" i="24"/>
  <c r="CF245" i="24"/>
  <c r="CB139" i="24"/>
  <c r="CF139" i="24"/>
  <c r="X299" i="29"/>
  <c r="Y299" i="29" s="1"/>
  <c r="AH171" i="29"/>
  <c r="AG165" i="29"/>
  <c r="W270" i="29"/>
  <c r="AJ269" i="29" s="1"/>
  <c r="AK269" i="29" s="1"/>
  <c r="AH136" i="29"/>
  <c r="AG390" i="29"/>
  <c r="AG594" i="29"/>
  <c r="W140" i="29"/>
  <c r="AJ140" i="29" s="1"/>
  <c r="AK140" i="29" s="1"/>
  <c r="AH320" i="29"/>
  <c r="X303" i="29"/>
  <c r="Y303" i="29" s="1"/>
  <c r="W347" i="29"/>
  <c r="AH454" i="29"/>
  <c r="W480" i="29"/>
  <c r="AJ479" i="29" s="1"/>
  <c r="AK479" i="29" s="1"/>
  <c r="W222" i="29"/>
  <c r="AA222" i="29" s="1"/>
  <c r="AG194" i="29"/>
  <c r="AG387" i="29"/>
  <c r="W463" i="29"/>
  <c r="AA463" i="29" s="1"/>
  <c r="AH361" i="29"/>
  <c r="X259" i="29"/>
  <c r="Y259" i="29" s="1"/>
  <c r="AG515" i="29"/>
  <c r="AG555" i="29"/>
  <c r="AH96" i="29"/>
  <c r="W25" i="29"/>
  <c r="AA25" i="29" s="1"/>
  <c r="X30" i="29"/>
  <c r="Y30" i="29" s="1"/>
  <c r="W84" i="29"/>
  <c r="AJ84" i="29" s="1"/>
  <c r="AK84" i="29" s="1"/>
  <c r="AG559" i="29"/>
  <c r="W41" i="29"/>
  <c r="AA41" i="29" s="1"/>
  <c r="W210" i="29"/>
  <c r="AA210" i="29" s="1"/>
  <c r="X535" i="29"/>
  <c r="Y535" i="29" s="1"/>
  <c r="W406" i="29"/>
  <c r="AJ406" i="29" s="1"/>
  <c r="AK406" i="29" s="1"/>
  <c r="W422" i="29"/>
  <c r="AA422" i="29" s="1"/>
  <c r="X53" i="29"/>
  <c r="Y53" i="29" s="1"/>
  <c r="AG50" i="29"/>
  <c r="X499" i="29"/>
  <c r="Y499" i="29" s="1"/>
  <c r="X40" i="29"/>
  <c r="Y40" i="29" s="1"/>
  <c r="AG460" i="29"/>
  <c r="W90" i="29"/>
  <c r="AA90" i="29" s="1"/>
  <c r="AH152" i="29"/>
  <c r="X503" i="29"/>
  <c r="Y503" i="29" s="1"/>
  <c r="AH355" i="29"/>
  <c r="W154" i="29"/>
  <c r="AJ154" i="29" s="1"/>
  <c r="AK154" i="29" s="1"/>
  <c r="AH468" i="29"/>
  <c r="AG324" i="29"/>
  <c r="W133" i="29"/>
  <c r="AJ133" i="29" s="1"/>
  <c r="AK133" i="29" s="1"/>
  <c r="AH190" i="29"/>
  <c r="AH295" i="29"/>
  <c r="X162" i="29"/>
  <c r="Y162" i="29" s="1"/>
  <c r="W610" i="29"/>
  <c r="AJ610" i="29" s="1"/>
  <c r="AK610" i="29" s="1"/>
  <c r="X306" i="29"/>
  <c r="Y306" i="29" s="1"/>
  <c r="AH138" i="29"/>
  <c r="AG88" i="29"/>
  <c r="X178" i="29"/>
  <c r="Y178" i="29" s="1"/>
  <c r="X414" i="29"/>
  <c r="Y414" i="29" s="1"/>
  <c r="AG180" i="29"/>
  <c r="X167" i="29"/>
  <c r="Y167" i="29" s="1"/>
  <c r="AG574" i="29"/>
  <c r="AG453" i="29"/>
  <c r="AH443" i="29"/>
  <c r="X402" i="29"/>
  <c r="Y402" i="29" s="1"/>
  <c r="X404" i="29"/>
  <c r="Y404" i="29" s="1"/>
  <c r="AH345" i="29"/>
  <c r="X43" i="29"/>
  <c r="Y43" i="29" s="1"/>
  <c r="X462" i="29"/>
  <c r="Y462" i="29" s="1"/>
  <c r="W448" i="29"/>
  <c r="AJ448" i="29" s="1"/>
  <c r="AK448" i="29" s="1"/>
  <c r="W439" i="29"/>
  <c r="AJ438" i="29" s="1"/>
  <c r="AK438" i="29" s="1"/>
  <c r="W164" i="29"/>
  <c r="AA164" i="29" s="1"/>
  <c r="AH385" i="29"/>
  <c r="X376" i="29"/>
  <c r="Y376" i="29" s="1"/>
  <c r="X274" i="29"/>
  <c r="Y274" i="29" s="1"/>
  <c r="AH236" i="29"/>
  <c r="AG139" i="29"/>
  <c r="AG100" i="29"/>
  <c r="W556" i="29"/>
  <c r="AA556" i="29" s="1"/>
  <c r="W130" i="29"/>
  <c r="AJ129" i="29" s="1"/>
  <c r="AK129" i="29" s="1"/>
  <c r="X497" i="29"/>
  <c r="Y497" i="29" s="1"/>
  <c r="X476" i="29"/>
  <c r="Y476" i="29" s="1"/>
  <c r="AG540" i="29"/>
  <c r="AH346" i="29"/>
  <c r="AH354" i="29"/>
  <c r="CB209" i="24"/>
  <c r="CF209" i="24"/>
  <c r="CB315" i="24"/>
  <c r="CF315" i="24"/>
  <c r="X368" i="29"/>
  <c r="Y368" i="29" s="1"/>
  <c r="X268" i="29"/>
  <c r="Y268" i="29" s="1"/>
  <c r="W401" i="29"/>
  <c r="AJ401" i="29" s="1"/>
  <c r="AK401" i="29" s="1"/>
  <c r="AG33" i="29"/>
  <c r="AG459" i="29"/>
  <c r="W336" i="29"/>
  <c r="AJ336" i="29" s="1"/>
  <c r="AK336" i="29" s="1"/>
  <c r="X554" i="29"/>
  <c r="Y554" i="29" s="1"/>
  <c r="AG86" i="29"/>
  <c r="AH224" i="29"/>
  <c r="X424" i="29"/>
  <c r="Y424" i="29" s="1"/>
  <c r="X101" i="29"/>
  <c r="Y101" i="29" s="1"/>
  <c r="X413" i="29"/>
  <c r="Y413" i="29" s="1"/>
  <c r="AG316" i="29"/>
  <c r="W218" i="29"/>
  <c r="AA218" i="29" s="1"/>
  <c r="X298" i="29"/>
  <c r="Y298" i="29" s="1"/>
  <c r="AH590" i="29"/>
  <c r="AH494" i="29"/>
  <c r="X308" i="29"/>
  <c r="Y308" i="29" s="1"/>
  <c r="X29" i="29"/>
  <c r="Y29" i="29" s="1"/>
  <c r="W170" i="29"/>
  <c r="AA170" i="29" s="1"/>
  <c r="AH486" i="29"/>
  <c r="W177" i="29"/>
  <c r="AA177" i="29" s="1"/>
  <c r="W514" i="29"/>
  <c r="AJ514" i="29" s="1"/>
  <c r="AK514" i="29" s="1"/>
  <c r="AH435" i="29"/>
  <c r="W242" i="29"/>
  <c r="AJ241" i="29" s="1"/>
  <c r="AK241" i="29" s="1"/>
  <c r="AH546" i="29"/>
  <c r="AH581" i="29"/>
  <c r="AH118" i="29"/>
  <c r="AH239" i="29"/>
  <c r="W474" i="29"/>
  <c r="AA474" i="29" s="1"/>
  <c r="X44" i="29"/>
  <c r="Y44" i="29" s="1"/>
  <c r="AH208" i="29"/>
  <c r="X567" i="29"/>
  <c r="Y567" i="29" s="1"/>
  <c r="AG286" i="29"/>
  <c r="X552" i="29"/>
  <c r="Y552" i="29" s="1"/>
  <c r="W502" i="29"/>
  <c r="AJ501" i="29" s="1"/>
  <c r="AK501" i="29" s="1"/>
  <c r="X428" i="29"/>
  <c r="Y428" i="29" s="1"/>
  <c r="X344" i="29"/>
  <c r="Y344" i="29" s="1"/>
  <c r="AH188" i="29"/>
  <c r="AH467" i="29"/>
  <c r="CB241" i="24"/>
  <c r="CF241" i="24"/>
  <c r="CB284" i="24"/>
  <c r="CF284" i="24"/>
  <c r="CB178" i="24"/>
  <c r="CF178" i="24"/>
  <c r="CB291" i="24"/>
  <c r="CF291" i="24"/>
  <c r="X451" i="29"/>
  <c r="Y451" i="29" s="1"/>
  <c r="CB185" i="24"/>
  <c r="CF185" i="24"/>
  <c r="X329" i="29"/>
  <c r="Y329" i="29" s="1"/>
  <c r="W522" i="29"/>
  <c r="AA522" i="29" s="1"/>
  <c r="AH321" i="29"/>
  <c r="AG565" i="29"/>
  <c r="AG319" i="29"/>
  <c r="W150" i="29"/>
  <c r="AJ150" i="29" s="1"/>
  <c r="AK150" i="29" s="1"/>
  <c r="AH267" i="29"/>
  <c r="AG120" i="29"/>
  <c r="W297" i="29"/>
  <c r="AJ297" i="29" s="1"/>
  <c r="AK297" i="29" s="1"/>
  <c r="W221" i="29"/>
  <c r="AA221" i="29" s="1"/>
  <c r="AG490" i="29"/>
  <c r="X114" i="29"/>
  <c r="Y114" i="29" s="1"/>
  <c r="W412" i="29"/>
  <c r="AJ412" i="29" s="1"/>
  <c r="AK412" i="29" s="1"/>
  <c r="X69" i="29"/>
  <c r="Y69" i="29" s="1"/>
  <c r="AG128" i="29"/>
  <c r="AH39" i="29"/>
  <c r="X479" i="29"/>
  <c r="Y479" i="29" s="1"/>
  <c r="X388" i="29"/>
  <c r="Y388" i="29" s="1"/>
  <c r="AG447" i="29"/>
  <c r="X418" i="29"/>
  <c r="Y418" i="29" s="1"/>
  <c r="X197" i="29"/>
  <c r="Y197" i="29" s="1"/>
  <c r="AG440" i="29"/>
  <c r="W350" i="29"/>
  <c r="W183" i="29"/>
  <c r="AA183" i="29" s="1"/>
  <c r="AG92" i="29"/>
  <c r="AH550" i="29"/>
  <c r="W142" i="29"/>
  <c r="AJ142" i="29" s="1"/>
  <c r="AK142" i="29" s="1"/>
  <c r="AG426" i="29"/>
  <c r="AG527" i="29"/>
  <c r="X364" i="29"/>
  <c r="Y364" i="29" s="1"/>
  <c r="AH28" i="29"/>
  <c r="AG201" i="29"/>
  <c r="X250" i="29"/>
  <c r="Y250" i="29" s="1"/>
  <c r="X272" i="29"/>
  <c r="Y272" i="29" s="1"/>
  <c r="W149" i="29"/>
  <c r="AG264" i="29"/>
  <c r="AG260" i="29"/>
  <c r="AG103" i="29"/>
  <c r="W588" i="29"/>
  <c r="AA588" i="29" s="1"/>
  <c r="AG32" i="29"/>
  <c r="X472" i="29"/>
  <c r="Y472" i="29" s="1"/>
  <c r="AH416" i="29"/>
  <c r="AG398" i="29"/>
  <c r="AH125" i="29"/>
  <c r="X461" i="29"/>
  <c r="Y461" i="29" s="1"/>
  <c r="X281" i="29"/>
  <c r="Y281" i="29" s="1"/>
  <c r="X423" i="29"/>
  <c r="Y423" i="29" s="1"/>
  <c r="X409" i="29"/>
  <c r="Y409" i="29" s="1"/>
  <c r="X548" i="29"/>
  <c r="Y548" i="29" s="1"/>
  <c r="X378" i="29"/>
  <c r="Y378" i="29" s="1"/>
  <c r="AG455" i="29"/>
  <c r="AG561" i="29"/>
  <c r="AH482" i="29"/>
  <c r="W356" i="29"/>
  <c r="AJ355" i="29" s="1"/>
  <c r="AK355" i="29" s="1"/>
  <c r="W410" i="29"/>
  <c r="AA410" i="29" s="1"/>
  <c r="W528" i="29"/>
  <c r="X395" i="29"/>
  <c r="Y395" i="29" s="1"/>
  <c r="AG119" i="29"/>
  <c r="AH76" i="29"/>
  <c r="X593" i="29"/>
  <c r="Y593" i="29" s="1"/>
  <c r="AH237" i="29"/>
  <c r="AH538" i="29"/>
  <c r="W383" i="29"/>
  <c r="AJ383" i="29" s="1"/>
  <c r="AK383" i="29" s="1"/>
  <c r="W312" i="29"/>
  <c r="AJ311" i="29" s="1"/>
  <c r="AK311" i="29" s="1"/>
  <c r="W251" i="29"/>
  <c r="AA251" i="29" s="1"/>
  <c r="AG489" i="29"/>
  <c r="AG366" i="29"/>
  <c r="AH438" i="29"/>
  <c r="AH403" i="29"/>
  <c r="AG112" i="29"/>
  <c r="AG277" i="29"/>
  <c r="W430" i="29"/>
  <c r="AA430" i="29" s="1"/>
  <c r="AG583" i="29"/>
  <c r="AG72" i="29"/>
  <c r="AG232" i="29"/>
  <c r="X575" i="29"/>
  <c r="Y575" i="29" s="1"/>
  <c r="AH135" i="29"/>
  <c r="AG520" i="29"/>
  <c r="W23" i="29"/>
  <c r="AA23" i="29" s="1"/>
  <c r="AH77" i="29"/>
  <c r="X273" i="29"/>
  <c r="Y273" i="29" s="1"/>
  <c r="W132" i="29"/>
  <c r="AA132" i="29" s="1"/>
  <c r="AG569" i="29"/>
  <c r="AH283" i="29"/>
  <c r="AH446" i="29"/>
  <c r="W434" i="29"/>
  <c r="AA434" i="29" s="1"/>
  <c r="X469" i="29"/>
  <c r="Y469" i="29" s="1"/>
  <c r="AH592" i="29"/>
  <c r="X262" i="29"/>
  <c r="Y262" i="29" s="1"/>
  <c r="X94" i="29"/>
  <c r="Y94" i="29" s="1"/>
  <c r="W301" i="29"/>
  <c r="AJ301" i="29" s="1"/>
  <c r="AK301" i="29" s="1"/>
  <c r="AH275" i="29"/>
  <c r="W240" i="29"/>
  <c r="AJ240" i="29" s="1"/>
  <c r="AK240" i="29" s="1"/>
  <c r="W432" i="29"/>
  <c r="AA432" i="29" s="1"/>
  <c r="AG146" i="29"/>
  <c r="AG157" i="29"/>
  <c r="AH65" i="29"/>
  <c r="AG449" i="29"/>
  <c r="X411" i="29"/>
  <c r="Y411" i="29" s="1"/>
  <c r="AG143" i="29"/>
  <c r="W199" i="29"/>
  <c r="AA199" i="29" s="1"/>
  <c r="W375" i="29"/>
  <c r="AJ375" i="29" s="1"/>
  <c r="AK375" i="29" s="1"/>
  <c r="AG524" i="29"/>
  <c r="AG202" i="29"/>
  <c r="AG145" i="29"/>
  <c r="X436" i="29"/>
  <c r="Y436" i="29" s="1"/>
  <c r="X129" i="29"/>
  <c r="Y129" i="29" s="1"/>
  <c r="AG290" i="29"/>
  <c r="W75" i="29"/>
  <c r="AJ75" i="29" s="1"/>
  <c r="AK75" i="29" s="1"/>
  <c r="AG523" i="29"/>
  <c r="W542" i="29"/>
  <c r="AA542" i="29" s="1"/>
  <c r="AH481" i="29"/>
  <c r="X307" i="29"/>
  <c r="Y307" i="29" s="1"/>
  <c r="AH407" i="29"/>
  <c r="X51" i="29"/>
  <c r="Y51" i="29" s="1"/>
  <c r="AG244" i="29"/>
  <c r="W56" i="29"/>
  <c r="AA56" i="29" s="1"/>
  <c r="X539" i="29"/>
  <c r="Y539" i="29" s="1"/>
  <c r="X228" i="29"/>
  <c r="Y228" i="29" s="1"/>
  <c r="AH249" i="29"/>
  <c r="X21" i="29"/>
  <c r="Y21" i="29" s="1"/>
  <c r="AG172" i="29"/>
  <c r="W91" i="29"/>
  <c r="W573" i="29"/>
  <c r="AJ573" i="29" s="1"/>
  <c r="AK573" i="29" s="1"/>
  <c r="AG500" i="29"/>
  <c r="W315" i="29"/>
  <c r="AA315" i="29" s="1"/>
  <c r="W492" i="29"/>
  <c r="W305" i="29"/>
  <c r="AJ305" i="29" s="1"/>
  <c r="AK305" i="29" s="1"/>
  <c r="AG195" i="29"/>
  <c r="AG265" i="29"/>
  <c r="AH392" i="29"/>
  <c r="W99" i="29"/>
  <c r="AJ99" i="29" s="1"/>
  <c r="AK99" i="29" s="1"/>
  <c r="X263" i="29"/>
  <c r="Y263" i="29" s="1"/>
  <c r="X14" i="29"/>
  <c r="Y14" i="29" s="1"/>
  <c r="X579" i="29"/>
  <c r="Y579" i="29" s="1"/>
  <c r="AH394" i="29"/>
  <c r="W179" i="29"/>
  <c r="AJ178" i="29" s="1"/>
  <c r="AK178" i="29" s="1"/>
  <c r="X211" i="29"/>
  <c r="Y211" i="29" s="1"/>
  <c r="X160" i="29"/>
  <c r="Y160" i="29" s="1"/>
  <c r="X487" i="29"/>
  <c r="Y487" i="29" s="1"/>
  <c r="X399" i="29"/>
  <c r="Y399" i="29" s="1"/>
  <c r="W382" i="29"/>
  <c r="AJ381" i="29" s="1"/>
  <c r="AK381" i="29" s="1"/>
  <c r="X519" i="29"/>
  <c r="Y519" i="29" s="1"/>
  <c r="X517" i="29"/>
  <c r="Y517" i="29" s="1"/>
  <c r="AG226" i="29"/>
  <c r="AH102" i="29"/>
  <c r="W15" i="29"/>
  <c r="AA15" i="29" s="1"/>
  <c r="W278" i="29"/>
  <c r="AJ277" i="29" s="1"/>
  <c r="AK277" i="29" s="1"/>
  <c r="AG314" i="29"/>
  <c r="AG255" i="29"/>
  <c r="W280" i="29"/>
  <c r="AA280" i="29" s="1"/>
  <c r="AG381" i="29"/>
  <c r="X496" i="29"/>
  <c r="Y496" i="29" s="1"/>
  <c r="W335" i="29"/>
  <c r="W353" i="29"/>
  <c r="AA353" i="29" s="1"/>
  <c r="AH386" i="29"/>
  <c r="AH427" i="29"/>
  <c r="W595" i="29"/>
  <c r="AA595" i="29" s="1"/>
  <c r="X570" i="29"/>
  <c r="Y570" i="29" s="1"/>
  <c r="X419" i="29"/>
  <c r="Y419" i="29" s="1"/>
  <c r="W450" i="29"/>
  <c r="AJ450" i="29" s="1"/>
  <c r="AK450" i="29" s="1"/>
  <c r="AH313" i="29"/>
  <c r="W213" i="29"/>
  <c r="AA213" i="29" s="1"/>
  <c r="X600" i="29"/>
  <c r="Y600" i="29" s="1"/>
  <c r="AG568" i="29"/>
  <c r="AH196" i="29"/>
  <c r="AH47" i="29"/>
  <c r="X68" i="29"/>
  <c r="Y68" i="29" s="1"/>
  <c r="W245" i="29"/>
  <c r="AJ245" i="29" s="1"/>
  <c r="AK245" i="29" s="1"/>
  <c r="AH131" i="29"/>
  <c r="X126" i="29"/>
  <c r="Y126" i="29" s="1"/>
  <c r="X396" i="29"/>
  <c r="Y396" i="29" s="1"/>
  <c r="AH134" i="29"/>
  <c r="W421" i="29"/>
  <c r="X36" i="29"/>
  <c r="Y36" i="29" s="1"/>
  <c r="X458" i="29"/>
  <c r="Y458" i="29" s="1"/>
  <c r="AG318" i="29"/>
  <c r="AH405" i="29"/>
  <c r="AG209" i="29"/>
  <c r="AH456" i="29"/>
  <c r="AH243" i="29"/>
  <c r="X601" i="29"/>
  <c r="Y601" i="29" s="1"/>
  <c r="AG121" i="29"/>
  <c r="W444" i="29"/>
  <c r="AJ443" i="29" s="1"/>
  <c r="AK443" i="29" s="1"/>
  <c r="AG389" i="29"/>
  <c r="AG518" i="29"/>
  <c r="W310" i="29"/>
  <c r="AJ310" i="29" s="1"/>
  <c r="AK310" i="29" s="1"/>
  <c r="X67" i="29"/>
  <c r="Y67" i="29" s="1"/>
  <c r="X215" i="29"/>
  <c r="Y215" i="29" s="1"/>
  <c r="W37" i="29"/>
  <c r="AJ36" i="29" s="1"/>
  <c r="AK36" i="29" s="1"/>
  <c r="X191" i="29"/>
  <c r="Y191" i="29" s="1"/>
  <c r="W525" i="29"/>
  <c r="AH506" i="29"/>
  <c r="X425" i="29"/>
  <c r="Y425" i="29" s="1"/>
  <c r="X282" i="29"/>
  <c r="Y282" i="29" s="1"/>
  <c r="AG504" i="29"/>
  <c r="W369" i="29"/>
  <c r="AA369" i="29" s="1"/>
  <c r="X311" i="29"/>
  <c r="Y311" i="29" s="1"/>
  <c r="X227" i="29"/>
  <c r="Y227" i="29" s="1"/>
  <c r="AH27" i="29"/>
  <c r="AG173" i="29"/>
  <c r="AG55" i="29"/>
  <c r="W26" i="29"/>
  <c r="X83" i="29"/>
  <c r="Y83" i="29" s="1"/>
  <c r="AG158" i="29"/>
  <c r="AH16" i="29"/>
  <c r="X182" i="29"/>
  <c r="Y182" i="29" s="1"/>
  <c r="W533" i="29"/>
  <c r="AJ532" i="29" s="1"/>
  <c r="AK532" i="29" s="1"/>
  <c r="W200" i="29"/>
  <c r="AJ200" i="29" s="1"/>
  <c r="AK200" i="29" s="1"/>
  <c r="X372" i="29"/>
  <c r="Y372" i="29" s="1"/>
  <c r="AH300" i="29"/>
  <c r="X549" i="29"/>
  <c r="Y549" i="29" s="1"/>
  <c r="AH95" i="29"/>
  <c r="X420" i="29"/>
  <c r="Y420" i="29" s="1"/>
  <c r="AG31" i="29"/>
  <c r="X491" i="29"/>
  <c r="Y491" i="29" s="1"/>
  <c r="AG287" i="29"/>
  <c r="W531" i="29"/>
  <c r="AJ531" i="29" s="1"/>
  <c r="AK531" i="29" s="1"/>
  <c r="X607" i="29"/>
  <c r="Y607" i="29" s="1"/>
  <c r="AH545" i="29"/>
  <c r="X62" i="29"/>
  <c r="Y62" i="29" s="1"/>
  <c r="X269" i="29"/>
  <c r="Y269" i="29" s="1"/>
  <c r="CB170" i="25"/>
  <c r="CF170" i="25"/>
  <c r="CB170" i="24"/>
  <c r="CF170" i="24"/>
  <c r="CB276" i="24"/>
  <c r="CF276" i="24"/>
  <c r="W360" i="29"/>
  <c r="AJ359" i="29" s="1"/>
  <c r="AK359" i="29" s="1"/>
  <c r="CB166" i="24"/>
  <c r="CF166" i="24"/>
  <c r="CB272" i="24"/>
  <c r="CF272" i="24"/>
  <c r="CB102" i="24"/>
  <c r="CF102" i="24"/>
  <c r="W441" i="29"/>
  <c r="AA441" i="29" s="1"/>
  <c r="CB92" i="25"/>
  <c r="CF92" i="25"/>
  <c r="CB92" i="24"/>
  <c r="CF92" i="24"/>
  <c r="AH176" i="29"/>
  <c r="W82" i="29"/>
  <c r="AA82" i="29" s="1"/>
  <c r="AG564" i="29"/>
  <c r="AG296" i="29"/>
  <c r="W431" i="29"/>
  <c r="AA431" i="29" s="1"/>
  <c r="X247" i="29"/>
  <c r="Y247" i="29" s="1"/>
  <c r="CB268" i="24"/>
  <c r="CF268" i="24"/>
  <c r="CB157" i="24"/>
  <c r="CF157" i="24"/>
  <c r="CB263" i="24"/>
  <c r="CF263" i="24"/>
  <c r="CB79" i="24"/>
  <c r="CF79" i="24"/>
  <c r="CB274" i="24"/>
  <c r="CF274" i="24"/>
  <c r="CB168" i="24"/>
  <c r="CF168" i="24"/>
  <c r="CB285" i="24"/>
  <c r="CF285" i="24"/>
  <c r="CB179" i="24"/>
  <c r="CF179" i="24"/>
  <c r="W495" i="29"/>
  <c r="AJ494" i="29" s="1"/>
  <c r="AK494" i="29" s="1"/>
  <c r="X288" i="29"/>
  <c r="Y288" i="29" s="1"/>
  <c r="AG534" i="29"/>
  <c r="BY237" i="25"/>
  <c r="CA237" i="25" s="1"/>
  <c r="CB237" i="25" s="1"/>
  <c r="BL237" i="25"/>
  <c r="BK237" i="25"/>
  <c r="AT212" i="25"/>
  <c r="AY212" i="25" s="1"/>
  <c r="AU212" i="25"/>
  <c r="BY77" i="25"/>
  <c r="CA77" i="25" s="1"/>
  <c r="BL77" i="25"/>
  <c r="CB173" i="24"/>
  <c r="CF173" i="24"/>
  <c r="CB74" i="24"/>
  <c r="CF74" i="24"/>
  <c r="AA599" i="29"/>
  <c r="AJ58" i="29"/>
  <c r="AK58" i="29" s="1"/>
  <c r="AA59" i="29"/>
  <c r="AA201" i="29"/>
  <c r="BY72" i="25"/>
  <c r="CA72" i="25" s="1"/>
  <c r="BL72" i="25"/>
  <c r="AA325" i="29"/>
  <c r="AJ324" i="29"/>
  <c r="AK324" i="29" s="1"/>
  <c r="BL146" i="25"/>
  <c r="BY146" i="25"/>
  <c r="CA146" i="25" s="1"/>
  <c r="CB146" i="25" s="1"/>
  <c r="BK146" i="25"/>
  <c r="AA460" i="29"/>
  <c r="AJ459" i="29"/>
  <c r="AK459" i="29" s="1"/>
  <c r="AJ54" i="29"/>
  <c r="AK54" i="29" s="1"/>
  <c r="AA55" i="29"/>
  <c r="BL41" i="25"/>
  <c r="BY41" i="25"/>
  <c r="CA41" i="25" s="1"/>
  <c r="CB41" i="25" s="1"/>
  <c r="AJ119" i="29"/>
  <c r="AK119" i="29" s="1"/>
  <c r="AA120" i="29"/>
  <c r="AA445" i="29"/>
  <c r="AJ258" i="29"/>
  <c r="AK258" i="29" s="1"/>
  <c r="AA259" i="29"/>
  <c r="AA148" i="29"/>
  <c r="BL125" i="25"/>
  <c r="BY125" i="25"/>
  <c r="CA125" i="25" s="1"/>
  <c r="BK125" i="25"/>
  <c r="AA490" i="29"/>
  <c r="AJ489" i="29"/>
  <c r="AK489" i="29" s="1"/>
  <c r="AA435" i="29"/>
  <c r="AA277" i="29"/>
  <c r="AJ276" i="29"/>
  <c r="AK276" i="29" s="1"/>
  <c r="AJ214" i="29"/>
  <c r="AK214" i="29" s="1"/>
  <c r="AA215" i="29"/>
  <c r="AA246" i="29"/>
  <c r="AA596" i="29"/>
  <c r="AA63" i="29"/>
  <c r="AJ62" i="29"/>
  <c r="AK62" i="29" s="1"/>
  <c r="AA521" i="29"/>
  <c r="AJ520" i="29"/>
  <c r="AK520" i="29" s="1"/>
  <c r="BY119" i="25"/>
  <c r="CA119" i="25" s="1"/>
  <c r="CB119" i="25" s="1"/>
  <c r="BL119" i="25"/>
  <c r="BK119" i="25"/>
  <c r="AJ202" i="29"/>
  <c r="AK202" i="29" s="1"/>
  <c r="AA203" i="29"/>
  <c r="BN316" i="24"/>
  <c r="AJ313" i="29"/>
  <c r="AK313" i="29" s="1"/>
  <c r="AA314" i="29"/>
  <c r="AJ339" i="29"/>
  <c r="AK339" i="29" s="1"/>
  <c r="AA340" i="29"/>
  <c r="AA38" i="29"/>
  <c r="AA64" i="29"/>
  <c r="AJ63" i="29"/>
  <c r="AK63" i="29" s="1"/>
  <c r="AJ168" i="29"/>
  <c r="AK168" i="29" s="1"/>
  <c r="AA169" i="29"/>
  <c r="AA224" i="29"/>
  <c r="AA211" i="29"/>
  <c r="AJ30" i="29"/>
  <c r="AK30" i="29" s="1"/>
  <c r="AA31" i="29"/>
  <c r="BL75" i="25"/>
  <c r="BY75" i="25"/>
  <c r="CA75" i="25" s="1"/>
  <c r="CB75" i="25" s="1"/>
  <c r="BY163" i="25"/>
  <c r="CA163" i="25" s="1"/>
  <c r="BL163" i="25"/>
  <c r="BK163" i="25"/>
  <c r="BY24" i="25"/>
  <c r="CA24" i="25" s="1"/>
  <c r="CB24" i="25" s="1"/>
  <c r="BL24" i="25"/>
  <c r="AA100" i="29"/>
  <c r="AA576" i="29"/>
  <c r="AJ575" i="29"/>
  <c r="AK575" i="29" s="1"/>
  <c r="AA306" i="29"/>
  <c r="AA67" i="29"/>
  <c r="AJ66" i="29"/>
  <c r="AK66" i="29" s="1"/>
  <c r="BY23" i="25"/>
  <c r="CA23" i="25" s="1"/>
  <c r="CB23" i="25" s="1"/>
  <c r="BL23" i="25"/>
  <c r="BL39" i="25"/>
  <c r="BY39" i="25"/>
  <c r="CA39" i="25" s="1"/>
  <c r="CB39" i="25" s="1"/>
  <c r="AA481" i="29"/>
  <c r="AA69" i="29"/>
  <c r="AJ68" i="29"/>
  <c r="AK68" i="29" s="1"/>
  <c r="BY150" i="25"/>
  <c r="CA150" i="25" s="1"/>
  <c r="CB150" i="25" s="1"/>
  <c r="BL150" i="25"/>
  <c r="BK150" i="25"/>
  <c r="BY142" i="25"/>
  <c r="CA142" i="25" s="1"/>
  <c r="CB142" i="25" s="1"/>
  <c r="BL142" i="25"/>
  <c r="BK142" i="25"/>
  <c r="AA403" i="29"/>
  <c r="AJ402" i="29"/>
  <c r="AK402" i="29" s="1"/>
  <c r="AA241" i="29"/>
  <c r="AA496" i="29"/>
  <c r="AJ78" i="29"/>
  <c r="AK78" i="29" s="1"/>
  <c r="AA79" i="29"/>
  <c r="AA497" i="29"/>
  <c r="AJ496" i="29"/>
  <c r="AK496" i="29" s="1"/>
  <c r="AJ596" i="29"/>
  <c r="AK596" i="29" s="1"/>
  <c r="AA597" i="29"/>
  <c r="AA565" i="29"/>
  <c r="AJ564" i="29"/>
  <c r="AK564" i="29" s="1"/>
  <c r="AA184" i="29"/>
  <c r="AJ159" i="29"/>
  <c r="AK159" i="29" s="1"/>
  <c r="AA160" i="29"/>
  <c r="BY85" i="25"/>
  <c r="CA85" i="25" s="1"/>
  <c r="CB85" i="25" s="1"/>
  <c r="BL85" i="25"/>
  <c r="BL300" i="25"/>
  <c r="BY300" i="25"/>
  <c r="CA300" i="25" s="1"/>
  <c r="CB300" i="25" s="1"/>
  <c r="BK300" i="25"/>
  <c r="AJ262" i="29"/>
  <c r="AK262" i="29" s="1"/>
  <c r="AA263" i="29"/>
  <c r="BL294" i="25"/>
  <c r="BY294" i="25"/>
  <c r="CA294" i="25" s="1"/>
  <c r="CB294" i="25" s="1"/>
  <c r="BK294" i="25"/>
  <c r="AA519" i="29"/>
  <c r="AJ518" i="29"/>
  <c r="AK518" i="29" s="1"/>
  <c r="AA361" i="29"/>
  <c r="AJ76" i="29"/>
  <c r="AK76" i="29" s="1"/>
  <c r="AA77" i="29"/>
  <c r="AA582" i="29"/>
  <c r="AJ581" i="29"/>
  <c r="AK581" i="29" s="1"/>
  <c r="AA264" i="29"/>
  <c r="AJ263" i="29"/>
  <c r="AK263" i="29" s="1"/>
  <c r="BL175" i="25"/>
  <c r="BY175" i="25"/>
  <c r="CA175" i="25" s="1"/>
  <c r="BK175" i="25"/>
  <c r="AA205" i="29"/>
  <c r="AJ204" i="29"/>
  <c r="AK204" i="29" s="1"/>
  <c r="BL53" i="25"/>
  <c r="BY53" i="25"/>
  <c r="CA53" i="25" s="1"/>
  <c r="CB53" i="25" s="1"/>
  <c r="AJ196" i="29"/>
  <c r="AK196" i="29" s="1"/>
  <c r="AA197" i="29"/>
  <c r="AA320" i="29"/>
  <c r="AJ319" i="29"/>
  <c r="AK319" i="29" s="1"/>
  <c r="AA311" i="29"/>
  <c r="AJ86" i="29"/>
  <c r="AK86" i="29" s="1"/>
  <c r="AA87" i="29"/>
  <c r="BL217" i="25"/>
  <c r="BY217" i="25"/>
  <c r="CA217" i="25" s="1"/>
  <c r="CB217" i="25" s="1"/>
  <c r="BK217" i="25"/>
  <c r="BY67" i="25"/>
  <c r="CA67" i="25" s="1"/>
  <c r="CB67" i="25" s="1"/>
  <c r="BL67" i="25"/>
  <c r="CB97" i="25"/>
  <c r="CF97" i="25"/>
  <c r="AJ285" i="29"/>
  <c r="AK285" i="29" s="1"/>
  <c r="AA286" i="29"/>
  <c r="AJ192" i="29"/>
  <c r="AK192" i="29" s="1"/>
  <c r="AA193" i="29"/>
  <c r="BL286" i="25"/>
  <c r="BY286" i="25"/>
  <c r="CA286" i="25" s="1"/>
  <c r="CB286" i="25" s="1"/>
  <c r="BK286" i="25"/>
  <c r="BL250" i="25"/>
  <c r="BY250" i="25"/>
  <c r="CA250" i="25" s="1"/>
  <c r="CB250" i="25" s="1"/>
  <c r="BK250" i="25"/>
  <c r="AA95" i="29"/>
  <c r="AJ94" i="29"/>
  <c r="BL83" i="25"/>
  <c r="BY83" i="25"/>
  <c r="CA83" i="25" s="1"/>
  <c r="CB83" i="25" s="1"/>
  <c r="BY284" i="25"/>
  <c r="CA284" i="25" s="1"/>
  <c r="CB284" i="25" s="1"/>
  <c r="BL284" i="25"/>
  <c r="BK284" i="25"/>
  <c r="AJ424" i="29"/>
  <c r="AK424" i="29" s="1"/>
  <c r="AA425" i="29"/>
  <c r="AA416" i="29"/>
  <c r="AJ415" i="29"/>
  <c r="AK415" i="29" s="1"/>
  <c r="AJ392" i="29"/>
  <c r="AK392" i="29" s="1"/>
  <c r="AA393" i="29"/>
  <c r="BY133" i="25"/>
  <c r="CA133" i="25" s="1"/>
  <c r="CB133" i="25" s="1"/>
  <c r="BL133" i="25"/>
  <c r="BK133" i="25"/>
  <c r="BL47" i="25"/>
  <c r="BY47" i="25"/>
  <c r="CA47" i="25" s="1"/>
  <c r="CB47" i="25" s="1"/>
  <c r="AA50" i="29"/>
  <c r="AA195" i="29"/>
  <c r="AJ194" i="29"/>
  <c r="AK194" i="29" s="1"/>
  <c r="BY80" i="25"/>
  <c r="CA80" i="25" s="1"/>
  <c r="BL80" i="25"/>
  <c r="BL225" i="25"/>
  <c r="BY225" i="25"/>
  <c r="CA225" i="25" s="1"/>
  <c r="CB225" i="25" s="1"/>
  <c r="BK225" i="25"/>
  <c r="AJ371" i="29"/>
  <c r="AK371" i="29" s="1"/>
  <c r="AA372" i="29"/>
  <c r="AA43" i="29"/>
  <c r="AJ42" i="29"/>
  <c r="AK42" i="29" s="1"/>
  <c r="AA398" i="29"/>
  <c r="AJ397" i="29"/>
  <c r="AK397" i="29" s="1"/>
  <c r="BY65" i="25"/>
  <c r="CA65" i="25" s="1"/>
  <c r="BL65" i="25"/>
  <c r="BY43" i="25"/>
  <c r="CA43" i="25" s="1"/>
  <c r="CB43" i="25" s="1"/>
  <c r="BL43" i="25"/>
  <c r="AA611" i="29"/>
  <c r="AJ404" i="29"/>
  <c r="AK404" i="29" s="1"/>
  <c r="AA405" i="29"/>
  <c r="AA592" i="29"/>
  <c r="AJ591" i="29"/>
  <c r="AK591" i="29" s="1"/>
  <c r="BY220" i="25"/>
  <c r="CA220" i="25" s="1"/>
  <c r="CB220" i="25" s="1"/>
  <c r="BL220" i="25"/>
  <c r="BK220" i="25"/>
  <c r="AA342" i="29"/>
  <c r="BL144" i="25"/>
  <c r="BY144" i="25"/>
  <c r="CA144" i="25" s="1"/>
  <c r="CB144" i="25" s="1"/>
  <c r="BK144" i="25"/>
  <c r="AA399" i="29"/>
  <c r="AJ398" i="29"/>
  <c r="AK398" i="29" s="1"/>
  <c r="AA359" i="29"/>
  <c r="AJ358" i="29"/>
  <c r="AK358" i="29" s="1"/>
  <c r="AA358" i="29"/>
  <c r="BY36" i="25"/>
  <c r="CA36" i="25" s="1"/>
  <c r="CB36" i="25" s="1"/>
  <c r="BL36" i="25"/>
  <c r="AA475" i="29"/>
  <c r="BL252" i="25"/>
  <c r="BY252" i="25"/>
  <c r="CA252" i="25" s="1"/>
  <c r="CB252" i="25" s="1"/>
  <c r="BK252" i="25"/>
  <c r="BY260" i="25"/>
  <c r="CA260" i="25" s="1"/>
  <c r="CB260" i="25" s="1"/>
  <c r="BL260" i="25"/>
  <c r="BK260" i="25"/>
  <c r="AJ396" i="29"/>
  <c r="AK396" i="29" s="1"/>
  <c r="AA397" i="29"/>
  <c r="BL69" i="25"/>
  <c r="BY69" i="25"/>
  <c r="CA69" i="25" s="1"/>
  <c r="CB69" i="25" s="1"/>
  <c r="BL194" i="25"/>
  <c r="BY194" i="25"/>
  <c r="CA194" i="25" s="1"/>
  <c r="BK194" i="25"/>
  <c r="BY187" i="25"/>
  <c r="CA187" i="25" s="1"/>
  <c r="CB187" i="25" s="1"/>
  <c r="BL187" i="25"/>
  <c r="BK187" i="25"/>
  <c r="BY234" i="25"/>
  <c r="CA234" i="25" s="1"/>
  <c r="CB234" i="25" s="1"/>
  <c r="BL234" i="25"/>
  <c r="BK234" i="25"/>
  <c r="AJ338" i="29"/>
  <c r="AK338" i="29" s="1"/>
  <c r="AA339" i="29"/>
  <c r="BL315" i="25"/>
  <c r="BY315" i="25"/>
  <c r="CA315" i="25" s="1"/>
  <c r="CB315" i="25" s="1"/>
  <c r="BK315" i="25"/>
  <c r="AA134" i="29"/>
  <c r="AJ27" i="29"/>
  <c r="AK27" i="29" s="1"/>
  <c r="AA28" i="29"/>
  <c r="AJ515" i="29"/>
  <c r="AK515" i="29" s="1"/>
  <c r="AA516" i="29"/>
  <c r="AJ386" i="29"/>
  <c r="AK386" i="29" s="1"/>
  <c r="AA387" i="29"/>
  <c r="BY278" i="25"/>
  <c r="CA278" i="25" s="1"/>
  <c r="CB278" i="25" s="1"/>
  <c r="BL278" i="25"/>
  <c r="BK278" i="25"/>
  <c r="BL130" i="25"/>
  <c r="BY130" i="25"/>
  <c r="CA130" i="25" s="1"/>
  <c r="BK130" i="25"/>
  <c r="AA125" i="29"/>
  <c r="AJ124" i="29"/>
  <c r="AK124" i="29" s="1"/>
  <c r="BY73" i="25"/>
  <c r="CA73" i="25" s="1"/>
  <c r="CB73" i="25" s="1"/>
  <c r="BL73" i="25"/>
  <c r="BL193" i="25"/>
  <c r="BY193" i="25"/>
  <c r="CA193" i="25" s="1"/>
  <c r="BK193" i="25"/>
  <c r="BL169" i="25"/>
  <c r="BY169" i="25"/>
  <c r="CA169" i="25" s="1"/>
  <c r="BK169" i="25"/>
  <c r="AJ613" i="29"/>
  <c r="AK613" i="29" s="1"/>
  <c r="AA613" i="29"/>
  <c r="AJ612" i="29"/>
  <c r="AK612" i="29" s="1"/>
  <c r="BY203" i="25"/>
  <c r="CA203" i="25" s="1"/>
  <c r="BL203" i="25"/>
  <c r="BK203" i="25"/>
  <c r="BL263" i="25"/>
  <c r="BY263" i="25"/>
  <c r="CA263" i="25" s="1"/>
  <c r="CB263" i="25" s="1"/>
  <c r="BK263" i="25"/>
  <c r="AA204" i="29"/>
  <c r="AJ203" i="29"/>
  <c r="AK203" i="29" s="1"/>
  <c r="AJ505" i="29"/>
  <c r="AK505" i="29" s="1"/>
  <c r="AA506" i="29"/>
  <c r="AJ560" i="29"/>
  <c r="AK560" i="29" s="1"/>
  <c r="AA561" i="29"/>
  <c r="AJ126" i="29"/>
  <c r="AK126" i="29" s="1"/>
  <c r="AA127" i="29"/>
  <c r="AA180" i="29"/>
  <c r="BL102" i="25"/>
  <c r="BY102" i="25"/>
  <c r="CA102" i="25" s="1"/>
  <c r="AJ243" i="29"/>
  <c r="AK243" i="29" s="1"/>
  <c r="AA244" i="29"/>
  <c r="AJ157" i="29"/>
  <c r="AK157" i="29" s="1"/>
  <c r="AA158" i="29"/>
  <c r="AJ80" i="29"/>
  <c r="AA81" i="29"/>
  <c r="BY245" i="25"/>
  <c r="CA245" i="25" s="1"/>
  <c r="CB245" i="25" s="1"/>
  <c r="BL245" i="25"/>
  <c r="BK245" i="25"/>
  <c r="AJ418" i="29"/>
  <c r="AK418" i="29" s="1"/>
  <c r="AA419" i="29"/>
  <c r="BL168" i="25"/>
  <c r="BY168" i="25"/>
  <c r="CA168" i="25" s="1"/>
  <c r="BK168" i="25"/>
  <c r="AJ593" i="29"/>
  <c r="AK593" i="29" s="1"/>
  <c r="AA594" i="29"/>
  <c r="BY122" i="25"/>
  <c r="CA122" i="25" s="1"/>
  <c r="CB122" i="25" s="1"/>
  <c r="BL122" i="25"/>
  <c r="BK122" i="25"/>
  <c r="BY209" i="25"/>
  <c r="CA209" i="25" s="1"/>
  <c r="BL209" i="25"/>
  <c r="BK209" i="25"/>
  <c r="AA572" i="29"/>
  <c r="AA39" i="29"/>
  <c r="AJ38" i="29"/>
  <c r="AK38" i="29" s="1"/>
  <c r="AJ237" i="29"/>
  <c r="AK237" i="29" s="1"/>
  <c r="AA238" i="29"/>
  <c r="AA560" i="29"/>
  <c r="AJ559" i="29"/>
  <c r="AK559" i="29" s="1"/>
  <c r="BL310" i="25"/>
  <c r="BY310" i="25"/>
  <c r="CA310" i="25" s="1"/>
  <c r="CB310" i="25" s="1"/>
  <c r="BK310" i="25"/>
  <c r="AA53" i="29"/>
  <c r="AJ275" i="29"/>
  <c r="AK275" i="29" s="1"/>
  <c r="AA276" i="29"/>
  <c r="AJ28" i="29"/>
  <c r="AK28" i="29" s="1"/>
  <c r="AA29" i="29"/>
  <c r="BY118" i="25"/>
  <c r="CA118" i="25" s="1"/>
  <c r="CB118" i="25" s="1"/>
  <c r="BL118" i="25"/>
  <c r="BK118" i="25"/>
  <c r="AA489" i="29"/>
  <c r="AJ488" i="29"/>
  <c r="AK488" i="29" s="1"/>
  <c r="AA33" i="29"/>
  <c r="AJ32" i="29"/>
  <c r="AK32" i="29" s="1"/>
  <c r="AA68" i="29"/>
  <c r="AJ67" i="29"/>
  <c r="AK67" i="29" s="1"/>
  <c r="AA146" i="29"/>
  <c r="AJ145" i="29"/>
  <c r="AK145" i="29" s="1"/>
  <c r="AA85" i="29"/>
  <c r="BY316" i="25"/>
  <c r="CA316" i="25" s="1"/>
  <c r="CB316" i="25" s="1"/>
  <c r="BL316" i="25"/>
  <c r="BK316" i="25"/>
  <c r="BL176" i="25"/>
  <c r="BY176" i="25"/>
  <c r="CA176" i="25" s="1"/>
  <c r="BK176" i="25"/>
  <c r="BY35" i="25"/>
  <c r="CA35" i="25" s="1"/>
  <c r="CB35" i="25" s="1"/>
  <c r="BL35" i="25"/>
  <c r="AA577" i="29"/>
  <c r="AJ576" i="29"/>
  <c r="AK576" i="29" s="1"/>
  <c r="AA402" i="29"/>
  <c r="BL98" i="25"/>
  <c r="BY98" i="25"/>
  <c r="CA98" i="25" s="1"/>
  <c r="AJ292" i="29"/>
  <c r="AK292" i="29" s="1"/>
  <c r="AA293" i="29"/>
  <c r="AJ577" i="29"/>
  <c r="AK577" i="29" s="1"/>
  <c r="AA578" i="29"/>
  <c r="AA272" i="29"/>
  <c r="AJ271" i="29"/>
  <c r="AK271" i="29" s="1"/>
  <c r="AJ302" i="29"/>
  <c r="AK302" i="29" s="1"/>
  <c r="AA303" i="29"/>
  <c r="BY256" i="25"/>
  <c r="CA256" i="25" s="1"/>
  <c r="CB256" i="25" s="1"/>
  <c r="BL256" i="25"/>
  <c r="BK256" i="25"/>
  <c r="AA499" i="29"/>
  <c r="AA257" i="29"/>
  <c r="AJ256" i="29"/>
  <c r="AK256" i="29" s="1"/>
  <c r="AJ391" i="29"/>
  <c r="AK391" i="29" s="1"/>
  <c r="AA392" i="29"/>
  <c r="AJ247" i="29"/>
  <c r="AK247" i="29" s="1"/>
  <c r="AA248" i="29"/>
  <c r="BL50" i="25"/>
  <c r="BY50" i="25"/>
  <c r="CA50" i="25" s="1"/>
  <c r="CB50" i="25" s="1"/>
  <c r="BL153" i="25"/>
  <c r="BY153" i="25"/>
  <c r="CA153" i="25" s="1"/>
  <c r="BK153" i="25"/>
  <c r="BL253" i="25"/>
  <c r="BY253" i="25"/>
  <c r="CA253" i="25" s="1"/>
  <c r="CB253" i="25" s="1"/>
  <c r="BK253" i="25"/>
  <c r="AJ230" i="29"/>
  <c r="AK230" i="29" s="1"/>
  <c r="AA231" i="29"/>
  <c r="AA558" i="29"/>
  <c r="AJ363" i="29"/>
  <c r="AK363" i="29" s="1"/>
  <c r="AA364" i="29"/>
  <c r="AJ128" i="29"/>
  <c r="AK128" i="29" s="1"/>
  <c r="AA129" i="29"/>
  <c r="BL272" i="25"/>
  <c r="BY272" i="25"/>
  <c r="CA272" i="25" s="1"/>
  <c r="CB272" i="25" s="1"/>
  <c r="BK272" i="25"/>
  <c r="AJ510" i="29"/>
  <c r="AK510" i="29" s="1"/>
  <c r="AA511" i="29"/>
  <c r="BL91" i="25"/>
  <c r="BY91" i="25"/>
  <c r="CA91" i="25" s="1"/>
  <c r="CB91" i="25" s="1"/>
  <c r="AA567" i="29"/>
  <c r="BY233" i="25"/>
  <c r="CA233" i="25" s="1"/>
  <c r="CB233" i="25" s="1"/>
  <c r="BL233" i="25"/>
  <c r="BK233" i="25"/>
  <c r="AA123" i="29"/>
  <c r="AJ582" i="29"/>
  <c r="AK582" i="29" s="1"/>
  <c r="AA583" i="29"/>
  <c r="BY270" i="25"/>
  <c r="CA270" i="25" s="1"/>
  <c r="CB270" i="25" s="1"/>
  <c r="BL270" i="25"/>
  <c r="BK270" i="25"/>
  <c r="AJ451" i="29"/>
  <c r="AK451" i="29" s="1"/>
  <c r="AA452" i="29"/>
  <c r="AA539" i="29"/>
  <c r="AJ538" i="29"/>
  <c r="AK538" i="29" s="1"/>
  <c r="BY22" i="25"/>
  <c r="CA22" i="25" s="1"/>
  <c r="BL22" i="25"/>
  <c r="BY56" i="25"/>
  <c r="CA56" i="25" s="1"/>
  <c r="BL56" i="25"/>
  <c r="AA102" i="29"/>
  <c r="AJ101" i="29"/>
  <c r="BY242" i="25"/>
  <c r="CA242" i="25" s="1"/>
  <c r="CB242" i="25" s="1"/>
  <c r="BL242" i="25"/>
  <c r="BK242" i="25"/>
  <c r="AA186" i="29"/>
  <c r="AA317" i="29"/>
  <c r="AJ316" i="29"/>
  <c r="AK316" i="29" s="1"/>
  <c r="AJ33" i="29"/>
  <c r="AK33" i="29" s="1"/>
  <c r="AA34" i="29"/>
  <c r="AA255" i="29"/>
  <c r="AA131" i="29"/>
  <c r="AA331" i="29"/>
  <c r="BL126" i="25"/>
  <c r="BY126" i="25"/>
  <c r="CA126" i="25" s="1"/>
  <c r="CB126" i="25" s="1"/>
  <c r="BK126" i="25"/>
  <c r="AA503" i="29"/>
  <c r="AA396" i="29"/>
  <c r="AJ395" i="29"/>
  <c r="AK395" i="29" s="1"/>
  <c r="BY10" i="25"/>
  <c r="CA10" i="25" s="1"/>
  <c r="BL10" i="25"/>
  <c r="AA274" i="29"/>
  <c r="AJ273" i="29"/>
  <c r="AK273" i="29" s="1"/>
  <c r="AJ71" i="29"/>
  <c r="AK71" i="29" s="1"/>
  <c r="AA72" i="29"/>
  <c r="AA138" i="29"/>
  <c r="BY33" i="25"/>
  <c r="CA33" i="25" s="1"/>
  <c r="CB33" i="25" s="1"/>
  <c r="BL33" i="25"/>
  <c r="AA73" i="29"/>
  <c r="AJ72" i="29"/>
  <c r="AK72" i="29" s="1"/>
  <c r="BY63" i="25"/>
  <c r="CA63" i="25" s="1"/>
  <c r="CB63" i="25" s="1"/>
  <c r="BL63" i="25"/>
  <c r="AA515" i="29"/>
  <c r="AJ231" i="29"/>
  <c r="AK231" i="29" s="1"/>
  <c r="AA232" i="29"/>
  <c r="AJ472" i="29"/>
  <c r="AK472" i="29" s="1"/>
  <c r="AA473" i="29"/>
  <c r="AA214" i="29"/>
  <c r="BY289" i="25"/>
  <c r="CA289" i="25" s="1"/>
  <c r="CB289" i="25" s="1"/>
  <c r="BL289" i="25"/>
  <c r="BK289" i="25"/>
  <c r="AJ236" i="29"/>
  <c r="AK236" i="29" s="1"/>
  <c r="AA237" i="29"/>
  <c r="BY239" i="25"/>
  <c r="CA239" i="25" s="1"/>
  <c r="CB239" i="25" s="1"/>
  <c r="BL239" i="25"/>
  <c r="BK239" i="25"/>
  <c r="BL231" i="25"/>
  <c r="BY231" i="25"/>
  <c r="CA231" i="25" s="1"/>
  <c r="CB231" i="25" s="1"/>
  <c r="BK231" i="25"/>
  <c r="AJ180" i="29"/>
  <c r="AK180" i="29" s="1"/>
  <c r="AA181" i="29"/>
  <c r="BY44" i="25"/>
  <c r="CA44" i="25" s="1"/>
  <c r="CB44" i="25" s="1"/>
  <c r="BL44" i="25"/>
  <c r="AA329" i="29"/>
  <c r="AJ328" i="29"/>
  <c r="AK328" i="29" s="1"/>
  <c r="AJ484" i="29"/>
  <c r="AK484" i="29" s="1"/>
  <c r="AA485" i="29"/>
  <c r="AJ318" i="29"/>
  <c r="AK318" i="29" s="1"/>
  <c r="AA319" i="29"/>
  <c r="AJ552" i="29"/>
  <c r="AK552" i="29" s="1"/>
  <c r="AA553" i="29"/>
  <c r="BY76" i="25"/>
  <c r="CA76" i="25" s="1"/>
  <c r="CB76" i="25" s="1"/>
  <c r="BL76" i="25"/>
  <c r="AJ331" i="29"/>
  <c r="AK331" i="29" s="1"/>
  <c r="AA332" i="29"/>
  <c r="BL157" i="25"/>
  <c r="BY157" i="25"/>
  <c r="CA157" i="25" s="1"/>
  <c r="CB157" i="25" s="1"/>
  <c r="BK157" i="25"/>
  <c r="AA451" i="29"/>
  <c r="AJ436" i="29"/>
  <c r="AK436" i="29" s="1"/>
  <c r="AA437" i="29"/>
  <c r="BL8" i="25"/>
  <c r="BY8" i="25"/>
  <c r="CA8" i="25" s="1"/>
  <c r="CB8" i="25" s="1"/>
  <c r="BL281" i="25"/>
  <c r="BY281" i="25"/>
  <c r="CA281" i="25" s="1"/>
  <c r="CB281" i="25" s="1"/>
  <c r="BK281" i="25"/>
  <c r="BY79" i="25"/>
  <c r="CA79" i="25" s="1"/>
  <c r="BL79" i="25"/>
  <c r="AA267" i="29"/>
  <c r="AJ266" i="29"/>
  <c r="AK266" i="29" s="1"/>
  <c r="BL271" i="25"/>
  <c r="BY271" i="25"/>
  <c r="CA271" i="25" s="1"/>
  <c r="CB271" i="25" s="1"/>
  <c r="BK271" i="25"/>
  <c r="AJ246" i="29"/>
  <c r="AK246" i="29" s="1"/>
  <c r="AA247" i="29"/>
  <c r="AA407" i="29"/>
  <c r="BY226" i="25"/>
  <c r="CA226" i="25" s="1"/>
  <c r="CB226" i="25" s="1"/>
  <c r="BL226" i="25"/>
  <c r="BK226" i="25"/>
  <c r="AA454" i="29"/>
  <c r="AJ453" i="29"/>
  <c r="AK453" i="29" s="1"/>
  <c r="BY55" i="25"/>
  <c r="CA55" i="25" s="1"/>
  <c r="BL55" i="25"/>
  <c r="BY241" i="25"/>
  <c r="CA241" i="25" s="1"/>
  <c r="CB241" i="25" s="1"/>
  <c r="BL241" i="25"/>
  <c r="BK241" i="25"/>
  <c r="BY88" i="25"/>
  <c r="CA88" i="25" s="1"/>
  <c r="BL88" i="25"/>
  <c r="AA285" i="29"/>
  <c r="AJ284" i="29"/>
  <c r="AK284" i="29" s="1"/>
  <c r="BY51" i="25"/>
  <c r="CA51" i="25" s="1"/>
  <c r="CB51" i="25" s="1"/>
  <c r="BL51" i="25"/>
  <c r="AJ589" i="29"/>
  <c r="AK589" i="29" s="1"/>
  <c r="AA590" i="29"/>
  <c r="AA217" i="29"/>
  <c r="BL208" i="25"/>
  <c r="BY208" i="25"/>
  <c r="CA208" i="25" s="1"/>
  <c r="BK208" i="25"/>
  <c r="AA586" i="29"/>
  <c r="BY205" i="25"/>
  <c r="CA205" i="25" s="1"/>
  <c r="BL205" i="25"/>
  <c r="BK205" i="25"/>
  <c r="AA413" i="29"/>
  <c r="AA294" i="29"/>
  <c r="AJ293" i="29"/>
  <c r="AK293" i="29" s="1"/>
  <c r="BY9" i="25"/>
  <c r="CA9" i="25" s="1"/>
  <c r="CB9" i="25" s="1"/>
  <c r="BL9" i="25"/>
  <c r="AA476" i="29"/>
  <c r="AJ475" i="29"/>
  <c r="AK475" i="29" s="1"/>
  <c r="AA438" i="29"/>
  <c r="AJ437" i="29"/>
  <c r="AK437" i="29" s="1"/>
  <c r="BL228" i="25"/>
  <c r="BY228" i="25"/>
  <c r="CA228" i="25" s="1"/>
  <c r="CB228" i="25" s="1"/>
  <c r="BK228" i="25"/>
  <c r="AJ205" i="29"/>
  <c r="AK205" i="29" s="1"/>
  <c r="AA206" i="29"/>
  <c r="AJ607" i="29"/>
  <c r="AK607" i="29" s="1"/>
  <c r="AA608" i="29"/>
  <c r="AJ39" i="29"/>
  <c r="AK39" i="29" s="1"/>
  <c r="AA40" i="29"/>
  <c r="BY264" i="25"/>
  <c r="CA264" i="25" s="1"/>
  <c r="CB264" i="25" s="1"/>
  <c r="BL264" i="25"/>
  <c r="BK264" i="25"/>
  <c r="AJ486" i="29"/>
  <c r="AK486" i="29" s="1"/>
  <c r="AA487" i="29"/>
  <c r="AA535" i="29"/>
  <c r="AJ534" i="29"/>
  <c r="AK534" i="29" s="1"/>
  <c r="BY200" i="25"/>
  <c r="CA200" i="25" s="1"/>
  <c r="BL200" i="25"/>
  <c r="BK200" i="25"/>
  <c r="AA408" i="29"/>
  <c r="AJ407" i="29"/>
  <c r="AK407" i="29" s="1"/>
  <c r="BL162" i="25"/>
  <c r="BY162" i="25"/>
  <c r="CA162" i="25" s="1"/>
  <c r="BK162" i="25"/>
  <c r="BY84" i="25"/>
  <c r="CA84" i="25" s="1"/>
  <c r="CB84" i="25" s="1"/>
  <c r="BL84" i="25"/>
  <c r="AA471" i="29"/>
  <c r="AJ470" i="29"/>
  <c r="AK470" i="29" s="1"/>
  <c r="AA236" i="29"/>
  <c r="AJ235" i="29"/>
  <c r="AK235" i="29" s="1"/>
  <c r="BY254" i="25"/>
  <c r="CA254" i="25" s="1"/>
  <c r="CB254" i="25" s="1"/>
  <c r="BL254" i="25"/>
  <c r="BK254" i="25"/>
  <c r="BL185" i="25"/>
  <c r="BY185" i="25"/>
  <c r="CA185" i="25" s="1"/>
  <c r="BK185" i="25"/>
  <c r="BY48" i="25"/>
  <c r="CA48" i="25" s="1"/>
  <c r="CB48" i="25" s="1"/>
  <c r="BL48" i="25"/>
  <c r="AA97" i="29"/>
  <c r="AJ96" i="29"/>
  <c r="AK96" i="29" s="1"/>
  <c r="AA271" i="29"/>
  <c r="BL26" i="25"/>
  <c r="BY26" i="25"/>
  <c r="CA26" i="25" s="1"/>
  <c r="CB26" i="25" s="1"/>
  <c r="AA279" i="29"/>
  <c r="BL27" i="25"/>
  <c r="BY27" i="25"/>
  <c r="CA27" i="25" s="1"/>
  <c r="BL301" i="25"/>
  <c r="BY301" i="25"/>
  <c r="CA301" i="25" s="1"/>
  <c r="CB301" i="25" s="1"/>
  <c r="BK301" i="25"/>
  <c r="BY303" i="25"/>
  <c r="CA303" i="25" s="1"/>
  <c r="CB303" i="25" s="1"/>
  <c r="BL303" i="25"/>
  <c r="BK303" i="25"/>
  <c r="AA141" i="29"/>
  <c r="BL287" i="25"/>
  <c r="BY287" i="25"/>
  <c r="CA287" i="25" s="1"/>
  <c r="CB287" i="25" s="1"/>
  <c r="BK287" i="25"/>
  <c r="AJ135" i="29"/>
  <c r="AK135" i="29" s="1"/>
  <c r="AA136" i="29"/>
  <c r="AJ298" i="29"/>
  <c r="AK298" i="29" s="1"/>
  <c r="AA299" i="29"/>
  <c r="BL136" i="25"/>
  <c r="BY136" i="25"/>
  <c r="CA136" i="25" s="1"/>
  <c r="CB136" i="25" s="1"/>
  <c r="BK136" i="25"/>
  <c r="AA352" i="29"/>
  <c r="AJ468" i="29"/>
  <c r="AK468" i="29" s="1"/>
  <c r="AA469" i="29"/>
  <c r="AJ282" i="29"/>
  <c r="AK282" i="29" s="1"/>
  <c r="AA283" i="29"/>
  <c r="AA512" i="29"/>
  <c r="AJ511" i="29"/>
  <c r="AK511" i="29" s="1"/>
  <c r="BY38" i="25"/>
  <c r="CA38" i="25" s="1"/>
  <c r="CB38" i="25" s="1"/>
  <c r="BL38" i="25"/>
  <c r="BY16" i="25"/>
  <c r="CA16" i="25" s="1"/>
  <c r="CB16" i="25" s="1"/>
  <c r="BL16" i="25"/>
  <c r="BY181" i="25"/>
  <c r="CA181" i="25" s="1"/>
  <c r="BL181" i="25"/>
  <c r="BK181" i="25"/>
  <c r="AJ487" i="29"/>
  <c r="AK487" i="29" s="1"/>
  <c r="AA488" i="29"/>
  <c r="AA220" i="29"/>
  <c r="BY172" i="25"/>
  <c r="CA172" i="25" s="1"/>
  <c r="BL172" i="25"/>
  <c r="BK172" i="25"/>
  <c r="AA449" i="29"/>
  <c r="AA534" i="29"/>
  <c r="BY100" i="25"/>
  <c r="CA100" i="25" s="1"/>
  <c r="CB100" i="25" s="1"/>
  <c r="BL100" i="25"/>
  <c r="AJ286" i="29"/>
  <c r="AK286" i="29" s="1"/>
  <c r="AA287" i="29"/>
  <c r="AA390" i="29"/>
  <c r="AJ389" i="29"/>
  <c r="AK389" i="29" s="1"/>
  <c r="AJ563" i="29"/>
  <c r="AK563" i="29" s="1"/>
  <c r="AA564" i="29"/>
  <c r="BY134" i="25"/>
  <c r="CA134" i="25" s="1"/>
  <c r="CB134" i="25" s="1"/>
  <c r="BL134" i="25"/>
  <c r="BK134" i="25"/>
  <c r="AA443" i="29"/>
  <c r="AJ442" i="29"/>
  <c r="AK442" i="29" s="1"/>
  <c r="AA374" i="29"/>
  <c r="AJ100" i="29"/>
  <c r="AK100" i="29" s="1"/>
  <c r="AA101" i="29"/>
  <c r="AJ248" i="29"/>
  <c r="AK248" i="29" s="1"/>
  <c r="AA249" i="29"/>
  <c r="AA551" i="29"/>
  <c r="AJ550" i="29"/>
  <c r="AK550" i="29" s="1"/>
  <c r="AA161" i="29"/>
  <c r="AJ160" i="29"/>
  <c r="AK160" i="29" s="1"/>
  <c r="AA501" i="29"/>
  <c r="AJ500" i="29"/>
  <c r="AK500" i="29" s="1"/>
  <c r="BL160" i="25"/>
  <c r="BY160" i="25"/>
  <c r="CA160" i="25" s="1"/>
  <c r="BK160" i="25"/>
  <c r="AA344" i="29"/>
  <c r="AJ385" i="29"/>
  <c r="AK385" i="29" s="1"/>
  <c r="AA386" i="29"/>
  <c r="AA17" i="29"/>
  <c r="AJ16" i="29"/>
  <c r="AK16" i="29" s="1"/>
  <c r="BY308" i="25"/>
  <c r="CA308" i="25" s="1"/>
  <c r="CB308" i="25" s="1"/>
  <c r="BL308" i="25"/>
  <c r="BK308" i="25"/>
  <c r="BY135" i="25"/>
  <c r="CA135" i="25" s="1"/>
  <c r="BL135" i="25"/>
  <c r="BK135" i="25"/>
  <c r="AA151" i="29"/>
  <c r="AA570" i="29"/>
  <c r="AJ569" i="29"/>
  <c r="AK569" i="29" s="1"/>
  <c r="AA446" i="29"/>
  <c r="AJ445" i="29"/>
  <c r="AK445" i="29" s="1"/>
  <c r="BY309" i="25"/>
  <c r="CA309" i="25" s="1"/>
  <c r="CB309" i="25" s="1"/>
  <c r="BL309" i="25"/>
  <c r="BK309" i="25"/>
  <c r="BL74" i="25"/>
  <c r="BY74" i="25"/>
  <c r="CA74" i="25" s="1"/>
  <c r="AJ259" i="29"/>
  <c r="AK259" i="29" s="1"/>
  <c r="AA260" i="29"/>
  <c r="AA555" i="29"/>
  <c r="AJ554" i="29"/>
  <c r="AK554" i="29" s="1"/>
  <c r="AA316" i="29"/>
  <c r="AA532" i="29"/>
  <c r="AJ87" i="29"/>
  <c r="AK87" i="29" s="1"/>
  <c r="AA88" i="29"/>
  <c r="AA468" i="29"/>
  <c r="AJ467" i="29"/>
  <c r="AK467" i="29" s="1"/>
  <c r="BY216" i="25"/>
  <c r="CA216" i="25" s="1"/>
  <c r="CB216" i="25" s="1"/>
  <c r="BL216" i="25"/>
  <c r="BK216" i="25"/>
  <c r="AA103" i="29"/>
  <c r="AJ102" i="29"/>
  <c r="AK102" i="29" s="1"/>
  <c r="AA44" i="29"/>
  <c r="AJ43" i="29"/>
  <c r="AK43" i="29" s="1"/>
  <c r="BL123" i="25"/>
  <c r="BY123" i="25"/>
  <c r="CA123" i="25" s="1"/>
  <c r="CB123" i="25" s="1"/>
  <c r="BK123" i="25"/>
  <c r="AA328" i="29"/>
  <c r="AJ327" i="29"/>
  <c r="AK327" i="29" s="1"/>
  <c r="AJ537" i="29"/>
  <c r="AK537" i="29" s="1"/>
  <c r="AA538" i="29"/>
  <c r="AA269" i="29"/>
  <c r="AJ268" i="29"/>
  <c r="AK268" i="29" s="1"/>
  <c r="AA420" i="29"/>
  <c r="AJ419" i="29"/>
  <c r="AK419" i="29" s="1"/>
  <c r="BY244" i="25"/>
  <c r="CA244" i="25" s="1"/>
  <c r="CB244" i="25" s="1"/>
  <c r="BL244" i="25"/>
  <c r="BK244" i="25"/>
  <c r="BL236" i="25"/>
  <c r="BY236" i="25"/>
  <c r="CA236" i="25" s="1"/>
  <c r="CB236" i="25" s="1"/>
  <c r="BK236" i="25"/>
  <c r="AJ366" i="29"/>
  <c r="AK366" i="29" s="1"/>
  <c r="AA367" i="29"/>
  <c r="BY279" i="25"/>
  <c r="CA279" i="25" s="1"/>
  <c r="CB279" i="25" s="1"/>
  <c r="BL279" i="25"/>
  <c r="BK279" i="25"/>
  <c r="AJ144" i="29"/>
  <c r="AK144" i="29" s="1"/>
  <c r="AA145" i="29"/>
  <c r="AA327" i="29"/>
  <c r="AA174" i="29"/>
  <c r="AJ173" i="29"/>
  <c r="AK173" i="29" s="1"/>
  <c r="BY61" i="25"/>
  <c r="CA61" i="25" s="1"/>
  <c r="CB61" i="25" s="1"/>
  <c r="BL61" i="25"/>
  <c r="BY49" i="25"/>
  <c r="CA49" i="25" s="1"/>
  <c r="CB49" i="25" s="1"/>
  <c r="BL49" i="25"/>
  <c r="AA436" i="29"/>
  <c r="AJ435" i="29"/>
  <c r="AK435" i="29" s="1"/>
  <c r="AJ455" i="29"/>
  <c r="AK455" i="29" s="1"/>
  <c r="AA456" i="29"/>
  <c r="AJ172" i="29"/>
  <c r="AK172" i="29" s="1"/>
  <c r="AA173" i="29"/>
  <c r="BY266" i="25"/>
  <c r="CA266" i="25" s="1"/>
  <c r="CB266" i="25" s="1"/>
  <c r="BL266" i="25"/>
  <c r="BK266" i="25"/>
  <c r="BY159" i="25"/>
  <c r="CA159" i="25" s="1"/>
  <c r="BL159" i="25"/>
  <c r="BK159" i="25"/>
  <c r="AJ456" i="29"/>
  <c r="AK456" i="29" s="1"/>
  <c r="AA457" i="29"/>
  <c r="AA423" i="29"/>
  <c r="AJ454" i="29"/>
  <c r="AK454" i="29" s="1"/>
  <c r="AA455" i="29"/>
  <c r="AA609" i="29"/>
  <c r="AJ608" i="29"/>
  <c r="AK608" i="29" s="1"/>
  <c r="AJ85" i="29"/>
  <c r="AK85" i="29" s="1"/>
  <c r="AA86" i="29"/>
  <c r="BL297" i="25"/>
  <c r="BY297" i="25"/>
  <c r="CA297" i="25" s="1"/>
  <c r="CB297" i="25" s="1"/>
  <c r="BK297" i="25"/>
  <c r="AJ394" i="29"/>
  <c r="AK394" i="29" s="1"/>
  <c r="AA395" i="29"/>
  <c r="AA143" i="29"/>
  <c r="AJ605" i="29"/>
  <c r="AK605" i="29" s="1"/>
  <c r="AA606" i="29"/>
  <c r="BY141" i="25"/>
  <c r="CA141" i="25" s="1"/>
  <c r="CB141" i="25" s="1"/>
  <c r="BL141" i="25"/>
  <c r="BK141" i="25"/>
  <c r="BY19" i="25"/>
  <c r="CA19" i="25" s="1"/>
  <c r="CB19" i="25" s="1"/>
  <c r="BL19" i="25"/>
  <c r="AA163" i="29"/>
  <c r="AJ162" i="29"/>
  <c r="AK162" i="29" s="1"/>
  <c r="AJ367" i="29"/>
  <c r="AK367" i="29" s="1"/>
  <c r="AA368" i="29"/>
  <c r="AA388" i="29"/>
  <c r="AJ387" i="29"/>
  <c r="AK387" i="29" s="1"/>
  <c r="AA194" i="29"/>
  <c r="AJ193" i="29"/>
  <c r="AK193" i="29" s="1"/>
  <c r="AA385" i="29"/>
  <c r="AJ384" i="29"/>
  <c r="AK384" i="29" s="1"/>
  <c r="AA61" i="29"/>
  <c r="AJ60" i="29"/>
  <c r="AK60" i="29" s="1"/>
  <c r="AJ553" i="29"/>
  <c r="AK553" i="29" s="1"/>
  <c r="AA554" i="29"/>
  <c r="AA155" i="29"/>
  <c r="BY197" i="25"/>
  <c r="CA197" i="25" s="1"/>
  <c r="CB197" i="25" s="1"/>
  <c r="BL197" i="25"/>
  <c r="BK197" i="25"/>
  <c r="BY268" i="25"/>
  <c r="CA268" i="25" s="1"/>
  <c r="CB268" i="25" s="1"/>
  <c r="BL268" i="25"/>
  <c r="BK268" i="25"/>
  <c r="BY137" i="25"/>
  <c r="CA137" i="25" s="1"/>
  <c r="CB137" i="25" s="1"/>
  <c r="BL137" i="25"/>
  <c r="BK137" i="25"/>
  <c r="AJ344" i="29"/>
  <c r="AK344" i="29" s="1"/>
  <c r="AA345" i="29"/>
  <c r="BY57" i="25"/>
  <c r="CA57" i="25" s="1"/>
  <c r="CB57" i="25" s="1"/>
  <c r="BL57" i="25"/>
  <c r="BL218" i="25"/>
  <c r="BY218" i="25"/>
  <c r="CA218" i="25" s="1"/>
  <c r="CB218" i="25" s="1"/>
  <c r="BK218" i="25"/>
  <c r="AA225" i="29"/>
  <c r="AA376" i="29"/>
  <c r="AA71" i="29"/>
  <c r="AA504" i="29"/>
  <c r="AJ503" i="29"/>
  <c r="AK503" i="29" s="1"/>
  <c r="AJ540" i="29"/>
  <c r="AK540" i="29" s="1"/>
  <c r="AA541" i="29"/>
  <c r="BY165" i="25"/>
  <c r="CA165" i="25" s="1"/>
  <c r="BL165" i="25"/>
  <c r="BK165" i="25"/>
  <c r="AA394" i="29"/>
  <c r="AJ393" i="29"/>
  <c r="AK393" i="29" s="1"/>
  <c r="AA14" i="29"/>
  <c r="AA478" i="29"/>
  <c r="AJ477" i="29"/>
  <c r="AK477" i="29" s="1"/>
  <c r="BL285" i="25"/>
  <c r="BY285" i="25"/>
  <c r="CA285" i="25" s="1"/>
  <c r="CB285" i="25" s="1"/>
  <c r="BK285" i="25"/>
  <c r="AA464" i="29"/>
  <c r="AA349" i="29"/>
  <c r="BY145" i="25"/>
  <c r="CA145" i="25" s="1"/>
  <c r="CB145" i="25" s="1"/>
  <c r="BL145" i="25"/>
  <c r="BK145" i="25"/>
  <c r="AJ578" i="29"/>
  <c r="AK578" i="29" s="1"/>
  <c r="AA579" i="29"/>
  <c r="AA563" i="29"/>
  <c r="AA191" i="29"/>
  <c r="AJ190" i="29"/>
  <c r="AK190" i="29" s="1"/>
  <c r="AA414" i="29"/>
  <c r="AJ413" i="29"/>
  <c r="AK413" i="29" s="1"/>
  <c r="AJ103" i="29"/>
  <c r="AK103" i="29" s="1"/>
  <c r="AA104" i="29"/>
  <c r="AJ361" i="29"/>
  <c r="AK361" i="29" s="1"/>
  <c r="AA362" i="29"/>
  <c r="BY302" i="25"/>
  <c r="CA302" i="25" s="1"/>
  <c r="CB302" i="25" s="1"/>
  <c r="BL302" i="25"/>
  <c r="BK302" i="25"/>
  <c r="AA16" i="29"/>
  <c r="AA262" i="29"/>
  <c r="AA494" i="29"/>
  <c r="BY86" i="25"/>
  <c r="CA86" i="25" s="1"/>
  <c r="BL86" i="25"/>
  <c r="BL93" i="25"/>
  <c r="BY93" i="25"/>
  <c r="CA93" i="25" s="1"/>
  <c r="CB93" i="25" s="1"/>
  <c r="BY116" i="25"/>
  <c r="CA116" i="25" s="1"/>
  <c r="BL116" i="25"/>
  <c r="BK116" i="25"/>
  <c r="AA265" i="29"/>
  <c r="AJ264" i="29"/>
  <c r="AK264" i="29" s="1"/>
  <c r="AA182" i="29"/>
  <c r="AJ181" i="29"/>
  <c r="AK181" i="29" s="1"/>
  <c r="AJ29" i="29"/>
  <c r="AK29" i="29" s="1"/>
  <c r="AA30" i="29"/>
  <c r="AA76" i="29"/>
  <c r="AA549" i="29"/>
  <c r="AJ548" i="29"/>
  <c r="AK548" i="29" s="1"/>
  <c r="AA459" i="29"/>
  <c r="AJ458" i="29"/>
  <c r="AK458" i="29" s="1"/>
  <c r="AA78" i="29"/>
  <c r="AJ77" i="29"/>
  <c r="AK77" i="29" s="1"/>
  <c r="BY210" i="25"/>
  <c r="CA210" i="25" s="1"/>
  <c r="BL210" i="25"/>
  <c r="BK210" i="25"/>
  <c r="BL224" i="25"/>
  <c r="BY224" i="25"/>
  <c r="CA224" i="25" s="1"/>
  <c r="CB224" i="25" s="1"/>
  <c r="BK224" i="25"/>
  <c r="AJ461" i="29"/>
  <c r="AK461" i="29" s="1"/>
  <c r="AA462" i="29"/>
  <c r="BY312" i="25"/>
  <c r="CA312" i="25" s="1"/>
  <c r="CB312" i="25" s="1"/>
  <c r="BL312" i="25"/>
  <c r="BK312" i="25"/>
  <c r="AJ376" i="29"/>
  <c r="AK376" i="29" s="1"/>
  <c r="AA377" i="29"/>
  <c r="AJ195" i="29"/>
  <c r="AK195" i="29" s="1"/>
  <c r="AA196" i="29"/>
  <c r="BL99" i="25"/>
  <c r="BY99" i="25"/>
  <c r="CA99" i="25" s="1"/>
  <c r="CB99" i="25" s="1"/>
  <c r="AA550" i="29"/>
  <c r="AJ549" i="29"/>
  <c r="AK549" i="29" s="1"/>
  <c r="AA209" i="29"/>
  <c r="AJ208" i="29"/>
  <c r="AK208" i="29" s="1"/>
  <c r="AA295" i="29"/>
  <c r="AJ294" i="29"/>
  <c r="AK294" i="29" s="1"/>
  <c r="AJ226" i="29"/>
  <c r="AK226" i="29" s="1"/>
  <c r="AA227" i="29"/>
  <c r="AA27" i="29"/>
  <c r="AA380" i="29"/>
  <c r="AJ379" i="29"/>
  <c r="AK379" i="29" s="1"/>
  <c r="AA601" i="29"/>
  <c r="AJ600" i="29"/>
  <c r="AK600" i="29" s="1"/>
  <c r="AA273" i="29"/>
  <c r="AJ272" i="29"/>
  <c r="AK272" i="29" s="1"/>
  <c r="AA426" i="29"/>
  <c r="AJ425" i="29"/>
  <c r="AK425" i="29" s="1"/>
  <c r="BL128" i="25"/>
  <c r="BY128" i="25"/>
  <c r="CA128" i="25" s="1"/>
  <c r="CB128" i="25" s="1"/>
  <c r="BK128" i="25"/>
  <c r="BY15" i="25"/>
  <c r="CA15" i="25" s="1"/>
  <c r="CB15" i="25" s="1"/>
  <c r="BL15" i="25"/>
  <c r="AA74" i="29"/>
  <c r="AJ73" i="29"/>
  <c r="AK73" i="29" s="1"/>
  <c r="BY64" i="25"/>
  <c r="CA64" i="25" s="1"/>
  <c r="BL64" i="25"/>
  <c r="AA176" i="29"/>
  <c r="AJ175" i="29"/>
  <c r="AK175" i="29" s="1"/>
  <c r="AA346" i="29"/>
  <c r="AJ345" i="29"/>
  <c r="AK345" i="29" s="1"/>
  <c r="BL60" i="25"/>
  <c r="BY60" i="25"/>
  <c r="CA60" i="25" s="1"/>
  <c r="AJ267" i="29"/>
  <c r="AK267" i="29" s="1"/>
  <c r="AA268" i="29"/>
  <c r="BY151" i="25"/>
  <c r="CA151" i="25" s="1"/>
  <c r="BL151" i="25"/>
  <c r="BK151" i="25"/>
  <c r="AJ111" i="29"/>
  <c r="AK111" i="29" s="1"/>
  <c r="AA112" i="29"/>
  <c r="AA415" i="29"/>
  <c r="AJ414" i="29"/>
  <c r="AK414" i="29" s="1"/>
  <c r="AA482" i="29"/>
  <c r="AJ481" i="29"/>
  <c r="AK481" i="29" s="1"/>
  <c r="AJ65" i="29"/>
  <c r="AK65" i="29" s="1"/>
  <c r="AA66" i="29"/>
  <c r="AA35" i="29"/>
  <c r="AJ34" i="29"/>
  <c r="AK34" i="29" s="1"/>
  <c r="AJ287" i="29"/>
  <c r="AK287" i="29" s="1"/>
  <c r="AA288" i="29"/>
  <c r="AA337" i="29"/>
  <c r="AA442" i="29"/>
  <c r="AA188" i="29"/>
  <c r="BY290" i="25"/>
  <c r="CA290" i="25" s="1"/>
  <c r="CB290" i="25" s="1"/>
  <c r="BL290" i="25"/>
  <c r="BK290" i="25"/>
  <c r="AG585" i="29"/>
  <c r="W585" i="29"/>
  <c r="AJ585" i="29" s="1"/>
  <c r="AK585" i="29" s="1"/>
  <c r="BY195" i="25"/>
  <c r="CA195" i="25" s="1"/>
  <c r="CB195" i="25" s="1"/>
  <c r="BL195" i="25"/>
  <c r="BK195" i="25"/>
  <c r="AA192" i="29"/>
  <c r="AJ191" i="29"/>
  <c r="AK191" i="29" s="1"/>
  <c r="AJ143" i="29"/>
  <c r="AK143" i="29" s="1"/>
  <c r="AA144" i="29"/>
  <c r="AJ167" i="29"/>
  <c r="AK167" i="29" s="1"/>
  <c r="AA168" i="29"/>
  <c r="AA243" i="29"/>
  <c r="AJ281" i="29"/>
  <c r="AK281" i="29" s="1"/>
  <c r="AA282" i="29"/>
  <c r="AJ599" i="29"/>
  <c r="AK599" i="29" s="1"/>
  <c r="AA600" i="29"/>
  <c r="AA354" i="29"/>
  <c r="AJ551" i="29"/>
  <c r="AK551" i="29" s="1"/>
  <c r="AA552" i="29"/>
  <c r="AA537" i="29"/>
  <c r="AJ536" i="29"/>
  <c r="AK536" i="29" s="1"/>
  <c r="BY121" i="25"/>
  <c r="CA121" i="25" s="1"/>
  <c r="BL121" i="25"/>
  <c r="BK121" i="25"/>
  <c r="AA54" i="29"/>
  <c r="AJ53" i="29"/>
  <c r="AK53" i="29" s="1"/>
  <c r="AJ388" i="29"/>
  <c r="AK388" i="29" s="1"/>
  <c r="AA389" i="29"/>
  <c r="AA302" i="29"/>
  <c r="AA612" i="29"/>
  <c r="AJ611" i="29"/>
  <c r="AK611" i="29" s="1"/>
  <c r="BY182" i="25"/>
  <c r="CA182" i="25" s="1"/>
  <c r="BL182" i="25"/>
  <c r="BK182" i="25"/>
  <c r="AA21" i="29"/>
  <c r="AJ20" i="29"/>
  <c r="AK20" i="29" s="1"/>
  <c r="AA45" i="29"/>
  <c r="AJ44" i="29"/>
  <c r="AA256" i="29"/>
  <c r="AJ255" i="29"/>
  <c r="AK255" i="29" s="1"/>
  <c r="AJ59" i="29"/>
  <c r="AK59" i="29" s="1"/>
  <c r="AA60" i="29"/>
  <c r="BY227" i="25"/>
  <c r="CA227" i="25" s="1"/>
  <c r="CB227" i="25" s="1"/>
  <c r="BL227" i="25"/>
  <c r="BK227" i="25"/>
  <c r="AJ295" i="29"/>
  <c r="AK295" i="29" s="1"/>
  <c r="AA296" i="29"/>
  <c r="BY269" i="25"/>
  <c r="CA269" i="25" s="1"/>
  <c r="CB269" i="25" s="1"/>
  <c r="BL269" i="25"/>
  <c r="BK269" i="25"/>
  <c r="AA589" i="29"/>
  <c r="AA298" i="29"/>
  <c r="AJ95" i="29"/>
  <c r="AK95" i="29" s="1"/>
  <c r="AA96" i="29"/>
  <c r="BL112" i="25"/>
  <c r="BY112" i="25"/>
  <c r="CA112" i="25" s="1"/>
  <c r="BK112" i="25"/>
  <c r="AA175" i="29"/>
  <c r="AJ174" i="29"/>
  <c r="AK174" i="29" s="1"/>
  <c r="AA178" i="29"/>
  <c r="BL304" i="25"/>
  <c r="BY304" i="25"/>
  <c r="CA304" i="25" s="1"/>
  <c r="CB304" i="25" s="1"/>
  <c r="BK304" i="25"/>
  <c r="AA370" i="29"/>
  <c r="BY307" i="25"/>
  <c r="CA307" i="25" s="1"/>
  <c r="CB307" i="25" s="1"/>
  <c r="BL307" i="25"/>
  <c r="BK307" i="25"/>
  <c r="BY230" i="25"/>
  <c r="CA230" i="25" s="1"/>
  <c r="CB230" i="25" s="1"/>
  <c r="BL230" i="25"/>
  <c r="BK230" i="25"/>
  <c r="AA518" i="29"/>
  <c r="AJ517" i="29"/>
  <c r="AK517" i="29" s="1"/>
  <c r="AA20" i="29"/>
  <c r="BY274" i="25"/>
  <c r="CA274" i="25" s="1"/>
  <c r="CB274" i="25" s="1"/>
  <c r="BL274" i="25"/>
  <c r="BK274" i="25"/>
  <c r="AA24" i="29"/>
  <c r="AA258" i="29"/>
  <c r="AJ257" i="29"/>
  <c r="AK257" i="29" s="1"/>
  <c r="AA159" i="29"/>
  <c r="AJ158" i="29"/>
  <c r="AK158" i="29" s="1"/>
  <c r="BY295" i="25"/>
  <c r="CA295" i="25" s="1"/>
  <c r="CB295" i="25" s="1"/>
  <c r="BL295" i="25"/>
  <c r="BK295" i="25"/>
  <c r="AA479" i="29"/>
  <c r="AJ478" i="29"/>
  <c r="AK478" i="29" s="1"/>
  <c r="AA477" i="29"/>
  <c r="AJ476" i="29"/>
  <c r="AK476" i="29" s="1"/>
  <c r="AA333" i="29"/>
  <c r="AJ332" i="29"/>
  <c r="AK332" i="29" s="1"/>
  <c r="BL184" i="25"/>
  <c r="BY184" i="25"/>
  <c r="CA184" i="25" s="1"/>
  <c r="BK184" i="25"/>
  <c r="AA281" i="29"/>
  <c r="AJ50" i="29"/>
  <c r="AK50" i="29" s="1"/>
  <c r="AA51" i="29"/>
  <c r="BY120" i="25"/>
  <c r="CA120" i="25" s="1"/>
  <c r="CB120" i="25" s="1"/>
  <c r="BL120" i="25"/>
  <c r="BK120" i="25"/>
  <c r="AA545" i="29"/>
  <c r="AJ544" i="29"/>
  <c r="AK544" i="29" s="1"/>
  <c r="AA323" i="29"/>
  <c r="BY25" i="25"/>
  <c r="CA25" i="25" s="1"/>
  <c r="CB25" i="25" s="1"/>
  <c r="BL25" i="25"/>
  <c r="AA559" i="29"/>
  <c r="AJ558" i="29"/>
  <c r="AK558" i="29" s="1"/>
  <c r="BY115" i="25"/>
  <c r="CA115" i="25" s="1"/>
  <c r="BL115" i="25"/>
  <c r="BK115" i="25"/>
  <c r="BL249" i="25"/>
  <c r="BY249" i="25"/>
  <c r="CA249" i="25" s="1"/>
  <c r="CB249" i="25" s="1"/>
  <c r="BK249" i="25"/>
  <c r="AA171" i="29"/>
  <c r="AJ64" i="29"/>
  <c r="AK64" i="29" s="1"/>
  <c r="AA65" i="29"/>
  <c r="AA338" i="29"/>
  <c r="AJ337" i="29"/>
  <c r="AK337" i="29" s="1"/>
  <c r="AJ408" i="29"/>
  <c r="AK408" i="29" s="1"/>
  <c r="AA409" i="29"/>
  <c r="AA313" i="29"/>
  <c r="AA57" i="29"/>
  <c r="AA208" i="29"/>
  <c r="AJ134" i="29"/>
  <c r="AK134" i="29" s="1"/>
  <c r="AA135" i="29"/>
  <c r="AJ354" i="29"/>
  <c r="AK354" i="29" s="1"/>
  <c r="AA355" i="29"/>
  <c r="AJ364" i="29"/>
  <c r="AK364" i="29" s="1"/>
  <c r="AA365" i="29"/>
  <c r="AA36" i="29"/>
  <c r="AJ35" i="29"/>
  <c r="AK35" i="29" s="1"/>
  <c r="BY103" i="25"/>
  <c r="CA103" i="25" s="1"/>
  <c r="CB103" i="25" s="1"/>
  <c r="BL103" i="25"/>
  <c r="AJ274" i="29"/>
  <c r="AK274" i="29" s="1"/>
  <c r="AA275" i="29"/>
  <c r="AJ362" i="29"/>
  <c r="AK362" i="29" s="1"/>
  <c r="AA363" i="29"/>
  <c r="AA230" i="29"/>
  <c r="AJ229" i="29"/>
  <c r="AK229" i="29" s="1"/>
  <c r="AJ377" i="29"/>
  <c r="AK377" i="29" s="1"/>
  <c r="AA378" i="29"/>
  <c r="BY138" i="25"/>
  <c r="CA138" i="25" s="1"/>
  <c r="BL138" i="25"/>
  <c r="BK138" i="25"/>
  <c r="BY277" i="25"/>
  <c r="CA277" i="25" s="1"/>
  <c r="CB277" i="25" s="1"/>
  <c r="BL277" i="25"/>
  <c r="BK277" i="25"/>
  <c r="BL221" i="25"/>
  <c r="BY221" i="25"/>
  <c r="CA221" i="25" s="1"/>
  <c r="CB221" i="25" s="1"/>
  <c r="BK221" i="25"/>
  <c r="BY124" i="25"/>
  <c r="CA124" i="25" s="1"/>
  <c r="CB124" i="25" s="1"/>
  <c r="BL124" i="25"/>
  <c r="BK124" i="25"/>
  <c r="BY117" i="25"/>
  <c r="CA117" i="25" s="1"/>
  <c r="BL117" i="25"/>
  <c r="BK117" i="25"/>
  <c r="AA290" i="29"/>
  <c r="AA32" i="29"/>
  <c r="AJ31" i="29"/>
  <c r="AK31" i="29" s="1"/>
  <c r="AA42" i="29"/>
  <c r="AH585" i="29"/>
  <c r="X585" i="29"/>
  <c r="Y585" i="29" s="1"/>
  <c r="AA500" i="29"/>
  <c r="AJ499" i="29"/>
  <c r="AK499" i="29" s="1"/>
  <c r="BY70" i="25"/>
  <c r="CA70" i="25" s="1"/>
  <c r="CB70" i="25" s="1"/>
  <c r="BL70" i="25"/>
  <c r="AJ211" i="29"/>
  <c r="AK211" i="29" s="1"/>
  <c r="AA212" i="29"/>
  <c r="AA190" i="29"/>
  <c r="AJ189" i="29"/>
  <c r="AK189" i="29" s="1"/>
  <c r="BL196" i="25"/>
  <c r="BY196" i="25"/>
  <c r="CA196" i="25" s="1"/>
  <c r="BK196" i="25"/>
  <c r="AA581" i="29"/>
  <c r="AJ580" i="29"/>
  <c r="AK580" i="29" s="1"/>
  <c r="AA22" i="29"/>
  <c r="AJ21" i="29"/>
  <c r="AK21" i="29" s="1"/>
  <c r="AA548" i="29"/>
  <c r="BY66" i="25"/>
  <c r="CA66" i="25" s="1"/>
  <c r="CB66" i="25" s="1"/>
  <c r="BL66" i="25"/>
  <c r="AA574" i="29"/>
  <c r="AA119" i="29"/>
  <c r="AJ118" i="29"/>
  <c r="AK118" i="29" s="1"/>
  <c r="BY12" i="25"/>
  <c r="CA12" i="25" s="1"/>
  <c r="CB12" i="25" s="1"/>
  <c r="BL12" i="25"/>
  <c r="AA110" i="29"/>
  <c r="AA300" i="29"/>
  <c r="AJ299" i="29"/>
  <c r="AK299" i="29" s="1"/>
  <c r="AJ482" i="29"/>
  <c r="AK482" i="29" s="1"/>
  <c r="AA483" i="29"/>
  <c r="AA411" i="29"/>
  <c r="AA540" i="29"/>
  <c r="AJ539" i="29"/>
  <c r="AK539" i="29" s="1"/>
  <c r="BY132" i="25"/>
  <c r="CA132" i="25" s="1"/>
  <c r="BL132" i="25"/>
  <c r="BK132" i="25"/>
  <c r="AJ519" i="29"/>
  <c r="AK519" i="29" s="1"/>
  <c r="AA520" i="29"/>
  <c r="AA48" i="29"/>
  <c r="AJ47" i="29"/>
  <c r="AK47" i="29" s="1"/>
  <c r="AJ228" i="29"/>
  <c r="AK228" i="29" s="1"/>
  <c r="AA229" i="29"/>
  <c r="AA307" i="29"/>
  <c r="AJ306" i="29"/>
  <c r="AK306" i="29" s="1"/>
  <c r="BY17" i="25"/>
  <c r="CA17" i="25" s="1"/>
  <c r="CB17" i="25" s="1"/>
  <c r="BL17" i="25"/>
  <c r="BL164" i="25"/>
  <c r="BY164" i="25"/>
  <c r="CA164" i="25" s="1"/>
  <c r="BK164" i="25"/>
  <c r="BY152" i="25"/>
  <c r="CA152" i="25" s="1"/>
  <c r="BL152" i="25"/>
  <c r="BK152" i="25"/>
  <c r="AA106" i="29"/>
  <c r="AJ105" i="29"/>
  <c r="AK105" i="29" s="1"/>
  <c r="AA117" i="29"/>
  <c r="AA46" i="29"/>
  <c r="AJ45" i="29"/>
  <c r="AK45" i="29" s="1"/>
  <c r="AA580" i="29"/>
  <c r="AJ579" i="29"/>
  <c r="AK579" i="29" s="1"/>
  <c r="AA593" i="29"/>
  <c r="AJ592" i="29"/>
  <c r="AK592" i="29" s="1"/>
  <c r="AA189" i="29"/>
  <c r="AJ188" i="29"/>
  <c r="AK188" i="29" s="1"/>
  <c r="AJ265" i="29"/>
  <c r="AK265" i="29" s="1"/>
  <c r="AA266" i="29"/>
  <c r="AA126" i="29"/>
  <c r="AJ125" i="29"/>
  <c r="AK125" i="29" s="1"/>
  <c r="BY52" i="25"/>
  <c r="CA52" i="25" s="1"/>
  <c r="BL52" i="25"/>
  <c r="AA505" i="29"/>
  <c r="AJ504" i="29"/>
  <c r="AK504" i="29" s="1"/>
  <c r="AA602" i="29"/>
  <c r="AJ601" i="29"/>
  <c r="AK601" i="29" s="1"/>
  <c r="AJ232" i="29"/>
  <c r="AK232" i="29" s="1"/>
  <c r="AA233" i="29"/>
  <c r="AA484" i="29"/>
  <c r="AJ483" i="29"/>
  <c r="AK483" i="29" s="1"/>
  <c r="BL90" i="25"/>
  <c r="BY90" i="25"/>
  <c r="CA90" i="25" s="1"/>
  <c r="AA165" i="29"/>
  <c r="AA18" i="29"/>
  <c r="AJ17" i="29"/>
  <c r="AK17" i="29" s="1"/>
  <c r="AA510" i="29"/>
  <c r="AJ509" i="29"/>
  <c r="AK509" i="29" s="1"/>
  <c r="AA379" i="29"/>
  <c r="AJ378" i="29"/>
  <c r="AK378" i="29" s="1"/>
  <c r="AJ568" i="29"/>
  <c r="AK568" i="29" s="1"/>
  <c r="AA569" i="29"/>
  <c r="AA239" i="29"/>
  <c r="AJ238" i="29"/>
  <c r="AK238" i="29" s="1"/>
  <c r="AA536" i="29"/>
  <c r="AJ535" i="29"/>
  <c r="AK535" i="29" s="1"/>
  <c r="BL111" i="25"/>
  <c r="BY111" i="25"/>
  <c r="CA111" i="25" s="1"/>
  <c r="BK111" i="25"/>
  <c r="AA162" i="29"/>
  <c r="AJ161" i="29"/>
  <c r="AK161" i="29" s="1"/>
  <c r="AA366" i="29"/>
  <c r="AJ365" i="29"/>
  <c r="AK365" i="29" s="1"/>
  <c r="AJ545" i="29"/>
  <c r="AK545" i="29" s="1"/>
  <c r="AA546" i="29"/>
  <c r="BY166" i="25"/>
  <c r="CA166" i="25" s="1"/>
  <c r="BL166" i="25"/>
  <c r="BK166" i="25"/>
  <c r="AA470" i="29"/>
  <c r="AJ469" i="29"/>
  <c r="AK469" i="29" s="1"/>
  <c r="AJ508" i="29"/>
  <c r="AK508" i="29" s="1"/>
  <c r="AA509" i="29"/>
  <c r="AA62" i="29"/>
  <c r="AJ61" i="29"/>
  <c r="AK61" i="29" s="1"/>
  <c r="AA447" i="29"/>
  <c r="AJ446" i="29"/>
  <c r="AK446" i="29" s="1"/>
  <c r="AA152" i="29"/>
  <c r="AJ151" i="29"/>
  <c r="AK151" i="29" s="1"/>
  <c r="AA517" i="29"/>
  <c r="AJ516" i="29"/>
  <c r="AK516" i="29" s="1"/>
  <c r="AA308" i="29"/>
  <c r="AJ307" i="29"/>
  <c r="AK307" i="29" s="1"/>
  <c r="BY207" i="25"/>
  <c r="CA207" i="25" s="1"/>
  <c r="BL207" i="25"/>
  <c r="BK207" i="25"/>
  <c r="AA607" i="29"/>
  <c r="AJ606" i="29"/>
  <c r="AK606" i="29" s="1"/>
  <c r="AJ583" i="29"/>
  <c r="AK583" i="29" s="1"/>
  <c r="AA584" i="29"/>
  <c r="AA530" i="29"/>
  <c r="BY7" i="25"/>
  <c r="CA7" i="25" s="1"/>
  <c r="CB7" i="25" s="1"/>
  <c r="BL7" i="25"/>
  <c r="AA318" i="29"/>
  <c r="AJ317" i="29"/>
  <c r="AK317" i="29" s="1"/>
  <c r="BY288" i="25"/>
  <c r="CA288" i="25" s="1"/>
  <c r="CB288" i="25" s="1"/>
  <c r="BL288" i="25"/>
  <c r="BK288" i="25"/>
  <c r="BY180" i="25"/>
  <c r="CA180" i="25" s="1"/>
  <c r="BL180" i="25"/>
  <c r="BK180" i="25"/>
  <c r="AA543" i="29"/>
  <c r="BY183" i="25"/>
  <c r="CA183" i="25" s="1"/>
  <c r="BL183" i="25"/>
  <c r="BK183" i="25"/>
  <c r="BY222" i="25"/>
  <c r="CA222" i="25" s="1"/>
  <c r="CB222" i="25" s="1"/>
  <c r="BL222" i="25"/>
  <c r="BK222" i="25"/>
  <c r="BY127" i="25"/>
  <c r="CA127" i="25" s="1"/>
  <c r="CB127" i="25" s="1"/>
  <c r="BL127" i="25"/>
  <c r="BK127" i="25"/>
  <c r="AA114" i="29"/>
  <c r="BY235" i="25"/>
  <c r="CA235" i="25" s="1"/>
  <c r="CB235" i="25" s="1"/>
  <c r="BL235" i="25"/>
  <c r="BK235" i="25"/>
  <c r="AA384" i="29"/>
  <c r="AA121" i="29"/>
  <c r="AJ120" i="29"/>
  <c r="AK120" i="29" s="1"/>
  <c r="BY42" i="25"/>
  <c r="CA42" i="25" s="1"/>
  <c r="CB42" i="25" s="1"/>
  <c r="BL42" i="25"/>
  <c r="AA124" i="29"/>
  <c r="AJ123" i="29"/>
  <c r="AK123" i="29" s="1"/>
  <c r="AA118" i="29"/>
  <c r="AJ117" i="29"/>
  <c r="AK117" i="29" s="1"/>
  <c r="BL188" i="25"/>
  <c r="BY188" i="25"/>
  <c r="CA188" i="25" s="1"/>
  <c r="CB188" i="25" s="1"/>
  <c r="BK188" i="25"/>
  <c r="AJ403" i="29"/>
  <c r="AK403" i="29" s="1"/>
  <c r="AA404" i="29"/>
  <c r="BL58" i="25"/>
  <c r="BY58" i="25"/>
  <c r="CA58" i="25" s="1"/>
  <c r="CB58" i="25" s="1"/>
  <c r="AA466" i="29"/>
  <c r="AA472" i="29"/>
  <c r="AJ471" i="29"/>
  <c r="AK471" i="29" s="1"/>
  <c r="BY105" i="25"/>
  <c r="CA105" i="25" s="1"/>
  <c r="BL105" i="25"/>
  <c r="AA252" i="29"/>
  <c r="AA467" i="29"/>
  <c r="AJ466" i="29"/>
  <c r="AK466" i="29" s="1"/>
  <c r="AA83" i="29"/>
  <c r="BL81" i="25"/>
  <c r="BY81" i="25"/>
  <c r="CA81" i="25" s="1"/>
  <c r="AJ303" i="29"/>
  <c r="AK303" i="29" s="1"/>
  <c r="AA304" i="29"/>
  <c r="AA58" i="29"/>
  <c r="AJ57" i="29"/>
  <c r="AK57" i="29" s="1"/>
  <c r="BL202" i="25"/>
  <c r="BY202" i="25"/>
  <c r="CA202" i="25" s="1"/>
  <c r="BK202" i="25"/>
  <c r="AJ110" i="29"/>
  <c r="AK110" i="29" s="1"/>
  <c r="AA111" i="29"/>
  <c r="AJ323" i="29"/>
  <c r="AK323" i="29" s="1"/>
  <c r="AA324" i="29"/>
  <c r="AA604" i="29"/>
  <c r="AJ225" i="29"/>
  <c r="AK225" i="29" s="1"/>
  <c r="AA226" i="29"/>
  <c r="AA527" i="29"/>
  <c r="BY18" i="25"/>
  <c r="CA18" i="25" s="1"/>
  <c r="CB18" i="25" s="1"/>
  <c r="BL18" i="25"/>
  <c r="AA167" i="29"/>
  <c r="BY223" i="25"/>
  <c r="CA223" i="25" s="1"/>
  <c r="CB223" i="25" s="1"/>
  <c r="BL223" i="25"/>
  <c r="BK223" i="25"/>
  <c r="AA491" i="29"/>
  <c r="AJ490" i="29"/>
  <c r="AK490" i="29" s="1"/>
  <c r="AA321" i="29"/>
  <c r="AJ320" i="29"/>
  <c r="AK320" i="29" s="1"/>
  <c r="AA486" i="29"/>
  <c r="AJ485" i="29"/>
  <c r="AK485" i="29" s="1"/>
  <c r="AA292" i="29"/>
  <c r="BL45" i="25"/>
  <c r="BY45" i="25"/>
  <c r="CA45" i="25" s="1"/>
  <c r="AJ380" i="29"/>
  <c r="AK380" i="29" s="1"/>
  <c r="AA381" i="29"/>
  <c r="BY40" i="25"/>
  <c r="CA40" i="25" s="1"/>
  <c r="CB40" i="25" s="1"/>
  <c r="BL40" i="25"/>
  <c r="D65" i="29"/>
  <c r="E61" i="1" s="1"/>
  <c r="D62" i="29"/>
  <c r="D66" i="29" s="1"/>
  <c r="E63" i="1" s="1"/>
  <c r="AJ370" i="29"/>
  <c r="AK370" i="29" s="1"/>
  <c r="AA371" i="29"/>
  <c r="BL149" i="25"/>
  <c r="BY149" i="25"/>
  <c r="CA149" i="25" s="1"/>
  <c r="CB149" i="25" s="1"/>
  <c r="BK149" i="25"/>
  <c r="AJ171" i="29"/>
  <c r="AK171" i="29" s="1"/>
  <c r="AA172" i="29"/>
  <c r="AA105" i="29"/>
  <c r="AJ104" i="29"/>
  <c r="AK104" i="29" s="1"/>
  <c r="BY171" i="25"/>
  <c r="CA171" i="25" s="1"/>
  <c r="BL171" i="25"/>
  <c r="BK171" i="25"/>
  <c r="AA92" i="29"/>
  <c r="BY54" i="25"/>
  <c r="CA54" i="25" s="1"/>
  <c r="CB54" i="25" s="1"/>
  <c r="BL54" i="25"/>
  <c r="AA93" i="29"/>
  <c r="AJ92" i="29"/>
  <c r="AK92" i="29" s="1"/>
  <c r="AA453" i="29"/>
  <c r="AJ452" i="29"/>
  <c r="AK452" i="29" s="1"/>
  <c r="AJ283" i="29"/>
  <c r="AK283" i="29" s="1"/>
  <c r="AA284" i="29"/>
  <c r="BL313" i="25"/>
  <c r="BY313" i="25"/>
  <c r="CA313" i="25" s="1"/>
  <c r="CB313" i="25" s="1"/>
  <c r="BK313" i="25"/>
  <c r="AJ423" i="29"/>
  <c r="AK423" i="29" s="1"/>
  <c r="AA424" i="29"/>
  <c r="AA428" i="29"/>
  <c r="AJ427" i="29"/>
  <c r="AK427" i="29" s="1"/>
  <c r="AA417" i="29"/>
  <c r="AJ416" i="29"/>
  <c r="AK416" i="29" s="1"/>
  <c r="BL101" i="25"/>
  <c r="BY101" i="25"/>
  <c r="CA101" i="25" s="1"/>
  <c r="AJ390" i="29"/>
  <c r="AK390" i="29" s="1"/>
  <c r="AA391" i="29"/>
  <c r="AJ512" i="29"/>
  <c r="AK512" i="29" s="1"/>
  <c r="AA513" i="29"/>
  <c r="BL68" i="25"/>
  <c r="BY68" i="25"/>
  <c r="CA68" i="25" s="1"/>
  <c r="CB68" i="25" s="1"/>
  <c r="AA523" i="29"/>
  <c r="AA94" i="29"/>
  <c r="AJ93" i="29"/>
  <c r="AK93" i="29" s="1"/>
  <c r="BY78" i="25"/>
  <c r="CA78" i="25" s="1"/>
  <c r="CB78" i="25" s="1"/>
  <c r="BL78" i="25"/>
  <c r="AJ523" i="29"/>
  <c r="AK523" i="29" s="1"/>
  <c r="AA524" i="29"/>
  <c r="BL139" i="25"/>
  <c r="BY139" i="25"/>
  <c r="CA139" i="25" s="1"/>
  <c r="CB139" i="25" s="1"/>
  <c r="BK139" i="25"/>
  <c r="BY37" i="25"/>
  <c r="CA37" i="25" s="1"/>
  <c r="CB37" i="25" s="1"/>
  <c r="BL37" i="25"/>
  <c r="BY299" i="25"/>
  <c r="CA299" i="25" s="1"/>
  <c r="CB299" i="25" s="1"/>
  <c r="BL299" i="25"/>
  <c r="BK299" i="25"/>
  <c r="AJ567" i="29"/>
  <c r="AK567" i="29" s="1"/>
  <c r="AA568" i="29"/>
  <c r="AJ227" i="29"/>
  <c r="AK227" i="29" s="1"/>
  <c r="AA228" i="29"/>
  <c r="BL46" i="25"/>
  <c r="BY46" i="25"/>
  <c r="CA46" i="25" s="1"/>
  <c r="CB46" i="25" s="1"/>
  <c r="AA139" i="29"/>
  <c r="AJ138" i="29"/>
  <c r="AK138" i="29" s="1"/>
  <c r="BY20" i="25"/>
  <c r="CA20" i="25" s="1"/>
  <c r="CB20" i="25" s="1"/>
  <c r="BL20" i="25"/>
  <c r="AJ417" i="29"/>
  <c r="AK417" i="29" s="1"/>
  <c r="AA418" i="29"/>
  <c r="AA250" i="29"/>
  <c r="AJ249" i="29"/>
  <c r="AK249" i="29" s="1"/>
  <c r="BL156" i="25"/>
  <c r="BY156" i="25"/>
  <c r="CA156" i="25" s="1"/>
  <c r="BK156" i="25"/>
  <c r="AA400" i="29"/>
  <c r="AJ399" i="29"/>
  <c r="AK399" i="29" s="1"/>
  <c r="AA461" i="29"/>
  <c r="AJ460" i="29"/>
  <c r="AK460" i="29" s="1"/>
  <c r="AA235" i="29"/>
  <c r="AJ457" i="29"/>
  <c r="AK457" i="29" s="1"/>
  <c r="AA458" i="29"/>
  <c r="AA80" i="29"/>
  <c r="AJ79" i="29"/>
  <c r="AK79" i="29" s="1"/>
  <c r="AA309" i="29"/>
  <c r="AJ308" i="29"/>
  <c r="AK308" i="29" s="1"/>
  <c r="AJ201" i="29"/>
  <c r="AK201" i="29" s="1"/>
  <c r="AA202" i="29"/>
  <c r="BL298" i="25"/>
  <c r="BY298" i="25"/>
  <c r="CA298" i="25" s="1"/>
  <c r="CB298" i="25" s="1"/>
  <c r="BK298" i="25"/>
  <c r="AA427" i="29"/>
  <c r="AJ426" i="29"/>
  <c r="AK426" i="29" s="1"/>
  <c r="AJ46" i="29"/>
  <c r="AK46" i="29" s="1"/>
  <c r="AA47" i="29"/>
  <c r="AJ127" i="29"/>
  <c r="AK127" i="29" s="1"/>
  <c r="AA128" i="29"/>
  <c r="BY140" i="25"/>
  <c r="CA140" i="25" s="1"/>
  <c r="CB140" i="25" s="1"/>
  <c r="BL140" i="25"/>
  <c r="BK140" i="25"/>
  <c r="AA440" i="29"/>
  <c r="BY311" i="25"/>
  <c r="CA311" i="25" s="1"/>
  <c r="CB311" i="25" s="1"/>
  <c r="BL311" i="25"/>
  <c r="BK311" i="25"/>
  <c r="BY251" i="25"/>
  <c r="CA251" i="25" s="1"/>
  <c r="CB251" i="25" s="1"/>
  <c r="BL251" i="25"/>
  <c r="BK251" i="25"/>
  <c r="AJ604" i="29"/>
  <c r="AK604" i="29" s="1"/>
  <c r="AA605" i="29"/>
  <c r="AA157" i="29"/>
  <c r="BL219" i="25"/>
  <c r="BY219" i="25"/>
  <c r="CA219" i="25" s="1"/>
  <c r="CB219" i="25" s="1"/>
  <c r="BK219" i="25"/>
  <c r="AA508" i="29"/>
  <c r="AJ574" i="29"/>
  <c r="AK574" i="29" s="1"/>
  <c r="AA575" i="29"/>
  <c r="AA591" i="29"/>
  <c r="AJ590" i="29"/>
  <c r="AK590" i="29" s="1"/>
  <c r="AA544" i="29"/>
  <c r="AJ543" i="29"/>
  <c r="AK543" i="29" s="1"/>
  <c r="AA334" i="29"/>
  <c r="AJ333" i="29"/>
  <c r="AK333" i="29" s="1"/>
  <c r="BY191" i="25"/>
  <c r="CA191" i="25" s="1"/>
  <c r="BL191" i="25"/>
  <c r="BK191" i="25"/>
  <c r="L111" i="2" l="1"/>
  <c r="CB112" i="25"/>
  <c r="CF112" i="25"/>
  <c r="AK44" i="29"/>
  <c r="CB130" i="25"/>
  <c r="CF130" i="25"/>
  <c r="CB27" i="25"/>
  <c r="CF27" i="25"/>
  <c r="CB125" i="25"/>
  <c r="CF125" i="25"/>
  <c r="CB10" i="25"/>
  <c r="CF10" i="25"/>
  <c r="CB115" i="25"/>
  <c r="CF115" i="25"/>
  <c r="CB88" i="25"/>
  <c r="CF88" i="25"/>
  <c r="CB121" i="25"/>
  <c r="CF121" i="25"/>
  <c r="CB22" i="25"/>
  <c r="CF22" i="25"/>
  <c r="CB162" i="25"/>
  <c r="CF162" i="25"/>
  <c r="CB77" i="25"/>
  <c r="CF77" i="25"/>
  <c r="CB60" i="25"/>
  <c r="CF60" i="25"/>
  <c r="CB116" i="25"/>
  <c r="CF116" i="25"/>
  <c r="CB117" i="25"/>
  <c r="CF117" i="25"/>
  <c r="CB65" i="25"/>
  <c r="CF65" i="25"/>
  <c r="CB111" i="25"/>
  <c r="CF111" i="25"/>
  <c r="AK106" i="29"/>
  <c r="AA566" i="29"/>
  <c r="AK94" i="29"/>
  <c r="AJ261" i="29"/>
  <c r="AK261" i="29" s="1"/>
  <c r="AJ566" i="29"/>
  <c r="AK566" i="29" s="1"/>
  <c r="AJ223" i="29"/>
  <c r="AK223" i="29" s="1"/>
  <c r="AJ260" i="29"/>
  <c r="AK260" i="29" s="1"/>
  <c r="AJ136" i="29"/>
  <c r="AK136" i="29" s="1"/>
  <c r="AA137" i="29"/>
  <c r="AJ113" i="29"/>
  <c r="AK113" i="29" s="1"/>
  <c r="AA113" i="29"/>
  <c r="AJ252" i="29"/>
  <c r="AK252" i="29" s="1"/>
  <c r="AJ19" i="29"/>
  <c r="AK19" i="29" s="1"/>
  <c r="AJ49" i="29"/>
  <c r="AK49" i="29" s="1"/>
  <c r="CB86" i="25"/>
  <c r="CF86" i="25"/>
  <c r="AA19" i="29"/>
  <c r="CB152" i="25"/>
  <c r="CF152" i="25"/>
  <c r="AK101" i="29"/>
  <c r="CF154" i="25"/>
  <c r="CB56" i="25"/>
  <c r="CF56" i="25"/>
  <c r="CB205" i="25"/>
  <c r="CF205" i="25"/>
  <c r="CB200" i="25"/>
  <c r="CF200" i="25"/>
  <c r="CB153" i="25"/>
  <c r="CF153" i="25"/>
  <c r="CB64" i="25"/>
  <c r="CF64" i="25"/>
  <c r="CB193" i="25"/>
  <c r="CF193" i="25"/>
  <c r="CB159" i="25"/>
  <c r="CF159" i="25"/>
  <c r="CB81" i="25"/>
  <c r="CF81" i="25"/>
  <c r="CB164" i="25"/>
  <c r="CF164" i="25"/>
  <c r="CB101" i="25"/>
  <c r="CF101" i="25"/>
  <c r="CB185" i="25"/>
  <c r="CF185" i="25"/>
  <c r="CB169" i="25"/>
  <c r="CF169" i="25"/>
  <c r="CB181" i="25"/>
  <c r="CF181" i="25"/>
  <c r="AJ342" i="29"/>
  <c r="AK342" i="29" s="1"/>
  <c r="CB151" i="25"/>
  <c r="CF151" i="25"/>
  <c r="AA562" i="29"/>
  <c r="AJ561" i="29"/>
  <c r="AK561" i="29" s="1"/>
  <c r="AA603" i="29"/>
  <c r="CB98" i="25"/>
  <c r="CF98" i="25"/>
  <c r="AA49" i="29"/>
  <c r="AA343" i="29"/>
  <c r="AA153" i="29"/>
  <c r="CB191" i="25"/>
  <c r="CF191" i="25"/>
  <c r="CB184" i="25"/>
  <c r="CF184" i="25"/>
  <c r="CB203" i="25"/>
  <c r="CF203" i="25"/>
  <c r="AJ603" i="29"/>
  <c r="AK603" i="29" s="1"/>
  <c r="CB172" i="25"/>
  <c r="CF172" i="25"/>
  <c r="CB202" i="25"/>
  <c r="CF202" i="25"/>
  <c r="AJ507" i="29"/>
  <c r="AK507" i="29" s="1"/>
  <c r="AA322" i="29"/>
  <c r="AJ321" i="29"/>
  <c r="AK321" i="29" s="1"/>
  <c r="AA98" i="29"/>
  <c r="AJ165" i="29"/>
  <c r="AK165" i="29" s="1"/>
  <c r="AA166" i="29"/>
  <c r="AA198" i="29"/>
  <c r="AA109" i="29"/>
  <c r="CB183" i="25"/>
  <c r="CF183" i="25"/>
  <c r="AK80" i="29"/>
  <c r="AJ88" i="29"/>
  <c r="AK88" i="29" s="1"/>
  <c r="AJ493" i="29"/>
  <c r="AK493" i="29" s="1"/>
  <c r="AJ207" i="29"/>
  <c r="AK207" i="29" s="1"/>
  <c r="CB180" i="25"/>
  <c r="CF180" i="25"/>
  <c r="AJ206" i="29"/>
  <c r="AK206" i="29" s="1"/>
  <c r="CB80" i="25"/>
  <c r="CF80" i="25"/>
  <c r="CB52" i="25"/>
  <c r="CF52" i="25"/>
  <c r="CB90" i="25"/>
  <c r="CF90" i="25"/>
  <c r="AJ108" i="29"/>
  <c r="AK108" i="29" s="1"/>
  <c r="CB196" i="25"/>
  <c r="CF196" i="25"/>
  <c r="AJ492" i="29"/>
  <c r="AK492" i="29" s="1"/>
  <c r="AA357" i="29"/>
  <c r="AJ348" i="29"/>
  <c r="AK348" i="29" s="1"/>
  <c r="AA270" i="29"/>
  <c r="AJ122" i="29"/>
  <c r="AK122" i="29" s="1"/>
  <c r="AA507" i="29"/>
  <c r="AJ465" i="29"/>
  <c r="AK465" i="29" s="1"/>
  <c r="AJ329" i="29"/>
  <c r="AK329" i="29" s="1"/>
  <c r="AA465" i="29"/>
  <c r="AA122" i="29"/>
  <c r="AJ330" i="29"/>
  <c r="AK330" i="29" s="1"/>
  <c r="AA571" i="29"/>
  <c r="AJ216" i="29"/>
  <c r="AK216" i="29" s="1"/>
  <c r="AJ571" i="29"/>
  <c r="AK571" i="29" s="1"/>
  <c r="AA557" i="29"/>
  <c r="AJ146" i="29"/>
  <c r="AK146" i="29" s="1"/>
  <c r="AJ147" i="29"/>
  <c r="AK147" i="29" s="1"/>
  <c r="AJ351" i="29"/>
  <c r="AK351" i="29" s="1"/>
  <c r="AJ184" i="29"/>
  <c r="AK184" i="29" s="1"/>
  <c r="AJ13" i="29"/>
  <c r="AK13" i="29" s="1"/>
  <c r="AA185" i="29"/>
  <c r="AA598" i="29"/>
  <c r="AJ597" i="29"/>
  <c r="AK597" i="29" s="1"/>
  <c r="AJ69" i="29"/>
  <c r="AK69" i="29" s="1"/>
  <c r="AA107" i="29"/>
  <c r="AJ373" i="29"/>
  <c r="AK373" i="29" s="1"/>
  <c r="AJ234" i="29"/>
  <c r="AK234" i="29" s="1"/>
  <c r="AJ115" i="29"/>
  <c r="AK115" i="29" s="1"/>
  <c r="AA373" i="29"/>
  <c r="AA115" i="29"/>
  <c r="AJ233" i="29"/>
  <c r="AK233" i="29" s="1"/>
  <c r="CB105" i="25"/>
  <c r="B286" i="2" s="1"/>
  <c r="CF105" i="25"/>
  <c r="AA547" i="29"/>
  <c r="CB132" i="25"/>
  <c r="CF132" i="25"/>
  <c r="CB165" i="25"/>
  <c r="CF165" i="25"/>
  <c r="AJ107" i="29"/>
  <c r="AK107" i="29" s="1"/>
  <c r="AJ422" i="29"/>
  <c r="AK422" i="29" s="1"/>
  <c r="AJ340" i="29"/>
  <c r="AK340" i="29" s="1"/>
  <c r="AA341" i="29"/>
  <c r="AJ24" i="29"/>
  <c r="AK24" i="29" s="1"/>
  <c r="AJ51" i="29"/>
  <c r="AK51" i="29" s="1"/>
  <c r="AJ25" i="29"/>
  <c r="AK25" i="29" s="1"/>
  <c r="CB207" i="25"/>
  <c r="CF207" i="25"/>
  <c r="AJ70" i="29"/>
  <c r="AK70" i="29" s="1"/>
  <c r="AJ326" i="29"/>
  <c r="AK326" i="29" s="1"/>
  <c r="AJ156" i="29"/>
  <c r="AK156" i="29" s="1"/>
  <c r="AA52" i="29"/>
  <c r="AJ428" i="29"/>
  <c r="AK428" i="29" s="1"/>
  <c r="AJ291" i="29"/>
  <c r="AK291" i="29" s="1"/>
  <c r="AA291" i="29"/>
  <c r="AJ253" i="29"/>
  <c r="AK253" i="29" s="1"/>
  <c r="AA254" i="29"/>
  <c r="AJ513" i="29"/>
  <c r="AK513" i="29" s="1"/>
  <c r="AJ547" i="29"/>
  <c r="AK547" i="29" s="1"/>
  <c r="AA326" i="29"/>
  <c r="AJ498" i="29"/>
  <c r="AK498" i="29" s="1"/>
  <c r="AA156" i="29"/>
  <c r="AJ586" i="29"/>
  <c r="AK586" i="29" s="1"/>
  <c r="AJ497" i="29"/>
  <c r="AK497" i="29" s="1"/>
  <c r="CB209" i="25"/>
  <c r="CF209" i="25"/>
  <c r="AJ116" i="29"/>
  <c r="AK116" i="29" s="1"/>
  <c r="AA242" i="29"/>
  <c r="AJ270" i="29"/>
  <c r="AK270" i="29" s="1"/>
  <c r="AA116" i="29"/>
  <c r="AJ215" i="29"/>
  <c r="AK215" i="29" s="1"/>
  <c r="AA150" i="29"/>
  <c r="AJ209" i="29"/>
  <c r="AK209" i="29" s="1"/>
  <c r="AJ350" i="29"/>
  <c r="AK350" i="29" s="1"/>
  <c r="AJ347" i="29"/>
  <c r="AK347" i="29" s="1"/>
  <c r="AJ89" i="29"/>
  <c r="AK89" i="29" s="1"/>
  <c r="AA480" i="29"/>
  <c r="AJ480" i="29"/>
  <c r="AK480" i="29" s="1"/>
  <c r="AJ90" i="29"/>
  <c r="AK90" i="29" s="1"/>
  <c r="AJ526" i="29"/>
  <c r="AK526" i="29" s="1"/>
  <c r="AJ346" i="29"/>
  <c r="AK346" i="29" s="1"/>
  <c r="AA347" i="29"/>
  <c r="AJ525" i="29"/>
  <c r="AK525" i="29" s="1"/>
  <c r="AJ529" i="29"/>
  <c r="AK529" i="29" s="1"/>
  <c r="AJ289" i="29"/>
  <c r="AK289" i="29" s="1"/>
  <c r="AJ528" i="29"/>
  <c r="AK528" i="29" s="1"/>
  <c r="AA289" i="29"/>
  <c r="AJ139" i="29"/>
  <c r="AK139" i="29" s="1"/>
  <c r="AJ186" i="29"/>
  <c r="AK186" i="29" s="1"/>
  <c r="AJ187" i="29"/>
  <c r="AK187" i="29" s="1"/>
  <c r="AA219" i="29"/>
  <c r="AJ400" i="29"/>
  <c r="AK400" i="29" s="1"/>
  <c r="AA401" i="29"/>
  <c r="AA406" i="29"/>
  <c r="AJ222" i="29"/>
  <c r="AK222" i="29" s="1"/>
  <c r="AJ405" i="29"/>
  <c r="AK405" i="29" s="1"/>
  <c r="CB138" i="25"/>
  <c r="CF138" i="25"/>
  <c r="CB55" i="25"/>
  <c r="CF55" i="25"/>
  <c r="AA140" i="29"/>
  <c r="AJ164" i="29"/>
  <c r="AK164" i="29" s="1"/>
  <c r="AA514" i="29"/>
  <c r="AJ463" i="29"/>
  <c r="AK463" i="29" s="1"/>
  <c r="AJ83" i="29"/>
  <c r="AK83" i="29" s="1"/>
  <c r="AA84" i="29"/>
  <c r="AJ462" i="29"/>
  <c r="AK462" i="29" s="1"/>
  <c r="AJ130" i="29"/>
  <c r="AK130" i="29" s="1"/>
  <c r="AA130" i="29"/>
  <c r="AJ421" i="29"/>
  <c r="AK421" i="29" s="1"/>
  <c r="AJ163" i="29"/>
  <c r="AK163" i="29" s="1"/>
  <c r="AJ242" i="29"/>
  <c r="AK242" i="29" s="1"/>
  <c r="AJ210" i="29"/>
  <c r="AK210" i="29" s="1"/>
  <c r="AJ149" i="29"/>
  <c r="AK149" i="29" s="1"/>
  <c r="AA133" i="29"/>
  <c r="AJ41" i="29"/>
  <c r="AK41" i="29" s="1"/>
  <c r="AJ40" i="29"/>
  <c r="AK40" i="29" s="1"/>
  <c r="AA502" i="29"/>
  <c r="AJ555" i="29"/>
  <c r="AK555" i="29" s="1"/>
  <c r="AA154" i="29"/>
  <c r="AA439" i="29"/>
  <c r="AJ153" i="29"/>
  <c r="AK153" i="29" s="1"/>
  <c r="AJ439" i="29"/>
  <c r="AK439" i="29" s="1"/>
  <c r="AA142" i="29"/>
  <c r="AJ502" i="29"/>
  <c r="AK502" i="29" s="1"/>
  <c r="AJ169" i="29"/>
  <c r="AK169" i="29" s="1"/>
  <c r="AA91" i="29"/>
  <c r="AA610" i="29"/>
  <c r="AJ609" i="29"/>
  <c r="AK609" i="29" s="1"/>
  <c r="AJ447" i="29"/>
  <c r="AK447" i="29" s="1"/>
  <c r="AJ522" i="29"/>
  <c r="AK522" i="29" s="1"/>
  <c r="AJ170" i="29"/>
  <c r="AK170" i="29" s="1"/>
  <c r="AA448" i="29"/>
  <c r="AJ521" i="29"/>
  <c r="AK521" i="29" s="1"/>
  <c r="AJ132" i="29"/>
  <c r="AK132" i="29" s="1"/>
  <c r="AJ221" i="29"/>
  <c r="AK221" i="29" s="1"/>
  <c r="AJ220" i="29"/>
  <c r="AK220" i="29" s="1"/>
  <c r="AJ556" i="29"/>
  <c r="AK556" i="29" s="1"/>
  <c r="AJ176" i="29"/>
  <c r="AK176" i="29" s="1"/>
  <c r="AJ141" i="29"/>
  <c r="AK141" i="29" s="1"/>
  <c r="AA336" i="29"/>
  <c r="AJ474" i="29"/>
  <c r="AK474" i="29" s="1"/>
  <c r="AJ335" i="29"/>
  <c r="AK335" i="29" s="1"/>
  <c r="AJ218" i="29"/>
  <c r="AK218" i="29" s="1"/>
  <c r="AA149" i="29"/>
  <c r="AJ148" i="29"/>
  <c r="AK148" i="29" s="1"/>
  <c r="AJ217" i="29"/>
  <c r="AK217" i="29" s="1"/>
  <c r="AJ473" i="29"/>
  <c r="AK473" i="29" s="1"/>
  <c r="AJ177" i="29"/>
  <c r="AK177" i="29" s="1"/>
  <c r="AJ588" i="29"/>
  <c r="AK588" i="29" s="1"/>
  <c r="AJ349" i="29"/>
  <c r="AK349" i="29" s="1"/>
  <c r="AJ587" i="29"/>
  <c r="AK587" i="29" s="1"/>
  <c r="AA350" i="29"/>
  <c r="CB208" i="25"/>
  <c r="CF208" i="25"/>
  <c r="AJ356" i="29"/>
  <c r="AK356" i="29" s="1"/>
  <c r="AA99" i="29"/>
  <c r="AJ441" i="29"/>
  <c r="AK441" i="29" s="1"/>
  <c r="AJ98" i="29"/>
  <c r="AK98" i="29" s="1"/>
  <c r="AJ278" i="29"/>
  <c r="AK278" i="29" s="1"/>
  <c r="AA573" i="29"/>
  <c r="AJ572" i="29"/>
  <c r="AK572" i="29" s="1"/>
  <c r="CB45" i="25"/>
  <c r="CF45" i="25"/>
  <c r="AJ411" i="29"/>
  <c r="AK411" i="29" s="1"/>
  <c r="AJ239" i="29"/>
  <c r="AK239" i="29" s="1"/>
  <c r="CB135" i="25"/>
  <c r="CF135" i="25"/>
  <c r="AA412" i="29"/>
  <c r="CB175" i="25"/>
  <c r="CF175" i="25"/>
  <c r="AJ296" i="29"/>
  <c r="AK296" i="29" s="1"/>
  <c r="AA297" i="29"/>
  <c r="CB182" i="25"/>
  <c r="CF182" i="25"/>
  <c r="AJ429" i="29"/>
  <c r="AK429" i="29" s="1"/>
  <c r="AJ183" i="29"/>
  <c r="AK183" i="29" s="1"/>
  <c r="AA312" i="29"/>
  <c r="AJ182" i="29"/>
  <c r="AK182" i="29" s="1"/>
  <c r="AJ527" i="29"/>
  <c r="AK527" i="29" s="1"/>
  <c r="AJ74" i="29"/>
  <c r="AK74" i="29" s="1"/>
  <c r="AA75" i="29"/>
  <c r="AA240" i="29"/>
  <c r="AJ56" i="29"/>
  <c r="AK56" i="29" s="1"/>
  <c r="AA356" i="29"/>
  <c r="AJ430" i="29"/>
  <c r="AK430" i="29" s="1"/>
  <c r="AA528" i="29"/>
  <c r="AJ312" i="29"/>
  <c r="AK312" i="29" s="1"/>
  <c r="AA533" i="29"/>
  <c r="AA383" i="29"/>
  <c r="AJ250" i="29"/>
  <c r="AK250" i="29" s="1"/>
  <c r="AJ251" i="29"/>
  <c r="AK251" i="29" s="1"/>
  <c r="AJ542" i="29"/>
  <c r="AK542" i="29" s="1"/>
  <c r="AJ22" i="29"/>
  <c r="AK22" i="29" s="1"/>
  <c r="AJ23" i="29"/>
  <c r="AK23" i="29" s="1"/>
  <c r="AJ410" i="29"/>
  <c r="AK410" i="29" s="1"/>
  <c r="AJ279" i="29"/>
  <c r="AK279" i="29" s="1"/>
  <c r="AJ131" i="29"/>
  <c r="AK131" i="29" s="1"/>
  <c r="AJ409" i="29"/>
  <c r="AK409" i="29" s="1"/>
  <c r="AJ280" i="29"/>
  <c r="AK280" i="29" s="1"/>
  <c r="AJ541" i="29"/>
  <c r="AK541" i="29" s="1"/>
  <c r="AA492" i="29"/>
  <c r="AJ491" i="29"/>
  <c r="AK491" i="29" s="1"/>
  <c r="AJ449" i="29"/>
  <c r="AK449" i="29" s="1"/>
  <c r="AA450" i="29"/>
  <c r="AJ179" i="29"/>
  <c r="AK179" i="29" s="1"/>
  <c r="AA245" i="29"/>
  <c r="AJ244" i="29"/>
  <c r="AK244" i="29" s="1"/>
  <c r="AA179" i="29"/>
  <c r="AJ595" i="29"/>
  <c r="AK595" i="29" s="1"/>
  <c r="AA37" i="29"/>
  <c r="AJ433" i="29"/>
  <c r="AK433" i="29" s="1"/>
  <c r="AJ434" i="29"/>
  <c r="AK434" i="29" s="1"/>
  <c r="AA382" i="29"/>
  <c r="AJ55" i="29"/>
  <c r="AK55" i="29" s="1"/>
  <c r="AJ432" i="29"/>
  <c r="AK432" i="29" s="1"/>
  <c r="AJ315" i="29"/>
  <c r="AK315" i="29" s="1"/>
  <c r="AJ382" i="29"/>
  <c r="AK382" i="29" s="1"/>
  <c r="AJ374" i="29"/>
  <c r="AK374" i="29" s="1"/>
  <c r="AJ369" i="29"/>
  <c r="AK369" i="29" s="1"/>
  <c r="AJ314" i="29"/>
  <c r="AK314" i="29" s="1"/>
  <c r="AJ420" i="29"/>
  <c r="AK420" i="29" s="1"/>
  <c r="AA375" i="29"/>
  <c r="AA421" i="29"/>
  <c r="AJ368" i="29"/>
  <c r="AK368" i="29" s="1"/>
  <c r="AJ198" i="29"/>
  <c r="AK198" i="29" s="1"/>
  <c r="AJ37" i="29"/>
  <c r="AK37" i="29" s="1"/>
  <c r="AJ431" i="29"/>
  <c r="AK431" i="29" s="1"/>
  <c r="AJ594" i="29"/>
  <c r="AK594" i="29" s="1"/>
  <c r="AJ300" i="29"/>
  <c r="AK300" i="29" s="1"/>
  <c r="AJ91" i="29"/>
  <c r="AK91" i="29" s="1"/>
  <c r="AA301" i="29"/>
  <c r="AJ533" i="29"/>
  <c r="AK533" i="29" s="1"/>
  <c r="AJ304" i="29"/>
  <c r="AK304" i="29" s="1"/>
  <c r="AA305" i="29"/>
  <c r="AA525" i="29"/>
  <c r="AJ524" i="29"/>
  <c r="AK524" i="29" s="1"/>
  <c r="AA444" i="29"/>
  <c r="AA335" i="29"/>
  <c r="AJ14" i="29"/>
  <c r="AK14" i="29" s="1"/>
  <c r="AJ15" i="29"/>
  <c r="AK15" i="29" s="1"/>
  <c r="AJ353" i="29"/>
  <c r="AK353" i="29" s="1"/>
  <c r="AJ213" i="29"/>
  <c r="AK213" i="29" s="1"/>
  <c r="AJ352" i="29"/>
  <c r="AK352" i="29" s="1"/>
  <c r="AJ212" i="29"/>
  <c r="AK212" i="29" s="1"/>
  <c r="AA26" i="29"/>
  <c r="AA278" i="29"/>
  <c r="AJ334" i="29"/>
  <c r="AK334" i="29" s="1"/>
  <c r="AA531" i="29"/>
  <c r="AJ82" i="29"/>
  <c r="AK82" i="29" s="1"/>
  <c r="AJ530" i="29"/>
  <c r="AK530" i="29" s="1"/>
  <c r="AA360" i="29"/>
  <c r="AJ81" i="29"/>
  <c r="AK81" i="29" s="1"/>
  <c r="AJ360" i="29"/>
  <c r="AK360" i="29" s="1"/>
  <c r="AJ444" i="29"/>
  <c r="AK444" i="29" s="1"/>
  <c r="AJ495" i="29"/>
  <c r="AK495" i="29" s="1"/>
  <c r="AJ309" i="29"/>
  <c r="AK309" i="29" s="1"/>
  <c r="AJ26" i="29"/>
  <c r="AK26" i="29" s="1"/>
  <c r="AA310" i="29"/>
  <c r="AA200" i="29"/>
  <c r="AJ199" i="29"/>
  <c r="AK199" i="29" s="1"/>
  <c r="CB168" i="25"/>
  <c r="CF168" i="25"/>
  <c r="AJ440" i="29"/>
  <c r="AK440" i="29" s="1"/>
  <c r="CF211" i="24"/>
  <c r="AA495" i="29"/>
  <c r="CB102" i="25"/>
  <c r="CF102" i="25"/>
  <c r="CB163" i="25"/>
  <c r="CF163" i="25"/>
  <c r="CB156" i="25"/>
  <c r="CF156" i="25"/>
  <c r="CB79" i="25"/>
  <c r="CF79" i="25"/>
  <c r="CB166" i="25"/>
  <c r="CF166" i="25"/>
  <c r="CB176" i="25"/>
  <c r="CF176" i="25"/>
  <c r="BB212" i="25"/>
  <c r="BS212" i="25" s="1"/>
  <c r="BC212" i="25"/>
  <c r="BT212" i="25" s="1"/>
  <c r="BA212" i="25"/>
  <c r="CB210" i="25"/>
  <c r="CF210" i="25"/>
  <c r="CB72" i="25"/>
  <c r="CF72" i="25"/>
  <c r="CB171" i="25"/>
  <c r="CF171" i="25"/>
  <c r="CB74" i="25"/>
  <c r="CF74" i="25"/>
  <c r="CB160" i="25"/>
  <c r="CF160" i="25"/>
  <c r="AA585" i="29"/>
  <c r="AJ584" i="29"/>
  <c r="AK584" i="29" s="1"/>
  <c r="CB194" i="25"/>
  <c r="CF194" i="25"/>
  <c r="L112" i="2"/>
  <c r="L26" i="1" s="1"/>
  <c r="BE212" i="25" l="1"/>
  <c r="BR212" i="25"/>
  <c r="BX212" i="25" s="1"/>
  <c r="AK9" i="29"/>
  <c r="W5" i="29" s="1"/>
  <c r="B43" i="29" s="1"/>
  <c r="AK7" i="29"/>
  <c r="AL7" i="29" s="1"/>
  <c r="CF211" i="25"/>
  <c r="BL212" i="25" l="1"/>
  <c r="BY212" i="25"/>
  <c r="CA212" i="25" s="1"/>
  <c r="BK212" i="25"/>
  <c r="W4" i="29"/>
  <c r="G639" i="29" s="1"/>
  <c r="AL9" i="29"/>
  <c r="G617" i="29" l="1"/>
  <c r="J617" i="29" s="1"/>
  <c r="CB212" i="25"/>
  <c r="CF212" i="25"/>
  <c r="B42" i="29"/>
  <c r="G640" i="29"/>
  <c r="G618" i="29" l="1"/>
  <c r="G619" i="29" s="1"/>
  <c r="S617" i="29"/>
  <c r="I617" i="29"/>
  <c r="Q617" i="29"/>
  <c r="L617" i="29"/>
  <c r="AH617" i="29" s="1"/>
  <c r="K617" i="29"/>
  <c r="R617" i="29"/>
  <c r="O617" i="29"/>
  <c r="T617" i="29"/>
  <c r="P617" i="29"/>
  <c r="AG617" i="29" l="1"/>
  <c r="X617" i="29"/>
  <c r="Y617" i="29" s="1"/>
  <c r="AD617" i="29"/>
  <c r="AE617" i="29"/>
  <c r="W617" i="29"/>
  <c r="X620"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Xi, Youhao</author>
    <author>Hegarty, Timothy</author>
  </authors>
  <commentList>
    <comment ref="A3" authorId="0" shapeId="0" xr:uid="{00000000-0006-0000-0000-000001000000}">
      <text>
        <r>
          <rPr>
            <b/>
            <sz val="11"/>
            <color indexed="10"/>
            <rFont val="Tahoma"/>
            <family val="2"/>
          </rPr>
          <t>Welcome to the LM25185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LM25185 low I</t>
        </r>
        <r>
          <rPr>
            <b/>
            <vertAlign val="subscript"/>
            <sz val="9"/>
            <color indexed="81"/>
            <rFont val="Tahoma"/>
            <family val="2"/>
          </rPr>
          <t>Q</t>
        </r>
        <r>
          <rPr>
            <b/>
            <sz val="9"/>
            <color indexed="81"/>
            <rFont val="Tahoma"/>
            <family val="2"/>
          </rPr>
          <t xml:space="preserve"> PSR flyback controller.</t>
        </r>
        <r>
          <rPr>
            <sz val="9"/>
            <color indexed="81"/>
            <rFont val="Tahoma"/>
            <family val="2"/>
          </rPr>
          <t xml:space="preserve"> As such, the user can expeditiously arrive at an optimized design by virtue of the following:
- Select transformer parameters including turns ratio and mag inductance
- Select current sense resistor
- Select power MOSFET parameters including RdsON, Qg and Coss
- Determine input and output capacitances for specified ripple requirements (1% Vout and 5% Vin)
- Select components for feedback, soft-start, input UVLO, and temperature compensation
- Select desired open loop crossover frequency, and choose loop compensation network components 
- Advise componnets (usually optional) for SW voltage clamp and and flyback diode snubber
- Decide the optional use of dummy loads or output Zener clamp 
- Optimize the design using efficiency and solution size as key performance metrics
- Inspect converter efficiency and switching frequency over load and line
- Inspect open loop Bode Plots for appropriate loop design.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b/>
            <sz val="9"/>
            <color indexed="81"/>
            <rFont val="Tahoma"/>
            <family val="2"/>
          </rPr>
          <t>Dislcaimer:</t>
        </r>
        <r>
          <rPr>
            <u/>
            <sz val="9"/>
            <color indexed="12"/>
            <rFont val="Tahoma"/>
            <family val="2"/>
          </rPr>
          <t xml:space="preserve">
https://www.ti.com/legal/important-notice-and-disclaimer.html
</t>
        </r>
        <r>
          <rPr>
            <sz val="9"/>
            <color indexed="81"/>
            <rFont val="Tahoma"/>
            <family val="2"/>
          </rPr>
          <t xml:space="preserve">
</t>
        </r>
        <r>
          <rPr>
            <b/>
            <sz val="9"/>
            <color indexed="81"/>
            <rFont val="Tahoma"/>
            <family val="2"/>
          </rPr>
          <t xml:space="preserve">
Rev 0.2, Youhao Xi, Texas Instruments, Inc.</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LM5185-Q1 product datasheet and EVM user's guides for more details.
</t>
        </r>
        <r>
          <rPr>
            <b/>
            <sz val="9"/>
            <color indexed="81"/>
            <rFont val="Tahoma"/>
            <family val="2"/>
          </rPr>
          <t>Rev 0, WVB/SR/APP,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LM5185 input voltage operating range is 4.5V to 42V.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42V</t>
        </r>
        <r>
          <rPr>
            <sz val="9"/>
            <color indexed="81"/>
            <rFont val="Tahoma"/>
            <family val="2"/>
          </rPr>
          <t xml:space="preserve">
-The input voltage is below </t>
        </r>
        <r>
          <rPr>
            <b/>
            <sz val="9"/>
            <color indexed="10"/>
            <rFont val="Tahoma"/>
            <family val="2"/>
          </rPr>
          <t xml:space="preserve">4.5V
</t>
        </r>
      </text>
    </comment>
    <comment ref="M6" authorId="0" shapeId="0" xr:uid="{00000000-0006-0000-0000-000004000000}">
      <text>
        <r>
          <rPr>
            <b/>
            <u/>
            <sz val="9"/>
            <color indexed="81"/>
            <rFont val="Tahoma"/>
            <family val="2"/>
          </rPr>
          <t>Recommended Magnetizing Inductance</t>
        </r>
        <r>
          <rPr>
            <b/>
            <sz val="9"/>
            <color indexed="81"/>
            <rFont val="Tahoma"/>
            <family val="2"/>
          </rPr>
          <t xml:space="preserve">:
</t>
        </r>
        <r>
          <rPr>
            <sz val="9"/>
            <color indexed="81"/>
            <rFont val="Tahoma"/>
            <family val="2"/>
          </rPr>
          <t>The recommended magnetizing inductance is set to operate at about 200 to 250kHz switching in BCM under full load and Vin_nom. Try not to deviate much from this recommended inductances:
--If the inductance is too high, the transformer would be larger and more expensive.
--If the inductance is too small, the efficiency would be sacrificed due to increase conduction losses with higher peak current.</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LM5185 input voltage operating range is 4.5V to 42V.
</t>
        </r>
        <r>
          <rPr>
            <b/>
            <sz val="9"/>
            <color indexed="81"/>
            <rFont val="Tahoma"/>
            <family val="2"/>
          </rPr>
          <t xml:space="preserve">The text in this cell is red if:
</t>
        </r>
        <r>
          <rPr>
            <sz val="9"/>
            <color indexed="81"/>
            <rFont val="Tahoma"/>
            <family val="2"/>
          </rPr>
          <t>-The Nom Vin is less than Min Vin</t>
        </r>
        <r>
          <rPr>
            <b/>
            <sz val="9"/>
            <color indexed="81"/>
            <rFont val="Tahoma"/>
            <family val="2"/>
          </rPr>
          <t>.</t>
        </r>
        <r>
          <rPr>
            <sz val="9"/>
            <color indexed="81"/>
            <rFont val="Tahoma"/>
            <family val="2"/>
          </rPr>
          <t xml:space="preserve">
-The input voltage is above </t>
        </r>
        <r>
          <rPr>
            <b/>
            <sz val="9"/>
            <color indexed="10"/>
            <rFont val="Tahoma"/>
            <family val="2"/>
          </rPr>
          <t>42V</t>
        </r>
        <r>
          <rPr>
            <sz val="9"/>
            <color indexed="81"/>
            <rFont val="Tahoma"/>
            <family val="2"/>
          </rPr>
          <t xml:space="preserve">
-The input voltage is below </t>
        </r>
        <r>
          <rPr>
            <b/>
            <sz val="9"/>
            <color indexed="10"/>
            <rFont val="Tahoma"/>
            <family val="2"/>
          </rPr>
          <t xml:space="preserve">4.5V
</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of your choice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is too small. Increase the choosen value.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LM5185 input voltage operating range is 4.5V to 42V.
</t>
        </r>
        <r>
          <rPr>
            <b/>
            <sz val="9"/>
            <color indexed="81"/>
            <rFont val="Tahoma"/>
            <family val="2"/>
          </rPr>
          <t xml:space="preserve">The text in this cell is red if:
</t>
        </r>
        <r>
          <rPr>
            <sz val="9"/>
            <color indexed="81"/>
            <rFont val="Tahoma"/>
            <family val="2"/>
          </rPr>
          <t xml:space="preserve">-The Max Vin is less than the Nom Vin.
-The input voltage is above </t>
        </r>
        <r>
          <rPr>
            <b/>
            <sz val="9"/>
            <color indexed="10"/>
            <rFont val="Tahoma"/>
            <family val="2"/>
          </rPr>
          <t>42V</t>
        </r>
        <r>
          <rPr>
            <sz val="9"/>
            <color indexed="81"/>
            <rFont val="Tahoma"/>
            <family val="2"/>
          </rPr>
          <t xml:space="preserve">
-The input voltage is below </t>
        </r>
        <r>
          <rPr>
            <b/>
            <sz val="9"/>
            <color indexed="10"/>
            <rFont val="Tahoma"/>
            <family val="2"/>
          </rPr>
          <t xml:space="preserve">4.5V
</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text>
    </comment>
    <comment ref="M12" authorId="1" shapeId="0" xr:uid="{CAB962D0-E7B4-4770-8363-E972CE1155C9}">
      <text>
        <r>
          <rPr>
            <b/>
            <sz val="9"/>
            <color indexed="81"/>
            <rFont val="Tahoma"/>
            <family val="2"/>
          </rPr>
          <t xml:space="preserve">Proposed turns ratio.
</t>
        </r>
        <r>
          <rPr>
            <sz val="9"/>
            <color indexed="81"/>
            <rFont val="Tahoma"/>
            <family val="2"/>
          </rPr>
          <t xml:space="preserve">The cell will turn red if the duty cycle under VIN(min) exceeds 75%. The design may still work, but you may consider to adjust the turns ration slightly.
</t>
        </r>
      </text>
    </comment>
    <comment ref="F13" authorId="1" shapeId="0" xr:uid="{1722616E-F390-487A-A34E-2B05516BC09F}">
      <text>
        <r>
          <rPr>
            <b/>
            <sz val="9"/>
            <color indexed="81"/>
            <rFont val="Tahoma"/>
            <family val="2"/>
          </rPr>
          <t xml:space="preserve">Second Output Load Current.
</t>
        </r>
        <r>
          <rPr>
            <sz val="9"/>
            <color indexed="81"/>
            <rFont val="Tahoma"/>
            <family val="2"/>
          </rPr>
          <t>The text in the cell will turn</t>
        </r>
        <r>
          <rPr>
            <b/>
            <sz val="9"/>
            <color indexed="10"/>
            <rFont val="Tahoma"/>
            <family val="2"/>
          </rPr>
          <t xml:space="preserve"> red if</t>
        </r>
        <r>
          <rPr>
            <b/>
            <sz val="9"/>
            <color indexed="81"/>
            <rFont val="Tahoma"/>
            <family val="2"/>
          </rPr>
          <t xml:space="preserve"> </t>
        </r>
        <r>
          <rPr>
            <sz val="9"/>
            <color indexed="81"/>
            <rFont val="Tahoma"/>
            <family val="2"/>
          </rPr>
          <t>the current has a different sign from the VOUT2.</t>
        </r>
      </text>
    </comment>
    <comment ref="M15" authorId="0" shapeId="0" xr:uid="{00000000-0006-0000-0000-00000C000000}">
      <text>
        <r>
          <rPr>
            <b/>
            <u/>
            <sz val="9"/>
            <color indexed="81"/>
            <rFont val="Tahoma"/>
            <family val="2"/>
          </rPr>
          <t>Max Duty Cycle</t>
        </r>
        <r>
          <rPr>
            <b/>
            <sz val="9"/>
            <color indexed="81"/>
            <rFont val="Tahoma"/>
            <family val="2"/>
          </rPr>
          <t xml:space="preserve">:
</t>
        </r>
        <r>
          <rPr>
            <sz val="9"/>
            <color indexed="81"/>
            <rFont val="Tahoma"/>
            <family val="2"/>
          </rPr>
          <t>The max operating duty cycle is preferably kept below 75% to prevent high peak/rms currents in the flyback diode(s) and secondary winding(s).
If the cell shows "#VALUE!", reduce Rcs value in Cell E17.</t>
        </r>
      </text>
    </comment>
    <comment ref="M16" authorId="0" shapeId="0" xr:uid="{00000000-0006-0000-0000-00000D000000}">
      <text>
        <r>
          <rPr>
            <b/>
            <u/>
            <sz val="9"/>
            <color indexed="81"/>
            <rFont val="Tahoma"/>
            <family val="2"/>
          </rPr>
          <t>Max Output Current at VIN(min)</t>
        </r>
        <r>
          <rPr>
            <b/>
            <sz val="9"/>
            <color indexed="81"/>
            <rFont val="Tahoma"/>
            <family val="2"/>
          </rPr>
          <t xml:space="preserve">:
</t>
        </r>
        <r>
          <rPr>
            <sz val="9"/>
            <color indexed="81"/>
            <rFont val="Tahoma"/>
            <family val="2"/>
          </rPr>
          <t>The output power is most limited at minimum input voltage. Adjust the transformer turns ratio if needed. Allow at least a 10% margin viz-a-viz the required output power.
If the cell shows "#VALUE!", reduce Rcs value in E17.</t>
        </r>
      </text>
    </comment>
    <comment ref="F17" authorId="0" shapeId="0" xr:uid="{00000000-0006-0000-0000-00000E000000}">
      <text>
        <r>
          <rPr>
            <b/>
            <u/>
            <sz val="9"/>
            <color indexed="81"/>
            <rFont val="Tahoma"/>
            <family val="2"/>
          </rPr>
          <t>Current Sense Resistor</t>
        </r>
        <r>
          <rPr>
            <b/>
            <sz val="9"/>
            <color indexed="81"/>
            <rFont val="Tahoma"/>
            <family val="2"/>
          </rPr>
          <t xml:space="preserve">:
</t>
        </r>
        <r>
          <rPr>
            <sz val="9"/>
            <color indexed="81"/>
            <rFont val="Tahoma"/>
            <family val="2"/>
          </rPr>
          <t xml:space="preserve">Enter the current sense resistor value here.
The text in the cell will turn </t>
        </r>
        <r>
          <rPr>
            <b/>
            <sz val="9"/>
            <color indexed="10"/>
            <rFont val="Tahoma"/>
            <family val="2"/>
          </rPr>
          <t xml:space="preserve">  red </t>
        </r>
        <r>
          <rPr>
            <b/>
            <sz val="9"/>
            <color indexed="81"/>
            <rFont val="Tahoma"/>
            <family val="2"/>
          </rPr>
          <t xml:space="preserve"> if the selection is greater tha</t>
        </r>
        <r>
          <rPr>
            <sz val="9"/>
            <color indexed="81"/>
            <rFont val="Tahoma"/>
            <family val="2"/>
          </rPr>
          <t>n the recommended maximum Rcs value, and</t>
        </r>
        <r>
          <rPr>
            <b/>
            <sz val="9"/>
            <color indexed="81"/>
            <rFont val="Tahoma"/>
            <family val="2"/>
          </rPr>
          <t xml:space="preserve"> full load would not be guaranteed</t>
        </r>
        <r>
          <rPr>
            <sz val="9"/>
            <color indexed="81"/>
            <rFont val="Tahoma"/>
            <family val="2"/>
          </rPr>
          <t xml:space="preserve">. </t>
        </r>
      </text>
    </comment>
    <comment ref="F18" authorId="1" shapeId="0" xr:uid="{37226554-35AD-4B24-AFBD-ADB0FE41ABA9}">
      <text>
        <r>
          <rPr>
            <b/>
            <sz val="9"/>
            <color indexed="81"/>
            <rFont val="Tahoma"/>
            <family val="2"/>
          </rPr>
          <t xml:space="preserve">Important: The selected transformer Isat should </t>
        </r>
        <r>
          <rPr>
            <b/>
            <i/>
            <sz val="9"/>
            <color indexed="81"/>
            <rFont val="Tahoma"/>
            <family val="2"/>
          </rPr>
          <t>not</t>
        </r>
        <r>
          <rPr>
            <b/>
            <sz val="9"/>
            <color indexed="81"/>
            <rFont val="Tahoma"/>
            <family val="2"/>
          </rPr>
          <t xml:space="preserve"> be smaller than this value.</t>
        </r>
      </text>
    </comment>
    <comment ref="F23" authorId="1" shapeId="0" xr:uid="{8656CEB6-6ED9-41C6-8605-018CF280C9F0}">
      <text>
        <r>
          <rPr>
            <b/>
            <sz val="9"/>
            <color indexed="81"/>
            <rFont val="Tahoma"/>
            <family val="2"/>
          </rPr>
          <t>Selected Zener Rated Voltage.</t>
        </r>
        <r>
          <rPr>
            <sz val="9"/>
            <color indexed="81"/>
            <rFont val="Tahoma"/>
            <family val="2"/>
          </rPr>
          <t xml:space="preserve">
The text in the cell will turn </t>
        </r>
        <r>
          <rPr>
            <b/>
            <sz val="9"/>
            <color indexed="10"/>
            <rFont val="Tahoma"/>
            <family val="2"/>
          </rPr>
          <t>red if</t>
        </r>
        <r>
          <rPr>
            <sz val="9"/>
            <color indexed="81"/>
            <rFont val="Tahoma"/>
            <family val="2"/>
          </rPr>
          <t xml:space="preserve"> the selected Zener voltage is lower than the recommended value.</t>
        </r>
      </text>
    </comment>
    <comment ref="F24" authorId="1" shapeId="0" xr:uid="{31A291A4-31E5-44E3-9BAC-33CB570C70F5}">
      <text>
        <r>
          <rPr>
            <b/>
            <sz val="9"/>
            <color indexed="81"/>
            <rFont val="Tahoma"/>
            <family val="2"/>
          </rPr>
          <t>Power MOSFET Vds Rating</t>
        </r>
        <r>
          <rPr>
            <sz val="9"/>
            <color indexed="81"/>
            <rFont val="Tahoma"/>
            <family val="2"/>
          </rPr>
          <t xml:space="preserve"> should </t>
        </r>
        <r>
          <rPr>
            <b/>
            <i/>
            <sz val="9"/>
            <color indexed="81"/>
            <rFont val="Tahoma"/>
            <family val="2"/>
          </rPr>
          <t>not</t>
        </r>
        <r>
          <rPr>
            <sz val="9"/>
            <color indexed="81"/>
            <rFont val="Tahoma"/>
            <family val="2"/>
          </rPr>
          <t xml:space="preserve"> be less than this value. 
</t>
        </r>
      </text>
    </comment>
    <comment ref="M24" authorId="0" shapeId="0" xr:uid="{00000000-0006-0000-0000-00000F000000}">
      <text>
        <r>
          <rPr>
            <b/>
            <u/>
            <sz val="9"/>
            <color indexed="81"/>
            <rFont val="Tahoma"/>
            <family val="2"/>
          </rPr>
          <t>MOSFET Qg</t>
        </r>
        <r>
          <rPr>
            <b/>
            <sz val="9"/>
            <color indexed="81"/>
            <rFont val="Tahoma"/>
            <family val="2"/>
          </rPr>
          <t xml:space="preserve">:
</t>
        </r>
        <r>
          <rPr>
            <sz val="9"/>
            <color indexed="81"/>
            <rFont val="Tahoma"/>
            <family val="2"/>
          </rPr>
          <t>Choose a MOSFET having a total gate charge of less than the recommended Max Qg.</t>
        </r>
      </text>
    </comment>
    <comment ref="M25" authorId="0" shapeId="0" xr:uid="{00000000-0006-0000-0000-000010000000}">
      <text>
        <r>
          <rPr>
            <b/>
            <u/>
            <sz val="9"/>
            <color indexed="81"/>
            <rFont val="Tahoma"/>
            <family val="2"/>
          </rPr>
          <t>MOSFET Coss</t>
        </r>
        <r>
          <rPr>
            <sz val="9"/>
            <color indexed="81"/>
            <rFont val="Tahoma"/>
            <family val="2"/>
          </rPr>
          <t xml:space="preserve">
Enter the Coss parameter of selected MOSFET.</t>
        </r>
      </text>
    </comment>
    <comment ref="M26" authorId="0" shapeId="0" xr:uid="{CEB6B93C-5411-41EE-A8C1-47824136DD57}">
      <text>
        <r>
          <rPr>
            <b/>
            <u/>
            <sz val="9"/>
            <color indexed="81"/>
            <rFont val="Tahoma"/>
            <family val="2"/>
          </rPr>
          <t>MOSFET Power Dissipation</t>
        </r>
        <r>
          <rPr>
            <b/>
            <sz val="9"/>
            <color indexed="81"/>
            <rFont val="Tahoma"/>
            <family val="2"/>
          </rPr>
          <t xml:space="preserve">:
</t>
        </r>
        <r>
          <rPr>
            <sz val="9"/>
            <color indexed="81"/>
            <rFont val="Tahoma"/>
            <family val="2"/>
          </rPr>
          <t>Estimated maximum MOSFET power dissipation. Make sure to choose appropriate MOSFET package and/or heatsink for effective heat dissipation.</t>
        </r>
      </text>
    </comment>
    <comment ref="F29" authorId="0" shapeId="0" xr:uid="{00000000-0006-0000-0000-000011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30" authorId="0" shapeId="0" xr:uid="{00000000-0006-0000-0000-000012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derated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31" authorId="0" shapeId="0" xr:uid="{00000000-0006-0000-0000-000013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T31" authorId="1" shapeId="0" xr:uid="{29CE184D-A96B-4A3A-A63A-D90B0214AAB4}">
      <text>
        <r>
          <rPr>
            <b/>
            <sz val="9"/>
            <color indexed="81"/>
            <rFont val="Tahoma"/>
            <family val="2"/>
          </rPr>
          <t xml:space="preserve">Output #2 Diode Forward Voltage Drop at Rated Load Current.
</t>
        </r>
        <r>
          <rPr>
            <sz val="9"/>
            <color indexed="81"/>
            <rFont val="Tahoma"/>
            <family val="2"/>
          </rPr>
          <t>The text in the cell will turn</t>
        </r>
        <r>
          <rPr>
            <b/>
            <sz val="9"/>
            <color indexed="81"/>
            <rFont val="Tahoma"/>
            <family val="2"/>
          </rPr>
          <t xml:space="preserve"> </t>
        </r>
        <r>
          <rPr>
            <b/>
            <sz val="9"/>
            <color indexed="10"/>
            <rFont val="Tahoma"/>
            <family val="2"/>
          </rPr>
          <t>red</t>
        </r>
        <r>
          <rPr>
            <b/>
            <sz val="9"/>
            <color indexed="81"/>
            <rFont val="Tahoma"/>
            <family val="2"/>
          </rPr>
          <t xml:space="preserve"> </t>
        </r>
        <r>
          <rPr>
            <sz val="9"/>
            <color indexed="81"/>
            <rFont val="Tahoma"/>
            <family val="2"/>
          </rPr>
          <t xml:space="preserve">if the forward drop voltage is obviously wrong for being outside the normal 0.3V and 1.5V. 
</t>
        </r>
      </text>
    </comment>
    <comment ref="F33" authorId="0" shapeId="0" xr:uid="{00000000-0006-0000-0000-000014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34" authorId="0" shapeId="0" xr:uid="{00000000-0006-0000-0000-000015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35" authorId="0" shapeId="0" xr:uid="{00000000-0006-0000-0000-000016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40" authorId="1" shapeId="0" xr:uid="{8F39E3FF-D354-49C6-9CDD-AD8F94FD11ED}">
      <text>
        <r>
          <rPr>
            <b/>
            <u/>
            <sz val="9"/>
            <color indexed="81"/>
            <rFont val="Tahoma"/>
            <family val="2"/>
          </rPr>
          <t>Feedback Resistor:</t>
        </r>
        <r>
          <rPr>
            <b/>
            <sz val="9"/>
            <color indexed="81"/>
            <rFont val="Tahoma"/>
            <family val="2"/>
          </rPr>
          <t xml:space="preserve">
</t>
        </r>
        <r>
          <rPr>
            <sz val="9"/>
            <color indexed="81"/>
            <rFont val="Tahoma"/>
            <family val="2"/>
          </rPr>
          <t xml:space="preserve">Choose a standard resistor value most close to above recommend value. To be more precise on Vout setting, you may consider to use a combination of two resistors to sever as the Feedback Resistor.  </t>
        </r>
        <r>
          <rPr>
            <b/>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if the selected Feedback Resistor has more than 3% errors.</t>
        </r>
        <r>
          <rPr>
            <b/>
            <sz val="9"/>
            <color indexed="81"/>
            <rFont val="Tahoma"/>
            <family val="2"/>
          </rPr>
          <t xml:space="preserve">  </t>
        </r>
        <r>
          <rPr>
            <sz val="9"/>
            <color indexed="81"/>
            <rFont val="Tahoma"/>
            <family val="2"/>
          </rPr>
          <t>Correct it by choosing a closer value, or the output voltage would have more errors.</t>
        </r>
        <r>
          <rPr>
            <b/>
            <sz val="9"/>
            <color indexed="81"/>
            <rFont val="Tahoma"/>
            <family val="2"/>
          </rPr>
          <t xml:space="preserve">
</t>
        </r>
      </text>
    </comment>
    <comment ref="F41" authorId="0" shapeId="0" xr:uid="{00000000-0006-0000-0000-000017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 pin open circuit</t>
        </r>
        <r>
          <rPr>
            <sz val="9"/>
            <color indexed="81"/>
            <rFont val="Tahoma"/>
            <family val="2"/>
          </rPr>
          <t xml:space="preserve"> to provide a soft-start time of </t>
        </r>
        <r>
          <rPr>
            <b/>
            <sz val="9"/>
            <color indexed="81"/>
            <rFont val="Tahoma"/>
            <family val="2"/>
          </rPr>
          <t>6ms</t>
        </r>
        <r>
          <rPr>
            <sz val="9"/>
            <color indexed="81"/>
            <rFont val="Tahoma"/>
            <family val="2"/>
          </rPr>
          <t>.</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47" authorId="0" shapeId="0" xr:uid="{00000000-0006-0000-0000-000018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LM5185 input operating voltage range is</t>
        </r>
        <r>
          <rPr>
            <b/>
            <sz val="9"/>
            <color indexed="81"/>
            <rFont val="Tahoma"/>
            <family val="2"/>
          </rPr>
          <t xml:space="preserve"> 4.5V to 42V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42V</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58" authorId="1" shapeId="0" xr:uid="{66D463F3-366F-4049-B7E1-9889759B4CB5}">
      <text>
        <r>
          <rPr>
            <b/>
            <sz val="9"/>
            <color indexed="81"/>
            <rFont val="Tahoma"/>
            <family val="2"/>
          </rPr>
          <t>Selected crossover frequency.</t>
        </r>
        <r>
          <rPr>
            <sz val="9"/>
            <color indexed="81"/>
            <rFont val="Tahoma"/>
            <family val="2"/>
          </rPr>
          <t xml:space="preserve">
</t>
        </r>
        <r>
          <rPr>
            <b/>
            <sz val="9"/>
            <color indexed="10"/>
            <rFont val="Tahoma"/>
            <family val="2"/>
          </rPr>
          <t>Cell will turn red if</t>
        </r>
        <r>
          <rPr>
            <sz val="9"/>
            <color indexed="81"/>
            <rFont val="Tahoma"/>
            <family val="2"/>
          </rPr>
          <t xml:space="preserve"> the selected Fco is greater than the allowed max cross frequency. 
</t>
        </r>
      </text>
    </comment>
    <comment ref="F74" authorId="1" shapeId="0" xr:uid="{A51CBC47-A0CB-455A-87DD-88758B3FDBAB}">
      <text>
        <r>
          <rPr>
            <b/>
            <u/>
            <sz val="9"/>
            <color indexed="81"/>
            <rFont val="Tahoma"/>
            <family val="2"/>
          </rPr>
          <t xml:space="preserve">Max Output Voltage Limit
</t>
        </r>
        <r>
          <rPr>
            <sz val="9"/>
            <color indexed="81"/>
            <rFont val="Tahoma"/>
            <family val="2"/>
          </rPr>
          <t xml:space="preserve">Enter the max Vout limit. 
</t>
        </r>
        <r>
          <rPr>
            <b/>
            <u/>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 xml:space="preserve">if the limit is less than the regulation level +3%. 
</t>
        </r>
        <r>
          <rPr>
            <b/>
            <sz val="9"/>
            <color indexed="81"/>
            <rFont val="Tahoma"/>
            <family val="2"/>
          </rPr>
          <t xml:space="preserve"> 
</t>
        </r>
        <r>
          <rPr>
            <sz val="9"/>
            <color indexed="81"/>
            <rFont val="Tahoma"/>
            <family val="2"/>
          </rPr>
          <t xml:space="preserve">
</t>
        </r>
      </text>
    </comment>
    <comment ref="M74" authorId="1" shapeId="0" xr:uid="{27B7591D-3163-44B0-8F59-E6AA7979D1D3}">
      <text>
        <r>
          <rPr>
            <b/>
            <u/>
            <sz val="9"/>
            <color indexed="81"/>
            <rFont val="Tahoma"/>
            <family val="2"/>
          </rPr>
          <t>Max Output Voltage Limit</t>
        </r>
        <r>
          <rPr>
            <b/>
            <sz val="9"/>
            <color indexed="81"/>
            <rFont val="Tahoma"/>
            <family val="2"/>
          </rPr>
          <t xml:space="preserve">
</t>
        </r>
        <r>
          <rPr>
            <sz val="9"/>
            <color indexed="81"/>
            <rFont val="Tahoma"/>
            <family val="2"/>
          </rPr>
          <t xml:space="preserve">Enter the max Vout limit. </t>
        </r>
        <r>
          <rPr>
            <b/>
            <sz val="9"/>
            <color indexed="81"/>
            <rFont val="Tahoma"/>
            <family val="2"/>
          </rPr>
          <t xml:space="preserve">
</t>
        </r>
        <r>
          <rPr>
            <b/>
            <sz val="10"/>
            <color indexed="10"/>
            <rFont val="Arial"/>
            <family val="2"/>
          </rPr>
          <t>Cell will turn red</t>
        </r>
        <r>
          <rPr>
            <sz val="9"/>
            <color indexed="81"/>
            <rFont val="Tahoma"/>
            <family val="2"/>
          </rPr>
          <t xml:space="preserve"> if the limit is less than the regulation level +3%. </t>
        </r>
      </text>
    </comment>
    <comment ref="F80" authorId="2" shapeId="0" xr:uid="{00000000-0006-0000-0000-000019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feedback resistor calculation)
The text in the cell will turn </t>
        </r>
        <r>
          <rPr>
            <b/>
            <sz val="9"/>
            <color indexed="10"/>
            <rFont val="Tahoma"/>
            <family val="2"/>
          </rPr>
          <t>red</t>
        </r>
        <r>
          <rPr>
            <sz val="9"/>
            <color indexed="81"/>
            <rFont val="Tahoma"/>
            <family val="2"/>
          </rPr>
          <t xml:space="preserve"> if the no load voltage drop is smaller than full load voltage drop. Wrong calculated can be resulted.
</t>
        </r>
      </text>
    </comment>
    <comment ref="F81" authorId="2" shapeId="0" xr:uid="{00000000-0006-0000-0000-00001A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83" authorId="0" shapeId="0" xr:uid="{00000000-0006-0000-0000-00001C000000}">
      <text>
        <r>
          <rPr>
            <b/>
            <u/>
            <sz val="9"/>
            <color indexed="81"/>
            <rFont val="Tahoma"/>
            <family val="2"/>
          </rPr>
          <t>Ambient Operating Temperature</t>
        </r>
        <r>
          <rPr>
            <b/>
            <sz val="9"/>
            <color indexed="81"/>
            <rFont val="Tahoma"/>
            <family val="2"/>
          </rPr>
          <t xml:space="preserve">:
</t>
        </r>
        <r>
          <rPr>
            <sz val="9"/>
            <color indexed="81"/>
            <rFont val="Tahoma"/>
            <family val="2"/>
          </rPr>
          <t>Enter the LM5185's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85" authorId="0" shapeId="0" xr:uid="{00000000-0006-0000-0000-00001D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LM5185's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3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3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<sst xmlns="http://schemas.openxmlformats.org/spreadsheetml/2006/main" count="2461" uniqueCount="960">
  <si>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</si>
  <si>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</si>
  <si>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</si>
  <si>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</si>
  <si>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</si>
  <si>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</si>
  <si>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</si>
  <si>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</si>
  <si>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</si>
  <si>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</si>
  <si>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</si>
  <si>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</si>
  <si>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</si>
  <si>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</si>
  <si>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</si>
  <si>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</si>
  <si>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</si>
  <si>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</si>
  <si>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</si>
  <si>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</si>
  <si>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</si>
  <si>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</si>
  <si>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</si>
  <si>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</si>
  <si>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</si>
  <si>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</si>
  <si>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</si>
  <si>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</si>
  <si>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</si>
  <si>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</si>
  <si>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</si>
  <si>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</si>
  <si>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</si>
  <si>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</si>
  <si>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</si>
  <si>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</si>
  <si>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</si>
  <si>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</si>
  <si>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</si>
  <si>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</si>
  <si>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</si>
  <si>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</si>
  <si>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</si>
  <si>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</si>
  <si>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</si>
  <si>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</si>
  <si>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</si>
  <si>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</si>
  <si>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</si>
  <si>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</si>
  <si>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</si>
  <si>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</si>
  <si>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</si>
  <si>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</si>
  <si>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</si>
  <si>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</si>
  <si>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</si>
  <si>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</si>
  <si>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</si>
  <si>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</si>
  <si>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</si>
  <si>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</si>
  <si>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</si>
  <si>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</si>
  <si>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</si>
  <si>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</si>
  <si>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</si>
  <si>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</si>
  <si>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</si>
  <si>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</si>
  <si>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</si>
  <si>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</si>
  <si>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</si>
  <si>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</si>
  <si>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</si>
  <si>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</si>
  <si>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</si>
  <si>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</si>
  <si>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</si>
  <si>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</si>
  <si>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</si>
  <si>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</si>
  <si>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</si>
  <si>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</si>
  <si>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</si>
  <si>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</si>
  <si>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</si>
  <si>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</si>
  <si>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</si>
  <si>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</si>
  <si>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</si>
  <si>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</si>
  <si>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</si>
  <si>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</si>
  <si>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</si>
  <si>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</si>
  <si>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</si>
  <si>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</si>
  <si>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</si>
  <si>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</si>
  <si>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</si>
  <si>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</si>
  <si>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</si>
  <si>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</si>
  <si>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</si>
  <si>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</si>
  <si>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</si>
  <si>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</si>
  <si>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</si>
  <si>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</si>
  <si>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</si>
  <si>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</si>
  <si>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</si>
  <si>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</si>
  <si>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</si>
  <si>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</si>
  <si>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</si>
  <si>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</si>
  <si>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</si>
  <si>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</si>
  <si>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</si>
  <si>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</si>
  <si>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</si>
  <si>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</si>
  <si>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</si>
  <si>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</si>
  <si>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</si>
  <si>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</si>
  <si>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</si>
  <si>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</si>
  <si>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</si>
  <si>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</si>
  <si>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</si>
  <si>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</si>
  <si>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</si>
  <si>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</si>
  <si>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</si>
  <si>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</si>
  <si>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</si>
  <si>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</si>
  <si>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</si>
  <si>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</si>
  <si>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</si>
  <si>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</si>
  <si>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</si>
  <si>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</si>
  <si>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</si>
  <si>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</si>
  <si>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</si>
  <si>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</si>
  <si>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</si>
  <si>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</si>
  <si>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</si>
  <si>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</si>
  <si>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</si>
  <si>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</si>
  <si>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</si>
  <si>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</si>
  <si>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</si>
  <si>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</si>
  <si>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</si>
  <si>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</si>
  <si>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</si>
  <si>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</si>
  <si>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</si>
  <si>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</si>
  <si>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</si>
  <si>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</si>
  <si>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</si>
  <si>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</si>
  <si>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</si>
  <si>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</si>
  <si>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</si>
  <si>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</si>
  <si>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</si>
  <si>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</si>
  <si>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</si>
  <si>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</si>
  <si>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</si>
  <si>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</si>
  <si>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</si>
  <si>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</si>
  <si>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</si>
  <si>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</si>
  <si>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</si>
  <si>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</si>
  <si>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</si>
  <si>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</si>
  <si>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</si>
  <si>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</si>
  <si>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</si>
  <si>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</si>
  <si>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</si>
  <si>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</si>
  <si>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</si>
  <si>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</si>
  <si>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</si>
  <si>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</si>
  <si>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</si>
  <si>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</si>
  <si>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</si>
  <si>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</si>
  <si>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</si>
  <si>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</si>
  <si>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</si>
  <si>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</si>
  <si>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</si>
  <si>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</si>
  <si>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</si>
  <si>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</si>
  <si>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</si>
  <si>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</si>
  <si>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</si>
  <si>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</si>
  <si>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</si>
  <si>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</si>
  <si>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</si>
  <si>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</si>
  <si>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</si>
  <si>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</si>
  <si>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</si>
  <si>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</si>
  <si>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</si>
  <si>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</si>
  <si>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</si>
  <si>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</si>
  <si>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</si>
  <si>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</si>
  <si>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</si>
  <si>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</si>
  <si>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</si>
  <si>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</si>
  <si>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</si>
  <si>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</si>
  <si>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</si>
  <si>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</si>
  <si>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</si>
  <si>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</si>
  <si>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</si>
  <si>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</si>
  <si>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</si>
  <si>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</si>
  <si>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</si>
  <si>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</si>
  <si>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</si>
  <si>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</si>
  <si>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</si>
  <si>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</si>
  <si>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</si>
  <si>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</si>
  <si>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</si>
  <si>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</si>
  <si>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</si>
  <si>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</si>
  <si>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</si>
  <si>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</si>
  <si>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</si>
  <si>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</si>
  <si>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</si>
  <si>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</si>
  <si>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</si>
  <si>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</si>
  <si>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</si>
  <si>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</si>
  <si>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</si>
  <si>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</si>
  <si>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</si>
  <si>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</si>
  <si>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</si>
  <si>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Series resistance of body diode</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</si>
  <si>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</si>
  <si>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</si>
  <si>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</si>
  <si>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</si>
  <si>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</si>
  <si>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</si>
  <si>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</si>
  <si>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</si>
  <si>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</si>
  <si>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</si>
  <si>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</si>
  <si>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</si>
  <si>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</si>
  <si>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</si>
  <si>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</si>
  <si>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</si>
  <si>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</si>
  <si>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</si>
  <si>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</si>
  <si>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</si>
  <si>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</si>
  <si>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</si>
  <si>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</si>
  <si>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</si>
  <si>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VIN</t>
    </r>
    <r>
      <rPr>
        <vertAlign val="subscript"/>
        <sz val="10"/>
        <rFont val="Arial"/>
        <family val="2"/>
      </rPr>
      <t>UVLO_OFF</t>
    </r>
  </si>
  <si>
    <t>Rhys</t>
  </si>
  <si>
    <t>Soft Start</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</si>
  <si>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</si>
  <si>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</si>
  <si>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</si>
  <si>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</si>
  <si>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</si>
  <si>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</si>
  <si>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</si>
  <si>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</si>
  <si>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</si>
  <si>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</si>
  <si>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</si>
  <si>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</si>
  <si>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</si>
  <si>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</si>
  <si>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</si>
  <si>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</si>
  <si>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</si>
  <si>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</si>
  <si>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</si>
  <si>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</si>
  <si>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</si>
  <si>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</si>
  <si>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</si>
  <si>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</si>
  <si>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</si>
  <si>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</si>
  <si>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</si>
  <si>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</si>
  <si>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</si>
  <si>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</si>
  <si>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</si>
  <si>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</si>
  <si>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</si>
  <si>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</si>
  <si>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</si>
  <si>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</si>
  <si>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</si>
  <si>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</si>
  <si>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</si>
  <si>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</si>
  <si>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</si>
  <si>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</si>
  <si>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</si>
  <si>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</si>
  <si>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</si>
  <si>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</si>
  <si>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</si>
  <si>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</si>
  <si>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</si>
  <si>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</si>
  <si>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</si>
  <si>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</si>
  <si>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</si>
  <si>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</si>
  <si>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</si>
  <si>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</si>
  <si>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</si>
  <si>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</si>
  <si>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</si>
  <si>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</si>
  <si>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</si>
  <si>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</si>
  <si>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</si>
  <si>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</si>
  <si>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</si>
  <si>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</si>
  <si>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</si>
  <si>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</si>
  <si>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</si>
  <si>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t>Single Output or Dual Outputs</t>
  </si>
  <si>
    <r>
      <t>Input Voltage – Min, V</t>
    </r>
    <r>
      <rPr>
        <b/>
        <vertAlign val="subscript"/>
        <sz val="10"/>
        <color theme="1"/>
        <rFont val="Arial"/>
        <family val="2"/>
      </rPr>
      <t>IN(min)</t>
    </r>
    <r>
      <rPr>
        <b/>
        <sz val="10"/>
        <color theme="1"/>
        <rFont val="Arial"/>
        <family val="2"/>
      </rPr>
      <t xml:space="preserve"> </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</si>
  <si>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</si>
  <si>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</si>
  <si>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</si>
  <si>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</si>
  <si>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</si>
  <si>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</si>
  <si>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</si>
  <si>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</si>
  <si>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</si>
  <si>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</si>
  <si>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</si>
  <si>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</si>
  <si>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</si>
  <si>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</si>
  <si>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</si>
  <si>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</si>
  <si>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</si>
  <si>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</si>
  <si>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</si>
  <si>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</si>
  <si>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</si>
  <si>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</si>
  <si>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</si>
  <si>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</si>
  <si>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</si>
  <si>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</si>
  <si>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</si>
  <si>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</si>
  <si>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</si>
  <si>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</si>
  <si>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</si>
  <si>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</si>
  <si>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</si>
  <si>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</si>
  <si>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</si>
  <si>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</si>
  <si>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</si>
  <si>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</si>
  <si>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</si>
  <si>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</si>
  <si>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</si>
  <si>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</si>
  <si>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</si>
  <si>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</si>
  <si>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</si>
  <si>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</si>
  <si>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</si>
  <si>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</si>
  <si>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</si>
  <si>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</si>
  <si>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</si>
  <si>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</si>
  <si>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</si>
  <si>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</si>
  <si>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</si>
  <si>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</si>
  <si>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</si>
  <si>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</si>
  <si>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</si>
  <si>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</si>
  <si>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</si>
  <si>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</si>
  <si>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</si>
  <si>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</si>
  <si>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</si>
  <si>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</si>
  <si>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</si>
  <si>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</si>
  <si>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</si>
  <si>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</si>
  <si>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</si>
  <si>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</si>
  <si>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</si>
  <si>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</si>
  <si>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</si>
  <si>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</si>
  <si>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</si>
  <si>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</si>
  <si>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</si>
  <si>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</si>
  <si>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</si>
  <si>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</si>
  <si>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</si>
  <si>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</si>
  <si>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</si>
  <si>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</si>
  <si>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</si>
  <si>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</si>
  <si>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</si>
  <si>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</si>
  <si>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</si>
  <si>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</si>
  <si>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</si>
  <si>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</si>
  <si>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</si>
  <si>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</si>
  <si>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</si>
  <si>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</si>
  <si>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</si>
  <si>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</si>
  <si>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</si>
  <si>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</si>
  <si>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</si>
  <si>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</si>
  <si>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</si>
  <si>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</si>
  <si>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</si>
  <si>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</si>
  <si>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</si>
  <si>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</si>
  <si>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</si>
  <si>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</si>
  <si>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</si>
  <si>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Cout (µF) for 1%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</si>
  <si>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</si>
  <si>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</si>
  <si>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</si>
  <si>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</si>
  <si>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</si>
  <si>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</si>
  <si>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</si>
  <si>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</si>
  <si>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</si>
  <si>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</si>
  <si>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</si>
  <si>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</si>
  <si>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</si>
  <si>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</si>
  <si>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 xml:space="preserve">Resulting Input Voltage Ripple </t>
  </si>
  <si>
    <t>Check Iout-max</t>
  </si>
  <si>
    <t>Iout2</t>
  </si>
  <si>
    <t>Rout2</t>
  </si>
  <si>
    <t>Pout2</t>
  </si>
  <si>
    <t>Load resistance #2</t>
  </si>
  <si>
    <t>Output power #2</t>
  </si>
  <si>
    <t xml:space="preserve">Total Output Power </t>
  </si>
  <si>
    <t>Total power</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</si>
  <si>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</si>
  <si>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</si>
  <si>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</si>
  <si>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</si>
  <si>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</si>
  <si>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</si>
  <si>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</si>
  <si>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</si>
  <si>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</si>
  <si>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</si>
  <si>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</si>
  <si>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</si>
  <si>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</si>
  <si>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</si>
  <si>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</si>
  <si>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</si>
  <si>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</si>
  <si>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</si>
  <si>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</si>
  <si>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</si>
  <si>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</si>
  <si>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</si>
  <si>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</si>
  <si>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</si>
  <si>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</si>
  <si>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</si>
  <si>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</si>
  <si>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</si>
  <si>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</si>
  <si>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</si>
  <si>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</si>
  <si>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</si>
  <si>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</si>
  <si>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</si>
  <si>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</si>
  <si>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</si>
  <si>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</si>
  <si>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</si>
  <si>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</si>
  <si>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</si>
  <si>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</si>
  <si>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</si>
  <si>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</si>
  <si>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</si>
  <si>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</si>
  <si>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</si>
  <si>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</si>
  <si>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</si>
  <si>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</si>
  <si>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</si>
  <si>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</si>
  <si>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</si>
  <si>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</si>
  <si>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</si>
  <si>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</si>
  <si>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</si>
  <si>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</si>
  <si>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</si>
  <si>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</si>
  <si>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</si>
  <si>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</si>
  <si>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</si>
  <si>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</si>
  <si>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</si>
  <si>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</si>
  <si>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</si>
  <si>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</si>
  <si>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</si>
  <si>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</si>
  <si>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</si>
  <si>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</si>
  <si>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</si>
  <si>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</si>
  <si>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</si>
  <si>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</si>
  <si>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</si>
  <si>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</si>
  <si>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</si>
  <si>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</si>
  <si>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</si>
  <si>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</si>
  <si>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</si>
  <si>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</si>
  <si>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</si>
  <si>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</si>
  <si>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</si>
  <si>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</si>
  <si>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</si>
  <si>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</si>
  <si>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</si>
  <si>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</si>
  <si>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</si>
  <si>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</si>
  <si>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</si>
  <si>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</si>
  <si>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</si>
  <si>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</si>
  <si>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</si>
  <si>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</si>
  <si>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</si>
  <si>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r>
      <t>Max Output Power at V</t>
    </r>
    <r>
      <rPr>
        <vertAlign val="subscript"/>
        <sz val="10"/>
        <rFont val="Arial"/>
        <family val="2"/>
      </rPr>
      <t>IN(min)</t>
    </r>
  </si>
  <si>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</si>
  <si>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</si>
  <si>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</si>
  <si>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</si>
  <si>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</si>
  <si>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</si>
  <si>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</si>
  <si>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</si>
  <si>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</si>
  <si>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</si>
  <si>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</si>
  <si>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</si>
  <si>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</si>
  <si>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</si>
  <si>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</si>
  <si>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</si>
  <si>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</si>
  <si>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</si>
  <si>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t>24V</t>
  </si>
  <si>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</si>
  <si>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</si>
  <si>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</si>
  <si>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</si>
  <si>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</si>
  <si>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</si>
  <si>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</si>
  <si>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</si>
  <si>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</si>
  <si>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</si>
  <si>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</si>
  <si>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t>5.0 x 2.5</t>
  </si>
  <si>
    <t>3.6 x 1.8</t>
  </si>
  <si>
    <t>2.5 x 1.25</t>
  </si>
  <si>
    <t>SOD523</t>
  </si>
  <si>
    <t>Flyback Diode - forward current rating</t>
  </si>
  <si>
    <t>Flyback Diode - reverse voltage rating</t>
  </si>
  <si>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</si>
  <si>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</si>
  <si>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</si>
  <si>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</si>
  <si>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</si>
  <si>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</si>
  <si>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</si>
  <si>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</si>
  <si>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</si>
  <si>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</si>
  <si>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</si>
  <si>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</si>
  <si>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</si>
  <si>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</si>
  <si>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</si>
  <si>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</si>
  <si>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</si>
  <si>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</si>
  <si>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Lmin</t>
  </si>
  <si>
    <t>Lleak</t>
  </si>
  <si>
    <t>nH</t>
  </si>
  <si>
    <t>Pri-Sec Leakage Inductance</t>
  </si>
  <si>
    <t>Check Fsw at  Iout-max</t>
  </si>
  <si>
    <t>Check Pout-max at  Iout-max</t>
  </si>
  <si>
    <t>P-Transforer (W)</t>
  </si>
  <si>
    <t>P-Trans-Total (mW)</t>
  </si>
  <si>
    <t>RdsonTC</t>
  </si>
  <si>
    <t>ppm/°C</t>
  </si>
  <si>
    <t>Drain to Source Resistance Temp Co</t>
  </si>
  <si>
    <t>IC thermal impedance</t>
  </si>
  <si>
    <t>ThetaJA</t>
  </si>
  <si>
    <t>P-trans (W)</t>
  </si>
  <si>
    <t>**** Use a flyback diode RC snubber to dampen ringing if needed ****</t>
  </si>
  <si>
    <t>***** Use an output zener to clamp the output at no load *****</t>
  </si>
  <si>
    <t>*** Use a primary-side RC snubber from SW to VIN to dampen leakage inductance spike ***</t>
  </si>
  <si>
    <t>** Appropriately derate the effective input and output capacitances for applied voltage and temperature, particularly with ceramics **</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</si>
  <si>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</si>
  <si>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</si>
  <si>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</si>
  <si>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</si>
  <si>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</si>
  <si>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</si>
  <si>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</si>
  <si>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</si>
  <si>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</si>
  <si>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</si>
  <si>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</si>
  <si>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</si>
  <si>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</si>
  <si>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</si>
  <si>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</si>
  <si>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</si>
  <si>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</si>
  <si>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</si>
  <si>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</si>
  <si>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</si>
  <si>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</si>
  <si>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</si>
  <si>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</si>
  <si>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</si>
  <si>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</si>
  <si>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</si>
  <si>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</si>
  <si>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</si>
  <si>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</si>
  <si>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</si>
  <si>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</si>
  <si>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</si>
  <si>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</si>
  <si>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</si>
  <si>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</si>
  <si>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</si>
  <si>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</si>
  <si>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</si>
  <si>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</si>
  <si>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</si>
  <si>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</si>
  <si>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</si>
  <si>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</si>
  <si>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</si>
  <si>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</si>
  <si>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</si>
  <si>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</si>
  <si>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</si>
  <si>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</si>
  <si>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</si>
  <si>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</si>
  <si>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</si>
  <si>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</si>
  <si>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</si>
  <si>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</si>
  <si>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</si>
  <si>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</si>
  <si>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</si>
  <si>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</si>
  <si>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</si>
  <si>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</si>
  <si>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</si>
  <si>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</si>
  <si>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</si>
  <si>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</si>
  <si>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</si>
  <si>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</si>
  <si>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</si>
  <si>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</si>
  <si>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</si>
  <si>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</si>
  <si>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</si>
  <si>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</si>
  <si>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</si>
  <si>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</si>
  <si>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</si>
  <si>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</si>
  <si>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</si>
  <si>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</si>
  <si>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</si>
  <si>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</si>
  <si>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</si>
  <si>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</si>
  <si>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</si>
  <si>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</si>
  <si>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</si>
  <si>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</si>
  <si>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</si>
  <si>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</si>
  <si>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</si>
  <si>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</si>
  <si>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</si>
  <si>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</si>
  <si>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Rcs</t>
  </si>
  <si>
    <r>
      <t>Sense Resistor, R</t>
    </r>
    <r>
      <rPr>
        <b/>
        <vertAlign val="subscript"/>
        <sz val="10"/>
        <color theme="1"/>
        <rFont val="Arial"/>
        <family val="2"/>
      </rPr>
      <t>CS</t>
    </r>
    <r>
      <rPr>
        <b/>
        <sz val="10"/>
        <color theme="1"/>
        <rFont val="Arial"/>
        <family val="2"/>
      </rPr>
      <t xml:space="preserve"> </t>
    </r>
  </si>
  <si>
    <t>IpkCAL</t>
  </si>
  <si>
    <t>RCSmin</t>
  </si>
  <si>
    <t>LM5185 quiescent current</t>
  </si>
  <si>
    <t>P-FET-Total (W)</t>
  </si>
  <si>
    <t>P-IC-Total</t>
  </si>
  <si>
    <t>P-Total (mW)</t>
  </si>
  <si>
    <r>
      <t>LM5185 IC Power Dissipation at Full Load, P</t>
    </r>
    <r>
      <rPr>
        <vertAlign val="subscript"/>
        <sz val="10"/>
        <rFont val="Arial"/>
        <family val="2"/>
      </rPr>
      <t>D</t>
    </r>
  </si>
  <si>
    <r>
      <t>LM5185 Junction Temperature at Full Load, T</t>
    </r>
    <r>
      <rPr>
        <vertAlign val="subscript"/>
        <sz val="10"/>
        <rFont val="Arial"/>
        <family val="2"/>
      </rPr>
      <t>J</t>
    </r>
  </si>
  <si>
    <t>dB</t>
  </si>
  <si>
    <t>Reference voltage, updated</t>
  </si>
  <si>
    <t>10 kΩ</t>
  </si>
  <si>
    <t>10kΩ</t>
  </si>
  <si>
    <t>1.2 : 1</t>
  </si>
  <si>
    <t>1 : 1.2</t>
  </si>
  <si>
    <t>Fsw=</t>
  </si>
  <si>
    <t>Checking ro operatingmode at Vnom</t>
  </si>
  <si>
    <t>Lm=</t>
  </si>
  <si>
    <t>Ipk=</t>
  </si>
  <si>
    <t>Duty=</t>
  </si>
  <si>
    <t>Po</t>
  </si>
  <si>
    <t>Po actual</t>
  </si>
  <si>
    <t>LM5185 Parameters</t>
  </si>
  <si>
    <t>Primary Peak Current, Ipk</t>
  </si>
  <si>
    <t>Allawable max Fco</t>
  </si>
  <si>
    <r>
      <t>C</t>
    </r>
    <r>
      <rPr>
        <vertAlign val="subscript"/>
        <sz val="10"/>
        <rFont val="Arial"/>
        <family val="2"/>
      </rPr>
      <t>OUT</t>
    </r>
    <r>
      <rPr>
        <sz val="10"/>
        <rFont val="Arial"/>
        <family val="2"/>
      </rPr>
      <t xml:space="preserve"> ESR Zero Frequency </t>
    </r>
  </si>
  <si>
    <t>Flyback RHP Zero Frequency</t>
  </si>
  <si>
    <t>Allowed Maximum Crossover Frequency</t>
  </si>
  <si>
    <t>Load Pole Frequency</t>
  </si>
  <si>
    <t>Excessive</t>
  </si>
  <si>
    <t>FcoRange</t>
  </si>
  <si>
    <t>Fco_select</t>
  </si>
  <si>
    <t>AN</t>
  </si>
  <si>
    <t>AO</t>
  </si>
  <si>
    <t>AP</t>
  </si>
  <si>
    <t>AQ</t>
  </si>
  <si>
    <t>AR</t>
  </si>
  <si>
    <t>Sampling</t>
  </si>
  <si>
    <t>Power ckt</t>
  </si>
  <si>
    <t>Gain_pwr</t>
  </si>
  <si>
    <t>CHF</t>
  </si>
  <si>
    <r>
      <t>k</t>
    </r>
    <r>
      <rPr>
        <sz val="10"/>
        <rFont val="Calibri"/>
        <family val="2"/>
      </rPr>
      <t>Ω</t>
    </r>
  </si>
  <si>
    <r>
      <t>k</t>
    </r>
    <r>
      <rPr>
        <b/>
        <sz val="10"/>
        <rFont val="Calibri"/>
        <family val="2"/>
      </rPr>
      <t>Ω</t>
    </r>
  </si>
  <si>
    <r>
      <t>Recommended R</t>
    </r>
    <r>
      <rPr>
        <vertAlign val="subscript"/>
        <sz val="10"/>
        <rFont val="Arial"/>
        <family val="2"/>
      </rPr>
      <t>COMP</t>
    </r>
  </si>
  <si>
    <r>
      <t>Selected R</t>
    </r>
    <r>
      <rPr>
        <b/>
        <vertAlign val="subscript"/>
        <sz val="10"/>
        <rFont val="Arial"/>
        <family val="2"/>
      </rPr>
      <t>COMP</t>
    </r>
  </si>
  <si>
    <r>
      <t>Recommended C</t>
    </r>
    <r>
      <rPr>
        <vertAlign val="subscript"/>
        <sz val="10"/>
        <rFont val="Arial"/>
        <family val="2"/>
      </rPr>
      <t>COMP</t>
    </r>
  </si>
  <si>
    <r>
      <t>Selected C</t>
    </r>
    <r>
      <rPr>
        <b/>
        <vertAlign val="subscript"/>
        <sz val="10"/>
        <rFont val="Arial"/>
        <family val="2"/>
      </rPr>
      <t>COMP</t>
    </r>
  </si>
  <si>
    <r>
      <t>Recommended C</t>
    </r>
    <r>
      <rPr>
        <vertAlign val="subscript"/>
        <sz val="10"/>
        <rFont val="Arial"/>
        <family val="2"/>
      </rPr>
      <t>HF</t>
    </r>
  </si>
  <si>
    <r>
      <t>Selected C</t>
    </r>
    <r>
      <rPr>
        <b/>
        <vertAlign val="subscript"/>
        <sz val="10"/>
        <color theme="1"/>
        <rFont val="Arial"/>
        <family val="2"/>
      </rPr>
      <t>HF</t>
    </r>
  </si>
  <si>
    <r>
      <t>Upper UVLO Resistor, R</t>
    </r>
    <r>
      <rPr>
        <vertAlign val="subscript"/>
        <sz val="10"/>
        <rFont val="Arial"/>
        <family val="2"/>
      </rPr>
      <t>UVH</t>
    </r>
  </si>
  <si>
    <r>
      <t>Lower UVLO Resistor, R</t>
    </r>
    <r>
      <rPr>
        <vertAlign val="subscript"/>
        <sz val="10"/>
        <rFont val="Arial"/>
        <family val="2"/>
      </rPr>
      <t>UVL</t>
    </r>
  </si>
  <si>
    <t>Raw Calculation</t>
  </si>
  <si>
    <t>Fine tuning:  Calculations are performed at Vin(nom), Vin(min) and Vin(max) below</t>
  </si>
  <si>
    <t>secondaryt conduction time</t>
  </si>
  <si>
    <t>Ls1</t>
  </si>
  <si>
    <t>Ls2</t>
  </si>
  <si>
    <t>calculated D' based on raw calculation</t>
  </si>
  <si>
    <t>D1' based on raw calculation</t>
  </si>
  <si>
    <t>D2' based on raw calculation</t>
  </si>
  <si>
    <t xml:space="preserve">                       LM5185-Q1 PSR Flyback Controller Design Tool</t>
  </si>
  <si>
    <t>Recommended xfmr turns ratio</t>
  </si>
  <si>
    <t>uH</t>
  </si>
  <si>
    <t>Final chosen turns ratio should be close to this value.</t>
  </si>
  <si>
    <t>Recommned Magnetizing Inductance</t>
  </si>
  <si>
    <r>
      <t>Chosen Magnetizing Inductance, L</t>
    </r>
    <r>
      <rPr>
        <b/>
        <vertAlign val="subscript"/>
        <sz val="10"/>
        <color theme="1"/>
        <rFont val="Arial"/>
        <family val="2"/>
      </rPr>
      <t>MAG</t>
    </r>
    <r>
      <rPr>
        <b/>
        <sz val="10"/>
        <color theme="1"/>
        <rFont val="Arial"/>
        <family val="2"/>
      </rPr>
      <t xml:space="preserve"> </t>
    </r>
  </si>
  <si>
    <t>Fsw at Vin_min</t>
  </si>
  <si>
    <t>Ipkmax  Allowed (20% margin)</t>
  </si>
  <si>
    <t>Max Rcs_rec1</t>
  </si>
  <si>
    <t>Max Rcs_rec2</t>
  </si>
  <si>
    <t>By 100mV VCS pk limit</t>
  </si>
  <si>
    <t>By 450ns min decay time</t>
  </si>
  <si>
    <t>Proposed Transformer Turns Ratio PRI : SEC1</t>
  </si>
  <si>
    <r>
      <t>Maximum Power Dissipation in R</t>
    </r>
    <r>
      <rPr>
        <vertAlign val="subscript"/>
        <sz val="10"/>
        <color theme="1"/>
        <rFont val="Arial"/>
        <family val="2"/>
      </rPr>
      <t>CS</t>
    </r>
    <r>
      <rPr>
        <sz val="10"/>
        <color theme="1"/>
        <rFont val="Arial"/>
        <family val="2"/>
      </rPr>
      <t xml:space="preserve"> </t>
    </r>
  </si>
  <si>
    <t>with selected Lmag</t>
  </si>
  <si>
    <t>Lmin_abs</t>
  </si>
  <si>
    <t>Maximum RCS for IPEAK (10% Power Margin)</t>
  </si>
  <si>
    <r>
      <t>Select MOSFET R</t>
    </r>
    <r>
      <rPr>
        <b/>
        <vertAlign val="subscript"/>
        <sz val="10"/>
        <rFont val="Arial"/>
        <family val="2"/>
      </rPr>
      <t>DSON</t>
    </r>
  </si>
  <si>
    <t xml:space="preserve">power </t>
  </si>
  <si>
    <t>MOSFET Min Voltage Rating</t>
  </si>
  <si>
    <t>Min Drain Voltage Rating</t>
  </si>
  <si>
    <t>Can logic level FET be used?</t>
  </si>
  <si>
    <t>Can regular FET be used?</t>
  </si>
  <si>
    <t>Yes</t>
  </si>
  <si>
    <r>
      <t>Recommended Minimum D</t>
    </r>
    <r>
      <rPr>
        <vertAlign val="subscript"/>
        <sz val="10"/>
        <rFont val="Arial"/>
        <family val="2"/>
      </rPr>
      <t>CLAMP</t>
    </r>
    <r>
      <rPr>
        <sz val="10"/>
        <rFont val="Arial"/>
        <family val="2"/>
      </rPr>
      <t xml:space="preserve"> Voltage</t>
    </r>
  </si>
  <si>
    <r>
      <t>D</t>
    </r>
    <r>
      <rPr>
        <b/>
        <vertAlign val="subscript"/>
        <sz val="10"/>
        <rFont val="Arial"/>
        <family val="2"/>
      </rPr>
      <t>CLAMP</t>
    </r>
    <r>
      <rPr>
        <b/>
        <sz val="10"/>
        <rFont val="Arial"/>
        <family val="2"/>
      </rPr>
      <t xml:space="preserve"> Voltage </t>
    </r>
  </si>
  <si>
    <t>Recommended Max MOSFET Qg</t>
  </si>
  <si>
    <t>Selected MOSFET Qg</t>
  </si>
  <si>
    <r>
      <t>Selected MOSFET C</t>
    </r>
    <r>
      <rPr>
        <b/>
        <vertAlign val="subscript"/>
        <sz val="10"/>
        <rFont val="Arial"/>
        <family val="2"/>
      </rPr>
      <t>OSS</t>
    </r>
  </si>
  <si>
    <t>Step 4: Power MOSFET Suggetions and  Zener Clamp</t>
  </si>
  <si>
    <t>Step 5: Input &amp; Output Capacitors</t>
  </si>
  <si>
    <t>`</t>
  </si>
  <si>
    <r>
      <t>V</t>
    </r>
    <r>
      <rPr>
        <b/>
        <vertAlign val="subscript"/>
        <sz val="16"/>
        <rFont val="Calibri"/>
        <family val="2"/>
      </rPr>
      <t xml:space="preserve">IN </t>
    </r>
    <r>
      <rPr>
        <b/>
        <sz val="16"/>
        <rFont val="Calibri"/>
        <family val="2"/>
      </rPr>
      <t>=</t>
    </r>
  </si>
  <si>
    <t>Selected Crossover Frquency (Fco)</t>
  </si>
  <si>
    <t>Ccopm</t>
  </si>
  <si>
    <t>k</t>
  </si>
  <si>
    <t>m</t>
  </si>
  <si>
    <t>Cflt</t>
  </si>
  <si>
    <t>100pF</t>
  </si>
  <si>
    <t>Rflt</t>
  </si>
  <si>
    <r>
      <t>Recommended CS Pin Filter Resistor R</t>
    </r>
    <r>
      <rPr>
        <vertAlign val="subscript"/>
        <sz val="10"/>
        <rFont val="Arial"/>
        <family val="2"/>
      </rPr>
      <t>FLT</t>
    </r>
  </si>
  <si>
    <r>
      <t>Recommended CS Pin Filter Resistor C</t>
    </r>
    <r>
      <rPr>
        <vertAlign val="subscript"/>
        <sz val="10"/>
        <rFont val="Arial"/>
        <family val="2"/>
      </rPr>
      <t>FLT</t>
    </r>
  </si>
  <si>
    <t>Step 3: Current Sense Resistor and Noise Filter</t>
  </si>
  <si>
    <t>Step 6: Rectifier Diode(s)</t>
  </si>
  <si>
    <t>Vou2 Diode cond duration</t>
  </si>
  <si>
    <t>Vout1 Diode cond duration</t>
  </si>
  <si>
    <t>Min Diode Voltage Rating, Output #2</t>
  </si>
  <si>
    <t>Min Diode DC Current Rating, Output #2</t>
  </si>
  <si>
    <t>Step 7: Feedback, Soft-start, TC, UVLO</t>
  </si>
  <si>
    <t>Diode VF</t>
  </si>
  <si>
    <t>Vfwd22</t>
  </si>
  <si>
    <r>
      <t>Input Voltage – Nom, V</t>
    </r>
    <r>
      <rPr>
        <b/>
        <vertAlign val="subscript"/>
        <sz val="10"/>
        <color rgb="FF0000FF"/>
        <rFont val="Arial"/>
        <family val="2"/>
      </rPr>
      <t>IN(nom)</t>
    </r>
  </si>
  <si>
    <t>MOSFET Power dissipation (WC)</t>
  </si>
  <si>
    <t>Single output</t>
  </si>
  <si>
    <t>Dual</t>
  </si>
  <si>
    <t>Final</t>
  </si>
  <si>
    <t>Estimated Max MOSFET Power Dissipation</t>
  </si>
  <si>
    <t>MOSFET Loss</t>
  </si>
  <si>
    <t>Step 8:  Compensation Design</t>
  </si>
  <si>
    <t>Snubber Capacitor Voltage Rating&gt;</t>
  </si>
  <si>
    <t>Snubber Resistor Power Rating&gt;</t>
  </si>
  <si>
    <t>Initial Csnb2</t>
  </si>
  <si>
    <t>Initial Rsnb2</t>
  </si>
  <si>
    <t>Step 9:  Optional RC Snubber acorss Rectifier Diode(s)</t>
  </si>
  <si>
    <t>Step 10:  Output Zener Clamp and/or Dummy Load</t>
  </si>
  <si>
    <t>Step 11: Power Losses &amp; Thermals</t>
  </si>
  <si>
    <t>Selected Device Min Power Rating&gt;</t>
  </si>
  <si>
    <t>Rdym</t>
  </si>
  <si>
    <t>Rdym1</t>
  </si>
  <si>
    <t>Rdym2</t>
  </si>
  <si>
    <t>min Load</t>
  </si>
  <si>
    <t>min Load1</t>
  </si>
  <si>
    <t>min Load 2</t>
  </si>
  <si>
    <t xml:space="preserve">Customer Min Load </t>
  </si>
  <si>
    <t>Iout_min</t>
  </si>
  <si>
    <t>Po-min</t>
  </si>
  <si>
    <t>Required min load</t>
  </si>
  <si>
    <t>Ton Min</t>
  </si>
  <si>
    <t>Vin_max</t>
  </si>
  <si>
    <t>Fsw_min</t>
  </si>
  <si>
    <t>Po_cal</t>
  </si>
  <si>
    <t>Do you need a  Dummy Load</t>
  </si>
  <si>
    <t>Customer Min Load 1</t>
  </si>
  <si>
    <t>Customer Min Load 2</t>
  </si>
  <si>
    <t>Iout_min1</t>
  </si>
  <si>
    <t>Po-min1</t>
  </si>
  <si>
    <t>Iout_min2</t>
  </si>
  <si>
    <t>Po-min2</t>
  </si>
  <si>
    <t>Do you need a  Dummy Load1</t>
  </si>
  <si>
    <t>Do you need a  Dummy Load2</t>
  </si>
  <si>
    <t>LM5185EVM-SIO PCB Design, 2.4" x 3.6" (60mm x 90mm)</t>
  </si>
  <si>
    <t xml:space="preserve">&lt;--Please input the effective capacitance under the actual dc voltage bias of the designated outpt rail. </t>
  </si>
  <si>
    <t>Slecct  Diode Forward Drop VF, Output #2</t>
  </si>
  <si>
    <r>
      <t>Flyback Diode Voltage Drop, VF</t>
    </r>
    <r>
      <rPr>
        <b/>
        <vertAlign val="subscript"/>
        <sz val="10"/>
        <rFont val="Arial"/>
        <family val="2"/>
      </rPr>
      <t>(no-load)</t>
    </r>
  </si>
  <si>
    <r>
      <t>Flyback Diode Voltage Drop, VF</t>
    </r>
    <r>
      <rPr>
        <vertAlign val="subscript"/>
        <sz val="10"/>
        <rFont val="Arial"/>
        <family val="2"/>
      </rPr>
      <t>(full-load)</t>
    </r>
  </si>
  <si>
    <t xml:space="preserve">Important: Remember to update Cell E80 below, which is VF at no load, in order to get a more accurate output voltage setting in Step 7. </t>
  </si>
  <si>
    <r>
      <t>C</t>
    </r>
    <r>
      <rPr>
        <vertAlign val="subscript"/>
        <sz val="10"/>
        <rFont val="Arial"/>
        <family val="2"/>
      </rPr>
      <t>VCC</t>
    </r>
  </si>
  <si>
    <t>Capacitor, Ceramic, 1µF, 25V, X7R, 10%</t>
  </si>
  <si>
    <r>
      <t>C</t>
    </r>
    <r>
      <rPr>
        <vertAlign val="subscript"/>
        <sz val="10"/>
        <rFont val="Arial"/>
        <family val="2"/>
      </rPr>
      <t>COMP</t>
    </r>
  </si>
  <si>
    <r>
      <t>C</t>
    </r>
    <r>
      <rPr>
        <vertAlign val="subscript"/>
        <sz val="10"/>
        <rFont val="Arial"/>
        <family val="2"/>
      </rPr>
      <t>HF</t>
    </r>
  </si>
  <si>
    <r>
      <t>R</t>
    </r>
    <r>
      <rPr>
        <vertAlign val="subscript"/>
        <sz val="10"/>
        <rFont val="Arial"/>
        <family val="2"/>
      </rPr>
      <t>COMP</t>
    </r>
  </si>
  <si>
    <r>
      <t>R</t>
    </r>
    <r>
      <rPr>
        <vertAlign val="subscript"/>
        <sz val="10"/>
        <rFont val="Arial"/>
        <family val="2"/>
      </rPr>
      <t>CS</t>
    </r>
  </si>
  <si>
    <t>Non-inductive Chip Power Resistor, 1%</t>
  </si>
  <si>
    <r>
      <t>C</t>
    </r>
    <r>
      <rPr>
        <vertAlign val="subscript"/>
        <sz val="10"/>
        <rFont val="Arial"/>
        <family val="2"/>
      </rPr>
      <t>FLT</t>
    </r>
  </si>
  <si>
    <t>Capacitor, Ceramic, 100pF, 50V, X7R, 10%</t>
  </si>
  <si>
    <r>
      <t>R</t>
    </r>
    <r>
      <rPr>
        <vertAlign val="subscript"/>
        <sz val="10"/>
        <rFont val="Arial"/>
        <family val="2"/>
      </rPr>
      <t>FLT</t>
    </r>
  </si>
  <si>
    <r>
      <t>LM5185-Q1 Low I</t>
    </r>
    <r>
      <rPr>
        <b/>
        <vertAlign val="subscript"/>
        <sz val="16"/>
        <rFont val="Arial"/>
        <family val="2"/>
      </rPr>
      <t>Q</t>
    </r>
    <r>
      <rPr>
        <b/>
        <sz val="16"/>
        <rFont val="Arial"/>
        <family val="2"/>
      </rPr>
      <t>, High Efficiency, PSR Flyback Converter BOM</t>
    </r>
  </si>
  <si>
    <t>LM5185-Q1</t>
  </si>
  <si>
    <t>IC, LM5185-Q1, PSR Flyback Controller, 4.5V–100V Input</t>
  </si>
  <si>
    <t>HTSSOP14</t>
  </si>
  <si>
    <r>
      <t>D</t>
    </r>
    <r>
      <rPr>
        <vertAlign val="subscript"/>
        <sz val="10"/>
        <rFont val="Arial"/>
        <family val="2"/>
      </rPr>
      <t>Z1</t>
    </r>
  </si>
  <si>
    <r>
      <t>D</t>
    </r>
    <r>
      <rPr>
        <vertAlign val="subscript"/>
        <sz val="10"/>
        <rFont val="Arial"/>
        <family val="2"/>
      </rPr>
      <t>Z2</t>
    </r>
  </si>
  <si>
    <t>2510</t>
  </si>
  <si>
    <t>9.3 x 2.7</t>
  </si>
  <si>
    <t>(Always reserve the snubber position on PCB and validatate experimentally.)</t>
  </si>
  <si>
    <t>LM5185EVM-MIO PCB Design, (Multiple Outputs, coming soon)</t>
  </si>
  <si>
    <t>* Choose a transformer with saturation current rating higher than the max peak current limit setting for all operating temperatures *</t>
  </si>
  <si>
    <t xml:space="preserve"> LM5185-Q1 PSR Flyback Controller Design Tool</t>
  </si>
  <si>
    <r>
      <t>Q</t>
    </r>
    <r>
      <rPr>
        <vertAlign val="subscript"/>
        <sz val="10"/>
        <rFont val="Arial"/>
        <family val="2"/>
      </rPr>
      <t>1</t>
    </r>
  </si>
  <si>
    <t>Power MOSFET</t>
  </si>
  <si>
    <t>SO-8</t>
  </si>
  <si>
    <t>5.0 x 6.0</t>
  </si>
  <si>
    <t>5.0 x 6.4</t>
  </si>
  <si>
    <t>22mm x 17mm</t>
  </si>
  <si>
    <t>11 x 14</t>
  </si>
  <si>
    <t>23 x 17</t>
  </si>
  <si>
    <t>Toff Max</t>
  </si>
  <si>
    <r>
      <t xml:space="preserve">Estimated Thermal Impedance, </t>
    </r>
    <r>
      <rPr>
        <sz val="11"/>
        <rFont val="Symbol"/>
        <family val="1"/>
        <charset val="2"/>
      </rPr>
      <t>J</t>
    </r>
    <r>
      <rPr>
        <vertAlign val="subscript"/>
        <sz val="10"/>
        <rFont val="Arial"/>
        <family val="2"/>
      </rPr>
      <t>JA</t>
    </r>
  </si>
  <si>
    <t>Recommended Zener VoltageSelection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</si>
</sst>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0000"/>
    <numFmt numFmtId="165" formatCode="0.0000"/>
    <numFmt numFmtId="166" formatCode="0.000"/>
    <numFmt numFmtId="167" formatCode="0.0"/>
    <numFmt numFmtId="168" formatCode="0.000E+00"/>
    <numFmt numFmtId="169" formatCode="#0.0#"/>
    <numFmt numFmtId="170" formatCode="General&quot;k&quot;"/>
    <numFmt numFmtId="171" formatCode="General&quot;µF&quot;"/>
    <numFmt numFmtId="172" formatCode="General&quot;µH&quot;"/>
    <numFmt numFmtId="173" formatCode="&quot;Inductor, &quot;General&quot;-µH, 10%&quot;"/>
    <numFmt numFmtId="174" formatCode="&quot;Resistor, Chip, &quot;General&quot;-kΩ, 1/16W, 1%&quot;"/>
    <numFmt numFmtId="175" formatCode="0.E+00"/>
    <numFmt numFmtId="176" formatCode="0.0E+00"/>
    <numFmt numFmtId="177" formatCode="&quot;Capacitor, Ceramic, &quot;General&quot;-µF, 100V, X7R, 20%&quot;"/>
    <numFmt numFmtId="178" formatCode="0.000%"/>
    <numFmt numFmtId="179" formatCode="&quot;Capacitor, Ceramic, &quot;General&quot;-µF, 16V, X7R, 20%&quot;"/>
    <numFmt numFmtId="180" formatCode="&quot;Resistor, Chip, &quot;General&quot; kΩ, 1/16W, 1%&quot;"/>
    <numFmt numFmtId="181" formatCode="General&quot;M&quot;"/>
    <numFmt numFmtId="182" formatCode="&quot;Resistor, Chip, &quot;General&quot;kΩ, 1/16W, 1%&quot;"/>
    <numFmt numFmtId="183" formatCode="0E+00"/>
    <numFmt numFmtId="184" formatCode="0.000000"/>
  </numFmts>
  <fonts count="93">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sz val="36"/>
      <color rgb="FFFF0000"/>
      <name val="Arial"/>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0"/>
      <color rgb="FF0000FF"/>
      <name val="Arial"/>
      <family val="2"/>
    </font>
    <font>
      <u/>
      <sz val="10"/>
      <color theme="0" tint="-0.499984740745262"/>
      <name val="Arial"/>
      <family val="2"/>
    </font>
    <font>
      <vertAlign val="subscript"/>
      <sz val="9"/>
      <color indexed="81"/>
      <name val="Tahoma"/>
      <family val="2"/>
    </font>
    <font>
      <b/>
      <vertAlign val="subscript"/>
      <sz val="16"/>
      <name val="Arial"/>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sz val="6"/>
      <name val="ＭＳ Ｐゴシック"/>
      <family val="3"/>
      <charset val="128"/>
    </font>
    <font>
      <b/>
      <sz val="16"/>
      <name val="Calibri"/>
      <family val="2"/>
    </font>
    <font>
      <b/>
      <vertAlign val="subscript"/>
      <sz val="16"/>
      <name val="Calibri"/>
      <family val="2"/>
    </font>
    <font>
      <sz val="20"/>
      <color rgb="FFFF0000"/>
      <name val="Arial"/>
      <family val="2"/>
    </font>
    <font>
      <i/>
      <sz val="14"/>
      <color indexed="12"/>
      <name val="Arial"/>
      <family val="2"/>
    </font>
    <font>
      <vertAlign val="subscript"/>
      <sz val="10"/>
      <color theme="1"/>
      <name val="Arial"/>
      <family val="2"/>
    </font>
    <font>
      <b/>
      <i/>
      <sz val="9"/>
      <color indexed="81"/>
      <name val="Tahoma"/>
      <family val="2"/>
    </font>
    <font>
      <b/>
      <vertAlign val="subscript"/>
      <sz val="10"/>
      <color rgb="FF0000FF"/>
      <name val="Arial"/>
      <family val="2"/>
    </font>
    <font>
      <b/>
      <sz val="10"/>
      <color indexed="10"/>
      <name val="Arial"/>
      <family val="2"/>
    </font>
    <font>
      <sz val="11"/>
      <name val="Symbol"/>
      <family val="1"/>
      <charset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auto="1"/>
      </right>
      <top/>
      <bottom/>
      <diagonal/>
    </border>
  </borders>
  <cellStyleXfs count="8">
    <xf numFmtId="0" fontId="0" fillId="0" borderId="0"/>
    <xf numFmtId="0" fontId="4" fillId="0" borderId="0" applyNumberForma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43" fontId="2" fillId="0" borderId="0" applyFont="0" applyFill="0" applyBorder="0" applyAlignment="0" applyProtection="0"/>
    <xf numFmtId="9" fontId="70" fillId="0" borderId="0" applyFont="0" applyFill="0" applyBorder="0" applyAlignment="0" applyProtection="0"/>
  </cellStyleXfs>
  <cellXfs count="973">
    <xf numFmtId="0" fontId="0" fillId="0" borderId="0" xfId="0"/>
    <xf numFmtId="0" fontId="23" fillId="24" borderId="0" xfId="0" applyFont="1" applyFill="1" applyBorder="1" applyAlignment="1" applyProtection="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0" borderId="0" xfId="0" applyBorder="1"/>
    <xf numFmtId="2" fontId="0" fillId="0" borderId="0" xfId="0" applyNumberFormat="1" applyBorder="1"/>
    <xf numFmtId="0" fontId="0" fillId="4" borderId="2" xfId="0" applyFill="1" applyBorder="1"/>
    <xf numFmtId="0" fontId="0" fillId="4" borderId="0" xfId="0" applyFill="1" applyBorder="1"/>
    <xf numFmtId="0" fontId="0" fillId="0" borderId="0" xfId="0" applyFill="1"/>
    <xf numFmtId="0" fontId="0" fillId="0" borderId="0" xfId="0" applyFill="1" applyBorder="1"/>
    <xf numFmtId="0" fontId="15" fillId="0" borderId="0" xfId="0" applyFont="1" applyFill="1" applyBorder="1"/>
    <xf numFmtId="0" fontId="4" fillId="0" borderId="0" xfId="0" applyFont="1" applyFill="1" applyBorder="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Fill="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69" fontId="17" fillId="3" borderId="0" xfId="0" applyNumberFormat="1" applyFont="1" applyFill="1" applyBorder="1" applyAlignment="1" applyProtection="1">
      <alignment horizontal="center"/>
    </xf>
    <xf numFmtId="0" fontId="0" fillId="0" borderId="22" xfId="0" applyBorder="1"/>
    <xf numFmtId="0" fontId="0" fillId="0" borderId="23" xfId="0" applyBorder="1"/>
    <xf numFmtId="0" fontId="8" fillId="0" borderId="22" xfId="0" applyFont="1" applyBorder="1"/>
    <xf numFmtId="0" fontId="0" fillId="11" borderId="0" xfId="0" applyFill="1" applyBorder="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applyBorder="1"/>
    <xf numFmtId="0" fontId="0" fillId="10" borderId="0" xfId="0" applyFill="1" applyBorder="1"/>
    <xf numFmtId="0" fontId="0" fillId="0" borderId="0" xfId="0" applyBorder="1" applyAlignment="1">
      <alignment horizontal="right"/>
    </xf>
    <xf numFmtId="0" fontId="0" fillId="0" borderId="25" xfId="0" applyBorder="1" applyAlignment="1">
      <alignment horizontal="right"/>
    </xf>
    <xf numFmtId="0" fontId="4" fillId="0" borderId="0" xfId="0" applyFont="1" applyBorder="1"/>
    <xf numFmtId="11" fontId="7" fillId="0" borderId="25" xfId="0" applyNumberFormat="1" applyFont="1" applyBorder="1"/>
    <xf numFmtId="11" fontId="0" fillId="4" borderId="0" xfId="0" applyNumberFormat="1" applyFill="1" applyBorder="1"/>
    <xf numFmtId="0" fontId="4" fillId="0" borderId="0" xfId="0" applyFont="1" applyFill="1" applyBorder="1" applyAlignment="1"/>
    <xf numFmtId="0" fontId="8" fillId="0" borderId="0" xfId="0" applyFont="1" applyFill="1" applyBorder="1" applyAlignment="1"/>
    <xf numFmtId="0" fontId="8" fillId="0" borderId="0" xfId="0" applyFont="1" applyFill="1" applyBorder="1"/>
    <xf numFmtId="0" fontId="17" fillId="3" borderId="0" xfId="0" applyFont="1" applyFill="1" applyBorder="1" applyProtection="1"/>
    <xf numFmtId="0" fontId="17" fillId="3" borderId="0" xfId="0" applyFont="1" applyFill="1" applyProtection="1"/>
    <xf numFmtId="0" fontId="18" fillId="8" borderId="0" xfId="0" applyFont="1" applyFill="1" applyBorder="1" applyAlignment="1" applyProtection="1"/>
    <xf numFmtId="0" fontId="18" fillId="8" borderId="0" xfId="0" applyFont="1" applyFill="1" applyBorder="1" applyAlignment="1" applyProtection="1">
      <alignment horizontal="right"/>
    </xf>
    <xf numFmtId="0" fontId="17" fillId="8" borderId="0" xfId="0" applyFont="1" applyFill="1" applyBorder="1" applyProtection="1"/>
    <xf numFmtId="0" fontId="21" fillId="0" borderId="0" xfId="0" applyFont="1" applyBorder="1"/>
    <xf numFmtId="0" fontId="4" fillId="0" borderId="0" xfId="0" applyFont="1" applyBorder="1" applyAlignment="1">
      <alignment horizontal="center"/>
    </xf>
    <xf numFmtId="0" fontId="0" fillId="0" borderId="1" xfId="0" applyBorder="1"/>
    <xf numFmtId="0" fontId="0" fillId="0" borderId="2" xfId="0" applyBorder="1" applyAlignment="1">
      <alignment horizontal="right"/>
    </xf>
    <xf numFmtId="0" fontId="22" fillId="0" borderId="0" xfId="0" applyFont="1" applyBorder="1"/>
    <xf numFmtId="0" fontId="4" fillId="0" borderId="22" xfId="0" applyFont="1" applyFill="1" applyBorder="1"/>
    <xf numFmtId="0" fontId="8" fillId="0" borderId="22" xfId="0" applyFont="1" applyFill="1" applyBorder="1"/>
    <xf numFmtId="0" fontId="0" fillId="0" borderId="2" xfId="0" applyBorder="1" applyAlignment="1"/>
    <xf numFmtId="0" fontId="27" fillId="0" borderId="0" xfId="0" applyFont="1" applyBorder="1"/>
    <xf numFmtId="0" fontId="27" fillId="4" borderId="0" xfId="0" applyFont="1" applyFill="1" applyBorder="1"/>
    <xf numFmtId="0" fontId="0" fillId="0" borderId="0" xfId="0" applyFont="1" applyFill="1" applyBorder="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3" xfId="0" applyFont="1" applyFill="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applyBorder="1" applyProtection="1"/>
    <xf numFmtId="2" fontId="17" fillId="8" borderId="0" xfId="0" applyNumberFormat="1" applyFont="1" applyFill="1" applyBorder="1" applyProtection="1"/>
    <xf numFmtId="165" fontId="17" fillId="8" borderId="0" xfId="0" applyNumberFormat="1" applyFont="1" applyFill="1" applyBorder="1" applyProtection="1"/>
    <xf numFmtId="0" fontId="17" fillId="12" borderId="0" xfId="0" applyFont="1" applyFill="1" applyProtection="1"/>
    <xf numFmtId="0" fontId="3" fillId="0" borderId="0" xfId="0" applyFont="1"/>
    <xf numFmtId="0" fontId="3" fillId="0" borderId="0" xfId="0" applyFont="1" applyBorder="1"/>
    <xf numFmtId="0" fontId="0" fillId="0" borderId="0" xfId="0" applyBorder="1" applyAlignment="1">
      <alignment horizontal="left"/>
    </xf>
    <xf numFmtId="0" fontId="3" fillId="0" borderId="2" xfId="0" applyFont="1" applyBorder="1"/>
    <xf numFmtId="0" fontId="3" fillId="0" borderId="25" xfId="0" applyFont="1" applyBorder="1"/>
    <xf numFmtId="0" fontId="30" fillId="8" borderId="0" xfId="0" applyFont="1" applyFill="1" applyBorder="1" applyAlignment="1" applyProtection="1"/>
    <xf numFmtId="0" fontId="17" fillId="12" borderId="0" xfId="0" applyFont="1" applyFill="1" applyBorder="1" applyProtection="1"/>
    <xf numFmtId="0" fontId="20" fillId="15" borderId="0" xfId="0" applyFont="1" applyFill="1" applyBorder="1" applyAlignment="1" applyProtection="1">
      <alignment vertical="center"/>
    </xf>
    <xf numFmtId="0" fontId="0" fillId="14" borderId="0" xfId="0" applyFill="1"/>
    <xf numFmtId="0" fontId="42" fillId="14" borderId="0" xfId="0" applyFont="1" applyFill="1"/>
    <xf numFmtId="0" fontId="4" fillId="8" borderId="0" xfId="0" applyFont="1" applyFill="1" applyBorder="1" applyAlignment="1" applyProtection="1">
      <alignment horizontal="right"/>
    </xf>
    <xf numFmtId="0" fontId="3" fillId="8" borderId="0" xfId="0" applyFont="1" applyFill="1" applyBorder="1" applyAlignment="1" applyProtection="1">
      <alignment horizontal="right"/>
    </xf>
    <xf numFmtId="0" fontId="3" fillId="8" borderId="22" xfId="0" applyFont="1" applyFill="1" applyBorder="1" applyProtection="1"/>
    <xf numFmtId="0" fontId="3" fillId="8" borderId="0" xfId="0" applyFont="1" applyFill="1" applyBorder="1" applyProtection="1"/>
    <xf numFmtId="0" fontId="45" fillId="8" borderId="0" xfId="0" applyFont="1" applyFill="1" applyBorder="1" applyProtection="1"/>
    <xf numFmtId="0" fontId="46" fillId="8" borderId="0" xfId="0" applyFont="1" applyFill="1" applyBorder="1" applyProtection="1"/>
    <xf numFmtId="0" fontId="47" fillId="8" borderId="0" xfId="0" applyFont="1" applyFill="1" applyBorder="1" applyAlignment="1" applyProtection="1"/>
    <xf numFmtId="0" fontId="4" fillId="8" borderId="0" xfId="0" applyFont="1" applyFill="1" applyBorder="1" applyAlignment="1" applyProtection="1"/>
    <xf numFmtId="167" fontId="4" fillId="8" borderId="0" xfId="0" applyNumberFormat="1" applyFont="1" applyFill="1" applyBorder="1" applyAlignment="1" applyProtection="1"/>
    <xf numFmtId="0" fontId="47" fillId="8" borderId="0" xfId="0" applyFont="1" applyFill="1" applyBorder="1" applyProtection="1"/>
    <xf numFmtId="0" fontId="4" fillId="8" borderId="0" xfId="0" applyFont="1" applyFill="1" applyBorder="1" applyProtection="1"/>
    <xf numFmtId="0" fontId="4" fillId="8" borderId="22" xfId="0" applyFont="1" applyFill="1" applyBorder="1" applyProtection="1"/>
    <xf numFmtId="0" fontId="4" fillId="15" borderId="0" xfId="0" applyFont="1" applyFill="1" applyBorder="1" applyProtection="1">
      <protection locked="0"/>
    </xf>
    <xf numFmtId="1" fontId="44" fillId="8" borderId="0" xfId="0" applyNumberFormat="1" applyFont="1" applyFill="1" applyBorder="1" applyAlignment="1" applyProtection="1">
      <alignment horizontal="right"/>
    </xf>
    <xf numFmtId="0" fontId="50" fillId="8" borderId="0" xfId="0" applyFont="1" applyFill="1" applyBorder="1" applyAlignment="1" applyProtection="1">
      <alignment horizontal="right"/>
    </xf>
    <xf numFmtId="0" fontId="3" fillId="8" borderId="24" xfId="0" applyFont="1" applyFill="1" applyBorder="1" applyProtection="1"/>
    <xf numFmtId="0" fontId="3" fillId="8" borderId="25" xfId="0" applyFont="1" applyFill="1" applyBorder="1" applyProtection="1"/>
    <xf numFmtId="0" fontId="3" fillId="8" borderId="23" xfId="0" applyFont="1" applyFill="1" applyBorder="1" applyProtection="1"/>
    <xf numFmtId="0" fontId="3" fillId="8" borderId="39" xfId="0" applyFont="1" applyFill="1" applyBorder="1" applyProtection="1"/>
    <xf numFmtId="0" fontId="3" fillId="8" borderId="40" xfId="0" applyFont="1" applyFill="1" applyBorder="1" applyProtection="1"/>
    <xf numFmtId="0" fontId="22" fillId="8" borderId="22" xfId="0" applyFont="1" applyFill="1" applyBorder="1" applyAlignment="1" applyProtection="1">
      <alignment vertical="center"/>
    </xf>
    <xf numFmtId="0" fontId="17" fillId="3" borderId="22" xfId="0" applyFont="1" applyFill="1" applyBorder="1" applyProtection="1"/>
    <xf numFmtId="0" fontId="4" fillId="8" borderId="39" xfId="0" applyFont="1" applyFill="1" applyBorder="1" applyProtection="1"/>
    <xf numFmtId="0" fontId="3" fillId="0" borderId="1" xfId="0" applyFont="1" applyBorder="1"/>
    <xf numFmtId="0" fontId="3" fillId="0" borderId="22" xfId="0" applyFont="1" applyBorder="1"/>
    <xf numFmtId="0" fontId="3" fillId="0" borderId="0" xfId="0" applyFont="1" applyFill="1" applyBorder="1"/>
    <xf numFmtId="2" fontId="0" fillId="0" borderId="0" xfId="0" applyNumberFormat="1" applyBorder="1" applyAlignment="1">
      <alignment horizontal="right"/>
    </xf>
    <xf numFmtId="0" fontId="53" fillId="0" borderId="0" xfId="0" applyFont="1" applyBorder="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0"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1" fontId="3" fillId="16" borderId="11" xfId="4" applyNumberFormat="1" applyFill="1" applyBorder="1" applyAlignment="1">
      <alignment horizontal="center" vertical="center"/>
    </xf>
    <xf numFmtId="0" fontId="3" fillId="12" borderId="0" xfId="4" applyFill="1"/>
    <xf numFmtId="1" fontId="0" fillId="4" borderId="0" xfId="0" applyNumberFormat="1" applyFill="1" applyBorder="1"/>
    <xf numFmtId="0" fontId="3" fillId="8" borderId="0" xfId="0" applyFont="1" applyFill="1" applyBorder="1" applyAlignment="1" applyProtection="1">
      <alignment vertical="center"/>
    </xf>
    <xf numFmtId="0" fontId="3" fillId="8" borderId="22" xfId="0" applyFont="1" applyFill="1" applyBorder="1" applyAlignment="1" applyProtection="1">
      <alignment vertical="center"/>
    </xf>
    <xf numFmtId="0" fontId="3" fillId="8" borderId="0" xfId="0" applyFont="1" applyFill="1" applyBorder="1" applyAlignment="1" applyProtection="1">
      <alignment horizontal="right" vertical="center"/>
    </xf>
    <xf numFmtId="0" fontId="3" fillId="8" borderId="23" xfId="0" applyFont="1" applyFill="1" applyBorder="1" applyAlignment="1" applyProtection="1">
      <alignment vertical="center"/>
    </xf>
    <xf numFmtId="0" fontId="3" fillId="8" borderId="24" xfId="0" applyFont="1" applyFill="1" applyBorder="1" applyAlignment="1" applyProtection="1">
      <alignment vertical="center"/>
    </xf>
    <xf numFmtId="0" fontId="3" fillId="8" borderId="25" xfId="0" applyFont="1" applyFill="1" applyBorder="1" applyAlignment="1" applyProtection="1">
      <alignment vertical="center"/>
    </xf>
    <xf numFmtId="0" fontId="3" fillId="8" borderId="26" xfId="0" applyFont="1" applyFill="1" applyBorder="1" applyAlignment="1" applyProtection="1">
      <alignment vertical="center"/>
    </xf>
    <xf numFmtId="0" fontId="3" fillId="8" borderId="37" xfId="0" applyFont="1" applyFill="1" applyBorder="1" applyAlignment="1" applyProtection="1">
      <alignment vertical="center"/>
    </xf>
    <xf numFmtId="0" fontId="3" fillId="8" borderId="2" xfId="0" applyFont="1" applyFill="1" applyBorder="1" applyAlignment="1" applyProtection="1">
      <alignment vertical="center"/>
    </xf>
    <xf numFmtId="0" fontId="50"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vertical="center"/>
      <protection locked="0"/>
    </xf>
    <xf numFmtId="0" fontId="4" fillId="8" borderId="23" xfId="0" applyFont="1" applyFill="1" applyBorder="1" applyAlignment="1" applyProtection="1">
      <alignment vertical="center"/>
    </xf>
    <xf numFmtId="1" fontId="3" fillId="8" borderId="0" xfId="0" applyNumberFormat="1" applyFont="1" applyFill="1" applyBorder="1" applyAlignment="1" applyProtection="1">
      <alignment horizontal="right" vertical="center"/>
    </xf>
    <xf numFmtId="0" fontId="50" fillId="12" borderId="0" xfId="0" applyFont="1" applyFill="1" applyBorder="1" applyAlignment="1" applyProtection="1">
      <alignment horizontal="right" vertical="center"/>
    </xf>
    <xf numFmtId="0" fontId="4" fillId="15" borderId="0" xfId="0" applyFont="1" applyFill="1" applyBorder="1" applyAlignment="1" applyProtection="1">
      <alignment vertical="center"/>
      <protection locked="0"/>
    </xf>
    <xf numFmtId="0" fontId="4" fillId="8" borderId="0" xfId="0" applyFont="1" applyFill="1" applyBorder="1" applyAlignment="1" applyProtection="1">
      <alignment vertical="center"/>
    </xf>
    <xf numFmtId="0" fontId="4"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horizontal="right" vertical="center"/>
      <protection locked="0"/>
    </xf>
    <xf numFmtId="0" fontId="3" fillId="8" borderId="39" xfId="0" applyFont="1" applyFill="1" applyBorder="1" applyAlignment="1" applyProtection="1">
      <alignment vertical="center"/>
    </xf>
    <xf numFmtId="0" fontId="0" fillId="0" borderId="35" xfId="0" applyBorder="1"/>
    <xf numFmtId="0" fontId="0" fillId="18" borderId="0" xfId="0" applyFill="1" applyBorder="1"/>
    <xf numFmtId="0" fontId="3" fillId="0" borderId="0" xfId="0" applyFont="1" applyBorder="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Border="1" applyAlignment="1">
      <alignment horizontal="left"/>
    </xf>
    <xf numFmtId="166" fontId="7" fillId="10" borderId="0" xfId="0" applyNumberFormat="1" applyFont="1" applyFill="1" applyBorder="1"/>
    <xf numFmtId="2" fontId="0" fillId="18" borderId="0" xfId="0" applyNumberFormat="1" applyFill="1" applyBorder="1"/>
    <xf numFmtId="1" fontId="0" fillId="10" borderId="0" xfId="0" applyNumberFormat="1" applyFill="1" applyBorder="1"/>
    <xf numFmtId="0" fontId="3" fillId="0" borderId="35" xfId="0" applyFont="1" applyFill="1" applyBorder="1"/>
    <xf numFmtId="0" fontId="3" fillId="0" borderId="24" xfId="0" applyFont="1" applyBorder="1"/>
    <xf numFmtId="0" fontId="7" fillId="0" borderId="25" xfId="0" applyFont="1" applyFill="1" applyBorder="1"/>
    <xf numFmtId="167" fontId="0" fillId="0" borderId="0" xfId="0" applyNumberFormat="1" applyFill="1" applyBorder="1"/>
    <xf numFmtId="0" fontId="4" fillId="0" borderId="45" xfId="0" applyFont="1" applyFill="1" applyBorder="1"/>
    <xf numFmtId="0" fontId="0" fillId="20" borderId="0" xfId="0" applyFill="1" applyBorder="1"/>
    <xf numFmtId="0" fontId="3" fillId="0" borderId="0" xfId="4"/>
    <xf numFmtId="0" fontId="3" fillId="0" borderId="11" xfId="4" applyBorder="1"/>
    <xf numFmtId="2" fontId="3" fillId="0" borderId="0" xfId="4" applyNumberFormat="1"/>
    <xf numFmtId="166" fontId="0" fillId="0" borderId="0" xfId="0" applyNumberFormat="1"/>
    <xf numFmtId="1" fontId="7" fillId="10" borderId="0" xfId="0" applyNumberFormat="1" applyFont="1" applyFill="1" applyBorder="1"/>
    <xf numFmtId="0" fontId="3" fillId="0" borderId="49" xfId="0" applyFont="1" applyBorder="1"/>
    <xf numFmtId="166" fontId="3" fillId="0" borderId="50" xfId="0" applyNumberFormat="1" applyFont="1" applyFill="1" applyBorder="1"/>
    <xf numFmtId="11" fontId="7" fillId="0" borderId="50" xfId="0" applyNumberFormat="1" applyFont="1" applyBorder="1"/>
    <xf numFmtId="0" fontId="53" fillId="0" borderId="50" xfId="0" applyFont="1" applyBorder="1"/>
    <xf numFmtId="0" fontId="49" fillId="0" borderId="0" xfId="0" applyFont="1"/>
    <xf numFmtId="0" fontId="0" fillId="0" borderId="39" xfId="0" applyBorder="1"/>
    <xf numFmtId="0" fontId="50" fillId="0" borderId="0" xfId="0" applyFont="1"/>
    <xf numFmtId="0" fontId="48" fillId="0" borderId="0" xfId="0" applyFont="1" applyFill="1" applyBorder="1"/>
    <xf numFmtId="165" fontId="7" fillId="10" borderId="0" xfId="0" applyNumberFormat="1" applyFont="1" applyFill="1" applyBorder="1"/>
    <xf numFmtId="0" fontId="0" fillId="20" borderId="0" xfId="0" applyFill="1" applyBorder="1" applyAlignment="1">
      <alignment horizontal="right"/>
    </xf>
    <xf numFmtId="166" fontId="27" fillId="18" borderId="0" xfId="0" applyNumberFormat="1" applyFont="1" applyFill="1" applyBorder="1"/>
    <xf numFmtId="0" fontId="0" fillId="19" borderId="0" xfId="0" applyFill="1" applyBorder="1" applyAlignment="1">
      <alignment horizontal="right"/>
    </xf>
    <xf numFmtId="2" fontId="0" fillId="18" borderId="0" xfId="0" applyNumberFormat="1" applyFill="1" applyBorder="1" applyAlignment="1">
      <alignment horizontal="right"/>
    </xf>
    <xf numFmtId="0" fontId="3" fillId="0" borderId="11" xfId="4" applyFill="1" applyBorder="1"/>
    <xf numFmtId="0" fontId="3" fillId="0" borderId="0" xfId="4" applyFont="1"/>
    <xf numFmtId="166" fontId="3" fillId="0" borderId="11" xfId="4" applyNumberFormat="1" applyBorder="1"/>
    <xf numFmtId="0" fontId="0" fillId="19" borderId="0" xfId="0" applyFill="1" applyBorder="1"/>
    <xf numFmtId="2" fontId="3" fillId="0" borderId="0" xfId="0" applyNumberFormat="1" applyFont="1" applyFill="1" applyBorder="1"/>
    <xf numFmtId="0" fontId="3" fillId="20" borderId="0" xfId="0" applyFont="1" applyFill="1" applyBorder="1"/>
    <xf numFmtId="0" fontId="3" fillId="0" borderId="8" xfId="4" applyBorder="1"/>
    <xf numFmtId="176" fontId="0" fillId="10" borderId="0" xfId="0" applyNumberFormat="1" applyFill="1" applyBorder="1"/>
    <xf numFmtId="176" fontId="0" fillId="4" borderId="25" xfId="0" applyNumberFormat="1" applyFill="1" applyBorder="1"/>
    <xf numFmtId="1" fontId="3" fillId="0" borderId="0" xfId="4" applyNumberFormat="1"/>
    <xf numFmtId="0" fontId="0" fillId="0" borderId="0" xfId="0" applyNumberFormat="1" applyBorder="1"/>
    <xf numFmtId="0" fontId="0" fillId="0" borderId="0" xfId="0" applyBorder="1" applyAlignment="1"/>
    <xf numFmtId="0" fontId="15" fillId="0" borderId="33" xfId="0" applyFont="1" applyBorder="1"/>
    <xf numFmtId="0" fontId="15" fillId="0" borderId="0" xfId="0" applyFont="1" applyBorder="1"/>
    <xf numFmtId="0" fontId="54" fillId="3" borderId="43" xfId="4" applyFont="1" applyFill="1" applyBorder="1" applyAlignment="1">
      <alignment horizontal="center" vertical="center"/>
    </xf>
    <xf numFmtId="0" fontId="54" fillId="3" borderId="44" xfId="4" applyFont="1" applyFill="1" applyBorder="1" applyAlignment="1">
      <alignment horizontal="center" vertical="center"/>
    </xf>
    <xf numFmtId="11" fontId="49" fillId="0" borderId="0" xfId="0" applyNumberFormat="1" applyFont="1"/>
    <xf numFmtId="0" fontId="59" fillId="0" borderId="0" xfId="0" applyFont="1" applyFill="1" applyBorder="1"/>
    <xf numFmtId="0" fontId="3" fillId="8" borderId="35" xfId="0" applyFont="1" applyFill="1" applyBorder="1" applyAlignment="1" applyProtection="1">
      <alignment horizontal="right" vertical="center"/>
    </xf>
    <xf numFmtId="0" fontId="3" fillId="0" borderId="24" xfId="0" applyFont="1" applyFill="1" applyBorder="1"/>
    <xf numFmtId="0" fontId="3" fillId="8" borderId="39" xfId="0" applyFont="1" applyFill="1" applyBorder="1" applyAlignment="1" applyProtection="1">
      <alignment horizontal="right"/>
    </xf>
    <xf numFmtId="1" fontId="3" fillId="8" borderId="39" xfId="0" applyNumberFormat="1" applyFont="1" applyFill="1" applyBorder="1" applyProtection="1"/>
    <xf numFmtId="166" fontId="17" fillId="12" borderId="0" xfId="0" applyNumberFormat="1" applyFont="1" applyFill="1" applyBorder="1" applyProtection="1"/>
    <xf numFmtId="0" fontId="3" fillId="12" borderId="0" xfId="0" applyNumberFormat="1" applyFont="1" applyFill="1" applyBorder="1" applyAlignment="1" applyProtection="1">
      <alignment horizontal="right" vertical="center"/>
    </xf>
    <xf numFmtId="165" fontId="17" fillId="12" borderId="0" xfId="0" applyNumberFormat="1" applyFont="1" applyFill="1" applyBorder="1" applyProtection="1"/>
    <xf numFmtId="0" fontId="3" fillId="12" borderId="0" xfId="0" applyFont="1" applyFill="1" applyBorder="1" applyAlignment="1" applyProtection="1">
      <alignment vertical="center"/>
    </xf>
    <xf numFmtId="0" fontId="4" fillId="12" borderId="0" xfId="0" applyFont="1" applyFill="1" applyBorder="1" applyAlignment="1" applyProtection="1">
      <alignment vertical="center"/>
    </xf>
    <xf numFmtId="0" fontId="61" fillId="8" borderId="0" xfId="0" applyFont="1" applyFill="1" applyBorder="1" applyAlignment="1" applyProtection="1">
      <alignment horizontal="right" vertical="center"/>
    </xf>
    <xf numFmtId="165" fontId="3" fillId="0" borderId="0" xfId="4" applyNumberFormat="1"/>
    <xf numFmtId="166" fontId="3" fillId="0" borderId="0" xfId="4" applyNumberFormat="1"/>
    <xf numFmtId="164" fontId="3" fillId="0" borderId="0" xfId="4" applyNumberFormat="1"/>
    <xf numFmtId="10" fontId="3" fillId="0" borderId="0" xfId="4" applyNumberFormat="1"/>
    <xf numFmtId="0" fontId="4" fillId="4" borderId="49" xfId="4" applyFont="1" applyFill="1" applyBorder="1" applyAlignment="1"/>
    <xf numFmtId="0" fontId="7" fillId="4" borderId="35" xfId="4" applyFont="1" applyFill="1" applyBorder="1" applyAlignment="1"/>
    <xf numFmtId="165" fontId="3" fillId="4" borderId="52" xfId="4" applyNumberFormat="1" applyFill="1" applyBorder="1"/>
    <xf numFmtId="165" fontId="4" fillId="4" borderId="49" xfId="4" applyNumberFormat="1" applyFont="1" applyFill="1" applyBorder="1" applyAlignment="1"/>
    <xf numFmtId="165" fontId="7" fillId="4" borderId="50" xfId="4" applyNumberFormat="1" applyFont="1" applyFill="1" applyBorder="1" applyAlignment="1"/>
    <xf numFmtId="0" fontId="7" fillId="4" borderId="50" xfId="4" applyFont="1" applyFill="1" applyBorder="1" applyAlignment="1"/>
    <xf numFmtId="165" fontId="15" fillId="4" borderId="52" xfId="4" applyNumberFormat="1" applyFont="1" applyFill="1" applyBorder="1"/>
    <xf numFmtId="166" fontId="4" fillId="4" borderId="50" xfId="4" applyNumberFormat="1" applyFont="1" applyFill="1" applyBorder="1" applyAlignment="1">
      <alignment horizontal="left"/>
    </xf>
    <xf numFmtId="165" fontId="7" fillId="4" borderId="50" xfId="4" applyNumberFormat="1" applyFont="1" applyFill="1" applyBorder="1" applyAlignment="1">
      <alignment horizontal="center"/>
    </xf>
    <xf numFmtId="165" fontId="4" fillId="4" borderId="49" xfId="4" applyNumberFormat="1" applyFont="1" applyFill="1" applyBorder="1"/>
    <xf numFmtId="164" fontId="3" fillId="4" borderId="50" xfId="4" applyNumberFormat="1" applyFill="1" applyBorder="1"/>
    <xf numFmtId="164" fontId="3" fillId="4" borderId="52" xfId="4" applyNumberFormat="1" applyFill="1" applyBorder="1"/>
    <xf numFmtId="165" fontId="4" fillId="4" borderId="41" xfId="4" applyNumberFormat="1" applyFont="1" applyFill="1" applyBorder="1"/>
    <xf numFmtId="165" fontId="3" fillId="4" borderId="42" xfId="4" applyNumberFormat="1" applyFill="1" applyBorder="1"/>
    <xf numFmtId="165" fontId="4" fillId="4" borderId="41" xfId="4" applyNumberFormat="1" applyFont="1" applyFill="1" applyBorder="1" applyAlignment="1">
      <alignment horizontal="left"/>
    </xf>
    <xf numFmtId="165" fontId="4" fillId="4" borderId="42" xfId="4" applyNumberFormat="1" applyFont="1" applyFill="1" applyBorder="1" applyAlignment="1">
      <alignment horizontal="left"/>
    </xf>
    <xf numFmtId="165"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applyAlignment="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5" fontId="4" fillId="2" borderId="5" xfId="4" applyNumberFormat="1" applyFont="1" applyFill="1" applyBorder="1" applyAlignment="1">
      <alignment horizontal="center" vertical="center" wrapText="1"/>
    </xf>
    <xf numFmtId="166" fontId="4" fillId="2" borderId="20" xfId="4" applyNumberFormat="1" applyFont="1" applyFill="1" applyBorder="1" applyAlignment="1">
      <alignment horizontal="center" vertical="center" wrapText="1"/>
    </xf>
    <xf numFmtId="164" fontId="4" fillId="2" borderId="6" xfId="4" applyNumberFormat="1" applyFont="1" applyFill="1" applyBorder="1" applyAlignment="1">
      <alignment horizontal="center" vertical="center" wrapText="1"/>
    </xf>
    <xf numFmtId="164" fontId="4" fillId="2" borderId="7" xfId="4" applyNumberFormat="1" applyFont="1" applyFill="1" applyBorder="1" applyAlignment="1">
      <alignment horizontal="center" vertical="center" wrapText="1"/>
    </xf>
    <xf numFmtId="165" fontId="4" fillId="2" borderId="19" xfId="4" applyNumberFormat="1" applyFont="1" applyFill="1" applyBorder="1" applyAlignment="1">
      <alignment horizontal="center" vertical="center" wrapText="1"/>
    </xf>
    <xf numFmtId="165" fontId="4" fillId="2" borderId="21" xfId="4" applyNumberFormat="1" applyFont="1" applyFill="1" applyBorder="1" applyAlignment="1">
      <alignment horizontal="center" vertical="center" wrapText="1"/>
    </xf>
    <xf numFmtId="165" fontId="4" fillId="2" borderId="56" xfId="4" applyNumberFormat="1" applyFont="1" applyFill="1" applyBorder="1" applyAlignment="1">
      <alignment horizontal="center" vertical="center" wrapText="1"/>
    </xf>
    <xf numFmtId="165" fontId="4" fillId="2" borderId="57" xfId="4" applyNumberFormat="1" applyFont="1" applyFill="1" applyBorder="1" applyAlignment="1">
      <alignment horizontal="center" vertical="center" wrapText="1"/>
    </xf>
    <xf numFmtId="165"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Border="1" applyAlignment="1">
      <alignment horizontal="center" vertical="center" wrapText="1"/>
    </xf>
    <xf numFmtId="0" fontId="3" fillId="0" borderId="0" xfId="4" quotePrefix="1"/>
    <xf numFmtId="0" fontId="4" fillId="2" borderId="0" xfId="4" applyFont="1" applyFill="1" applyBorder="1" applyAlignment="1">
      <alignment horizontal="center" vertical="center" wrapText="1"/>
    </xf>
    <xf numFmtId="0" fontId="4" fillId="5" borderId="8" xfId="4" applyFont="1" applyFill="1" applyBorder="1" applyAlignment="1"/>
    <xf numFmtId="0" fontId="4" fillId="5" borderId="9" xfId="4" applyFont="1" applyFill="1" applyBorder="1" applyAlignment="1"/>
    <xf numFmtId="0" fontId="4" fillId="5" borderId="10" xfId="4" applyFont="1" applyFill="1" applyBorder="1" applyAlignment="1"/>
    <xf numFmtId="0" fontId="4" fillId="5" borderId="10" xfId="4" applyFont="1" applyFill="1" applyBorder="1"/>
    <xf numFmtId="0" fontId="4" fillId="5" borderId="11" xfId="4" applyFont="1" applyFill="1" applyBorder="1"/>
    <xf numFmtId="0" fontId="4" fillId="0" borderId="0" xfId="4" applyFont="1" applyFill="1" applyBorder="1"/>
    <xf numFmtId="168" fontId="3" fillId="0" borderId="0" xfId="4" applyNumberFormat="1"/>
    <xf numFmtId="11" fontId="3" fillId="0" borderId="0" xfId="4" applyNumberFormat="1"/>
    <xf numFmtId="2" fontId="3" fillId="0" borderId="11" xfId="4" applyNumberFormat="1" applyBorder="1"/>
    <xf numFmtId="1" fontId="3" fillId="0" borderId="0" xfId="4" applyNumberFormat="1" applyFont="1" applyProtection="1">
      <protection locked="0"/>
    </xf>
    <xf numFmtId="10" fontId="3" fillId="0" borderId="0" xfId="4" applyNumberFormat="1" applyFont="1" applyProtection="1">
      <protection locked="0"/>
    </xf>
    <xf numFmtId="10" fontId="3" fillId="0" borderId="0" xfId="4" applyNumberFormat="1" applyProtection="1">
      <protection locked="0"/>
    </xf>
    <xf numFmtId="0" fontId="4" fillId="6" borderId="12" xfId="4" applyFont="1" applyFill="1" applyBorder="1"/>
    <xf numFmtId="0" fontId="3" fillId="2" borderId="11" xfId="4" applyFont="1" applyFill="1" applyBorder="1" applyProtection="1">
      <protection locked="0"/>
    </xf>
    <xf numFmtId="0" fontId="3" fillId="0" borderId="11" xfId="4" applyFont="1" applyBorder="1"/>
    <xf numFmtId="0" fontId="4" fillId="6" borderId="11" xfId="4" applyFont="1" applyFill="1" applyBorder="1"/>
    <xf numFmtId="0" fontId="3" fillId="0" borderId="11" xfId="4" applyFont="1" applyFill="1" applyBorder="1"/>
    <xf numFmtId="0" fontId="53" fillId="0" borderId="11" xfId="4" applyFont="1" applyBorder="1"/>
    <xf numFmtId="0" fontId="3" fillId="4" borderId="11" xfId="4" applyFont="1" applyFill="1" applyBorder="1"/>
    <xf numFmtId="0" fontId="3" fillId="4" borderId="11" xfId="4" applyFont="1" applyFill="1" applyBorder="1" applyProtection="1">
      <protection locked="0"/>
    </xf>
    <xf numFmtId="0" fontId="14" fillId="3" borderId="0" xfId="4" applyFont="1" applyFill="1"/>
    <xf numFmtId="0" fontId="4" fillId="5" borderId="8" xfId="4" applyFont="1" applyFill="1" applyBorder="1"/>
    <xf numFmtId="0" fontId="4" fillId="5" borderId="9" xfId="4" applyFont="1" applyFill="1" applyBorder="1"/>
    <xf numFmtId="0" fontId="4" fillId="5" borderId="15" xfId="4" applyFont="1" applyFill="1" applyBorder="1"/>
    <xf numFmtId="0" fontId="3" fillId="4" borderId="11" xfId="4" applyFill="1" applyBorder="1"/>
    <xf numFmtId="166" fontId="15" fillId="22" borderId="11" xfId="4" applyNumberFormat="1" applyFont="1" applyFill="1" applyBorder="1"/>
    <xf numFmtId="0" fontId="3" fillId="0" borderId="15" xfId="4" applyFont="1"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2"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5" fontId="3" fillId="0" borderId="11" xfId="4" applyNumberFormat="1" applyBorder="1"/>
    <xf numFmtId="0" fontId="4" fillId="6" borderId="8" xfId="4" applyFont="1" applyFill="1" applyBorder="1"/>
    <xf numFmtId="0" fontId="4" fillId="0" borderId="0" xfId="4" applyFont="1" applyFill="1" applyBorder="1" applyAlignment="1">
      <alignment horizontal="right"/>
    </xf>
    <xf numFmtId="0" fontId="3" fillId="6" borderId="8" xfId="4" applyFill="1" applyBorder="1"/>
    <xf numFmtId="0" fontId="3" fillId="0" borderId="47" xfId="4" applyFont="1" applyFill="1" applyBorder="1"/>
    <xf numFmtId="0" fontId="53" fillId="0" borderId="15" xfId="4" applyFont="1" applyBorder="1"/>
    <xf numFmtId="0" fontId="3" fillId="6" borderId="8" xfId="4" applyFont="1" applyFill="1" applyBorder="1"/>
    <xf numFmtId="176" fontId="3" fillId="0" borderId="47" xfId="4" applyNumberFormat="1" applyFont="1" applyFill="1" applyBorder="1"/>
    <xf numFmtId="175" fontId="3" fillId="0" borderId="11" xfId="4" applyNumberFormat="1" applyFont="1" applyFill="1" applyBorder="1"/>
    <xf numFmtId="0" fontId="4" fillId="0" borderId="11" xfId="4" applyFont="1" applyFill="1" applyBorder="1"/>
    <xf numFmtId="0" fontId="4" fillId="6" borderId="48" xfId="4" applyFont="1" applyFill="1" applyBorder="1"/>
    <xf numFmtId="0" fontId="3" fillId="0" borderId="16" xfId="4" applyFont="1" applyBorder="1"/>
    <xf numFmtId="11" fontId="3" fillId="0" borderId="48" xfId="4" applyNumberFormat="1" applyBorder="1"/>
    <xf numFmtId="0" fontId="3" fillId="0" borderId="12" xfId="4" applyFont="1" applyFill="1" applyBorder="1"/>
    <xf numFmtId="0" fontId="4" fillId="5" borderId="0" xfId="4" applyFont="1" applyFill="1"/>
    <xf numFmtId="0" fontId="4" fillId="5" borderId="0" xfId="4" applyFont="1" applyFill="1" applyBorder="1"/>
    <xf numFmtId="0" fontId="4" fillId="5" borderId="14" xfId="4" applyFont="1" applyFill="1" applyBorder="1"/>
    <xf numFmtId="0" fontId="3" fillId="0" borderId="11" xfId="4" applyFont="1" applyFill="1" applyBorder="1" applyProtection="1">
      <protection locked="0"/>
    </xf>
    <xf numFmtId="0" fontId="3" fillId="6" borderId="9" xfId="4" applyFill="1" applyBorder="1"/>
    <xf numFmtId="0" fontId="3" fillId="0" borderId="47" xfId="4" applyFont="1" applyFill="1" applyBorder="1" applyProtection="1">
      <protection locked="0"/>
    </xf>
    <xf numFmtId="0" fontId="4" fillId="5" borderId="4" xfId="4" applyFont="1" applyFill="1" applyBorder="1" applyAlignment="1"/>
    <xf numFmtId="0" fontId="4" fillId="5" borderId="12" xfId="4" applyFont="1" applyFill="1" applyBorder="1"/>
    <xf numFmtId="0" fontId="3" fillId="6" borderId="11" xfId="4" applyFill="1" applyBorder="1"/>
    <xf numFmtId="0" fontId="3" fillId="0" borderId="51" xfId="4" applyFont="1" applyFill="1" applyBorder="1" applyProtection="1">
      <protection locked="0"/>
    </xf>
    <xf numFmtId="0" fontId="3" fillId="21" borderId="51" xfId="4" applyFont="1" applyFill="1" applyBorder="1" applyProtection="1">
      <protection locked="0"/>
    </xf>
    <xf numFmtId="0" fontId="3" fillId="0" borderId="0" xfId="4" applyFont="1" applyFill="1" applyBorder="1"/>
    <xf numFmtId="176" fontId="3" fillId="0" borderId="11" xfId="4" applyNumberFormat="1" applyBorder="1"/>
    <xf numFmtId="0" fontId="4" fillId="5" borderId="0" xfId="4" applyFont="1" applyFill="1" applyBorder="1" applyAlignment="1" applyProtection="1">
      <protection locked="0"/>
    </xf>
    <xf numFmtId="0" fontId="4" fillId="5" borderId="13" xfId="4" applyFont="1" applyFill="1" applyBorder="1"/>
    <xf numFmtId="0" fontId="3" fillId="6" borderId="11" xfId="4" applyFont="1" applyFill="1" applyBorder="1"/>
    <xf numFmtId="0" fontId="4" fillId="0" borderId="0" xfId="4" applyFont="1" applyAlignment="1">
      <alignment horizontal="right"/>
    </xf>
    <xf numFmtId="167" fontId="58" fillId="0" borderId="0" xfId="4" applyNumberFormat="1" applyFont="1"/>
    <xf numFmtId="0" fontId="58" fillId="0" borderId="0" xfId="4" applyFont="1"/>
    <xf numFmtId="0" fontId="48" fillId="0" borderId="0" xfId="4" applyNumberFormat="1" applyFont="1"/>
    <xf numFmtId="166" fontId="3" fillId="0" borderId="0" xfId="4" applyNumberFormat="1" applyFont="1"/>
    <xf numFmtId="165" fontId="3" fillId="0" borderId="0" xfId="4" applyNumberFormat="1" applyFont="1"/>
    <xf numFmtId="0" fontId="4" fillId="0" borderId="0" xfId="4" applyNumberFormat="1" applyFont="1"/>
    <xf numFmtId="2" fontId="4" fillId="0" borderId="0" xfId="4" applyNumberFormat="1" applyFont="1"/>
    <xf numFmtId="0" fontId="4" fillId="0" borderId="0" xfId="4" applyFont="1"/>
    <xf numFmtId="165" fontId="48" fillId="0" borderId="0" xfId="4" applyNumberFormat="1" applyFont="1"/>
    <xf numFmtId="1" fontId="4" fillId="0" borderId="0" xfId="4" applyNumberFormat="1" applyFont="1"/>
    <xf numFmtId="165" fontId="4" fillId="0" borderId="0" xfId="4" applyNumberFormat="1" applyFont="1"/>
    <xf numFmtId="1" fontId="4" fillId="0" borderId="0" xfId="4" applyNumberFormat="1" applyFont="1" applyBorder="1"/>
    <xf numFmtId="0" fontId="3" fillId="0" borderId="0" xfId="4" applyNumberFormat="1"/>
    <xf numFmtId="2" fontId="7" fillId="4" borderId="50" xfId="4" applyNumberFormat="1" applyFont="1" applyFill="1" applyBorder="1" applyAlignment="1"/>
    <xf numFmtId="2" fontId="4" fillId="2" borderId="53" xfId="4" applyNumberFormat="1" applyFont="1" applyFill="1" applyBorder="1" applyAlignment="1">
      <alignment horizontal="center" vertical="center" wrapText="1"/>
    </xf>
    <xf numFmtId="2" fontId="7" fillId="4" borderId="52" xfId="4" applyNumberFormat="1" applyFont="1" applyFill="1" applyBorder="1" applyAlignment="1"/>
    <xf numFmtId="2" fontId="4" fillId="2" borderId="18" xfId="4" applyNumberFormat="1" applyFont="1" applyFill="1" applyBorder="1" applyAlignment="1">
      <alignment horizontal="center" vertical="center" wrapText="1"/>
    </xf>
    <xf numFmtId="166" fontId="7" fillId="4" borderId="50" xfId="4" applyNumberFormat="1" applyFont="1" applyFill="1" applyBorder="1" applyAlignment="1"/>
    <xf numFmtId="166" fontId="4" fillId="2" borderId="42" xfId="4" applyNumberFormat="1" applyFont="1" applyFill="1" applyBorder="1" applyAlignment="1">
      <alignment horizontal="center" vertical="center" wrapText="1"/>
    </xf>
    <xf numFmtId="178" fontId="3" fillId="0" borderId="0" xfId="4" applyNumberFormat="1"/>
    <xf numFmtId="178" fontId="7" fillId="4" borderId="50" xfId="4" applyNumberFormat="1" applyFont="1" applyFill="1" applyBorder="1" applyAlignment="1"/>
    <xf numFmtId="178" fontId="4" fillId="2" borderId="6"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41" xfId="4" applyNumberFormat="1" applyFont="1" applyFill="1" applyBorder="1" applyAlignment="1">
      <alignment horizontal="center" vertical="center" wrapText="1"/>
    </xf>
    <xf numFmtId="178" fontId="4" fillId="2" borderId="53" xfId="4" applyNumberFormat="1" applyFont="1" applyFill="1" applyBorder="1" applyAlignment="1">
      <alignment horizontal="center" vertical="center" wrapText="1"/>
    </xf>
    <xf numFmtId="178" fontId="4" fillId="2" borderId="42" xfId="4" applyNumberFormat="1" applyFont="1" applyFill="1" applyBorder="1" applyAlignment="1">
      <alignment horizontal="center" vertical="center" wrapText="1"/>
    </xf>
    <xf numFmtId="178" fontId="4" fillId="0" borderId="0" xfId="4" applyNumberFormat="1" applyFont="1"/>
    <xf numFmtId="0" fontId="0" fillId="0" borderId="0" xfId="0" applyNumberFormat="1" applyBorder="1" applyAlignment="1">
      <alignment horizontal="left"/>
    </xf>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Border="1" applyAlignment="1" applyProtection="1">
      <alignment vertical="top"/>
    </xf>
    <xf numFmtId="167" fontId="3" fillId="2" borderId="11" xfId="4" applyNumberFormat="1" applyFont="1" applyFill="1" applyBorder="1" applyProtection="1">
      <protection locked="0"/>
    </xf>
    <xf numFmtId="1" fontId="3" fillId="0" borderId="47" xfId="4" applyNumberFormat="1" applyFont="1" applyFill="1" applyBorder="1"/>
    <xf numFmtId="165" fontId="4" fillId="0" borderId="0" xfId="4" applyNumberFormat="1" applyFont="1" applyFill="1" applyBorder="1"/>
    <xf numFmtId="0" fontId="0" fillId="12" borderId="0" xfId="0" applyFill="1"/>
    <xf numFmtId="0" fontId="0" fillId="12" borderId="0" xfId="0" applyFill="1" applyBorder="1"/>
    <xf numFmtId="0" fontId="0" fillId="12" borderId="0" xfId="0" applyFill="1" applyAlignment="1"/>
    <xf numFmtId="0" fontId="0" fillId="0" borderId="0" xfId="0" applyAlignment="1"/>
    <xf numFmtId="0" fontId="64" fillId="0" borderId="0" xfId="0" applyFont="1" applyFill="1"/>
    <xf numFmtId="0" fontId="0" fillId="0" borderId="0" xfId="0" applyFill="1" applyAlignment="1"/>
    <xf numFmtId="0" fontId="15" fillId="0" borderId="0" xfId="0" applyFont="1" applyFill="1"/>
    <xf numFmtId="0" fontId="62" fillId="0" borderId="0" xfId="1" applyFont="1" applyFill="1"/>
    <xf numFmtId="0" fontId="0" fillId="0" borderId="0" xfId="0" applyAlignment="1">
      <alignment horizontal="left"/>
    </xf>
    <xf numFmtId="1" fontId="15" fillId="4" borderId="0" xfId="0" applyNumberFormat="1" applyFont="1" applyFill="1" applyBorder="1" applyAlignment="1">
      <alignment horizontal="right"/>
    </xf>
    <xf numFmtId="1" fontId="49" fillId="8" borderId="0" xfId="0" applyNumberFormat="1" applyFont="1" applyFill="1" applyBorder="1" applyAlignment="1" applyProtection="1">
      <alignment horizontal="right"/>
    </xf>
    <xf numFmtId="1" fontId="0" fillId="0" borderId="0" xfId="0" applyNumberFormat="1" applyFill="1" applyBorder="1"/>
    <xf numFmtId="2" fontId="0" fillId="0" borderId="0" xfId="0" applyNumberFormat="1" applyFill="1" applyBorder="1"/>
    <xf numFmtId="0" fontId="3" fillId="8" borderId="25" xfId="0" applyFont="1" applyFill="1" applyBorder="1" applyAlignment="1" applyProtection="1">
      <alignment horizontal="right"/>
    </xf>
    <xf numFmtId="0" fontId="48" fillId="0" borderId="0" xfId="0" applyFont="1" applyBorder="1" applyAlignment="1">
      <alignment horizontal="left"/>
    </xf>
    <xf numFmtId="0" fontId="48" fillId="0" borderId="0" xfId="0" applyFont="1" applyBorder="1" applyAlignment="1">
      <alignment horizontal="right"/>
    </xf>
    <xf numFmtId="0" fontId="0" fillId="0" borderId="22" xfId="0" applyBorder="1" applyAlignment="1">
      <alignment horizontal="right"/>
    </xf>
    <xf numFmtId="0" fontId="4" fillId="0" borderId="0" xfId="0" applyFont="1" applyBorder="1" applyAlignment="1">
      <alignment horizontal="right"/>
    </xf>
    <xf numFmtId="0" fontId="48" fillId="0" borderId="0" xfId="4" applyFont="1" applyBorder="1" applyAlignment="1">
      <alignment horizontal="left"/>
    </xf>
    <xf numFmtId="0" fontId="48" fillId="0" borderId="0" xfId="0" applyFont="1" applyBorder="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applyProtection="1"/>
    <xf numFmtId="0" fontId="3" fillId="0" borderId="0" xfId="0" applyFont="1" applyBorder="1" applyAlignment="1">
      <alignment horizontal="left"/>
    </xf>
    <xf numFmtId="0" fontId="3" fillId="12" borderId="0" xfId="0" applyFont="1" applyFill="1" applyBorder="1"/>
    <xf numFmtId="1" fontId="3" fillId="8" borderId="25" xfId="0" applyNumberFormat="1" applyFont="1" applyFill="1" applyBorder="1" applyAlignment="1" applyProtection="1">
      <alignment horizontal="right" vertical="center"/>
    </xf>
    <xf numFmtId="0" fontId="3" fillId="8" borderId="59" xfId="0" applyFont="1" applyFill="1" applyBorder="1" applyAlignment="1" applyProtection="1">
      <alignment vertical="center"/>
    </xf>
    <xf numFmtId="0" fontId="3" fillId="8" borderId="60" xfId="0" applyFont="1" applyFill="1" applyBorder="1" applyAlignment="1" applyProtection="1">
      <alignment vertical="center"/>
    </xf>
    <xf numFmtId="0" fontId="3" fillId="8" borderId="60" xfId="0" applyFont="1" applyFill="1" applyBorder="1" applyAlignment="1" applyProtection="1">
      <alignment horizontal="right" vertical="center"/>
    </xf>
    <xf numFmtId="0" fontId="4" fillId="8" borderId="60" xfId="0" applyFont="1" applyFill="1" applyBorder="1" applyAlignment="1" applyProtection="1">
      <alignment horizontal="right" vertical="center"/>
    </xf>
    <xf numFmtId="0" fontId="3" fillId="8" borderId="60" xfId="0" applyNumberFormat="1" applyFont="1" applyFill="1" applyBorder="1" applyAlignment="1" applyProtection="1">
      <alignment horizontal="right" vertical="center"/>
    </xf>
    <xf numFmtId="0" fontId="3" fillId="8" borderId="61" xfId="0" applyFont="1" applyFill="1" applyBorder="1" applyAlignment="1" applyProtection="1">
      <alignment vertical="center"/>
    </xf>
    <xf numFmtId="0" fontId="3" fillId="0" borderId="0" xfId="0" applyFont="1" applyAlignment="1">
      <alignment horizontal="right"/>
    </xf>
    <xf numFmtId="0" fontId="65" fillId="0" borderId="22" xfId="0" applyFont="1" applyBorder="1"/>
    <xf numFmtId="0" fontId="3" fillId="15" borderId="0" xfId="0" applyFont="1" applyFill="1" applyBorder="1"/>
    <xf numFmtId="0" fontId="24" fillId="24" borderId="22" xfId="0" applyFont="1" applyFill="1" applyBorder="1" applyAlignment="1" applyProtection="1">
      <alignment horizontal="left"/>
    </xf>
    <xf numFmtId="0" fontId="24" fillId="24" borderId="0" xfId="0" applyFont="1" applyFill="1" applyBorder="1" applyAlignment="1" applyProtection="1">
      <alignment horizontal="left"/>
    </xf>
    <xf numFmtId="0" fontId="23" fillId="24" borderId="22" xfId="0" applyFont="1" applyFill="1" applyBorder="1" applyAlignment="1" applyProtection="1">
      <alignment horizontal="left" vertical="center"/>
    </xf>
    <xf numFmtId="0" fontId="23" fillId="24" borderId="0" xfId="0" applyFont="1" applyFill="1" applyBorder="1" applyAlignment="1" applyProtection="1">
      <alignment horizontal="left" vertical="center"/>
    </xf>
    <xf numFmtId="0" fontId="52" fillId="24" borderId="0" xfId="0" applyFont="1" applyFill="1" applyBorder="1" applyAlignment="1" applyProtection="1">
      <alignment horizontal="left" vertical="center"/>
    </xf>
    <xf numFmtId="0" fontId="20" fillId="24" borderId="0" xfId="0" applyFont="1" applyFill="1" applyBorder="1" applyAlignment="1" applyProtection="1">
      <alignment vertical="center"/>
    </xf>
    <xf numFmtId="0" fontId="23" fillId="24" borderId="0" xfId="0" quotePrefix="1" applyFont="1" applyFill="1" applyBorder="1" applyAlignment="1" applyProtection="1">
      <alignment vertical="center"/>
    </xf>
    <xf numFmtId="0" fontId="26" fillId="24" borderId="0" xfId="0" applyFont="1" applyFill="1" applyBorder="1" applyAlignment="1" applyProtection="1">
      <alignment vertical="center"/>
    </xf>
    <xf numFmtId="0" fontId="26" fillId="24" borderId="0" xfId="0" applyFont="1" applyFill="1" applyBorder="1" applyProtection="1"/>
    <xf numFmtId="0" fontId="17" fillId="24" borderId="0" xfId="0" applyFont="1" applyFill="1" applyBorder="1" applyProtection="1"/>
    <xf numFmtId="0" fontId="28" fillId="24" borderId="24" xfId="0" applyFont="1" applyFill="1" applyBorder="1" applyProtection="1"/>
    <xf numFmtId="0" fontId="28" fillId="24" borderId="25" xfId="0" applyFont="1" applyFill="1" applyBorder="1" applyProtection="1"/>
    <xf numFmtId="0" fontId="20" fillId="24" borderId="25" xfId="0" applyFont="1" applyFill="1" applyBorder="1" applyProtection="1"/>
    <xf numFmtId="0" fontId="25" fillId="24" borderId="25" xfId="0" applyFont="1" applyFill="1" applyBorder="1" applyProtection="1"/>
    <xf numFmtId="0" fontId="66" fillId="24" borderId="0" xfId="3" applyFont="1" applyFill="1" applyAlignment="1" applyProtection="1"/>
    <xf numFmtId="0" fontId="66" fillId="24" borderId="0" xfId="3" applyFont="1" applyFill="1" applyBorder="1" applyAlignment="1" applyProtection="1">
      <alignment horizontal="left" vertical="center"/>
    </xf>
    <xf numFmtId="169" fontId="17" fillId="24" borderId="0" xfId="0" applyNumberFormat="1" applyFont="1" applyFill="1" applyBorder="1" applyAlignment="1" applyProtection="1">
      <alignment horizontal="center"/>
    </xf>
    <xf numFmtId="0" fontId="20" fillId="24" borderId="37" xfId="0" applyFont="1" applyFill="1" applyBorder="1" applyProtection="1"/>
    <xf numFmtId="0" fontId="20" fillId="24" borderId="35" xfId="0" applyFont="1" applyFill="1" applyBorder="1" applyProtection="1"/>
    <xf numFmtId="0" fontId="17" fillId="24" borderId="35" xfId="0" applyFont="1" applyFill="1" applyBorder="1" applyProtection="1"/>
    <xf numFmtId="0" fontId="4" fillId="5" borderId="48" xfId="4" applyFont="1" applyFill="1" applyBorder="1" applyAlignment="1"/>
    <xf numFmtId="166" fontId="0" fillId="10" borderId="2" xfId="0" applyNumberFormat="1" applyFill="1" applyBorder="1"/>
    <xf numFmtId="166" fontId="0" fillId="18" borderId="0" xfId="0" applyNumberFormat="1" applyFill="1" applyBorder="1"/>
    <xf numFmtId="166" fontId="27" fillId="10" borderId="0" xfId="0" applyNumberFormat="1" applyFont="1" applyFill="1" applyBorder="1"/>
    <xf numFmtId="0" fontId="3" fillId="8" borderId="62" xfId="0" applyFont="1" applyFill="1" applyBorder="1" applyProtection="1"/>
    <xf numFmtId="0" fontId="3" fillId="8" borderId="63" xfId="0" applyFont="1" applyFill="1" applyBorder="1" applyProtection="1"/>
    <xf numFmtId="0" fontId="3" fillId="8" borderId="63" xfId="0" applyFont="1" applyFill="1" applyBorder="1" applyAlignment="1" applyProtection="1">
      <alignment horizontal="right"/>
    </xf>
    <xf numFmtId="0" fontId="17" fillId="12" borderId="22" xfId="0" applyFont="1" applyFill="1" applyBorder="1" applyProtection="1"/>
    <xf numFmtId="166" fontId="27" fillId="0" borderId="0" xfId="0" applyNumberFormat="1" applyFont="1" applyFill="1" applyBorder="1"/>
    <xf numFmtId="0" fontId="4" fillId="12" borderId="23" xfId="0" applyNumberFormat="1" applyFont="1" applyFill="1" applyBorder="1" applyAlignment="1" applyProtection="1">
      <alignment vertical="center"/>
    </xf>
    <xf numFmtId="1" fontId="3" fillId="0" borderId="64" xfId="0" applyNumberFormat="1" applyFont="1" applyFill="1" applyBorder="1" applyAlignment="1" applyProtection="1">
      <alignment vertical="center"/>
    </xf>
    <xf numFmtId="0" fontId="4" fillId="12" borderId="23" xfId="0" applyFont="1" applyFill="1" applyBorder="1" applyProtection="1"/>
    <xf numFmtId="0" fontId="4" fillId="12" borderId="23" xfId="0" applyFont="1" applyFill="1" applyBorder="1" applyAlignment="1" applyProtection="1">
      <alignment vertical="center"/>
    </xf>
    <xf numFmtId="0" fontId="3" fillId="12" borderId="26" xfId="0" applyFont="1" applyFill="1" applyBorder="1" applyProtection="1"/>
    <xf numFmtId="1" fontId="3" fillId="8" borderId="0" xfId="0" applyNumberFormat="1" applyFont="1" applyFill="1" applyBorder="1" applyAlignment="1" applyProtection="1"/>
    <xf numFmtId="0" fontId="0" fillId="0" borderId="63" xfId="0" applyBorder="1"/>
    <xf numFmtId="0" fontId="4" fillId="0" borderId="0" xfId="4" applyFont="1" applyBorder="1" applyAlignment="1">
      <alignment horizontal="left"/>
    </xf>
    <xf numFmtId="0" fontId="48" fillId="0" borderId="0" xfId="4" applyFont="1" applyBorder="1" applyAlignment="1">
      <alignment horizontal="center"/>
    </xf>
    <xf numFmtId="0" fontId="48" fillId="0" borderId="0" xfId="0" applyFont="1" applyAlignment="1">
      <alignment horizontal="center"/>
    </xf>
    <xf numFmtId="0" fontId="69" fillId="0" borderId="0" xfId="4" applyFont="1" applyBorder="1" applyAlignment="1">
      <alignment horizontal="right"/>
    </xf>
    <xf numFmtId="0" fontId="69" fillId="0" borderId="22" xfId="4" applyFont="1" applyBorder="1" applyAlignment="1">
      <alignment horizontal="right"/>
    </xf>
    <xf numFmtId="0" fontId="69" fillId="0" borderId="0" xfId="0" applyFont="1" applyAlignment="1">
      <alignment horizontal="right"/>
    </xf>
    <xf numFmtId="0" fontId="69" fillId="0" borderId="0" xfId="0" applyFont="1" applyBorder="1" applyAlignment="1">
      <alignment horizontal="right"/>
    </xf>
    <xf numFmtId="0" fontId="65" fillId="0" borderId="0" xfId="0" applyFont="1"/>
    <xf numFmtId="165" fontId="7" fillId="4" borderId="63" xfId="4" applyNumberFormat="1" applyFont="1" applyFill="1" applyBorder="1" applyAlignment="1"/>
    <xf numFmtId="167" fontId="3" fillId="0" borderId="0" xfId="4" applyNumberFormat="1"/>
    <xf numFmtId="0" fontId="4" fillId="2" borderId="20" xfId="4" applyFont="1" applyFill="1" applyBorder="1" applyAlignment="1">
      <alignment horizontal="center" vertical="center" wrapText="1"/>
    </xf>
    <xf numFmtId="0" fontId="48" fillId="0" borderId="0" xfId="0" applyFont="1"/>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applyAlignment="1"/>
    <xf numFmtId="2" fontId="7" fillId="4" borderId="67" xfId="4" applyNumberFormat="1" applyFont="1" applyFill="1" applyBorder="1" applyAlignment="1"/>
    <xf numFmtId="2" fontId="7" fillId="4" borderId="18" xfId="4" applyNumberFormat="1" applyFont="1" applyFill="1" applyBorder="1" applyAlignment="1"/>
    <xf numFmtId="165" fontId="4" fillId="4" borderId="41" xfId="4" applyNumberFormat="1" applyFont="1" applyFill="1" applyBorder="1" applyAlignment="1"/>
    <xf numFmtId="165" fontId="3" fillId="4" borderId="67" xfId="4" applyNumberFormat="1" applyFill="1" applyBorder="1"/>
    <xf numFmtId="0" fontId="3" fillId="8" borderId="23" xfId="0" applyFont="1" applyFill="1" applyBorder="1" applyAlignment="1" applyProtection="1"/>
    <xf numFmtId="0" fontId="3" fillId="8" borderId="62" xfId="0" applyFont="1" applyFill="1" applyBorder="1" applyAlignment="1" applyProtection="1">
      <alignment vertical="center"/>
    </xf>
    <xf numFmtId="0" fontId="22" fillId="8" borderId="24" xfId="0" applyFont="1" applyFill="1" applyBorder="1" applyAlignment="1" applyProtection="1">
      <alignment vertical="center"/>
    </xf>
    <xf numFmtId="164" fontId="3" fillId="0" borderId="0" xfId="7" applyNumberFormat="1" applyFont="1"/>
    <xf numFmtId="0" fontId="3" fillId="0" borderId="0" xfId="0" quotePrefix="1" applyFont="1"/>
    <xf numFmtId="0" fontId="48" fillId="0" borderId="0" xfId="0" applyFont="1" applyAlignment="1">
      <alignment horizontal="left"/>
    </xf>
    <xf numFmtId="0" fontId="4" fillId="8" borderId="11" xfId="4" applyFont="1" applyFill="1" applyBorder="1" applyAlignment="1">
      <alignment horizontal="center" vertical="center"/>
    </xf>
    <xf numFmtId="167" fontId="0" fillId="0" borderId="0" xfId="0" applyNumberFormat="1"/>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7" fontId="3" fillId="8" borderId="0" xfId="4" applyNumberFormat="1" applyFill="1" applyAlignment="1">
      <alignment horizontal="left"/>
    </xf>
    <xf numFmtId="0" fontId="4" fillId="8" borderId="0" xfId="4" applyFont="1" applyFill="1" applyAlignment="1">
      <alignment vertical="center"/>
    </xf>
    <xf numFmtId="167" fontId="3" fillId="8" borderId="0" xfId="4" applyNumberFormat="1" applyFill="1" applyAlignment="1">
      <alignment horizontal="right" vertical="center"/>
    </xf>
    <xf numFmtId="0" fontId="3" fillId="0" borderId="0" xfId="0" applyFont="1" applyAlignment="1">
      <alignment horizontal="left"/>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4" fillId="8" borderId="0" xfId="4" applyFont="1" applyFill="1"/>
    <xf numFmtId="167" fontId="74" fillId="8" borderId="0" xfId="4" applyNumberFormat="1" applyFont="1" applyFill="1" applyAlignment="1">
      <alignment horizontal="right"/>
    </xf>
    <xf numFmtId="0" fontId="74" fillId="8" borderId="0" xfId="4" applyFont="1" applyFill="1" applyAlignment="1">
      <alignment horizontal="left" vertical="center"/>
    </xf>
    <xf numFmtId="165" fontId="74" fillId="8" borderId="0" xfId="4" applyNumberFormat="1" applyFont="1" applyFill="1"/>
    <xf numFmtId="167" fontId="3" fillId="17" borderId="11" xfId="4" applyNumberFormat="1" applyFill="1" applyBorder="1" applyAlignment="1">
      <alignment horizontal="center" vertical="center"/>
    </xf>
    <xf numFmtId="167"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8" fillId="8" borderId="11" xfId="4" applyFont="1" applyFill="1" applyBorder="1" applyAlignment="1">
      <alignment horizontal="center" vertical="center"/>
    </xf>
    <xf numFmtId="0" fontId="59" fillId="8" borderId="0" xfId="4" applyFont="1" applyFill="1" applyAlignment="1">
      <alignment horizontal="left" vertical="center"/>
    </xf>
    <xf numFmtId="0" fontId="54" fillId="3" borderId="69" xfId="4" applyFont="1" applyFill="1" applyBorder="1" applyAlignment="1">
      <alignment horizontal="center" vertical="center"/>
    </xf>
    <xf numFmtId="49" fontId="72" fillId="14" borderId="68" xfId="4" applyNumberFormat="1" applyFont="1" applyFill="1" applyBorder="1" applyAlignment="1">
      <alignment horizontal="center" vertical="center"/>
    </xf>
    <xf numFmtId="0" fontId="72" fillId="14" borderId="47" xfId="4" applyFont="1" applyFill="1" applyBorder="1" applyAlignment="1">
      <alignment horizontal="center" vertical="center"/>
    </xf>
    <xf numFmtId="167" fontId="75" fillId="0" borderId="0" xfId="4" applyNumberFormat="1" applyFont="1" applyFill="1" applyAlignment="1">
      <alignment horizontal="right" vertical="center"/>
    </xf>
    <xf numFmtId="165" fontId="75" fillId="8" borderId="0" xfId="4" applyNumberFormat="1" applyFont="1" applyFill="1" applyAlignment="1">
      <alignment vertical="center"/>
    </xf>
    <xf numFmtId="49" fontId="59" fillId="8" borderId="0" xfId="4" applyNumberFormat="1" applyFont="1" applyFill="1" applyAlignment="1" applyProtection="1">
      <alignment horizontal="left" vertical="center"/>
      <protection locked="0" hidden="1"/>
    </xf>
    <xf numFmtId="0" fontId="59" fillId="8" borderId="0" xfId="4" applyFont="1" applyFill="1" applyAlignment="1" applyProtection="1">
      <alignment horizontal="left" vertical="center"/>
      <protection locked="0" hidden="1"/>
    </xf>
    <xf numFmtId="0" fontId="3" fillId="8" borderId="0" xfId="4" applyFont="1" applyFill="1" applyAlignment="1" applyProtection="1">
      <alignment vertical="center"/>
      <protection locked="0" hidden="1"/>
    </xf>
    <xf numFmtId="0" fontId="55" fillId="12" borderId="0" xfId="0" applyFont="1" applyFill="1" applyAlignment="1"/>
    <xf numFmtId="0" fontId="59" fillId="8" borderId="0" xfId="4" applyFont="1" applyFill="1"/>
    <xf numFmtId="0" fontId="75" fillId="8" borderId="0" xfId="4" applyFont="1" applyFill="1" applyAlignment="1">
      <alignment horizontal="left"/>
    </xf>
    <xf numFmtId="0" fontId="48" fillId="0" borderId="22" xfId="0" applyFont="1" applyBorder="1"/>
    <xf numFmtId="0" fontId="17" fillId="24" borderId="0" xfId="0" applyFont="1" applyFill="1" applyProtection="1"/>
    <xf numFmtId="0" fontId="17" fillId="12" borderId="35" xfId="0" applyFont="1" applyFill="1" applyBorder="1" applyProtection="1"/>
    <xf numFmtId="169" fontId="17" fillId="12" borderId="39" xfId="0" applyNumberFormat="1" applyFont="1" applyFill="1" applyBorder="1" applyAlignment="1" applyProtection="1">
      <alignment horizontal="center"/>
    </xf>
    <xf numFmtId="0" fontId="17" fillId="12" borderId="39" xfId="0" applyFont="1" applyFill="1" applyBorder="1" applyProtection="1"/>
    <xf numFmtId="0" fontId="17" fillId="8" borderId="39" xfId="0" applyFont="1" applyFill="1" applyBorder="1" applyProtection="1"/>
    <xf numFmtId="0" fontId="17" fillId="12" borderId="36" xfId="0" applyFont="1" applyFill="1" applyBorder="1" applyProtection="1"/>
    <xf numFmtId="0" fontId="17" fillId="12" borderId="23" xfId="0" applyFont="1" applyFill="1" applyBorder="1" applyProtection="1"/>
    <xf numFmtId="0" fontId="3" fillId="8" borderId="39" xfId="0" applyFont="1" applyFill="1" applyBorder="1" applyAlignment="1" applyProtection="1">
      <alignment horizontal="right" vertical="center"/>
    </xf>
    <xf numFmtId="0" fontId="3" fillId="8" borderId="35" xfId="0" applyFont="1" applyFill="1" applyBorder="1" applyAlignment="1" applyProtection="1">
      <alignment vertical="center"/>
    </xf>
    <xf numFmtId="0" fontId="3" fillId="8" borderId="35" xfId="0" applyFont="1" applyFill="1" applyBorder="1" applyAlignment="1" applyProtection="1">
      <alignment horizontal="right"/>
    </xf>
    <xf numFmtId="0" fontId="50"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vertical="center"/>
      <protection locked="0"/>
    </xf>
    <xf numFmtId="1" fontId="49" fillId="8" borderId="25" xfId="0" applyNumberFormat="1" applyFont="1" applyFill="1" applyBorder="1" applyAlignment="1" applyProtection="1">
      <alignment horizontal="right"/>
    </xf>
    <xf numFmtId="0" fontId="3" fillId="8" borderId="36" xfId="0" applyFont="1" applyFill="1" applyBorder="1" applyAlignment="1" applyProtection="1">
      <alignment vertical="center"/>
    </xf>
    <xf numFmtId="0" fontId="60" fillId="13" borderId="35" xfId="0" applyFont="1" applyFill="1" applyBorder="1" applyAlignment="1" applyProtection="1">
      <alignment vertical="center"/>
    </xf>
    <xf numFmtId="0" fontId="17" fillId="13" borderId="35" xfId="0" applyFont="1" applyFill="1" applyBorder="1" applyProtection="1"/>
    <xf numFmtId="0" fontId="77" fillId="13" borderId="62" xfId="0" applyFont="1" applyFill="1" applyBorder="1" applyAlignment="1" applyProtection="1">
      <alignment vertical="center"/>
    </xf>
    <xf numFmtId="0" fontId="23" fillId="24" borderId="0" xfId="0" applyFont="1" applyFill="1" applyBorder="1" applyAlignment="1" applyProtection="1">
      <alignment horizontal="right" vertical="center"/>
    </xf>
    <xf numFmtId="166" fontId="0" fillId="0" borderId="0" xfId="0" applyNumberFormat="1" applyFill="1" applyBorder="1"/>
    <xf numFmtId="183" fontId="0" fillId="0" borderId="0" xfId="0" applyNumberFormat="1" applyBorder="1" applyAlignment="1">
      <alignment horizontal="right"/>
    </xf>
    <xf numFmtId="183" fontId="0" fillId="19" borderId="0" xfId="0" applyNumberFormat="1" applyFill="1" applyBorder="1" applyAlignment="1">
      <alignment horizontal="right"/>
    </xf>
    <xf numFmtId="0" fontId="0" fillId="0" borderId="22" xfId="0" applyBorder="1" applyAlignment="1">
      <alignment horizontal="left"/>
    </xf>
    <xf numFmtId="1" fontId="3" fillId="8" borderId="39" xfId="0" applyNumberFormat="1" applyFont="1" applyFill="1" applyBorder="1" applyAlignment="1" applyProtection="1">
      <alignment horizontal="right" vertical="center"/>
    </xf>
    <xf numFmtId="0" fontId="3" fillId="8" borderId="40" xfId="0" applyFont="1" applyFill="1" applyBorder="1" applyAlignment="1" applyProtection="1">
      <alignment vertical="center"/>
    </xf>
    <xf numFmtId="165" fontId="3" fillId="4" borderId="35" xfId="4" applyNumberFormat="1" applyFill="1" applyBorder="1"/>
    <xf numFmtId="165" fontId="3" fillId="27" borderId="0" xfId="4" applyNumberFormat="1" applyFill="1" applyAlignment="1">
      <alignment horizontal="center" vertical="center" wrapText="1"/>
    </xf>
    <xf numFmtId="9" fontId="3" fillId="0" borderId="47" xfId="4" applyNumberFormat="1" applyFont="1" applyFill="1" applyBorder="1" applyProtection="1">
      <protection locked="0"/>
    </xf>
    <xf numFmtId="165" fontId="4" fillId="26" borderId="0" xfId="4" applyNumberFormat="1" applyFont="1" applyFill="1" applyAlignment="1">
      <alignment horizontal="center" vertical="center" wrapText="1"/>
    </xf>
    <xf numFmtId="165" fontId="0" fillId="0" borderId="0" xfId="0" applyNumberFormat="1"/>
    <xf numFmtId="2" fontId="3" fillId="0" borderId="0" xfId="7" applyNumberFormat="1" applyFont="1"/>
    <xf numFmtId="2" fontId="4" fillId="0" borderId="0" xfId="0" applyNumberFormat="1" applyFont="1"/>
    <xf numFmtId="167" fontId="4" fillId="0" borderId="0" xfId="4" applyNumberFormat="1" applyFont="1"/>
    <xf numFmtId="166" fontId="4" fillId="0" borderId="0" xfId="4" applyNumberFormat="1" applyFont="1"/>
    <xf numFmtId="0" fontId="4" fillId="4" borderId="0" xfId="4" applyFont="1" applyFill="1" applyBorder="1" applyAlignment="1">
      <alignment horizontal="left"/>
    </xf>
    <xf numFmtId="2" fontId="3" fillId="0" borderId="0" xfId="0" applyNumberFormat="1" applyFont="1"/>
    <xf numFmtId="167" fontId="3" fillId="0" borderId="0" xfId="4" applyNumberFormat="1" applyFont="1"/>
    <xf numFmtId="2" fontId="3" fillId="0" borderId="0" xfId="4" applyNumberFormat="1" applyFont="1"/>
    <xf numFmtId="1" fontId="3" fillId="0" borderId="0" xfId="4" applyNumberFormat="1" applyFont="1"/>
    <xf numFmtId="166" fontId="3" fillId="0" borderId="0" xfId="0" applyNumberFormat="1" applyFont="1"/>
    <xf numFmtId="166" fontId="4" fillId="0" borderId="0" xfId="0" applyNumberFormat="1" applyFont="1"/>
    <xf numFmtId="0" fontId="4" fillId="4" borderId="35" xfId="4" applyFont="1" applyFill="1" applyBorder="1" applyAlignment="1"/>
    <xf numFmtId="167"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Fill="1" applyBorder="1" applyAlignment="1">
      <alignment horizontal="center" vertical="center" wrapText="1"/>
    </xf>
    <xf numFmtId="1" fontId="0" fillId="0" borderId="0" xfId="0" applyNumberFormat="1"/>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applyBorder="1"/>
    <xf numFmtId="167" fontId="15" fillId="18" borderId="0" xfId="0" applyNumberFormat="1" applyFont="1" applyFill="1" applyBorder="1" applyAlignment="1">
      <alignment horizontal="right"/>
    </xf>
    <xf numFmtId="176" fontId="27" fillId="0" borderId="0" xfId="0" applyNumberFormat="1" applyFont="1" applyFill="1" applyBorder="1"/>
    <xf numFmtId="0" fontId="3" fillId="0" borderId="33" xfId="0" applyFont="1" applyBorder="1"/>
    <xf numFmtId="167" fontId="27" fillId="4" borderId="0" xfId="0" applyNumberFormat="1" applyFont="1" applyFill="1" applyBorder="1"/>
    <xf numFmtId="165" fontId="27" fillId="0" borderId="0" xfId="0" applyNumberFormat="1" applyFont="1" applyFill="1" applyBorder="1"/>
    <xf numFmtId="166" fontId="3" fillId="5" borderId="0" xfId="0" applyNumberFormat="1" applyFont="1" applyFill="1" applyBorder="1"/>
    <xf numFmtId="2" fontId="0" fillId="0" borderId="0" xfId="0" applyNumberFormat="1" applyFill="1" applyBorder="1" applyAlignment="1">
      <alignment horizontal="right"/>
    </xf>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applyProtection="1"/>
    <xf numFmtId="0" fontId="17" fillId="12" borderId="40" xfId="0" applyFont="1" applyFill="1" applyBorder="1" applyProtection="1"/>
    <xf numFmtId="0" fontId="3" fillId="0" borderId="0" xfId="0" applyNumberFormat="1" applyFont="1"/>
    <xf numFmtId="1" fontId="3" fillId="0" borderId="0" xfId="0" applyNumberFormat="1" applyFont="1"/>
    <xf numFmtId="167" fontId="3" fillId="0" borderId="0" xfId="0" applyNumberFormat="1" applyFont="1"/>
    <xf numFmtId="1" fontId="50" fillId="15" borderId="0" xfId="0" applyNumberFormat="1" applyFont="1" applyFill="1" applyBorder="1" applyAlignment="1" applyProtection="1">
      <alignment horizontal="right" vertical="center"/>
      <protection locked="0"/>
    </xf>
    <xf numFmtId="0" fontId="17" fillId="12" borderId="62" xfId="0" applyFont="1" applyFill="1" applyBorder="1" applyProtection="1"/>
    <xf numFmtId="0" fontId="4" fillId="12" borderId="35" xfId="0" applyFont="1" applyFill="1" applyBorder="1" applyAlignment="1" applyProtection="1">
      <alignment horizontal="right"/>
    </xf>
    <xf numFmtId="0" fontId="4" fillId="12" borderId="64" xfId="0" applyFont="1" applyFill="1" applyBorder="1" applyProtection="1"/>
    <xf numFmtId="0" fontId="79" fillId="0" borderId="0" xfId="0" applyFont="1" applyAlignment="1">
      <alignment vertical="center" wrapText="1"/>
    </xf>
    <xf numFmtId="0" fontId="4" fillId="15" borderId="35" xfId="0" applyFont="1" applyFill="1" applyBorder="1" applyProtection="1">
      <protection locked="0"/>
    </xf>
    <xf numFmtId="0" fontId="0" fillId="18" borderId="0" xfId="0" applyNumberFormat="1" applyFill="1" applyBorder="1"/>
    <xf numFmtId="0" fontId="0" fillId="4" borderId="0" xfId="0" applyNumberFormat="1" applyFill="1" applyBorder="1"/>
    <xf numFmtId="0" fontId="0" fillId="23" borderId="0" xfId="0" applyNumberFormat="1" applyFill="1" applyBorder="1"/>
    <xf numFmtId="0" fontId="4" fillId="8" borderId="35" xfId="0" applyFont="1" applyFill="1" applyBorder="1" applyProtection="1"/>
    <xf numFmtId="0" fontId="3" fillId="8" borderId="35" xfId="0" applyFont="1" applyFill="1" applyBorder="1" applyProtection="1"/>
    <xf numFmtId="0" fontId="4" fillId="0" borderId="0" xfId="0" applyFont="1" applyAlignment="1">
      <alignment horizontal="left"/>
    </xf>
    <xf numFmtId="49" fontId="3" fillId="0" borderId="0" xfId="0" applyNumberFormat="1" applyFont="1" applyBorder="1" applyAlignment="1">
      <alignment horizontal="left"/>
    </xf>
    <xf numFmtId="167" fontId="49" fillId="12" borderId="35" xfId="0" applyNumberFormat="1" applyFont="1" applyFill="1" applyBorder="1" applyAlignment="1" applyProtection="1">
      <alignment vertical="center"/>
    </xf>
    <xf numFmtId="165" fontId="3" fillId="0" borderId="0" xfId="0" applyNumberFormat="1" applyFont="1"/>
    <xf numFmtId="1" fontId="4" fillId="12" borderId="0" xfId="0" applyNumberFormat="1" applyFont="1" applyFill="1" applyBorder="1" applyAlignment="1" applyProtection="1">
      <alignment vertical="center"/>
    </xf>
    <xf numFmtId="1" fontId="65" fillId="0" borderId="0" xfId="0" applyNumberFormat="1" applyFont="1" applyFill="1" applyBorder="1" applyAlignment="1" applyProtection="1">
      <alignment horizontal="right" vertical="center"/>
    </xf>
    <xf numFmtId="167" fontId="4" fillId="15" borderId="0" xfId="0" applyNumberFormat="1" applyFont="1" applyFill="1" applyBorder="1" applyAlignment="1" applyProtection="1">
      <alignment horizontal="right" vertical="center"/>
      <protection locked="0"/>
    </xf>
    <xf numFmtId="0" fontId="22" fillId="8" borderId="67" xfId="0" applyFont="1" applyFill="1" applyBorder="1" applyAlignment="1" applyProtection="1">
      <alignment vertical="center"/>
    </xf>
    <xf numFmtId="0" fontId="17" fillId="8" borderId="35" xfId="0" applyFont="1" applyFill="1" applyBorder="1" applyProtection="1"/>
    <xf numFmtId="0" fontId="45" fillId="8" borderId="75" xfId="0" applyFont="1" applyFill="1" applyBorder="1" applyProtection="1"/>
    <xf numFmtId="0" fontId="45" fillId="8" borderId="76" xfId="0" applyFont="1" applyFill="1" applyBorder="1" applyProtection="1"/>
    <xf numFmtId="0" fontId="45" fillId="8" borderId="77" xfId="0" applyFont="1" applyFill="1" applyBorder="1" applyProtection="1"/>
    <xf numFmtId="2" fontId="3" fillId="18" borderId="0" xfId="0" applyNumberFormat="1" applyFont="1" applyFill="1" applyBorder="1"/>
    <xf numFmtId="0" fontId="0" fillId="18" borderId="0" xfId="0" applyNumberFormat="1" applyFill="1"/>
    <xf numFmtId="2" fontId="4" fillId="0" borderId="0" xfId="0" applyNumberFormat="1" applyFont="1" applyBorder="1" applyAlignment="1">
      <alignment horizontal="right"/>
    </xf>
    <xf numFmtId="1" fontId="3" fillId="4" borderId="0" xfId="0" applyNumberFormat="1" applyFont="1" applyFill="1" applyBorder="1"/>
    <xf numFmtId="2" fontId="4" fillId="0" borderId="0" xfId="0" applyNumberFormat="1" applyFont="1" applyFill="1" applyBorder="1"/>
    <xf numFmtId="0" fontId="3" fillId="0" borderId="22" xfId="0" applyFont="1" applyFill="1" applyBorder="1"/>
    <xf numFmtId="2" fontId="7" fillId="0" borderId="2" xfId="0" applyNumberFormat="1" applyFont="1" applyFill="1" applyBorder="1"/>
    <xf numFmtId="166" fontId="4" fillId="0" borderId="2" xfId="0" applyNumberFormat="1" applyFont="1" applyFill="1" applyBorder="1"/>
    <xf numFmtId="0" fontId="48" fillId="0" borderId="0" xfId="0" applyFont="1" applyBorder="1"/>
    <xf numFmtId="0" fontId="27" fillId="18" borderId="0" xfId="0" applyNumberFormat="1" applyFont="1" applyFill="1" applyBorder="1" applyAlignment="1">
      <alignment horizontal="right"/>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0" fontId="3" fillId="8" borderId="0" xfId="0" applyFont="1" applyFill="1" applyBorder="1" applyAlignment="1" applyProtection="1">
      <alignment horizontal="right" vertical="top"/>
    </xf>
    <xf numFmtId="0" fontId="3" fillId="8" borderId="38" xfId="0" applyFont="1" applyFill="1" applyBorder="1" applyAlignment="1" applyProtection="1">
      <alignment horizontal="right"/>
    </xf>
    <xf numFmtId="0" fontId="4" fillId="2" borderId="19" xfId="4" applyFont="1" applyFill="1" applyBorder="1" applyAlignment="1">
      <alignment horizontal="center" vertical="center" wrapText="1"/>
    </xf>
    <xf numFmtId="165" fontId="4" fillId="26" borderId="19" xfId="4" applyNumberFormat="1" applyFont="1" applyFill="1" applyBorder="1" applyAlignment="1">
      <alignment horizontal="center" vertical="center" wrapText="1"/>
    </xf>
    <xf numFmtId="165" fontId="4" fillId="26" borderId="20" xfId="4" applyNumberFormat="1" applyFont="1" applyFill="1" applyBorder="1" applyAlignment="1">
      <alignment horizontal="center" vertical="center" wrapText="1"/>
    </xf>
    <xf numFmtId="165" fontId="4" fillId="26" borderId="73" xfId="4" applyNumberFormat="1" applyFont="1" applyFill="1" applyBorder="1" applyAlignment="1">
      <alignment horizontal="center" vertical="center" wrapText="1"/>
    </xf>
    <xf numFmtId="165"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7" fontId="3" fillId="8" borderId="35" xfId="0" applyNumberFormat="1" applyFont="1" applyFill="1" applyBorder="1" applyAlignment="1" applyProtection="1">
      <alignment horizontal="right" vertical="center"/>
    </xf>
    <xf numFmtId="166" fontId="0" fillId="0" borderId="0" xfId="0" applyNumberFormat="1" applyAlignment="1">
      <alignment horizontal="right"/>
    </xf>
    <xf numFmtId="0" fontId="3" fillId="23" borderId="0" xfId="0" applyNumberFormat="1" applyFont="1" applyFill="1" applyBorder="1"/>
    <xf numFmtId="9" fontId="0" fillId="19" borderId="0" xfId="0" applyNumberFormat="1" applyFill="1" applyBorder="1"/>
    <xf numFmtId="0" fontId="3" fillId="12" borderId="70" xfId="4" applyFill="1" applyBorder="1" applyAlignment="1">
      <alignment horizontal="center" vertical="center"/>
    </xf>
    <xf numFmtId="167" fontId="3" fillId="12" borderId="11" xfId="4" applyNumberFormat="1" applyFill="1" applyBorder="1" applyAlignment="1">
      <alignment horizontal="center" vertical="center"/>
    </xf>
    <xf numFmtId="0" fontId="59" fillId="12" borderId="0" xfId="4" applyFont="1" applyFill="1" applyAlignment="1">
      <alignment horizontal="left" vertical="center"/>
    </xf>
    <xf numFmtId="0" fontId="3" fillId="12" borderId="0" xfId="4" applyFill="1" applyAlignment="1">
      <alignment vertical="center"/>
    </xf>
    <xf numFmtId="0" fontId="59" fillId="12" borderId="0" xfId="4" applyFont="1" applyFill="1" applyAlignment="1" applyProtection="1">
      <alignment horizontal="left" vertical="center"/>
      <protection locked="0" hidden="1"/>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0" fontId="3" fillId="17" borderId="11" xfId="4" applyNumberFormat="1" applyFill="1" applyBorder="1" applyAlignment="1">
      <alignment horizontal="center" vertical="center"/>
    </xf>
    <xf numFmtId="167" fontId="3" fillId="8" borderId="63" xfId="0" applyNumberFormat="1" applyFont="1" applyFill="1" applyBorder="1" applyAlignment="1" applyProtection="1">
      <alignment horizontal="right" vertical="center"/>
    </xf>
    <xf numFmtId="0" fontId="3" fillId="8" borderId="0" xfId="0" applyNumberFormat="1" applyFont="1" applyFill="1" applyBorder="1" applyAlignment="1" applyProtection="1"/>
    <xf numFmtId="2" fontId="7" fillId="10" borderId="0" xfId="0" applyNumberFormat="1" applyFont="1" applyFill="1" applyBorder="1"/>
    <xf numFmtId="0" fontId="3" fillId="12" borderId="64" xfId="0" applyNumberFormat="1" applyFont="1" applyFill="1" applyBorder="1" applyAlignment="1" applyProtection="1">
      <alignment vertical="center"/>
    </xf>
    <xf numFmtId="164" fontId="0" fillId="0" borderId="0" xfId="0" applyNumberFormat="1"/>
    <xf numFmtId="0" fontId="3" fillId="12" borderId="23" xfId="0" applyNumberFormat="1" applyFont="1" applyFill="1" applyBorder="1" applyAlignment="1" applyProtection="1"/>
    <xf numFmtId="0" fontId="3" fillId="12" borderId="40" xfId="0" applyNumberFormat="1" applyFont="1" applyFill="1" applyBorder="1" applyAlignment="1" applyProtection="1"/>
    <xf numFmtId="2" fontId="3" fillId="8" borderId="39" xfId="0" applyNumberFormat="1" applyFont="1" applyFill="1" applyBorder="1" applyAlignment="1" applyProtection="1">
      <alignment horizontal="right"/>
    </xf>
    <xf numFmtId="168" fontId="7" fillId="0" borderId="0" xfId="0" applyNumberFormat="1" applyFont="1" applyFill="1" applyBorder="1"/>
    <xf numFmtId="11" fontId="7" fillId="0" borderId="0" xfId="0" applyNumberFormat="1" applyFont="1" applyFill="1" applyBorder="1"/>
    <xf numFmtId="0" fontId="3" fillId="0" borderId="11" xfId="0" applyFont="1" applyBorder="1"/>
    <xf numFmtId="0" fontId="0" fillId="0" borderId="11" xfId="0" applyFill="1" applyBorder="1"/>
    <xf numFmtId="0" fontId="3" fillId="0" borderId="0" xfId="4" applyFill="1"/>
    <xf numFmtId="0" fontId="80"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Font="1" applyBorder="1"/>
    <xf numFmtId="0" fontId="3" fillId="0" borderId="8" xfId="4" applyBorder="1" applyAlignment="1">
      <alignment horizontal="left"/>
    </xf>
    <xf numFmtId="0" fontId="3" fillId="0" borderId="17" xfId="4" applyBorder="1"/>
    <xf numFmtId="1" fontId="3" fillId="0" borderId="11" xfId="4" applyNumberFormat="1" applyBorder="1"/>
    <xf numFmtId="0" fontId="3" fillId="0" borderId="15" xfId="4" applyBorder="1"/>
    <xf numFmtId="0" fontId="3" fillId="0" borderId="79" xfId="4" applyFill="1" applyBorder="1"/>
    <xf numFmtId="0" fontId="3" fillId="0" borderId="17" xfId="4" applyFont="1" applyBorder="1" applyAlignment="1">
      <alignment horizontal="left"/>
    </xf>
    <xf numFmtId="167" fontId="3" fillId="0" borderId="8" xfId="4" applyNumberFormat="1" applyBorder="1"/>
    <xf numFmtId="0" fontId="3" fillId="0" borderId="17" xfId="4" applyFill="1" applyBorder="1"/>
    <xf numFmtId="11" fontId="3" fillId="0" borderId="11" xfId="4" applyNumberFormat="1" applyFill="1" applyBorder="1"/>
    <xf numFmtId="1" fontId="3" fillId="0" borderId="11" xfId="4" applyNumberFormat="1" applyFill="1" applyBorder="1"/>
    <xf numFmtId="166" fontId="3" fillId="0" borderId="11" xfId="4" applyNumberFormat="1" applyFill="1" applyBorder="1"/>
    <xf numFmtId="0" fontId="3" fillId="0" borderId="8" xfId="4" applyFill="1" applyBorder="1"/>
    <xf numFmtId="0" fontId="3" fillId="2" borderId="0" xfId="4" applyFill="1"/>
    <xf numFmtId="0" fontId="3" fillId="0" borderId="21" xfId="4" applyFill="1" applyBorder="1" applyAlignment="1">
      <alignment horizontal="left"/>
    </xf>
    <xf numFmtId="1" fontId="3" fillId="0" borderId="39" xfId="4" applyNumberFormat="1" applyBorder="1"/>
    <xf numFmtId="0" fontId="3" fillId="0" borderId="40" xfId="4" applyBorder="1"/>
    <xf numFmtId="0" fontId="3" fillId="0" borderId="39" xfId="4" applyBorder="1"/>
    <xf numFmtId="166" fontId="3" fillId="0" borderId="39" xfId="4" applyNumberFormat="1" applyBorder="1"/>
    <xf numFmtId="166" fontId="3" fillId="0" borderId="38" xfId="4" applyNumberFormat="1" applyBorder="1"/>
    <xf numFmtId="0" fontId="3" fillId="0" borderId="0" xfId="4" applyFill="1" applyBorder="1" applyAlignment="1">
      <alignment horizontal="left"/>
    </xf>
    <xf numFmtId="1" fontId="3" fillId="0" borderId="0" xfId="4" applyNumberFormat="1" applyBorder="1"/>
    <xf numFmtId="0" fontId="3" fillId="0" borderId="0" xfId="4" applyBorder="1"/>
    <xf numFmtId="166" fontId="3" fillId="0" borderId="0" xfId="4" applyNumberFormat="1" applyBorder="1"/>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0" fontId="7" fillId="0" borderId="5" xfId="4" applyFont="1" applyFill="1" applyBorder="1" applyAlignment="1">
      <alignment horizontal="center"/>
    </xf>
    <xf numFmtId="0" fontId="7" fillId="0" borderId="6" xfId="4" applyFont="1" applyFill="1" applyBorder="1" applyAlignment="1">
      <alignment horizontal="center"/>
    </xf>
    <xf numFmtId="2" fontId="7" fillId="0" borderId="7" xfId="4" applyNumberFormat="1" applyFont="1" applyFill="1" applyBorder="1" applyAlignment="1">
      <alignment horizontal="center"/>
    </xf>
    <xf numFmtId="0" fontId="7" fillId="0" borderId="0" xfId="4" applyFont="1" applyFill="1" applyBorder="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65" fontId="3" fillId="0" borderId="84" xfId="4" applyNumberFormat="1" applyBorder="1" applyAlignment="1">
      <alignment horizontal="center"/>
    </xf>
    <xf numFmtId="165" fontId="3" fillId="0" borderId="12" xfId="4" applyNumberFormat="1" applyBorder="1" applyAlignment="1">
      <alignment horizontal="center"/>
    </xf>
    <xf numFmtId="165" fontId="3" fillId="0" borderId="85" xfId="4" applyNumberFormat="1" applyBorder="1" applyAlignment="1">
      <alignment horizontal="center"/>
    </xf>
    <xf numFmtId="165" fontId="3" fillId="0" borderId="48" xfId="4" applyNumberFormat="1" applyBorder="1" applyAlignment="1">
      <alignment horizontal="center"/>
    </xf>
    <xf numFmtId="184" fontId="3" fillId="0" borderId="84" xfId="4" applyNumberFormat="1" applyBorder="1" applyAlignment="1">
      <alignment horizontal="center"/>
    </xf>
    <xf numFmtId="184"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65" fontId="3" fillId="0" borderId="11" xfId="4" applyNumberFormat="1" applyBorder="1" applyAlignment="1">
      <alignment horizontal="center"/>
    </xf>
    <xf numFmtId="165" fontId="3" fillId="0" borderId="79" xfId="4" applyNumberFormat="1" applyBorder="1" applyAlignment="1">
      <alignment horizontal="center"/>
    </xf>
    <xf numFmtId="0" fontId="3" fillId="0" borderId="0" xfId="4" applyAlignment="1">
      <alignment horizontal="center"/>
    </xf>
    <xf numFmtId="0" fontId="3" fillId="0" borderId="0" xfId="4" applyBorder="1" applyAlignment="1">
      <alignment horizontal="center"/>
    </xf>
    <xf numFmtId="165" fontId="3" fillId="0" borderId="0" xfId="4" applyNumberFormat="1" applyBorder="1" applyAlignment="1">
      <alignment horizontal="center"/>
    </xf>
    <xf numFmtId="184" fontId="3" fillId="0" borderId="0" xfId="4" applyNumberFormat="1" applyBorder="1" applyAlignment="1">
      <alignment horizontal="center"/>
    </xf>
    <xf numFmtId="2" fontId="3" fillId="0" borderId="87" xfId="4" applyNumberFormat="1" applyBorder="1" applyAlignment="1">
      <alignment horizontal="center"/>
    </xf>
    <xf numFmtId="2" fontId="3" fillId="0" borderId="0" xfId="4" applyNumberFormat="1" applyBorder="1" applyAlignment="1">
      <alignment horizontal="center"/>
    </xf>
    <xf numFmtId="2" fontId="3" fillId="0" borderId="0" xfId="4" applyNumberFormat="1" applyAlignment="1">
      <alignment horizontal="center"/>
    </xf>
    <xf numFmtId="0" fontId="3" fillId="0" borderId="0" xfId="4" applyFill="1" applyBorder="1" applyAlignment="1">
      <alignment horizontal="right"/>
    </xf>
    <xf numFmtId="165" fontId="3" fillId="0" borderId="17" xfId="4" applyNumberFormat="1" applyBorder="1" applyAlignment="1">
      <alignment horizontal="center"/>
    </xf>
    <xf numFmtId="165" fontId="3" fillId="0" borderId="8" xfId="4" applyNumberFormat="1" applyBorder="1" applyAlignment="1">
      <alignment horizontal="center"/>
    </xf>
    <xf numFmtId="184" fontId="3" fillId="0" borderId="79" xfId="4" applyNumberFormat="1" applyBorder="1" applyAlignment="1">
      <alignment horizontal="center"/>
    </xf>
    <xf numFmtId="1" fontId="3" fillId="0" borderId="0" xfId="4" applyNumberFormat="1" applyAlignment="1">
      <alignment horizontal="right"/>
    </xf>
    <xf numFmtId="0" fontId="3" fillId="0" borderId="0" xfId="4"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3" fillId="0" borderId="0" xfId="4" applyFont="1"/>
    <xf numFmtId="0" fontId="3" fillId="0" borderId="23" xfId="4" applyBorder="1"/>
    <xf numFmtId="11" fontId="3" fillId="0" borderId="0" xfId="4" applyNumberFormat="1" applyFont="1"/>
    <xf numFmtId="168" fontId="3" fillId="0" borderId="0" xfId="4" applyNumberFormat="1" applyFont="1"/>
    <xf numFmtId="2" fontId="3" fillId="29" borderId="0" xfId="4" applyNumberFormat="1" applyFill="1"/>
    <xf numFmtId="0" fontId="3" fillId="29" borderId="0" xfId="4" applyFill="1"/>
    <xf numFmtId="176" fontId="3" fillId="0" borderId="0" xfId="4" applyNumberFormat="1"/>
    <xf numFmtId="1" fontId="3" fillId="0" borderId="8" xfId="4" applyNumberFormat="1" applyBorder="1" applyAlignment="1">
      <alignment horizontal="left"/>
    </xf>
    <xf numFmtId="0" fontId="3" fillId="18" borderId="0" xfId="4" applyFill="1"/>
    <xf numFmtId="166" fontId="3" fillId="18" borderId="0" xfId="4" applyNumberFormat="1" applyFill="1"/>
    <xf numFmtId="0" fontId="3" fillId="0" borderId="0" xfId="4" quotePrefix="1" applyFill="1"/>
    <xf numFmtId="2" fontId="3" fillId="18" borderId="0" xfId="4" applyNumberFormat="1" applyFill="1"/>
    <xf numFmtId="167" fontId="3" fillId="18" borderId="0" xfId="4" applyNumberFormat="1" applyFill="1"/>
    <xf numFmtId="0" fontId="48" fillId="0" borderId="15" xfId="4" applyFont="1" applyFill="1" applyBorder="1"/>
    <xf numFmtId="2" fontId="4" fillId="0" borderId="11" xfId="4" applyNumberFormat="1" applyFont="1" applyFill="1" applyBorder="1"/>
    <xf numFmtId="0" fontId="4" fillId="0" borderId="79" xfId="4" applyFont="1" applyBorder="1"/>
    <xf numFmtId="167" fontId="4" fillId="0" borderId="11" xfId="4" applyNumberFormat="1" applyFont="1" applyFill="1" applyBorder="1"/>
    <xf numFmtId="0" fontId="82" fillId="0" borderId="79" xfId="4" applyFont="1" applyBorder="1"/>
    <xf numFmtId="0" fontId="48" fillId="0" borderId="0" xfId="4" applyFont="1"/>
    <xf numFmtId="0" fontId="3" fillId="0" borderId="80" xfId="4" applyFill="1" applyBorder="1"/>
    <xf numFmtId="0" fontId="3" fillId="0" borderId="15" xfId="4" applyFill="1" applyBorder="1"/>
    <xf numFmtId="165" fontId="7" fillId="0" borderId="0" xfId="0" applyNumberFormat="1" applyFont="1" applyBorder="1"/>
    <xf numFmtId="0" fontId="4" fillId="15" borderId="35" xfId="0" applyNumberFormat="1" applyFont="1" applyFill="1" applyBorder="1" applyAlignment="1" applyProtection="1">
      <alignment vertical="center"/>
      <protection locked="0"/>
    </xf>
    <xf numFmtId="0" fontId="4" fillId="12" borderId="64" xfId="0" applyNumberFormat="1" applyFont="1" applyFill="1" applyBorder="1" applyAlignment="1" applyProtection="1">
      <alignment vertical="center"/>
    </xf>
    <xf numFmtId="0" fontId="4" fillId="12" borderId="40" xfId="0" applyNumberFormat="1" applyFont="1" applyFill="1" applyBorder="1" applyAlignment="1" applyProtection="1">
      <alignment vertical="center"/>
    </xf>
    <xf numFmtId="0" fontId="4" fillId="11" borderId="0" xfId="0" applyFont="1" applyFill="1" applyBorder="1"/>
    <xf numFmtId="0" fontId="58" fillId="0" borderId="0" xfId="0" applyFont="1" applyBorder="1"/>
    <xf numFmtId="0" fontId="84" fillId="8" borderId="0" xfId="0" applyFont="1" applyFill="1" applyBorder="1" applyProtection="1"/>
    <xf numFmtId="0" fontId="81" fillId="12" borderId="0" xfId="0" applyNumberFormat="1" applyFont="1" applyFill="1" applyBorder="1" applyAlignment="1" applyProtection="1">
      <alignment vertical="center"/>
    </xf>
    <xf numFmtId="165" fontId="3" fillId="0" borderId="11" xfId="4" applyNumberFormat="1" applyBorder="1"/>
    <xf numFmtId="184" fontId="3" fillId="0" borderId="0" xfId="4" applyNumberFormat="1"/>
    <xf numFmtId="0" fontId="0" fillId="0" borderId="62" xfId="0" applyBorder="1"/>
    <xf numFmtId="0" fontId="0" fillId="0" borderId="64" xfId="0" applyBorder="1"/>
    <xf numFmtId="20" fontId="0" fillId="0" borderId="0" xfId="0" applyNumberFormat="1" applyBorder="1"/>
    <xf numFmtId="0" fontId="0" fillId="0" borderId="0" xfId="0" quotePrefix="1" applyBorder="1"/>
    <xf numFmtId="0" fontId="78" fillId="0" borderId="0" xfId="0" applyFont="1" applyBorder="1" applyAlignment="1">
      <alignment horizontal="right"/>
    </xf>
    <xf numFmtId="0" fontId="4" fillId="0" borderId="23" xfId="0" applyFont="1" applyBorder="1" applyAlignment="1">
      <alignment horizontal="right"/>
    </xf>
    <xf numFmtId="166" fontId="4" fillId="0" borderId="23" xfId="0" applyNumberFormat="1" applyFont="1" applyBorder="1" applyAlignment="1">
      <alignment horizontal="right"/>
    </xf>
    <xf numFmtId="166" fontId="48" fillId="0" borderId="0" xfId="0" applyNumberFormat="1" applyFont="1" applyBorder="1" applyAlignment="1">
      <alignment horizontal="left"/>
    </xf>
    <xf numFmtId="2" fontId="48" fillId="0" borderId="23" xfId="0" applyNumberFormat="1" applyFont="1" applyBorder="1" applyAlignment="1">
      <alignment horizontal="right"/>
    </xf>
    <xf numFmtId="2" fontId="48" fillId="0" borderId="0" xfId="0" applyNumberFormat="1" applyFont="1" applyBorder="1" applyAlignment="1">
      <alignment horizontal="left"/>
    </xf>
    <xf numFmtId="0" fontId="48" fillId="0" borderId="23" xfId="0" applyFont="1" applyBorder="1" applyAlignment="1">
      <alignment horizontal="right"/>
    </xf>
    <xf numFmtId="0" fontId="0" fillId="0" borderId="38" xfId="0" applyBorder="1"/>
    <xf numFmtId="0" fontId="0" fillId="0" borderId="39" xfId="0" applyBorder="1" applyAlignment="1">
      <alignment horizontal="left"/>
    </xf>
    <xf numFmtId="0" fontId="0" fillId="0" borderId="40" xfId="0" applyBorder="1"/>
    <xf numFmtId="0" fontId="4" fillId="0" borderId="62" xfId="0" applyFont="1" applyBorder="1"/>
    <xf numFmtId="0" fontId="4" fillId="8" borderId="23" xfId="0" applyFont="1" applyFill="1" applyBorder="1" applyAlignment="1" applyProtection="1"/>
    <xf numFmtId="0" fontId="22" fillId="8" borderId="38" xfId="0" applyFont="1" applyFill="1" applyBorder="1" applyAlignment="1" applyProtection="1">
      <alignment vertical="center"/>
    </xf>
    <xf numFmtId="0" fontId="47" fillId="8" borderId="39" xfId="0" applyFont="1" applyFill="1" applyBorder="1" applyAlignment="1" applyProtection="1"/>
    <xf numFmtId="0" fontId="4" fillId="8" borderId="39" xfId="0" applyFont="1" applyFill="1" applyBorder="1" applyAlignment="1" applyProtection="1"/>
    <xf numFmtId="0" fontId="4" fillId="8" borderId="40" xfId="0" applyFont="1" applyFill="1" applyBorder="1" applyAlignment="1" applyProtection="1"/>
    <xf numFmtId="0" fontId="4" fillId="12" borderId="0" xfId="0" applyNumberFormat="1" applyFont="1" applyFill="1" applyBorder="1" applyAlignment="1" applyProtection="1">
      <alignment vertical="center"/>
    </xf>
    <xf numFmtId="0" fontId="22" fillId="12" borderId="0" xfId="0" applyFont="1" applyFill="1" applyBorder="1" applyAlignment="1" applyProtection="1">
      <alignment vertical="center"/>
    </xf>
    <xf numFmtId="167" fontId="49" fillId="12" borderId="0" xfId="0" applyNumberFormat="1" applyFont="1" applyFill="1" applyBorder="1" applyAlignment="1" applyProtection="1">
      <alignment vertical="center"/>
    </xf>
    <xf numFmtId="0" fontId="10" fillId="0" borderId="0" xfId="3" applyAlignment="1" applyProtection="1"/>
    <xf numFmtId="0" fontId="50" fillId="0" borderId="0" xfId="4" applyFont="1"/>
    <xf numFmtId="0" fontId="58" fillId="0" borderId="86" xfId="4" applyFont="1" applyBorder="1" applyAlignment="1">
      <alignment horizontal="center"/>
    </xf>
    <xf numFmtId="0" fontId="58" fillId="0" borderId="74" xfId="4" applyFont="1" applyBorder="1" applyAlignment="1">
      <alignment horizontal="center"/>
    </xf>
    <xf numFmtId="165" fontId="58" fillId="0" borderId="84" xfId="4" applyNumberFormat="1" applyFont="1" applyBorder="1" applyAlignment="1">
      <alignment horizontal="center"/>
    </xf>
    <xf numFmtId="165" fontId="58" fillId="0" borderId="12" xfId="4" applyNumberFormat="1" applyFont="1" applyBorder="1" applyAlignment="1">
      <alignment horizontal="center"/>
    </xf>
    <xf numFmtId="165" fontId="58" fillId="0" borderId="85" xfId="4" applyNumberFormat="1" applyFont="1" applyBorder="1" applyAlignment="1">
      <alignment horizontal="center"/>
    </xf>
    <xf numFmtId="165" fontId="58" fillId="0" borderId="48" xfId="4" applyNumberFormat="1" applyFont="1" applyBorder="1" applyAlignment="1">
      <alignment horizontal="center"/>
    </xf>
    <xf numFmtId="165" fontId="58" fillId="0" borderId="11" xfId="4" applyNumberFormat="1" applyFont="1" applyBorder="1" applyAlignment="1">
      <alignment horizontal="center"/>
    </xf>
    <xf numFmtId="165" fontId="58" fillId="0" borderId="79" xfId="4" applyNumberFormat="1" applyFont="1" applyBorder="1" applyAlignment="1">
      <alignment horizontal="center"/>
    </xf>
    <xf numFmtId="184" fontId="58" fillId="0" borderId="84" xfId="4" applyNumberFormat="1" applyFont="1" applyBorder="1" applyAlignment="1">
      <alignment horizontal="center"/>
    </xf>
    <xf numFmtId="184" fontId="58" fillId="0" borderId="85" xfId="4" applyNumberFormat="1" applyFont="1" applyBorder="1" applyAlignment="1">
      <alignment horizontal="center"/>
    </xf>
    <xf numFmtId="2" fontId="58" fillId="0" borderId="84" xfId="4" applyNumberFormat="1" applyFont="1" applyBorder="1" applyAlignment="1">
      <alignment horizontal="center"/>
    </xf>
    <xf numFmtId="2" fontId="58" fillId="0" borderId="12" xfId="4" applyNumberFormat="1" applyFont="1" applyBorder="1" applyAlignment="1">
      <alignment horizontal="center"/>
    </xf>
    <xf numFmtId="2" fontId="58" fillId="0" borderId="79" xfId="4" applyNumberFormat="1" applyFont="1" applyBorder="1" applyAlignment="1">
      <alignment horizontal="center"/>
    </xf>
    <xf numFmtId="2" fontId="58" fillId="0" borderId="17" xfId="4" applyNumberFormat="1" applyFont="1" applyBorder="1" applyAlignment="1">
      <alignment horizontal="center"/>
    </xf>
    <xf numFmtId="1" fontId="49" fillId="12" borderId="0" xfId="0" applyNumberFormat="1" applyFont="1" applyFill="1" applyBorder="1" applyAlignment="1" applyProtection="1">
      <alignment vertical="center"/>
    </xf>
    <xf numFmtId="0" fontId="3" fillId="8" borderId="0" xfId="0" applyNumberFormat="1" applyFont="1" applyFill="1" applyBorder="1" applyAlignment="1" applyProtection="1">
      <alignment horizontal="right" vertical="center"/>
    </xf>
    <xf numFmtId="167" fontId="50" fillId="15" borderId="0" xfId="0" applyNumberFormat="1" applyFont="1" applyFill="1" applyBorder="1" applyAlignment="1" applyProtection="1">
      <alignment vertical="center"/>
      <protection locked="0"/>
    </xf>
    <xf numFmtId="0" fontId="86" fillId="0" borderId="0" xfId="0" applyFont="1"/>
    <xf numFmtId="167" fontId="3" fillId="12" borderId="0" xfId="0" applyNumberFormat="1" applyFont="1" applyFill="1" applyAlignment="1" applyProtection="1">
      <alignment horizontal="right"/>
    </xf>
    <xf numFmtId="0" fontId="0" fillId="0" borderId="0" xfId="0" quotePrefix="1" applyAlignment="1">
      <alignment wrapText="1"/>
    </xf>
    <xf numFmtId="0" fontId="0" fillId="0" borderId="0" xfId="0" applyAlignment="1">
      <alignment wrapText="1"/>
    </xf>
    <xf numFmtId="0" fontId="3" fillId="0" borderId="0" xfId="0" applyFont="1" applyAlignment="1">
      <alignment wrapText="1"/>
    </xf>
    <xf numFmtId="2" fontId="7" fillId="0" borderId="0" xfId="0" applyNumberFormat="1" applyFont="1" applyFill="1" applyBorder="1"/>
    <xf numFmtId="167" fontId="49" fillId="8" borderId="35" xfId="2" applyNumberFormat="1" applyFont="1" applyFill="1" applyBorder="1" applyAlignment="1" applyProtection="1">
      <alignment horizontal="right" vertical="center"/>
    </xf>
    <xf numFmtId="167" fontId="17" fillId="8" borderId="35" xfId="0" applyNumberFormat="1" applyFont="1" applyFill="1" applyBorder="1" applyAlignment="1" applyProtection="1">
      <alignment horizontal="right"/>
    </xf>
    <xf numFmtId="0" fontId="3" fillId="8" borderId="38" xfId="0" applyFont="1" applyFill="1" applyBorder="1" applyAlignment="1" applyProtection="1">
      <alignment vertical="center"/>
    </xf>
    <xf numFmtId="0" fontId="50" fillId="8" borderId="35" xfId="0" applyFont="1" applyFill="1" applyBorder="1" applyAlignment="1" applyProtection="1">
      <alignment horizontal="right" vertical="center"/>
    </xf>
    <xf numFmtId="0" fontId="50" fillId="12" borderId="64" xfId="0" applyNumberFormat="1" applyFont="1" applyFill="1" applyBorder="1" applyAlignment="1" applyProtection="1">
      <alignment vertical="center"/>
    </xf>
    <xf numFmtId="0" fontId="3" fillId="8" borderId="0" xfId="0" applyFont="1" applyFill="1" applyBorder="1" applyAlignment="1" applyProtection="1"/>
    <xf numFmtId="167" fontId="3" fillId="8" borderId="0" xfId="0" applyNumberFormat="1" applyFont="1" applyFill="1" applyBorder="1" applyAlignment="1" applyProtection="1"/>
    <xf numFmtId="0" fontId="87" fillId="8" borderId="39" xfId="0" applyFont="1" applyFill="1" applyBorder="1" applyAlignment="1" applyProtection="1"/>
    <xf numFmtId="0" fontId="3" fillId="8" borderId="39" xfId="0" applyFont="1" applyFill="1" applyBorder="1" applyAlignment="1" applyProtection="1"/>
    <xf numFmtId="0" fontId="49" fillId="8" borderId="39" xfId="0" applyFont="1" applyFill="1" applyBorder="1" applyAlignment="1" applyProtection="1">
      <alignment horizontal="right"/>
    </xf>
    <xf numFmtId="1" fontId="3" fillId="8" borderId="39" xfId="0" applyNumberFormat="1" applyFont="1" applyFill="1" applyBorder="1" applyAlignment="1" applyProtection="1"/>
    <xf numFmtId="0" fontId="3" fillId="8" borderId="40" xfId="0" applyFont="1" applyFill="1" applyBorder="1" applyAlignment="1" applyProtection="1"/>
    <xf numFmtId="167" fontId="79" fillId="8" borderId="0" xfId="0" applyNumberFormat="1" applyFont="1" applyFill="1" applyBorder="1" applyAlignment="1" applyProtection="1"/>
    <xf numFmtId="0" fontId="3" fillId="8" borderId="22" xfId="0" applyFont="1" applyFill="1" applyBorder="1" applyAlignment="1" applyProtection="1">
      <alignment horizontal="right"/>
    </xf>
    <xf numFmtId="0" fontId="22" fillId="12" borderId="62" xfId="0" applyFont="1" applyFill="1" applyBorder="1" applyAlignment="1" applyProtection="1">
      <alignment vertical="center"/>
    </xf>
    <xf numFmtId="0" fontId="47" fillId="8" borderId="35" xfId="0" applyFont="1" applyFill="1" applyBorder="1" applyAlignment="1" applyProtection="1"/>
    <xf numFmtId="0" fontId="3" fillId="8" borderId="35" xfId="0" applyFont="1" applyFill="1" applyBorder="1" applyAlignment="1" applyProtection="1"/>
    <xf numFmtId="0" fontId="3" fillId="8" borderId="35" xfId="0" quotePrefix="1" applyFont="1" applyFill="1" applyBorder="1" applyAlignment="1" applyProtection="1">
      <alignment horizontal="right"/>
    </xf>
    <xf numFmtId="167" fontId="3" fillId="8" borderId="35" xfId="0" applyNumberFormat="1" applyFont="1" applyFill="1" applyBorder="1" applyAlignment="1" applyProtection="1"/>
    <xf numFmtId="0" fontId="3" fillId="8" borderId="64" xfId="0" applyFont="1" applyFill="1" applyBorder="1" applyAlignment="1" applyProtection="1"/>
    <xf numFmtId="0" fontId="22" fillId="12" borderId="22" xfId="0" applyFont="1" applyFill="1" applyBorder="1" applyAlignment="1" applyProtection="1">
      <alignment vertical="center"/>
    </xf>
    <xf numFmtId="0" fontId="17" fillId="12" borderId="38" xfId="0" applyFont="1" applyFill="1" applyBorder="1" applyProtection="1"/>
    <xf numFmtId="167" fontId="3" fillId="8" borderId="0" xfId="0" applyNumberFormat="1" applyFont="1" applyFill="1" applyBorder="1" applyAlignment="1" applyProtection="1">
      <alignment horizontal="right"/>
    </xf>
    <xf numFmtId="167" fontId="3" fillId="8" borderId="39" xfId="0" applyNumberFormat="1" applyFont="1" applyFill="1" applyBorder="1" applyAlignment="1" applyProtection="1">
      <alignment horizontal="right"/>
    </xf>
    <xf numFmtId="0" fontId="3" fillId="8" borderId="64" xfId="0" applyFont="1" applyFill="1" applyBorder="1" applyAlignment="1" applyProtection="1">
      <alignment vertical="center"/>
    </xf>
    <xf numFmtId="0" fontId="50" fillId="15" borderId="39" xfId="0" applyNumberFormat="1" applyFont="1" applyFill="1" applyBorder="1" applyAlignment="1" applyProtection="1">
      <alignment horizontal="right" vertical="center"/>
      <protection locked="0"/>
    </xf>
    <xf numFmtId="0" fontId="4" fillId="8" borderId="40" xfId="0" applyFont="1" applyFill="1" applyBorder="1" applyAlignment="1" applyProtection="1">
      <alignment vertical="center"/>
    </xf>
    <xf numFmtId="0" fontId="84" fillId="8" borderId="11" xfId="0" applyFont="1" applyFill="1" applyBorder="1" applyAlignment="1" applyProtection="1">
      <alignment horizontal="right"/>
    </xf>
    <xf numFmtId="0" fontId="81" fillId="15" borderId="15" xfId="0" applyNumberFormat="1" applyFont="1" applyFill="1" applyBorder="1" applyAlignment="1" applyProtection="1">
      <alignment vertical="center"/>
      <protection locked="0"/>
    </xf>
    <xf numFmtId="0" fontId="4" fillId="0" borderId="0" xfId="0" applyFont="1" applyFill="1" applyBorder="1" applyProtection="1"/>
    <xf numFmtId="0" fontId="3" fillId="8" borderId="64" xfId="0" applyFont="1" applyFill="1" applyBorder="1" applyProtection="1"/>
    <xf numFmtId="0" fontId="3" fillId="12" borderId="40" xfId="0" applyFont="1" applyFill="1" applyBorder="1" applyProtection="1"/>
    <xf numFmtId="0" fontId="4" fillId="15" borderId="0" xfId="0" applyNumberFormat="1" applyFont="1" applyFill="1" applyBorder="1" applyAlignment="1" applyProtection="1">
      <alignment horizontal="right"/>
      <protection locked="0"/>
    </xf>
    <xf numFmtId="0" fontId="4" fillId="8" borderId="35" xfId="0" applyFont="1" applyFill="1" applyBorder="1" applyAlignment="1" applyProtection="1">
      <alignment horizontal="right" vertical="center"/>
    </xf>
    <xf numFmtId="1" fontId="3" fillId="8" borderId="35" xfId="0" applyNumberFormat="1" applyFont="1" applyFill="1" applyBorder="1" applyAlignment="1" applyProtection="1">
      <alignment horizontal="right" vertical="center"/>
    </xf>
    <xf numFmtId="0" fontId="3" fillId="8" borderId="88" xfId="0" applyFont="1" applyFill="1" applyBorder="1" applyAlignment="1" applyProtection="1">
      <alignment vertical="center"/>
    </xf>
    <xf numFmtId="0" fontId="3" fillId="8" borderId="10" xfId="0" applyFont="1" applyFill="1" applyBorder="1" applyAlignment="1" applyProtection="1">
      <alignment vertical="center"/>
    </xf>
    <xf numFmtId="0" fontId="4" fillId="8" borderId="10" xfId="0" applyFont="1" applyFill="1" applyBorder="1" applyAlignment="1" applyProtection="1">
      <alignment vertical="center"/>
    </xf>
    <xf numFmtId="0" fontId="3" fillId="8" borderId="10" xfId="0" applyFont="1" applyFill="1" applyBorder="1" applyAlignment="1" applyProtection="1">
      <alignment horizontal="right" vertical="center"/>
    </xf>
    <xf numFmtId="0" fontId="3" fillId="0" borderId="10" xfId="0" applyNumberFormat="1" applyFont="1" applyFill="1" applyBorder="1" applyAlignment="1" applyProtection="1">
      <alignment horizontal="right" vertical="center"/>
    </xf>
    <xf numFmtId="0" fontId="3" fillId="8" borderId="89" xfId="0" applyFont="1" applyFill="1" applyBorder="1" applyAlignment="1" applyProtection="1">
      <alignment vertical="center"/>
    </xf>
    <xf numFmtId="0" fontId="3" fillId="8" borderId="48" xfId="0" applyFont="1" applyFill="1" applyBorder="1" applyAlignment="1" applyProtection="1">
      <alignment vertical="center"/>
    </xf>
    <xf numFmtId="0" fontId="3" fillId="8" borderId="4" xfId="0" applyFont="1" applyFill="1" applyBorder="1" applyAlignment="1" applyProtection="1">
      <alignment vertical="center"/>
    </xf>
    <xf numFmtId="0" fontId="3" fillId="8" borderId="4" xfId="0" applyFont="1" applyFill="1" applyBorder="1" applyAlignment="1" applyProtection="1">
      <alignment horizontal="right" vertical="center"/>
    </xf>
    <xf numFmtId="0" fontId="3" fillId="8" borderId="4" xfId="0" applyNumberFormat="1" applyFont="1" applyFill="1" applyBorder="1" applyAlignment="1" applyProtection="1">
      <alignment horizontal="right" vertical="center"/>
    </xf>
    <xf numFmtId="0" fontId="3" fillId="8" borderId="16" xfId="0" applyFont="1" applyFill="1" applyBorder="1" applyAlignment="1" applyProtection="1">
      <alignment vertical="center"/>
    </xf>
    <xf numFmtId="0" fontId="22" fillId="8" borderId="0" xfId="0" applyFont="1" applyFill="1" applyBorder="1" applyAlignment="1" applyProtection="1">
      <alignment vertical="center"/>
    </xf>
    <xf numFmtId="0" fontId="45" fillId="8" borderId="62" xfId="0" applyFont="1" applyFill="1" applyBorder="1" applyProtection="1"/>
    <xf numFmtId="0" fontId="45" fillId="8" borderId="38" xfId="0" applyFont="1" applyFill="1" applyBorder="1" applyProtection="1"/>
    <xf numFmtId="0" fontId="3" fillId="8" borderId="62" xfId="0" applyFont="1" applyFill="1" applyBorder="1" applyAlignment="1" applyProtection="1">
      <alignment horizontal="right"/>
    </xf>
    <xf numFmtId="0" fontId="3" fillId="0" borderId="0" xfId="0" applyFont="1" applyFill="1" applyBorder="1" applyAlignment="1" applyProtection="1">
      <alignment horizontal="right"/>
    </xf>
    <xf numFmtId="0" fontId="49" fillId="12" borderId="0" xfId="0" applyFont="1" applyFill="1" applyBorder="1" applyAlignment="1" applyProtection="1">
      <alignment horizontal="right"/>
    </xf>
    <xf numFmtId="0" fontId="49" fillId="12" borderId="35" xfId="0" applyFont="1" applyFill="1" applyBorder="1" applyAlignment="1" applyProtection="1">
      <alignment horizontal="right"/>
    </xf>
    <xf numFmtId="0" fontId="17" fillId="12" borderId="90" xfId="0" applyFont="1" applyFill="1" applyBorder="1" applyProtection="1"/>
    <xf numFmtId="0" fontId="50" fillId="12" borderId="39" xfId="0" applyFont="1" applyFill="1" applyBorder="1" applyAlignment="1" applyProtection="1">
      <alignment horizontal="right"/>
    </xf>
    <xf numFmtId="0" fontId="3" fillId="0" borderId="0" xfId="0" applyNumberFormat="1" applyFont="1" applyFill="1" applyBorder="1" applyAlignment="1" applyProtection="1">
      <alignment vertical="center"/>
    </xf>
    <xf numFmtId="0" fontId="17" fillId="8" borderId="67" xfId="0" applyFont="1" applyFill="1" applyBorder="1" applyProtection="1"/>
    <xf numFmtId="0" fontId="3" fillId="12" borderId="0" xfId="0" applyFont="1" applyFill="1" applyBorder="1" applyAlignment="1" applyProtection="1">
      <alignment horizontal="right"/>
    </xf>
    <xf numFmtId="0" fontId="3" fillId="12" borderId="23" xfId="0" applyFont="1" applyFill="1" applyBorder="1" applyProtection="1"/>
    <xf numFmtId="0" fontId="3" fillId="0" borderId="0" xfId="0" applyFont="1" applyFill="1" applyBorder="1" applyProtection="1"/>
    <xf numFmtId="0" fontId="79" fillId="8" borderId="0" xfId="0" applyFont="1" applyFill="1" applyBorder="1" applyAlignment="1" applyProtection="1">
      <alignment horizontal="right" vertical="center"/>
    </xf>
    <xf numFmtId="0" fontId="65" fillId="8" borderId="0" xfId="0" applyFont="1" applyFill="1" applyBorder="1" applyAlignment="1" applyProtection="1">
      <alignment horizontal="right" vertical="center"/>
    </xf>
    <xf numFmtId="0" fontId="3" fillId="0" borderId="62" xfId="0" applyFont="1" applyBorder="1"/>
    <xf numFmtId="0" fontId="0" fillId="0" borderId="90" xfId="0" applyBorder="1"/>
    <xf numFmtId="0" fontId="3" fillId="0" borderId="38" xfId="0" applyFont="1" applyBorder="1"/>
    <xf numFmtId="0" fontId="4" fillId="8" borderId="35" xfId="0" applyFont="1" applyFill="1" applyBorder="1" applyAlignment="1" applyProtection="1">
      <alignment horizontal="right"/>
    </xf>
    <xf numFmtId="0" fontId="3" fillId="0"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3" fillId="8" borderId="38" xfId="0" applyFont="1" applyFill="1" applyBorder="1" applyProtection="1"/>
    <xf numFmtId="0" fontId="4" fillId="0" borderId="39" xfId="0" applyFont="1" applyFill="1" applyBorder="1" applyProtection="1"/>
    <xf numFmtId="0" fontId="3" fillId="0" borderId="39" xfId="0" applyFont="1" applyFill="1" applyBorder="1" applyAlignment="1" applyProtection="1">
      <alignment horizontal="right"/>
    </xf>
    <xf numFmtId="0" fontId="3" fillId="0" borderId="40" xfId="0" applyNumberFormat="1" applyFont="1" applyFill="1" applyBorder="1" applyAlignment="1" applyProtection="1">
      <alignment vertical="center"/>
    </xf>
    <xf numFmtId="167" fontId="3" fillId="0" borderId="39" xfId="0" applyNumberFormat="1" applyFont="1" applyFill="1" applyBorder="1" applyAlignment="1" applyProtection="1">
      <alignment horizontal="right" vertical="center"/>
    </xf>
    <xf numFmtId="0" fontId="3" fillId="12" borderId="0" xfId="0" applyFont="1" applyFill="1" applyBorder="1" applyProtection="1"/>
    <xf numFmtId="1" fontId="3" fillId="12" borderId="35" xfId="0" applyNumberFormat="1" applyFont="1" applyFill="1" applyBorder="1" applyProtection="1"/>
    <xf numFmtId="0" fontId="3" fillId="12" borderId="64" xfId="0" applyFont="1" applyFill="1" applyBorder="1" applyProtection="1"/>
    <xf numFmtId="0" fontId="3" fillId="12" borderId="0" xfId="0" applyFont="1" applyFill="1" applyBorder="1" applyAlignment="1" applyProtection="1"/>
    <xf numFmtId="0" fontId="3" fillId="12" borderId="90" xfId="0" applyFont="1" applyFill="1" applyBorder="1" applyProtection="1"/>
    <xf numFmtId="0" fontId="4" fillId="15" borderId="39" xfId="0" applyFont="1" applyFill="1" applyBorder="1" applyAlignment="1" applyProtection="1">
      <protection locked="0"/>
    </xf>
    <xf numFmtId="0" fontId="4" fillId="12" borderId="40" xfId="0" applyFont="1" applyFill="1" applyBorder="1" applyProtection="1"/>
    <xf numFmtId="167" fontId="3" fillId="12" borderId="0" xfId="0" applyNumberFormat="1" applyFont="1" applyFill="1" applyBorder="1" applyProtection="1"/>
    <xf numFmtId="0" fontId="4" fillId="8" borderId="90" xfId="0" applyFont="1" applyFill="1" applyBorder="1" applyAlignment="1" applyProtection="1">
      <alignment vertical="center"/>
    </xf>
    <xf numFmtId="0" fontId="3" fillId="8" borderId="90" xfId="0" applyNumberFormat="1" applyFont="1" applyFill="1" applyBorder="1" applyAlignment="1" applyProtection="1">
      <alignment horizontal="left" vertical="center"/>
    </xf>
    <xf numFmtId="0" fontId="3" fillId="8" borderId="90" xfId="0" applyFont="1" applyFill="1" applyBorder="1" applyAlignment="1" applyProtection="1">
      <alignment vertical="center"/>
    </xf>
    <xf numFmtId="0" fontId="3" fillId="8" borderId="35" xfId="0" applyNumberFormat="1" applyFont="1" applyFill="1" applyBorder="1" applyAlignment="1" applyProtection="1">
      <alignment horizontal="right" vertical="center"/>
    </xf>
    <xf numFmtId="0" fontId="3" fillId="8" borderId="39" xfId="0" applyNumberFormat="1" applyFont="1" applyFill="1" applyBorder="1" applyAlignment="1" applyProtection="1">
      <alignment horizontal="right" vertical="center"/>
    </xf>
    <xf numFmtId="0" fontId="3" fillId="8" borderId="40" xfId="0" applyNumberFormat="1" applyFont="1" applyFill="1" applyBorder="1" applyAlignment="1" applyProtection="1">
      <alignment horizontal="left" vertical="center"/>
    </xf>
    <xf numFmtId="0" fontId="3" fillId="8" borderId="62" xfId="0" applyFont="1" applyFill="1" applyBorder="1" applyAlignment="1" applyProtection="1">
      <alignment horizontal="right" vertical="center"/>
    </xf>
    <xf numFmtId="0" fontId="3" fillId="12" borderId="35" xfId="0" applyNumberFormat="1" applyFont="1" applyFill="1" applyBorder="1" applyAlignment="1" applyProtection="1">
      <alignment horizontal="right" vertical="center"/>
    </xf>
    <xf numFmtId="0" fontId="3" fillId="12" borderId="35" xfId="0" applyFont="1" applyFill="1" applyBorder="1" applyAlignment="1" applyProtection="1">
      <alignment vertical="center"/>
    </xf>
    <xf numFmtId="0" fontId="3" fillId="12" borderId="35" xfId="0" applyFont="1" applyFill="1" applyBorder="1" applyProtection="1"/>
    <xf numFmtId="0" fontId="3" fillId="8" borderId="22" xfId="0" applyFont="1" applyFill="1" applyBorder="1" applyAlignment="1" applyProtection="1">
      <alignment horizontal="right" vertical="center"/>
    </xf>
    <xf numFmtId="0" fontId="3" fillId="8" borderId="90" xfId="0" applyFont="1" applyFill="1" applyBorder="1" applyProtection="1"/>
    <xf numFmtId="165" fontId="17" fillId="8" borderId="39" xfId="0" applyNumberFormat="1" applyFont="1" applyFill="1" applyBorder="1" applyProtection="1"/>
    <xf numFmtId="2" fontId="3" fillId="8" borderId="39" xfId="0" applyNumberFormat="1" applyFont="1" applyFill="1" applyBorder="1" applyProtection="1"/>
    <xf numFmtId="166" fontId="3" fillId="8" borderId="39" xfId="0" applyNumberFormat="1" applyFont="1" applyFill="1" applyBorder="1" applyAlignment="1" applyProtection="1">
      <alignment horizontal="right" vertical="center"/>
    </xf>
    <xf numFmtId="0" fontId="3" fillId="8" borderId="76" xfId="0" applyFont="1" applyFill="1" applyBorder="1" applyProtection="1"/>
    <xf numFmtId="0" fontId="3" fillId="8" borderId="77" xfId="0" applyFont="1" applyFill="1" applyBorder="1" applyProtection="1"/>
    <xf numFmtId="0" fontId="3" fillId="15" borderId="0" xfId="0" applyNumberFormat="1" applyFont="1" applyFill="1" applyBorder="1" applyAlignment="1" applyProtection="1">
      <alignment horizontal="right" vertical="center"/>
      <protection locked="0"/>
    </xf>
    <xf numFmtId="166" fontId="0" fillId="30" borderId="0" xfId="0" applyNumberFormat="1" applyFill="1"/>
    <xf numFmtId="176" fontId="0" fillId="0" borderId="0" xfId="0" applyNumberFormat="1"/>
    <xf numFmtId="0" fontId="3" fillId="15" borderId="35" xfId="0" applyNumberFormat="1" applyFont="1" applyFill="1" applyBorder="1" applyAlignment="1" applyProtection="1">
      <alignment horizontal="right" vertical="center"/>
      <protection locked="0"/>
    </xf>
    <xf numFmtId="0" fontId="4" fillId="8" borderId="64" xfId="0" applyNumberFormat="1" applyFont="1" applyFill="1" applyBorder="1" applyAlignment="1" applyProtection="1">
      <alignment horizontal="left" vertical="center"/>
    </xf>
    <xf numFmtId="0" fontId="4" fillId="8" borderId="90" xfId="0" applyNumberFormat="1" applyFont="1" applyFill="1" applyBorder="1" applyAlignment="1" applyProtection="1">
      <alignment horizontal="left" vertical="center"/>
    </xf>
    <xf numFmtId="0" fontId="65" fillId="8" borderId="0" xfId="0" applyNumberFormat="1" applyFont="1" applyFill="1" applyBorder="1" applyAlignment="1" applyProtection="1">
      <alignment horizontal="right" vertical="center"/>
    </xf>
    <xf numFmtId="0" fontId="18" fillId="8" borderId="64" xfId="0" applyFont="1" applyFill="1" applyBorder="1" applyProtection="1"/>
    <xf numFmtId="0" fontId="18" fillId="8" borderId="90" xfId="0" applyFont="1" applyFill="1" applyBorder="1" applyProtection="1"/>
    <xf numFmtId="0" fontId="17" fillId="8" borderId="90" xfId="0" applyFont="1" applyFill="1" applyBorder="1" applyProtection="1"/>
    <xf numFmtId="0" fontId="3" fillId="8" borderId="38" xfId="0" applyFont="1" applyFill="1" applyBorder="1" applyAlignment="1" applyProtection="1">
      <alignment horizontal="right" vertical="center"/>
    </xf>
    <xf numFmtId="0" fontId="3" fillId="12" borderId="39" xfId="0" applyNumberFormat="1" applyFont="1" applyFill="1" applyBorder="1" applyAlignment="1" applyProtection="1">
      <alignment horizontal="right" vertical="center"/>
    </xf>
    <xf numFmtId="0" fontId="3" fillId="12" borderId="39" xfId="0" applyFont="1" applyFill="1" applyBorder="1" applyAlignment="1" applyProtection="1">
      <alignment vertical="center"/>
    </xf>
    <xf numFmtId="0" fontId="3" fillId="8" borderId="75" xfId="0" applyFont="1" applyFill="1" applyBorder="1" applyProtection="1"/>
    <xf numFmtId="0" fontId="3" fillId="15" borderId="35" xfId="0" applyFont="1" applyFill="1" applyBorder="1" applyProtection="1">
      <protection locked="0"/>
    </xf>
    <xf numFmtId="0" fontId="3" fillId="15" borderId="0" xfId="0" applyFont="1" applyFill="1" applyBorder="1" applyProtection="1">
      <protection locked="0"/>
    </xf>
    <xf numFmtId="0" fontId="65" fillId="8" borderId="0" xfId="0" applyFont="1" applyFill="1" applyBorder="1" applyAlignment="1" applyProtection="1">
      <alignment horizontal="right"/>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48" fillId="8" borderId="0" xfId="0" applyFont="1" applyFill="1" applyBorder="1" applyProtection="1"/>
    <xf numFmtId="0" fontId="58" fillId="8" borderId="0" xfId="0" applyFont="1" applyFill="1" applyBorder="1" applyProtection="1"/>
    <xf numFmtId="174" fontId="3" fillId="12" borderId="8" xfId="4" applyNumberFormat="1" applyFill="1" applyBorder="1" applyAlignment="1">
      <alignment horizontal="left" vertical="center"/>
    </xf>
    <xf numFmtId="180" fontId="3" fillId="17" borderId="8" xfId="4" applyNumberFormat="1" applyFill="1" applyBorder="1" applyAlignment="1">
      <alignment horizontal="left" vertical="center"/>
    </xf>
    <xf numFmtId="180" fontId="3" fillId="17" borderId="9" xfId="4" applyNumberFormat="1" applyFill="1" applyBorder="1" applyAlignment="1">
      <alignment horizontal="left" vertical="center"/>
    </xf>
    <xf numFmtId="1" fontId="3" fillId="17" borderId="11" xfId="4" applyNumberFormat="1" applyFill="1" applyBorder="1" applyAlignment="1">
      <alignment horizontal="center" vertical="center"/>
    </xf>
    <xf numFmtId="181" fontId="3" fillId="12" borderId="11" xfId="4" applyNumberFormat="1" applyFill="1" applyBorder="1" applyAlignment="1">
      <alignment horizontal="center" vertical="center"/>
    </xf>
    <xf numFmtId="182" fontId="3" fillId="12" borderId="9" xfId="4" applyNumberFormat="1" applyFill="1" applyBorder="1" applyAlignment="1">
      <alignment horizontal="left" vertical="center"/>
    </xf>
    <xf numFmtId="172" fontId="3" fillId="17" borderId="11" xfId="4" applyNumberFormat="1" applyFill="1" applyBorder="1" applyAlignment="1">
      <alignment horizontal="center" vertical="center"/>
    </xf>
    <xf numFmtId="11" fontId="0" fillId="0" borderId="0" xfId="0" applyNumberFormat="1"/>
    <xf numFmtId="0" fontId="58" fillId="0" borderId="0" xfId="0" applyFont="1" applyFill="1" applyBorder="1"/>
    <xf numFmtId="0" fontId="58" fillId="0" borderId="0" xfId="0" applyFont="1"/>
    <xf numFmtId="0" fontId="3" fillId="12" borderId="23" xfId="0" applyFont="1" applyFill="1" applyBorder="1" applyAlignment="1" applyProtection="1">
      <alignment vertical="center"/>
    </xf>
    <xf numFmtId="167" fontId="49" fillId="12" borderId="0" xfId="0" applyNumberFormat="1" applyFont="1" applyFill="1" applyBorder="1" applyAlignment="1" applyProtection="1">
      <alignment horizontal="right" vertical="center"/>
    </xf>
    <xf numFmtId="167" fontId="3" fillId="8" borderId="0" xfId="0" applyNumberFormat="1" applyFont="1" applyFill="1" applyBorder="1" applyAlignment="1" applyProtection="1">
      <alignment horizontal="right" vertical="center"/>
    </xf>
    <xf numFmtId="0" fontId="81" fillId="4" borderId="43" xfId="4" applyFont="1" applyFill="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applyAlignment="1"/>
    <xf numFmtId="0" fontId="4" fillId="4" borderId="81" xfId="4" applyFont="1" applyFill="1" applyBorder="1" applyAlignment="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Font="1" applyBorder="1" applyAlignment="1">
      <alignment horizontal="center"/>
    </xf>
    <xf numFmtId="0" fontId="3" fillId="0" borderId="66" xfId="4" applyFont="1" applyBorder="1" applyAlignment="1">
      <alignment horizontal="center"/>
    </xf>
    <xf numFmtId="0" fontId="4" fillId="0" borderId="66" xfId="4" applyFont="1" applyBorder="1" applyAlignment="1">
      <alignment horizontal="center"/>
    </xf>
    <xf numFmtId="0" fontId="81"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1" fillId="4" borderId="76" xfId="4" applyFont="1" applyFill="1" applyBorder="1" applyAlignment="1">
      <alignment horizontal="center" vertical="top"/>
    </xf>
    <xf numFmtId="0" fontId="81" fillId="4" borderId="82" xfId="4" applyFont="1" applyFill="1" applyBorder="1" applyAlignment="1">
      <alignment horizontal="center" vertical="top"/>
    </xf>
    <xf numFmtId="0" fontId="81" fillId="4" borderId="65" xfId="4" applyFont="1" applyFill="1" applyBorder="1" applyAlignment="1">
      <alignment horizontal="center"/>
    </xf>
    <xf numFmtId="0" fontId="81" fillId="4" borderId="78" xfId="4" applyFont="1" applyFill="1" applyBorder="1" applyAlignment="1">
      <alignment horizontal="center"/>
    </xf>
    <xf numFmtId="0" fontId="81" fillId="4" borderId="66" xfId="4" applyFont="1" applyFill="1" applyBorder="1" applyAlignment="1">
      <alignment horizontal="center"/>
    </xf>
    <xf numFmtId="0" fontId="81" fillId="4" borderId="81" xfId="4" applyFont="1" applyFill="1" applyBorder="1" applyAlignment="1">
      <alignment horizontal="center"/>
    </xf>
    <xf numFmtId="0" fontId="4" fillId="0" borderId="0" xfId="0" applyFont="1" applyAlignment="1">
      <alignment horizontal="center"/>
    </xf>
    <xf numFmtId="0" fontId="5" fillId="3" borderId="0" xfId="0" applyFont="1" applyFill="1" applyAlignment="1">
      <alignment horizontal="left"/>
    </xf>
    <xf numFmtId="0" fontId="13" fillId="3" borderId="0" xfId="4" applyFont="1" applyFill="1" applyAlignment="1">
      <alignment horizontal="left" vertical="center"/>
    </xf>
    <xf numFmtId="0" fontId="23" fillId="21" borderId="0" xfId="4" applyFont="1" applyFill="1" applyBorder="1" applyAlignment="1" applyProtection="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66" xfId="4" applyFont="1" applyFill="1" applyBorder="1" applyAlignment="1">
      <alignment horizontal="left"/>
    </xf>
    <xf numFmtId="0" fontId="4" fillId="4" borderId="78" xfId="4" applyFont="1" applyFill="1" applyBorder="1" applyAlignment="1">
      <alignment horizontal="left"/>
    </xf>
    <xf numFmtId="0" fontId="54" fillId="3" borderId="69" xfId="4" applyFont="1" applyFill="1" applyBorder="1" applyAlignment="1">
      <alignment horizontal="center" vertical="center"/>
    </xf>
    <xf numFmtId="0" fontId="54" fillId="3" borderId="71" xfId="4" applyFont="1" applyFill="1" applyBorder="1" applyAlignment="1">
      <alignment horizontal="center" vertical="center"/>
    </xf>
    <xf numFmtId="0" fontId="54" fillId="3" borderId="72" xfId="4" applyFont="1" applyFill="1" applyBorder="1" applyAlignment="1">
      <alignment horizontal="center" vertical="center"/>
    </xf>
    <xf numFmtId="182" fontId="3" fillId="12" borderId="8" xfId="4" applyNumberFormat="1" applyFill="1" applyBorder="1" applyAlignment="1">
      <alignment horizontal="left" vertical="center"/>
    </xf>
    <xf numFmtId="182" fontId="3" fillId="12" borderId="9" xfId="4" applyNumberFormat="1" applyFill="1" applyBorder="1" applyAlignment="1">
      <alignment horizontal="lef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174" fontId="3" fillId="12" borderId="8" xfId="4" applyNumberFormat="1" applyFill="1" applyBorder="1" applyAlignment="1">
      <alignment horizontal="left" vertical="center"/>
    </xf>
    <xf numFmtId="174" fontId="3" fillId="12" borderId="9" xfId="4" applyNumberFormat="1" applyFill="1" applyBorder="1" applyAlignment="1">
      <alignment horizontal="left" vertical="center"/>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75" fillId="8" borderId="0" xfId="4" applyFont="1" applyFill="1" applyAlignment="1">
      <alignment horizontal="right" wrapText="1"/>
    </xf>
    <xf numFmtId="177" fontId="3" fillId="16" borderId="8" xfId="4" applyNumberFormat="1" applyFill="1" applyBorder="1" applyAlignment="1">
      <alignment horizontal="left" vertical="center"/>
    </xf>
    <xf numFmtId="177" fontId="3" fillId="16" borderId="9" xfId="4" applyNumberFormat="1" applyFill="1" applyBorder="1" applyAlignment="1">
      <alignment horizontal="left" vertical="center"/>
    </xf>
    <xf numFmtId="173" fontId="3" fillId="17" borderId="8" xfId="4" applyNumberFormat="1" applyFill="1" applyBorder="1" applyAlignment="1">
      <alignment horizontal="left" vertical="center" wrapText="1"/>
    </xf>
    <xf numFmtId="173" fontId="3" fillId="17" borderId="9" xfId="4" applyNumberFormat="1" applyFill="1" applyBorder="1" applyAlignment="1">
      <alignment horizontal="left" vertical="center" wrapText="1"/>
    </xf>
    <xf numFmtId="173" fontId="3" fillId="17" borderId="15" xfId="4" applyNumberFormat="1" applyFill="1" applyBorder="1" applyAlignment="1">
      <alignment horizontal="left" vertical="center" wrapText="1"/>
    </xf>
    <xf numFmtId="182" fontId="3" fillId="12" borderId="8" xfId="4" quotePrefix="1" applyNumberFormat="1" applyFill="1" applyBorder="1" applyAlignment="1">
      <alignment horizontal="left" vertical="center"/>
    </xf>
    <xf numFmtId="0" fontId="40" fillId="12" borderId="22" xfId="0" applyFont="1" applyFill="1" applyBorder="1" applyAlignment="1" applyProtection="1">
      <alignment horizontal="left" vertical="center"/>
    </xf>
    <xf numFmtId="0" fontId="40" fillId="12" borderId="0" xfId="0" applyFont="1" applyFill="1" applyBorder="1" applyAlignment="1" applyProtection="1">
      <alignment horizontal="left" vertical="center"/>
    </xf>
  </cellXfs>
  <cellStyles count="8">
    <cellStyle name="Comma" xfId="2" builtinId="3"/>
    <cellStyle name="Comma 2" xfId="6" xr:uid="{00000000-0005-0000-0000-000001000000}"/>
    <cellStyle name="Hyperlink" xfId="3" builtinId="8"/>
    <cellStyle name="Normal" xfId="0" builtinId="0"/>
    <cellStyle name="Normal 2" xfId="4" xr:uid="{00000000-0005-0000-0000-000004000000}"/>
    <cellStyle name="Normal 3" xfId="5" xr:uid="{00000000-0005-0000-0000-000005000000}"/>
    <cellStyle name="Percent" xfId="7" builtinId="5"/>
    <cellStyle name="RowLevel_1" xfId="1" builtinId="1" iLevel="0"/>
  </cellStyles>
  <dxfs count="79">
    <dxf>
      <border>
        <left style="thin">
          <color indexed="64"/>
        </left>
        <right style="thin">
          <color indexed="64"/>
        </right>
        <top style="thin">
          <color indexed="64"/>
        </top>
        <bottom style="thin">
          <color indexed="64"/>
        </bottom>
      </border>
    </dxf>
    <dxf>
      <font>
        <color rgb="FFFFFF99"/>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right/>
        <top/>
        <bottom/>
        <vertical/>
        <horizontal/>
      </border>
    </dxf>
    <dxf>
      <font>
        <color theme="0"/>
      </font>
      <fill>
        <patternFill>
          <bgColor theme="0"/>
        </patternFill>
      </fill>
      <border>
        <right/>
        <top/>
        <bottom/>
        <vertical/>
        <horizontal/>
      </border>
    </dxf>
    <dxf>
      <font>
        <color rgb="FFFF0000"/>
      </font>
    </dxf>
    <dxf>
      <font>
        <color theme="0"/>
      </font>
      <fill>
        <patternFill>
          <bgColor theme="0"/>
        </patternFill>
      </fill>
      <border>
        <right/>
        <top/>
        <bottom/>
        <vertical/>
        <horizontal/>
      </border>
    </dxf>
    <dxf>
      <font>
        <color rgb="FFFF0000"/>
      </font>
    </dxf>
    <dxf>
      <font>
        <strike val="0"/>
        <color theme="0"/>
      </font>
      <fill>
        <patternFill>
          <bgColor rgb="FFFF0000"/>
        </patternFill>
      </fill>
    </dxf>
    <dxf>
      <font>
        <color rgb="FFFF0000"/>
      </font>
    </dxf>
    <dxf>
      <font>
        <b/>
        <i val="0"/>
        <color theme="0"/>
      </font>
      <fill>
        <patternFill patternType="solid">
          <fgColor auto="1"/>
          <bgColor rgb="FFFF0000"/>
        </patternFill>
      </fill>
    </dxf>
    <dxf>
      <font>
        <color rgb="FFFF0000"/>
      </font>
    </dxf>
    <dxf>
      <font>
        <color rgb="FFFF0000"/>
      </font>
    </dxf>
    <dxf>
      <font>
        <color rgb="FFFF0000"/>
      </font>
    </dxf>
    <dxf>
      <font>
        <strike val="0"/>
        <color theme="0"/>
      </font>
      <fill>
        <patternFill>
          <bgColor rgb="FFFF0000"/>
        </patternFill>
      </fill>
    </dxf>
    <dxf>
      <font>
        <color theme="0"/>
      </font>
      <fill>
        <patternFill>
          <bgColor theme="0"/>
        </patternFill>
      </fill>
    </dxf>
    <dxf>
      <font>
        <b/>
        <i val="0"/>
        <color rgb="FFFF0000"/>
      </font>
    </dxf>
    <dxf>
      <font>
        <strike/>
        <color rgb="FFFF0000"/>
      </font>
    </dxf>
    <dxf>
      <border>
        <top/>
        <bottom/>
        <vertical/>
        <horizontal/>
      </border>
    </dxf>
    <dxf>
      <border>
        <left/>
        <right/>
        <top/>
        <bottom/>
        <vertical/>
        <horizontal/>
      </border>
    </dxf>
    <dxf>
      <font>
        <color theme="0"/>
      </font>
      <fill>
        <patternFill>
          <bgColor theme="0"/>
        </patternFill>
      </fill>
      <border>
        <right/>
        <top/>
        <bottom/>
      </border>
    </dxf>
    <dxf>
      <border>
        <bottom/>
        <vertical/>
        <horizontal/>
      </border>
    </dxf>
    <dxf>
      <border>
        <bottom/>
        <vertical/>
        <horizontal/>
      </border>
    </dxf>
    <dxf>
      <border>
        <right/>
        <vertical/>
        <horizontal/>
      </border>
    </dxf>
    <dxf>
      <border>
        <bottom/>
        <vertical/>
        <horizontal/>
      </border>
    </dxf>
    <dxf>
      <font>
        <strike val="0"/>
        <color theme="0"/>
      </font>
      <fill>
        <patternFill>
          <bgColor theme="0"/>
        </patternFill>
      </fill>
    </dxf>
    <dxf>
      <font>
        <strike/>
        <color rgb="FFFF0000"/>
      </font>
    </dxf>
    <dxf>
      <font>
        <strike/>
        <color rgb="FFFF0000"/>
      </font>
    </dxf>
    <dxf>
      <font>
        <strike/>
        <color rgb="FFFF0000"/>
      </font>
    </dxf>
    <dxf>
      <font>
        <strike/>
        <color rgb="FFFF0000"/>
      </font>
    </dxf>
    <dxf>
      <font>
        <strike/>
        <color rgb="FFFF5050"/>
      </font>
    </dxf>
    <dxf>
      <font>
        <strike/>
        <color rgb="FFFF0000"/>
      </font>
    </dxf>
    <dxf>
      <font>
        <strike/>
        <color rgb="FFFF0000"/>
      </font>
    </dxf>
    <dxf>
      <font>
        <strike/>
        <color rgb="FFFF0000"/>
      </font>
    </dxf>
    <dxf>
      <font>
        <color theme="0"/>
      </font>
      <border>
        <bottom style="thin">
          <color auto="1"/>
        </bottom>
        <vertical/>
        <horizontal/>
      </border>
    </dxf>
    <dxf>
      <font>
        <color theme="0"/>
      </font>
    </dxf>
    <dxf>
      <font>
        <color theme="0"/>
      </font>
      <fill>
        <patternFill>
          <bgColor theme="0"/>
        </patternFill>
      </fill>
    </dxf>
    <dxf>
      <font>
        <strike/>
        <color rgb="FFFF0000"/>
      </font>
    </dxf>
    <dxf>
      <font>
        <strike/>
        <color rgb="FFFF0000"/>
      </font>
    </dxf>
    <dxf>
      <font>
        <strike/>
        <color rgb="FFFF0000"/>
      </font>
    </dxf>
    <dxf>
      <font>
        <strike/>
        <color rgb="FFFF0000"/>
      </font>
    </dxf>
    <dxf>
      <font>
        <strike/>
        <color rgb="FFFF0000"/>
      </font>
    </dxf>
    <dxf>
      <font>
        <b/>
        <i val="0"/>
        <condense val="0"/>
        <extend val="0"/>
        <color indexed="10"/>
      </font>
    </dxf>
    <dxf>
      <font>
        <color rgb="FFFF0000"/>
      </font>
    </dxf>
    <dxf>
      <font>
        <color rgb="FFFF0000"/>
      </font>
    </dxf>
    <dxf>
      <font>
        <color rgb="FFFF0000"/>
      </font>
    </dxf>
    <dxf>
      <font>
        <color theme="0"/>
      </font>
      <fill>
        <patternFill>
          <bgColor theme="0"/>
        </patternFill>
      </fill>
    </dxf>
    <dxf>
      <font>
        <b/>
        <i val="0"/>
        <color rgb="FFC00000"/>
      </font>
    </dxf>
    <dxf>
      <font>
        <color rgb="FFFF0000"/>
      </font>
    </dxf>
    <dxf>
      <font>
        <strike/>
        <color rgb="FFFF0000"/>
      </font>
    </dxf>
    <dxf>
      <font>
        <b/>
        <i val="0"/>
        <color rgb="FFFF0000"/>
      </font>
    </dxf>
    <dxf>
      <font>
        <b/>
        <i val="0"/>
        <condense val="0"/>
        <extend val="0"/>
        <color indexed="12"/>
      </font>
    </dxf>
    <dxf>
      <font>
        <b/>
        <i val="0"/>
        <condense val="0"/>
        <extend val="0"/>
        <color indexed="10"/>
      </font>
    </dxf>
    <dxf>
      <font>
        <color rgb="FFFF0000"/>
      </font>
    </dxf>
    <dxf>
      <font>
        <color theme="0"/>
      </font>
      <fill>
        <patternFill>
          <bgColor theme="0"/>
        </patternFill>
      </fill>
      <border>
        <right style="thin">
          <color auto="1"/>
        </right>
        <vertical/>
        <horizontal/>
      </border>
    </dxf>
    <dxf>
      <font>
        <color rgb="FFFF0000"/>
      </font>
    </dxf>
    <dxf>
      <font>
        <color rgb="FFFF0000"/>
      </font>
    </dxf>
    <dxf>
      <font>
        <color rgb="FFFF0000"/>
      </font>
    </dxf>
    <dxf>
      <font>
        <b/>
        <i val="0"/>
        <color rgb="FFC00000"/>
      </font>
    </dxf>
    <dxf>
      <font>
        <color theme="0"/>
      </font>
    </dxf>
    <dxf>
      <font>
        <b/>
        <i val="0"/>
        <color rgb="FFC00000"/>
      </font>
    </dxf>
    <dxf>
      <font>
        <color theme="0"/>
      </font>
      <fill>
        <patternFill>
          <bgColor theme="0"/>
        </patternFill>
      </fill>
    </dxf>
    <dxf>
      <font>
        <color rgb="FFFF0000"/>
      </font>
    </dxf>
    <dxf>
      <font>
        <strike/>
        <color rgb="FFFF0000"/>
      </font>
    </dxf>
    <dxf>
      <font>
        <strike/>
        <color rgb="FFFF0000"/>
      </font>
    </dxf>
    <dxf>
      <font>
        <color rgb="FFFF0000"/>
      </font>
    </dxf>
    <dxf>
      <font>
        <color rgb="FFFF0000"/>
      </font>
    </dxf>
    <dxf>
      <font>
        <color rgb="FFFF0000"/>
      </font>
    </dxf>
    <dxf>
      <font>
        <b/>
        <i val="0"/>
        <color rgb="FFFF0000"/>
      </font>
    </dxf>
  </dxfs>
  <tableStyles count="0" defaultTableStyle="TableStyleMedium9" defaultPivotStyle="PivotStyleLight16"/>
  <colors>
    <mruColors>
      <color rgb="FFFFFF66"/>
      <color rgb="FFFF5050"/>
      <color rgb="FF0000FF"/>
      <color rgb="FFFFFF99"/>
      <color rgb="FF33CC33"/>
      <color rgb="FFFF9900"/>
      <color rgb="FFCCFFFF"/>
      <color rgb="FF66FFFF"/>
      <color rgb="FF00FFFF"/>
      <color rgb="FFEE61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400" b="1" i="0" u="none" strike="noStrike" baseline="0">
                <a:solidFill>
                  <a:srgbClr val="000000"/>
                </a:solidFill>
                <a:latin typeface="Arial"/>
                <a:ea typeface="Arial"/>
                <a:cs typeface="Arial"/>
              </a:defRPr>
            </a:pPr>
            <a:r>
              <a:rPr lang="en-US" sz="1400"/>
              <a:t>Bode Plot, V</a:t>
            </a:r>
            <a:r>
              <a:rPr lang="en-US" sz="1400" baseline="-25000"/>
              <a:t>IN</a:t>
            </a:r>
            <a:r>
              <a:rPr lang="en-US" sz="1400"/>
              <a:t> = V</a:t>
            </a:r>
            <a:r>
              <a:rPr lang="en-US" sz="1400" baseline="-25000"/>
              <a:t>IN(nom)</a:t>
            </a:r>
          </a:p>
        </c:rich>
      </c:tx>
      <c:layout>
        <c:manualLayout>
          <c:xMode val="edge"/>
          <c:yMode val="edge"/>
          <c:x val="4.6802568469568491E-2"/>
          <c:y val="1.6752897184919666E-2"/>
        </c:manualLayout>
      </c:layout>
      <c:overlay val="0"/>
      <c:spPr>
        <a:noFill/>
        <a:ln w="25400">
          <a:noFill/>
        </a:ln>
      </c:spPr>
    </c:title>
    <c:autoTitleDeleted val="0"/>
    <c:plotArea>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75.598042528050797</c:v>
                </c:pt>
                <c:pt idx="1">
                  <c:v>74.798237521559386</c:v>
                </c:pt>
                <c:pt idx="2">
                  <c:v>73.99843801570907</c:v>
                </c:pt>
                <c:pt idx="3">
                  <c:v>73.198621342781948</c:v>
                </c:pt>
                <c:pt idx="4">
                  <c:v>72.399290642344099</c:v>
                </c:pt>
                <c:pt idx="5">
                  <c:v>71.599098601995408</c:v>
                </c:pt>
                <c:pt idx="6">
                  <c:v>70.799165996491269</c:v>
                </c:pt>
                <c:pt idx="7">
                  <c:v>69.998951330435006</c:v>
                </c:pt>
                <c:pt idx="8">
                  <c:v>69.199024407014079</c:v>
                </c:pt>
                <c:pt idx="9">
                  <c:v>68.398766392028108</c:v>
                </c:pt>
                <c:pt idx="10">
                  <c:v>67.598624037403681</c:v>
                </c:pt>
                <c:pt idx="11">
                  <c:v>66.798469361797117</c:v>
                </c:pt>
                <c:pt idx="12">
                  <c:v>65.997863705269168</c:v>
                </c:pt>
                <c:pt idx="13">
                  <c:v>65.197559136632961</c:v>
                </c:pt>
                <c:pt idx="14">
                  <c:v>64.396897360339665</c:v>
                </c:pt>
                <c:pt idx="15">
                  <c:v>63.596163667561108</c:v>
                </c:pt>
                <c:pt idx="16">
                  <c:v>62.795266883002114</c:v>
                </c:pt>
                <c:pt idx="17">
                  <c:v>61.994289288891224</c:v>
                </c:pt>
                <c:pt idx="18">
                  <c:v>61.19296046210885</c:v>
                </c:pt>
                <c:pt idx="19">
                  <c:v>60.391450354837389</c:v>
                </c:pt>
                <c:pt idx="20">
                  <c:v>59.589544714743674</c:v>
                </c:pt>
                <c:pt idx="21">
                  <c:v>58.787341850329355</c:v>
                </c:pt>
                <c:pt idx="22">
                  <c:v>57.984592302274393</c:v>
                </c:pt>
                <c:pt idx="23">
                  <c:v>57.181401404716865</c:v>
                </c:pt>
                <c:pt idx="24">
                  <c:v>56.377453308036571</c:v>
                </c:pt>
                <c:pt idx="25">
                  <c:v>55.572739319504862</c:v>
                </c:pt>
                <c:pt idx="26">
                  <c:v>54.766912905992065</c:v>
                </c:pt>
                <c:pt idx="27">
                  <c:v>53.960041002280747</c:v>
                </c:pt>
                <c:pt idx="28">
                  <c:v>53.151866705586535</c:v>
                </c:pt>
                <c:pt idx="29">
                  <c:v>52.34262500930447</c:v>
                </c:pt>
                <c:pt idx="30">
                  <c:v>51.530626908566916</c:v>
                </c:pt>
                <c:pt idx="31">
                  <c:v>50.716625467181295</c:v>
                </c:pt>
                <c:pt idx="32">
                  <c:v>49.899618437691288</c:v>
                </c:pt>
                <c:pt idx="33">
                  <c:v>49.079656219082601</c:v>
                </c:pt>
                <c:pt idx="34">
                  <c:v>48.255478964364599</c:v>
                </c:pt>
                <c:pt idx="35">
                  <c:v>47.426812272189302</c:v>
                </c:pt>
                <c:pt idx="36">
                  <c:v>46.592668798459485</c:v>
                </c:pt>
                <c:pt idx="37">
                  <c:v>45.7515917617296</c:v>
                </c:pt>
                <c:pt idx="38">
                  <c:v>44.903221935606872</c:v>
                </c:pt>
                <c:pt idx="39">
                  <c:v>44.045546226760251</c:v>
                </c:pt>
                <c:pt idx="40">
                  <c:v>43.177372174405271</c:v>
                </c:pt>
                <c:pt idx="41">
                  <c:v>42.296924618564795</c:v>
                </c:pt>
                <c:pt idx="42">
                  <c:v>41.402440640717955</c:v>
                </c:pt>
                <c:pt idx="43">
                  <c:v>40.491597958388425</c:v>
                </c:pt>
                <c:pt idx="44">
                  <c:v>39.562435161681933</c:v>
                </c:pt>
                <c:pt idx="45">
                  <c:v>38.612464807924717</c:v>
                </c:pt>
                <c:pt idx="46">
                  <c:v>37.639547576508846</c:v>
                </c:pt>
                <c:pt idx="47">
                  <c:v>36.641197474512744</c:v>
                </c:pt>
                <c:pt idx="48">
                  <c:v>35.615546829837328</c:v>
                </c:pt>
                <c:pt idx="49">
                  <c:v>34.560501937221943</c:v>
                </c:pt>
                <c:pt idx="50">
                  <c:v>33.474798930299052</c:v>
                </c:pt>
                <c:pt idx="51">
                  <c:v>32.357286524779688</c:v>
                </c:pt>
                <c:pt idx="52">
                  <c:v>31.208066088474808</c:v>
                </c:pt>
                <c:pt idx="53">
                  <c:v>30.027570934458005</c:v>
                </c:pt>
                <c:pt idx="54">
                  <c:v>28.817799474133977</c:v>
                </c:pt>
                <c:pt idx="55">
                  <c:v>27.578686439609193</c:v>
                </c:pt>
                <c:pt idx="56">
                  <c:v>26.31465794740982</c:v>
                </c:pt>
                <c:pt idx="57">
                  <c:v>25.028237671373738</c:v>
                </c:pt>
                <c:pt idx="58">
                  <c:v>23.724280658256927</c:v>
                </c:pt>
                <c:pt idx="59">
                  <c:v>22.40616709132987</c:v>
                </c:pt>
                <c:pt idx="60">
                  <c:v>21.079349290203709</c:v>
                </c:pt>
                <c:pt idx="61">
                  <c:v>19.74855204449085</c:v>
                </c:pt>
                <c:pt idx="62">
                  <c:v>18.418078522064125</c:v>
                </c:pt>
                <c:pt idx="63">
                  <c:v>17.094193715704478</c:v>
                </c:pt>
                <c:pt idx="64">
                  <c:v>15.780690921125391</c:v>
                </c:pt>
                <c:pt idx="65">
                  <c:v>14.482675871321218</c:v>
                </c:pt>
                <c:pt idx="66">
                  <c:v>13.204265709545101</c:v>
                </c:pt>
                <c:pt idx="67">
                  <c:v>11.949371103496571</c:v>
                </c:pt>
                <c:pt idx="68">
                  <c:v>10.720765440921857</c:v>
                </c:pt>
                <c:pt idx="69">
                  <c:v>9.5212330981383513</c:v>
                </c:pt>
                <c:pt idx="70">
                  <c:v>8.3522426113565729</c:v>
                </c:pt>
                <c:pt idx="71">
                  <c:v>7.2149722819842221</c:v>
                </c:pt>
                <c:pt idx="72">
                  <c:v>6.1093693365206727</c:v>
                </c:pt>
                <c:pt idx="73">
                  <c:v>5.0352025255706367</c:v>
                </c:pt>
                <c:pt idx="74">
                  <c:v>3.9910909667517753</c:v>
                </c:pt>
                <c:pt idx="75">
                  <c:v>2.9756044412636573</c:v>
                </c:pt>
                <c:pt idx="76">
                  <c:v>1.986553814477374</c:v>
                </c:pt>
                <c:pt idx="77">
                  <c:v>1.0220601046900437</c:v>
                </c:pt>
                <c:pt idx="78">
                  <c:v>7.976010830621022E-2</c:v>
                </c:pt>
                <c:pt idx="79">
                  <c:v>-0.84212456101283562</c:v>
                </c:pt>
                <c:pt idx="80">
                  <c:v>-1.7474287112683653</c:v>
                </c:pt>
                <c:pt idx="81">
                  <c:v>-2.6370421939286941</c:v>
                </c:pt>
                <c:pt idx="82">
                  <c:v>-3.5135903120606633</c:v>
                </c:pt>
                <c:pt idx="83">
                  <c:v>-4.3782949920335543</c:v>
                </c:pt>
                <c:pt idx="84">
                  <c:v>-5.2334862110955669</c:v>
                </c:pt>
                <c:pt idx="85">
                  <c:v>-6.0801613520608626</c:v>
                </c:pt>
                <c:pt idx="86">
                  <c:v>-6.9197621701355256</c:v>
                </c:pt>
                <c:pt idx="87">
                  <c:v>-7.7538879888993186</c:v>
                </c:pt>
                <c:pt idx="88">
                  <c:v>-8.582753934078422</c:v>
                </c:pt>
                <c:pt idx="89">
                  <c:v>-9.407915018599919</c:v>
                </c:pt>
                <c:pt idx="90">
                  <c:v>-10.229838343378814</c:v>
                </c:pt>
                <c:pt idx="91">
                  <c:v>-11.049288415862586</c:v>
                </c:pt>
                <c:pt idx="92">
                  <c:v>-11.866776531250478</c:v>
                </c:pt>
                <c:pt idx="93">
                  <c:v>-12.68311398885009</c:v>
                </c:pt>
                <c:pt idx="94">
                  <c:v>-12.886977713216677</c:v>
                </c:pt>
                <c:pt idx="95">
                  <c:v>-12.989525596976838</c:v>
                </c:pt>
                <c:pt idx="96">
                  <c:v>-13.09089098221807</c:v>
                </c:pt>
                <c:pt idx="97">
                  <c:v>-13.193411253069684</c:v>
                </c:pt>
                <c:pt idx="98">
                  <c:v>-13.294751457140856</c:v>
                </c:pt>
                <c:pt idx="99">
                  <c:v>-13.397273890305073</c:v>
                </c:pt>
                <c:pt idx="100">
                  <c:v>-13.498618041305923</c:v>
                </c:pt>
                <c:pt idx="101">
                  <c:v>-13.601092836619271</c:v>
                </c:pt>
                <c:pt idx="102">
                  <c:v>-13.702392308770918</c:v>
                </c:pt>
                <c:pt idx="103">
                  <c:v>-13.804921909264941</c:v>
                </c:pt>
                <c:pt idx="104">
                  <c:v>-13.906276850496385</c:v>
                </c:pt>
                <c:pt idx="105">
                  <c:v>-14.008808425754189</c:v>
                </c:pt>
                <c:pt idx="106">
                  <c:v>-14.110167256315126</c:v>
                </c:pt>
                <c:pt idx="107">
                  <c:v>-14.212651767867175</c:v>
                </c:pt>
                <c:pt idx="108">
                  <c:v>-14.313966610222671</c:v>
                </c:pt>
                <c:pt idx="109">
                  <c:v>-14.416427974740211</c:v>
                </c:pt>
                <c:pt idx="110">
                  <c:v>-14.517722250195304</c:v>
                </c:pt>
                <c:pt idx="111">
                  <c:v>-14.620249314409694</c:v>
                </c:pt>
                <c:pt idx="112">
                  <c:v>-14.72160991335063</c:v>
                </c:pt>
                <c:pt idx="113">
                  <c:v>-14.824150269187102</c:v>
                </c:pt>
                <c:pt idx="114">
                  <c:v>-14.925526030875996</c:v>
                </c:pt>
                <c:pt idx="115">
                  <c:v>-15.028095791524635</c:v>
                </c:pt>
                <c:pt idx="116">
                  <c:v>-15.129502528981915</c:v>
                </c:pt>
                <c:pt idx="117">
                  <c:v>-15.232115562817244</c:v>
                </c:pt>
                <c:pt idx="118">
                  <c:v>-15.333566900637049</c:v>
                </c:pt>
                <c:pt idx="119">
                  <c:v>-15.436173143084096</c:v>
                </c:pt>
                <c:pt idx="120">
                  <c:v>-15.53762021467505</c:v>
                </c:pt>
                <c:pt idx="121">
                  <c:v>-15.640233743732308</c:v>
                </c:pt>
                <c:pt idx="122">
                  <c:v>-15.741690383564448</c:v>
                </c:pt>
                <c:pt idx="123">
                  <c:v>-15.844382469521925</c:v>
                </c:pt>
                <c:pt idx="124">
                  <c:v>-15.945918431002061</c:v>
                </c:pt>
                <c:pt idx="125">
                  <c:v>-16.048637677451541</c:v>
                </c:pt>
                <c:pt idx="126">
                  <c:v>-16.150202801318269</c:v>
                </c:pt>
                <c:pt idx="127">
                  <c:v>-16.252958057567525</c:v>
                </c:pt>
                <c:pt idx="128">
                  <c:v>-16.354561083901473</c:v>
                </c:pt>
                <c:pt idx="129">
                  <c:v>-16.457359719915416</c:v>
                </c:pt>
                <c:pt idx="130">
                  <c:v>-16.559007948044272</c:v>
                </c:pt>
                <c:pt idx="131">
                  <c:v>-16.661855990318394</c:v>
                </c:pt>
                <c:pt idx="132">
                  <c:v>-16.712847580785535</c:v>
                </c:pt>
                <c:pt idx="133">
                  <c:v>-16.763555411517544</c:v>
                </c:pt>
                <c:pt idx="134">
                  <c:v>-16.815178168184474</c:v>
                </c:pt>
                <c:pt idx="135">
                  <c:v>-16.866510497351189</c:v>
                </c:pt>
                <c:pt idx="136">
                  <c:v>-16.917555839663475</c:v>
                </c:pt>
                <c:pt idx="137">
                  <c:v>-16.968317575694641</c:v>
                </c:pt>
                <c:pt idx="138">
                  <c:v>-17.019941920709687</c:v>
                </c:pt>
                <c:pt idx="139">
                  <c:v>-17.0712766009127</c:v>
                </c:pt>
                <c:pt idx="140">
                  <c:v>-17.122325046394554</c:v>
                </c:pt>
                <c:pt idx="141">
                  <c:v>-17.17309062743302</c:v>
                </c:pt>
                <c:pt idx="142">
                  <c:v>-17.224770485902997</c:v>
                </c:pt>
                <c:pt idx="143">
                  <c:v>-17.276160867183663</c:v>
                </c:pt>
                <c:pt idx="144">
                  <c:v>-17.327265201191711</c:v>
                </c:pt>
                <c:pt idx="145">
                  <c:v>-17.378086858047638</c:v>
                </c:pt>
                <c:pt idx="146">
                  <c:v>-17.42979663271916</c:v>
                </c:pt>
                <c:pt idx="147">
                  <c:v>-17.481217434707624</c:v>
                </c:pt>
                <c:pt idx="148">
                  <c:v>-17.532352688340012</c:v>
                </c:pt>
                <c:pt idx="149">
                  <c:v>-17.583205758287978</c:v>
                </c:pt>
                <c:pt idx="150">
                  <c:v>-17.634946023913429</c:v>
                </c:pt>
                <c:pt idx="151">
                  <c:v>-17.68639784629357</c:v>
                </c:pt>
                <c:pt idx="152">
                  <c:v>-17.737564643923186</c:v>
                </c:pt>
                <c:pt idx="153">
                  <c:v>-17.788449775786951</c:v>
                </c:pt>
                <c:pt idx="154">
                  <c:v>-17.840244523728607</c:v>
                </c:pt>
                <c:pt idx="155">
                  <c:v>-17.891751124454185</c:v>
                </c:pt>
                <c:pt idx="156">
                  <c:v>-17.942972994967732</c:v>
                </c:pt>
                <c:pt idx="157">
                  <c:v>-17.993913492806076</c:v>
                </c:pt>
                <c:pt idx="158">
                  <c:v>-18.045761098536573</c:v>
                </c:pt>
                <c:pt idx="159">
                  <c:v>-18.097320906687923</c:v>
                </c:pt>
                <c:pt idx="160">
                  <c:v>-18.148596332032302</c:v>
                </c:pt>
                <c:pt idx="161">
                  <c:v>-18.199590729933163</c:v>
                </c:pt>
                <c:pt idx="162">
                  <c:v>-18.251466661917547</c:v>
                </c:pt>
                <c:pt idx="163">
                  <c:v>-18.303055453668485</c:v>
                </c:pt>
                <c:pt idx="164">
                  <c:v>-18.354360512475665</c:v>
                </c:pt>
                <c:pt idx="165">
                  <c:v>-18.405385186398114</c:v>
                </c:pt>
                <c:pt idx="166">
                  <c:v>-18.457333455772336</c:v>
                </c:pt>
                <c:pt idx="167">
                  <c:v>-18.508994794254143</c:v>
                </c:pt>
                <c:pt idx="168">
                  <c:v>-18.560372609815698</c:v>
                </c:pt>
                <c:pt idx="169">
                  <c:v>-18.61147025118634</c:v>
                </c:pt>
                <c:pt idx="170">
                  <c:v>-18.663378572807837</c:v>
                </c:pt>
                <c:pt idx="171">
                  <c:v>-18.715001446355561</c:v>
                </c:pt>
                <c:pt idx="172">
                  <c:v>-18.766342258086311</c:v>
                </c:pt>
                <c:pt idx="173">
                  <c:v>-18.8174043355172</c:v>
                </c:pt>
                <c:pt idx="174">
                  <c:v>-18.869467751948051</c:v>
                </c:pt>
                <c:pt idx="175">
                  <c:v>-18.92124510250294</c:v>
                </c:pt>
                <c:pt idx="176">
                  <c:v>-18.97273978924288</c:v>
                </c:pt>
                <c:pt idx="177">
                  <c:v>-19.023955155124497</c:v>
                </c:pt>
                <c:pt idx="178">
                  <c:v>-19.076143642070235</c:v>
                </c:pt>
                <c:pt idx="179">
                  <c:v>-19.12804582284658</c:v>
                </c:pt>
                <c:pt idx="180">
                  <c:v>-19.179665108880627</c:v>
                </c:pt>
                <c:pt idx="181">
                  <c:v>-19.231004852276541</c:v>
                </c:pt>
                <c:pt idx="182">
                  <c:v>-19.283086821675163</c:v>
                </c:pt>
                <c:pt idx="183">
                  <c:v>-19.334884817041115</c:v>
                </c:pt>
                <c:pt idx="184">
                  <c:v>-19.386402213595474</c:v>
                </c:pt>
                <c:pt idx="185">
                  <c:v>-19.437642328068332</c:v>
                </c:pt>
                <c:pt idx="186">
                  <c:v>-19.490003655554574</c:v>
                </c:pt>
                <c:pt idx="187">
                  <c:v>-19.542079183473795</c:v>
                </c:pt>
                <c:pt idx="188">
                  <c:v>-19.593872325112741</c:v>
                </c:pt>
                <c:pt idx="189">
                  <c:v>-19.645386434382146</c:v>
                </c:pt>
                <c:pt idx="190">
                  <c:v>-19.69759997873097</c:v>
                </c:pt>
                <c:pt idx="191">
                  <c:v>-19.749530589384438</c:v>
                </c:pt>
                <c:pt idx="192">
                  <c:v>-19.801181634303873</c:v>
                </c:pt>
                <c:pt idx="193">
                  <c:v>-19.852556423112368</c:v>
                </c:pt>
                <c:pt idx="194">
                  <c:v>-19.904994312259973</c:v>
                </c:pt>
                <c:pt idx="195">
                  <c:v>-19.957148149465297</c:v>
                </c:pt>
                <c:pt idx="196">
                  <c:v>-20.009021328629775</c:v>
                </c:pt>
                <c:pt idx="197">
                  <c:v>-20.06061718470815</c:v>
                </c:pt>
                <c:pt idx="198">
                  <c:v>-20.113059788512654</c:v>
                </c:pt>
                <c:pt idx="199">
                  <c:v>-20.165219649679745</c:v>
                </c:pt>
                <c:pt idx="200">
                  <c:v>-20.217100144976897</c:v>
                </c:pt>
                <c:pt idx="201">
                  <c:v>-20.268704592607225</c:v>
                </c:pt>
                <c:pt idx="202">
                  <c:v>-20.321133256105451</c:v>
                </c:pt>
                <c:pt idx="203">
                  <c:v>-20.373280731518577</c:v>
                </c:pt>
                <c:pt idx="204">
                  <c:v>-20.425150374316985</c:v>
                </c:pt>
                <c:pt idx="205">
                  <c:v>-20.476745481881839</c:v>
                </c:pt>
                <c:pt idx="206">
                  <c:v>-20.529322097836364</c:v>
                </c:pt>
                <c:pt idx="207">
                  <c:v>-20.581617400347419</c:v>
                </c:pt>
                <c:pt idx="208">
                  <c:v>-20.633634753812366</c:v>
                </c:pt>
                <c:pt idx="209">
                  <c:v>-20.685377464315803</c:v>
                </c:pt>
                <c:pt idx="210">
                  <c:v>-20.738250365341141</c:v>
                </c:pt>
                <c:pt idx="211">
                  <c:v>-20.79084031118132</c:v>
                </c:pt>
                <c:pt idx="212">
                  <c:v>-20.843150702667156</c:v>
                </c:pt>
                <c:pt idx="213">
                  <c:v>-20.895184881454377</c:v>
                </c:pt>
                <c:pt idx="214">
                  <c:v>-20.947975164833906</c:v>
                </c:pt>
                <c:pt idx="215">
                  <c:v>-21.000484953456315</c:v>
                </c:pt>
                <c:pt idx="216">
                  <c:v>-21.052717611231181</c:v>
                </c:pt>
                <c:pt idx="217">
                  <c:v>-21.104676443721559</c:v>
                </c:pt>
                <c:pt idx="218">
                  <c:v>-21.15754012917801</c:v>
                </c:pt>
                <c:pt idx="219">
                  <c:v>-21.210124173594718</c:v>
                </c:pt>
                <c:pt idx="220">
                  <c:v>-21.262431933003583</c:v>
                </c:pt>
                <c:pt idx="221">
                  <c:v>-21.314466705244406</c:v>
                </c:pt>
                <c:pt idx="222">
                  <c:v>-21.36738267950847</c:v>
                </c:pt>
                <c:pt idx="223">
                  <c:v>-21.420020148990563</c:v>
                </c:pt>
                <c:pt idx="224">
                  <c:v>-21.472382456983915</c:v>
                </c:pt>
                <c:pt idx="225">
                  <c:v>-21.524472888852827</c:v>
                </c:pt>
                <c:pt idx="226">
                  <c:v>-21.577582778413735</c:v>
                </c:pt>
                <c:pt idx="227">
                  <c:v>-21.630413878920685</c:v>
                </c:pt>
                <c:pt idx="228">
                  <c:v>-21.682969546679409</c:v>
                </c:pt>
                <c:pt idx="229">
                  <c:v>-21.735253079732388</c:v>
                </c:pt>
                <c:pt idx="230">
                  <c:v>-21.841526595424796</c:v>
                </c:pt>
                <c:pt idx="231">
                  <c:v>-21.894248655952179</c:v>
                </c:pt>
                <c:pt idx="232">
                  <c:v>-21.946698677147559</c:v>
                </c:pt>
                <c:pt idx="233">
                  <c:v>-22.000115390109023</c:v>
                </c:pt>
                <c:pt idx="234">
                  <c:v>-22.05325382147192</c:v>
                </c:pt>
                <c:pt idx="235">
                  <c:v>-22.106117334989719</c:v>
                </c:pt>
                <c:pt idx="236">
                  <c:v>-22.158709235900108</c:v>
                </c:pt>
                <c:pt idx="237">
                  <c:v>-22.212091653799803</c:v>
                </c:pt>
                <c:pt idx="238">
                  <c:v>-22.265198096189955</c:v>
                </c:pt>
                <c:pt idx="239">
                  <c:v>-22.318031893786507</c:v>
                </c:pt>
                <c:pt idx="240">
                  <c:v>-22.370596319506539</c:v>
                </c:pt>
                <c:pt idx="241">
                  <c:v>-22.424228300018711</c:v>
                </c:pt>
                <c:pt idx="242">
                  <c:v>-22.477583749849188</c:v>
                </c:pt>
                <c:pt idx="243">
                  <c:v>-22.530666018567441</c:v>
                </c:pt>
                <c:pt idx="244">
                  <c:v>-22.583478397457547</c:v>
                </c:pt>
                <c:pt idx="245">
                  <c:v>-22.637185573274582</c:v>
                </c:pt>
                <c:pt idx="246">
                  <c:v>-22.69061753796521</c:v>
                </c:pt>
                <c:pt idx="247">
                  <c:v>-22.743777626238433</c:v>
                </c:pt>
                <c:pt idx="248">
                  <c:v>-22.796669114805965</c:v>
                </c:pt>
                <c:pt idx="249">
                  <c:v>-22.85057549885423</c:v>
                </c:pt>
                <c:pt idx="250">
                  <c:v>-22.904206800966843</c:v>
                </c:pt>
                <c:pt idx="251">
                  <c:v>-22.957566362749784</c:v>
                </c:pt>
                <c:pt idx="252">
                  <c:v>-23.010657467591201</c:v>
                </c:pt>
                <c:pt idx="253">
                  <c:v>-23.064598507024783</c:v>
                </c:pt>
                <c:pt idx="254">
                  <c:v>-23.118266346230264</c:v>
                </c:pt>
                <c:pt idx="255">
                  <c:v>-23.171664302051212</c:v>
                </c:pt>
                <c:pt idx="256">
                  <c:v>-23.22479563362046</c:v>
                </c:pt>
                <c:pt idx="257">
                  <c:v>-23.279029706420648</c:v>
                </c:pt>
                <c:pt idx="258">
                  <c:v>-23.33298992975984</c:v>
                </c:pt>
                <c:pt idx="259">
                  <c:v>-23.386679641879375</c:v>
                </c:pt>
                <c:pt idx="260">
                  <c:v>-23.44010212274199</c:v>
                </c:pt>
                <c:pt idx="261">
                  <c:v>-23.49446569911396</c:v>
                </c:pt>
                <c:pt idx="262">
                  <c:v>-23.548556517876769</c:v>
                </c:pt>
                <c:pt idx="263">
                  <c:v>-23.602377907143079</c:v>
                </c:pt>
                <c:pt idx="264">
                  <c:v>-23.655933136903755</c:v>
                </c:pt>
                <c:pt idx="265">
                  <c:v>-23.710406731046412</c:v>
                </c:pt>
                <c:pt idx="266">
                  <c:v>-23.764608934575712</c:v>
                </c:pt>
                <c:pt idx="267">
                  <c:v>-23.818543060546293</c:v>
                </c:pt>
                <c:pt idx="268">
                  <c:v>-23.872212364155978</c:v>
                </c:pt>
                <c:pt idx="269">
                  <c:v>-23.926906874958025</c:v>
                </c:pt>
                <c:pt idx="270">
                  <c:v>-23.981330346382556</c:v>
                </c:pt>
                <c:pt idx="271">
                  <c:v>-24.03548609506646</c:v>
                </c:pt>
                <c:pt idx="272">
                  <c:v>-24.089377379615566</c:v>
                </c:pt>
                <c:pt idx="273">
                  <c:v>-24.144269133085409</c:v>
                </c:pt>
                <c:pt idx="274">
                  <c:v>-24.198890528779447</c:v>
                </c:pt>
                <c:pt idx="275">
                  <c:v>-24.253244880969934</c:v>
                </c:pt>
                <c:pt idx="276">
                  <c:v>-24.307335445854712</c:v>
                </c:pt>
                <c:pt idx="277">
                  <c:v>-24.362278977256878</c:v>
                </c:pt>
                <c:pt idx="278">
                  <c:v>-24.416954343807845</c:v>
                </c:pt>
                <c:pt idx="279">
                  <c:v>-24.471364829744601</c:v>
                </c:pt>
                <c:pt idx="280">
                  <c:v>-24.525513661823709</c:v>
                </c:pt>
                <c:pt idx="281">
                  <c:v>-24.580860228017865</c:v>
                </c:pt>
                <c:pt idx="282">
                  <c:v>-24.635937492403855</c:v>
                </c:pt>
                <c:pt idx="283">
                  <c:v>-24.690748770298097</c:v>
                </c:pt>
                <c:pt idx="284">
                  <c:v>-24.745297318698015</c:v>
                </c:pt>
                <c:pt idx="285">
                  <c:v>-24.800657590234309</c:v>
                </c:pt>
                <c:pt idx="286">
                  <c:v>-24.85575129749289</c:v>
                </c:pt>
                <c:pt idx="287">
                  <c:v>-24.910581715668076</c:v>
                </c:pt>
                <c:pt idx="288">
                  <c:v>-24.965152062450748</c:v>
                </c:pt>
                <c:pt idx="289">
                  <c:v>-25.020866777105837</c:v>
                </c:pt>
                <c:pt idx="290">
                  <c:v>-25.076314474469591</c:v>
                </c:pt>
                <c:pt idx="291">
                  <c:v>-25.13149844824785</c:v>
                </c:pt>
                <c:pt idx="292">
                  <c:v>-25.186421934079952</c:v>
                </c:pt>
                <c:pt idx="293">
                  <c:v>-25.242348388055685</c:v>
                </c:pt>
                <c:pt idx="294">
                  <c:v>-25.298008847261201</c:v>
                </c:pt>
                <c:pt idx="295">
                  <c:v>-25.353406596687002</c:v>
                </c:pt>
                <c:pt idx="296">
                  <c:v>-25.408544863321726</c:v>
                </c:pt>
                <c:pt idx="297">
                  <c:v>-25.464663515209725</c:v>
                </c:pt>
                <c:pt idx="298">
                  <c:v>-25.520517474966027</c:v>
                </c:pt>
                <c:pt idx="299">
                  <c:v>-25.576110013549442</c:v>
                </c:pt>
                <c:pt idx="300">
                  <c:v>-25.631444344097659</c:v>
                </c:pt>
                <c:pt idx="301">
                  <c:v>-25.687737378474562</c:v>
                </c:pt>
                <c:pt idx="302">
                  <c:v>-25.743767280327489</c:v>
                </c:pt>
                <c:pt idx="303">
                  <c:v>-25.799537301637628</c:v>
                </c:pt>
                <c:pt idx="304">
                  <c:v>-25.855050636853466</c:v>
                </c:pt>
                <c:pt idx="305">
                  <c:v>-25.911718481211757</c:v>
                </c:pt>
                <c:pt idx="306">
                  <c:v>-25.968122985559109</c:v>
                </c:pt>
                <c:pt idx="307">
                  <c:v>-26.024267415376848</c:v>
                </c:pt>
                <c:pt idx="308">
                  <c:v>-26.080154978127219</c:v>
                </c:pt>
                <c:pt idx="309">
                  <c:v>-26.136958478268614</c:v>
                </c:pt>
                <c:pt idx="310">
                  <c:v>-26.193500750800762</c:v>
                </c:pt>
                <c:pt idx="311">
                  <c:v>-26.249785031467475</c:v>
                </c:pt>
                <c:pt idx="312">
                  <c:v>-26.305814498517499</c:v>
                </c:pt>
                <c:pt idx="313">
                  <c:v>-26.362949589256786</c:v>
                </c:pt>
                <c:pt idx="314">
                  <c:v>-26.41982385723113</c:v>
                </c:pt>
                <c:pt idx="315">
                  <c:v>-26.476440539754819</c:v>
                </c:pt>
                <c:pt idx="316">
                  <c:v>-26.532802816421366</c:v>
                </c:pt>
                <c:pt idx="317">
                  <c:v>-26.590246749117178</c:v>
                </c:pt>
                <c:pt idx="318">
                  <c:v>-26.647430582403551</c:v>
                </c:pt>
                <c:pt idx="319">
                  <c:v>-26.704357548895238</c:v>
                </c:pt>
                <c:pt idx="320">
                  <c:v>-26.761030823397547</c:v>
                </c:pt>
                <c:pt idx="321">
                  <c:v>-26.818762723339141</c:v>
                </c:pt>
                <c:pt idx="322">
                  <c:v>-26.876235540422524</c:v>
                </c:pt>
                <c:pt idx="323">
                  <c:v>-26.933452496670938</c:v>
                </c:pt>
                <c:pt idx="324">
                  <c:v>-26.990416756338792</c:v>
                </c:pt>
                <c:pt idx="325">
                  <c:v>-27.048417520352807</c:v>
                </c:pt>
                <c:pt idx="326">
                  <c:v>-27.106160486389971</c:v>
                </c:pt>
                <c:pt idx="327">
                  <c:v>-27.163648860372369</c:v>
                </c:pt>
                <c:pt idx="328">
                  <c:v>-27.220885790615025</c:v>
                </c:pt>
                <c:pt idx="329">
                  <c:v>-27.279235180736411</c:v>
                </c:pt>
                <c:pt idx="330">
                  <c:v>-27.33732744937647</c:v>
                </c:pt>
                <c:pt idx="331">
                  <c:v>-27.39516579708717</c:v>
                </c:pt>
                <c:pt idx="332">
                  <c:v>-27.452753366708045</c:v>
                </c:pt>
                <c:pt idx="333">
                  <c:v>-27.511334959382182</c:v>
                </c:pt>
                <c:pt idx="334">
                  <c:v>-27.56966122471081</c:v>
                </c:pt>
                <c:pt idx="335">
                  <c:v>-27.627735336427463</c:v>
                </c:pt>
                <c:pt idx="336">
                  <c:v>-27.685560410951876</c:v>
                </c:pt>
                <c:pt idx="337">
                  <c:v>-27.744547698370305</c:v>
                </c:pt>
                <c:pt idx="338">
                  <c:v>-27.803280034774957</c:v>
                </c:pt>
                <c:pt idx="339">
                  <c:v>-27.861760592717332</c:v>
                </c:pt>
                <c:pt idx="340">
                  <c:v>-27.919992487207832</c:v>
                </c:pt>
                <c:pt idx="341">
                  <c:v>-27.979363025639884</c:v>
                </c:pt>
                <c:pt idx="342">
                  <c:v>-28.03847929113347</c:v>
                </c:pt>
                <c:pt idx="343">
                  <c:v>-28.097344448644762</c:v>
                </c:pt>
                <c:pt idx="344">
                  <c:v>-28.155961605504057</c:v>
                </c:pt>
                <c:pt idx="345">
                  <c:v>-28.215604020478501</c:v>
                </c:pt>
                <c:pt idx="346">
                  <c:v>-28.274993881665051</c:v>
                </c:pt>
                <c:pt idx="347">
                  <c:v>-28.334134326172773</c:v>
                </c:pt>
                <c:pt idx="348">
                  <c:v>-28.393028433880506</c:v>
                </c:pt>
                <c:pt idx="349">
                  <c:v>-28.453106721484094</c:v>
                </c:pt>
                <c:pt idx="350">
                  <c:v>-28.512932873587957</c:v>
                </c:pt>
                <c:pt idx="351">
                  <c:v>-28.572510022659841</c:v>
                </c:pt>
                <c:pt idx="352">
                  <c:v>-28.631841243760853</c:v>
                </c:pt>
                <c:pt idx="353">
                  <c:v>-28.692333484296398</c:v>
                </c:pt>
                <c:pt idx="354">
                  <c:v>-28.752574291109283</c:v>
                </c:pt>
                <c:pt idx="355">
                  <c:v>-28.812566785696298</c:v>
                </c:pt>
                <c:pt idx="356">
                  <c:v>-28.872314032114666</c:v>
                </c:pt>
                <c:pt idx="357">
                  <c:v>-28.93311370982093</c:v>
                </c:pt>
                <c:pt idx="358">
                  <c:v>-28.993663619036457</c:v>
                </c:pt>
                <c:pt idx="359">
                  <c:v>-29.053966851282734</c:v>
                </c:pt>
                <c:pt idx="360">
                  <c:v>-29.114026441065896</c:v>
                </c:pt>
                <c:pt idx="361">
                  <c:v>-29.175288957363851</c:v>
                </c:pt>
                <c:pt idx="362">
                  <c:v>-29.23630217057001</c:v>
                </c:pt>
                <c:pt idx="363">
                  <c:v>-29.297069163233292</c:v>
                </c:pt>
                <c:pt idx="364">
                  <c:v>-29.357592960789493</c:v>
                </c:pt>
                <c:pt idx="365">
                  <c:v>-29.419213461752683</c:v>
                </c:pt>
                <c:pt idx="366">
                  <c:v>-29.480586054928523</c:v>
                </c:pt>
                <c:pt idx="367">
                  <c:v>-29.541713795403496</c:v>
                </c:pt>
                <c:pt idx="368">
                  <c:v>-29.602599681501822</c:v>
                </c:pt>
                <c:pt idx="369">
                  <c:v>-29.664726901764723</c:v>
                </c:pt>
                <c:pt idx="370">
                  <c:v>-29.726606486697516</c:v>
                </c:pt>
                <c:pt idx="371">
                  <c:v>-29.788241483230923</c:v>
                </c:pt>
                <c:pt idx="372">
                  <c:v>-29.849634881401954</c:v>
                </c:pt>
                <c:pt idx="373">
                  <c:v>-29.912165707263853</c:v>
                </c:pt>
                <c:pt idx="374">
                  <c:v>-29.97445006445006</c:v>
                </c:pt>
                <c:pt idx="375">
                  <c:v>-30.036490973804774</c:v>
                </c:pt>
                <c:pt idx="376">
                  <c:v>-30.098291399587257</c:v>
                </c:pt>
                <c:pt idx="377">
                  <c:v>-30.16136838884286</c:v>
                </c:pt>
                <c:pt idx="378">
                  <c:v>-30.224199020388781</c:v>
                </c:pt>
                <c:pt idx="379">
                  <c:v>-30.286786306766249</c:v>
                </c:pt>
                <c:pt idx="380">
                  <c:v>-30.349133203794423</c:v>
                </c:pt>
                <c:pt idx="381">
                  <c:v>-30.412576554397369</c:v>
                </c:pt>
                <c:pt idx="382">
                  <c:v>-30.475775118313997</c:v>
                </c:pt>
                <c:pt idx="383">
                  <c:v>-30.538731871489734</c:v>
                </c:pt>
                <c:pt idx="384">
                  <c:v>-30.601449733717541</c:v>
                </c:pt>
                <c:pt idx="385">
                  <c:v>-30.665477093507224</c:v>
                </c:pt>
                <c:pt idx="386">
                  <c:v>-30.729259608134655</c:v>
                </c:pt>
                <c:pt idx="387">
                  <c:v>-30.792800244911053</c:v>
                </c:pt>
                <c:pt idx="388">
                  <c:v>-30.856101914864698</c:v>
                </c:pt>
                <c:pt idx="389">
                  <c:v>-30.920613628229212</c:v>
                </c:pt>
                <c:pt idx="390">
                  <c:v>-30.984881256292617</c:v>
                </c:pt>
                <c:pt idx="391">
                  <c:v>-31.048907741090641</c:v>
                </c:pt>
                <c:pt idx="392">
                  <c:v>-31.11269596866687</c:v>
                </c:pt>
                <c:pt idx="393">
                  <c:v>-31.177673397744709</c:v>
                </c:pt>
                <c:pt idx="394">
                  <c:v>-31.242407676124987</c:v>
                </c:pt>
                <c:pt idx="395">
                  <c:v>-31.306901715661706</c:v>
                </c:pt>
                <c:pt idx="396">
                  <c:v>-31.371158372638355</c:v>
                </c:pt>
                <c:pt idx="397">
                  <c:v>-31.436731848806794</c:v>
                </c:pt>
                <c:pt idx="398">
                  <c:v>-31.50206216944596</c:v>
                </c:pt>
                <c:pt idx="399">
                  <c:v>-31.567152231187819</c:v>
                </c:pt>
                <c:pt idx="400">
                  <c:v>-31.632004875143881</c:v>
                </c:pt>
                <c:pt idx="401">
                  <c:v>-31.698078847517817</c:v>
                </c:pt>
                <c:pt idx="402">
                  <c:v>-31.76391039919762</c:v>
                </c:pt>
                <c:pt idx="403">
                  <c:v>-31.829502396500573</c:v>
                </c:pt>
                <c:pt idx="404">
                  <c:v>-31.894857650668513</c:v>
                </c:pt>
                <c:pt idx="405">
                  <c:v>-31.961485599691688</c:v>
                </c:pt>
                <c:pt idx="406">
                  <c:v>-32.027871487009712</c:v>
                </c:pt>
                <c:pt idx="407">
                  <c:v>-32.094018153404321</c:v>
                </c:pt>
                <c:pt idx="408">
                  <c:v>-32.159928384919354</c:v>
                </c:pt>
                <c:pt idx="409">
                  <c:v>-32.227160763554544</c:v>
                </c:pt>
                <c:pt idx="410">
                  <c:v>-32.294151090689653</c:v>
                </c:pt>
                <c:pt idx="411">
                  <c:v>-32.360902185731987</c:v>
                </c:pt>
                <c:pt idx="412">
                  <c:v>-32.427416813598896</c:v>
                </c:pt>
                <c:pt idx="413">
                  <c:v>-32.495231477991211</c:v>
                </c:pt>
                <c:pt idx="414">
                  <c:v>-32.562804271701452</c:v>
                </c:pt>
                <c:pt idx="415">
                  <c:v>-32.630137987826259</c:v>
                </c:pt>
                <c:pt idx="416">
                  <c:v>-32.697235365367469</c:v>
                </c:pt>
                <c:pt idx="417">
                  <c:v>-32.76568007516034</c:v>
                </c:pt>
                <c:pt idx="418">
                  <c:v>-32.833882758080698</c:v>
                </c:pt>
                <c:pt idx="419">
                  <c:v>-32.901846184792028</c:v>
                </c:pt>
                <c:pt idx="420">
                  <c:v>-32.969573072182442</c:v>
                </c:pt>
                <c:pt idx="421">
                  <c:v>-33.038557268400972</c:v>
                </c:pt>
                <c:pt idx="422">
                  <c:v>-33.107299912425667</c:v>
                </c:pt>
                <c:pt idx="423">
                  <c:v>-33.175803739867959</c:v>
                </c:pt>
                <c:pt idx="424">
                  <c:v>-33.244071433237202</c:v>
                </c:pt>
                <c:pt idx="425">
                  <c:v>-33.313776771428572</c:v>
                </c:pt>
                <c:pt idx="426">
                  <c:v>-33.383239748113603</c:v>
                </c:pt>
                <c:pt idx="427">
                  <c:v>-33.452463083773473</c:v>
                </c:pt>
                <c:pt idx="428">
                  <c:v>-33.521449445978433</c:v>
                </c:pt>
                <c:pt idx="429">
                  <c:v>-33.591783768025479</c:v>
                </c:pt>
                <c:pt idx="430">
                  <c:v>-33.661875548357294</c:v>
                </c:pt>
                <c:pt idx="431">
                  <c:v>-33.731727479896549</c:v>
                </c:pt>
                <c:pt idx="432">
                  <c:v>-33.801342203203397</c:v>
                </c:pt>
                <c:pt idx="433">
                  <c:v>-33.872283119760318</c:v>
                </c:pt>
                <c:pt idx="434">
                  <c:v>-33.942981438643415</c:v>
                </c:pt>
                <c:pt idx="435">
                  <c:v>-34.013439821584008</c:v>
                </c:pt>
                <c:pt idx="436">
                  <c:v>-34.083660878633445</c:v>
                </c:pt>
                <c:pt idx="437">
                  <c:v>-34.155315251549226</c:v>
                </c:pt>
                <c:pt idx="438">
                  <c:v>-34.226726208189689</c:v>
                </c:pt>
                <c:pt idx="439">
                  <c:v>-34.297896390082066</c:v>
                </c:pt>
                <c:pt idx="440">
                  <c:v>-34.368828387518157</c:v>
                </c:pt>
                <c:pt idx="441">
                  <c:v>-34.441170474349889</c:v>
                </c:pt>
                <c:pt idx="442">
                  <c:v>-34.513268468585935</c:v>
                </c:pt>
                <c:pt idx="443">
                  <c:v>-34.585124987753204</c:v>
                </c:pt>
                <c:pt idx="444">
                  <c:v>-34.656742598735207</c:v>
                </c:pt>
                <c:pt idx="445">
                  <c:v>-34.729747649805603</c:v>
                </c:pt>
                <c:pt idx="446">
                  <c:v>-34.802508055590401</c:v>
                </c:pt>
                <c:pt idx="447">
                  <c:v>-34.875026406423515</c:v>
                </c:pt>
                <c:pt idx="448">
                  <c:v>-34.947305242723658</c:v>
                </c:pt>
                <c:pt idx="449">
                  <c:v>-35.0210726746202</c:v>
                </c:pt>
                <c:pt idx="450">
                  <c:v>-35.094594197320632</c:v>
                </c:pt>
                <c:pt idx="451">
                  <c:v>-35.167872384141376</c:v>
                </c:pt>
                <c:pt idx="452">
                  <c:v>-35.240909759010876</c:v>
                </c:pt>
                <c:pt idx="453">
                  <c:v>-35.31535089526654</c:v>
                </c:pt>
                <c:pt idx="454">
                  <c:v>-35.389545400360618</c:v>
                </c:pt>
                <c:pt idx="455">
                  <c:v>-35.463495821236876</c:v>
                </c:pt>
                <c:pt idx="456">
                  <c:v>-35.537204656280565</c:v>
                </c:pt>
                <c:pt idx="457">
                  <c:v>-35.612415024156682</c:v>
                </c:pt>
                <c:pt idx="458">
                  <c:v>-35.68737735214895</c:v>
                </c:pt>
                <c:pt idx="459">
                  <c:v>-35.762094170844335</c:v>
                </c:pt>
                <c:pt idx="460">
                  <c:v>-35.836567962915495</c:v>
                </c:pt>
                <c:pt idx="461">
                  <c:v>-35.912519163941013</c:v>
                </c:pt>
                <c:pt idx="462">
                  <c:v>-35.988221050621007</c:v>
                </c:pt>
                <c:pt idx="463">
                  <c:v>-36.063676134727523</c:v>
                </c:pt>
                <c:pt idx="464">
                  <c:v>-36.138886880898781</c:v>
                </c:pt>
                <c:pt idx="465">
                  <c:v>-36.215609907637905</c:v>
                </c:pt>
                <c:pt idx="466">
                  <c:v>-36.292082086607877</c:v>
                </c:pt>
                <c:pt idx="467">
                  <c:v>-36.36830591458812</c:v>
                </c:pt>
                <c:pt idx="468">
                  <c:v>-36.444283841988423</c:v>
                </c:pt>
                <c:pt idx="469">
                  <c:v>-36.52174981717566</c:v>
                </c:pt>
                <c:pt idx="470">
                  <c:v>-36.598963543574101</c:v>
                </c:pt>
                <c:pt idx="471">
                  <c:v>-36.675927501263111</c:v>
                </c:pt>
                <c:pt idx="472">
                  <c:v>-36.752644124841815</c:v>
                </c:pt>
                <c:pt idx="473">
                  <c:v>-36.830939018934494</c:v>
                </c:pt>
                <c:pt idx="474">
                  <c:v>-36.90897964958328</c:v>
                </c:pt>
                <c:pt idx="475">
                  <c:v>-36.986768489773183</c:v>
                </c:pt>
                <c:pt idx="476">
                  <c:v>-37.06430796775453</c:v>
                </c:pt>
                <c:pt idx="477">
                  <c:v>-37.143400280361057</c:v>
                </c:pt>
                <c:pt idx="478">
                  <c:v>-37.222236469822391</c:v>
                </c:pt>
                <c:pt idx="479">
                  <c:v>-37.300819000687675</c:v>
                </c:pt>
                <c:pt idx="480">
                  <c:v>-37.37915029364536</c:v>
                </c:pt>
                <c:pt idx="481">
                  <c:v>-37.459009501124008</c:v>
                </c:pt>
                <c:pt idx="482">
                  <c:v>-37.538610874765538</c:v>
                </c:pt>
                <c:pt idx="483">
                  <c:v>-37.617956869974648</c:v>
                </c:pt>
                <c:pt idx="484">
                  <c:v>-37.697049899283854</c:v>
                </c:pt>
                <c:pt idx="485">
                  <c:v>-37.777701245198067</c:v>
                </c:pt>
                <c:pt idx="486">
                  <c:v>-37.858092840198964</c:v>
                </c:pt>
                <c:pt idx="487">
                  <c:v>-37.938227135407359</c:v>
                </c:pt>
                <c:pt idx="488">
                  <c:v>-38.018106540050532</c:v>
                </c:pt>
                <c:pt idx="489">
                  <c:v>-38.099627530694711</c:v>
                </c:pt>
                <c:pt idx="490">
                  <c:v>-38.180886321641914</c:v>
                </c:pt>
                <c:pt idx="491">
                  <c:v>-38.261885369574493</c:v>
                </c:pt>
                <c:pt idx="492">
                  <c:v>-38.342627090147609</c:v>
                </c:pt>
                <c:pt idx="493">
                  <c:v>-38.424983872303727</c:v>
                </c:pt>
                <c:pt idx="494">
                  <c:v>-38.507076202156767</c:v>
                </c:pt>
                <c:pt idx="495">
                  <c:v>-38.588906542060577</c:v>
                </c:pt>
                <c:pt idx="496">
                  <c:v>-38.67047731432703</c:v>
                </c:pt>
                <c:pt idx="497">
                  <c:v>-38.753689915257041</c:v>
                </c:pt>
                <c:pt idx="498">
                  <c:v>-38.836635672754326</c:v>
                </c:pt>
                <c:pt idx="499">
                  <c:v>-38.919317060270778</c:v>
                </c:pt>
                <c:pt idx="500">
                  <c:v>-39.001736512209426</c:v>
                </c:pt>
                <c:pt idx="501">
                  <c:v>-39.085823429984018</c:v>
                </c:pt>
                <c:pt idx="502">
                  <c:v>-39.16964100053341</c:v>
                </c:pt>
                <c:pt idx="503">
                  <c:v>-39.253191714124654</c:v>
                </c:pt>
                <c:pt idx="504">
                  <c:v>-39.336478022983655</c:v>
                </c:pt>
                <c:pt idx="505">
                  <c:v>-39.421404930654745</c:v>
                </c:pt>
                <c:pt idx="506">
                  <c:v>-39.506060230599452</c:v>
                </c:pt>
                <c:pt idx="507">
                  <c:v>-39.590446431434863</c:v>
                </c:pt>
                <c:pt idx="508">
                  <c:v>-39.674566004854171</c:v>
                </c:pt>
                <c:pt idx="509">
                  <c:v>-39.760350677682581</c:v>
                </c:pt>
                <c:pt idx="510">
                  <c:v>-39.845861412882932</c:v>
                </c:pt>
                <c:pt idx="511">
                  <c:v>-39.931100744099325</c:v>
                </c:pt>
                <c:pt idx="512">
                  <c:v>-40.016071169187356</c:v>
                </c:pt>
                <c:pt idx="513">
                  <c:v>-40.10278033075388</c:v>
                </c:pt>
                <c:pt idx="514">
                  <c:v>-40.189212870326791</c:v>
                </c:pt>
                <c:pt idx="515">
                  <c:v>-40.275371358123209</c:v>
                </c:pt>
                <c:pt idx="516">
                  <c:v>-40.361258329654355</c:v>
                </c:pt>
                <c:pt idx="517">
                  <c:v>-40.448856163790417</c:v>
                </c:pt>
                <c:pt idx="518">
                  <c:v>-40.536175021983155</c:v>
                </c:pt>
                <c:pt idx="519">
                  <c:v>-40.623217514113307</c:v>
                </c:pt>
                <c:pt idx="520">
                  <c:v>-40.709986216561845</c:v>
                </c:pt>
                <c:pt idx="521">
                  <c:v>-40.798487488668485</c:v>
                </c:pt>
                <c:pt idx="522">
                  <c:v>-40.88670747247523</c:v>
                </c:pt>
                <c:pt idx="523">
                  <c:v>-40.974648825787988</c:v>
                </c:pt>
                <c:pt idx="524">
                  <c:v>-41.06231417416889</c:v>
                </c:pt>
                <c:pt idx="525">
                  <c:v>-41.151733005593492</c:v>
                </c:pt>
                <c:pt idx="526">
                  <c:v>-41.240868322774972</c:v>
                </c:pt>
                <c:pt idx="527">
                  <c:v>-41.329722840419187</c:v>
                </c:pt>
                <c:pt idx="528">
                  <c:v>-41.418299242309814</c:v>
                </c:pt>
                <c:pt idx="529">
                  <c:v>-41.508649327955531</c:v>
                </c:pt>
                <c:pt idx="530">
                  <c:v>-41.598713809544591</c:v>
                </c:pt>
                <c:pt idx="531">
                  <c:v>-41.688495468493855</c:v>
                </c:pt>
                <c:pt idx="532">
                  <c:v>-41.777997056703555</c:v>
                </c:pt>
                <c:pt idx="533">
                  <c:v>-41.869338964870941</c:v>
                </c:pt>
                <c:pt idx="534">
                  <c:v>-41.960393075222946</c:v>
                </c:pt>
                <c:pt idx="535">
                  <c:v>-42.05116225108705</c:v>
                </c:pt>
                <c:pt idx="536">
                  <c:v>-42.141649327729326</c:v>
                </c:pt>
                <c:pt idx="537">
                  <c:v>-42.233901953918291</c:v>
                </c:pt>
                <c:pt idx="538">
                  <c:v>-42.325865438819122</c:v>
                </c:pt>
                <c:pt idx="539">
                  <c:v>-42.417542730742014</c:v>
                </c:pt>
                <c:pt idx="540">
                  <c:v>-42.508936751641286</c:v>
                </c:pt>
                <c:pt idx="541">
                  <c:v>-42.602207634792222</c:v>
                </c:pt>
                <c:pt idx="542">
                  <c:v>-42.695187769705008</c:v>
                </c:pt>
                <c:pt idx="543">
                  <c:v>-42.78788021193553</c:v>
                </c:pt>
                <c:pt idx="544">
                  <c:v>-42.880287992451485</c:v>
                </c:pt>
                <c:pt idx="545">
                  <c:v>-42.974544825524163</c:v>
                </c:pt>
                <c:pt idx="546">
                  <c:v>-43.068510001375316</c:v>
                </c:pt>
                <c:pt idx="547">
                  <c:v>-43.162186693234659</c:v>
                </c:pt>
                <c:pt idx="548">
                  <c:v>-43.255578051776915</c:v>
                </c:pt>
                <c:pt idx="549">
                  <c:v>-43.350836705907689</c:v>
                </c:pt>
                <c:pt idx="550">
                  <c:v>-43.445803284107299</c:v>
                </c:pt>
                <c:pt idx="551">
                  <c:v>-43.540481094106525</c:v>
                </c:pt>
                <c:pt idx="552">
                  <c:v>-43.634873423376881</c:v>
                </c:pt>
                <c:pt idx="553">
                  <c:v>-43.731195564964025</c:v>
                </c:pt>
                <c:pt idx="554">
                  <c:v>-43.827225535667154</c:v>
                </c:pt>
                <c:pt idx="555">
                  <c:v>-43.92296680157321</c:v>
                </c:pt>
                <c:pt idx="556">
                  <c:v>-44.018422811101523</c:v>
                </c:pt>
                <c:pt idx="557">
                  <c:v>-44.212938324105828</c:v>
                </c:pt>
                <c:pt idx="558">
                  <c:v>-44.406302247991604</c:v>
                </c:pt>
                <c:pt idx="559">
                  <c:v>-44.602937083675151</c:v>
                </c:pt>
                <c:pt idx="560">
                  <c:v>-44.798428108782886</c:v>
                </c:pt>
                <c:pt idx="561">
                  <c:v>-44.9974044830427</c:v>
                </c:pt>
                <c:pt idx="562">
                  <c:v>-45.195246983221303</c:v>
                </c:pt>
                <c:pt idx="563">
                  <c:v>-45.396198318214815</c:v>
                </c:pt>
                <c:pt idx="564">
                  <c:v>-45.59603532388288</c:v>
                </c:pt>
                <c:pt idx="565">
                  <c:v>-45.799789701670818</c:v>
                </c:pt>
                <c:pt idx="566">
                  <c:v>-46.002446654498677</c:v>
                </c:pt>
                <c:pt idx="567">
                  <c:v>-46.208987880045427</c:v>
                </c:pt>
                <c:pt idx="568">
                  <c:v>-46.414456723322843</c:v>
                </c:pt>
                <c:pt idx="569">
                  <c:v>-46.622972246127539</c:v>
                </c:pt>
                <c:pt idx="570">
                  <c:v>-46.830457572677346</c:v>
                </c:pt>
                <c:pt idx="571">
                  <c:v>-47.042611426401137</c:v>
                </c:pt>
                <c:pt idx="572">
                  <c:v>-47.253771541407644</c:v>
                </c:pt>
                <c:pt idx="573">
                  <c:v>-47.467989011425914</c:v>
                </c:pt>
                <c:pt idx="574">
                  <c:v>-47.681276223674217</c:v>
                </c:pt>
                <c:pt idx="575">
                  <c:v>-47.899243010696779</c:v>
                </c:pt>
                <c:pt idx="576">
                  <c:v>-48.116342760506974</c:v>
                </c:pt>
                <c:pt idx="577">
                  <c:v>-49.027212597294238</c:v>
                </c:pt>
                <c:pt idx="578">
                  <c:v>-49.928305833616243</c:v>
                </c:pt>
                <c:pt idx="579">
                  <c:v>-51.895233037721617</c:v>
                </c:pt>
                <c:pt idx="580">
                  <c:v>-54.113471619261027</c:v>
                </c:pt>
                <c:pt idx="581">
                  <c:v>-56.781487612041701</c:v>
                </c:pt>
                <c:pt idx="582">
                  <c:v>-60.391132938185244</c:v>
                </c:pt>
                <c:pt idx="583">
                  <c:v>-66.452204086279124</c:v>
                </c:pt>
                <c:pt idx="584">
                  <c:v>-91.399771675544599</c:v>
                </c:pt>
                <c:pt idx="585">
                  <c:v>-70.063516337503515</c:v>
                </c:pt>
                <c:pt idx="586">
                  <c:v>-66.26448467512003</c:v>
                </c:pt>
                <c:pt idx="587">
                  <c:v>-65.685614455527073</c:v>
                </c:pt>
                <c:pt idx="588">
                  <c:v>-66.418002021708816</c:v>
                </c:pt>
                <c:pt idx="589">
                  <c:v>-67.984606899164334</c:v>
                </c:pt>
                <c:pt idx="590">
                  <c:v>-70.761913903937725</c:v>
                </c:pt>
                <c:pt idx="591">
                  <c:v>-78.020266428091091</c:v>
                </c:pt>
                <c:pt idx="592">
                  <c:v>-82.006585949856031</c:v>
                </c:pt>
                <c:pt idx="593">
                  <c:v>-74.971249795695798</c:v>
                </c:pt>
                <c:pt idx="594">
                  <c:v>-74.972510033136857</c:v>
                </c:pt>
                <c:pt idx="595">
                  <c:v>-77.849106578409277</c:v>
                </c:pt>
                <c:pt idx="596">
                  <c:v>-120.79675928237053</c:v>
                </c:pt>
                <c:pt idx="597">
                  <c:v>-79.913738057828269</c:v>
                </c:pt>
                <c:pt idx="598">
                  <c:v>-80.22050248969073</c:v>
                </c:pt>
                <c:pt idx="599">
                  <c:v>-95.626951269654356</c:v>
                </c:pt>
                <c:pt idx="600">
                  <c:v>-82.834755583522877</c:v>
                </c:pt>
              </c:numCache>
            </c:numRef>
          </c:yVal>
          <c:smooth val="1"/>
          <c:extLst>
            <c:ext xmlns:c16="http://schemas.microsoft.com/office/drawing/2014/chart" uri="{C3380CC4-5D6E-409C-BE32-E72D297353CC}">
              <c16:uniqueId val="{00000000-09BC-4E96-93F9-6DC345568360}"/>
            </c:ext>
          </c:extLst>
        </c:ser>
        <c:dLbls>
          <c:dLblPos val="r"/>
          <c:showLegendKey val="0"/>
          <c:showVal val="1"/>
          <c:showCatName val="1"/>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91.00344310161708</c:v>
                </c:pt>
                <c:pt idx="1">
                  <c:v>90.845443207849172</c:v>
                </c:pt>
                <c:pt idx="2">
                  <c:v>90.694626819224354</c:v>
                </c:pt>
                <c:pt idx="3">
                  <c:v>90.549709101478982</c:v>
                </c:pt>
                <c:pt idx="4">
                  <c:v>90.409547341831768</c:v>
                </c:pt>
                <c:pt idx="5">
                  <c:v>90.272718319524046</c:v>
                </c:pt>
                <c:pt idx="6">
                  <c:v>90.138257384780076</c:v>
                </c:pt>
                <c:pt idx="7">
                  <c:v>90.004932919815943</c:v>
                </c:pt>
                <c:pt idx="8">
                  <c:v>89.87171050218501</c:v>
                </c:pt>
                <c:pt idx="9">
                  <c:v>89.737358462717097</c:v>
                </c:pt>
                <c:pt idx="10">
                  <c:v>89.600814846213055</c:v>
                </c:pt>
                <c:pt idx="11">
                  <c:v>89.460904380414391</c:v>
                </c:pt>
                <c:pt idx="12">
                  <c:v>89.316365754777593</c:v>
                </c:pt>
                <c:pt idx="13">
                  <c:v>89.166115912193547</c:v>
                </c:pt>
                <c:pt idx="14">
                  <c:v>89.008766538094321</c:v>
                </c:pt>
                <c:pt idx="15">
                  <c:v>88.843047929961187</c:v>
                </c:pt>
                <c:pt idx="16">
                  <c:v>88.667551254301927</c:v>
                </c:pt>
                <c:pt idx="17">
                  <c:v>88.480827836919076</c:v>
                </c:pt>
                <c:pt idx="18">
                  <c:v>88.281256286990072</c:v>
                </c:pt>
                <c:pt idx="19">
                  <c:v>88.067219825575378</c:v>
                </c:pt>
                <c:pt idx="20">
                  <c:v>87.836891261666395</c:v>
                </c:pt>
                <c:pt idx="21">
                  <c:v>87.588405565252813</c:v>
                </c:pt>
                <c:pt idx="22">
                  <c:v>87.319656262863418</c:v>
                </c:pt>
                <c:pt idx="23">
                  <c:v>87.028503907933313</c:v>
                </c:pt>
                <c:pt idx="24">
                  <c:v>86.71250093119346</c:v>
                </c:pt>
                <c:pt idx="25">
                  <c:v>86.369139331540069</c:v>
                </c:pt>
                <c:pt idx="26">
                  <c:v>85.995585817585962</c:v>
                </c:pt>
                <c:pt idx="27">
                  <c:v>85.589006852065296</c:v>
                </c:pt>
                <c:pt idx="28">
                  <c:v>85.146237218824879</c:v>
                </c:pt>
                <c:pt idx="29">
                  <c:v>84.664223586545575</c:v>
                </c:pt>
                <c:pt idx="30">
                  <c:v>84.138542088002922</c:v>
                </c:pt>
                <c:pt idx="31">
                  <c:v>83.566087448161412</c:v>
                </c:pt>
                <c:pt idx="32">
                  <c:v>82.942480149201188</c:v>
                </c:pt>
                <c:pt idx="33">
                  <c:v>82.26400874049601</c:v>
                </c:pt>
                <c:pt idx="34">
                  <c:v>81.525858981908897</c:v>
                </c:pt>
                <c:pt idx="35">
                  <c:v>80.724068768536767</c:v>
                </c:pt>
                <c:pt idx="36">
                  <c:v>79.854191650219079</c:v>
                </c:pt>
                <c:pt idx="37">
                  <c:v>78.911491987430551</c:v>
                </c:pt>
                <c:pt idx="38">
                  <c:v>77.892922755432949</c:v>
                </c:pt>
                <c:pt idx="39">
                  <c:v>76.794202866916251</c:v>
                </c:pt>
                <c:pt idx="40">
                  <c:v>75.612942781410098</c:v>
                </c:pt>
                <c:pt idx="41">
                  <c:v>74.347262411475398</c:v>
                </c:pt>
                <c:pt idx="42">
                  <c:v>72.996890721904833</c:v>
                </c:pt>
                <c:pt idx="43">
                  <c:v>71.562668508306587</c:v>
                </c:pt>
                <c:pt idx="44">
                  <c:v>70.048319171940548</c:v>
                </c:pt>
                <c:pt idx="45">
                  <c:v>68.459405965284901</c:v>
                </c:pt>
                <c:pt idx="46">
                  <c:v>66.805015685071126</c:v>
                </c:pt>
                <c:pt idx="47">
                  <c:v>65.0967627710491</c:v>
                </c:pt>
                <c:pt idx="48">
                  <c:v>63.350424577590289</c:v>
                </c:pt>
                <c:pt idx="49">
                  <c:v>61.584306424246321</c:v>
                </c:pt>
                <c:pt idx="50">
                  <c:v>59.82061255802536</c:v>
                </c:pt>
                <c:pt idx="51">
                  <c:v>58.083612556734906</c:v>
                </c:pt>
                <c:pt idx="52">
                  <c:v>56.40059933928724</c:v>
                </c:pt>
                <c:pt idx="53">
                  <c:v>54.799407315740112</c:v>
                </c:pt>
                <c:pt idx="54">
                  <c:v>53.308994463001625</c:v>
                </c:pt>
                <c:pt idx="55">
                  <c:v>51.954117078556749</c:v>
                </c:pt>
                <c:pt idx="56">
                  <c:v>50.762144652937224</c:v>
                </c:pt>
                <c:pt idx="57">
                  <c:v>49.754843623658644</c:v>
                </c:pt>
                <c:pt idx="58">
                  <c:v>48.95198585681689</c:v>
                </c:pt>
                <c:pt idx="59">
                  <c:v>48.367978700440489</c:v>
                </c:pt>
                <c:pt idx="60">
                  <c:v>48.013805855491654</c:v>
                </c:pt>
                <c:pt idx="61">
                  <c:v>47.895251110709779</c:v>
                </c:pt>
                <c:pt idx="62">
                  <c:v>48.013528019917572</c:v>
                </c:pt>
                <c:pt idx="63">
                  <c:v>48.36481918412548</c:v>
                </c:pt>
                <c:pt idx="64">
                  <c:v>48.940872603257759</c:v>
                </c:pt>
                <c:pt idx="65">
                  <c:v>49.728465062110814</c:v>
                </c:pt>
                <c:pt idx="66">
                  <c:v>50.710230822691699</c:v>
                </c:pt>
                <c:pt idx="67">
                  <c:v>51.864703817643402</c:v>
                </c:pt>
                <c:pt idx="68">
                  <c:v>53.167658061708764</c:v>
                </c:pt>
                <c:pt idx="69">
                  <c:v>54.59170240495375</c:v>
                </c:pt>
                <c:pt idx="70">
                  <c:v>56.108507023505069</c:v>
                </c:pt>
                <c:pt idx="71">
                  <c:v>57.688619887283934</c:v>
                </c:pt>
                <c:pt idx="72">
                  <c:v>59.30373094718226</c:v>
                </c:pt>
                <c:pt idx="73">
                  <c:v>60.926248193668854</c:v>
                </c:pt>
                <c:pt idx="74">
                  <c:v>62.531639315968874</c:v>
                </c:pt>
                <c:pt idx="75">
                  <c:v>64.097544268532019</c:v>
                </c:pt>
                <c:pt idx="76">
                  <c:v>65.605384281649208</c:v>
                </c:pt>
                <c:pt idx="77">
                  <c:v>67.039036623440992</c:v>
                </c:pt>
                <c:pt idx="78">
                  <c:v>68.386152138412399</c:v>
                </c:pt>
                <c:pt idx="79">
                  <c:v>69.636538553248201</c:v>
                </c:pt>
                <c:pt idx="80">
                  <c:v>70.785402845323574</c:v>
                </c:pt>
                <c:pt idx="81">
                  <c:v>71.826374816395742</c:v>
                </c:pt>
                <c:pt idx="82">
                  <c:v>72.757266473703964</c:v>
                </c:pt>
                <c:pt idx="83">
                  <c:v>73.575872627354187</c:v>
                </c:pt>
                <c:pt idx="84">
                  <c:v>74.282233437500281</c:v>
                </c:pt>
                <c:pt idx="85">
                  <c:v>74.875945904117444</c:v>
                </c:pt>
                <c:pt idx="86">
                  <c:v>75.357492625543813</c:v>
                </c:pt>
                <c:pt idx="87">
                  <c:v>75.727490584276595</c:v>
                </c:pt>
                <c:pt idx="88">
                  <c:v>75.985893252440604</c:v>
                </c:pt>
                <c:pt idx="89">
                  <c:v>76.132951509461165</c:v>
                </c:pt>
                <c:pt idx="90">
                  <c:v>76.168157716629437</c:v>
                </c:pt>
                <c:pt idx="91">
                  <c:v>76.09057795848949</c:v>
                </c:pt>
                <c:pt idx="92">
                  <c:v>75.898670717383368</c:v>
                </c:pt>
                <c:pt idx="93">
                  <c:v>75.590100625535925</c:v>
                </c:pt>
                <c:pt idx="94">
                  <c:v>75.494435168640777</c:v>
                </c:pt>
                <c:pt idx="95">
                  <c:v>75.443464644155171</c:v>
                </c:pt>
                <c:pt idx="96">
                  <c:v>75.391198411419396</c:v>
                </c:pt>
                <c:pt idx="97">
                  <c:v>75.336424621495965</c:v>
                </c:pt>
                <c:pt idx="98">
                  <c:v>75.280384045318087</c:v>
                </c:pt>
                <c:pt idx="99">
                  <c:v>75.221762597763799</c:v>
                </c:pt>
                <c:pt idx="100">
                  <c:v>75.161902180259077</c:v>
                </c:pt>
                <c:pt idx="101">
                  <c:v>75.099432381621853</c:v>
                </c:pt>
                <c:pt idx="102">
                  <c:v>75.035752238388767</c:v>
                </c:pt>
                <c:pt idx="103">
                  <c:v>74.969339792381859</c:v>
                </c:pt>
                <c:pt idx="104">
                  <c:v>74.90174286859299</c:v>
                </c:pt>
                <c:pt idx="105">
                  <c:v>74.831384720572885</c:v>
                </c:pt>
                <c:pt idx="106">
                  <c:v>74.759868856891643</c:v>
                </c:pt>
                <c:pt idx="107">
                  <c:v>74.685566131772077</c:v>
                </c:pt>
                <c:pt idx="108">
                  <c:v>74.610133172067549</c:v>
                </c:pt>
                <c:pt idx="109">
                  <c:v>74.531837072119657</c:v>
                </c:pt>
                <c:pt idx="110">
                  <c:v>74.4524372999349</c:v>
                </c:pt>
                <c:pt idx="111">
                  <c:v>74.37004138088308</c:v>
                </c:pt>
                <c:pt idx="112">
                  <c:v>74.286566129944688</c:v>
                </c:pt>
                <c:pt idx="113">
                  <c:v>74.200069255248863</c:v>
                </c:pt>
                <c:pt idx="114">
                  <c:v>74.112518194461742</c:v>
                </c:pt>
                <c:pt idx="115">
                  <c:v>74.021865155108486</c:v>
                </c:pt>
                <c:pt idx="116">
                  <c:v>73.930182437167844</c:v>
                </c:pt>
                <c:pt idx="117">
                  <c:v>73.835316356731042</c:v>
                </c:pt>
                <c:pt idx="118">
                  <c:v>73.739444543383556</c:v>
                </c:pt>
                <c:pt idx="119">
                  <c:v>73.640367495203463</c:v>
                </c:pt>
                <c:pt idx="120">
                  <c:v>73.540309335741853</c:v>
                </c:pt>
                <c:pt idx="121">
                  <c:v>73.436965266993312</c:v>
                </c:pt>
                <c:pt idx="122">
                  <c:v>73.332664127619097</c:v>
                </c:pt>
                <c:pt idx="123">
                  <c:v>73.224932980277259</c:v>
                </c:pt>
                <c:pt idx="124">
                  <c:v>73.116267225374202</c:v>
                </c:pt>
                <c:pt idx="125">
                  <c:v>73.004150991429</c:v>
                </c:pt>
                <c:pt idx="126">
                  <c:v>72.891123307611593</c:v>
                </c:pt>
                <c:pt idx="127">
                  <c:v>72.774562609266425</c:v>
                </c:pt>
                <c:pt idx="128">
                  <c:v>72.657113212177862</c:v>
                </c:pt>
                <c:pt idx="129">
                  <c:v>72.536047859560739</c:v>
                </c:pt>
                <c:pt idx="130">
                  <c:v>72.414116201340619</c:v>
                </c:pt>
                <c:pt idx="131">
                  <c:v>72.288485345409427</c:v>
                </c:pt>
                <c:pt idx="132">
                  <c:v>72.225351445182753</c:v>
                </c:pt>
                <c:pt idx="133">
                  <c:v>72.162010262828773</c:v>
                </c:pt>
                <c:pt idx="134">
                  <c:v>72.096952446879243</c:v>
                </c:pt>
                <c:pt idx="135">
                  <c:v>72.03168507352386</c:v>
                </c:pt>
                <c:pt idx="136">
                  <c:v>71.966211907008073</c:v>
                </c:pt>
                <c:pt idx="137">
                  <c:v>71.900536627786664</c:v>
                </c:pt>
                <c:pt idx="138">
                  <c:v>71.833164971260544</c:v>
                </c:pt>
                <c:pt idx="139">
                  <c:v>71.76558944845317</c:v>
                </c:pt>
                <c:pt idx="140">
                  <c:v>71.697813739284214</c:v>
                </c:pt>
                <c:pt idx="141">
                  <c:v>71.62984144185377</c:v>
                </c:pt>
                <c:pt idx="142">
                  <c:v>71.560057325564742</c:v>
                </c:pt>
                <c:pt idx="143">
                  <c:v>71.490074564943683</c:v>
                </c:pt>
                <c:pt idx="144">
                  <c:v>71.419896768407796</c:v>
                </c:pt>
                <c:pt idx="145">
                  <c:v>71.349527464166002</c:v>
                </c:pt>
                <c:pt idx="146">
                  <c:v>71.277333501816855</c:v>
                </c:pt>
                <c:pt idx="147">
                  <c:v>71.20494628191932</c:v>
                </c:pt>
                <c:pt idx="148">
                  <c:v>71.132369337252698</c:v>
                </c:pt>
                <c:pt idx="149">
                  <c:v>71.059606122144103</c:v>
                </c:pt>
                <c:pt idx="150">
                  <c:v>70.984971262703567</c:v>
                </c:pt>
                <c:pt idx="151">
                  <c:v>70.910148492908235</c:v>
                </c:pt>
                <c:pt idx="152">
                  <c:v>70.835141271363526</c:v>
                </c:pt>
                <c:pt idx="153">
                  <c:v>70.759952979953354</c:v>
                </c:pt>
                <c:pt idx="154">
                  <c:v>70.682810657035901</c:v>
                </c:pt>
                <c:pt idx="155">
                  <c:v>70.605485571294096</c:v>
                </c:pt>
                <c:pt idx="156">
                  <c:v>70.527981113182776</c:v>
                </c:pt>
                <c:pt idx="157">
                  <c:v>70.450300598007459</c:v>
                </c:pt>
                <c:pt idx="158">
                  <c:v>70.370618853185931</c:v>
                </c:pt>
                <c:pt idx="159">
                  <c:v>70.290759488847655</c:v>
                </c:pt>
                <c:pt idx="160">
                  <c:v>70.210725828115869</c:v>
                </c:pt>
                <c:pt idx="161">
                  <c:v>70.130521120532038</c:v>
                </c:pt>
                <c:pt idx="162">
                  <c:v>70.048304353013052</c:v>
                </c:pt>
                <c:pt idx="163">
                  <c:v>69.965915258972018</c:v>
                </c:pt>
                <c:pt idx="164">
                  <c:v>69.883357090782155</c:v>
                </c:pt>
                <c:pt idx="165">
                  <c:v>69.800633028923286</c:v>
                </c:pt>
                <c:pt idx="166">
                  <c:v>69.715777672565395</c:v>
                </c:pt>
                <c:pt idx="167">
                  <c:v>69.630754980459514</c:v>
                </c:pt>
                <c:pt idx="168">
                  <c:v>69.545568143669684</c:v>
                </c:pt>
                <c:pt idx="169">
                  <c:v>69.460220282796655</c:v>
                </c:pt>
                <c:pt idx="170">
                  <c:v>69.37287785164871</c:v>
                </c:pt>
                <c:pt idx="171">
                  <c:v>69.285373776760267</c:v>
                </c:pt>
                <c:pt idx="172">
                  <c:v>69.197711168836392</c:v>
                </c:pt>
                <c:pt idx="173">
                  <c:v>69.109893070126077</c:v>
                </c:pt>
                <c:pt idx="174">
                  <c:v>69.019702764375666</c:v>
                </c:pt>
                <c:pt idx="175">
                  <c:v>68.929355292406015</c:v>
                </c:pt>
                <c:pt idx="176">
                  <c:v>68.838853720690068</c:v>
                </c:pt>
                <c:pt idx="177">
                  <c:v>68.748201048213204</c:v>
                </c:pt>
                <c:pt idx="178">
                  <c:v>68.65516555882553</c:v>
                </c:pt>
                <c:pt idx="179">
                  <c:v>68.561977611012566</c:v>
                </c:pt>
                <c:pt idx="180">
                  <c:v>68.468640222227961</c:v>
                </c:pt>
                <c:pt idx="181">
                  <c:v>68.375156343565124</c:v>
                </c:pt>
                <c:pt idx="182">
                  <c:v>68.279654866724584</c:v>
                </c:pt>
                <c:pt idx="183">
                  <c:v>68.184006980901032</c:v>
                </c:pt>
                <c:pt idx="184">
                  <c:v>68.088215616236383</c:v>
                </c:pt>
                <c:pt idx="185">
                  <c:v>67.992283638776129</c:v>
                </c:pt>
                <c:pt idx="186">
                  <c:v>67.893574725295991</c:v>
                </c:pt>
                <c:pt idx="187">
                  <c:v>67.794723307086244</c:v>
                </c:pt>
                <c:pt idx="188">
                  <c:v>67.695732293015283</c:v>
                </c:pt>
                <c:pt idx="189">
                  <c:v>67.596604528214684</c:v>
                </c:pt>
                <c:pt idx="190">
                  <c:v>67.495447203201252</c:v>
                </c:pt>
                <c:pt idx="191">
                  <c:v>67.394153629643739</c:v>
                </c:pt>
                <c:pt idx="192">
                  <c:v>67.292726625686669</c:v>
                </c:pt>
                <c:pt idx="193">
                  <c:v>67.19116894813267</c:v>
                </c:pt>
                <c:pt idx="194">
                  <c:v>67.086815680664103</c:v>
                </c:pt>
                <c:pt idx="195">
                  <c:v>66.982330489637761</c:v>
                </c:pt>
                <c:pt idx="196">
                  <c:v>66.877716164053282</c:v>
                </c:pt>
                <c:pt idx="197">
                  <c:v>66.772975432197114</c:v>
                </c:pt>
                <c:pt idx="198">
                  <c:v>66.665813296454601</c:v>
                </c:pt>
                <c:pt idx="199">
                  <c:v>66.55852473164623</c:v>
                </c:pt>
                <c:pt idx="200">
                  <c:v>66.451112463603749</c:v>
                </c:pt>
                <c:pt idx="201">
                  <c:v>66.343579159076953</c:v>
                </c:pt>
                <c:pt idx="202">
                  <c:v>66.233619327439982</c:v>
                </c:pt>
                <c:pt idx="203">
                  <c:v>66.123538659160232</c:v>
                </c:pt>
                <c:pt idx="204">
                  <c:v>66.013339815738718</c:v>
                </c:pt>
                <c:pt idx="205">
                  <c:v>65.903025401273879</c:v>
                </c:pt>
                <c:pt idx="206">
                  <c:v>65.78989379883167</c:v>
                </c:pt>
                <c:pt idx="207">
                  <c:v>65.676646254115568</c:v>
                </c:pt>
                <c:pt idx="208">
                  <c:v>65.563285390045792</c:v>
                </c:pt>
                <c:pt idx="209">
                  <c:v>65.449813773097645</c:v>
                </c:pt>
                <c:pt idx="210">
                  <c:v>65.333131263713184</c:v>
                </c:pt>
                <c:pt idx="211">
                  <c:v>65.216337185714181</c:v>
                </c:pt>
                <c:pt idx="212">
                  <c:v>65.099434145765017</c:v>
                </c:pt>
                <c:pt idx="213">
                  <c:v>64.982424694423344</c:v>
                </c:pt>
                <c:pt idx="214">
                  <c:v>64.862975802457768</c:v>
                </c:pt>
                <c:pt idx="215">
                  <c:v>64.743421402323648</c:v>
                </c:pt>
                <c:pt idx="216">
                  <c:v>64.623764029750546</c:v>
                </c:pt>
                <c:pt idx="217">
                  <c:v>64.504006166276852</c:v>
                </c:pt>
                <c:pt idx="218">
                  <c:v>64.381416244824095</c:v>
                </c:pt>
                <c:pt idx="219">
                  <c:v>64.25872628166627</c:v>
                </c:pt>
                <c:pt idx="220">
                  <c:v>64.135938765739368</c:v>
                </c:pt>
                <c:pt idx="221">
                  <c:v>64.013056133031853</c:v>
                </c:pt>
                <c:pt idx="222">
                  <c:v>63.887338240372699</c:v>
                </c:pt>
                <c:pt idx="223">
                  <c:v>63.761525928126957</c:v>
                </c:pt>
                <c:pt idx="224">
                  <c:v>63.635621636690104</c:v>
                </c:pt>
                <c:pt idx="225">
                  <c:v>63.509627754816236</c:v>
                </c:pt>
                <c:pt idx="226">
                  <c:v>63.380403317605285</c:v>
                </c:pt>
                <c:pt idx="227">
                  <c:v>63.251089689683539</c:v>
                </c:pt>
                <c:pt idx="228">
                  <c:v>63.12168928328532</c:v>
                </c:pt>
                <c:pt idx="229">
                  <c:v>62.992204459753637</c:v>
                </c:pt>
                <c:pt idx="230">
                  <c:v>62.726683753479904</c:v>
                </c:pt>
                <c:pt idx="231">
                  <c:v>62.593800209220817</c:v>
                </c:pt>
                <c:pt idx="232">
                  <c:v>62.460837661986403</c:v>
                </c:pt>
                <c:pt idx="233">
                  <c:v>62.324639277905462</c:v>
                </c:pt>
                <c:pt idx="234">
                  <c:v>62.188362884316405</c:v>
                </c:pt>
                <c:pt idx="235">
                  <c:v>62.052010827976659</c:v>
                </c:pt>
                <c:pt idx="236">
                  <c:v>61.915585406556033</c:v>
                </c:pt>
                <c:pt idx="237">
                  <c:v>61.776318654394032</c:v>
                </c:pt>
                <c:pt idx="238">
                  <c:v>61.636980211734937</c:v>
                </c:pt>
                <c:pt idx="239">
                  <c:v>61.4975723696042</c:v>
                </c:pt>
                <c:pt idx="240">
                  <c:v>61.358097371497351</c:v>
                </c:pt>
                <c:pt idx="241">
                  <c:v>61.214988799183018</c:v>
                </c:pt>
                <c:pt idx="242">
                  <c:v>61.07181422482337</c:v>
                </c:pt>
                <c:pt idx="243">
                  <c:v>60.928575921155328</c:v>
                </c:pt>
                <c:pt idx="244">
                  <c:v>60.785276113921853</c:v>
                </c:pt>
                <c:pt idx="245">
                  <c:v>60.638739394016426</c:v>
                </c:pt>
                <c:pt idx="246">
                  <c:v>60.492142972224627</c:v>
                </c:pt>
                <c:pt idx="247">
                  <c:v>60.345489081618538</c:v>
                </c:pt>
                <c:pt idx="248">
                  <c:v>60.198779909410462</c:v>
                </c:pt>
                <c:pt idx="249">
                  <c:v>60.048437383589246</c:v>
                </c:pt>
                <c:pt idx="250">
                  <c:v>59.898041350892612</c:v>
                </c:pt>
                <c:pt idx="251">
                  <c:v>59.747594020937171</c:v>
                </c:pt>
                <c:pt idx="252">
                  <c:v>59.597097558179797</c:v>
                </c:pt>
                <c:pt idx="253">
                  <c:v>59.443367485055333</c:v>
                </c:pt>
                <c:pt idx="254">
                  <c:v>59.289590600596952</c:v>
                </c:pt>
                <c:pt idx="255">
                  <c:v>59.135769071718443</c:v>
                </c:pt>
                <c:pt idx="256">
                  <c:v>58.981905021404685</c:v>
                </c:pt>
                <c:pt idx="257">
                  <c:v>58.824012847882841</c:v>
                </c:pt>
                <c:pt idx="258">
                  <c:v>58.666080311155852</c:v>
                </c:pt>
                <c:pt idx="259">
                  <c:v>58.508109567153952</c:v>
                </c:pt>
                <c:pt idx="260">
                  <c:v>58.350102728259913</c:v>
                </c:pt>
                <c:pt idx="261">
                  <c:v>58.188469647226427</c:v>
                </c:pt>
                <c:pt idx="262">
                  <c:v>58.026803146818864</c:v>
                </c:pt>
                <c:pt idx="263">
                  <c:v>57.865105353009028</c:v>
                </c:pt>
                <c:pt idx="264">
                  <c:v>57.703378349117941</c:v>
                </c:pt>
                <c:pt idx="265">
                  <c:v>57.538029346636236</c:v>
                </c:pt>
                <c:pt idx="266">
                  <c:v>57.372654092257008</c:v>
                </c:pt>
                <c:pt idx="267">
                  <c:v>57.207254680509124</c:v>
                </c:pt>
                <c:pt idx="268">
                  <c:v>57.041833164208626</c:v>
                </c:pt>
                <c:pt idx="269">
                  <c:v>56.872395149484348</c:v>
                </c:pt>
                <c:pt idx="270">
                  <c:v>56.702938178565915</c:v>
                </c:pt>
                <c:pt idx="271">
                  <c:v>56.533464327846119</c:v>
                </c:pt>
                <c:pt idx="272">
                  <c:v>56.363975632589913</c:v>
                </c:pt>
                <c:pt idx="273">
                  <c:v>56.190476271008265</c:v>
                </c:pt>
                <c:pt idx="274">
                  <c:v>56.016965544240307</c:v>
                </c:pt>
                <c:pt idx="275">
                  <c:v>55.843445508199906</c:v>
                </c:pt>
                <c:pt idx="276">
                  <c:v>55.669918178318696</c:v>
                </c:pt>
                <c:pt idx="277">
                  <c:v>55.49278688493294</c:v>
                </c:pt>
                <c:pt idx="278">
                  <c:v>55.315652111086962</c:v>
                </c:pt>
                <c:pt idx="279">
                  <c:v>55.138515876593587</c:v>
                </c:pt>
                <c:pt idx="280">
                  <c:v>54.96138016182941</c:v>
                </c:pt>
                <c:pt idx="281">
                  <c:v>54.779448769056089</c:v>
                </c:pt>
                <c:pt idx="282">
                  <c:v>54.597522036068781</c:v>
                </c:pt>
                <c:pt idx="283">
                  <c:v>54.415601985461848</c:v>
                </c:pt>
                <c:pt idx="284">
                  <c:v>54.233690600423159</c:v>
                </c:pt>
                <c:pt idx="285">
                  <c:v>54.048191908501423</c:v>
                </c:pt>
                <c:pt idx="286">
                  <c:v>53.862706273268344</c:v>
                </c:pt>
                <c:pt idx="287">
                  <c:v>53.677235677914567</c:v>
                </c:pt>
                <c:pt idx="288">
                  <c:v>53.49178206733302</c:v>
                </c:pt>
                <c:pt idx="289">
                  <c:v>53.301551891104026</c:v>
                </c:pt>
                <c:pt idx="290">
                  <c:v>53.111343616644305</c:v>
                </c:pt>
                <c:pt idx="291">
                  <c:v>52.921159224518632</c:v>
                </c:pt>
                <c:pt idx="292">
                  <c:v>52.731000657141209</c:v>
                </c:pt>
                <c:pt idx="293">
                  <c:v>52.536476382693706</c:v>
                </c:pt>
                <c:pt idx="294">
                  <c:v>52.341983135756365</c:v>
                </c:pt>
                <c:pt idx="295">
                  <c:v>52.147522878907424</c:v>
                </c:pt>
                <c:pt idx="296">
                  <c:v>51.953097537096397</c:v>
                </c:pt>
                <c:pt idx="297">
                  <c:v>51.754318731927157</c:v>
                </c:pt>
                <c:pt idx="298">
                  <c:v>51.555580391826481</c:v>
                </c:pt>
                <c:pt idx="299">
                  <c:v>51.356884459274966</c:v>
                </c:pt>
                <c:pt idx="300">
                  <c:v>51.158232839677311</c:v>
                </c:pt>
                <c:pt idx="301">
                  <c:v>50.95524107054456</c:v>
                </c:pt>
                <c:pt idx="302">
                  <c:v>50.752299504096129</c:v>
                </c:pt>
                <c:pt idx="303">
                  <c:v>50.549410060762852</c:v>
                </c:pt>
                <c:pt idx="304">
                  <c:v>50.346574624472538</c:v>
                </c:pt>
                <c:pt idx="305">
                  <c:v>50.138616744904965</c:v>
                </c:pt>
                <c:pt idx="306">
                  <c:v>49.930719565844015</c:v>
                </c:pt>
                <c:pt idx="307">
                  <c:v>49.722885005602393</c:v>
                </c:pt>
                <c:pt idx="308">
                  <c:v>49.515114946025136</c:v>
                </c:pt>
                <c:pt idx="309">
                  <c:v>49.303035062219152</c:v>
                </c:pt>
                <c:pt idx="310">
                  <c:v>49.091026279112327</c:v>
                </c:pt>
                <c:pt idx="311">
                  <c:v>48.879090488131936</c:v>
                </c:pt>
                <c:pt idx="312">
                  <c:v>48.66722954486039</c:v>
                </c:pt>
                <c:pt idx="313">
                  <c:v>48.45028077270814</c:v>
                </c:pt>
                <c:pt idx="314">
                  <c:v>48.233414374263617</c:v>
                </c:pt>
                <c:pt idx="315">
                  <c:v>48.016632232890288</c:v>
                </c:pt>
                <c:pt idx="316">
                  <c:v>47.799936196209615</c:v>
                </c:pt>
                <c:pt idx="317">
                  <c:v>47.578171827044827</c:v>
                </c:pt>
                <c:pt idx="318">
                  <c:v>47.356501519947869</c:v>
                </c:pt>
                <c:pt idx="319">
                  <c:v>47.134927146820473</c:v>
                </c:pt>
                <c:pt idx="320">
                  <c:v>46.91345054396146</c:v>
                </c:pt>
                <c:pt idx="321">
                  <c:v>46.686926408857602</c:v>
                </c:pt>
                <c:pt idx="322">
                  <c:v>46.460508423947971</c:v>
                </c:pt>
                <c:pt idx="323">
                  <c:v>46.234198446348586</c:v>
                </c:pt>
                <c:pt idx="324">
                  <c:v>46.007998297736577</c:v>
                </c:pt>
                <c:pt idx="325">
                  <c:v>45.776772700438215</c:v>
                </c:pt>
                <c:pt idx="326">
                  <c:v>45.545665725329457</c:v>
                </c:pt>
                <c:pt idx="327">
                  <c:v>45.314679211463385</c:v>
                </c:pt>
                <c:pt idx="328">
                  <c:v>45.083814962635927</c:v>
                </c:pt>
                <c:pt idx="329">
                  <c:v>44.84755429427176</c:v>
                </c:pt>
                <c:pt idx="330">
                  <c:v>44.611425530794747</c:v>
                </c:pt>
                <c:pt idx="331">
                  <c:v>44.375430498984741</c:v>
                </c:pt>
                <c:pt idx="332">
                  <c:v>44.139570990327485</c:v>
                </c:pt>
                <c:pt idx="333">
                  <c:v>43.898734455416843</c:v>
                </c:pt>
                <c:pt idx="334">
                  <c:v>43.658043061482175</c:v>
                </c:pt>
                <c:pt idx="335">
                  <c:v>43.417498610186101</c:v>
                </c:pt>
                <c:pt idx="336">
                  <c:v>43.177102868108193</c:v>
                </c:pt>
                <c:pt idx="337">
                  <c:v>42.930971105614645</c:v>
                </c:pt>
                <c:pt idx="338">
                  <c:v>42.684999075739881</c:v>
                </c:pt>
                <c:pt idx="339">
                  <c:v>42.439188568671852</c:v>
                </c:pt>
                <c:pt idx="340">
                  <c:v>42.193541339283001</c:v>
                </c:pt>
                <c:pt idx="341">
                  <c:v>41.942188362134715</c:v>
                </c:pt>
                <c:pt idx="342">
                  <c:v>41.691010182023234</c:v>
                </c:pt>
                <c:pt idx="343">
                  <c:v>41.440008572722689</c:v>
                </c:pt>
                <c:pt idx="344">
                  <c:v>41.189185272485133</c:v>
                </c:pt>
                <c:pt idx="345">
                  <c:v>40.93307826148552</c:v>
                </c:pt>
                <c:pt idx="346">
                  <c:v>40.677160980255394</c:v>
                </c:pt>
                <c:pt idx="347">
                  <c:v>40.421435173243481</c:v>
                </c:pt>
                <c:pt idx="348">
                  <c:v>40.165902549403711</c:v>
                </c:pt>
                <c:pt idx="349">
                  <c:v>39.904339480711712</c:v>
                </c:pt>
                <c:pt idx="350">
                  <c:v>39.642982653142496</c:v>
                </c:pt>
                <c:pt idx="351">
                  <c:v>39.381833792768646</c:v>
                </c:pt>
                <c:pt idx="352">
                  <c:v>39.120894589776668</c:v>
                </c:pt>
                <c:pt idx="353">
                  <c:v>38.853961481211542</c:v>
                </c:pt>
                <c:pt idx="354">
                  <c:v>38.587251605965946</c:v>
                </c:pt>
                <c:pt idx="355">
                  <c:v>38.320766665766172</c:v>
                </c:pt>
                <c:pt idx="356">
                  <c:v>38.054508326085084</c:v>
                </c:pt>
                <c:pt idx="357">
                  <c:v>37.782680696089443</c:v>
                </c:pt>
                <c:pt idx="358">
                  <c:v>37.511093058241755</c:v>
                </c:pt>
                <c:pt idx="359">
                  <c:v>37.239747076796192</c:v>
                </c:pt>
                <c:pt idx="360">
                  <c:v>36.968644379612016</c:v>
                </c:pt>
                <c:pt idx="361">
                  <c:v>36.691239699749161</c:v>
                </c:pt>
                <c:pt idx="362">
                  <c:v>36.414093555155375</c:v>
                </c:pt>
                <c:pt idx="363">
                  <c:v>36.137207580667223</c:v>
                </c:pt>
                <c:pt idx="364">
                  <c:v>35.860583374188565</c:v>
                </c:pt>
                <c:pt idx="365">
                  <c:v>35.578084147258664</c:v>
                </c:pt>
                <c:pt idx="366">
                  <c:v>35.295861713299047</c:v>
                </c:pt>
                <c:pt idx="367">
                  <c:v>35.013917664137722</c:v>
                </c:pt>
                <c:pt idx="368">
                  <c:v>34.732253554357953</c:v>
                </c:pt>
                <c:pt idx="369">
                  <c:v>34.443992799579547</c:v>
                </c:pt>
                <c:pt idx="370">
                  <c:v>34.156029030590474</c:v>
                </c:pt>
                <c:pt idx="371">
                  <c:v>33.868363801922271</c:v>
                </c:pt>
                <c:pt idx="372">
                  <c:v>33.580998630170598</c:v>
                </c:pt>
                <c:pt idx="373">
                  <c:v>33.287466224895496</c:v>
                </c:pt>
                <c:pt idx="374">
                  <c:v>32.994250648455164</c:v>
                </c:pt>
                <c:pt idx="375">
                  <c:v>32.701353403973798</c:v>
                </c:pt>
                <c:pt idx="376">
                  <c:v>32.408775956181103</c:v>
                </c:pt>
                <c:pt idx="377">
                  <c:v>32.10932163584792</c:v>
                </c:pt>
                <c:pt idx="378">
                  <c:v>31.81020606115473</c:v>
                </c:pt>
                <c:pt idx="379">
                  <c:v>31.511430687066934</c:v>
                </c:pt>
                <c:pt idx="380">
                  <c:v>31.212996929332121</c:v>
                </c:pt>
                <c:pt idx="381">
                  <c:v>30.908495333673329</c:v>
                </c:pt>
                <c:pt idx="382">
                  <c:v>30.604353079479466</c:v>
                </c:pt>
                <c:pt idx="383">
                  <c:v>30.300571553805668</c:v>
                </c:pt>
                <c:pt idx="384">
                  <c:v>29.997152104101019</c:v>
                </c:pt>
                <c:pt idx="385">
                  <c:v>29.686589981257754</c:v>
                </c:pt>
                <c:pt idx="386">
                  <c:v>29.376410844335766</c:v>
                </c:pt>
                <c:pt idx="387">
                  <c:v>29.066616018758481</c:v>
                </c:pt>
                <c:pt idx="388">
                  <c:v>28.757206789409963</c:v>
                </c:pt>
                <c:pt idx="389">
                  <c:v>28.441089288944113</c:v>
                </c:pt>
                <c:pt idx="390">
                  <c:v>28.125377899474074</c:v>
                </c:pt>
                <c:pt idx="391">
                  <c:v>27.810073869601467</c:v>
                </c:pt>
                <c:pt idx="392">
                  <c:v>27.495178406705435</c:v>
                </c:pt>
                <c:pt idx="393">
                  <c:v>27.173634472595268</c:v>
                </c:pt>
                <c:pt idx="394">
                  <c:v>26.85252008737524</c:v>
                </c:pt>
                <c:pt idx="395">
                  <c:v>26.531836412790739</c:v>
                </c:pt>
                <c:pt idx="396">
                  <c:v>26.211584568742467</c:v>
                </c:pt>
                <c:pt idx="397">
                  <c:v>25.884006635067465</c:v>
                </c:pt>
                <c:pt idx="398">
                  <c:v>25.556884001052822</c:v>
                </c:pt>
                <c:pt idx="399">
                  <c:v>25.23021773856442</c:v>
                </c:pt>
                <c:pt idx="400">
                  <c:v>24.90400887668298</c:v>
                </c:pt>
                <c:pt idx="401">
                  <c:v>24.570910416544876</c:v>
                </c:pt>
                <c:pt idx="402">
                  <c:v>24.238292283060758</c:v>
                </c:pt>
                <c:pt idx="403">
                  <c:v>23.906155442824542</c:v>
                </c:pt>
                <c:pt idx="404">
                  <c:v>23.574500818980908</c:v>
                </c:pt>
                <c:pt idx="405">
                  <c:v>23.235658866165295</c:v>
                </c:pt>
                <c:pt idx="406">
                  <c:v>22.897323562606431</c:v>
                </c:pt>
                <c:pt idx="407">
                  <c:v>22.55949576103643</c:v>
                </c:pt>
                <c:pt idx="408">
                  <c:v>22.222176269971271</c:v>
                </c:pt>
                <c:pt idx="409">
                  <c:v>21.877378701512413</c:v>
                </c:pt>
                <c:pt idx="410">
                  <c:v>21.533115433113409</c:v>
                </c:pt>
                <c:pt idx="411">
                  <c:v>21.18938719350021</c:v>
                </c:pt>
                <c:pt idx="412">
                  <c:v>20.846194666332366</c:v>
                </c:pt>
                <c:pt idx="413">
                  <c:v>20.495601299670824</c:v>
                </c:pt>
                <c:pt idx="414">
                  <c:v>20.145570078601509</c:v>
                </c:pt>
                <c:pt idx="415">
                  <c:v>19.796101594358305</c:v>
                </c:pt>
                <c:pt idx="416">
                  <c:v>19.447196392376128</c:v>
                </c:pt>
                <c:pt idx="417">
                  <c:v>19.09061067669748</c:v>
                </c:pt>
                <c:pt idx="418">
                  <c:v>18.734616257530035</c:v>
                </c:pt>
                <c:pt idx="419">
                  <c:v>18.379213576439753</c:v>
                </c:pt>
                <c:pt idx="420">
                  <c:v>18.024403028406596</c:v>
                </c:pt>
                <c:pt idx="421">
                  <c:v>17.662351830416895</c:v>
                </c:pt>
                <c:pt idx="422">
                  <c:v>17.300919956015406</c:v>
                </c:pt>
                <c:pt idx="423">
                  <c:v>16.940107681834377</c:v>
                </c:pt>
                <c:pt idx="424">
                  <c:v>16.579915237462927</c:v>
                </c:pt>
                <c:pt idx="425">
                  <c:v>16.211502876620216</c:v>
                </c:pt>
                <c:pt idx="426">
                  <c:v>15.843741564816185</c:v>
                </c:pt>
                <c:pt idx="427">
                  <c:v>15.476631401290859</c:v>
                </c:pt>
                <c:pt idx="428">
                  <c:v>15.110172437393828</c:v>
                </c:pt>
                <c:pt idx="429">
                  <c:v>14.735938748736231</c:v>
                </c:pt>
                <c:pt idx="430">
                  <c:v>14.362386591662812</c:v>
                </c:pt>
                <c:pt idx="431">
                  <c:v>13.989515871703503</c:v>
                </c:pt>
                <c:pt idx="432">
                  <c:v>13.617326446015795</c:v>
                </c:pt>
                <c:pt idx="433">
                  <c:v>13.237453951459827</c:v>
                </c:pt>
                <c:pt idx="434">
                  <c:v>12.858293350734357</c:v>
                </c:pt>
                <c:pt idx="435">
                  <c:v>12.479844340579234</c:v>
                </c:pt>
                <c:pt idx="436">
                  <c:v>12.102106569074436</c:v>
                </c:pt>
                <c:pt idx="437">
                  <c:v>11.716086760056299</c:v>
                </c:pt>
                <c:pt idx="438">
                  <c:v>11.330811658313195</c:v>
                </c:pt>
                <c:pt idx="439">
                  <c:v>10.946280734139947</c:v>
                </c:pt>
                <c:pt idx="440">
                  <c:v>10.56249340873353</c:v>
                </c:pt>
                <c:pt idx="441">
                  <c:v>10.170525938409639</c:v>
                </c:pt>
                <c:pt idx="442">
                  <c:v>9.7793357709383031</c:v>
                </c:pt>
                <c:pt idx="443">
                  <c:v>9.3889221332291584</c:v>
                </c:pt>
                <c:pt idx="444">
                  <c:v>8.9992842028918858</c:v>
                </c:pt>
                <c:pt idx="445">
                  <c:v>8.6015690969269372</c:v>
                </c:pt>
                <c:pt idx="446">
                  <c:v>8.204663559858659</c:v>
                </c:pt>
                <c:pt idx="447">
                  <c:v>7.808566558799356</c:v>
                </c:pt>
                <c:pt idx="448">
                  <c:v>7.4132770116016218</c:v>
                </c:pt>
                <c:pt idx="449">
                  <c:v>7.0093387904175586</c:v>
                </c:pt>
                <c:pt idx="450">
                  <c:v>6.606244784575523</c:v>
                </c:pt>
                <c:pt idx="451">
                  <c:v>6.2039936788937098</c:v>
                </c:pt>
                <c:pt idx="452">
                  <c:v>5.8025841088939671</c:v>
                </c:pt>
                <c:pt idx="453">
                  <c:v>5.3929738329933912</c:v>
                </c:pt>
                <c:pt idx="454">
                  <c:v>4.9842405112580934</c:v>
                </c:pt>
                <c:pt idx="455">
                  <c:v>4.5763825322444802</c:v>
                </c:pt>
                <c:pt idx="456">
                  <c:v>4.169398235619866</c:v>
                </c:pt>
                <c:pt idx="457">
                  <c:v>3.7536588011540459</c:v>
                </c:pt>
                <c:pt idx="458">
                  <c:v>3.3388313356154526</c:v>
                </c:pt>
                <c:pt idx="459">
                  <c:v>2.9249139062128506</c:v>
                </c:pt>
                <c:pt idx="460">
                  <c:v>2.5119045316404538</c:v>
                </c:pt>
                <c:pt idx="461">
                  <c:v>2.0902587566032196</c:v>
                </c:pt>
                <c:pt idx="462">
                  <c:v>1.6695592776838168</c:v>
                </c:pt>
                <c:pt idx="463">
                  <c:v>1.2498038229013559</c:v>
                </c:pt>
                <c:pt idx="464">
                  <c:v>0.83099007243947653</c:v>
                </c:pt>
                <c:pt idx="465">
                  <c:v>0.4033329748247354</c:v>
                </c:pt>
                <c:pt idx="466">
                  <c:v>-2.3342823380460231E-2</c:v>
                </c:pt>
                <c:pt idx="467">
                  <c:v>-0.44903995631861449</c:v>
                </c:pt>
                <c:pt idx="468">
                  <c:v>-0.873761105124089</c:v>
                </c:pt>
                <c:pt idx="469">
                  <c:v>-1.3072017692195743</c:v>
                </c:pt>
                <c:pt idx="470">
                  <c:v>-1.7396270555977935</c:v>
                </c:pt>
                <c:pt idx="471">
                  <c:v>-2.1710399779751697</c:v>
                </c:pt>
                <c:pt idx="472">
                  <c:v>-2.6014435958937554</c:v>
                </c:pt>
                <c:pt idx="473">
                  <c:v>-3.0410830046970148</c:v>
                </c:pt>
                <c:pt idx="474">
                  <c:v>-3.4796709607397815</c:v>
                </c:pt>
                <c:pt idx="475">
                  <c:v>-3.9172108886744184</c:v>
                </c:pt>
                <c:pt idx="476">
                  <c:v>-4.3537062577596828</c:v>
                </c:pt>
                <c:pt idx="477">
                  <c:v>-4.7993045544188249</c:v>
                </c:pt>
                <c:pt idx="478">
                  <c:v>-5.243816486093408</c:v>
                </c:pt>
                <c:pt idx="479">
                  <c:v>-5.6872459067090233</c:v>
                </c:pt>
                <c:pt idx="480">
                  <c:v>-6.1295967132403462</c:v>
                </c:pt>
                <c:pt idx="481">
                  <c:v>-6.5809179249981753</c:v>
                </c:pt>
                <c:pt idx="482">
                  <c:v>-7.0311191728462461</c:v>
                </c:pt>
                <c:pt idx="483">
                  <c:v>-7.4802047571048718</c:v>
                </c:pt>
                <c:pt idx="484">
                  <c:v>-7.9281790192602841</c:v>
                </c:pt>
                <c:pt idx="485">
                  <c:v>-8.3853025992975176</c:v>
                </c:pt>
                <c:pt idx="486">
                  <c:v>-8.8412725097777525</c:v>
                </c:pt>
                <c:pt idx="487">
                  <c:v>-9.2960935230807138</c:v>
                </c:pt>
                <c:pt idx="488">
                  <c:v>-9.7497704506689047</c:v>
                </c:pt>
                <c:pt idx="489">
                  <c:v>-10.213076328524465</c:v>
                </c:pt>
                <c:pt idx="490">
                  <c:v>-10.675193280398076</c:v>
                </c:pt>
                <c:pt idx="491">
                  <c:v>-11.136126588097852</c:v>
                </c:pt>
                <c:pt idx="492">
                  <c:v>-11.595881570325929</c:v>
                </c:pt>
                <c:pt idx="493">
                  <c:v>-12.065121447391533</c:v>
                </c:pt>
                <c:pt idx="494">
                  <c:v>-12.533138898651544</c:v>
                </c:pt>
                <c:pt idx="495">
                  <c:v>-12.99993973362362</c:v>
                </c:pt>
                <c:pt idx="496">
                  <c:v>-13.465529796217197</c:v>
                </c:pt>
                <c:pt idx="497">
                  <c:v>-13.940763399886265</c:v>
                </c:pt>
                <c:pt idx="498">
                  <c:v>-14.414741412768365</c:v>
                </c:pt>
                <c:pt idx="499">
                  <c:v>-14.887470201263739</c:v>
                </c:pt>
                <c:pt idx="500">
                  <c:v>-15.358956163462267</c:v>
                </c:pt>
                <c:pt idx="501">
                  <c:v>-15.840238048721659</c:v>
                </c:pt>
                <c:pt idx="502">
                  <c:v>-16.320231686245819</c:v>
                </c:pt>
                <c:pt idx="503">
                  <c:v>-16.798944029761401</c:v>
                </c:pt>
                <c:pt idx="504">
                  <c:v>-17.276382061795005</c:v>
                </c:pt>
                <c:pt idx="505">
                  <c:v>-17.763467447075158</c:v>
                </c:pt>
                <c:pt idx="506">
                  <c:v>-18.249234218877319</c:v>
                </c:pt>
                <c:pt idx="507">
                  <c:v>-18.733689936278495</c:v>
                </c:pt>
                <c:pt idx="508">
                  <c:v>-19.216842184030128</c:v>
                </c:pt>
                <c:pt idx="509">
                  <c:v>-19.709787384995394</c:v>
                </c:pt>
                <c:pt idx="510">
                  <c:v>-20.201384485221467</c:v>
                </c:pt>
                <c:pt idx="511">
                  <c:v>-20.691641680713275</c:v>
                </c:pt>
                <c:pt idx="512">
                  <c:v>-21.180567189896522</c:v>
                </c:pt>
                <c:pt idx="513">
                  <c:v>-21.679714658331562</c:v>
                </c:pt>
                <c:pt idx="514">
                  <c:v>-22.177484037412398</c:v>
                </c:pt>
                <c:pt idx="515">
                  <c:v>-22.673884208717311</c:v>
                </c:pt>
                <c:pt idx="516">
                  <c:v>-23.168924072931731</c:v>
                </c:pt>
                <c:pt idx="517">
                  <c:v>-23.674031198558737</c:v>
                </c:pt>
                <c:pt idx="518">
                  <c:v>-24.177733180921081</c:v>
                </c:pt>
                <c:pt idx="519">
                  <c:v>-24.680039607644716</c:v>
                </c:pt>
                <c:pt idx="520">
                  <c:v>-25.180960082032698</c:v>
                </c:pt>
                <c:pt idx="521">
                  <c:v>-25.692078967991336</c:v>
                </c:pt>
                <c:pt idx="522">
                  <c:v>-26.201767225171636</c:v>
                </c:pt>
                <c:pt idx="523">
                  <c:v>-26.710035184334998</c:v>
                </c:pt>
                <c:pt idx="524">
                  <c:v>-27.216893188467651</c:v>
                </c:pt>
                <c:pt idx="525">
                  <c:v>-27.734076884092758</c:v>
                </c:pt>
                <c:pt idx="526">
                  <c:v>-28.249806301291244</c:v>
                </c:pt>
                <c:pt idx="527">
                  <c:v>-28.764092553396154</c:v>
                </c:pt>
                <c:pt idx="528">
                  <c:v>-29.276946762548619</c:v>
                </c:pt>
                <c:pt idx="529">
                  <c:v>-29.800250619352653</c:v>
                </c:pt>
                <c:pt idx="530">
                  <c:v>-30.322078673844914</c:v>
                </c:pt>
                <c:pt idx="531">
                  <c:v>-30.84244286406232</c:v>
                </c:pt>
                <c:pt idx="532">
                  <c:v>-31.361355133532186</c:v>
                </c:pt>
                <c:pt idx="533">
                  <c:v>-31.891111249427439</c:v>
                </c:pt>
                <c:pt idx="534">
                  <c:v>-32.419370942156803</c:v>
                </c:pt>
                <c:pt idx="535">
                  <c:v>-32.946147039551335</c:v>
                </c:pt>
                <c:pt idx="536">
                  <c:v>-33.471452371787734</c:v>
                </c:pt>
                <c:pt idx="537">
                  <c:v>-34.007176281163481</c:v>
                </c:pt>
                <c:pt idx="538">
                  <c:v>-34.541389030904298</c:v>
                </c:pt>
                <c:pt idx="539">
                  <c:v>-35.074104347765171</c:v>
                </c:pt>
                <c:pt idx="540">
                  <c:v>-35.605335957949507</c:v>
                </c:pt>
                <c:pt idx="541">
                  <c:v>-36.147642316799249</c:v>
                </c:pt>
                <c:pt idx="542">
                  <c:v>-36.688422873588877</c:v>
                </c:pt>
                <c:pt idx="543">
                  <c:v>-37.227692348574635</c:v>
                </c:pt>
                <c:pt idx="544">
                  <c:v>-37.765465458918044</c:v>
                </c:pt>
                <c:pt idx="545">
                  <c:v>-38.314162197540981</c:v>
                </c:pt>
                <c:pt idx="546">
                  <c:v>-38.861323603373563</c:v>
                </c:pt>
                <c:pt idx="547">
                  <c:v>-39.406965427195729</c:v>
                </c:pt>
                <c:pt idx="548">
                  <c:v>-39.951103414618728</c:v>
                </c:pt>
                <c:pt idx="549">
                  <c:v>-40.506282648397189</c:v>
                </c:pt>
                <c:pt idx="550">
                  <c:v>-41.059921027832672</c:v>
                </c:pt>
                <c:pt idx="551">
                  <c:v>-41.612035397611834</c:v>
                </c:pt>
                <c:pt idx="552">
                  <c:v>-42.162642595771615</c:v>
                </c:pt>
                <c:pt idx="553">
                  <c:v>-42.724668115419519</c:v>
                </c:pt>
                <c:pt idx="554">
                  <c:v>-43.285150342891995</c:v>
                </c:pt>
                <c:pt idx="555">
                  <c:v>-43.844107311475511</c:v>
                </c:pt>
                <c:pt idx="556">
                  <c:v>-44.401557047051483</c:v>
                </c:pt>
                <c:pt idx="557">
                  <c:v>-45.537986654024536</c:v>
                </c:pt>
                <c:pt idx="558">
                  <c:v>-46.668331074530812</c:v>
                </c:pt>
                <c:pt idx="559">
                  <c:v>-47.818449399374884</c:v>
                </c:pt>
                <c:pt idx="560">
                  <c:v>-48.96252693272703</c:v>
                </c:pt>
                <c:pt idx="561">
                  <c:v>-50.127663429537733</c:v>
                </c:pt>
                <c:pt idx="562">
                  <c:v>-51.286818904336542</c:v>
                </c:pt>
                <c:pt idx="563">
                  <c:v>-52.464857941906502</c:v>
                </c:pt>
                <c:pt idx="564">
                  <c:v>-53.63702951146405</c:v>
                </c:pt>
                <c:pt idx="565">
                  <c:v>-54.832857724004583</c:v>
                </c:pt>
                <c:pt idx="566">
                  <c:v>-56.022920154306917</c:v>
                </c:pt>
                <c:pt idx="567">
                  <c:v>-57.236478760127852</c:v>
                </c:pt>
                <c:pt idx="568">
                  <c:v>-58.444416701383886</c:v>
                </c:pt>
                <c:pt idx="569">
                  <c:v>-59.670950138202983</c:v>
                </c:pt>
                <c:pt idx="570">
                  <c:v>-60.892096460929508</c:v>
                </c:pt>
                <c:pt idx="571">
                  <c:v>-62.141398540571515</c:v>
                </c:pt>
                <c:pt idx="572">
                  <c:v>-63.38551320547694</c:v>
                </c:pt>
                <c:pt idx="573">
                  <c:v>-64.648296658523549</c:v>
                </c:pt>
                <c:pt idx="574">
                  <c:v>-65.906226207116902</c:v>
                </c:pt>
                <c:pt idx="575">
                  <c:v>-67.192372371982771</c:v>
                </c:pt>
                <c:pt idx="576">
                  <c:v>-68.473984958453769</c:v>
                </c:pt>
                <c:pt idx="577">
                  <c:v>-73.856370917088668</c:v>
                </c:pt>
                <c:pt idx="578">
                  <c:v>-79.185461034587092</c:v>
                </c:pt>
                <c:pt idx="579">
                  <c:v>-90.791683384284681</c:v>
                </c:pt>
                <c:pt idx="580">
                  <c:v>-103.6717091697829</c:v>
                </c:pt>
                <c:pt idx="581">
                  <c:v>-118.3795112482025</c:v>
                </c:pt>
                <c:pt idx="582">
                  <c:v>-135.76746857920631</c:v>
                </c:pt>
                <c:pt idx="583">
                  <c:v>-156.78807023210828</c:v>
                </c:pt>
                <c:pt idx="584">
                  <c:v>-181.69027389282564</c:v>
                </c:pt>
                <c:pt idx="585">
                  <c:v>-28.514769420025601</c:v>
                </c:pt>
                <c:pt idx="586">
                  <c:v>-53.858298333973323</c:v>
                </c:pt>
                <c:pt idx="587">
                  <c:v>-76.069487119930727</c:v>
                </c:pt>
                <c:pt idx="588">
                  <c:v>-95.97465472094234</c:v>
                </c:pt>
                <c:pt idx="589">
                  <c:v>-115.84176836529099</c:v>
                </c:pt>
                <c:pt idx="590">
                  <c:v>-139.37922051696654</c:v>
                </c:pt>
                <c:pt idx="591">
                  <c:v>-172.97330796732615</c:v>
                </c:pt>
                <c:pt idx="592">
                  <c:v>-38.670147233394459</c:v>
                </c:pt>
                <c:pt idx="593">
                  <c:v>-79.202675316993975</c:v>
                </c:pt>
                <c:pt idx="594">
                  <c:v>-110.10703890247487</c:v>
                </c:pt>
                <c:pt idx="595">
                  <c:v>-143.98164690375432</c:v>
                </c:pt>
                <c:pt idx="596">
                  <c:v>-20.716496879550391</c:v>
                </c:pt>
                <c:pt idx="597">
                  <c:v>-81.089461185898756</c:v>
                </c:pt>
                <c:pt idx="598">
                  <c:v>-123.54148974879428</c:v>
                </c:pt>
                <c:pt idx="599">
                  <c:v>-187.76147508965335</c:v>
                </c:pt>
                <c:pt idx="600">
                  <c:v>-86.105900234137778</c:v>
                </c:pt>
              </c:numCache>
            </c:numRef>
          </c:yVal>
          <c:smooth val="0"/>
          <c:extLst>
            <c:ext xmlns:c16="http://schemas.microsoft.com/office/drawing/2014/chart" uri="{C3380CC4-5D6E-409C-BE32-E72D297353CC}">
              <c16:uniqueId val="{00000001-09BC-4E96-93F9-6DC345568360}"/>
            </c:ext>
          </c:extLst>
        </c:ser>
        <c:ser>
          <c:idx val="2"/>
          <c:order val="2"/>
          <c:tx>
            <c:v>PM (Deg) =</c:v>
          </c:tx>
          <c:marker>
            <c:symbol val="circle"/>
            <c:size val="5"/>
            <c:spPr>
              <a:solidFill>
                <a:schemeClr val="bg1"/>
              </a:solidFill>
              <a:ln>
                <a:solidFill>
                  <a:srgbClr val="FF0000"/>
                </a:solidFill>
              </a:ln>
            </c:spPr>
          </c:marker>
          <c:dLbls>
            <c:dLbl>
              <c:idx val="0"/>
              <c:layout>
                <c:manualLayout>
                  <c:x val="3.2895277882859918E-2"/>
                  <c:y val="-5.3973971795837287E-2"/>
                </c:manualLayout>
              </c:layout>
              <c:spPr>
                <a:noFill/>
                <a:ln>
                  <a:noFill/>
                </a:ln>
                <a:effectLst/>
              </c:spPr>
              <c:txPr>
                <a:bodyPr wrap="square" lIns="38100" tIns="19050" rIns="38100" bIns="19050" anchor="ctr" anchorCtr="0">
                  <a:noAutofit/>
                </a:bodyPr>
                <a:lstStyle/>
                <a:p>
                  <a:pPr algn="l">
                    <a:defRPr sz="1000" b="1">
                      <a:solidFill>
                        <a:srgbClr val="33CC33"/>
                      </a:solidFill>
                    </a:defRPr>
                  </a:pPr>
                  <a:endParaRPr lang="en-US"/>
                </a:p>
              </c:txPr>
              <c:dLblPos val="r"/>
              <c:showLegendKey val="0"/>
              <c:showVal val="1"/>
              <c:showCatName val="0"/>
              <c:showSerName val="1"/>
              <c:showPercent val="0"/>
              <c:showBubbleSize val="0"/>
              <c:separator> </c:separator>
              <c:extLst>
                <c:ext xmlns:c15="http://schemas.microsoft.com/office/drawing/2012/chart" uri="{CE6537A1-D6FC-4f65-9D91-7224C49458BB}">
                  <c15:layout>
                    <c:manualLayout>
                      <c:w val="0.23551374200233557"/>
                      <c:h val="7.5563560514172207E-2"/>
                    </c:manualLayout>
                  </c15:layout>
                </c:ext>
                <c:ext xmlns:c16="http://schemas.microsoft.com/office/drawing/2014/chart" uri="{C3380CC4-5D6E-409C-BE32-E72D297353CC}">
                  <c16:uniqueId val="{00000006-09BC-4E96-93F9-6DC345568360}"/>
                </c:ext>
              </c:extLst>
            </c:dLbl>
            <c:spPr>
              <a:noFill/>
              <a:ln>
                <a:noFill/>
              </a:ln>
              <a:effectLst/>
            </c:spPr>
            <c:txPr>
              <a:bodyPr wrap="square" lIns="38100" tIns="19050" rIns="38100" bIns="19050" anchor="ctr" anchorCtr="0">
                <a:spAutoFit/>
              </a:bodyPr>
              <a:lstStyle/>
              <a:p>
                <a:pPr algn="l">
                  <a:defRPr sz="1000" b="0">
                    <a:solidFill>
                      <a:srgbClr val="33CC33"/>
                    </a:solidFill>
                  </a:defRPr>
                </a:pPr>
                <a:endParaRPr lang="en-US"/>
              </a:p>
            </c:txPr>
            <c:dLblPos val="r"/>
            <c:showLegendKey val="0"/>
            <c:showVal val="1"/>
            <c:showCatName val="1"/>
            <c:showSerName val="0"/>
            <c:showPercent val="0"/>
            <c:showBubbleSize val="0"/>
            <c:separator>  (space) "deg"</c:separator>
            <c:showLeaderLines val="0"/>
            <c:extLst>
              <c:ext xmlns:c15="http://schemas.microsoft.com/office/drawing/2012/chart" uri="{CE6537A1-D6FC-4f65-9D91-7224C49458BB}">
                <c15:showLeaderLines val="1"/>
              </c:ext>
            </c:extLst>
          </c:dLbls>
          <c:xVal>
            <c:numRef>
              <c:f>'Stability Calculations'!$AL$7</c:f>
              <c:numCache>
                <c:formatCode>0</c:formatCode>
                <c:ptCount val="1"/>
                <c:pt idx="0">
                  <c:v>1318.3</c:v>
                </c:pt>
              </c:numCache>
            </c:numRef>
          </c:xVal>
          <c:yVal>
            <c:numRef>
              <c:f>'Stability Calculations'!$AL$9</c:f>
              <c:numCache>
                <c:formatCode>0.0</c:formatCode>
                <c:ptCount val="1"/>
                <c:pt idx="0">
                  <c:v>68.386152138412399</c:v>
                </c:pt>
              </c:numCache>
            </c:numRef>
          </c:yVal>
          <c:smooth val="0"/>
          <c:extLst>
            <c:ext xmlns:c16="http://schemas.microsoft.com/office/drawing/2014/chart" uri="{C3380CC4-5D6E-409C-BE32-E72D297353CC}">
              <c16:uniqueId val="{00000004-09BC-4E96-93F9-6DC345568360}"/>
            </c:ext>
          </c:extLst>
        </c:ser>
        <c:ser>
          <c:idx val="3"/>
          <c:order val="3"/>
          <c:tx>
            <c:v>Fco (Hz)=</c:v>
          </c:tx>
          <c:marker>
            <c:symbol val="none"/>
          </c:marker>
          <c:dPt>
            <c:idx val="0"/>
            <c:marker>
              <c:symbol val="circle"/>
              <c:size val="5"/>
              <c:spPr>
                <a:solidFill>
                  <a:schemeClr val="bg1"/>
                </a:solidFill>
                <a:ln>
                  <a:solidFill>
                    <a:schemeClr val="tx1"/>
                  </a:solidFill>
                </a:ln>
              </c:spPr>
            </c:marker>
            <c:bubble3D val="0"/>
            <c:extLst>
              <c:ext xmlns:c16="http://schemas.microsoft.com/office/drawing/2014/chart" uri="{C3380CC4-5D6E-409C-BE32-E72D297353CC}">
                <c16:uniqueId val="{00000008-09BC-4E96-93F9-6DC345568360}"/>
              </c:ext>
            </c:extLst>
          </c:dPt>
          <c:dLbls>
            <c:dLbl>
              <c:idx val="0"/>
              <c:layout>
                <c:manualLayout>
                  <c:x val="3.6176644338231929E-2"/>
                  <c:y val="-5.1275211005060661E-2"/>
                </c:manualLayout>
              </c:layout>
              <c:dLblPos val="r"/>
              <c:showLegendKey val="0"/>
              <c:showVal val="0"/>
              <c:showCatName val="1"/>
              <c:showSerName val="1"/>
              <c:showPercent val="0"/>
              <c:showBubbleSize val="0"/>
              <c:separator> </c:separator>
              <c:extLst>
                <c:ext xmlns:c15="http://schemas.microsoft.com/office/drawing/2012/chart" uri="{CE6537A1-D6FC-4f65-9D91-7224C49458BB}">
                  <c15:layout>
                    <c:manualLayout>
                      <c:w val="0.24163848119031853"/>
                      <c:h val="7.3223374089614143E-2"/>
                    </c:manualLayout>
                  </c15:layout>
                </c:ext>
                <c:ext xmlns:c16="http://schemas.microsoft.com/office/drawing/2014/chart" uri="{C3380CC4-5D6E-409C-BE32-E72D297353CC}">
                  <c16:uniqueId val="{00000008-09BC-4E96-93F9-6DC345568360}"/>
                </c:ext>
              </c:extLst>
            </c:dLbl>
            <c:spPr>
              <a:noFill/>
              <a:ln>
                <a:noFill/>
              </a:ln>
              <a:effectLst/>
            </c:spPr>
            <c:txPr>
              <a:bodyPr wrap="square" lIns="38100" tIns="19050" rIns="38100" bIns="19050" anchor="ctr" anchorCtr="0">
                <a:spAutoFit/>
              </a:bodyPr>
              <a:lstStyle/>
              <a:p>
                <a:pPr algn="l">
                  <a:defRPr sz="1000" b="1">
                    <a:solidFill>
                      <a:srgbClr val="33CC33"/>
                    </a:solidFill>
                  </a:defRPr>
                </a:pPr>
                <a:endParaRPr lang="en-US"/>
              </a:p>
            </c:txPr>
            <c:dLblPos val="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xVal>
            <c:numRef>
              <c:f>'Stability Calculations'!$AL$7</c:f>
              <c:numCache>
                <c:formatCode>0</c:formatCode>
                <c:ptCount val="1"/>
                <c:pt idx="0">
                  <c:v>1318.3</c:v>
                </c:pt>
              </c:numCache>
            </c:numRef>
          </c:xVal>
          <c:yVal>
            <c:numRef>
              <c:f>'Stability Calculations'!$AL$8</c:f>
              <c:numCache>
                <c:formatCode>General</c:formatCode>
                <c:ptCount val="1"/>
                <c:pt idx="0">
                  <c:v>0</c:v>
                </c:pt>
              </c:numCache>
            </c:numRef>
          </c:yVal>
          <c:smooth val="0"/>
          <c:extLst>
            <c:ext xmlns:c16="http://schemas.microsoft.com/office/drawing/2014/chart" uri="{C3380CC4-5D6E-409C-BE32-E72D297353CC}">
              <c16:uniqueId val="{00000007-09BC-4E96-93F9-6DC345568360}"/>
            </c:ext>
          </c:extLst>
        </c:ser>
        <c:dLbls>
          <c:dLblPos val="r"/>
          <c:showLegendKey val="0"/>
          <c:showVal val="1"/>
          <c:showCatName val="1"/>
          <c:showSerName val="0"/>
          <c:showPercent val="0"/>
          <c:showBubbleSize val="0"/>
        </c:dLbls>
        <c:axId val="446584704"/>
        <c:axId val="446586240"/>
      </c:scatterChart>
      <c:valAx>
        <c:axId val="446572416"/>
        <c:scaling>
          <c:logBase val="10"/>
          <c:orientation val="minMax"/>
          <c:max val="1000000"/>
          <c:min val="100"/>
        </c:scaling>
        <c:delete val="0"/>
        <c:axPos val="b"/>
        <c:majorGridlines>
          <c:spPr>
            <a:ln w="3175">
              <a:solidFill>
                <a:srgbClr val="000000"/>
              </a:solidFill>
              <a:prstDash val="solid"/>
            </a:ln>
          </c:spPr>
        </c:majorGridlines>
        <c:title>
          <c:tx>
            <c:rich>
              <a:bodyPr/>
              <a:lstStyle/>
              <a:p>
                <a:pPr>
                  <a:defRPr sz="1000" b="1"/>
                </a:pPr>
                <a:r>
                  <a:rPr lang="en-US" sz="1000" b="1"/>
                  <a:t>Frequency (Hz)</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sz="1000" b="1">
                    <a:solidFill>
                      <a:srgbClr val="FF0000"/>
                    </a:solidFill>
                  </a:defRPr>
                </a:pPr>
                <a:r>
                  <a:rPr lang="en-US" sz="1000" b="1">
                    <a:solidFill>
                      <a:srgbClr val="FF0000"/>
                    </a:solidFill>
                  </a:rPr>
                  <a:t>Gain (dB)</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000" b="1" i="0" u="none" strike="noStrike" baseline="0">
                    <a:solidFill>
                      <a:srgbClr val="0000FF"/>
                    </a:solidFill>
                    <a:latin typeface="Arial"/>
                    <a:ea typeface="Arial"/>
                    <a:cs typeface="Arial"/>
                  </a:defRPr>
                </a:pPr>
                <a:r>
                  <a:rPr lang="en-US" sz="1000"/>
                  <a:t>Phase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347.14788855013677</c:v>
                </c:pt>
                <c:pt idx="27">
                  <c:v>335.1003438852216</c:v>
                </c:pt>
                <c:pt idx="28">
                  <c:v>323.86334662373991</c:v>
                </c:pt>
                <c:pt idx="29">
                  <c:v>313.29961134764125</c:v>
                </c:pt>
                <c:pt idx="30">
                  <c:v>303.43859780800199</c:v>
                </c:pt>
                <c:pt idx="31">
                  <c:v>294.1761303112994</c:v>
                </c:pt>
                <c:pt idx="32">
                  <c:v>285.45931792670194</c:v>
                </c:pt>
                <c:pt idx="33">
                  <c:v>277.24132307532017</c:v>
                </c:pt>
                <c:pt idx="34">
                  <c:v>269.48051961440848</c:v>
                </c:pt>
                <c:pt idx="35">
                  <c:v>262.1397876336228</c:v>
                </c:pt>
                <c:pt idx="36">
                  <c:v>255.18591974629152</c:v>
                </c:pt>
                <c:pt idx="37">
                  <c:v>248.5891188380339</c:v>
                </c:pt>
                <c:pt idx="38">
                  <c:v>242.32257124761821</c:v>
                </c:pt>
                <c:pt idx="39">
                  <c:v>236.36208248562281</c:v>
                </c:pt>
                <c:pt idx="40">
                  <c:v>230.68576505548404</c:v>
                </c:pt>
                <c:pt idx="41">
                  <c:v>225.27376988524802</c:v>
                </c:pt>
                <c:pt idx="42">
                  <c:v>220.10805442404748</c:v>
                </c:pt>
                <c:pt idx="43">
                  <c:v>215.17218169354268</c:v>
                </c:pt>
                <c:pt idx="44">
                  <c:v>210.45114557864835</c:v>
                </c:pt>
                <c:pt idx="45">
                  <c:v>205.93121844539596</c:v>
                </c:pt>
                <c:pt idx="46">
                  <c:v>201.59981782648484</c:v>
                </c:pt>
                <c:pt idx="47">
                  <c:v>197.44538944777864</c:v>
                </c:pt>
                <c:pt idx="48">
                  <c:v>193.45730430571598</c:v>
                </c:pt>
                <c:pt idx="49">
                  <c:v>189.62576786518207</c:v>
                </c:pt>
                <c:pt idx="50">
                  <c:v>185.94173974466503</c:v>
                </c:pt>
                <c:pt idx="51">
                  <c:v>182.39686250227214</c:v>
                </c:pt>
                <c:pt idx="52">
                  <c:v>178.98339834176863</c:v>
                </c:pt>
                <c:pt idx="53">
                  <c:v>175.69417272971563</c:v>
                </c:pt>
                <c:pt idx="54">
                  <c:v>172.52252405904528</c:v>
                </c:pt>
                <c:pt idx="55">
                  <c:v>169.46225861587561</c:v>
                </c:pt>
                <c:pt idx="56">
                  <c:v>166.50761020896243</c:v>
                </c:pt>
                <c:pt idx="57">
                  <c:v>163.65320390812656</c:v>
                </c:pt>
                <c:pt idx="58">
                  <c:v>160.89402341187102</c:v>
                </c:pt>
                <c:pt idx="59">
                  <c:v>158.22538162738496</c:v>
                </c:pt>
                <c:pt idx="60">
                  <c:v>155.64289409994927</c:v>
                </c:pt>
                <c:pt idx="61">
                  <c:v>153.14245497489114</c:v>
                </c:pt>
                <c:pt idx="62">
                  <c:v>150.72021521487466</c:v>
                </c:pt>
                <c:pt idx="63">
                  <c:v>148.37256282945648</c:v>
                </c:pt>
                <c:pt idx="64">
                  <c:v>146.0961049033213</c:v>
                </c:pt>
                <c:pt idx="65">
                  <c:v>143.88765123513599</c:v>
                </c:pt>
                <c:pt idx="66">
                  <c:v>141.74419942110052</c:v>
                </c:pt>
                <c:pt idx="67">
                  <c:v>139.6629212365246</c:v>
                </c:pt>
                <c:pt idx="68">
                  <c:v>137.64115018553619</c:v>
                </c:pt>
                <c:pt idx="69">
                  <c:v>135.67637010367076</c:v>
                </c:pt>
                <c:pt idx="70">
                  <c:v>133.76620471090754</c:v>
                </c:pt>
                <c:pt idx="71">
                  <c:v>131.90840802395132</c:v>
                </c:pt>
                <c:pt idx="72">
                  <c:v>130.10085554642345</c:v>
                </c:pt>
                <c:pt idx="73">
                  <c:v>128.3415361643107</c:v>
                </c:pt>
                <c:pt idx="74">
                  <c:v>126.62854468166898</c:v>
                </c:pt>
                <c:pt idx="75">
                  <c:v>124.96007493834024</c:v>
                </c:pt>
                <c:pt idx="76">
                  <c:v>123.33441345741669</c:v>
                </c:pt>
                <c:pt idx="77">
                  <c:v>121.74993357548257</c:v>
                </c:pt>
                <c:pt idx="78">
                  <c:v>120.20509001336437</c:v>
                </c:pt>
                <c:pt idx="79">
                  <c:v>118.698413849297</c:v>
                </c:pt>
                <c:pt idx="80">
                  <c:v>117.22850786013221</c:v>
                </c:pt>
                <c:pt idx="81">
                  <c:v>115.79404219953101</c:v>
                </c:pt>
                <c:pt idx="82">
                  <c:v>114.39375038504146</c:v>
                </c:pt>
                <c:pt idx="83">
                  <c:v>113.02642556860812</c:v>
                </c:pt>
                <c:pt idx="84">
                  <c:v>111.69091706743147</c:v>
                </c:pt>
                <c:pt idx="85">
                  <c:v>110.38612713421597</c:v>
                </c:pt>
                <c:pt idx="86">
                  <c:v>109.11100794775406</c:v>
                </c:pt>
                <c:pt idx="87">
                  <c:v>107.86455880650688</c:v>
                </c:pt>
                <c:pt idx="88">
                  <c:v>106.64582350938406</c:v>
                </c:pt>
                <c:pt idx="89">
                  <c:v>105.45388790931433</c:v>
                </c:pt>
                <c:pt idx="90">
                  <c:v>104.28787762645337</c:v>
                </c:pt>
                <c:pt idx="91">
                  <c:v>103.1469559090059</c:v>
                </c:pt>
                <c:pt idx="92">
                  <c:v>102.03032163066443</c:v>
                </c:pt>
                <c:pt idx="93">
                  <c:v>100.93720741459215</c:v>
                </c:pt>
                <c:pt idx="94">
                  <c:v>99.86687787471817</c:v>
                </c:pt>
                <c:pt idx="95">
                  <c:v>98.818627965875251</c:v>
                </c:pt>
                <c:pt idx="96">
                  <c:v>97.791781435000829</c:v>
                </c:pt>
                <c:pt idx="97">
                  <c:v>96.785689366252996</c:v>
                </c:pt>
                <c:pt idx="98">
                  <c:v>95.799728813462337</c:v>
                </c:pt>
                <c:pt idx="99">
                  <c:v>94.833301513865763</c:v>
                </c:pt>
                <c:pt idx="100">
                  <c:v>93.88583267753917</c:v>
                </c:pt>
              </c:numCache>
            </c:numRef>
          </c:val>
          <c:smooth val="0"/>
          <c:extLst>
            <c:ext xmlns:c16="http://schemas.microsoft.com/office/drawing/2014/chart" uri="{C3380CC4-5D6E-409C-BE32-E72D297353CC}">
              <c16:uniqueId val="{00000000-3709-4335-91FB-31DC56900586}"/>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346.27774466560868</c:v>
                </c:pt>
                <c:pt idx="66">
                  <c:v>341.38499735288116</c:v>
                </c:pt>
                <c:pt idx="67">
                  <c:v>336.62578565172737</c:v>
                </c:pt>
                <c:pt idx="68">
                  <c:v>331.99721342237262</c:v>
                </c:pt>
                <c:pt idx="69">
                  <c:v>327.49397254915118</c:v>
                </c:pt>
                <c:pt idx="70">
                  <c:v>323.11434725595433</c:v>
                </c:pt>
                <c:pt idx="71">
                  <c:v>318.84265711211765</c:v>
                </c:pt>
                <c:pt idx="72">
                  <c:v>314.68591287330526</c:v>
                </c:pt>
                <c:pt idx="73">
                  <c:v>310.63596348533287</c:v>
                </c:pt>
                <c:pt idx="74">
                  <c:v>306.68874546416623</c:v>
                </c:pt>
                <c:pt idx="75">
                  <c:v>302.84039889491436</c:v>
                </c:pt>
                <c:pt idx="76">
                  <c:v>299.08725484170844</c:v>
                </c:pt>
                <c:pt idx="77">
                  <c:v>295.42582368055702</c:v>
                </c:pt>
                <c:pt idx="78">
                  <c:v>291.85278427718907</c:v>
                </c:pt>
                <c:pt idx="79">
                  <c:v>288.36497393933831</c:v>
                </c:pt>
                <c:pt idx="80">
                  <c:v>284.95937907957722</c:v>
                </c:pt>
                <c:pt idx="81">
                  <c:v>281.6331265307569</c:v>
                </c:pt>
                <c:pt idx="82">
                  <c:v>278.38347546145405</c:v>
                </c:pt>
                <c:pt idx="83">
                  <c:v>275.20780984361085</c:v>
                </c:pt>
                <c:pt idx="84">
                  <c:v>272.10363142886132</c:v>
                </c:pt>
                <c:pt idx="85">
                  <c:v>269.06855319391104</c:v>
                </c:pt>
                <c:pt idx="86">
                  <c:v>266.10029321883007</c:v>
                </c:pt>
                <c:pt idx="87">
                  <c:v>263.19666896525888</c:v>
                </c:pt>
                <c:pt idx="88">
                  <c:v>260.35559192438257</c:v>
                </c:pt>
                <c:pt idx="89">
                  <c:v>257.57506260708681</c:v>
                </c:pt>
                <c:pt idx="90">
                  <c:v>254.85316585104383</c:v>
                </c:pt>
                <c:pt idx="91">
                  <c:v>252.18806642157949</c:v>
                </c:pt>
                <c:pt idx="92">
                  <c:v>249.5780048850886</c:v>
                </c:pt>
                <c:pt idx="93">
                  <c:v>247.021293735499</c:v>
                </c:pt>
                <c:pt idx="94">
                  <c:v>244.51631375586331</c:v>
                </c:pt>
                <c:pt idx="95">
                  <c:v>242.06151059859508</c:v>
                </c:pt>
                <c:pt idx="96">
                  <c:v>239.65539156917188</c:v>
                </c:pt>
                <c:pt idx="97">
                  <c:v>237.29652259932067</c:v>
                </c:pt>
                <c:pt idx="98">
                  <c:v>234.98352539678808</c:v>
                </c:pt>
                <c:pt idx="99">
                  <c:v>232.71507475979374</c:v>
                </c:pt>
                <c:pt idx="100">
                  <c:v>230.48989604516913</c:v>
                </c:pt>
              </c:numCache>
            </c:numRef>
          </c:val>
          <c:smooth val="0"/>
          <c:extLst>
            <c:ext xmlns:c16="http://schemas.microsoft.com/office/drawing/2014/chart" uri="{C3380CC4-5D6E-409C-BE32-E72D297353CC}">
              <c16:uniqueId val="{00000001-3709-4335-91FB-31DC56900586}"/>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347.90107027032275</c:v>
                </c:pt>
                <c:pt idx="88">
                  <c:v>344.21921921050699</c:v>
                </c:pt>
                <c:pt idx="89">
                  <c:v>340.61527769948367</c:v>
                </c:pt>
                <c:pt idx="90">
                  <c:v>337.08635455483557</c:v>
                </c:pt>
                <c:pt idx="91">
                  <c:v>333.62983017151669</c:v>
                </c:pt>
                <c:pt idx="92">
                  <c:v>330.24349954135721</c:v>
                </c:pt>
                <c:pt idx="93">
                  <c:v>326.92368883183286</c:v>
                </c:pt>
                <c:pt idx="94">
                  <c:v>323.67180816550479</c:v>
                </c:pt>
                <c:pt idx="95">
                  <c:v>320.48176521469077</c:v>
                </c:pt>
                <c:pt idx="96">
                  <c:v>317.35413438818784</c:v>
                </c:pt>
                <c:pt idx="97">
                  <c:v>314.28703680257962</c:v>
                </c:pt>
                <c:pt idx="98">
                  <c:v>311.27863445097097</c:v>
                </c:pt>
                <c:pt idx="99">
                  <c:v>308.32725840833513</c:v>
                </c:pt>
                <c:pt idx="100">
                  <c:v>305.4313024273003</c:v>
                </c:pt>
              </c:numCache>
            </c:numRef>
          </c:val>
          <c:smooth val="0"/>
          <c:extLst>
            <c:ext xmlns:c16="http://schemas.microsoft.com/office/drawing/2014/chart" uri="{C3380CC4-5D6E-409C-BE32-E72D297353CC}">
              <c16:uniqueId val="{00000002-3709-4335-91FB-31DC56900586}"/>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709-4335-91FB-31DC56900586}"/>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709-4335-91FB-31DC56900586}"/>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709-4335-91FB-31DC56900586}"/>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8.0000039771744962E-3</c:v>
                </c:pt>
                <c:pt idx="1">
                  <c:v>1.0526795740921422E-2</c:v>
                </c:pt>
                <c:pt idx="2">
                  <c:v>2.1053591481842843E-2</c:v>
                </c:pt>
                <c:pt idx="3">
                  <c:v>3.158038722276426E-2</c:v>
                </c:pt>
                <c:pt idx="4">
                  <c:v>4.2107182963685687E-2</c:v>
                </c:pt>
                <c:pt idx="5">
                  <c:v>5.2633978704607107E-2</c:v>
                </c:pt>
                <c:pt idx="6">
                  <c:v>6.316077444552852E-2</c:v>
                </c:pt>
                <c:pt idx="7">
                  <c:v>7.3687570186449947E-2</c:v>
                </c:pt>
                <c:pt idx="8">
                  <c:v>8.4214365927371373E-2</c:v>
                </c:pt>
                <c:pt idx="9">
                  <c:v>9.4741161668292787E-2</c:v>
                </c:pt>
                <c:pt idx="10">
                  <c:v>0.10526795740921421</c:v>
                </c:pt>
                <c:pt idx="11">
                  <c:v>0.11579475315013563</c:v>
                </c:pt>
                <c:pt idx="12">
                  <c:v>0.12632154889105704</c:v>
                </c:pt>
                <c:pt idx="13">
                  <c:v>0.13684834463197845</c:v>
                </c:pt>
                <c:pt idx="14">
                  <c:v>0.14737514037289989</c:v>
                </c:pt>
                <c:pt idx="15">
                  <c:v>0.15790193611382133</c:v>
                </c:pt>
                <c:pt idx="16">
                  <c:v>0.16842873185474275</c:v>
                </c:pt>
                <c:pt idx="17">
                  <c:v>0.17895552759566416</c:v>
                </c:pt>
                <c:pt idx="18">
                  <c:v>0.18948232333658557</c:v>
                </c:pt>
                <c:pt idx="19">
                  <c:v>0.20000911907750701</c:v>
                </c:pt>
                <c:pt idx="20">
                  <c:v>0.21053591481842843</c:v>
                </c:pt>
                <c:pt idx="21">
                  <c:v>0.22106271055934978</c:v>
                </c:pt>
                <c:pt idx="22">
                  <c:v>0.23158950630027125</c:v>
                </c:pt>
                <c:pt idx="23">
                  <c:v>0.23785559668256814</c:v>
                </c:pt>
                <c:pt idx="24">
                  <c:v>0.24298178500401216</c:v>
                </c:pt>
                <c:pt idx="25">
                  <c:v>0.24800267089266201</c:v>
                </c:pt>
                <c:pt idx="26">
                  <c:v>0.25292451313731507</c:v>
                </c:pt>
                <c:pt idx="27">
                  <c:v>0.2577529740526599</c:v>
                </c:pt>
                <c:pt idx="28">
                  <c:v>0.26249319615289463</c:v>
                </c:pt>
                <c:pt idx="29">
                  <c:v>0.26714986660036194</c:v>
                </c:pt>
                <c:pt idx="30">
                  <c:v>0.27172727173033789</c:v>
                </c:pt>
                <c:pt idx="31">
                  <c:v>0.27622934345808359</c:v>
                </c:pt>
                <c:pt idx="32">
                  <c:v>0.28065969899819143</c:v>
                </c:pt>
                <c:pt idx="33">
                  <c:v>0.28502167503774278</c:v>
                </c:pt>
                <c:pt idx="34">
                  <c:v>0.28931835728143201</c:v>
                </c:pt>
                <c:pt idx="35">
                  <c:v>0.29355260611240447</c:v>
                </c:pt>
                <c:pt idx="36">
                  <c:v>0.29772707897530154</c:v>
                </c:pt>
                <c:pt idx="37">
                  <c:v>0.30184424997916443</c:v>
                </c:pt>
                <c:pt idx="38">
                  <c:v>0.30590642713095023</c:v>
                </c:pt>
                <c:pt idx="39">
                  <c:v>0.30991576754055927</c:v>
                </c:pt>
                <c:pt idx="40">
                  <c:v>0.31387429088178359</c:v>
                </c:pt>
                <c:pt idx="41">
                  <c:v>0.31778389134762625</c:v>
                </c:pt>
                <c:pt idx="42">
                  <c:v>0.32164634830084471</c:v>
                </c:pt>
                <c:pt idx="43">
                  <c:v>0.3254633357896537</c:v>
                </c:pt>
                <c:pt idx="44">
                  <c:v>0.32923643107297113</c:v>
                </c:pt>
                <c:pt idx="45">
                  <c:v>0.33296712227836645</c:v>
                </c:pt>
                <c:pt idx="46">
                  <c:v>0.33665681529817687</c:v>
                </c:pt>
                <c:pt idx="47">
                  <c:v>0.3403068400144218</c:v>
                </c:pt>
                <c:pt idx="48">
                  <c:v>0.34391845593067633</c:v>
                </c:pt>
                <c:pt idx="49">
                  <c:v>0.34749285727852902</c:v>
                </c:pt>
                <c:pt idx="50">
                  <c:v>0.35103117765732067</c:v>
                </c:pt>
                <c:pt idx="51">
                  <c:v>0.35453449425826605</c:v>
                </c:pt>
                <c:pt idx="52">
                  <c:v>0.35800383171757355</c:v>
                </c:pt>
                <c:pt idx="53">
                  <c:v>0.36144016563763209</c:v>
                </c:pt>
                <c:pt idx="54">
                  <c:v>0.36484442581055465</c:v>
                </c:pt>
                <c:pt idx="55">
                  <c:v>0.36821749917426816</c:v>
                </c:pt>
                <c:pt idx="56">
                  <c:v>0.37156023252777748</c:v>
                </c:pt>
                <c:pt idx="57">
                  <c:v>0.37487343502915949</c:v>
                </c:pt>
                <c:pt idx="58">
                  <c:v>0.37815788049716542</c:v>
                </c:pt>
                <c:pt idx="59">
                  <c:v>0.38141430953497946</c:v>
                </c:pt>
                <c:pt idx="60">
                  <c:v>0.3846434314926454</c:v>
                </c:pt>
                <c:pt idx="61">
                  <c:v>0.38784592628289438</c:v>
                </c:pt>
                <c:pt idx="62">
                  <c:v>0.39102244606353859</c:v>
                </c:pt>
                <c:pt idx="63">
                  <c:v>0.39417361679822355</c:v>
                </c:pt>
                <c:pt idx="64">
                  <c:v>0.39730003970611905</c:v>
                </c:pt>
                <c:pt idx="65">
                  <c:v>0.39614400812557143</c:v>
                </c:pt>
                <c:pt idx="66">
                  <c:v>0.39355191597743089</c:v>
                </c:pt>
                <c:pt idx="67">
                  <c:v>0.39102142984256116</c:v>
                </c:pt>
                <c:pt idx="68">
                  <c:v>0.38853941177964008</c:v>
                </c:pt>
                <c:pt idx="69">
                  <c:v>0.38610436058058595</c:v>
                </c:pt>
                <c:pt idx="70">
                  <c:v>0.38622136524751399</c:v>
                </c:pt>
                <c:pt idx="71">
                  <c:v>0.38659915864630373</c:v>
                </c:pt>
                <c:pt idx="72">
                  <c:v>0.38695738173743965</c:v>
                </c:pt>
                <c:pt idx="73">
                  <c:v>0.38730681149925567</c:v>
                </c:pt>
                <c:pt idx="74">
                  <c:v>0.3876477825226623</c:v>
                </c:pt>
                <c:pt idx="75">
                  <c:v>0.38798061263653022</c:v>
                </c:pt>
                <c:pt idx="76">
                  <c:v>0.38830560394436869</c:v>
                </c:pt>
                <c:pt idx="77">
                  <c:v>0.38862304378500595</c:v>
                </c:pt>
                <c:pt idx="78">
                  <c:v>0.38893320562369255</c:v>
                </c:pt>
                <c:pt idx="79">
                  <c:v>0.38923634987943745</c:v>
                </c:pt>
                <c:pt idx="80">
                  <c:v>0.38953272469383599</c:v>
                </c:pt>
                <c:pt idx="81">
                  <c:v>0.38982256664616288</c:v>
                </c:pt>
                <c:pt idx="82">
                  <c:v>0.39010610141906027</c:v>
                </c:pt>
                <c:pt idx="83">
                  <c:v>0.39038354441875661</c:v>
                </c:pt>
                <c:pt idx="84">
                  <c:v>0.39065510135340276</c:v>
                </c:pt>
                <c:pt idx="85">
                  <c:v>0.39092096877278165</c:v>
                </c:pt>
                <c:pt idx="86">
                  <c:v>0.3911813345723768</c:v>
                </c:pt>
                <c:pt idx="87">
                  <c:v>0.39143637846450707</c:v>
                </c:pt>
                <c:pt idx="88">
                  <c:v>0.39168627241901782</c:v>
                </c:pt>
                <c:pt idx="89">
                  <c:v>0.39193118107579433</c:v>
                </c:pt>
                <c:pt idx="90">
                  <c:v>0.39217126213118059</c:v>
                </c:pt>
                <c:pt idx="91">
                  <c:v>0.39240666670020696</c:v>
                </c:pt>
                <c:pt idx="92">
                  <c:v>0.39263753965637632</c:v>
                </c:pt>
                <c:pt idx="93">
                  <c:v>0.3928640199506146</c:v>
                </c:pt>
                <c:pt idx="94">
                  <c:v>0.3930862409108597</c:v>
                </c:pt>
                <c:pt idx="95">
                  <c:v>0.39330433052364744</c:v>
                </c:pt>
                <c:pt idx="96">
                  <c:v>0.39351841169894464</c:v>
                </c:pt>
                <c:pt idx="97">
                  <c:v>0.39372860251937919</c:v>
                </c:pt>
                <c:pt idx="98">
                  <c:v>0.39393501647493023</c:v>
                </c:pt>
                <c:pt idx="99">
                  <c:v>0.39413776268405837</c:v>
                </c:pt>
                <c:pt idx="100">
                  <c:v>0.39433694610218128</c:v>
                </c:pt>
              </c:numCache>
            </c:numRef>
          </c:val>
          <c:smooth val="0"/>
          <c:extLst>
            <c:ext xmlns:c16="http://schemas.microsoft.com/office/drawing/2014/chart" uri="{C3380CC4-5D6E-409C-BE32-E72D297353CC}">
              <c16:uniqueId val="{00000006-3709-4335-91FB-31DC56900586}"/>
            </c:ext>
          </c:extLst>
        </c:ser>
        <c:ser>
          <c:idx val="7"/>
          <c:order val="7"/>
          <c:spPr>
            <a:ln w="31750">
              <a:solidFill>
                <a:srgbClr val="00B050"/>
              </a:solidFill>
            </a:ln>
          </c:spPr>
          <c:marker>
            <c:symbol val="none"/>
          </c:marker>
          <c:val>
            <c:numRef>
              <c:f>'Calculations - Single'!$AW$110:$AW$210</c:f>
              <c:numCache>
                <c:formatCode>0.000</c:formatCode>
                <c:ptCount val="101"/>
                <c:pt idx="0">
                  <c:v>1.9200022908541042E-2</c:v>
                </c:pt>
                <c:pt idx="1">
                  <c:v>2.5313006859403492E-2</c:v>
                </c:pt>
                <c:pt idx="2">
                  <c:v>5.0626013718806984E-2</c:v>
                </c:pt>
                <c:pt idx="3">
                  <c:v>7.5939020578210475E-2</c:v>
                </c:pt>
                <c:pt idx="4">
                  <c:v>0.10125202743761397</c:v>
                </c:pt>
                <c:pt idx="5">
                  <c:v>0.12656503429701746</c:v>
                </c:pt>
                <c:pt idx="6">
                  <c:v>0.15187804115642095</c:v>
                </c:pt>
                <c:pt idx="7">
                  <c:v>0.17719104801582444</c:v>
                </c:pt>
                <c:pt idx="8">
                  <c:v>0.20250405487522793</c:v>
                </c:pt>
                <c:pt idx="9">
                  <c:v>0.2278170617346314</c:v>
                </c:pt>
                <c:pt idx="10">
                  <c:v>0.25313006859403492</c:v>
                </c:pt>
                <c:pt idx="11">
                  <c:v>0.27844307545343838</c:v>
                </c:pt>
                <c:pt idx="12">
                  <c:v>0.3037560823128419</c:v>
                </c:pt>
                <c:pt idx="13">
                  <c:v>0.32906908917224537</c:v>
                </c:pt>
                <c:pt idx="14">
                  <c:v>0.35438209603164889</c:v>
                </c:pt>
                <c:pt idx="15">
                  <c:v>0.37969510289105241</c:v>
                </c:pt>
                <c:pt idx="16">
                  <c:v>0.40500810975045587</c:v>
                </c:pt>
                <c:pt idx="17">
                  <c:v>0.43032111660985939</c:v>
                </c:pt>
                <c:pt idx="18">
                  <c:v>0.4556341234692628</c:v>
                </c:pt>
                <c:pt idx="19">
                  <c:v>0.48094713032866637</c:v>
                </c:pt>
                <c:pt idx="20">
                  <c:v>0.50626013718806984</c:v>
                </c:pt>
                <c:pt idx="21">
                  <c:v>0.53157314404747324</c:v>
                </c:pt>
                <c:pt idx="22">
                  <c:v>0.55688615090687676</c:v>
                </c:pt>
                <c:pt idx="23">
                  <c:v>0.57197290905710063</c:v>
                </c:pt>
                <c:pt idx="24">
                  <c:v>0.58432456855559423</c:v>
                </c:pt>
                <c:pt idx="25">
                  <c:v>0.59642351056354448</c:v>
                </c:pt>
                <c:pt idx="26">
                  <c:v>0.60332791052885471</c:v>
                </c:pt>
                <c:pt idx="27">
                  <c:v>0.59357790738789895</c:v>
                </c:pt>
                <c:pt idx="28">
                  <c:v>0.58739453902509009</c:v>
                </c:pt>
                <c:pt idx="29">
                  <c:v>0.58879926218685941</c:v>
                </c:pt>
                <c:pt idx="30">
                  <c:v>0.59007803539641401</c:v>
                </c:pt>
                <c:pt idx="31">
                  <c:v>0.59128177724291231</c:v>
                </c:pt>
                <c:pt idx="32">
                  <c:v>0.5924171180499489</c:v>
                </c:pt>
                <c:pt idx="33">
                  <c:v>0.593489929305552</c:v>
                </c:pt>
                <c:pt idx="34">
                  <c:v>0.59450542920253679</c:v>
                </c:pt>
                <c:pt idx="35">
                  <c:v>0.5954682710410687</c:v>
                </c:pt>
                <c:pt idx="36">
                  <c:v>0.59638261765455935</c:v>
                </c:pt>
                <c:pt idx="37">
                  <c:v>0.59725220437073434</c:v>
                </c:pt>
                <c:pt idx="38">
                  <c:v>0.59808039251673029</c:v>
                </c:pt>
                <c:pt idx="39">
                  <c:v>0.59887021508462146</c:v>
                </c:pt>
                <c:pt idx="40">
                  <c:v>0.59962441586552795</c:v>
                </c:pt>
                <c:pt idx="41">
                  <c:v>0.60034548311679514</c:v>
                </c:pt>
                <c:pt idx="42">
                  <c:v>0.60103567863297114</c:v>
                </c:pt>
                <c:pt idx="43">
                  <c:v>0.60169706293634495</c:v>
                </c:pt>
                <c:pt idx="44">
                  <c:v>0.60233151717818423</c:v>
                </c:pt>
                <c:pt idx="45">
                  <c:v>0.60294076224109483</c:v>
                </c:pt>
                <c:pt idx="46">
                  <c:v>0.60352637545109233</c:v>
                </c:pt>
                <c:pt idx="47">
                  <c:v>0.60408980524120992</c:v>
                </c:pt>
                <c:pt idx="48">
                  <c:v>0.60463238405370812</c:v>
                </c:pt>
                <c:pt idx="49">
                  <c:v>0.60515533972288926</c:v>
                </c:pt>
                <c:pt idx="50">
                  <c:v>0.60565980554324561</c:v>
                </c:pt>
                <c:pt idx="51">
                  <c:v>0.60614682919673835</c:v>
                </c:pt>
                <c:pt idx="52">
                  <c:v>0.60661738068723869</c:v>
                </c:pt>
                <c:pt idx="53">
                  <c:v>0.6070723594086056</c:v>
                </c:pt>
                <c:pt idx="54">
                  <c:v>0.60751260045479072</c:v>
                </c:pt>
                <c:pt idx="55">
                  <c:v>0.60793888026513854</c:v>
                </c:pt>
                <c:pt idx="56">
                  <c:v>0.60835192168518681</c:v>
                </c:pt>
                <c:pt idx="57">
                  <c:v>0.60875239851237195</c:v>
                </c:pt>
                <c:pt idx="58">
                  <c:v>0.60914093958678261</c:v>
                </c:pt>
                <c:pt idx="59">
                  <c:v>0.60951813247921671</c:v>
                </c:pt>
                <c:pt idx="60">
                  <c:v>0.6098845268220392</c:v>
                </c:pt>
                <c:pt idx="61">
                  <c:v>0.6102406373225634</c:v>
                </c:pt>
                <c:pt idx="62">
                  <c:v>0.61058694649370737</c:v>
                </c:pt>
                <c:pt idx="63">
                  <c:v>0.61092390713239486</c:v>
                </c:pt>
                <c:pt idx="64">
                  <c:v>0.61125194457247645</c:v>
                </c:pt>
                <c:pt idx="65">
                  <c:v>0.61157145873574514</c:v>
                </c:pt>
                <c:pt idx="66">
                  <c:v>0.61188282600184729</c:v>
                </c:pt>
                <c:pt idx="67">
                  <c:v>0.61218640091547472</c:v>
                </c:pt>
                <c:pt idx="68">
                  <c:v>0.61248251774711959</c:v>
                </c:pt>
                <c:pt idx="69">
                  <c:v>0.61277149192184399</c:v>
                </c:pt>
                <c:pt idx="70">
                  <c:v>0.61305362132890062</c:v>
                </c:pt>
                <c:pt idx="71">
                  <c:v>0.61332918752364074</c:v>
                </c:pt>
                <c:pt idx="72">
                  <c:v>0.61359845683190284</c:v>
                </c:pt>
                <c:pt idx="73">
                  <c:v>0.6138616813659924</c:v>
                </c:pt>
                <c:pt idx="74">
                  <c:v>0.61411909996039948</c:v>
                </c:pt>
                <c:pt idx="75">
                  <c:v>0.6143709390345552</c:v>
                </c:pt>
                <c:pt idx="76">
                  <c:v>0.61461741338918141</c:v>
                </c:pt>
                <c:pt idx="77">
                  <c:v>0.61485872694211685</c:v>
                </c:pt>
                <c:pt idx="78">
                  <c:v>0.61509507340892455</c:v>
                </c:pt>
                <c:pt idx="79">
                  <c:v>0.61532663693305212</c:v>
                </c:pt>
                <c:pt idx="80">
                  <c:v>0.61555359266985255</c:v>
                </c:pt>
                <c:pt idx="81">
                  <c:v>0.61577610732836374</c:v>
                </c:pt>
                <c:pt idx="82">
                  <c:v>0.61599433967436579</c:v>
                </c:pt>
                <c:pt idx="83">
                  <c:v>0.61620844099790473</c:v>
                </c:pt>
                <c:pt idx="84">
                  <c:v>0.61641855554818448</c:v>
                </c:pt>
                <c:pt idx="85">
                  <c:v>0.61662482093844473</c:v>
                </c:pt>
                <c:pt idx="86">
                  <c:v>0.61682736852321762</c:v>
                </c:pt>
                <c:pt idx="87">
                  <c:v>0.61702632375014155</c:v>
                </c:pt>
                <c:pt idx="88">
                  <c:v>0.61722180648830272</c:v>
                </c:pt>
                <c:pt idx="89">
                  <c:v>0.61741393133491762</c:v>
                </c:pt>
                <c:pt idx="90">
                  <c:v>0.61760280790200528</c:v>
                </c:pt>
                <c:pt idx="91">
                  <c:v>0.6177885410845515</c:v>
                </c:pt>
                <c:pt idx="92">
                  <c:v>0.61797123131155018</c:v>
                </c:pt>
                <c:pt idx="93">
                  <c:v>0.6181509747811782</c:v>
                </c:pt>
                <c:pt idx="94">
                  <c:v>0.61832786368126624</c:v>
                </c:pt>
                <c:pt idx="95">
                  <c:v>0.61850198639612441</c:v>
                </c:pt>
                <c:pt idx="96">
                  <c:v>0.61867342770069866</c:v>
                </c:pt>
                <c:pt idx="97">
                  <c:v>0.61884226894295413</c:v>
                </c:pt>
                <c:pt idx="98">
                  <c:v>0.61900858821530969</c:v>
                </c:pt>
                <c:pt idx="99">
                  <c:v>0.61917246051588493</c:v>
                </c:pt>
                <c:pt idx="100">
                  <c:v>0.61933395790025414</c:v>
                </c:pt>
              </c:numCache>
            </c:numRef>
          </c:val>
          <c:smooth val="0"/>
          <c:extLst>
            <c:ext xmlns:c16="http://schemas.microsoft.com/office/drawing/2014/chart" uri="{C3380CC4-5D6E-409C-BE32-E72D297353CC}">
              <c16:uniqueId val="{00000007-3709-4335-91FB-31DC56900586}"/>
            </c:ext>
          </c:extLst>
        </c:ser>
        <c:ser>
          <c:idx val="8"/>
          <c:order val="8"/>
          <c:spPr>
            <a:ln w="31750">
              <a:solidFill>
                <a:srgbClr val="0000FF"/>
              </a:solidFill>
            </a:ln>
          </c:spPr>
          <c:marker>
            <c:symbol val="none"/>
          </c:marker>
          <c:val>
            <c:numRef>
              <c:f>'Calculations - Single'!$AW$216:$AW$316</c:f>
              <c:numCache>
                <c:formatCode>0.000</c:formatCode>
                <c:ptCount val="101"/>
                <c:pt idx="0">
                  <c:v>5.3333351009661511E-3</c:v>
                </c:pt>
                <c:pt idx="1">
                  <c:v>7.014650788559844E-3</c:v>
                </c:pt>
                <c:pt idx="2">
                  <c:v>1.4029301577119688E-2</c:v>
                </c:pt>
                <c:pt idx="3">
                  <c:v>2.1043952365679533E-2</c:v>
                </c:pt>
                <c:pt idx="4">
                  <c:v>2.8058603154239376E-2</c:v>
                </c:pt>
                <c:pt idx="5">
                  <c:v>3.5073253942799219E-2</c:v>
                </c:pt>
                <c:pt idx="6">
                  <c:v>4.2087904731359066E-2</c:v>
                </c:pt>
                <c:pt idx="7">
                  <c:v>4.9102555519918913E-2</c:v>
                </c:pt>
                <c:pt idx="8">
                  <c:v>5.6117206308478752E-2</c:v>
                </c:pt>
                <c:pt idx="9">
                  <c:v>6.3131857097038599E-2</c:v>
                </c:pt>
                <c:pt idx="10">
                  <c:v>7.0146507885598439E-2</c:v>
                </c:pt>
                <c:pt idx="11">
                  <c:v>7.7161158674158278E-2</c:v>
                </c:pt>
                <c:pt idx="12">
                  <c:v>8.4175809462718132E-2</c:v>
                </c:pt>
                <c:pt idx="13">
                  <c:v>9.1190460251277958E-2</c:v>
                </c:pt>
                <c:pt idx="14">
                  <c:v>9.8205111039837825E-2</c:v>
                </c:pt>
                <c:pt idx="15">
                  <c:v>0.10521976182839766</c:v>
                </c:pt>
                <c:pt idx="16">
                  <c:v>0.1122344126169575</c:v>
                </c:pt>
                <c:pt idx="17">
                  <c:v>0.11924906340551736</c:v>
                </c:pt>
                <c:pt idx="18">
                  <c:v>0.1262637141940772</c:v>
                </c:pt>
                <c:pt idx="19">
                  <c:v>0.13327836498263704</c:v>
                </c:pt>
                <c:pt idx="20">
                  <c:v>0.14029301577119688</c:v>
                </c:pt>
                <c:pt idx="21">
                  <c:v>0.14730766655975669</c:v>
                </c:pt>
                <c:pt idx="22">
                  <c:v>0.15432231734831656</c:v>
                </c:pt>
                <c:pt idx="23">
                  <c:v>0.158496537633777</c:v>
                </c:pt>
                <c:pt idx="24">
                  <c:v>0.16191078035125489</c:v>
                </c:pt>
                <c:pt idx="25">
                  <c:v>0.16525482114636983</c:v>
                </c:pt>
                <c:pt idx="26">
                  <c:v>0.16853283255103044</c:v>
                </c:pt>
                <c:pt idx="27">
                  <c:v>0.17174858944738702</c:v>
                </c:pt>
                <c:pt idx="28">
                  <c:v>0.17490552018361041</c:v>
                </c:pt>
                <c:pt idx="29">
                  <c:v>0.17800674953967696</c:v>
                </c:pt>
                <c:pt idx="30">
                  <c:v>0.18105513507725352</c:v>
                </c:pt>
                <c:pt idx="31">
                  <c:v>0.18405329807775384</c:v>
                </c:pt>
                <c:pt idx="32">
                  <c:v>0.18700365002192279</c:v>
                </c:pt>
                <c:pt idx="33">
                  <c:v>0.18990841537195885</c:v>
                </c:pt>
                <c:pt idx="34">
                  <c:v>0.1927696512682793</c:v>
                </c:pt>
                <c:pt idx="35">
                  <c:v>0.19558926463675957</c:v>
                </c:pt>
                <c:pt idx="36">
                  <c:v>0.19836902711077603</c:v>
                </c:pt>
                <c:pt idx="37">
                  <c:v>0.20111058809981955</c:v>
                </c:pt>
                <c:pt idx="38">
                  <c:v>0.20381548627851714</c:v>
                </c:pt>
                <c:pt idx="39">
                  <c:v>0.20648515972332585</c:v>
                </c:pt>
                <c:pt idx="40">
                  <c:v>0.20912095488650673</c:v>
                </c:pt>
                <c:pt idx="41">
                  <c:v>0.21172413456634612</c:v>
                </c:pt>
                <c:pt idx="42">
                  <c:v>0.21429588500752442</c:v>
                </c:pt>
                <c:pt idx="43">
                  <c:v>0.21683732224492488</c:v>
                </c:pt>
                <c:pt idx="44">
                  <c:v>0.21934949778713653</c:v>
                </c:pt>
                <c:pt idx="45">
                  <c:v>0.2218334037217588</c:v>
                </c:pt>
                <c:pt idx="46">
                  <c:v>0.22428997731281747</c:v>
                </c:pt>
                <c:pt idx="47">
                  <c:v>0.22672010515071206</c:v>
                </c:pt>
                <c:pt idx="48">
                  <c:v>0.22912462690680274</c:v>
                </c:pt>
                <c:pt idx="49">
                  <c:v>0.2315043387377192</c:v>
                </c:pt>
                <c:pt idx="50">
                  <c:v>0.23385999637852409</c:v>
                </c:pt>
                <c:pt idx="51">
                  <c:v>0.23619231795879689</c:v>
                </c:pt>
                <c:pt idx="52">
                  <c:v>0.23850198657138438</c:v>
                </c:pt>
                <c:pt idx="53">
                  <c:v>0.24078965261986091</c:v>
                </c:pt>
                <c:pt idx="54">
                  <c:v>0.24305593596756064</c:v>
                </c:pt>
                <c:pt idx="55">
                  <c:v>0.2453014279083067</c:v>
                </c:pt>
                <c:pt idx="56">
                  <c:v>0.24752669297658925</c:v>
                </c:pt>
                <c:pt idx="57">
                  <c:v>0.24973227061289774</c:v>
                </c:pt>
                <c:pt idx="58">
                  <c:v>0.25191867669812423</c:v>
                </c:pt>
                <c:pt idx="59">
                  <c:v>0.25408640496940477</c:v>
                </c:pt>
                <c:pt idx="60">
                  <c:v>0.25623592832840536</c:v>
                </c:pt>
                <c:pt idx="61">
                  <c:v>0.25836770005187598</c:v>
                </c:pt>
                <c:pt idx="62">
                  <c:v>0.26048215491324767</c:v>
                </c:pt>
                <c:pt idx="63">
                  <c:v>0.26257971022313625</c:v>
                </c:pt>
                <c:pt idx="64">
                  <c:v>0.26466076679580369</c:v>
                </c:pt>
                <c:pt idx="65">
                  <c:v>0.26672570984791949</c:v>
                </c:pt>
                <c:pt idx="66">
                  <c:v>0.26877490983532687</c:v>
                </c:pt>
                <c:pt idx="67">
                  <c:v>0.27080872323296307</c:v>
                </c:pt>
                <c:pt idx="68">
                  <c:v>0.27282749326258376</c:v>
                </c:pt>
                <c:pt idx="69">
                  <c:v>0.27483155057249803</c:v>
                </c:pt>
                <c:pt idx="70">
                  <c:v>0.27682121387312619</c:v>
                </c:pt>
                <c:pt idx="71">
                  <c:v>0.27879679053184003</c:v>
                </c:pt>
                <c:pt idx="72">
                  <c:v>0.28075857713022923</c:v>
                </c:pt>
                <c:pt idx="73">
                  <c:v>0.28270685998665318</c:v>
                </c:pt>
                <c:pt idx="74">
                  <c:v>0.28464191564668828</c:v>
                </c:pt>
                <c:pt idx="75">
                  <c:v>0.28656401134384551</c:v>
                </c:pt>
                <c:pt idx="76">
                  <c:v>0.2884734054327347</c:v>
                </c:pt>
                <c:pt idx="77">
                  <c:v>0.29037034779666077</c:v>
                </c:pt>
                <c:pt idx="78">
                  <c:v>0.2922550802314744</c:v>
                </c:pt>
                <c:pt idx="79">
                  <c:v>0.29412783680734578</c:v>
                </c:pt>
                <c:pt idx="80">
                  <c:v>0.29598884420999266</c:v>
                </c:pt>
                <c:pt idx="81">
                  <c:v>0.29783832206277361</c:v>
                </c:pt>
                <c:pt idx="82">
                  <c:v>0.29967648323093843</c:v>
                </c:pt>
                <c:pt idx="83">
                  <c:v>0.3015035341092327</c:v>
                </c:pt>
                <c:pt idx="84">
                  <c:v>0.30331967489395339</c:v>
                </c:pt>
                <c:pt idx="85">
                  <c:v>0.30512509984047204</c:v>
                </c:pt>
                <c:pt idx="86">
                  <c:v>0.30691999750716392</c:v>
                </c:pt>
                <c:pt idx="87">
                  <c:v>0.3068532676730289</c:v>
                </c:pt>
                <c:pt idx="88">
                  <c:v>0.30535090760756195</c:v>
                </c:pt>
                <c:pt idx="89">
                  <c:v>0.30387641128666543</c:v>
                </c:pt>
                <c:pt idx="90">
                  <c:v>0.30242557726094105</c:v>
                </c:pt>
                <c:pt idx="91">
                  <c:v>0.30099547500613499</c:v>
                </c:pt>
                <c:pt idx="92">
                  <c:v>0.29958562336936351</c:v>
                </c:pt>
                <c:pt idx="93">
                  <c:v>0.29826910080165203</c:v>
                </c:pt>
                <c:pt idx="94">
                  <c:v>0.29849076592046819</c:v>
                </c:pt>
                <c:pt idx="95">
                  <c:v>0.29870864540445408</c:v>
                </c:pt>
                <c:pt idx="96">
                  <c:v>0.2989189444522703</c:v>
                </c:pt>
                <c:pt idx="97">
                  <c:v>0.29912420420472818</c:v>
                </c:pt>
                <c:pt idx="98">
                  <c:v>0.29932572951845593</c:v>
                </c:pt>
                <c:pt idx="99">
                  <c:v>0.29952362658061177</c:v>
                </c:pt>
                <c:pt idx="100">
                  <c:v>0.29971799759042483</c:v>
                </c:pt>
              </c:numCache>
            </c:numRef>
          </c:val>
          <c:smooth val="0"/>
          <c:extLst>
            <c:ext xmlns:c16="http://schemas.microsoft.com/office/drawing/2014/chart" uri="{C3380CC4-5D6E-409C-BE32-E72D297353CC}">
              <c16:uniqueId val="{00000008-3709-4335-91FB-31DC56900586}"/>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1.470663606409917</c:v>
                </c:pt>
                <c:pt idx="28">
                  <c:v>1.5056629405573461</c:v>
                </c:pt>
                <c:pt idx="29">
                  <c:v>1.559743743489352</c:v>
                </c:pt>
                <c:pt idx="30">
                  <c:v>1.6137125330844346</c:v>
                </c:pt>
                <c:pt idx="31">
                  <c:v>1.6676936968535112</c:v>
                </c:pt>
                <c:pt idx="32">
                  <c:v>1.7216872397031628</c:v>
                </c:pt>
                <c:pt idx="33">
                  <c:v>1.7756931665540028</c:v>
                </c:pt>
                <c:pt idx="34">
                  <c:v>1.8297114823389455</c:v>
                </c:pt>
                <c:pt idx="35">
                  <c:v>1.8837421920017794</c:v>
                </c:pt>
                <c:pt idx="36">
                  <c:v>1.9377853004959866</c:v>
                </c:pt>
                <c:pt idx="37">
                  <c:v>1.9918408127837681</c:v>
                </c:pt>
                <c:pt idx="38">
                  <c:v>2.0459087338352204</c:v>
                </c:pt>
                <c:pt idx="39">
                  <c:v>2.0999890686276497</c:v>
                </c:pt>
                <c:pt idx="40">
                  <c:v>2.15408182214499</c:v>
                </c:pt>
                <c:pt idx="41">
                  <c:v>2.2081869993773102</c:v>
                </c:pt>
                <c:pt idx="42">
                  <c:v>2.2623046053203937</c:v>
                </c:pt>
                <c:pt idx="43">
                  <c:v>2.3164346449753803</c:v>
                </c:pt>
                <c:pt idx="44">
                  <c:v>2.3705771233484576</c:v>
                </c:pt>
                <c:pt idx="45">
                  <c:v>2.4247320454505932</c:v>
                </c:pt>
                <c:pt idx="46">
                  <c:v>2.4788994162973084</c:v>
                </c:pt>
                <c:pt idx="47">
                  <c:v>2.5330792409084744</c:v>
                </c:pt>
                <c:pt idx="48">
                  <c:v>2.5872715243081434</c:v>
                </c:pt>
                <c:pt idx="49">
                  <c:v>2.6414762715243949</c:v>
                </c:pt>
                <c:pt idx="50">
                  <c:v>2.6956934875892009</c:v>
                </c:pt>
                <c:pt idx="51">
                  <c:v>2.7499231775383155</c:v>
                </c:pt>
                <c:pt idx="52">
                  <c:v>2.8041653464111653</c:v>
                </c:pt>
                <c:pt idx="53">
                  <c:v>2.8584199992507653</c:v>
                </c:pt>
                <c:pt idx="54">
                  <c:v>2.9126871411036381</c:v>
                </c:pt>
                <c:pt idx="55">
                  <c:v>2.9669667770197368</c:v>
                </c:pt>
                <c:pt idx="56">
                  <c:v>3.0212589120523932</c:v>
                </c:pt>
                <c:pt idx="57">
                  <c:v>3.0755635512582518</c:v>
                </c:pt>
                <c:pt idx="58">
                  <c:v>3.129880699697229</c:v>
                </c:pt>
                <c:pt idx="59">
                  <c:v>3.1842103624324647</c:v>
                </c:pt>
                <c:pt idx="60">
                  <c:v>3.2385525445302763</c:v>
                </c:pt>
                <c:pt idx="61">
                  <c:v>3.2929072510601367</c:v>
                </c:pt>
                <c:pt idx="62">
                  <c:v>3.3472744870946336</c:v>
                </c:pt>
                <c:pt idx="63">
                  <c:v>3.4016542577094424</c:v>
                </c:pt>
                <c:pt idx="64">
                  <c:v>3.4560465679833019</c:v>
                </c:pt>
                <c:pt idx="65">
                  <c:v>3.5104514229979924</c:v>
                </c:pt>
                <c:pt idx="66">
                  <c:v>3.5648688278383101</c:v>
                </c:pt>
                <c:pt idx="67">
                  <c:v>3.6192987875920557</c:v>
                </c:pt>
                <c:pt idx="68">
                  <c:v>3.6737413073500118</c:v>
                </c:pt>
                <c:pt idx="69">
                  <c:v>3.7281963922059296</c:v>
                </c:pt>
                <c:pt idx="70">
                  <c:v>3.7826640472565196</c:v>
                </c:pt>
                <c:pt idx="71">
                  <c:v>3.8371442776014284</c:v>
                </c:pt>
                <c:pt idx="72">
                  <c:v>3.8916370883432432</c:v>
                </c:pt>
                <c:pt idx="73">
                  <c:v>3.9461424845874662</c:v>
                </c:pt>
                <c:pt idx="74">
                  <c:v>4.0006604714425151</c:v>
                </c:pt>
                <c:pt idx="75">
                  <c:v>4.0551910540197147</c:v>
                </c:pt>
                <c:pt idx="76">
                  <c:v>4.1097342374332841</c:v>
                </c:pt>
                <c:pt idx="77">
                  <c:v>4.1642900268003338</c:v>
                </c:pt>
                <c:pt idx="78">
                  <c:v>4.2188584272408622</c:v>
                </c:pt>
                <c:pt idx="79">
                  <c:v>4.273439443877745</c:v>
                </c:pt>
                <c:pt idx="80">
                  <c:v>4.3280330818367343</c:v>
                </c:pt>
                <c:pt idx="81">
                  <c:v>4.382639346246453</c:v>
                </c:pt>
                <c:pt idx="82">
                  <c:v>4.4372582422383866</c:v>
                </c:pt>
                <c:pt idx="83">
                  <c:v>4.491889774946892</c:v>
                </c:pt>
                <c:pt idx="84">
                  <c:v>4.5465339495091834</c:v>
                </c:pt>
                <c:pt idx="85">
                  <c:v>4.6011907710653288</c:v>
                </c:pt>
                <c:pt idx="86">
                  <c:v>4.6558602447582578</c:v>
                </c:pt>
                <c:pt idx="87">
                  <c:v>4.7105423757337492</c:v>
                </c:pt>
                <c:pt idx="88">
                  <c:v>4.7652371691404367</c:v>
                </c:pt>
                <c:pt idx="89">
                  <c:v>4.819944630129803</c:v>
                </c:pt>
                <c:pt idx="90">
                  <c:v>4.8746647638561802</c:v>
                </c:pt>
                <c:pt idx="91">
                  <c:v>4.9293975754767478</c:v>
                </c:pt>
                <c:pt idx="92">
                  <c:v>4.9841430701515339</c:v>
                </c:pt>
                <c:pt idx="93">
                  <c:v>5.0389012530434103</c:v>
                </c:pt>
                <c:pt idx="94">
                  <c:v>5.0936721293180982</c:v>
                </c:pt>
                <c:pt idx="95">
                  <c:v>5.1484557041441601</c:v>
                </c:pt>
                <c:pt idx="96">
                  <c:v>5.2032519826930104</c:v>
                </c:pt>
                <c:pt idx="97">
                  <c:v>5.2580609701389012</c:v>
                </c:pt>
                <c:pt idx="98">
                  <c:v>5.3128826716589366</c:v>
                </c:pt>
                <c:pt idx="99">
                  <c:v>5.3677170924330584</c:v>
                </c:pt>
                <c:pt idx="100">
                  <c:v>5.4225642376440657</c:v>
                </c:pt>
              </c:numCache>
            </c:numRef>
          </c:val>
          <c:smooth val="0"/>
          <c:extLst>
            <c:ext xmlns:c16="http://schemas.microsoft.com/office/drawing/2014/chart" uri="{C3380CC4-5D6E-409C-BE32-E72D297353CC}">
              <c16:uniqueId val="{00000000-447A-452D-BA63-8F5F5DADC23C}"/>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2.3001569572310117</c:v>
                </c:pt>
                <c:pt idx="67">
                  <c:v>2.3175649898410255</c:v>
                </c:pt>
                <c:pt idx="68">
                  <c:v>2.3348450769136839</c:v>
                </c:pt>
                <c:pt idx="69">
                  <c:v>2.3520000596669925</c:v>
                </c:pt>
                <c:pt idx="70">
                  <c:v>2.3845637353424745</c:v>
                </c:pt>
                <c:pt idx="71">
                  <c:v>2.4187307007116678</c:v>
                </c:pt>
                <c:pt idx="72">
                  <c:v>2.4528639420530722</c:v>
                </c:pt>
                <c:pt idx="73">
                  <c:v>2.4869990394636963</c:v>
                </c:pt>
                <c:pt idx="74">
                  <c:v>2.5211359931401405</c:v>
                </c:pt>
                <c:pt idx="75">
                  <c:v>2.5552748032790937</c:v>
                </c:pt>
                <c:pt idx="76">
                  <c:v>2.5894154700773337</c:v>
                </c:pt>
                <c:pt idx="77">
                  <c:v>2.6235579937317191</c:v>
                </c:pt>
                <c:pt idx="78">
                  <c:v>2.6577023744391859</c:v>
                </c:pt>
                <c:pt idx="79">
                  <c:v>2.69184861239675</c:v>
                </c:pt>
                <c:pt idx="80">
                  <c:v>2.7259967078014955</c:v>
                </c:pt>
                <c:pt idx="81">
                  <c:v>2.7601466608505785</c:v>
                </c:pt>
                <c:pt idx="82">
                  <c:v>2.7942984717412216</c:v>
                </c:pt>
                <c:pt idx="83">
                  <c:v>2.8284521406707119</c:v>
                </c:pt>
                <c:pt idx="84">
                  <c:v>2.8626076678363988</c:v>
                </c:pt>
                <c:pt idx="85">
                  <c:v>2.8967650534356957</c:v>
                </c:pt>
                <c:pt idx="86">
                  <c:v>2.9309242976660665</c:v>
                </c:pt>
                <c:pt idx="87">
                  <c:v>2.9650854007250391</c:v>
                </c:pt>
                <c:pt idx="88">
                  <c:v>2.9992483628101945</c:v>
                </c:pt>
                <c:pt idx="89">
                  <c:v>3.0334131841191661</c:v>
                </c:pt>
                <c:pt idx="90">
                  <c:v>3.0675798648496393</c:v>
                </c:pt>
                <c:pt idx="91">
                  <c:v>3.1017484051993525</c:v>
                </c:pt>
                <c:pt idx="92">
                  <c:v>3.13591880536609</c:v>
                </c:pt>
                <c:pt idx="93">
                  <c:v>3.1700910655476875</c:v>
                </c:pt>
                <c:pt idx="94">
                  <c:v>3.2042651859420266</c:v>
                </c:pt>
                <c:pt idx="95">
                  <c:v>3.2384411667470352</c:v>
                </c:pt>
                <c:pt idx="96">
                  <c:v>3.2726190081606878</c:v>
                </c:pt>
                <c:pt idx="97">
                  <c:v>3.3067987103810008</c:v>
                </c:pt>
                <c:pt idx="98">
                  <c:v>3.3409802736060361</c:v>
                </c:pt>
                <c:pt idx="99">
                  <c:v>3.3751636980338962</c:v>
                </c:pt>
                <c:pt idx="100">
                  <c:v>3.4093489838627278</c:v>
                </c:pt>
              </c:numCache>
            </c:numRef>
          </c:val>
          <c:smooth val="0"/>
          <c:extLst>
            <c:ext xmlns:c16="http://schemas.microsoft.com/office/drawing/2014/chart" uri="{C3380CC4-5D6E-409C-BE32-E72D297353CC}">
              <c16:uniqueId val="{00000001-447A-452D-BA63-8F5F5DADC23C}"/>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2.3001527921825256</c:v>
                </c:pt>
                <c:pt idx="67">
                  <c:v>2.317530373791802</c:v>
                </c:pt>
                <c:pt idx="68">
                  <c:v>2.3347790106371829</c:v>
                </c:pt>
                <c:pt idx="69">
                  <c:v>2.3519015368588665</c:v>
                </c:pt>
                <c:pt idx="70">
                  <c:v>2.3689006842720315</c:v>
                </c:pt>
                <c:pt idx="71">
                  <c:v>2.3857790874654792</c:v>
                </c:pt>
                <c:pt idx="72">
                  <c:v>2.4025392885782062</c:v>
                </c:pt>
                <c:pt idx="73">
                  <c:v>2.4191837417784372</c:v>
                </c:pt>
                <c:pt idx="74">
                  <c:v>2.4357148174674563</c:v>
                </c:pt>
                <c:pt idx="75">
                  <c:v>2.4521348062286319</c:v>
                </c:pt>
                <c:pt idx="76">
                  <c:v>2.4684459225402531</c:v>
                </c:pt>
                <c:pt idx="77">
                  <c:v>2.4846503082692237</c:v>
                </c:pt>
                <c:pt idx="78">
                  <c:v>2.5007500359612171</c:v>
                </c:pt>
                <c:pt idx="79">
                  <c:v>2.5167471119415952</c:v>
                </c:pt>
                <c:pt idx="80">
                  <c:v>2.5326434792402339</c:v>
                </c:pt>
                <c:pt idx="81">
                  <c:v>2.5484410203523202</c:v>
                </c:pt>
                <c:pt idx="82">
                  <c:v>2.5641415598462269</c:v>
                </c:pt>
                <c:pt idx="83">
                  <c:v>2.5797468668286925</c:v>
                </c:pt>
                <c:pt idx="84">
                  <c:v>2.5952586572767342</c:v>
                </c:pt>
                <c:pt idx="85">
                  <c:v>2.610678596244997</c:v>
                </c:pt>
                <c:pt idx="86">
                  <c:v>2.626008299956573</c:v>
                </c:pt>
                <c:pt idx="87">
                  <c:v>2.641249337784723</c:v>
                </c:pt>
                <c:pt idx="88">
                  <c:v>2.6564032341323838</c:v>
                </c:pt>
                <c:pt idx="89">
                  <c:v>2.6714900465316833</c:v>
                </c:pt>
                <c:pt idx="90">
                  <c:v>2.6865005054157196</c:v>
                </c:pt>
                <c:pt idx="91">
                  <c:v>2.7014287164361996</c:v>
                </c:pt>
                <c:pt idx="92">
                  <c:v>2.7162760419753789</c:v>
                </c:pt>
                <c:pt idx="93">
                  <c:v>2.7317900770777452</c:v>
                </c:pt>
                <c:pt idx="94">
                  <c:v>2.7612024702651827</c:v>
                </c:pt>
                <c:pt idx="95">
                  <c:v>2.7906369477513215</c:v>
                </c:pt>
                <c:pt idx="96">
                  <c:v>2.8200589063307264</c:v>
                </c:pt>
                <c:pt idx="97">
                  <c:v>2.8494768298153375</c:v>
                </c:pt>
                <c:pt idx="98">
                  <c:v>2.8788956276776494</c:v>
                </c:pt>
                <c:pt idx="99">
                  <c:v>2.9083152999710031</c:v>
                </c:pt>
                <c:pt idx="100">
                  <c:v>2.9377358467487507</c:v>
                </c:pt>
              </c:numCache>
            </c:numRef>
          </c:val>
          <c:smooth val="0"/>
          <c:extLst>
            <c:ext xmlns:c16="http://schemas.microsoft.com/office/drawing/2014/chart" uri="{C3380CC4-5D6E-409C-BE32-E72D297353CC}">
              <c16:uniqueId val="{00000002-447A-452D-BA63-8F5F5DADC23C}"/>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1.0090105859662863</c:v>
                </c:pt>
                <c:pt idx="2">
                  <c:v>1.0180211719325727</c:v>
                </c:pt>
                <c:pt idx="3">
                  <c:v>1.027031757898859</c:v>
                </c:pt>
                <c:pt idx="4">
                  <c:v>1.0360423438651454</c:v>
                </c:pt>
                <c:pt idx="5">
                  <c:v>1.0450529298314317</c:v>
                </c:pt>
                <c:pt idx="6">
                  <c:v>1.0540635157977181</c:v>
                </c:pt>
                <c:pt idx="7">
                  <c:v>1.0630741017640044</c:v>
                </c:pt>
                <c:pt idx="8">
                  <c:v>1.0720846877302908</c:v>
                </c:pt>
                <c:pt idx="9">
                  <c:v>1.0810952736965771</c:v>
                </c:pt>
                <c:pt idx="10">
                  <c:v>1.0901058596628634</c:v>
                </c:pt>
                <c:pt idx="11">
                  <c:v>1.0991164456291498</c:v>
                </c:pt>
                <c:pt idx="12">
                  <c:v>1.1081270315954361</c:v>
                </c:pt>
                <c:pt idx="13">
                  <c:v>1.1171376175617225</c:v>
                </c:pt>
                <c:pt idx="14">
                  <c:v>1.1261482035280088</c:v>
                </c:pt>
                <c:pt idx="15">
                  <c:v>1.1351587894942952</c:v>
                </c:pt>
                <c:pt idx="16">
                  <c:v>1.1441693754605815</c:v>
                </c:pt>
                <c:pt idx="17">
                  <c:v>1.1531799614268678</c:v>
                </c:pt>
                <c:pt idx="18">
                  <c:v>1.1621905473931542</c:v>
                </c:pt>
                <c:pt idx="19">
                  <c:v>1.1712011333594405</c:v>
                </c:pt>
                <c:pt idx="20">
                  <c:v>1.1802117193257269</c:v>
                </c:pt>
                <c:pt idx="21">
                  <c:v>1.1892223052920132</c:v>
                </c:pt>
                <c:pt idx="22">
                  <c:v>1.1982328912582996</c:v>
                </c:pt>
                <c:pt idx="23">
                  <c:v>1.2177363047355529</c:v>
                </c:pt>
                <c:pt idx="24">
                  <c:v>1.2393732825074435</c:v>
                </c:pt>
                <c:pt idx="25">
                  <c:v>1.2605645317989493</c:v>
                </c:pt>
                <c:pt idx="26">
                  <c:v>1.2813365449162735</c:v>
                </c:pt>
                <c:pt idx="27">
                  <c:v>1.3017261282048767</c:v>
                </c:pt>
                <c:pt idx="28">
                  <c:v>1.3276515609066759</c:v>
                </c:pt>
                <c:pt idx="29">
                  <c:v>1.367711414930384</c:v>
                </c:pt>
                <c:pt idx="30">
                  <c:v>1.4076882961119268</c:v>
                </c:pt>
                <c:pt idx="31">
                  <c:v>1.4476743433482797</c:v>
                </c:pt>
                <c:pt idx="32">
                  <c:v>1.4876695602739476</c:v>
                </c:pt>
                <c:pt idx="33">
                  <c:v>1.527673950533829</c:v>
                </c:pt>
                <c:pt idx="34">
                  <c:v>1.5676875177819349</c:v>
                </c:pt>
                <c:pt idx="35">
                  <c:v>1.6077102656803302</c:v>
                </c:pt>
                <c:pt idx="36">
                  <c:v>1.6477421978982616</c:v>
                </c:pt>
                <c:pt idx="37">
                  <c:v>1.687783318111433</c:v>
                </c:pt>
                <c:pt idx="38">
                  <c:v>1.7278336300013977</c:v>
                </c:pt>
                <c:pt idx="39">
                  <c:v>1.767893137255049</c:v>
                </c:pt>
                <c:pt idx="40">
                  <c:v>1.80796184356419</c:v>
                </c:pt>
                <c:pt idx="41">
                  <c:v>1.848039752625168</c:v>
                </c:pt>
                <c:pt idx="42">
                  <c:v>1.888126868138563</c:v>
                </c:pt>
                <c:pt idx="43">
                  <c:v>1.9282231938089236</c:v>
                </c:pt>
                <c:pt idx="44">
                  <c:v>1.9683287333445363</c:v>
                </c:pt>
                <c:pt idx="45">
                  <c:v>2.0084434904572293</c:v>
                </c:pt>
                <c:pt idx="46">
                  <c:v>2.0485674688622035</c:v>
                </c:pt>
                <c:pt idx="47">
                  <c:v>2.088700672277882</c:v>
                </c:pt>
                <c:pt idx="48">
                  <c:v>2.1288431044257852</c:v>
                </c:pt>
                <c:pt idx="49">
                  <c:v>2.1689947690304159</c:v>
                </c:pt>
                <c:pt idx="50">
                  <c:v>2.209155669819161</c:v>
                </c:pt>
                <c:pt idx="51">
                  <c:v>2.2493258105222087</c:v>
                </c:pt>
                <c:pt idx="52">
                  <c:v>2.2895051948724681</c:v>
                </c:pt>
                <c:pt idx="53">
                  <c:v>2.3296938266055047</c:v>
                </c:pt>
                <c:pt idx="54">
                  <c:v>2.3698917094594849</c:v>
                </c:pt>
                <c:pt idx="55">
                  <c:v>2.4100988471751137</c:v>
                </c:pt>
                <c:pt idx="56">
                  <c:v>2.4503152434955995</c:v>
                </c:pt>
                <c:pt idx="57">
                  <c:v>2.4905409021666061</c:v>
                </c:pt>
                <c:pt idx="58">
                  <c:v>2.5307758269362193</c:v>
                </c:pt>
                <c:pt idx="59">
                  <c:v>2.5710200215549119</c:v>
                </c:pt>
                <c:pt idx="60">
                  <c:v>2.6112734897755132</c:v>
                </c:pt>
                <c:pt idx="61">
                  <c:v>2.6515362353531877</c:v>
                </c:pt>
                <c:pt idx="62">
                  <c:v>2.6918082620454076</c:v>
                </c:pt>
                <c:pt idx="63">
                  <c:v>2.7320895736119324</c:v>
                </c:pt>
                <c:pt idx="64">
                  <c:v>2.7723801738147911</c:v>
                </c:pt>
                <c:pt idx="65">
                  <c:v>2.8126800664182658</c:v>
                </c:pt>
                <c:pt idx="66">
                  <c:v>2.8529892551888718</c:v>
                </c:pt>
                <c:pt idx="67">
                  <c:v>2.8933077438953498</c:v>
                </c:pt>
                <c:pt idx="68">
                  <c:v>2.9336355363086506</c:v>
                </c:pt>
                <c:pt idx="69">
                  <c:v>2.973972636201923</c:v>
                </c:pt>
                <c:pt idx="70">
                  <c:v>3.0143190473505084</c:v>
                </c:pt>
                <c:pt idx="71">
                  <c:v>3.054674773531922</c:v>
                </c:pt>
                <c:pt idx="72">
                  <c:v>3.095039818525859</c:v>
                </c:pt>
                <c:pt idx="73">
                  <c:v>3.1354141861141724</c:v>
                </c:pt>
                <c:pt idx="74">
                  <c:v>3.175797880080875</c:v>
                </c:pt>
                <c:pt idx="75">
                  <c:v>3.2161909042121337</c:v>
                </c:pt>
                <c:pt idx="76">
                  <c:v>3.2565932622962599</c:v>
                </c:pt>
                <c:pt idx="77">
                  <c:v>3.2970049581237042</c:v>
                </c:pt>
                <c:pt idx="78">
                  <c:v>3.3374259954870578</c:v>
                </c:pt>
                <c:pt idx="79">
                  <c:v>3.3778563781810451</c:v>
                </c:pt>
                <c:pt idx="80">
                  <c:v>3.4182961100025189</c:v>
                </c:pt>
                <c:pt idx="81">
                  <c:v>3.4587451947504588</c:v>
                </c:pt>
                <c:pt idx="82">
                  <c:v>3.4992036362259649</c:v>
                </c:pt>
                <c:pt idx="83">
                  <c:v>3.5396714382322649</c:v>
                </c:pt>
                <c:pt idx="84">
                  <c:v>3.5801486045747035</c:v>
                </c:pt>
                <c:pt idx="85">
                  <c:v>3.6206351390607372</c:v>
                </c:pt>
                <c:pt idx="86">
                  <c:v>3.6611310454999435</c:v>
                </c:pt>
                <c:pt idx="87">
                  <c:v>3.7016363277040112</c:v>
                </c:pt>
                <c:pt idx="88">
                  <c:v>3.7421509894867429</c:v>
                </c:pt>
                <c:pt idx="89">
                  <c:v>3.7826750346640514</c:v>
                </c:pt>
                <c:pt idx="90">
                  <c:v>3.8232084670539601</c:v>
                </c:pt>
                <c:pt idx="91">
                  <c:v>3.8637512904766034</c:v>
                </c:pt>
                <c:pt idx="92">
                  <c:v>3.9043035087542224</c:v>
                </c:pt>
                <c:pt idx="93">
                  <c:v>3.9448651257111678</c:v>
                </c:pt>
                <c:pt idx="94">
                  <c:v>3.9854361451738995</c:v>
                </c:pt>
                <c:pt idx="95">
                  <c:v>4.0260165709709828</c:v>
                </c:pt>
                <c:pt idx="96">
                  <c:v>4.0666064069330945</c:v>
                </c:pt>
                <c:pt idx="97">
                  <c:v>4.1072056568930133</c:v>
                </c:pt>
                <c:pt idx="98">
                  <c:v>4.1478143246856316</c:v>
                </c:pt>
                <c:pt idx="99">
                  <c:v>4.188432414147945</c:v>
                </c:pt>
                <c:pt idx="100">
                  <c:v>4.2290599291190603</c:v>
                </c:pt>
              </c:numCache>
            </c:numRef>
          </c:val>
          <c:smooth val="0"/>
          <c:extLst>
            <c:ext xmlns:c16="http://schemas.microsoft.com/office/drawing/2014/chart" uri="{C3380CC4-5D6E-409C-BE32-E72D297353CC}">
              <c16:uniqueId val="{00000000-745B-46F7-8EAC-D410ADA60268}"/>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Single'!$AK$5:$AK$105</c:f>
              <c:numCache>
                <c:formatCode>0.000</c:formatCode>
                <c:ptCount val="101"/>
                <c:pt idx="0">
                  <c:v>1.0068571428571429</c:v>
                </c:pt>
                <c:pt idx="1">
                  <c:v>1.0090105859662863</c:v>
                </c:pt>
                <c:pt idx="2">
                  <c:v>1.0180211719325727</c:v>
                </c:pt>
                <c:pt idx="3">
                  <c:v>1.027031757898859</c:v>
                </c:pt>
                <c:pt idx="4">
                  <c:v>1.0360423438651454</c:v>
                </c:pt>
                <c:pt idx="5">
                  <c:v>1.0450529298314317</c:v>
                </c:pt>
                <c:pt idx="6">
                  <c:v>1.0540635157977181</c:v>
                </c:pt>
                <c:pt idx="7">
                  <c:v>1.0630741017640044</c:v>
                </c:pt>
                <c:pt idx="8">
                  <c:v>1.0720846877302908</c:v>
                </c:pt>
                <c:pt idx="9">
                  <c:v>1.0810952736965771</c:v>
                </c:pt>
                <c:pt idx="10">
                  <c:v>1.0901058596628634</c:v>
                </c:pt>
                <c:pt idx="11">
                  <c:v>1.0991164456291498</c:v>
                </c:pt>
                <c:pt idx="12">
                  <c:v>1.1081270315954361</c:v>
                </c:pt>
                <c:pt idx="13">
                  <c:v>1.1171376175617225</c:v>
                </c:pt>
                <c:pt idx="14">
                  <c:v>1.1261482035280088</c:v>
                </c:pt>
                <c:pt idx="15">
                  <c:v>1.1351587894942952</c:v>
                </c:pt>
                <c:pt idx="16">
                  <c:v>1.1441693754605815</c:v>
                </c:pt>
                <c:pt idx="17">
                  <c:v>1.1531799614268678</c:v>
                </c:pt>
                <c:pt idx="18">
                  <c:v>1.1621905473931542</c:v>
                </c:pt>
                <c:pt idx="19">
                  <c:v>1.1712011333594405</c:v>
                </c:pt>
                <c:pt idx="20">
                  <c:v>1.1802117193257269</c:v>
                </c:pt>
                <c:pt idx="21">
                  <c:v>1.1892223052920132</c:v>
                </c:pt>
                <c:pt idx="22">
                  <c:v>1.1982328912582996</c:v>
                </c:pt>
                <c:pt idx="23">
                  <c:v>1.2177363047355529</c:v>
                </c:pt>
                <c:pt idx="24">
                  <c:v>1.2393732825074435</c:v>
                </c:pt>
                <c:pt idx="25">
                  <c:v>1.2605645317989493</c:v>
                </c:pt>
                <c:pt idx="26">
                  <c:v>1.2813365449162735</c:v>
                </c:pt>
                <c:pt idx="27">
                  <c:v>1.3017132894029111</c:v>
                </c:pt>
                <c:pt idx="28">
                  <c:v>1.3217165325844933</c:v>
                </c:pt>
                <c:pt idx="29">
                  <c:v>1.3413661143676159</c:v>
                </c:pt>
                <c:pt idx="30">
                  <c:v>1.3606801780329258</c:v>
                </c:pt>
                <c:pt idx="31">
                  <c:v>1.379675366667374</c:v>
                </c:pt>
                <c:pt idx="32">
                  <c:v>1.3983669912886905</c:v>
                </c:pt>
                <c:pt idx="33">
                  <c:v>1.4167691754938991</c:v>
                </c:pt>
                <c:pt idx="34">
                  <c:v>1.4348949805182472</c:v>
                </c:pt>
                <c:pt idx="35">
                  <c:v>1.4527565138526919</c:v>
                </c:pt>
                <c:pt idx="36">
                  <c:v>1.4703650239871127</c:v>
                </c:pt>
                <c:pt idx="37">
                  <c:v>1.4877309833857137</c:v>
                </c:pt>
                <c:pt idx="38">
                  <c:v>1.5048641614332572</c:v>
                </c:pt>
                <c:pt idx="39">
                  <c:v>1.5217736887950908</c:v>
                </c:pt>
                <c:pt idx="40">
                  <c:v>1.5384681143948156</c:v>
                </c:pt>
                <c:pt idx="41">
                  <c:v>1.5549554560189156</c:v>
                </c:pt>
                <c:pt idx="42">
                  <c:v>1.5712432453985139</c:v>
                </c:pt>
                <c:pt idx="43">
                  <c:v>1.5873385684875643</c:v>
                </c:pt>
                <c:pt idx="44">
                  <c:v>1.6032481015486266</c:v>
                </c:pt>
                <c:pt idx="45">
                  <c:v>1.6189781435675343</c:v>
                </c:pt>
                <c:pt idx="46">
                  <c:v>1.6345346454433696</c:v>
                </c:pt>
                <c:pt idx="47">
                  <c:v>1.6499232363373686</c:v>
                </c:pt>
                <c:pt idx="48">
                  <c:v>1.665149247511597</c:v>
                </c:pt>
                <c:pt idx="49">
                  <c:v>1.6802177339436348</c:v>
                </c:pt>
                <c:pt idx="50">
                  <c:v>1.695133493965735</c:v>
                </c:pt>
                <c:pt idx="51">
                  <c:v>1.7099010871447442</c:v>
                </c:pt>
                <c:pt idx="52">
                  <c:v>1.7245248505916506</c:v>
                </c:pt>
                <c:pt idx="53">
                  <c:v>1.7390089138661131</c:v>
                </c:pt>
                <c:pt idx="54">
                  <c:v>1.7533572126211303</c:v>
                </c:pt>
                <c:pt idx="55">
                  <c:v>1.7675735011156219</c:v>
                </c:pt>
                <c:pt idx="56">
                  <c:v>1.7816613637076419</c:v>
                </c:pt>
                <c:pt idx="57">
                  <c:v>1.7956242254279293</c:v>
                </c:pt>
                <c:pt idx="58">
                  <c:v>1.8094653617221683</c:v>
                </c:pt>
                <c:pt idx="59">
                  <c:v>1.8231879074404671</c:v>
                </c:pt>
                <c:pt idx="60">
                  <c:v>1.8367948651439527</c:v>
                </c:pt>
                <c:pt idx="61">
                  <c:v>1.8502891127908372</c:v>
                </c:pt>
                <c:pt idx="62">
                  <c:v>1.8636734108576811</c:v>
                </c:pt>
                <c:pt idx="63">
                  <c:v>1.8769504089457747</c:v>
                </c:pt>
                <c:pt idx="64">
                  <c:v>1.8901226519174164</c:v>
                </c:pt>
                <c:pt idx="65">
                  <c:v>1.9031925856023366</c:v>
                </c:pt>
                <c:pt idx="66">
                  <c:v>1.9161656473316135</c:v>
                </c:pt>
                <c:pt idx="67">
                  <c:v>1.929060486301994</c:v>
                </c:pt>
                <c:pt idx="68">
                  <c:v>1.9418605508002595</c:v>
                </c:pt>
                <c:pt idx="69">
                  <c:v>1.9545679454323399</c:v>
                </c:pt>
                <c:pt idx="70">
                  <c:v>1.9786891866734377</c:v>
                </c:pt>
                <c:pt idx="71">
                  <c:v>2.0039980499098773</c:v>
                </c:pt>
                <c:pt idx="72">
                  <c:v>2.0292819323849915</c:v>
                </c:pt>
                <c:pt idx="73">
                  <c:v>2.0545671897261943</c:v>
                </c:pt>
                <c:pt idx="74">
                  <c:v>2.0798538220791163</c:v>
                </c:pt>
                <c:pt idx="75">
                  <c:v>2.105141829589452</c:v>
                </c:pt>
                <c:pt idx="76">
                  <c:v>2.130431212402963</c:v>
                </c:pt>
                <c:pt idx="77">
                  <c:v>2.1557219706654709</c:v>
                </c:pt>
                <c:pt idx="78">
                  <c:v>2.1810141045228537</c:v>
                </c:pt>
                <c:pt idx="79">
                  <c:v>2.2063076141210494</c:v>
                </c:pt>
                <c:pt idx="80">
                  <c:v>2.231602499606046</c:v>
                </c:pt>
                <c:pt idx="81">
                  <c:v>2.2568987611238853</c:v>
                </c:pt>
                <c:pt idx="82">
                  <c:v>2.2821963988206577</c:v>
                </c:pt>
                <c:pt idx="83">
                  <c:v>2.3074954128425027</c:v>
                </c:pt>
                <c:pt idx="84">
                  <c:v>2.3327958033356038</c:v>
                </c:pt>
                <c:pt idx="85">
                  <c:v>2.3580975704461942</c:v>
                </c:pt>
                <c:pt idx="86">
                  <c:v>2.3834007143205431</c:v>
                </c:pt>
                <c:pt idx="87">
                  <c:v>2.4087052351049669</c:v>
                </c:pt>
                <c:pt idx="88">
                  <c:v>2.4340111329458232</c:v>
                </c:pt>
                <c:pt idx="89">
                  <c:v>2.4593184079895059</c:v>
                </c:pt>
                <c:pt idx="90">
                  <c:v>2.484627060382449</c:v>
                </c:pt>
                <c:pt idx="91">
                  <c:v>2.5099370902711251</c:v>
                </c:pt>
                <c:pt idx="92">
                  <c:v>2.5352484978020415</c:v>
                </c:pt>
                <c:pt idx="93">
                  <c:v>2.5605612831217437</c:v>
                </c:pt>
                <c:pt idx="94">
                  <c:v>2.5858754463768099</c:v>
                </c:pt>
                <c:pt idx="95">
                  <c:v>2.6111909877138531</c:v>
                </c:pt>
                <c:pt idx="96">
                  <c:v>2.6365079072795217</c:v>
                </c:pt>
                <c:pt idx="97">
                  <c:v>2.6618262052204944</c:v>
                </c:pt>
                <c:pt idx="98">
                  <c:v>2.6871458816834837</c:v>
                </c:pt>
                <c:pt idx="99">
                  <c:v>2.7124669368152317</c:v>
                </c:pt>
                <c:pt idx="100">
                  <c:v>2.7377893707625143</c:v>
                </c:pt>
              </c:numCache>
            </c:numRef>
          </c:val>
          <c:smooth val="0"/>
          <c:extLst>
            <c:ext xmlns:c16="http://schemas.microsoft.com/office/drawing/2014/chart" uri="{C3380CC4-5D6E-409C-BE32-E72D297353CC}">
              <c16:uniqueId val="{00000001-745B-46F7-8EAC-D410ADA60268}"/>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1.0090105859662863</c:v>
                </c:pt>
                <c:pt idx="2">
                  <c:v>1.0180211719325727</c:v>
                </c:pt>
                <c:pt idx="3">
                  <c:v>1.027031757898859</c:v>
                </c:pt>
                <c:pt idx="4">
                  <c:v>1.0360423438651454</c:v>
                </c:pt>
                <c:pt idx="5">
                  <c:v>1.0450529298314317</c:v>
                </c:pt>
                <c:pt idx="6">
                  <c:v>1.0540635157977181</c:v>
                </c:pt>
                <c:pt idx="7">
                  <c:v>1.0630741017640044</c:v>
                </c:pt>
                <c:pt idx="8">
                  <c:v>1.0720846877302908</c:v>
                </c:pt>
                <c:pt idx="9">
                  <c:v>1.0810952736965771</c:v>
                </c:pt>
                <c:pt idx="10">
                  <c:v>1.0901058596628634</c:v>
                </c:pt>
                <c:pt idx="11">
                  <c:v>1.0991164456291498</c:v>
                </c:pt>
                <c:pt idx="12">
                  <c:v>1.1081270315954361</c:v>
                </c:pt>
                <c:pt idx="13">
                  <c:v>1.1171376175617225</c:v>
                </c:pt>
                <c:pt idx="14">
                  <c:v>1.1261482035280088</c:v>
                </c:pt>
                <c:pt idx="15">
                  <c:v>1.1351587894942952</c:v>
                </c:pt>
                <c:pt idx="16">
                  <c:v>1.1441693754605815</c:v>
                </c:pt>
                <c:pt idx="17">
                  <c:v>1.1531799614268678</c:v>
                </c:pt>
                <c:pt idx="18">
                  <c:v>1.1621905473931542</c:v>
                </c:pt>
                <c:pt idx="19">
                  <c:v>1.1712011333594405</c:v>
                </c:pt>
                <c:pt idx="20">
                  <c:v>1.1802117193257269</c:v>
                </c:pt>
                <c:pt idx="21">
                  <c:v>1.1892223052920132</c:v>
                </c:pt>
                <c:pt idx="22">
                  <c:v>1.1982328912582996</c:v>
                </c:pt>
                <c:pt idx="23">
                  <c:v>1.2177363047355529</c:v>
                </c:pt>
                <c:pt idx="24">
                  <c:v>1.2393732825074435</c:v>
                </c:pt>
                <c:pt idx="25">
                  <c:v>1.2605645317989493</c:v>
                </c:pt>
                <c:pt idx="26">
                  <c:v>1.2813365449162735</c:v>
                </c:pt>
                <c:pt idx="27">
                  <c:v>1.3017132894029111</c:v>
                </c:pt>
                <c:pt idx="28">
                  <c:v>1.3217165325844933</c:v>
                </c:pt>
                <c:pt idx="29">
                  <c:v>1.3413661143676159</c:v>
                </c:pt>
                <c:pt idx="30">
                  <c:v>1.3606801780329258</c:v>
                </c:pt>
                <c:pt idx="31">
                  <c:v>1.379675366667374</c:v>
                </c:pt>
                <c:pt idx="32">
                  <c:v>1.3983669912886905</c:v>
                </c:pt>
                <c:pt idx="33">
                  <c:v>1.4167691754938991</c:v>
                </c:pt>
                <c:pt idx="34">
                  <c:v>1.4348949805182472</c:v>
                </c:pt>
                <c:pt idx="35">
                  <c:v>1.4527565138526919</c:v>
                </c:pt>
                <c:pt idx="36">
                  <c:v>1.4703650239871127</c:v>
                </c:pt>
                <c:pt idx="37">
                  <c:v>1.4877309833857137</c:v>
                </c:pt>
                <c:pt idx="38">
                  <c:v>1.5048641614332572</c:v>
                </c:pt>
                <c:pt idx="39">
                  <c:v>1.5217736887950908</c:v>
                </c:pt>
                <c:pt idx="40">
                  <c:v>1.5384681143948156</c:v>
                </c:pt>
                <c:pt idx="41">
                  <c:v>1.5549554560189156</c:v>
                </c:pt>
                <c:pt idx="42">
                  <c:v>1.5712432453985139</c:v>
                </c:pt>
                <c:pt idx="43">
                  <c:v>1.5873385684875643</c:v>
                </c:pt>
                <c:pt idx="44">
                  <c:v>1.6032481015486266</c:v>
                </c:pt>
                <c:pt idx="45">
                  <c:v>1.6189781435675343</c:v>
                </c:pt>
                <c:pt idx="46">
                  <c:v>1.6345346454433696</c:v>
                </c:pt>
                <c:pt idx="47">
                  <c:v>1.6499232363373686</c:v>
                </c:pt>
                <c:pt idx="48">
                  <c:v>1.665149247511597</c:v>
                </c:pt>
                <c:pt idx="49">
                  <c:v>1.6802177339436348</c:v>
                </c:pt>
                <c:pt idx="50">
                  <c:v>1.695133493965735</c:v>
                </c:pt>
                <c:pt idx="51">
                  <c:v>1.7099010871447442</c:v>
                </c:pt>
                <c:pt idx="52">
                  <c:v>1.7245248505916506</c:v>
                </c:pt>
                <c:pt idx="53">
                  <c:v>1.7390089138661131</c:v>
                </c:pt>
                <c:pt idx="54">
                  <c:v>1.7533572126211303</c:v>
                </c:pt>
                <c:pt idx="55">
                  <c:v>1.7675735011156219</c:v>
                </c:pt>
                <c:pt idx="56">
                  <c:v>1.7816613637076419</c:v>
                </c:pt>
                <c:pt idx="57">
                  <c:v>1.7956242254279293</c:v>
                </c:pt>
                <c:pt idx="58">
                  <c:v>1.8094653617221683</c:v>
                </c:pt>
                <c:pt idx="59">
                  <c:v>1.8231879074404671</c:v>
                </c:pt>
                <c:pt idx="60">
                  <c:v>1.8367948651439527</c:v>
                </c:pt>
                <c:pt idx="61">
                  <c:v>1.8502891127908372</c:v>
                </c:pt>
                <c:pt idx="62">
                  <c:v>1.8636734108576811</c:v>
                </c:pt>
                <c:pt idx="63">
                  <c:v>1.8769504089457747</c:v>
                </c:pt>
                <c:pt idx="64">
                  <c:v>1.8901226519174164</c:v>
                </c:pt>
                <c:pt idx="65">
                  <c:v>1.9031925856023366</c:v>
                </c:pt>
                <c:pt idx="66">
                  <c:v>1.9161625621105127</c:v>
                </c:pt>
                <c:pt idx="67">
                  <c:v>1.9290348447840509</c:v>
                </c:pt>
                <c:pt idx="68">
                  <c:v>1.9418116128176661</c:v>
                </c:pt>
                <c:pt idx="69">
                  <c:v>1.9544949655744688</c:v>
                </c:pt>
                <c:pt idx="70">
                  <c:v>1.9670869266212576</c:v>
                </c:pt>
                <c:pt idx="71">
                  <c:v>1.9795894475052931</c:v>
                </c:pt>
                <c:pt idx="72">
                  <c:v>1.9920044112924984</c:v>
                </c:pt>
                <c:pt idx="73">
                  <c:v>2.0043336358852617</c:v>
                </c:pt>
                <c:pt idx="74">
                  <c:v>2.0165788771363875</c:v>
                </c:pt>
                <c:pt idx="75">
                  <c:v>2.0287418317742949</c:v>
                </c:pt>
                <c:pt idx="76">
                  <c:v>2.0408241401532736</c:v>
                </c:pt>
                <c:pt idx="77">
                  <c:v>2.0528273888414001</c:v>
                </c:pt>
                <c:pt idx="78">
                  <c:v>2.0647531130576917</c:v>
                </c:pt>
                <c:pt idx="79">
                  <c:v>2.0766027989690827</c:v>
                </c:pt>
                <c:pt idx="80">
                  <c:v>2.0883778858569633</c:v>
                </c:pt>
                <c:pt idx="81">
                  <c:v>2.1000797681622121</c:v>
                </c:pt>
                <c:pt idx="82">
                  <c:v>2.1117097974169581</c:v>
                </c:pt>
                <c:pt idx="83">
                  <c:v>2.123269284070636</c:v>
                </c:pt>
                <c:pt idx="84">
                  <c:v>2.134759499217334</c:v>
                </c:pt>
                <c:pt idx="85">
                  <c:v>2.1461816762308619</c:v>
                </c:pt>
                <c:pt idx="86">
                  <c:v>2.1575370123135107</c:v>
                </c:pt>
                <c:pt idx="87">
                  <c:v>2.168826669963992</c:v>
                </c:pt>
                <c:pt idx="88">
                  <c:v>2.1800517783696667</c:v>
                </c:pt>
                <c:pt idx="89">
                  <c:v>2.1912271949617406</c:v>
                </c:pt>
                <c:pt idx="90">
                  <c:v>2.20234605339436</c:v>
                </c:pt>
                <c:pt idx="91">
                  <c:v>2.2134039874836047</c:v>
                </c:pt>
                <c:pt idx="92">
                  <c:v>2.2244020064015149</c:v>
                </c:pt>
                <c:pt idx="93">
                  <c:v>2.2358938842551197</c:v>
                </c:pt>
                <c:pt idx="94">
                  <c:v>2.25768084217174</c:v>
                </c:pt>
                <c:pt idx="95">
                  <c:v>2.2794841588281392</c:v>
                </c:pt>
                <c:pt idx="96">
                  <c:v>2.3012782022202911</c:v>
                </c:pt>
                <c:pt idx="97">
                  <c:v>2.3230692566533362</c:v>
                </c:pt>
                <c:pt idx="98">
                  <c:v>2.3448609587735674</c:v>
                </c:pt>
                <c:pt idx="99">
                  <c:v>2.3666533086204957</c:v>
                </c:pt>
                <c:pt idx="100">
                  <c:v>2.3884463062336421</c:v>
                </c:pt>
              </c:numCache>
            </c:numRef>
          </c:val>
          <c:smooth val="0"/>
          <c:extLst>
            <c:ext xmlns:c16="http://schemas.microsoft.com/office/drawing/2014/chart" uri="{C3380CC4-5D6E-409C-BE32-E72D297353CC}">
              <c16:uniqueId val="{00000002-745B-46F7-8EAC-D410ADA60268}"/>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Single'!$CB$5:$CB$105</c:f>
              <c:numCache>
                <c:formatCode>0.00</c:formatCode>
                <c:ptCount val="101"/>
                <c:pt idx="0">
                  <c:v>3.0069218587900618E-5</c:v>
                </c:pt>
                <c:pt idx="1">
                  <c:v>70.084436916868938</c:v>
                </c:pt>
                <c:pt idx="2">
                  <c:v>75.376827097846828</c:v>
                </c:pt>
                <c:pt idx="3">
                  <c:v>77.323030781987995</c:v>
                </c:pt>
                <c:pt idx="4">
                  <c:v>78.334208542735553</c:v>
                </c:pt>
                <c:pt idx="5">
                  <c:v>78.953625033579087</c:v>
                </c:pt>
                <c:pt idx="6">
                  <c:v>79.371968678206912</c:v>
                </c:pt>
                <c:pt idx="7">
                  <c:v>79.673448207635829</c:v>
                </c:pt>
                <c:pt idx="8">
                  <c:v>79.901010616144347</c:v>
                </c:pt>
                <c:pt idx="9">
                  <c:v>80.078855654193987</c:v>
                </c:pt>
                <c:pt idx="10">
                  <c:v>80.221658772854028</c:v>
                </c:pt>
                <c:pt idx="11">
                  <c:v>80.338836993928481</c:v>
                </c:pt>
                <c:pt idx="12">
                  <c:v>80.436710493553093</c:v>
                </c:pt>
                <c:pt idx="13">
                  <c:v>80.519678913845112</c:v>
                </c:pt>
                <c:pt idx="14">
                  <c:v>80.590899356096173</c:v>
                </c:pt>
                <c:pt idx="15">
                  <c:v>80.652696098607521</c:v>
                </c:pt>
                <c:pt idx="16">
                  <c:v>80.706818223306669</c:v>
                </c:pt>
                <c:pt idx="17">
                  <c:v>80.754607180827023</c:v>
                </c:pt>
                <c:pt idx="18">
                  <c:v>80.797109002955182</c:v>
                </c:pt>
                <c:pt idx="19">
                  <c:v>80.835151381664858</c:v>
                </c:pt>
                <c:pt idx="20">
                  <c:v>80.869397811799033</c:v>
                </c:pt>
                <c:pt idx="21">
                  <c:v>80.90038638383119</c:v>
                </c:pt>
                <c:pt idx="22">
                  <c:v>80.928558074769597</c:v>
                </c:pt>
                <c:pt idx="23">
                  <c:v>81.222050724210277</c:v>
                </c:pt>
                <c:pt idx="24">
                  <c:v>81.558738012876987</c:v>
                </c:pt>
                <c:pt idx="25">
                  <c:v>81.873487489855037</c:v>
                </c:pt>
                <c:pt idx="26">
                  <c:v>82.168482470940006</c:v>
                </c:pt>
                <c:pt idx="27">
                  <c:v>82.445619394833145</c:v>
                </c:pt>
                <c:pt idx="28">
                  <c:v>82.706554018671881</c:v>
                </c:pt>
                <c:pt idx="29">
                  <c:v>82.952738896957925</c:v>
                </c:pt>
                <c:pt idx="30">
                  <c:v>83.185454014306089</c:v>
                </c:pt>
                <c:pt idx="31">
                  <c:v>83.405831995636348</c:v>
                </c:pt>
                <c:pt idx="32">
                  <c:v>83.614878987567536</c:v>
                </c:pt>
                <c:pt idx="33">
                  <c:v>83.813492058723781</c:v>
                </c:pt>
                <c:pt idx="34">
                  <c:v>84.002473781364472</c:v>
                </c:pt>
                <c:pt idx="35">
                  <c:v>84.182544515939639</c:v>
                </c:pt>
                <c:pt idx="36">
                  <c:v>84.354352812264295</c:v>
                </c:pt>
                <c:pt idx="37">
                  <c:v>84.518484257654904</c:v>
                </c:pt>
                <c:pt idx="38">
                  <c:v>84.675469037504087</c:v>
                </c:pt>
                <c:pt idx="39">
                  <c:v>84.825788422934508</c:v>
                </c:pt>
                <c:pt idx="40">
                  <c:v>84.969880360064579</c:v>
                </c:pt>
                <c:pt idx="41">
                  <c:v>85.108144303575799</c:v>
                </c:pt>
                <c:pt idx="42">
                  <c:v>85.240945411839348</c:v>
                </c:pt>
                <c:pt idx="43">
                  <c:v>85.368618200430902</c:v>
                </c:pt>
                <c:pt idx="44">
                  <c:v>85.491469734365367</c:v>
                </c:pt>
                <c:pt idx="45">
                  <c:v>85.609782425992364</c:v>
                </c:pt>
                <c:pt idx="46">
                  <c:v>85.723816494569405</c:v>
                </c:pt>
                <c:pt idx="47">
                  <c:v>85.833812134578721</c:v>
                </c:pt>
                <c:pt idx="48">
                  <c:v>85.939991432484248</c:v>
                </c:pt>
                <c:pt idx="49">
                  <c:v>86.042560065533962</c:v>
                </c:pt>
                <c:pt idx="50">
                  <c:v>86.141708811156576</c:v>
                </c:pt>
                <c:pt idx="51">
                  <c:v>86.23761489128708</c:v>
                </c:pt>
                <c:pt idx="52">
                  <c:v>86.330443172432936</c:v>
                </c:pt>
                <c:pt idx="53">
                  <c:v>86.420347239332244</c:v>
                </c:pt>
                <c:pt idx="54">
                  <c:v>86.507470357565225</c:v>
                </c:pt>
                <c:pt idx="55">
                  <c:v>86.591946338372722</c:v>
                </c:pt>
                <c:pt idx="56">
                  <c:v>86.673900317150299</c:v>
                </c:pt>
                <c:pt idx="57">
                  <c:v>86.753449455568557</c:v>
                </c:pt>
                <c:pt idx="58">
                  <c:v>86.830703575973743</c:v>
                </c:pt>
                <c:pt idx="59">
                  <c:v>86.905765735615731</c:v>
                </c:pt>
                <c:pt idx="60">
                  <c:v>86.978732747299972</c:v>
                </c:pt>
                <c:pt idx="61">
                  <c:v>87.049695652241624</c:v>
                </c:pt>
                <c:pt idx="62">
                  <c:v>87.118740150197027</c:v>
                </c:pt>
                <c:pt idx="63">
                  <c:v>87.185946991336479</c:v>
                </c:pt>
                <c:pt idx="64">
                  <c:v>87.251392333796289</c:v>
                </c:pt>
                <c:pt idx="65">
                  <c:v>87.384484900600214</c:v>
                </c:pt>
                <c:pt idx="66">
                  <c:v>87.536634196060362</c:v>
                </c:pt>
                <c:pt idx="67">
                  <c:v>87.683465794241371</c:v>
                </c:pt>
                <c:pt idx="68">
                  <c:v>87.825252088385781</c:v>
                </c:pt>
                <c:pt idx="69">
                  <c:v>87.962226484320212</c:v>
                </c:pt>
                <c:pt idx="70">
                  <c:v>88.058639669758819</c:v>
                </c:pt>
                <c:pt idx="71">
                  <c:v>88.148212948927295</c:v>
                </c:pt>
                <c:pt idx="72">
                  <c:v>88.23476035547219</c:v>
                </c:pt>
                <c:pt idx="73">
                  <c:v>88.318391680411068</c:v>
                </c:pt>
                <c:pt idx="74">
                  <c:v>88.399231617323053</c:v>
                </c:pt>
                <c:pt idx="75">
                  <c:v>88.477398005516719</c:v>
                </c:pt>
                <c:pt idx="76">
                  <c:v>88.553002285052102</c:v>
                </c:pt>
                <c:pt idx="77">
                  <c:v>88.62614991659872</c:v>
                </c:pt>
                <c:pt idx="78">
                  <c:v>88.696940769212858</c:v>
                </c:pt>
                <c:pt idx="79">
                  <c:v>88.765469478816172</c:v>
                </c:pt>
                <c:pt idx="80">
                  <c:v>88.83182577988903</c:v>
                </c:pt>
                <c:pt idx="81">
                  <c:v>88.89609481265191</c:v>
                </c:pt>
                <c:pt idx="82">
                  <c:v>88.958357407793059</c:v>
                </c:pt>
                <c:pt idx="83">
                  <c:v>89.01869035060767</c:v>
                </c:pt>
                <c:pt idx="84">
                  <c:v>89.077166626241493</c:v>
                </c:pt>
                <c:pt idx="85">
                  <c:v>89.133855647576127</c:v>
                </c:pt>
                <c:pt idx="86">
                  <c:v>89.188823467153725</c:v>
                </c:pt>
                <c:pt idx="87">
                  <c:v>89.242132974413437</c:v>
                </c:pt>
                <c:pt idx="88">
                  <c:v>89.293844079398227</c:v>
                </c:pt>
                <c:pt idx="89">
                  <c:v>89.34401388398912</c:v>
                </c:pt>
                <c:pt idx="90">
                  <c:v>89.392696841631249</c:v>
                </c:pt>
                <c:pt idx="91">
                  <c:v>89.439944906432871</c:v>
                </c:pt>
                <c:pt idx="92">
                  <c:v>89.485807672443357</c:v>
                </c:pt>
                <c:pt idx="93">
                  <c:v>89.530332503847276</c:v>
                </c:pt>
                <c:pt idx="94">
                  <c:v>89.573564656750193</c:v>
                </c:pt>
                <c:pt idx="95">
                  <c:v>89.615547393175731</c:v>
                </c:pt>
                <c:pt idx="96">
                  <c:v>89.656322087841872</c:v>
                </c:pt>
                <c:pt idx="97">
                  <c:v>89.695928328238409</c:v>
                </c:pt>
                <c:pt idx="98">
                  <c:v>89.734404008485427</c:v>
                </c:pt>
                <c:pt idx="99">
                  <c:v>89.771785417413682</c:v>
                </c:pt>
                <c:pt idx="100">
                  <c:v>89.808107321273297</c:v>
                </c:pt>
              </c:numCache>
            </c:numRef>
          </c:val>
          <c:smooth val="0"/>
          <c:extLst>
            <c:ext xmlns:c16="http://schemas.microsoft.com/office/drawing/2014/chart" uri="{C3380CC4-5D6E-409C-BE32-E72D297353CC}">
              <c16:uniqueId val="{00000000-8093-4275-A0A4-629DC5917466}"/>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6.2124999999999988E-7</c:v>
                </c:pt>
                <c:pt idx="1">
                  <c:v>6.2124999999999995</c:v>
                </c:pt>
                <c:pt idx="2">
                  <c:v>12.424999999999999</c:v>
                </c:pt>
                <c:pt idx="3">
                  <c:v>18.637499999999999</c:v>
                </c:pt>
                <c:pt idx="4">
                  <c:v>24.849999999999998</c:v>
                </c:pt>
                <c:pt idx="5">
                  <c:v>31.062499999999996</c:v>
                </c:pt>
                <c:pt idx="6">
                  <c:v>37.274999999999999</c:v>
                </c:pt>
                <c:pt idx="7">
                  <c:v>43.487499999999997</c:v>
                </c:pt>
                <c:pt idx="8">
                  <c:v>49.699999999999996</c:v>
                </c:pt>
                <c:pt idx="9">
                  <c:v>55.912499999999994</c:v>
                </c:pt>
                <c:pt idx="10">
                  <c:v>62.124999999999993</c:v>
                </c:pt>
                <c:pt idx="11">
                  <c:v>68.337499999999991</c:v>
                </c:pt>
                <c:pt idx="12">
                  <c:v>74.55</c:v>
                </c:pt>
                <c:pt idx="13">
                  <c:v>80.762499999999989</c:v>
                </c:pt>
                <c:pt idx="14">
                  <c:v>86.974999999999994</c:v>
                </c:pt>
                <c:pt idx="15">
                  <c:v>93.187499999999986</c:v>
                </c:pt>
                <c:pt idx="16">
                  <c:v>99.399999999999991</c:v>
                </c:pt>
                <c:pt idx="17">
                  <c:v>105.61249999999998</c:v>
                </c:pt>
                <c:pt idx="18">
                  <c:v>111.82499999999999</c:v>
                </c:pt>
                <c:pt idx="19">
                  <c:v>118.03749999999998</c:v>
                </c:pt>
                <c:pt idx="20">
                  <c:v>124.24999999999999</c:v>
                </c:pt>
                <c:pt idx="21">
                  <c:v>130.46249999999998</c:v>
                </c:pt>
                <c:pt idx="22">
                  <c:v>136.67499999999998</c:v>
                </c:pt>
                <c:pt idx="23">
                  <c:v>142.88749999999999</c:v>
                </c:pt>
                <c:pt idx="24">
                  <c:v>149.1</c:v>
                </c:pt>
                <c:pt idx="25">
                  <c:v>155.3125</c:v>
                </c:pt>
                <c:pt idx="26">
                  <c:v>161.52499999999998</c:v>
                </c:pt>
                <c:pt idx="27">
                  <c:v>167.73749999999998</c:v>
                </c:pt>
                <c:pt idx="28">
                  <c:v>173.95</c:v>
                </c:pt>
                <c:pt idx="29">
                  <c:v>180.16249999999997</c:v>
                </c:pt>
                <c:pt idx="30">
                  <c:v>186.37499999999997</c:v>
                </c:pt>
                <c:pt idx="31">
                  <c:v>192.58750000000001</c:v>
                </c:pt>
                <c:pt idx="32">
                  <c:v>198.79999999999998</c:v>
                </c:pt>
                <c:pt idx="33">
                  <c:v>205.01249999999999</c:v>
                </c:pt>
                <c:pt idx="34">
                  <c:v>211.22499999999997</c:v>
                </c:pt>
                <c:pt idx="35">
                  <c:v>217.43749999999994</c:v>
                </c:pt>
                <c:pt idx="36">
                  <c:v>223.64999999999998</c:v>
                </c:pt>
                <c:pt idx="37">
                  <c:v>229.86250000000001</c:v>
                </c:pt>
                <c:pt idx="38">
                  <c:v>236.07499999999996</c:v>
                </c:pt>
                <c:pt idx="39">
                  <c:v>242.28749999999997</c:v>
                </c:pt>
                <c:pt idx="40">
                  <c:v>248.49999999999997</c:v>
                </c:pt>
                <c:pt idx="41">
                  <c:v>254.71249999999995</c:v>
                </c:pt>
                <c:pt idx="42">
                  <c:v>260.92499999999995</c:v>
                </c:pt>
                <c:pt idx="43">
                  <c:v>267.13749999999999</c:v>
                </c:pt>
                <c:pt idx="44">
                  <c:v>273.34999999999997</c:v>
                </c:pt>
                <c:pt idx="45">
                  <c:v>279.5625</c:v>
                </c:pt>
                <c:pt idx="46">
                  <c:v>285.77499999999998</c:v>
                </c:pt>
                <c:pt idx="47">
                  <c:v>291.98749999999995</c:v>
                </c:pt>
                <c:pt idx="48">
                  <c:v>298.2</c:v>
                </c:pt>
                <c:pt idx="49">
                  <c:v>304.41249999999997</c:v>
                </c:pt>
                <c:pt idx="50">
                  <c:v>310.625</c:v>
                </c:pt>
                <c:pt idx="51">
                  <c:v>316.83749999999998</c:v>
                </c:pt>
                <c:pt idx="52">
                  <c:v>323.04999999999995</c:v>
                </c:pt>
                <c:pt idx="53">
                  <c:v>329.26249999999993</c:v>
                </c:pt>
                <c:pt idx="54">
                  <c:v>335.47499999999997</c:v>
                </c:pt>
                <c:pt idx="55">
                  <c:v>341.6875</c:v>
                </c:pt>
                <c:pt idx="56">
                  <c:v>347.9</c:v>
                </c:pt>
                <c:pt idx="57">
                  <c:v>354.11249999999995</c:v>
                </c:pt>
                <c:pt idx="58">
                  <c:v>360.32499999999993</c:v>
                </c:pt>
                <c:pt idx="59">
                  <c:v>366.53749999999997</c:v>
                </c:pt>
                <c:pt idx="60">
                  <c:v>372.74999999999994</c:v>
                </c:pt>
                <c:pt idx="61">
                  <c:v>378.96249999999998</c:v>
                </c:pt>
                <c:pt idx="62">
                  <c:v>385.17500000000001</c:v>
                </c:pt>
                <c:pt idx="63">
                  <c:v>391.38749999999993</c:v>
                </c:pt>
                <c:pt idx="64">
                  <c:v>397.59999999999997</c:v>
                </c:pt>
                <c:pt idx="65">
                  <c:v>403.81249999999994</c:v>
                </c:pt>
                <c:pt idx="66">
                  <c:v>410.02499999999998</c:v>
                </c:pt>
                <c:pt idx="67">
                  <c:v>416.23749999999995</c:v>
                </c:pt>
                <c:pt idx="68">
                  <c:v>422.44999999999993</c:v>
                </c:pt>
                <c:pt idx="69">
                  <c:v>428.66249999999991</c:v>
                </c:pt>
                <c:pt idx="70">
                  <c:v>434.87499999999989</c:v>
                </c:pt>
                <c:pt idx="71">
                  <c:v>441.08749999999992</c:v>
                </c:pt>
                <c:pt idx="72">
                  <c:v>447.29999999999995</c:v>
                </c:pt>
                <c:pt idx="73">
                  <c:v>453.51249999999999</c:v>
                </c:pt>
                <c:pt idx="74">
                  <c:v>459.72500000000002</c:v>
                </c:pt>
                <c:pt idx="75">
                  <c:v>465.93749999999989</c:v>
                </c:pt>
                <c:pt idx="76">
                  <c:v>472.14999999999992</c:v>
                </c:pt>
                <c:pt idx="77">
                  <c:v>478.3624999999999</c:v>
                </c:pt>
                <c:pt idx="78">
                  <c:v>484.57499999999993</c:v>
                </c:pt>
                <c:pt idx="79">
                  <c:v>490.78749999999991</c:v>
                </c:pt>
                <c:pt idx="80">
                  <c:v>496.99999999999994</c:v>
                </c:pt>
                <c:pt idx="81">
                  <c:v>503.21249999999998</c:v>
                </c:pt>
                <c:pt idx="82">
                  <c:v>509.4249999999999</c:v>
                </c:pt>
                <c:pt idx="83">
                  <c:v>515.63749999999993</c:v>
                </c:pt>
                <c:pt idx="84">
                  <c:v>521.84999999999991</c:v>
                </c:pt>
                <c:pt idx="85">
                  <c:v>528.0625</c:v>
                </c:pt>
                <c:pt idx="86">
                  <c:v>534.27499999999998</c:v>
                </c:pt>
                <c:pt idx="87">
                  <c:v>540.48749999999995</c:v>
                </c:pt>
                <c:pt idx="88">
                  <c:v>546.69999999999993</c:v>
                </c:pt>
                <c:pt idx="89">
                  <c:v>552.91249999999991</c:v>
                </c:pt>
                <c:pt idx="90">
                  <c:v>559.125</c:v>
                </c:pt>
                <c:pt idx="91">
                  <c:v>565.33749999999998</c:v>
                </c:pt>
                <c:pt idx="92">
                  <c:v>571.54999999999995</c:v>
                </c:pt>
                <c:pt idx="93">
                  <c:v>577.76249999999993</c:v>
                </c:pt>
                <c:pt idx="94">
                  <c:v>583.97499999999991</c:v>
                </c:pt>
                <c:pt idx="95">
                  <c:v>590.18749999999989</c:v>
                </c:pt>
                <c:pt idx="96">
                  <c:v>596.4</c:v>
                </c:pt>
                <c:pt idx="97">
                  <c:v>602.61249999999984</c:v>
                </c:pt>
                <c:pt idx="98">
                  <c:v>608.82499999999993</c:v>
                </c:pt>
                <c:pt idx="99">
                  <c:v>615.03749999999991</c:v>
                </c:pt>
                <c:pt idx="100">
                  <c:v>621.25</c:v>
                </c:pt>
              </c:numCache>
            </c:numRef>
          </c:val>
          <c:smooth val="0"/>
          <c:extLst>
            <c:ext xmlns:c16="http://schemas.microsoft.com/office/drawing/2014/chart" uri="{C3380CC4-5D6E-409C-BE32-E72D297353CC}">
              <c16:uniqueId val="{00000001-8093-4275-A0A4-629DC5917466}"/>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14.358309187502581</c:v>
                </c:pt>
                <c:pt idx="1">
                  <c:v>18.878128207305469</c:v>
                </c:pt>
                <c:pt idx="2">
                  <c:v>37.757375706926524</c:v>
                </c:pt>
                <c:pt idx="3">
                  <c:v>56.637742598411094</c:v>
                </c:pt>
                <c:pt idx="4">
                  <c:v>75.519228981318918</c:v>
                </c:pt>
                <c:pt idx="5">
                  <c:v>94.401834955221545</c:v>
                </c:pt>
                <c:pt idx="6">
                  <c:v>113.28556061970234</c:v>
                </c:pt>
                <c:pt idx="7">
                  <c:v>132.17040607435646</c:v>
                </c:pt>
                <c:pt idx="8">
                  <c:v>151.05637141879089</c:v>
                </c:pt>
                <c:pt idx="9">
                  <c:v>169.94345675262431</c:v>
                </c:pt>
                <c:pt idx="10">
                  <c:v>188.83166217548754</c:v>
                </c:pt>
                <c:pt idx="11">
                  <c:v>207.72098778702286</c:v>
                </c:pt>
                <c:pt idx="12">
                  <c:v>226.61143368688448</c:v>
                </c:pt>
                <c:pt idx="13">
                  <c:v>245.50299997473857</c:v>
                </c:pt>
                <c:pt idx="14">
                  <c:v>264.395686750263</c:v>
                </c:pt>
                <c:pt idx="15">
                  <c:v>283.28949411314738</c:v>
                </c:pt>
                <c:pt idx="16">
                  <c:v>302.18442216309342</c:v>
                </c:pt>
                <c:pt idx="17">
                  <c:v>321.08047099981428</c:v>
                </c:pt>
                <c:pt idx="18">
                  <c:v>339.97764072303528</c:v>
                </c:pt>
                <c:pt idx="19">
                  <c:v>358.87593143249347</c:v>
                </c:pt>
                <c:pt idx="20">
                  <c:v>377.77534322793753</c:v>
                </c:pt>
                <c:pt idx="21">
                  <c:v>396.67587620912838</c:v>
                </c:pt>
                <c:pt idx="22">
                  <c:v>415.57753047583856</c:v>
                </c:pt>
                <c:pt idx="23">
                  <c:v>425.91542495761945</c:v>
                </c:pt>
                <c:pt idx="24">
                  <c:v>434.0157395643385</c:v>
                </c:pt>
                <c:pt idx="25">
                  <c:v>441.96114116467601</c:v>
                </c:pt>
                <c:pt idx="26">
                  <c:v>449.76110402121344</c:v>
                </c:pt>
                <c:pt idx="27">
                  <c:v>457.42419576180754</c:v>
                </c:pt>
                <c:pt idx="28">
                  <c:v>464.9581941369363</c:v>
                </c:pt>
                <c:pt idx="29">
                  <c:v>472.37018514207841</c:v>
                </c:pt>
                <c:pt idx="30">
                  <c:v>479.66664601511008</c:v>
                </c:pt>
                <c:pt idx="31">
                  <c:v>486.8535158632713</c:v>
                </c:pt>
                <c:pt idx="32">
                  <c:v>493.93625610042869</c:v>
                </c:pt>
                <c:pt idx="33">
                  <c:v>500.91990243517006</c:v>
                </c:pt>
                <c:pt idx="34">
                  <c:v>507.80910980952564</c:v>
                </c:pt>
                <c:pt idx="35">
                  <c:v>514.60819142207345</c:v>
                </c:pt>
                <c:pt idx="36">
                  <c:v>521.32115275984324</c:v>
                </c:pt>
                <c:pt idx="37">
                  <c:v>527.95172139744329</c:v>
                </c:pt>
                <c:pt idx="38">
                  <c:v>534.50337318932998</c:v>
                </c:pt>
                <c:pt idx="39">
                  <c:v>540.97935537462274</c:v>
                </c:pt>
                <c:pt idx="40">
                  <c:v>547.38270702774753</c:v>
                </c:pt>
                <c:pt idx="41">
                  <c:v>553.71627721813172</c:v>
                </c:pt>
                <c:pt idx="42">
                  <c:v>559.98274118486529</c:v>
                </c:pt>
                <c:pt idx="43">
                  <c:v>566.1846147851179</c:v>
                </c:pt>
                <c:pt idx="44">
                  <c:v>572.32426743616702</c:v>
                </c:pt>
                <c:pt idx="45">
                  <c:v>578.40393373854886</c:v>
                </c:pt>
                <c:pt idx="46">
                  <c:v>584.42572394088211</c:v>
                </c:pt>
                <c:pt idx="47">
                  <c:v>590.39163338432127</c:v>
                </c:pt>
                <c:pt idx="48">
                  <c:v>596.30355104559146</c:v>
                </c:pt>
                <c:pt idx="49">
                  <c:v>602.16326728151751</c:v>
                </c:pt>
                <c:pt idx="50">
                  <c:v>607.97248086435923</c:v>
                </c:pt>
                <c:pt idx="51">
                  <c:v>613.73280538569406</c:v>
                </c:pt>
                <c:pt idx="52">
                  <c:v>619.44577509672581</c:v>
                </c:pt>
                <c:pt idx="53">
                  <c:v>625.11285024443043</c:v>
                </c:pt>
                <c:pt idx="54">
                  <c:v>630.73542195570099</c:v>
                </c:pt>
                <c:pt idx="55">
                  <c:v>636.31481671538961</c:v>
                </c:pt>
                <c:pt idx="56">
                  <c:v>641.85230047873915</c:v>
                </c:pt>
                <c:pt idx="57">
                  <c:v>647.34908245401118</c:v>
                </c:pt>
                <c:pt idx="58">
                  <c:v>652.80631858705044</c:v>
                </c:pt>
                <c:pt idx="59">
                  <c:v>658.22511477597402</c:v>
                </c:pt>
                <c:pt idx="60">
                  <c:v>663.60652984108299</c:v>
                </c:pt>
                <c:pt idx="61">
                  <c:v>668.95157827237597</c:v>
                </c:pt>
                <c:pt idx="62">
                  <c:v>674.2612327746732</c:v>
                </c:pt>
                <c:pt idx="63">
                  <c:v>679.53642662826553</c:v>
                </c:pt>
                <c:pt idx="64">
                  <c:v>684.77805588115211</c:v>
                </c:pt>
                <c:pt idx="65">
                  <c:v>682.62488879395141</c:v>
                </c:pt>
                <c:pt idx="66">
                  <c:v>677.99879461742137</c:v>
                </c:pt>
                <c:pt idx="67">
                  <c:v>673.47973382802263</c:v>
                </c:pt>
                <c:pt idx="68">
                  <c:v>669.05527202436781</c:v>
                </c:pt>
                <c:pt idx="69">
                  <c:v>664.72225978281801</c:v>
                </c:pt>
                <c:pt idx="70">
                  <c:v>664.73835287613986</c:v>
                </c:pt>
                <c:pt idx="71">
                  <c:v>665.20863327900702</c:v>
                </c:pt>
                <c:pt idx="72">
                  <c:v>665.68458557758709</c:v>
                </c:pt>
                <c:pt idx="73">
                  <c:v>666.17425392570703</c:v>
                </c:pt>
                <c:pt idx="74">
                  <c:v>666.67748260671385</c:v>
                </c:pt>
                <c:pt idx="75">
                  <c:v>667.19412422940684</c:v>
                </c:pt>
                <c:pt idx="76">
                  <c:v>667.72403921908221</c:v>
                </c:pt>
                <c:pt idx="77">
                  <c:v>668.26709534590611</c:v>
                </c:pt>
                <c:pt idx="78">
                  <c:v>668.82316728746741</c:v>
                </c:pt>
                <c:pt idx="79">
                  <c:v>669.39213622264913</c:v>
                </c:pt>
                <c:pt idx="80">
                  <c:v>669.97388945424439</c:v>
                </c:pt>
                <c:pt idx="81">
                  <c:v>670.56832005796389</c:v>
                </c:pt>
                <c:pt idx="82">
                  <c:v>671.17532655571495</c:v>
                </c:pt>
                <c:pt idx="83">
                  <c:v>671.794812611216</c:v>
                </c:pt>
                <c:pt idx="84">
                  <c:v>672.42668674618233</c:v>
                </c:pt>
                <c:pt idx="85">
                  <c:v>673.07086207548957</c:v>
                </c:pt>
                <c:pt idx="86">
                  <c:v>673.72725605984374</c:v>
                </c:pt>
                <c:pt idx="87">
                  <c:v>674.39579027463049</c:v>
                </c:pt>
                <c:pt idx="88">
                  <c:v>675.07639019372039</c:v>
                </c:pt>
                <c:pt idx="89">
                  <c:v>675.76898498711341</c:v>
                </c:pt>
                <c:pt idx="90">
                  <c:v>676.47350733140854</c:v>
                </c:pt>
                <c:pt idx="91">
                  <c:v>677.18989323215192</c:v>
                </c:pt>
                <c:pt idx="92">
                  <c:v>677.91808185721254</c:v>
                </c:pt>
                <c:pt idx="93">
                  <c:v>678.65801538039784</c:v>
                </c:pt>
                <c:pt idx="94">
                  <c:v>679.40963883457414</c:v>
                </c:pt>
                <c:pt idx="95">
                  <c:v>680.17289997363764</c:v>
                </c:pt>
                <c:pt idx="96">
                  <c:v>680.94774914271534</c:v>
                </c:pt>
                <c:pt idx="97">
                  <c:v>681.73413915603078</c:v>
                </c:pt>
                <c:pt idx="98">
                  <c:v>682.53202518191586</c:v>
                </c:pt>
                <c:pt idx="99">
                  <c:v>683.34136463448442</c:v>
                </c:pt>
                <c:pt idx="100">
                  <c:v>684.16211707152263</c:v>
                </c:pt>
              </c:numCache>
            </c:numRef>
          </c:val>
          <c:smooth val="0"/>
          <c:extLst>
            <c:ext xmlns:c16="http://schemas.microsoft.com/office/drawing/2014/chart" uri="{C3380CC4-5D6E-409C-BE32-E72D297353CC}">
              <c16:uniqueId val="{00000002-8093-4275-A0A4-629DC5917466}"/>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22.182508109385214</c:v>
                </c:pt>
                <c:pt idx="1">
                  <c:v>24.679509516589878</c:v>
                </c:pt>
                <c:pt idx="2">
                  <c:v>27.2831778368116</c:v>
                </c:pt>
                <c:pt idx="3">
                  <c:v>29.8868461570333</c:v>
                </c:pt>
                <c:pt idx="4">
                  <c:v>32.490514477255026</c:v>
                </c:pt>
                <c:pt idx="5">
                  <c:v>35.094182797476734</c:v>
                </c:pt>
                <c:pt idx="6">
                  <c:v>37.697851117698463</c:v>
                </c:pt>
                <c:pt idx="7">
                  <c:v>40.301519437920163</c:v>
                </c:pt>
                <c:pt idx="8">
                  <c:v>42.905187758141864</c:v>
                </c:pt>
                <c:pt idx="9">
                  <c:v>45.508856078363578</c:v>
                </c:pt>
                <c:pt idx="10">
                  <c:v>48.1125243985853</c:v>
                </c:pt>
                <c:pt idx="11">
                  <c:v>50.716192718807015</c:v>
                </c:pt>
                <c:pt idx="12">
                  <c:v>53.319861039028723</c:v>
                </c:pt>
                <c:pt idx="13">
                  <c:v>55.923529359250438</c:v>
                </c:pt>
                <c:pt idx="14">
                  <c:v>58.527197679472145</c:v>
                </c:pt>
                <c:pt idx="15">
                  <c:v>61.130865999693853</c:v>
                </c:pt>
                <c:pt idx="16">
                  <c:v>63.734534319915575</c:v>
                </c:pt>
                <c:pt idx="17">
                  <c:v>66.338202640137283</c:v>
                </c:pt>
                <c:pt idx="18">
                  <c:v>68.941870960358983</c:v>
                </c:pt>
                <c:pt idx="19">
                  <c:v>71.545539280580698</c:v>
                </c:pt>
                <c:pt idx="20">
                  <c:v>74.149207600802427</c:v>
                </c:pt>
                <c:pt idx="21">
                  <c:v>76.752875921024128</c:v>
                </c:pt>
                <c:pt idx="22">
                  <c:v>79.356544241245857</c:v>
                </c:pt>
                <c:pt idx="23">
                  <c:v>82.764379095154808</c:v>
                </c:pt>
                <c:pt idx="24">
                  <c:v>86.368860279702616</c:v>
                </c:pt>
                <c:pt idx="25">
                  <c:v>89.973829920939295</c:v>
                </c:pt>
                <c:pt idx="26">
                  <c:v>93.579287257571821</c:v>
                </c:pt>
                <c:pt idx="27">
                  <c:v>97.185231578767002</c:v>
                </c:pt>
                <c:pt idx="28">
                  <c:v>100.79166221941405</c:v>
                </c:pt>
                <c:pt idx="29">
                  <c:v>104.39857855598645</c:v>
                </c:pt>
                <c:pt idx="30">
                  <c:v>108.00598000290927</c:v>
                </c:pt>
                <c:pt idx="31">
                  <c:v>111.61386600935485</c:v>
                </c:pt>
                <c:pt idx="32">
                  <c:v>115.22223605640463</c:v>
                </c:pt>
                <c:pt idx="33">
                  <c:v>118.83108965452448</c:v>
                </c:pt>
                <c:pt idx="34">
                  <c:v>122.44042634131088</c:v>
                </c:pt>
                <c:pt idx="35">
                  <c:v>126.05024567947149</c:v>
                </c:pt>
                <c:pt idx="36">
                  <c:v>129.66054725500965</c:v>
                </c:pt>
                <c:pt idx="37">
                  <c:v>133.27133067558714</c:v>
                </c:pt>
                <c:pt idx="38">
                  <c:v>136.88259556904362</c:v>
                </c:pt>
                <c:pt idx="39">
                  <c:v>140.49434158205352</c:v>
                </c:pt>
                <c:pt idx="40">
                  <c:v>144.10656837890451</c:v>
                </c:pt>
                <c:pt idx="41">
                  <c:v>147.71927564038438</c:v>
                </c:pt>
                <c:pt idx="42">
                  <c:v>151.33246306276317</c:v>
                </c:pt>
                <c:pt idx="43">
                  <c:v>154.94613035686149</c:v>
                </c:pt>
                <c:pt idx="44">
                  <c:v>158.56027724719516</c:v>
                </c:pt>
                <c:pt idx="45">
                  <c:v>162.17490347118812</c:v>
                </c:pt>
                <c:pt idx="46">
                  <c:v>165.79000877844791</c:v>
                </c:pt>
                <c:pt idx="47">
                  <c:v>169.40559293009613</c:v>
                </c:pt>
                <c:pt idx="48">
                  <c:v>173.02165569814943</c:v>
                </c:pt>
                <c:pt idx="49">
                  <c:v>176.63819686494588</c:v>
                </c:pt>
                <c:pt idx="50">
                  <c:v>180.25521622261306</c:v>
                </c:pt>
                <c:pt idx="51">
                  <c:v>183.87271357257339</c:v>
                </c:pt>
                <c:pt idx="52">
                  <c:v>187.49068872508343</c:v>
                </c:pt>
                <c:pt idx="53">
                  <c:v>191.1091414988054</c:v>
                </c:pt>
                <c:pt idx="54">
                  <c:v>194.72807172040598</c:v>
                </c:pt>
                <c:pt idx="55">
                  <c:v>198.34747922418256</c:v>
                </c:pt>
                <c:pt idx="56">
                  <c:v>201.96736385171258</c:v>
                </c:pt>
                <c:pt idx="57">
                  <c:v>205.58772545152522</c:v>
                </c:pt>
                <c:pt idx="58">
                  <c:v>209.20856387879377</c:v>
                </c:pt>
                <c:pt idx="59">
                  <c:v>212.8298789950465</c:v>
                </c:pt>
                <c:pt idx="60">
                  <c:v>216.45167066789435</c:v>
                </c:pt>
                <c:pt idx="61">
                  <c:v>220.07393877077544</c:v>
                </c:pt>
                <c:pt idx="62">
                  <c:v>223.69668318271388</c:v>
                </c:pt>
                <c:pt idx="63">
                  <c:v>227.31990378809257</c:v>
                </c:pt>
                <c:pt idx="64">
                  <c:v>230.94360047643821</c:v>
                </c:pt>
                <c:pt idx="65">
                  <c:v>234.47079981944387</c:v>
                </c:pt>
                <c:pt idx="66">
                  <c:v>237.96479941853585</c:v>
                </c:pt>
                <c:pt idx="67">
                  <c:v>241.4606831902525</c:v>
                </c:pt>
                <c:pt idx="68">
                  <c:v>244.95687550061683</c:v>
                </c:pt>
                <c:pt idx="69">
                  <c:v>248.45338807608169</c:v>
                </c:pt>
                <c:pt idx="70">
                  <c:v>253.00366627680333</c:v>
                </c:pt>
                <c:pt idx="71">
                  <c:v>257.69216339212079</c:v>
                </c:pt>
                <c:pt idx="72">
                  <c:v>262.40919078464123</c:v>
                </c:pt>
                <c:pt idx="73">
                  <c:v>267.15710195664093</c:v>
                </c:pt>
                <c:pt idx="74">
                  <c:v>271.93593974365399</c:v>
                </c:pt>
                <c:pt idx="75">
                  <c:v>276.74574738804466</c:v>
                </c:pt>
                <c:pt idx="76">
                  <c:v>281.58656853848066</c:v>
                </c:pt>
                <c:pt idx="77">
                  <c:v>286.45844724954378</c:v>
                </c:pt>
                <c:pt idx="78">
                  <c:v>291.36142798146625</c:v>
                </c:pt>
                <c:pt idx="79">
                  <c:v>296.29555559998585</c:v>
                </c:pt>
                <c:pt idx="80">
                  <c:v>301.26087537630781</c:v>
                </c:pt>
                <c:pt idx="81">
                  <c:v>306.25743298716964</c:v>
                </c:pt>
                <c:pt idx="82">
                  <c:v>311.28527451499724</c:v>
                </c:pt>
                <c:pt idx="83">
                  <c:v>316.34444644815045</c:v>
                </c:pt>
                <c:pt idx="84">
                  <c:v>321.43499568124878</c:v>
                </c:pt>
                <c:pt idx="85">
                  <c:v>326.55696951557428</c:v>
                </c:pt>
                <c:pt idx="86">
                  <c:v>331.71041565954414</c:v>
                </c:pt>
                <c:pt idx="87">
                  <c:v>336.89538222925216</c:v>
                </c:pt>
                <c:pt idx="88">
                  <c:v>342.11191774907235</c:v>
                </c:pt>
                <c:pt idx="89">
                  <c:v>347.36007115232076</c:v>
                </c:pt>
                <c:pt idx="90">
                  <c:v>352.63989178197511</c:v>
                </c:pt>
                <c:pt idx="91">
                  <c:v>357.95142939144574</c:v>
                </c:pt>
                <c:pt idx="92">
                  <c:v>363.29473414539666</c:v>
                </c:pt>
                <c:pt idx="93">
                  <c:v>368.66985662061535</c:v>
                </c:pt>
                <c:pt idx="94">
                  <c:v>374.07684780692625</c:v>
                </c:pt>
                <c:pt idx="95">
                  <c:v>379.51575910814745</c:v>
                </c:pt>
                <c:pt idx="96">
                  <c:v>384.9866423430895</c:v>
                </c:pt>
                <c:pt idx="97">
                  <c:v>390.4895497465908</c:v>
                </c:pt>
                <c:pt idx="98">
                  <c:v>396.02453397059395</c:v>
                </c:pt>
                <c:pt idx="99">
                  <c:v>401.59164808525435</c:v>
                </c:pt>
                <c:pt idx="100">
                  <c:v>407.19094558008646</c:v>
                </c:pt>
              </c:numCache>
            </c:numRef>
          </c:val>
          <c:smooth val="0"/>
          <c:extLst>
            <c:ext xmlns:c16="http://schemas.microsoft.com/office/drawing/2014/chart" uri="{C3380CC4-5D6E-409C-BE32-E72D297353CC}">
              <c16:uniqueId val="{00000003-8093-4275-A0A4-629DC5917466}"/>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347.14788855013677</c:v>
                </c:pt>
                <c:pt idx="27">
                  <c:v>335.1003438852216</c:v>
                </c:pt>
                <c:pt idx="28">
                  <c:v>323.86334662373991</c:v>
                </c:pt>
                <c:pt idx="29">
                  <c:v>313.29961134764125</c:v>
                </c:pt>
                <c:pt idx="30">
                  <c:v>303.43859780800199</c:v>
                </c:pt>
                <c:pt idx="31">
                  <c:v>294.1761303112994</c:v>
                </c:pt>
                <c:pt idx="32">
                  <c:v>285.45931792670194</c:v>
                </c:pt>
                <c:pt idx="33">
                  <c:v>277.24132307532017</c:v>
                </c:pt>
                <c:pt idx="34">
                  <c:v>269.48051961440848</c:v>
                </c:pt>
                <c:pt idx="35">
                  <c:v>262.1397876336228</c:v>
                </c:pt>
                <c:pt idx="36">
                  <c:v>255.18591974629152</c:v>
                </c:pt>
                <c:pt idx="37">
                  <c:v>248.5891188380339</c:v>
                </c:pt>
                <c:pt idx="38">
                  <c:v>242.32257124761821</c:v>
                </c:pt>
                <c:pt idx="39">
                  <c:v>236.36208248562281</c:v>
                </c:pt>
                <c:pt idx="40">
                  <c:v>230.68576505548404</c:v>
                </c:pt>
                <c:pt idx="41">
                  <c:v>225.27376988524802</c:v>
                </c:pt>
                <c:pt idx="42">
                  <c:v>220.10805442404748</c:v>
                </c:pt>
                <c:pt idx="43">
                  <c:v>215.17218169354268</c:v>
                </c:pt>
                <c:pt idx="44">
                  <c:v>210.45114557864835</c:v>
                </c:pt>
                <c:pt idx="45">
                  <c:v>205.93121844539596</c:v>
                </c:pt>
                <c:pt idx="46">
                  <c:v>201.59981782648484</c:v>
                </c:pt>
                <c:pt idx="47">
                  <c:v>197.44538944777864</c:v>
                </c:pt>
                <c:pt idx="48">
                  <c:v>193.45730430571598</c:v>
                </c:pt>
                <c:pt idx="49">
                  <c:v>189.62576786518207</c:v>
                </c:pt>
                <c:pt idx="50">
                  <c:v>185.94173974466503</c:v>
                </c:pt>
                <c:pt idx="51">
                  <c:v>182.39686250227214</c:v>
                </c:pt>
                <c:pt idx="52">
                  <c:v>178.98339834176863</c:v>
                </c:pt>
                <c:pt idx="53">
                  <c:v>175.69417272971563</c:v>
                </c:pt>
                <c:pt idx="54">
                  <c:v>172.52252405904528</c:v>
                </c:pt>
                <c:pt idx="55">
                  <c:v>169.46225861587561</c:v>
                </c:pt>
                <c:pt idx="56">
                  <c:v>166.50761020896243</c:v>
                </c:pt>
                <c:pt idx="57">
                  <c:v>163.65320390812656</c:v>
                </c:pt>
                <c:pt idx="58">
                  <c:v>160.89402341187102</c:v>
                </c:pt>
                <c:pt idx="59">
                  <c:v>158.22538162738496</c:v>
                </c:pt>
                <c:pt idx="60">
                  <c:v>155.64289409994927</c:v>
                </c:pt>
                <c:pt idx="61">
                  <c:v>153.14245497489114</c:v>
                </c:pt>
                <c:pt idx="62">
                  <c:v>150.72021521487466</c:v>
                </c:pt>
                <c:pt idx="63">
                  <c:v>148.37256282945648</c:v>
                </c:pt>
                <c:pt idx="64">
                  <c:v>146.0961049033213</c:v>
                </c:pt>
                <c:pt idx="65">
                  <c:v>143.88765123513599</c:v>
                </c:pt>
                <c:pt idx="66">
                  <c:v>141.74419942110052</c:v>
                </c:pt>
                <c:pt idx="67">
                  <c:v>139.6629212365246</c:v>
                </c:pt>
                <c:pt idx="68">
                  <c:v>137.64115018553619</c:v>
                </c:pt>
                <c:pt idx="69">
                  <c:v>135.67637010367076</c:v>
                </c:pt>
                <c:pt idx="70">
                  <c:v>133.76620471090754</c:v>
                </c:pt>
                <c:pt idx="71">
                  <c:v>131.90840802395132</c:v>
                </c:pt>
                <c:pt idx="72">
                  <c:v>130.10085554642345</c:v>
                </c:pt>
                <c:pt idx="73">
                  <c:v>128.3415361643107</c:v>
                </c:pt>
                <c:pt idx="74">
                  <c:v>126.62854468166898</c:v>
                </c:pt>
                <c:pt idx="75">
                  <c:v>124.96007493834024</c:v>
                </c:pt>
                <c:pt idx="76">
                  <c:v>123.33441345741669</c:v>
                </c:pt>
                <c:pt idx="77">
                  <c:v>121.74993357548257</c:v>
                </c:pt>
                <c:pt idx="78">
                  <c:v>120.20509001336437</c:v>
                </c:pt>
                <c:pt idx="79">
                  <c:v>118.698413849297</c:v>
                </c:pt>
                <c:pt idx="80">
                  <c:v>117.22850786013221</c:v>
                </c:pt>
                <c:pt idx="81">
                  <c:v>115.79404219953101</c:v>
                </c:pt>
                <c:pt idx="82">
                  <c:v>114.39375038504146</c:v>
                </c:pt>
                <c:pt idx="83">
                  <c:v>113.02642556860812</c:v>
                </c:pt>
                <c:pt idx="84">
                  <c:v>111.69091706743147</c:v>
                </c:pt>
                <c:pt idx="85">
                  <c:v>110.38612713421597</c:v>
                </c:pt>
                <c:pt idx="86">
                  <c:v>109.11100794775406</c:v>
                </c:pt>
                <c:pt idx="87">
                  <c:v>107.86455880650688</c:v>
                </c:pt>
                <c:pt idx="88">
                  <c:v>106.64582350938406</c:v>
                </c:pt>
                <c:pt idx="89">
                  <c:v>105.45388790931433</c:v>
                </c:pt>
                <c:pt idx="90">
                  <c:v>104.28787762645337</c:v>
                </c:pt>
                <c:pt idx="91">
                  <c:v>103.1469559090059</c:v>
                </c:pt>
                <c:pt idx="92">
                  <c:v>102.03032163066443</c:v>
                </c:pt>
                <c:pt idx="93">
                  <c:v>100.93720741459215</c:v>
                </c:pt>
                <c:pt idx="94">
                  <c:v>99.86687787471817</c:v>
                </c:pt>
                <c:pt idx="95">
                  <c:v>98.818627965875251</c:v>
                </c:pt>
                <c:pt idx="96">
                  <c:v>97.791781435000829</c:v>
                </c:pt>
                <c:pt idx="97">
                  <c:v>96.785689366252996</c:v>
                </c:pt>
                <c:pt idx="98">
                  <c:v>95.799728813462337</c:v>
                </c:pt>
                <c:pt idx="99">
                  <c:v>94.833301513865763</c:v>
                </c:pt>
                <c:pt idx="100">
                  <c:v>93.88583267753917</c:v>
                </c:pt>
              </c:numCache>
            </c:numRef>
          </c:val>
          <c:smooth val="0"/>
          <c:extLst>
            <c:ext xmlns:c16="http://schemas.microsoft.com/office/drawing/2014/chart" uri="{C3380CC4-5D6E-409C-BE32-E72D297353CC}">
              <c16:uniqueId val="{00000000-7DBB-40A7-A5BB-CF5E7DC777D9}"/>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346.27774466560868</c:v>
                </c:pt>
                <c:pt idx="66">
                  <c:v>341.38499735288116</c:v>
                </c:pt>
                <c:pt idx="67">
                  <c:v>336.62578565172737</c:v>
                </c:pt>
                <c:pt idx="68">
                  <c:v>331.99721342237262</c:v>
                </c:pt>
                <c:pt idx="69">
                  <c:v>327.49397254915118</c:v>
                </c:pt>
                <c:pt idx="70">
                  <c:v>323.11434725595433</c:v>
                </c:pt>
                <c:pt idx="71">
                  <c:v>318.84265711211765</c:v>
                </c:pt>
                <c:pt idx="72">
                  <c:v>314.68591287330526</c:v>
                </c:pt>
                <c:pt idx="73">
                  <c:v>310.63596348533287</c:v>
                </c:pt>
                <c:pt idx="74">
                  <c:v>306.68874546416623</c:v>
                </c:pt>
                <c:pt idx="75">
                  <c:v>302.84039889491436</c:v>
                </c:pt>
                <c:pt idx="76">
                  <c:v>299.08725484170844</c:v>
                </c:pt>
                <c:pt idx="77">
                  <c:v>295.42582368055702</c:v>
                </c:pt>
                <c:pt idx="78">
                  <c:v>291.85278427718907</c:v>
                </c:pt>
                <c:pt idx="79">
                  <c:v>288.36497393933831</c:v>
                </c:pt>
                <c:pt idx="80">
                  <c:v>284.95937907957722</c:v>
                </c:pt>
                <c:pt idx="81">
                  <c:v>281.6331265307569</c:v>
                </c:pt>
                <c:pt idx="82">
                  <c:v>278.38347546145405</c:v>
                </c:pt>
                <c:pt idx="83">
                  <c:v>275.20780984361085</c:v>
                </c:pt>
                <c:pt idx="84">
                  <c:v>272.10363142886132</c:v>
                </c:pt>
                <c:pt idx="85">
                  <c:v>269.06855319391104</c:v>
                </c:pt>
                <c:pt idx="86">
                  <c:v>266.10029321883007</c:v>
                </c:pt>
                <c:pt idx="87">
                  <c:v>263.19666896525888</c:v>
                </c:pt>
                <c:pt idx="88">
                  <c:v>260.35559192438257</c:v>
                </c:pt>
                <c:pt idx="89">
                  <c:v>257.57506260708681</c:v>
                </c:pt>
                <c:pt idx="90">
                  <c:v>254.85316585104383</c:v>
                </c:pt>
                <c:pt idx="91">
                  <c:v>252.18806642157949</c:v>
                </c:pt>
                <c:pt idx="92">
                  <c:v>249.5780048850886</c:v>
                </c:pt>
                <c:pt idx="93">
                  <c:v>247.021293735499</c:v>
                </c:pt>
                <c:pt idx="94">
                  <c:v>244.51631375586331</c:v>
                </c:pt>
                <c:pt idx="95">
                  <c:v>242.06151059859508</c:v>
                </c:pt>
                <c:pt idx="96">
                  <c:v>239.65539156917188</c:v>
                </c:pt>
                <c:pt idx="97">
                  <c:v>237.29652259932067</c:v>
                </c:pt>
                <c:pt idx="98">
                  <c:v>234.98352539678808</c:v>
                </c:pt>
                <c:pt idx="99">
                  <c:v>232.71507475979374</c:v>
                </c:pt>
                <c:pt idx="100">
                  <c:v>230.48989604516913</c:v>
                </c:pt>
              </c:numCache>
            </c:numRef>
          </c:val>
          <c:smooth val="0"/>
          <c:extLst>
            <c:ext xmlns:c16="http://schemas.microsoft.com/office/drawing/2014/chart" uri="{C3380CC4-5D6E-409C-BE32-E72D297353CC}">
              <c16:uniqueId val="{00000001-7DBB-40A7-A5BB-CF5E7DC777D9}"/>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347.90107027032275</c:v>
                </c:pt>
                <c:pt idx="88">
                  <c:v>344.21921921050699</c:v>
                </c:pt>
                <c:pt idx="89">
                  <c:v>340.61527769948367</c:v>
                </c:pt>
                <c:pt idx="90">
                  <c:v>337.08635455483557</c:v>
                </c:pt>
                <c:pt idx="91">
                  <c:v>333.62983017151669</c:v>
                </c:pt>
                <c:pt idx="92">
                  <c:v>330.24349954135721</c:v>
                </c:pt>
                <c:pt idx="93">
                  <c:v>326.92368883183286</c:v>
                </c:pt>
                <c:pt idx="94">
                  <c:v>323.67180816550479</c:v>
                </c:pt>
                <c:pt idx="95">
                  <c:v>320.48176521469077</c:v>
                </c:pt>
                <c:pt idx="96">
                  <c:v>317.35413438818784</c:v>
                </c:pt>
                <c:pt idx="97">
                  <c:v>314.28703680257962</c:v>
                </c:pt>
                <c:pt idx="98">
                  <c:v>311.27863445097097</c:v>
                </c:pt>
                <c:pt idx="99">
                  <c:v>308.32725840833513</c:v>
                </c:pt>
                <c:pt idx="100">
                  <c:v>305.4313024273003</c:v>
                </c:pt>
              </c:numCache>
            </c:numRef>
          </c:val>
          <c:smooth val="0"/>
          <c:extLst>
            <c:ext xmlns:c16="http://schemas.microsoft.com/office/drawing/2014/chart" uri="{C3380CC4-5D6E-409C-BE32-E72D297353CC}">
              <c16:uniqueId val="{00000002-7DBB-40A7-A5BB-CF5E7DC777D9}"/>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7DBB-40A7-A5BB-CF5E7DC777D9}"/>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7DBB-40A7-A5BB-CF5E7DC777D9}"/>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7DBB-40A7-A5BB-CF5E7DC777D9}"/>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1.470663606409917</c:v>
                </c:pt>
                <c:pt idx="28">
                  <c:v>1.5056629405573461</c:v>
                </c:pt>
                <c:pt idx="29">
                  <c:v>1.559743743489352</c:v>
                </c:pt>
                <c:pt idx="30">
                  <c:v>1.6137125330844346</c:v>
                </c:pt>
                <c:pt idx="31">
                  <c:v>1.6676936968535112</c:v>
                </c:pt>
                <c:pt idx="32">
                  <c:v>1.7216872397031628</c:v>
                </c:pt>
                <c:pt idx="33">
                  <c:v>1.7756931665540028</c:v>
                </c:pt>
                <c:pt idx="34">
                  <c:v>1.8297114823389455</c:v>
                </c:pt>
                <c:pt idx="35">
                  <c:v>1.8837421920017794</c:v>
                </c:pt>
                <c:pt idx="36">
                  <c:v>1.9377853004959866</c:v>
                </c:pt>
                <c:pt idx="37">
                  <c:v>1.9918408127837681</c:v>
                </c:pt>
                <c:pt idx="38">
                  <c:v>2.0459087338352204</c:v>
                </c:pt>
                <c:pt idx="39">
                  <c:v>2.0999890686276497</c:v>
                </c:pt>
                <c:pt idx="40">
                  <c:v>2.15408182214499</c:v>
                </c:pt>
                <c:pt idx="41">
                  <c:v>2.2081869993773102</c:v>
                </c:pt>
                <c:pt idx="42">
                  <c:v>2.2623046053203937</c:v>
                </c:pt>
                <c:pt idx="43">
                  <c:v>2.3164346449753803</c:v>
                </c:pt>
                <c:pt idx="44">
                  <c:v>2.3705771233484576</c:v>
                </c:pt>
                <c:pt idx="45">
                  <c:v>2.4247320454505932</c:v>
                </c:pt>
                <c:pt idx="46">
                  <c:v>2.4788994162973084</c:v>
                </c:pt>
                <c:pt idx="47">
                  <c:v>2.5330792409084744</c:v>
                </c:pt>
                <c:pt idx="48">
                  <c:v>2.5872715243081434</c:v>
                </c:pt>
                <c:pt idx="49">
                  <c:v>2.6414762715243949</c:v>
                </c:pt>
                <c:pt idx="50">
                  <c:v>2.6956934875892009</c:v>
                </c:pt>
                <c:pt idx="51">
                  <c:v>2.7499231775383155</c:v>
                </c:pt>
                <c:pt idx="52">
                  <c:v>2.8041653464111653</c:v>
                </c:pt>
                <c:pt idx="53">
                  <c:v>2.8584199992507653</c:v>
                </c:pt>
                <c:pt idx="54">
                  <c:v>2.9126871411036381</c:v>
                </c:pt>
                <c:pt idx="55">
                  <c:v>2.9669667770197368</c:v>
                </c:pt>
                <c:pt idx="56">
                  <c:v>3.0212589120523932</c:v>
                </c:pt>
                <c:pt idx="57">
                  <c:v>3.0755635512582518</c:v>
                </c:pt>
                <c:pt idx="58">
                  <c:v>3.129880699697229</c:v>
                </c:pt>
                <c:pt idx="59">
                  <c:v>3.1842103624324647</c:v>
                </c:pt>
                <c:pt idx="60">
                  <c:v>3.2385525445302763</c:v>
                </c:pt>
                <c:pt idx="61">
                  <c:v>3.2929072510601367</c:v>
                </c:pt>
                <c:pt idx="62">
                  <c:v>3.3472744870946336</c:v>
                </c:pt>
                <c:pt idx="63">
                  <c:v>3.4016542577094424</c:v>
                </c:pt>
                <c:pt idx="64">
                  <c:v>3.4560465679833019</c:v>
                </c:pt>
                <c:pt idx="65">
                  <c:v>3.5104514229979924</c:v>
                </c:pt>
                <c:pt idx="66">
                  <c:v>3.5648688278383101</c:v>
                </c:pt>
                <c:pt idx="67">
                  <c:v>3.6192987875920557</c:v>
                </c:pt>
                <c:pt idx="68">
                  <c:v>3.6737413073500118</c:v>
                </c:pt>
                <c:pt idx="69">
                  <c:v>3.7281963922059296</c:v>
                </c:pt>
                <c:pt idx="70">
                  <c:v>3.7826640472565196</c:v>
                </c:pt>
                <c:pt idx="71">
                  <c:v>3.8371442776014284</c:v>
                </c:pt>
                <c:pt idx="72">
                  <c:v>3.8916370883432432</c:v>
                </c:pt>
                <c:pt idx="73">
                  <c:v>3.9461424845874662</c:v>
                </c:pt>
                <c:pt idx="74">
                  <c:v>4.0006604714425151</c:v>
                </c:pt>
                <c:pt idx="75">
                  <c:v>4.0551910540197147</c:v>
                </c:pt>
                <c:pt idx="76">
                  <c:v>4.1097342374332841</c:v>
                </c:pt>
                <c:pt idx="77">
                  <c:v>4.1642900268003338</c:v>
                </c:pt>
                <c:pt idx="78">
                  <c:v>4.2188584272408622</c:v>
                </c:pt>
                <c:pt idx="79">
                  <c:v>4.273439443877745</c:v>
                </c:pt>
                <c:pt idx="80">
                  <c:v>4.3280330818367343</c:v>
                </c:pt>
                <c:pt idx="81">
                  <c:v>4.382639346246453</c:v>
                </c:pt>
                <c:pt idx="82">
                  <c:v>4.4372582422383866</c:v>
                </c:pt>
                <c:pt idx="83">
                  <c:v>4.491889774946892</c:v>
                </c:pt>
                <c:pt idx="84">
                  <c:v>4.5465339495091834</c:v>
                </c:pt>
                <c:pt idx="85">
                  <c:v>4.6011907710653288</c:v>
                </c:pt>
                <c:pt idx="86">
                  <c:v>4.6558602447582578</c:v>
                </c:pt>
                <c:pt idx="87">
                  <c:v>4.7105423757337492</c:v>
                </c:pt>
                <c:pt idx="88">
                  <c:v>4.7652371691404367</c:v>
                </c:pt>
                <c:pt idx="89">
                  <c:v>4.819944630129803</c:v>
                </c:pt>
                <c:pt idx="90">
                  <c:v>4.8746647638561802</c:v>
                </c:pt>
                <c:pt idx="91">
                  <c:v>4.9293975754767478</c:v>
                </c:pt>
                <c:pt idx="92">
                  <c:v>4.9841430701515339</c:v>
                </c:pt>
                <c:pt idx="93">
                  <c:v>5.0389012530434103</c:v>
                </c:pt>
                <c:pt idx="94">
                  <c:v>5.0936721293180982</c:v>
                </c:pt>
                <c:pt idx="95">
                  <c:v>5.1484557041441601</c:v>
                </c:pt>
                <c:pt idx="96">
                  <c:v>5.2032519826930104</c:v>
                </c:pt>
                <c:pt idx="97">
                  <c:v>5.2580609701389012</c:v>
                </c:pt>
                <c:pt idx="98">
                  <c:v>5.3128826716589366</c:v>
                </c:pt>
                <c:pt idx="99">
                  <c:v>5.3677170924330584</c:v>
                </c:pt>
                <c:pt idx="100">
                  <c:v>5.4225642376440657</c:v>
                </c:pt>
              </c:numCache>
            </c:numRef>
          </c:val>
          <c:smooth val="0"/>
          <c:extLst>
            <c:ext xmlns:c16="http://schemas.microsoft.com/office/drawing/2014/chart" uri="{C3380CC4-5D6E-409C-BE32-E72D297353CC}">
              <c16:uniqueId val="{00000000-DE5E-470B-BC83-CF3F840E873B}"/>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2.3001569572310117</c:v>
                </c:pt>
                <c:pt idx="67">
                  <c:v>2.3175649898410255</c:v>
                </c:pt>
                <c:pt idx="68">
                  <c:v>2.3348450769136839</c:v>
                </c:pt>
                <c:pt idx="69">
                  <c:v>2.3520000596669925</c:v>
                </c:pt>
                <c:pt idx="70">
                  <c:v>2.3845637353424745</c:v>
                </c:pt>
                <c:pt idx="71">
                  <c:v>2.4187307007116678</c:v>
                </c:pt>
                <c:pt idx="72">
                  <c:v>2.4528639420530722</c:v>
                </c:pt>
                <c:pt idx="73">
                  <c:v>2.4869990394636963</c:v>
                </c:pt>
                <c:pt idx="74">
                  <c:v>2.5211359931401405</c:v>
                </c:pt>
                <c:pt idx="75">
                  <c:v>2.5552748032790937</c:v>
                </c:pt>
                <c:pt idx="76">
                  <c:v>2.5894154700773337</c:v>
                </c:pt>
                <c:pt idx="77">
                  <c:v>2.6235579937317191</c:v>
                </c:pt>
                <c:pt idx="78">
                  <c:v>2.6577023744391859</c:v>
                </c:pt>
                <c:pt idx="79">
                  <c:v>2.69184861239675</c:v>
                </c:pt>
                <c:pt idx="80">
                  <c:v>2.7259967078014955</c:v>
                </c:pt>
                <c:pt idx="81">
                  <c:v>2.7601466608505785</c:v>
                </c:pt>
                <c:pt idx="82">
                  <c:v>2.7942984717412216</c:v>
                </c:pt>
                <c:pt idx="83">
                  <c:v>2.8284521406707119</c:v>
                </c:pt>
                <c:pt idx="84">
                  <c:v>2.8626076678363988</c:v>
                </c:pt>
                <c:pt idx="85">
                  <c:v>2.8967650534356957</c:v>
                </c:pt>
                <c:pt idx="86">
                  <c:v>2.9309242976660665</c:v>
                </c:pt>
                <c:pt idx="87">
                  <c:v>2.9650854007250391</c:v>
                </c:pt>
                <c:pt idx="88">
                  <c:v>2.9992483628101945</c:v>
                </c:pt>
                <c:pt idx="89">
                  <c:v>3.0334131841191661</c:v>
                </c:pt>
                <c:pt idx="90">
                  <c:v>3.0675798648496393</c:v>
                </c:pt>
                <c:pt idx="91">
                  <c:v>3.1017484051993525</c:v>
                </c:pt>
                <c:pt idx="92">
                  <c:v>3.13591880536609</c:v>
                </c:pt>
                <c:pt idx="93">
                  <c:v>3.1700910655476875</c:v>
                </c:pt>
                <c:pt idx="94">
                  <c:v>3.2042651859420266</c:v>
                </c:pt>
                <c:pt idx="95">
                  <c:v>3.2384411667470352</c:v>
                </c:pt>
                <c:pt idx="96">
                  <c:v>3.2726190081606878</c:v>
                </c:pt>
                <c:pt idx="97">
                  <c:v>3.3067987103810008</c:v>
                </c:pt>
                <c:pt idx="98">
                  <c:v>3.3409802736060361</c:v>
                </c:pt>
                <c:pt idx="99">
                  <c:v>3.3751636980338962</c:v>
                </c:pt>
                <c:pt idx="100">
                  <c:v>3.4093489838627278</c:v>
                </c:pt>
              </c:numCache>
            </c:numRef>
          </c:val>
          <c:smooth val="1"/>
          <c:extLst>
            <c:ext xmlns:c16="http://schemas.microsoft.com/office/drawing/2014/chart" uri="{C3380CC4-5D6E-409C-BE32-E72D297353CC}">
              <c16:uniqueId val="{00000001-DE5E-470B-BC83-CF3F840E873B}"/>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2.3001527921825256</c:v>
                </c:pt>
                <c:pt idx="67">
                  <c:v>2.317530373791802</c:v>
                </c:pt>
                <c:pt idx="68">
                  <c:v>2.3347790106371829</c:v>
                </c:pt>
                <c:pt idx="69">
                  <c:v>2.3519015368588665</c:v>
                </c:pt>
                <c:pt idx="70">
                  <c:v>2.3689006842720315</c:v>
                </c:pt>
                <c:pt idx="71">
                  <c:v>2.3857790874654792</c:v>
                </c:pt>
                <c:pt idx="72">
                  <c:v>2.4025392885782062</c:v>
                </c:pt>
                <c:pt idx="73">
                  <c:v>2.4191837417784372</c:v>
                </c:pt>
                <c:pt idx="74">
                  <c:v>2.4357148174674563</c:v>
                </c:pt>
                <c:pt idx="75">
                  <c:v>2.4521348062286319</c:v>
                </c:pt>
                <c:pt idx="76">
                  <c:v>2.4684459225402531</c:v>
                </c:pt>
                <c:pt idx="77">
                  <c:v>2.4846503082692237</c:v>
                </c:pt>
                <c:pt idx="78">
                  <c:v>2.5007500359612171</c:v>
                </c:pt>
                <c:pt idx="79">
                  <c:v>2.5167471119415952</c:v>
                </c:pt>
                <c:pt idx="80">
                  <c:v>2.5326434792402339</c:v>
                </c:pt>
                <c:pt idx="81">
                  <c:v>2.5484410203523202</c:v>
                </c:pt>
                <c:pt idx="82">
                  <c:v>2.5641415598462269</c:v>
                </c:pt>
                <c:pt idx="83">
                  <c:v>2.5797468668286925</c:v>
                </c:pt>
                <c:pt idx="84">
                  <c:v>2.5952586572767342</c:v>
                </c:pt>
                <c:pt idx="85">
                  <c:v>2.610678596244997</c:v>
                </c:pt>
                <c:pt idx="86">
                  <c:v>2.626008299956573</c:v>
                </c:pt>
                <c:pt idx="87">
                  <c:v>2.641249337784723</c:v>
                </c:pt>
                <c:pt idx="88">
                  <c:v>2.6564032341323838</c:v>
                </c:pt>
                <c:pt idx="89">
                  <c:v>2.6714900465316833</c:v>
                </c:pt>
                <c:pt idx="90">
                  <c:v>2.6865005054157196</c:v>
                </c:pt>
                <c:pt idx="91">
                  <c:v>2.7014287164361996</c:v>
                </c:pt>
                <c:pt idx="92">
                  <c:v>2.7162760419753789</c:v>
                </c:pt>
                <c:pt idx="93">
                  <c:v>2.7317900770777452</c:v>
                </c:pt>
                <c:pt idx="94">
                  <c:v>2.7612024702651827</c:v>
                </c:pt>
                <c:pt idx="95">
                  <c:v>2.7906369477513215</c:v>
                </c:pt>
                <c:pt idx="96">
                  <c:v>2.8200589063307264</c:v>
                </c:pt>
                <c:pt idx="97">
                  <c:v>2.8494768298153375</c:v>
                </c:pt>
                <c:pt idx="98">
                  <c:v>2.8788956276776494</c:v>
                </c:pt>
                <c:pt idx="99">
                  <c:v>2.9083152999710031</c:v>
                </c:pt>
                <c:pt idx="100">
                  <c:v>2.9377358467487507</c:v>
                </c:pt>
              </c:numCache>
            </c:numRef>
          </c:val>
          <c:smooth val="1"/>
          <c:extLst>
            <c:ext xmlns:c16="http://schemas.microsoft.com/office/drawing/2014/chart" uri="{C3380CC4-5D6E-409C-BE32-E72D297353CC}">
              <c16:uniqueId val="{00000002-DE5E-470B-BC83-CF3F840E873B}"/>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347.14788855013677</c:v>
                </c:pt>
                <c:pt idx="27">
                  <c:v>335.1003438852216</c:v>
                </c:pt>
                <c:pt idx="28">
                  <c:v>323.86334662373991</c:v>
                </c:pt>
                <c:pt idx="29">
                  <c:v>313.29961134764125</c:v>
                </c:pt>
                <c:pt idx="30">
                  <c:v>303.43859780800199</c:v>
                </c:pt>
                <c:pt idx="31">
                  <c:v>294.1761303112994</c:v>
                </c:pt>
                <c:pt idx="32">
                  <c:v>285.45931792670194</c:v>
                </c:pt>
                <c:pt idx="33">
                  <c:v>277.24132307532017</c:v>
                </c:pt>
                <c:pt idx="34">
                  <c:v>269.48051961440848</c:v>
                </c:pt>
                <c:pt idx="35">
                  <c:v>262.1397876336228</c:v>
                </c:pt>
                <c:pt idx="36">
                  <c:v>255.18591974629152</c:v>
                </c:pt>
                <c:pt idx="37">
                  <c:v>248.5891188380339</c:v>
                </c:pt>
                <c:pt idx="38">
                  <c:v>242.32257124761821</c:v>
                </c:pt>
                <c:pt idx="39">
                  <c:v>236.36208248562281</c:v>
                </c:pt>
                <c:pt idx="40">
                  <c:v>230.68576505548404</c:v>
                </c:pt>
                <c:pt idx="41">
                  <c:v>225.27376988524802</c:v>
                </c:pt>
                <c:pt idx="42">
                  <c:v>220.10805442404748</c:v>
                </c:pt>
                <c:pt idx="43">
                  <c:v>215.17218169354268</c:v>
                </c:pt>
                <c:pt idx="44">
                  <c:v>210.45114557864835</c:v>
                </c:pt>
                <c:pt idx="45">
                  <c:v>205.93121844539596</c:v>
                </c:pt>
                <c:pt idx="46">
                  <c:v>201.59981782648484</c:v>
                </c:pt>
                <c:pt idx="47">
                  <c:v>197.44538944777864</c:v>
                </c:pt>
                <c:pt idx="48">
                  <c:v>193.45730430571598</c:v>
                </c:pt>
                <c:pt idx="49">
                  <c:v>189.62576786518207</c:v>
                </c:pt>
                <c:pt idx="50">
                  <c:v>185.94173974466503</c:v>
                </c:pt>
                <c:pt idx="51">
                  <c:v>182.39686250227214</c:v>
                </c:pt>
                <c:pt idx="52">
                  <c:v>178.98339834176863</c:v>
                </c:pt>
                <c:pt idx="53">
                  <c:v>175.69417272971563</c:v>
                </c:pt>
                <c:pt idx="54">
                  <c:v>172.52252405904528</c:v>
                </c:pt>
                <c:pt idx="55">
                  <c:v>169.46225861587561</c:v>
                </c:pt>
                <c:pt idx="56">
                  <c:v>166.50761020896243</c:v>
                </c:pt>
                <c:pt idx="57">
                  <c:v>163.65320390812656</c:v>
                </c:pt>
                <c:pt idx="58">
                  <c:v>160.89402341187102</c:v>
                </c:pt>
                <c:pt idx="59">
                  <c:v>158.22538162738496</c:v>
                </c:pt>
                <c:pt idx="60">
                  <c:v>155.64289409994927</c:v>
                </c:pt>
                <c:pt idx="61">
                  <c:v>153.14245497489114</c:v>
                </c:pt>
                <c:pt idx="62">
                  <c:v>150.72021521487466</c:v>
                </c:pt>
                <c:pt idx="63">
                  <c:v>148.37256282945648</c:v>
                </c:pt>
                <c:pt idx="64">
                  <c:v>146.0961049033213</c:v>
                </c:pt>
                <c:pt idx="65">
                  <c:v>143.88765123513599</c:v>
                </c:pt>
                <c:pt idx="66">
                  <c:v>141.74419942110052</c:v>
                </c:pt>
                <c:pt idx="67">
                  <c:v>139.6629212365246</c:v>
                </c:pt>
                <c:pt idx="68">
                  <c:v>137.64115018553619</c:v>
                </c:pt>
                <c:pt idx="69">
                  <c:v>135.67637010367076</c:v>
                </c:pt>
                <c:pt idx="70">
                  <c:v>133.76620471090754</c:v>
                </c:pt>
                <c:pt idx="71">
                  <c:v>131.90840802395132</c:v>
                </c:pt>
                <c:pt idx="72">
                  <c:v>130.10085554642345</c:v>
                </c:pt>
                <c:pt idx="73">
                  <c:v>128.3415361643107</c:v>
                </c:pt>
                <c:pt idx="74">
                  <c:v>126.62854468166898</c:v>
                </c:pt>
                <c:pt idx="75">
                  <c:v>124.96007493834024</c:v>
                </c:pt>
                <c:pt idx="76">
                  <c:v>123.33441345741669</c:v>
                </c:pt>
                <c:pt idx="77">
                  <c:v>121.74993357548257</c:v>
                </c:pt>
                <c:pt idx="78">
                  <c:v>120.20509001336437</c:v>
                </c:pt>
                <c:pt idx="79">
                  <c:v>118.698413849297</c:v>
                </c:pt>
                <c:pt idx="80">
                  <c:v>117.22850786013221</c:v>
                </c:pt>
                <c:pt idx="81">
                  <c:v>115.79404219953101</c:v>
                </c:pt>
                <c:pt idx="82">
                  <c:v>114.39375038504146</c:v>
                </c:pt>
                <c:pt idx="83">
                  <c:v>113.02642556860812</c:v>
                </c:pt>
                <c:pt idx="84">
                  <c:v>111.69091706743147</c:v>
                </c:pt>
                <c:pt idx="85">
                  <c:v>110.38612713421597</c:v>
                </c:pt>
                <c:pt idx="86">
                  <c:v>109.11100794775406</c:v>
                </c:pt>
                <c:pt idx="87">
                  <c:v>107.86455880650688</c:v>
                </c:pt>
                <c:pt idx="88">
                  <c:v>106.64582350938406</c:v>
                </c:pt>
                <c:pt idx="89">
                  <c:v>105.45388790931433</c:v>
                </c:pt>
                <c:pt idx="90">
                  <c:v>104.28787762645337</c:v>
                </c:pt>
                <c:pt idx="91">
                  <c:v>103.1469559090059</c:v>
                </c:pt>
                <c:pt idx="92">
                  <c:v>102.03032163066443</c:v>
                </c:pt>
                <c:pt idx="93">
                  <c:v>100.93720741459215</c:v>
                </c:pt>
                <c:pt idx="94">
                  <c:v>99.86687787471817</c:v>
                </c:pt>
                <c:pt idx="95">
                  <c:v>98.818627965875251</c:v>
                </c:pt>
                <c:pt idx="96">
                  <c:v>97.791781435000829</c:v>
                </c:pt>
                <c:pt idx="97">
                  <c:v>96.785689366252996</c:v>
                </c:pt>
                <c:pt idx="98">
                  <c:v>95.799728813462337</c:v>
                </c:pt>
                <c:pt idx="99">
                  <c:v>94.833301513865763</c:v>
                </c:pt>
                <c:pt idx="100">
                  <c:v>93.88583267753917</c:v>
                </c:pt>
              </c:numCache>
            </c:numRef>
          </c:val>
          <c:smooth val="0"/>
          <c:extLst>
            <c:ext xmlns:c16="http://schemas.microsoft.com/office/drawing/2014/chart" uri="{C3380CC4-5D6E-409C-BE32-E72D297353CC}">
              <c16:uniqueId val="{00000000-33CF-4CE8-9C2E-6191AB4D2064}"/>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346.27774466560868</c:v>
                </c:pt>
                <c:pt idx="66">
                  <c:v>341.38499735288116</c:v>
                </c:pt>
                <c:pt idx="67">
                  <c:v>336.62578565172737</c:v>
                </c:pt>
                <c:pt idx="68">
                  <c:v>331.99721342237262</c:v>
                </c:pt>
                <c:pt idx="69">
                  <c:v>327.49397254915118</c:v>
                </c:pt>
                <c:pt idx="70">
                  <c:v>323.11434725595433</c:v>
                </c:pt>
                <c:pt idx="71">
                  <c:v>318.84265711211765</c:v>
                </c:pt>
                <c:pt idx="72">
                  <c:v>314.68591287330526</c:v>
                </c:pt>
                <c:pt idx="73">
                  <c:v>310.63596348533287</c:v>
                </c:pt>
                <c:pt idx="74">
                  <c:v>306.68874546416623</c:v>
                </c:pt>
                <c:pt idx="75">
                  <c:v>302.84039889491436</c:v>
                </c:pt>
                <c:pt idx="76">
                  <c:v>299.08725484170844</c:v>
                </c:pt>
                <c:pt idx="77">
                  <c:v>295.42582368055702</c:v>
                </c:pt>
                <c:pt idx="78">
                  <c:v>291.85278427718907</c:v>
                </c:pt>
                <c:pt idx="79">
                  <c:v>288.36497393933831</c:v>
                </c:pt>
                <c:pt idx="80">
                  <c:v>284.95937907957722</c:v>
                </c:pt>
                <c:pt idx="81">
                  <c:v>281.6331265307569</c:v>
                </c:pt>
                <c:pt idx="82">
                  <c:v>278.38347546145405</c:v>
                </c:pt>
                <c:pt idx="83">
                  <c:v>275.20780984361085</c:v>
                </c:pt>
                <c:pt idx="84">
                  <c:v>272.10363142886132</c:v>
                </c:pt>
                <c:pt idx="85">
                  <c:v>269.06855319391104</c:v>
                </c:pt>
                <c:pt idx="86">
                  <c:v>266.10029321883007</c:v>
                </c:pt>
                <c:pt idx="87">
                  <c:v>263.19666896525888</c:v>
                </c:pt>
                <c:pt idx="88">
                  <c:v>260.35559192438257</c:v>
                </c:pt>
                <c:pt idx="89">
                  <c:v>257.57506260708681</c:v>
                </c:pt>
                <c:pt idx="90">
                  <c:v>254.85316585104383</c:v>
                </c:pt>
                <c:pt idx="91">
                  <c:v>252.18806642157949</c:v>
                </c:pt>
                <c:pt idx="92">
                  <c:v>249.5780048850886</c:v>
                </c:pt>
                <c:pt idx="93">
                  <c:v>247.021293735499</c:v>
                </c:pt>
                <c:pt idx="94">
                  <c:v>244.51631375586331</c:v>
                </c:pt>
                <c:pt idx="95">
                  <c:v>242.06151059859508</c:v>
                </c:pt>
                <c:pt idx="96">
                  <c:v>239.65539156917188</c:v>
                </c:pt>
                <c:pt idx="97">
                  <c:v>237.29652259932067</c:v>
                </c:pt>
                <c:pt idx="98">
                  <c:v>234.98352539678808</c:v>
                </c:pt>
                <c:pt idx="99">
                  <c:v>232.71507475979374</c:v>
                </c:pt>
                <c:pt idx="100">
                  <c:v>230.48989604516913</c:v>
                </c:pt>
              </c:numCache>
            </c:numRef>
          </c:val>
          <c:smooth val="0"/>
          <c:extLst>
            <c:ext xmlns:c16="http://schemas.microsoft.com/office/drawing/2014/chart" uri="{C3380CC4-5D6E-409C-BE32-E72D297353CC}">
              <c16:uniqueId val="{00000001-33CF-4CE8-9C2E-6191AB4D2064}"/>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347.90107027032275</c:v>
                </c:pt>
                <c:pt idx="88">
                  <c:v>344.21921921050699</c:v>
                </c:pt>
                <c:pt idx="89">
                  <c:v>340.61527769948367</c:v>
                </c:pt>
                <c:pt idx="90">
                  <c:v>337.08635455483557</c:v>
                </c:pt>
                <c:pt idx="91">
                  <c:v>333.62983017151669</c:v>
                </c:pt>
                <c:pt idx="92">
                  <c:v>330.24349954135721</c:v>
                </c:pt>
                <c:pt idx="93">
                  <c:v>326.92368883183286</c:v>
                </c:pt>
                <c:pt idx="94">
                  <c:v>323.67180816550479</c:v>
                </c:pt>
                <c:pt idx="95">
                  <c:v>320.48176521469077</c:v>
                </c:pt>
                <c:pt idx="96">
                  <c:v>317.35413438818784</c:v>
                </c:pt>
                <c:pt idx="97">
                  <c:v>314.28703680257962</c:v>
                </c:pt>
                <c:pt idx="98">
                  <c:v>311.27863445097097</c:v>
                </c:pt>
                <c:pt idx="99">
                  <c:v>308.32725840833513</c:v>
                </c:pt>
                <c:pt idx="100">
                  <c:v>305.4313024273003</c:v>
                </c:pt>
              </c:numCache>
            </c:numRef>
          </c:val>
          <c:smooth val="0"/>
          <c:extLst>
            <c:ext xmlns:c16="http://schemas.microsoft.com/office/drawing/2014/chart" uri="{C3380CC4-5D6E-409C-BE32-E72D297353CC}">
              <c16:uniqueId val="{00000002-33CF-4CE8-9C2E-6191AB4D206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3CF-4CE8-9C2E-6191AB4D2064}"/>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3CF-4CE8-9C2E-6191AB4D2064}"/>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3CF-4CE8-9C2E-6191AB4D2064}"/>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8.0000039771744962E-3</c:v>
                </c:pt>
                <c:pt idx="1">
                  <c:v>1.0526795740921422E-2</c:v>
                </c:pt>
                <c:pt idx="2">
                  <c:v>2.1053591481842843E-2</c:v>
                </c:pt>
                <c:pt idx="3">
                  <c:v>3.158038722276426E-2</c:v>
                </c:pt>
                <c:pt idx="4">
                  <c:v>4.2107182963685687E-2</c:v>
                </c:pt>
                <c:pt idx="5">
                  <c:v>5.2633978704607107E-2</c:v>
                </c:pt>
                <c:pt idx="6">
                  <c:v>6.316077444552852E-2</c:v>
                </c:pt>
                <c:pt idx="7">
                  <c:v>7.3687570186449947E-2</c:v>
                </c:pt>
                <c:pt idx="8">
                  <c:v>8.4214365927371373E-2</c:v>
                </c:pt>
                <c:pt idx="9">
                  <c:v>9.4741161668292787E-2</c:v>
                </c:pt>
                <c:pt idx="10">
                  <c:v>0.10526795740921421</c:v>
                </c:pt>
                <c:pt idx="11">
                  <c:v>0.11579475315013563</c:v>
                </c:pt>
                <c:pt idx="12">
                  <c:v>0.12632154889105704</c:v>
                </c:pt>
                <c:pt idx="13">
                  <c:v>0.13684834463197845</c:v>
                </c:pt>
                <c:pt idx="14">
                  <c:v>0.14737514037289989</c:v>
                </c:pt>
                <c:pt idx="15">
                  <c:v>0.15790193611382133</c:v>
                </c:pt>
                <c:pt idx="16">
                  <c:v>0.16842873185474275</c:v>
                </c:pt>
                <c:pt idx="17">
                  <c:v>0.17895552759566416</c:v>
                </c:pt>
                <c:pt idx="18">
                  <c:v>0.18948232333658557</c:v>
                </c:pt>
                <c:pt idx="19">
                  <c:v>0.20000911907750701</c:v>
                </c:pt>
                <c:pt idx="20">
                  <c:v>0.21053591481842843</c:v>
                </c:pt>
                <c:pt idx="21">
                  <c:v>0.22106271055934978</c:v>
                </c:pt>
                <c:pt idx="22">
                  <c:v>0.23158950630027125</c:v>
                </c:pt>
                <c:pt idx="23">
                  <c:v>0.23785559668256814</c:v>
                </c:pt>
                <c:pt idx="24">
                  <c:v>0.24298178500401216</c:v>
                </c:pt>
                <c:pt idx="25">
                  <c:v>0.24800267089266201</c:v>
                </c:pt>
                <c:pt idx="26">
                  <c:v>0.25292451313731507</c:v>
                </c:pt>
                <c:pt idx="27">
                  <c:v>0.2577529740526599</c:v>
                </c:pt>
                <c:pt idx="28">
                  <c:v>0.26249319615289463</c:v>
                </c:pt>
                <c:pt idx="29">
                  <c:v>0.26714986660036194</c:v>
                </c:pt>
                <c:pt idx="30">
                  <c:v>0.27172727173033789</c:v>
                </c:pt>
                <c:pt idx="31">
                  <c:v>0.27622934345808359</c:v>
                </c:pt>
                <c:pt idx="32">
                  <c:v>0.28065969899819143</c:v>
                </c:pt>
                <c:pt idx="33">
                  <c:v>0.28502167503774278</c:v>
                </c:pt>
                <c:pt idx="34">
                  <c:v>0.28931835728143201</c:v>
                </c:pt>
                <c:pt idx="35">
                  <c:v>0.29355260611240447</c:v>
                </c:pt>
                <c:pt idx="36">
                  <c:v>0.29772707897530154</c:v>
                </c:pt>
                <c:pt idx="37">
                  <c:v>0.30184424997916443</c:v>
                </c:pt>
                <c:pt idx="38">
                  <c:v>0.30590642713095023</c:v>
                </c:pt>
                <c:pt idx="39">
                  <c:v>0.30991576754055927</c:v>
                </c:pt>
                <c:pt idx="40">
                  <c:v>0.31387429088178359</c:v>
                </c:pt>
                <c:pt idx="41">
                  <c:v>0.31778389134762625</c:v>
                </c:pt>
                <c:pt idx="42">
                  <c:v>0.32164634830084471</c:v>
                </c:pt>
                <c:pt idx="43">
                  <c:v>0.3254633357896537</c:v>
                </c:pt>
                <c:pt idx="44">
                  <c:v>0.32923643107297113</c:v>
                </c:pt>
                <c:pt idx="45">
                  <c:v>0.33296712227836645</c:v>
                </c:pt>
                <c:pt idx="46">
                  <c:v>0.33665681529817687</c:v>
                </c:pt>
                <c:pt idx="47">
                  <c:v>0.3403068400144218</c:v>
                </c:pt>
                <c:pt idx="48">
                  <c:v>0.34391845593067633</c:v>
                </c:pt>
                <c:pt idx="49">
                  <c:v>0.34749285727852902</c:v>
                </c:pt>
                <c:pt idx="50">
                  <c:v>0.35103117765732067</c:v>
                </c:pt>
                <c:pt idx="51">
                  <c:v>0.35453449425826605</c:v>
                </c:pt>
                <c:pt idx="52">
                  <c:v>0.35800383171757355</c:v>
                </c:pt>
                <c:pt idx="53">
                  <c:v>0.36144016563763209</c:v>
                </c:pt>
                <c:pt idx="54">
                  <c:v>0.36484442581055465</c:v>
                </c:pt>
                <c:pt idx="55">
                  <c:v>0.36821749917426816</c:v>
                </c:pt>
                <c:pt idx="56">
                  <c:v>0.37156023252777748</c:v>
                </c:pt>
                <c:pt idx="57">
                  <c:v>0.37487343502915949</c:v>
                </c:pt>
                <c:pt idx="58">
                  <c:v>0.37815788049716542</c:v>
                </c:pt>
                <c:pt idx="59">
                  <c:v>0.38141430953497946</c:v>
                </c:pt>
                <c:pt idx="60">
                  <c:v>0.3846434314926454</c:v>
                </c:pt>
                <c:pt idx="61">
                  <c:v>0.38784592628289438</c:v>
                </c:pt>
                <c:pt idx="62">
                  <c:v>0.39102244606353859</c:v>
                </c:pt>
                <c:pt idx="63">
                  <c:v>0.39417361679822355</c:v>
                </c:pt>
                <c:pt idx="64">
                  <c:v>0.39730003970611905</c:v>
                </c:pt>
                <c:pt idx="65">
                  <c:v>0.39614400812557143</c:v>
                </c:pt>
                <c:pt idx="66">
                  <c:v>0.39355191597743089</c:v>
                </c:pt>
                <c:pt idx="67">
                  <c:v>0.39102142984256116</c:v>
                </c:pt>
                <c:pt idx="68">
                  <c:v>0.38853941177964008</c:v>
                </c:pt>
                <c:pt idx="69">
                  <c:v>0.38610436058058595</c:v>
                </c:pt>
                <c:pt idx="70">
                  <c:v>0.38622136524751399</c:v>
                </c:pt>
                <c:pt idx="71">
                  <c:v>0.38659915864630373</c:v>
                </c:pt>
                <c:pt idx="72">
                  <c:v>0.38695738173743965</c:v>
                </c:pt>
                <c:pt idx="73">
                  <c:v>0.38730681149925567</c:v>
                </c:pt>
                <c:pt idx="74">
                  <c:v>0.3876477825226623</c:v>
                </c:pt>
                <c:pt idx="75">
                  <c:v>0.38798061263653022</c:v>
                </c:pt>
                <c:pt idx="76">
                  <c:v>0.38830560394436869</c:v>
                </c:pt>
                <c:pt idx="77">
                  <c:v>0.38862304378500595</c:v>
                </c:pt>
                <c:pt idx="78">
                  <c:v>0.38893320562369255</c:v>
                </c:pt>
                <c:pt idx="79">
                  <c:v>0.38923634987943745</c:v>
                </c:pt>
                <c:pt idx="80">
                  <c:v>0.38953272469383599</c:v>
                </c:pt>
                <c:pt idx="81">
                  <c:v>0.38982256664616288</c:v>
                </c:pt>
                <c:pt idx="82">
                  <c:v>0.39010610141906027</c:v>
                </c:pt>
                <c:pt idx="83">
                  <c:v>0.39038354441875661</c:v>
                </c:pt>
                <c:pt idx="84">
                  <c:v>0.39065510135340276</c:v>
                </c:pt>
                <c:pt idx="85">
                  <c:v>0.39092096877278165</c:v>
                </c:pt>
                <c:pt idx="86">
                  <c:v>0.3911813345723768</c:v>
                </c:pt>
                <c:pt idx="87">
                  <c:v>0.39143637846450707</c:v>
                </c:pt>
                <c:pt idx="88">
                  <c:v>0.39168627241901782</c:v>
                </c:pt>
                <c:pt idx="89">
                  <c:v>0.39193118107579433</c:v>
                </c:pt>
                <c:pt idx="90">
                  <c:v>0.39217126213118059</c:v>
                </c:pt>
                <c:pt idx="91">
                  <c:v>0.39240666670020696</c:v>
                </c:pt>
                <c:pt idx="92">
                  <c:v>0.39263753965637632</c:v>
                </c:pt>
                <c:pt idx="93">
                  <c:v>0.3928640199506146</c:v>
                </c:pt>
                <c:pt idx="94">
                  <c:v>0.3930862409108597</c:v>
                </c:pt>
                <c:pt idx="95">
                  <c:v>0.39330433052364744</c:v>
                </c:pt>
                <c:pt idx="96">
                  <c:v>0.39351841169894464</c:v>
                </c:pt>
                <c:pt idx="97">
                  <c:v>0.39372860251937919</c:v>
                </c:pt>
                <c:pt idx="98">
                  <c:v>0.39393501647493023</c:v>
                </c:pt>
                <c:pt idx="99">
                  <c:v>0.39413776268405837</c:v>
                </c:pt>
                <c:pt idx="100">
                  <c:v>0.39433694610218128</c:v>
                </c:pt>
              </c:numCache>
            </c:numRef>
          </c:val>
          <c:smooth val="0"/>
          <c:extLst>
            <c:ext xmlns:c16="http://schemas.microsoft.com/office/drawing/2014/chart" uri="{C3380CC4-5D6E-409C-BE32-E72D297353CC}">
              <c16:uniqueId val="{00000006-33CF-4CE8-9C2E-6191AB4D2064}"/>
            </c:ext>
          </c:extLst>
        </c:ser>
        <c:ser>
          <c:idx val="7"/>
          <c:order val="7"/>
          <c:spPr>
            <a:ln w="31750">
              <a:solidFill>
                <a:srgbClr val="00B050"/>
              </a:solidFill>
            </a:ln>
          </c:spPr>
          <c:marker>
            <c:symbol val="none"/>
          </c:marker>
          <c:val>
            <c:numRef>
              <c:f>'Calculations - Single'!$AW$110:$AW$210</c:f>
              <c:numCache>
                <c:formatCode>0.000</c:formatCode>
                <c:ptCount val="101"/>
                <c:pt idx="0">
                  <c:v>1.9200022908541042E-2</c:v>
                </c:pt>
                <c:pt idx="1">
                  <c:v>2.5313006859403492E-2</c:v>
                </c:pt>
                <c:pt idx="2">
                  <c:v>5.0626013718806984E-2</c:v>
                </c:pt>
                <c:pt idx="3">
                  <c:v>7.5939020578210475E-2</c:v>
                </c:pt>
                <c:pt idx="4">
                  <c:v>0.10125202743761397</c:v>
                </c:pt>
                <c:pt idx="5">
                  <c:v>0.12656503429701746</c:v>
                </c:pt>
                <c:pt idx="6">
                  <c:v>0.15187804115642095</c:v>
                </c:pt>
                <c:pt idx="7">
                  <c:v>0.17719104801582444</c:v>
                </c:pt>
                <c:pt idx="8">
                  <c:v>0.20250405487522793</c:v>
                </c:pt>
                <c:pt idx="9">
                  <c:v>0.2278170617346314</c:v>
                </c:pt>
                <c:pt idx="10">
                  <c:v>0.25313006859403492</c:v>
                </c:pt>
                <c:pt idx="11">
                  <c:v>0.27844307545343838</c:v>
                </c:pt>
                <c:pt idx="12">
                  <c:v>0.3037560823128419</c:v>
                </c:pt>
                <c:pt idx="13">
                  <c:v>0.32906908917224537</c:v>
                </c:pt>
                <c:pt idx="14">
                  <c:v>0.35438209603164889</c:v>
                </c:pt>
                <c:pt idx="15">
                  <c:v>0.37969510289105241</c:v>
                </c:pt>
                <c:pt idx="16">
                  <c:v>0.40500810975045587</c:v>
                </c:pt>
                <c:pt idx="17">
                  <c:v>0.43032111660985939</c:v>
                </c:pt>
                <c:pt idx="18">
                  <c:v>0.4556341234692628</c:v>
                </c:pt>
                <c:pt idx="19">
                  <c:v>0.48094713032866637</c:v>
                </c:pt>
                <c:pt idx="20">
                  <c:v>0.50626013718806984</c:v>
                </c:pt>
                <c:pt idx="21">
                  <c:v>0.53157314404747324</c:v>
                </c:pt>
                <c:pt idx="22">
                  <c:v>0.55688615090687676</c:v>
                </c:pt>
                <c:pt idx="23">
                  <c:v>0.57197290905710063</c:v>
                </c:pt>
                <c:pt idx="24">
                  <c:v>0.58432456855559423</c:v>
                </c:pt>
                <c:pt idx="25">
                  <c:v>0.59642351056354448</c:v>
                </c:pt>
                <c:pt idx="26">
                  <c:v>0.60332791052885471</c:v>
                </c:pt>
                <c:pt idx="27">
                  <c:v>0.59357790738789895</c:v>
                </c:pt>
                <c:pt idx="28">
                  <c:v>0.58739453902509009</c:v>
                </c:pt>
                <c:pt idx="29">
                  <c:v>0.58879926218685941</c:v>
                </c:pt>
                <c:pt idx="30">
                  <c:v>0.59007803539641401</c:v>
                </c:pt>
                <c:pt idx="31">
                  <c:v>0.59128177724291231</c:v>
                </c:pt>
                <c:pt idx="32">
                  <c:v>0.5924171180499489</c:v>
                </c:pt>
                <c:pt idx="33">
                  <c:v>0.593489929305552</c:v>
                </c:pt>
                <c:pt idx="34">
                  <c:v>0.59450542920253679</c:v>
                </c:pt>
                <c:pt idx="35">
                  <c:v>0.5954682710410687</c:v>
                </c:pt>
                <c:pt idx="36">
                  <c:v>0.59638261765455935</c:v>
                </c:pt>
                <c:pt idx="37">
                  <c:v>0.59725220437073434</c:v>
                </c:pt>
                <c:pt idx="38">
                  <c:v>0.59808039251673029</c:v>
                </c:pt>
                <c:pt idx="39">
                  <c:v>0.59887021508462146</c:v>
                </c:pt>
                <c:pt idx="40">
                  <c:v>0.59962441586552795</c:v>
                </c:pt>
                <c:pt idx="41">
                  <c:v>0.60034548311679514</c:v>
                </c:pt>
                <c:pt idx="42">
                  <c:v>0.60103567863297114</c:v>
                </c:pt>
                <c:pt idx="43">
                  <c:v>0.60169706293634495</c:v>
                </c:pt>
                <c:pt idx="44">
                  <c:v>0.60233151717818423</c:v>
                </c:pt>
                <c:pt idx="45">
                  <c:v>0.60294076224109483</c:v>
                </c:pt>
                <c:pt idx="46">
                  <c:v>0.60352637545109233</c:v>
                </c:pt>
                <c:pt idx="47">
                  <c:v>0.60408980524120992</c:v>
                </c:pt>
                <c:pt idx="48">
                  <c:v>0.60463238405370812</c:v>
                </c:pt>
                <c:pt idx="49">
                  <c:v>0.60515533972288926</c:v>
                </c:pt>
                <c:pt idx="50">
                  <c:v>0.60565980554324561</c:v>
                </c:pt>
                <c:pt idx="51">
                  <c:v>0.60614682919673835</c:v>
                </c:pt>
                <c:pt idx="52">
                  <c:v>0.60661738068723869</c:v>
                </c:pt>
                <c:pt idx="53">
                  <c:v>0.6070723594086056</c:v>
                </c:pt>
                <c:pt idx="54">
                  <c:v>0.60751260045479072</c:v>
                </c:pt>
                <c:pt idx="55">
                  <c:v>0.60793888026513854</c:v>
                </c:pt>
                <c:pt idx="56">
                  <c:v>0.60835192168518681</c:v>
                </c:pt>
                <c:pt idx="57">
                  <c:v>0.60875239851237195</c:v>
                </c:pt>
                <c:pt idx="58">
                  <c:v>0.60914093958678261</c:v>
                </c:pt>
                <c:pt idx="59">
                  <c:v>0.60951813247921671</c:v>
                </c:pt>
                <c:pt idx="60">
                  <c:v>0.6098845268220392</c:v>
                </c:pt>
                <c:pt idx="61">
                  <c:v>0.6102406373225634</c:v>
                </c:pt>
                <c:pt idx="62">
                  <c:v>0.61058694649370737</c:v>
                </c:pt>
                <c:pt idx="63">
                  <c:v>0.61092390713239486</c:v>
                </c:pt>
                <c:pt idx="64">
                  <c:v>0.61125194457247645</c:v>
                </c:pt>
                <c:pt idx="65">
                  <c:v>0.61157145873574514</c:v>
                </c:pt>
                <c:pt idx="66">
                  <c:v>0.61188282600184729</c:v>
                </c:pt>
                <c:pt idx="67">
                  <c:v>0.61218640091547472</c:v>
                </c:pt>
                <c:pt idx="68">
                  <c:v>0.61248251774711959</c:v>
                </c:pt>
                <c:pt idx="69">
                  <c:v>0.61277149192184399</c:v>
                </c:pt>
                <c:pt idx="70">
                  <c:v>0.61305362132890062</c:v>
                </c:pt>
                <c:pt idx="71">
                  <c:v>0.61332918752364074</c:v>
                </c:pt>
                <c:pt idx="72">
                  <c:v>0.61359845683190284</c:v>
                </c:pt>
                <c:pt idx="73">
                  <c:v>0.6138616813659924</c:v>
                </c:pt>
                <c:pt idx="74">
                  <c:v>0.61411909996039948</c:v>
                </c:pt>
                <c:pt idx="75">
                  <c:v>0.6143709390345552</c:v>
                </c:pt>
                <c:pt idx="76">
                  <c:v>0.61461741338918141</c:v>
                </c:pt>
                <c:pt idx="77">
                  <c:v>0.61485872694211685</c:v>
                </c:pt>
                <c:pt idx="78">
                  <c:v>0.61509507340892455</c:v>
                </c:pt>
                <c:pt idx="79">
                  <c:v>0.61532663693305212</c:v>
                </c:pt>
                <c:pt idx="80">
                  <c:v>0.61555359266985255</c:v>
                </c:pt>
                <c:pt idx="81">
                  <c:v>0.61577610732836374</c:v>
                </c:pt>
                <c:pt idx="82">
                  <c:v>0.61599433967436579</c:v>
                </c:pt>
                <c:pt idx="83">
                  <c:v>0.61620844099790473</c:v>
                </c:pt>
                <c:pt idx="84">
                  <c:v>0.61641855554818448</c:v>
                </c:pt>
                <c:pt idx="85">
                  <c:v>0.61662482093844473</c:v>
                </c:pt>
                <c:pt idx="86">
                  <c:v>0.61682736852321762</c:v>
                </c:pt>
                <c:pt idx="87">
                  <c:v>0.61702632375014155</c:v>
                </c:pt>
                <c:pt idx="88">
                  <c:v>0.61722180648830272</c:v>
                </c:pt>
                <c:pt idx="89">
                  <c:v>0.61741393133491762</c:v>
                </c:pt>
                <c:pt idx="90">
                  <c:v>0.61760280790200528</c:v>
                </c:pt>
                <c:pt idx="91">
                  <c:v>0.6177885410845515</c:v>
                </c:pt>
                <c:pt idx="92">
                  <c:v>0.61797123131155018</c:v>
                </c:pt>
                <c:pt idx="93">
                  <c:v>0.6181509747811782</c:v>
                </c:pt>
                <c:pt idx="94">
                  <c:v>0.61832786368126624</c:v>
                </c:pt>
                <c:pt idx="95">
                  <c:v>0.61850198639612441</c:v>
                </c:pt>
                <c:pt idx="96">
                  <c:v>0.61867342770069866</c:v>
                </c:pt>
                <c:pt idx="97">
                  <c:v>0.61884226894295413</c:v>
                </c:pt>
                <c:pt idx="98">
                  <c:v>0.61900858821530969</c:v>
                </c:pt>
                <c:pt idx="99">
                  <c:v>0.61917246051588493</c:v>
                </c:pt>
                <c:pt idx="100">
                  <c:v>0.61933395790025414</c:v>
                </c:pt>
              </c:numCache>
            </c:numRef>
          </c:val>
          <c:smooth val="0"/>
          <c:extLst>
            <c:ext xmlns:c16="http://schemas.microsoft.com/office/drawing/2014/chart" uri="{C3380CC4-5D6E-409C-BE32-E72D297353CC}">
              <c16:uniqueId val="{00000007-33CF-4CE8-9C2E-6191AB4D2064}"/>
            </c:ext>
          </c:extLst>
        </c:ser>
        <c:ser>
          <c:idx val="8"/>
          <c:order val="8"/>
          <c:spPr>
            <a:ln w="31750">
              <a:solidFill>
                <a:srgbClr val="0000FF"/>
              </a:solidFill>
            </a:ln>
          </c:spPr>
          <c:marker>
            <c:symbol val="none"/>
          </c:marker>
          <c:val>
            <c:numRef>
              <c:f>'Calculations - Single'!$AW$216:$AW$316</c:f>
              <c:numCache>
                <c:formatCode>0.000</c:formatCode>
                <c:ptCount val="101"/>
                <c:pt idx="0">
                  <c:v>5.3333351009661511E-3</c:v>
                </c:pt>
                <c:pt idx="1">
                  <c:v>7.014650788559844E-3</c:v>
                </c:pt>
                <c:pt idx="2">
                  <c:v>1.4029301577119688E-2</c:v>
                </c:pt>
                <c:pt idx="3">
                  <c:v>2.1043952365679533E-2</c:v>
                </c:pt>
                <c:pt idx="4">
                  <c:v>2.8058603154239376E-2</c:v>
                </c:pt>
                <c:pt idx="5">
                  <c:v>3.5073253942799219E-2</c:v>
                </c:pt>
                <c:pt idx="6">
                  <c:v>4.2087904731359066E-2</c:v>
                </c:pt>
                <c:pt idx="7">
                  <c:v>4.9102555519918913E-2</c:v>
                </c:pt>
                <c:pt idx="8">
                  <c:v>5.6117206308478752E-2</c:v>
                </c:pt>
                <c:pt idx="9">
                  <c:v>6.3131857097038599E-2</c:v>
                </c:pt>
                <c:pt idx="10">
                  <c:v>7.0146507885598439E-2</c:v>
                </c:pt>
                <c:pt idx="11">
                  <c:v>7.7161158674158278E-2</c:v>
                </c:pt>
                <c:pt idx="12">
                  <c:v>8.4175809462718132E-2</c:v>
                </c:pt>
                <c:pt idx="13">
                  <c:v>9.1190460251277958E-2</c:v>
                </c:pt>
                <c:pt idx="14">
                  <c:v>9.8205111039837825E-2</c:v>
                </c:pt>
                <c:pt idx="15">
                  <c:v>0.10521976182839766</c:v>
                </c:pt>
                <c:pt idx="16">
                  <c:v>0.1122344126169575</c:v>
                </c:pt>
                <c:pt idx="17">
                  <c:v>0.11924906340551736</c:v>
                </c:pt>
                <c:pt idx="18">
                  <c:v>0.1262637141940772</c:v>
                </c:pt>
                <c:pt idx="19">
                  <c:v>0.13327836498263704</c:v>
                </c:pt>
                <c:pt idx="20">
                  <c:v>0.14029301577119688</c:v>
                </c:pt>
                <c:pt idx="21">
                  <c:v>0.14730766655975669</c:v>
                </c:pt>
                <c:pt idx="22">
                  <c:v>0.15432231734831656</c:v>
                </c:pt>
                <c:pt idx="23">
                  <c:v>0.158496537633777</c:v>
                </c:pt>
                <c:pt idx="24">
                  <c:v>0.16191078035125489</c:v>
                </c:pt>
                <c:pt idx="25">
                  <c:v>0.16525482114636983</c:v>
                </c:pt>
                <c:pt idx="26">
                  <c:v>0.16853283255103044</c:v>
                </c:pt>
                <c:pt idx="27">
                  <c:v>0.17174858944738702</c:v>
                </c:pt>
                <c:pt idx="28">
                  <c:v>0.17490552018361041</c:v>
                </c:pt>
                <c:pt idx="29">
                  <c:v>0.17800674953967696</c:v>
                </c:pt>
                <c:pt idx="30">
                  <c:v>0.18105513507725352</c:v>
                </c:pt>
                <c:pt idx="31">
                  <c:v>0.18405329807775384</c:v>
                </c:pt>
                <c:pt idx="32">
                  <c:v>0.18700365002192279</c:v>
                </c:pt>
                <c:pt idx="33">
                  <c:v>0.18990841537195885</c:v>
                </c:pt>
                <c:pt idx="34">
                  <c:v>0.1927696512682793</c:v>
                </c:pt>
                <c:pt idx="35">
                  <c:v>0.19558926463675957</c:v>
                </c:pt>
                <c:pt idx="36">
                  <c:v>0.19836902711077603</c:v>
                </c:pt>
                <c:pt idx="37">
                  <c:v>0.20111058809981955</c:v>
                </c:pt>
                <c:pt idx="38">
                  <c:v>0.20381548627851714</c:v>
                </c:pt>
                <c:pt idx="39">
                  <c:v>0.20648515972332585</c:v>
                </c:pt>
                <c:pt idx="40">
                  <c:v>0.20912095488650673</c:v>
                </c:pt>
                <c:pt idx="41">
                  <c:v>0.21172413456634612</c:v>
                </c:pt>
                <c:pt idx="42">
                  <c:v>0.21429588500752442</c:v>
                </c:pt>
                <c:pt idx="43">
                  <c:v>0.21683732224492488</c:v>
                </c:pt>
                <c:pt idx="44">
                  <c:v>0.21934949778713653</c:v>
                </c:pt>
                <c:pt idx="45">
                  <c:v>0.2218334037217588</c:v>
                </c:pt>
                <c:pt idx="46">
                  <c:v>0.22428997731281747</c:v>
                </c:pt>
                <c:pt idx="47">
                  <c:v>0.22672010515071206</c:v>
                </c:pt>
                <c:pt idx="48">
                  <c:v>0.22912462690680274</c:v>
                </c:pt>
                <c:pt idx="49">
                  <c:v>0.2315043387377192</c:v>
                </c:pt>
                <c:pt idx="50">
                  <c:v>0.23385999637852409</c:v>
                </c:pt>
                <c:pt idx="51">
                  <c:v>0.23619231795879689</c:v>
                </c:pt>
                <c:pt idx="52">
                  <c:v>0.23850198657138438</c:v>
                </c:pt>
                <c:pt idx="53">
                  <c:v>0.24078965261986091</c:v>
                </c:pt>
                <c:pt idx="54">
                  <c:v>0.24305593596756064</c:v>
                </c:pt>
                <c:pt idx="55">
                  <c:v>0.2453014279083067</c:v>
                </c:pt>
                <c:pt idx="56">
                  <c:v>0.24752669297658925</c:v>
                </c:pt>
                <c:pt idx="57">
                  <c:v>0.24973227061289774</c:v>
                </c:pt>
                <c:pt idx="58">
                  <c:v>0.25191867669812423</c:v>
                </c:pt>
                <c:pt idx="59">
                  <c:v>0.25408640496940477</c:v>
                </c:pt>
                <c:pt idx="60">
                  <c:v>0.25623592832840536</c:v>
                </c:pt>
                <c:pt idx="61">
                  <c:v>0.25836770005187598</c:v>
                </c:pt>
                <c:pt idx="62">
                  <c:v>0.26048215491324767</c:v>
                </c:pt>
                <c:pt idx="63">
                  <c:v>0.26257971022313625</c:v>
                </c:pt>
                <c:pt idx="64">
                  <c:v>0.26466076679580369</c:v>
                </c:pt>
                <c:pt idx="65">
                  <c:v>0.26672570984791949</c:v>
                </c:pt>
                <c:pt idx="66">
                  <c:v>0.26877490983532687</c:v>
                </c:pt>
                <c:pt idx="67">
                  <c:v>0.27080872323296307</c:v>
                </c:pt>
                <c:pt idx="68">
                  <c:v>0.27282749326258376</c:v>
                </c:pt>
                <c:pt idx="69">
                  <c:v>0.27483155057249803</c:v>
                </c:pt>
                <c:pt idx="70">
                  <c:v>0.27682121387312619</c:v>
                </c:pt>
                <c:pt idx="71">
                  <c:v>0.27879679053184003</c:v>
                </c:pt>
                <c:pt idx="72">
                  <c:v>0.28075857713022923</c:v>
                </c:pt>
                <c:pt idx="73">
                  <c:v>0.28270685998665318</c:v>
                </c:pt>
                <c:pt idx="74">
                  <c:v>0.28464191564668828</c:v>
                </c:pt>
                <c:pt idx="75">
                  <c:v>0.28656401134384551</c:v>
                </c:pt>
                <c:pt idx="76">
                  <c:v>0.2884734054327347</c:v>
                </c:pt>
                <c:pt idx="77">
                  <c:v>0.29037034779666077</c:v>
                </c:pt>
                <c:pt idx="78">
                  <c:v>0.2922550802314744</c:v>
                </c:pt>
                <c:pt idx="79">
                  <c:v>0.29412783680734578</c:v>
                </c:pt>
                <c:pt idx="80">
                  <c:v>0.29598884420999266</c:v>
                </c:pt>
                <c:pt idx="81">
                  <c:v>0.29783832206277361</c:v>
                </c:pt>
                <c:pt idx="82">
                  <c:v>0.29967648323093843</c:v>
                </c:pt>
                <c:pt idx="83">
                  <c:v>0.3015035341092327</c:v>
                </c:pt>
                <c:pt idx="84">
                  <c:v>0.30331967489395339</c:v>
                </c:pt>
                <c:pt idx="85">
                  <c:v>0.30512509984047204</c:v>
                </c:pt>
                <c:pt idx="86">
                  <c:v>0.30691999750716392</c:v>
                </c:pt>
                <c:pt idx="87">
                  <c:v>0.3068532676730289</c:v>
                </c:pt>
                <c:pt idx="88">
                  <c:v>0.30535090760756195</c:v>
                </c:pt>
                <c:pt idx="89">
                  <c:v>0.30387641128666543</c:v>
                </c:pt>
                <c:pt idx="90">
                  <c:v>0.30242557726094105</c:v>
                </c:pt>
                <c:pt idx="91">
                  <c:v>0.30099547500613499</c:v>
                </c:pt>
                <c:pt idx="92">
                  <c:v>0.29958562336936351</c:v>
                </c:pt>
                <c:pt idx="93">
                  <c:v>0.29826910080165203</c:v>
                </c:pt>
                <c:pt idx="94">
                  <c:v>0.29849076592046819</c:v>
                </c:pt>
                <c:pt idx="95">
                  <c:v>0.29870864540445408</c:v>
                </c:pt>
                <c:pt idx="96">
                  <c:v>0.2989189444522703</c:v>
                </c:pt>
                <c:pt idx="97">
                  <c:v>0.29912420420472818</c:v>
                </c:pt>
                <c:pt idx="98">
                  <c:v>0.29932572951845593</c:v>
                </c:pt>
                <c:pt idx="99">
                  <c:v>0.29952362658061177</c:v>
                </c:pt>
                <c:pt idx="100">
                  <c:v>0.29971799759042483</c:v>
                </c:pt>
              </c:numCache>
            </c:numRef>
          </c:val>
          <c:smooth val="0"/>
          <c:extLst>
            <c:ext xmlns:c16="http://schemas.microsoft.com/office/drawing/2014/chart" uri="{C3380CC4-5D6E-409C-BE32-E72D297353CC}">
              <c16:uniqueId val="{00000008-33CF-4CE8-9C2E-6191AB4D2064}"/>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1.470663606409917</c:v>
                </c:pt>
                <c:pt idx="28">
                  <c:v>1.5056629405573461</c:v>
                </c:pt>
                <c:pt idx="29">
                  <c:v>1.559743743489352</c:v>
                </c:pt>
                <c:pt idx="30">
                  <c:v>1.6137125330844346</c:v>
                </c:pt>
                <c:pt idx="31">
                  <c:v>1.6676936968535112</c:v>
                </c:pt>
                <c:pt idx="32">
                  <c:v>1.7216872397031628</c:v>
                </c:pt>
                <c:pt idx="33">
                  <c:v>1.7756931665540028</c:v>
                </c:pt>
                <c:pt idx="34">
                  <c:v>1.8297114823389455</c:v>
                </c:pt>
                <c:pt idx="35">
                  <c:v>1.8837421920017794</c:v>
                </c:pt>
                <c:pt idx="36">
                  <c:v>1.9377853004959866</c:v>
                </c:pt>
                <c:pt idx="37">
                  <c:v>1.9918408127837681</c:v>
                </c:pt>
                <c:pt idx="38">
                  <c:v>2.0459087338352204</c:v>
                </c:pt>
                <c:pt idx="39">
                  <c:v>2.0999890686276497</c:v>
                </c:pt>
                <c:pt idx="40">
                  <c:v>2.15408182214499</c:v>
                </c:pt>
                <c:pt idx="41">
                  <c:v>2.2081869993773102</c:v>
                </c:pt>
                <c:pt idx="42">
                  <c:v>2.2623046053203937</c:v>
                </c:pt>
                <c:pt idx="43">
                  <c:v>2.3164346449753803</c:v>
                </c:pt>
                <c:pt idx="44">
                  <c:v>2.3705771233484576</c:v>
                </c:pt>
                <c:pt idx="45">
                  <c:v>2.4247320454505932</c:v>
                </c:pt>
                <c:pt idx="46">
                  <c:v>2.4788994162973084</c:v>
                </c:pt>
                <c:pt idx="47">
                  <c:v>2.5330792409084744</c:v>
                </c:pt>
                <c:pt idx="48">
                  <c:v>2.5872715243081434</c:v>
                </c:pt>
                <c:pt idx="49">
                  <c:v>2.6414762715243949</c:v>
                </c:pt>
                <c:pt idx="50">
                  <c:v>2.6956934875892009</c:v>
                </c:pt>
                <c:pt idx="51">
                  <c:v>2.7499231775383155</c:v>
                </c:pt>
                <c:pt idx="52">
                  <c:v>2.8041653464111653</c:v>
                </c:pt>
                <c:pt idx="53">
                  <c:v>2.8584199992507653</c:v>
                </c:pt>
                <c:pt idx="54">
                  <c:v>2.9126871411036381</c:v>
                </c:pt>
                <c:pt idx="55">
                  <c:v>2.9669667770197368</c:v>
                </c:pt>
                <c:pt idx="56">
                  <c:v>3.0212589120523932</c:v>
                </c:pt>
                <c:pt idx="57">
                  <c:v>3.0755635512582518</c:v>
                </c:pt>
                <c:pt idx="58">
                  <c:v>3.129880699697229</c:v>
                </c:pt>
                <c:pt idx="59">
                  <c:v>3.1842103624324647</c:v>
                </c:pt>
                <c:pt idx="60">
                  <c:v>3.2385525445302763</c:v>
                </c:pt>
                <c:pt idx="61">
                  <c:v>3.2929072510601367</c:v>
                </c:pt>
                <c:pt idx="62">
                  <c:v>3.3472744870946336</c:v>
                </c:pt>
                <c:pt idx="63">
                  <c:v>3.4016542577094424</c:v>
                </c:pt>
                <c:pt idx="64">
                  <c:v>3.4560465679833019</c:v>
                </c:pt>
                <c:pt idx="65">
                  <c:v>3.5104514229979924</c:v>
                </c:pt>
                <c:pt idx="66">
                  <c:v>3.5648688278383101</c:v>
                </c:pt>
                <c:pt idx="67">
                  <c:v>3.6192987875920557</c:v>
                </c:pt>
                <c:pt idx="68">
                  <c:v>3.6737413073500118</c:v>
                </c:pt>
                <c:pt idx="69">
                  <c:v>3.7281963922059296</c:v>
                </c:pt>
                <c:pt idx="70">
                  <c:v>3.7826640472565196</c:v>
                </c:pt>
                <c:pt idx="71">
                  <c:v>3.8371442776014284</c:v>
                </c:pt>
                <c:pt idx="72">
                  <c:v>3.8916370883432432</c:v>
                </c:pt>
                <c:pt idx="73">
                  <c:v>3.9461424845874662</c:v>
                </c:pt>
                <c:pt idx="74">
                  <c:v>4.0006604714425151</c:v>
                </c:pt>
                <c:pt idx="75">
                  <c:v>4.0551910540197147</c:v>
                </c:pt>
                <c:pt idx="76">
                  <c:v>4.1097342374332841</c:v>
                </c:pt>
                <c:pt idx="77">
                  <c:v>4.1642900268003338</c:v>
                </c:pt>
                <c:pt idx="78">
                  <c:v>4.2188584272408622</c:v>
                </c:pt>
                <c:pt idx="79">
                  <c:v>4.273439443877745</c:v>
                </c:pt>
                <c:pt idx="80">
                  <c:v>4.3280330818367343</c:v>
                </c:pt>
                <c:pt idx="81">
                  <c:v>4.382639346246453</c:v>
                </c:pt>
                <c:pt idx="82">
                  <c:v>4.4372582422383866</c:v>
                </c:pt>
                <c:pt idx="83">
                  <c:v>4.491889774946892</c:v>
                </c:pt>
                <c:pt idx="84">
                  <c:v>4.5465339495091834</c:v>
                </c:pt>
                <c:pt idx="85">
                  <c:v>4.6011907710653288</c:v>
                </c:pt>
                <c:pt idx="86">
                  <c:v>4.6558602447582578</c:v>
                </c:pt>
                <c:pt idx="87">
                  <c:v>4.7105423757337492</c:v>
                </c:pt>
                <c:pt idx="88">
                  <c:v>4.7652371691404367</c:v>
                </c:pt>
                <c:pt idx="89">
                  <c:v>4.819944630129803</c:v>
                </c:pt>
                <c:pt idx="90">
                  <c:v>4.8746647638561802</c:v>
                </c:pt>
                <c:pt idx="91">
                  <c:v>4.9293975754767478</c:v>
                </c:pt>
                <c:pt idx="92">
                  <c:v>4.9841430701515339</c:v>
                </c:pt>
                <c:pt idx="93">
                  <c:v>5.0389012530434103</c:v>
                </c:pt>
                <c:pt idx="94">
                  <c:v>5.0936721293180982</c:v>
                </c:pt>
                <c:pt idx="95">
                  <c:v>5.1484557041441601</c:v>
                </c:pt>
                <c:pt idx="96">
                  <c:v>5.2032519826930104</c:v>
                </c:pt>
                <c:pt idx="97">
                  <c:v>5.2580609701389012</c:v>
                </c:pt>
                <c:pt idx="98">
                  <c:v>5.3128826716589366</c:v>
                </c:pt>
                <c:pt idx="99">
                  <c:v>5.3677170924330584</c:v>
                </c:pt>
                <c:pt idx="100">
                  <c:v>5.4225642376440657</c:v>
                </c:pt>
              </c:numCache>
            </c:numRef>
          </c:val>
          <c:smooth val="0"/>
          <c:extLst>
            <c:ext xmlns:c16="http://schemas.microsoft.com/office/drawing/2014/chart" uri="{C3380CC4-5D6E-409C-BE32-E72D297353CC}">
              <c16:uniqueId val="{00000000-6477-4C46-89EF-E7A1D5DEFAE7}"/>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2.3001569572310117</c:v>
                </c:pt>
                <c:pt idx="67">
                  <c:v>2.3175649898410255</c:v>
                </c:pt>
                <c:pt idx="68">
                  <c:v>2.3348450769136839</c:v>
                </c:pt>
                <c:pt idx="69">
                  <c:v>2.3520000596669925</c:v>
                </c:pt>
                <c:pt idx="70">
                  <c:v>2.3845637353424745</c:v>
                </c:pt>
                <c:pt idx="71">
                  <c:v>2.4187307007116678</c:v>
                </c:pt>
                <c:pt idx="72">
                  <c:v>2.4528639420530722</c:v>
                </c:pt>
                <c:pt idx="73">
                  <c:v>2.4869990394636963</c:v>
                </c:pt>
                <c:pt idx="74">
                  <c:v>2.5211359931401405</c:v>
                </c:pt>
                <c:pt idx="75">
                  <c:v>2.5552748032790937</c:v>
                </c:pt>
                <c:pt idx="76">
                  <c:v>2.5894154700773337</c:v>
                </c:pt>
                <c:pt idx="77">
                  <c:v>2.6235579937317191</c:v>
                </c:pt>
                <c:pt idx="78">
                  <c:v>2.6577023744391859</c:v>
                </c:pt>
                <c:pt idx="79">
                  <c:v>2.69184861239675</c:v>
                </c:pt>
                <c:pt idx="80">
                  <c:v>2.7259967078014955</c:v>
                </c:pt>
                <c:pt idx="81">
                  <c:v>2.7601466608505785</c:v>
                </c:pt>
                <c:pt idx="82">
                  <c:v>2.7942984717412216</c:v>
                </c:pt>
                <c:pt idx="83">
                  <c:v>2.8284521406707119</c:v>
                </c:pt>
                <c:pt idx="84">
                  <c:v>2.8626076678363988</c:v>
                </c:pt>
                <c:pt idx="85">
                  <c:v>2.8967650534356957</c:v>
                </c:pt>
                <c:pt idx="86">
                  <c:v>2.9309242976660665</c:v>
                </c:pt>
                <c:pt idx="87">
                  <c:v>2.9650854007250391</c:v>
                </c:pt>
                <c:pt idx="88">
                  <c:v>2.9992483628101945</c:v>
                </c:pt>
                <c:pt idx="89">
                  <c:v>3.0334131841191661</c:v>
                </c:pt>
                <c:pt idx="90">
                  <c:v>3.0675798648496393</c:v>
                </c:pt>
                <c:pt idx="91">
                  <c:v>3.1017484051993525</c:v>
                </c:pt>
                <c:pt idx="92">
                  <c:v>3.13591880536609</c:v>
                </c:pt>
                <c:pt idx="93">
                  <c:v>3.1700910655476875</c:v>
                </c:pt>
                <c:pt idx="94">
                  <c:v>3.2042651859420266</c:v>
                </c:pt>
                <c:pt idx="95">
                  <c:v>3.2384411667470352</c:v>
                </c:pt>
                <c:pt idx="96">
                  <c:v>3.2726190081606878</c:v>
                </c:pt>
                <c:pt idx="97">
                  <c:v>3.3067987103810008</c:v>
                </c:pt>
                <c:pt idx="98">
                  <c:v>3.3409802736060361</c:v>
                </c:pt>
                <c:pt idx="99">
                  <c:v>3.3751636980338962</c:v>
                </c:pt>
                <c:pt idx="100">
                  <c:v>3.4093489838627278</c:v>
                </c:pt>
              </c:numCache>
            </c:numRef>
          </c:val>
          <c:smooth val="0"/>
          <c:extLst>
            <c:ext xmlns:c16="http://schemas.microsoft.com/office/drawing/2014/chart" uri="{C3380CC4-5D6E-409C-BE32-E72D297353CC}">
              <c16:uniqueId val="{00000001-6477-4C46-89EF-E7A1D5DEFAE7}"/>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2.3001527921825256</c:v>
                </c:pt>
                <c:pt idx="67">
                  <c:v>2.317530373791802</c:v>
                </c:pt>
                <c:pt idx="68">
                  <c:v>2.3347790106371829</c:v>
                </c:pt>
                <c:pt idx="69">
                  <c:v>2.3519015368588665</c:v>
                </c:pt>
                <c:pt idx="70">
                  <c:v>2.3689006842720315</c:v>
                </c:pt>
                <c:pt idx="71">
                  <c:v>2.3857790874654792</c:v>
                </c:pt>
                <c:pt idx="72">
                  <c:v>2.4025392885782062</c:v>
                </c:pt>
                <c:pt idx="73">
                  <c:v>2.4191837417784372</c:v>
                </c:pt>
                <c:pt idx="74">
                  <c:v>2.4357148174674563</c:v>
                </c:pt>
                <c:pt idx="75">
                  <c:v>2.4521348062286319</c:v>
                </c:pt>
                <c:pt idx="76">
                  <c:v>2.4684459225402531</c:v>
                </c:pt>
                <c:pt idx="77">
                  <c:v>2.4846503082692237</c:v>
                </c:pt>
                <c:pt idx="78">
                  <c:v>2.5007500359612171</c:v>
                </c:pt>
                <c:pt idx="79">
                  <c:v>2.5167471119415952</c:v>
                </c:pt>
                <c:pt idx="80">
                  <c:v>2.5326434792402339</c:v>
                </c:pt>
                <c:pt idx="81">
                  <c:v>2.5484410203523202</c:v>
                </c:pt>
                <c:pt idx="82">
                  <c:v>2.5641415598462269</c:v>
                </c:pt>
                <c:pt idx="83">
                  <c:v>2.5797468668286925</c:v>
                </c:pt>
                <c:pt idx="84">
                  <c:v>2.5952586572767342</c:v>
                </c:pt>
                <c:pt idx="85">
                  <c:v>2.610678596244997</c:v>
                </c:pt>
                <c:pt idx="86">
                  <c:v>2.626008299956573</c:v>
                </c:pt>
                <c:pt idx="87">
                  <c:v>2.641249337784723</c:v>
                </c:pt>
                <c:pt idx="88">
                  <c:v>2.6564032341323838</c:v>
                </c:pt>
                <c:pt idx="89">
                  <c:v>2.6714900465316833</c:v>
                </c:pt>
                <c:pt idx="90">
                  <c:v>2.6865005054157196</c:v>
                </c:pt>
                <c:pt idx="91">
                  <c:v>2.7014287164361996</c:v>
                </c:pt>
                <c:pt idx="92">
                  <c:v>2.7162760419753789</c:v>
                </c:pt>
                <c:pt idx="93">
                  <c:v>2.7317900770777452</c:v>
                </c:pt>
                <c:pt idx="94">
                  <c:v>2.7612024702651827</c:v>
                </c:pt>
                <c:pt idx="95">
                  <c:v>2.7906369477513215</c:v>
                </c:pt>
                <c:pt idx="96">
                  <c:v>2.8200589063307264</c:v>
                </c:pt>
                <c:pt idx="97">
                  <c:v>2.8494768298153375</c:v>
                </c:pt>
                <c:pt idx="98">
                  <c:v>2.8788956276776494</c:v>
                </c:pt>
                <c:pt idx="99">
                  <c:v>2.9083152999710031</c:v>
                </c:pt>
                <c:pt idx="100">
                  <c:v>2.9377358467487507</c:v>
                </c:pt>
              </c:numCache>
            </c:numRef>
          </c:val>
          <c:smooth val="0"/>
          <c:extLst>
            <c:ext xmlns:c16="http://schemas.microsoft.com/office/drawing/2014/chart" uri="{C3380CC4-5D6E-409C-BE32-E72D297353CC}">
              <c16:uniqueId val="{00000002-6477-4C46-89EF-E7A1D5DEFAE7}"/>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1.0090105859662863</c:v>
                </c:pt>
                <c:pt idx="2">
                  <c:v>1.0180211719325727</c:v>
                </c:pt>
                <c:pt idx="3">
                  <c:v>1.027031757898859</c:v>
                </c:pt>
                <c:pt idx="4">
                  <c:v>1.0360423438651454</c:v>
                </c:pt>
                <c:pt idx="5">
                  <c:v>1.0450529298314317</c:v>
                </c:pt>
                <c:pt idx="6">
                  <c:v>1.0540635157977181</c:v>
                </c:pt>
                <c:pt idx="7">
                  <c:v>1.0630741017640044</c:v>
                </c:pt>
                <c:pt idx="8">
                  <c:v>1.0720846877302908</c:v>
                </c:pt>
                <c:pt idx="9">
                  <c:v>1.0810952736965771</c:v>
                </c:pt>
                <c:pt idx="10">
                  <c:v>1.0901058596628634</c:v>
                </c:pt>
                <c:pt idx="11">
                  <c:v>1.0991164456291498</c:v>
                </c:pt>
                <c:pt idx="12">
                  <c:v>1.1081270315954361</c:v>
                </c:pt>
                <c:pt idx="13">
                  <c:v>1.1171376175617225</c:v>
                </c:pt>
                <c:pt idx="14">
                  <c:v>1.1261482035280088</c:v>
                </c:pt>
                <c:pt idx="15">
                  <c:v>1.1351587894942952</c:v>
                </c:pt>
                <c:pt idx="16">
                  <c:v>1.1441693754605815</c:v>
                </c:pt>
                <c:pt idx="17">
                  <c:v>1.1531799614268678</c:v>
                </c:pt>
                <c:pt idx="18">
                  <c:v>1.1621905473931542</c:v>
                </c:pt>
                <c:pt idx="19">
                  <c:v>1.1712011333594405</c:v>
                </c:pt>
                <c:pt idx="20">
                  <c:v>1.1802117193257269</c:v>
                </c:pt>
                <c:pt idx="21">
                  <c:v>1.1892223052920132</c:v>
                </c:pt>
                <c:pt idx="22">
                  <c:v>1.1982328912582996</c:v>
                </c:pt>
                <c:pt idx="23">
                  <c:v>1.2177363047355529</c:v>
                </c:pt>
                <c:pt idx="24">
                  <c:v>1.2393732825074435</c:v>
                </c:pt>
                <c:pt idx="25">
                  <c:v>1.2605645317989493</c:v>
                </c:pt>
                <c:pt idx="26">
                  <c:v>1.2813365449162735</c:v>
                </c:pt>
                <c:pt idx="27">
                  <c:v>1.3017261282048767</c:v>
                </c:pt>
                <c:pt idx="28">
                  <c:v>1.3276515609066759</c:v>
                </c:pt>
                <c:pt idx="29">
                  <c:v>1.367711414930384</c:v>
                </c:pt>
                <c:pt idx="30">
                  <c:v>1.4076882961119268</c:v>
                </c:pt>
                <c:pt idx="31">
                  <c:v>1.4476743433482797</c:v>
                </c:pt>
                <c:pt idx="32">
                  <c:v>1.4876695602739476</c:v>
                </c:pt>
                <c:pt idx="33">
                  <c:v>1.527673950533829</c:v>
                </c:pt>
                <c:pt idx="34">
                  <c:v>1.5676875177819349</c:v>
                </c:pt>
                <c:pt idx="35">
                  <c:v>1.6077102656803302</c:v>
                </c:pt>
                <c:pt idx="36">
                  <c:v>1.6477421978982616</c:v>
                </c:pt>
                <c:pt idx="37">
                  <c:v>1.687783318111433</c:v>
                </c:pt>
                <c:pt idx="38">
                  <c:v>1.7278336300013977</c:v>
                </c:pt>
                <c:pt idx="39">
                  <c:v>1.767893137255049</c:v>
                </c:pt>
                <c:pt idx="40">
                  <c:v>1.80796184356419</c:v>
                </c:pt>
                <c:pt idx="41">
                  <c:v>1.848039752625168</c:v>
                </c:pt>
                <c:pt idx="42">
                  <c:v>1.888126868138563</c:v>
                </c:pt>
                <c:pt idx="43">
                  <c:v>1.9282231938089236</c:v>
                </c:pt>
                <c:pt idx="44">
                  <c:v>1.9683287333445363</c:v>
                </c:pt>
                <c:pt idx="45">
                  <c:v>2.0084434904572293</c:v>
                </c:pt>
                <c:pt idx="46">
                  <c:v>2.0485674688622035</c:v>
                </c:pt>
                <c:pt idx="47">
                  <c:v>2.088700672277882</c:v>
                </c:pt>
                <c:pt idx="48">
                  <c:v>2.1288431044257852</c:v>
                </c:pt>
                <c:pt idx="49">
                  <c:v>2.1689947690304159</c:v>
                </c:pt>
                <c:pt idx="50">
                  <c:v>2.209155669819161</c:v>
                </c:pt>
                <c:pt idx="51">
                  <c:v>2.2493258105222087</c:v>
                </c:pt>
                <c:pt idx="52">
                  <c:v>2.2895051948724681</c:v>
                </c:pt>
                <c:pt idx="53">
                  <c:v>2.3296938266055047</c:v>
                </c:pt>
                <c:pt idx="54">
                  <c:v>2.3698917094594849</c:v>
                </c:pt>
                <c:pt idx="55">
                  <c:v>2.4100988471751137</c:v>
                </c:pt>
                <c:pt idx="56">
                  <c:v>2.4503152434955995</c:v>
                </c:pt>
                <c:pt idx="57">
                  <c:v>2.4905409021666061</c:v>
                </c:pt>
                <c:pt idx="58">
                  <c:v>2.5307758269362193</c:v>
                </c:pt>
                <c:pt idx="59">
                  <c:v>2.5710200215549119</c:v>
                </c:pt>
                <c:pt idx="60">
                  <c:v>2.6112734897755132</c:v>
                </c:pt>
                <c:pt idx="61">
                  <c:v>2.6515362353531877</c:v>
                </c:pt>
                <c:pt idx="62">
                  <c:v>2.6918082620454076</c:v>
                </c:pt>
                <c:pt idx="63">
                  <c:v>2.7320895736119324</c:v>
                </c:pt>
                <c:pt idx="64">
                  <c:v>2.7723801738147911</c:v>
                </c:pt>
                <c:pt idx="65">
                  <c:v>2.8126800664182658</c:v>
                </c:pt>
                <c:pt idx="66">
                  <c:v>2.8529892551888718</c:v>
                </c:pt>
                <c:pt idx="67">
                  <c:v>2.8933077438953498</c:v>
                </c:pt>
                <c:pt idx="68">
                  <c:v>2.9336355363086506</c:v>
                </c:pt>
                <c:pt idx="69">
                  <c:v>2.973972636201923</c:v>
                </c:pt>
                <c:pt idx="70">
                  <c:v>3.0143190473505084</c:v>
                </c:pt>
                <c:pt idx="71">
                  <c:v>3.054674773531922</c:v>
                </c:pt>
                <c:pt idx="72">
                  <c:v>3.095039818525859</c:v>
                </c:pt>
                <c:pt idx="73">
                  <c:v>3.1354141861141724</c:v>
                </c:pt>
                <c:pt idx="74">
                  <c:v>3.175797880080875</c:v>
                </c:pt>
                <c:pt idx="75">
                  <c:v>3.2161909042121337</c:v>
                </c:pt>
                <c:pt idx="76">
                  <c:v>3.2565932622962599</c:v>
                </c:pt>
                <c:pt idx="77">
                  <c:v>3.2970049581237042</c:v>
                </c:pt>
                <c:pt idx="78">
                  <c:v>3.3374259954870578</c:v>
                </c:pt>
                <c:pt idx="79">
                  <c:v>3.3778563781810451</c:v>
                </c:pt>
                <c:pt idx="80">
                  <c:v>3.4182961100025189</c:v>
                </c:pt>
                <c:pt idx="81">
                  <c:v>3.4587451947504588</c:v>
                </c:pt>
                <c:pt idx="82">
                  <c:v>3.4992036362259649</c:v>
                </c:pt>
                <c:pt idx="83">
                  <c:v>3.5396714382322649</c:v>
                </c:pt>
                <c:pt idx="84">
                  <c:v>3.5801486045747035</c:v>
                </c:pt>
                <c:pt idx="85">
                  <c:v>3.6206351390607372</c:v>
                </c:pt>
                <c:pt idx="86">
                  <c:v>3.6611310454999435</c:v>
                </c:pt>
                <c:pt idx="87">
                  <c:v>3.7016363277040112</c:v>
                </c:pt>
                <c:pt idx="88">
                  <c:v>3.7421509894867429</c:v>
                </c:pt>
                <c:pt idx="89">
                  <c:v>3.7826750346640514</c:v>
                </c:pt>
                <c:pt idx="90">
                  <c:v>3.8232084670539601</c:v>
                </c:pt>
                <c:pt idx="91">
                  <c:v>3.8637512904766034</c:v>
                </c:pt>
                <c:pt idx="92">
                  <c:v>3.9043035087542224</c:v>
                </c:pt>
                <c:pt idx="93">
                  <c:v>3.9448651257111678</c:v>
                </c:pt>
                <c:pt idx="94">
                  <c:v>3.9854361451738995</c:v>
                </c:pt>
                <c:pt idx="95">
                  <c:v>4.0260165709709828</c:v>
                </c:pt>
                <c:pt idx="96">
                  <c:v>4.0666064069330945</c:v>
                </c:pt>
                <c:pt idx="97">
                  <c:v>4.1072056568930133</c:v>
                </c:pt>
                <c:pt idx="98">
                  <c:v>4.1478143246856316</c:v>
                </c:pt>
                <c:pt idx="99">
                  <c:v>4.188432414147945</c:v>
                </c:pt>
                <c:pt idx="100">
                  <c:v>4.2290599291190603</c:v>
                </c:pt>
              </c:numCache>
            </c:numRef>
          </c:val>
          <c:smooth val="0"/>
          <c:extLst>
            <c:ext xmlns:c16="http://schemas.microsoft.com/office/drawing/2014/chart" uri="{C3380CC4-5D6E-409C-BE32-E72D297353CC}">
              <c16:uniqueId val="{00000000-B28B-4852-801F-8278A9821D6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Single'!$AK$5:$AK$105</c:f>
              <c:numCache>
                <c:formatCode>0.000</c:formatCode>
                <c:ptCount val="101"/>
                <c:pt idx="0">
                  <c:v>1.0068571428571429</c:v>
                </c:pt>
                <c:pt idx="1">
                  <c:v>1.0090105859662863</c:v>
                </c:pt>
                <c:pt idx="2">
                  <c:v>1.0180211719325727</c:v>
                </c:pt>
                <c:pt idx="3">
                  <c:v>1.027031757898859</c:v>
                </c:pt>
                <c:pt idx="4">
                  <c:v>1.0360423438651454</c:v>
                </c:pt>
                <c:pt idx="5">
                  <c:v>1.0450529298314317</c:v>
                </c:pt>
                <c:pt idx="6">
                  <c:v>1.0540635157977181</c:v>
                </c:pt>
                <c:pt idx="7">
                  <c:v>1.0630741017640044</c:v>
                </c:pt>
                <c:pt idx="8">
                  <c:v>1.0720846877302908</c:v>
                </c:pt>
                <c:pt idx="9">
                  <c:v>1.0810952736965771</c:v>
                </c:pt>
                <c:pt idx="10">
                  <c:v>1.0901058596628634</c:v>
                </c:pt>
                <c:pt idx="11">
                  <c:v>1.0991164456291498</c:v>
                </c:pt>
                <c:pt idx="12">
                  <c:v>1.1081270315954361</c:v>
                </c:pt>
                <c:pt idx="13">
                  <c:v>1.1171376175617225</c:v>
                </c:pt>
                <c:pt idx="14">
                  <c:v>1.1261482035280088</c:v>
                </c:pt>
                <c:pt idx="15">
                  <c:v>1.1351587894942952</c:v>
                </c:pt>
                <c:pt idx="16">
                  <c:v>1.1441693754605815</c:v>
                </c:pt>
                <c:pt idx="17">
                  <c:v>1.1531799614268678</c:v>
                </c:pt>
                <c:pt idx="18">
                  <c:v>1.1621905473931542</c:v>
                </c:pt>
                <c:pt idx="19">
                  <c:v>1.1712011333594405</c:v>
                </c:pt>
                <c:pt idx="20">
                  <c:v>1.1802117193257269</c:v>
                </c:pt>
                <c:pt idx="21">
                  <c:v>1.1892223052920132</c:v>
                </c:pt>
                <c:pt idx="22">
                  <c:v>1.1982328912582996</c:v>
                </c:pt>
                <c:pt idx="23">
                  <c:v>1.2177363047355529</c:v>
                </c:pt>
                <c:pt idx="24">
                  <c:v>1.2393732825074435</c:v>
                </c:pt>
                <c:pt idx="25">
                  <c:v>1.2605645317989493</c:v>
                </c:pt>
                <c:pt idx="26">
                  <c:v>1.2813365449162735</c:v>
                </c:pt>
                <c:pt idx="27">
                  <c:v>1.3017132894029111</c:v>
                </c:pt>
                <c:pt idx="28">
                  <c:v>1.3217165325844933</c:v>
                </c:pt>
                <c:pt idx="29">
                  <c:v>1.3413661143676159</c:v>
                </c:pt>
                <c:pt idx="30">
                  <c:v>1.3606801780329258</c:v>
                </c:pt>
                <c:pt idx="31">
                  <c:v>1.379675366667374</c:v>
                </c:pt>
                <c:pt idx="32">
                  <c:v>1.3983669912886905</c:v>
                </c:pt>
                <c:pt idx="33">
                  <c:v>1.4167691754938991</c:v>
                </c:pt>
                <c:pt idx="34">
                  <c:v>1.4348949805182472</c:v>
                </c:pt>
                <c:pt idx="35">
                  <c:v>1.4527565138526919</c:v>
                </c:pt>
                <c:pt idx="36">
                  <c:v>1.4703650239871127</c:v>
                </c:pt>
                <c:pt idx="37">
                  <c:v>1.4877309833857137</c:v>
                </c:pt>
                <c:pt idx="38">
                  <c:v>1.5048641614332572</c:v>
                </c:pt>
                <c:pt idx="39">
                  <c:v>1.5217736887950908</c:v>
                </c:pt>
                <c:pt idx="40">
                  <c:v>1.5384681143948156</c:v>
                </c:pt>
                <c:pt idx="41">
                  <c:v>1.5549554560189156</c:v>
                </c:pt>
                <c:pt idx="42">
                  <c:v>1.5712432453985139</c:v>
                </c:pt>
                <c:pt idx="43">
                  <c:v>1.5873385684875643</c:v>
                </c:pt>
                <c:pt idx="44">
                  <c:v>1.6032481015486266</c:v>
                </c:pt>
                <c:pt idx="45">
                  <c:v>1.6189781435675343</c:v>
                </c:pt>
                <c:pt idx="46">
                  <c:v>1.6345346454433696</c:v>
                </c:pt>
                <c:pt idx="47">
                  <c:v>1.6499232363373686</c:v>
                </c:pt>
                <c:pt idx="48">
                  <c:v>1.665149247511597</c:v>
                </c:pt>
                <c:pt idx="49">
                  <c:v>1.6802177339436348</c:v>
                </c:pt>
                <c:pt idx="50">
                  <c:v>1.695133493965735</c:v>
                </c:pt>
                <c:pt idx="51">
                  <c:v>1.7099010871447442</c:v>
                </c:pt>
                <c:pt idx="52">
                  <c:v>1.7245248505916506</c:v>
                </c:pt>
                <c:pt idx="53">
                  <c:v>1.7390089138661131</c:v>
                </c:pt>
                <c:pt idx="54">
                  <c:v>1.7533572126211303</c:v>
                </c:pt>
                <c:pt idx="55">
                  <c:v>1.7675735011156219</c:v>
                </c:pt>
                <c:pt idx="56">
                  <c:v>1.7816613637076419</c:v>
                </c:pt>
                <c:pt idx="57">
                  <c:v>1.7956242254279293</c:v>
                </c:pt>
                <c:pt idx="58">
                  <c:v>1.8094653617221683</c:v>
                </c:pt>
                <c:pt idx="59">
                  <c:v>1.8231879074404671</c:v>
                </c:pt>
                <c:pt idx="60">
                  <c:v>1.8367948651439527</c:v>
                </c:pt>
                <c:pt idx="61">
                  <c:v>1.8502891127908372</c:v>
                </c:pt>
                <c:pt idx="62">
                  <c:v>1.8636734108576811</c:v>
                </c:pt>
                <c:pt idx="63">
                  <c:v>1.8769504089457747</c:v>
                </c:pt>
                <c:pt idx="64">
                  <c:v>1.8901226519174164</c:v>
                </c:pt>
                <c:pt idx="65">
                  <c:v>1.9031925856023366</c:v>
                </c:pt>
                <c:pt idx="66">
                  <c:v>1.9161656473316135</c:v>
                </c:pt>
                <c:pt idx="67">
                  <c:v>1.929060486301994</c:v>
                </c:pt>
                <c:pt idx="68">
                  <c:v>1.9418605508002595</c:v>
                </c:pt>
                <c:pt idx="69">
                  <c:v>1.9545679454323399</c:v>
                </c:pt>
                <c:pt idx="70">
                  <c:v>1.9786891866734377</c:v>
                </c:pt>
                <c:pt idx="71">
                  <c:v>2.0039980499098773</c:v>
                </c:pt>
                <c:pt idx="72">
                  <c:v>2.0292819323849915</c:v>
                </c:pt>
                <c:pt idx="73">
                  <c:v>2.0545671897261943</c:v>
                </c:pt>
                <c:pt idx="74">
                  <c:v>2.0798538220791163</c:v>
                </c:pt>
                <c:pt idx="75">
                  <c:v>2.105141829589452</c:v>
                </c:pt>
                <c:pt idx="76">
                  <c:v>2.130431212402963</c:v>
                </c:pt>
                <c:pt idx="77">
                  <c:v>2.1557219706654709</c:v>
                </c:pt>
                <c:pt idx="78">
                  <c:v>2.1810141045228537</c:v>
                </c:pt>
                <c:pt idx="79">
                  <c:v>2.2063076141210494</c:v>
                </c:pt>
                <c:pt idx="80">
                  <c:v>2.231602499606046</c:v>
                </c:pt>
                <c:pt idx="81">
                  <c:v>2.2568987611238853</c:v>
                </c:pt>
                <c:pt idx="82">
                  <c:v>2.2821963988206577</c:v>
                </c:pt>
                <c:pt idx="83">
                  <c:v>2.3074954128425027</c:v>
                </c:pt>
                <c:pt idx="84">
                  <c:v>2.3327958033356038</c:v>
                </c:pt>
                <c:pt idx="85">
                  <c:v>2.3580975704461942</c:v>
                </c:pt>
                <c:pt idx="86">
                  <c:v>2.3834007143205431</c:v>
                </c:pt>
                <c:pt idx="87">
                  <c:v>2.4087052351049669</c:v>
                </c:pt>
                <c:pt idx="88">
                  <c:v>2.4340111329458232</c:v>
                </c:pt>
                <c:pt idx="89">
                  <c:v>2.4593184079895059</c:v>
                </c:pt>
                <c:pt idx="90">
                  <c:v>2.484627060382449</c:v>
                </c:pt>
                <c:pt idx="91">
                  <c:v>2.5099370902711251</c:v>
                </c:pt>
                <c:pt idx="92">
                  <c:v>2.5352484978020415</c:v>
                </c:pt>
                <c:pt idx="93">
                  <c:v>2.5605612831217437</c:v>
                </c:pt>
                <c:pt idx="94">
                  <c:v>2.5858754463768099</c:v>
                </c:pt>
                <c:pt idx="95">
                  <c:v>2.6111909877138531</c:v>
                </c:pt>
                <c:pt idx="96">
                  <c:v>2.6365079072795217</c:v>
                </c:pt>
                <c:pt idx="97">
                  <c:v>2.6618262052204944</c:v>
                </c:pt>
                <c:pt idx="98">
                  <c:v>2.6871458816834837</c:v>
                </c:pt>
                <c:pt idx="99">
                  <c:v>2.7124669368152317</c:v>
                </c:pt>
                <c:pt idx="100">
                  <c:v>2.7377893707625143</c:v>
                </c:pt>
              </c:numCache>
            </c:numRef>
          </c:val>
          <c:smooth val="0"/>
          <c:extLst>
            <c:ext xmlns:c16="http://schemas.microsoft.com/office/drawing/2014/chart" uri="{C3380CC4-5D6E-409C-BE32-E72D297353CC}">
              <c16:uniqueId val="{00000001-B28B-4852-801F-8278A9821D6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1.0090105859662863</c:v>
                </c:pt>
                <c:pt idx="2">
                  <c:v>1.0180211719325727</c:v>
                </c:pt>
                <c:pt idx="3">
                  <c:v>1.027031757898859</c:v>
                </c:pt>
                <c:pt idx="4">
                  <c:v>1.0360423438651454</c:v>
                </c:pt>
                <c:pt idx="5">
                  <c:v>1.0450529298314317</c:v>
                </c:pt>
                <c:pt idx="6">
                  <c:v>1.0540635157977181</c:v>
                </c:pt>
                <c:pt idx="7">
                  <c:v>1.0630741017640044</c:v>
                </c:pt>
                <c:pt idx="8">
                  <c:v>1.0720846877302908</c:v>
                </c:pt>
                <c:pt idx="9">
                  <c:v>1.0810952736965771</c:v>
                </c:pt>
                <c:pt idx="10">
                  <c:v>1.0901058596628634</c:v>
                </c:pt>
                <c:pt idx="11">
                  <c:v>1.0991164456291498</c:v>
                </c:pt>
                <c:pt idx="12">
                  <c:v>1.1081270315954361</c:v>
                </c:pt>
                <c:pt idx="13">
                  <c:v>1.1171376175617225</c:v>
                </c:pt>
                <c:pt idx="14">
                  <c:v>1.1261482035280088</c:v>
                </c:pt>
                <c:pt idx="15">
                  <c:v>1.1351587894942952</c:v>
                </c:pt>
                <c:pt idx="16">
                  <c:v>1.1441693754605815</c:v>
                </c:pt>
                <c:pt idx="17">
                  <c:v>1.1531799614268678</c:v>
                </c:pt>
                <c:pt idx="18">
                  <c:v>1.1621905473931542</c:v>
                </c:pt>
                <c:pt idx="19">
                  <c:v>1.1712011333594405</c:v>
                </c:pt>
                <c:pt idx="20">
                  <c:v>1.1802117193257269</c:v>
                </c:pt>
                <c:pt idx="21">
                  <c:v>1.1892223052920132</c:v>
                </c:pt>
                <c:pt idx="22">
                  <c:v>1.1982328912582996</c:v>
                </c:pt>
                <c:pt idx="23">
                  <c:v>1.2177363047355529</c:v>
                </c:pt>
                <c:pt idx="24">
                  <c:v>1.2393732825074435</c:v>
                </c:pt>
                <c:pt idx="25">
                  <c:v>1.2605645317989493</c:v>
                </c:pt>
                <c:pt idx="26">
                  <c:v>1.2813365449162735</c:v>
                </c:pt>
                <c:pt idx="27">
                  <c:v>1.3017132894029111</c:v>
                </c:pt>
                <c:pt idx="28">
                  <c:v>1.3217165325844933</c:v>
                </c:pt>
                <c:pt idx="29">
                  <c:v>1.3413661143676159</c:v>
                </c:pt>
                <c:pt idx="30">
                  <c:v>1.3606801780329258</c:v>
                </c:pt>
                <c:pt idx="31">
                  <c:v>1.379675366667374</c:v>
                </c:pt>
                <c:pt idx="32">
                  <c:v>1.3983669912886905</c:v>
                </c:pt>
                <c:pt idx="33">
                  <c:v>1.4167691754938991</c:v>
                </c:pt>
                <c:pt idx="34">
                  <c:v>1.4348949805182472</c:v>
                </c:pt>
                <c:pt idx="35">
                  <c:v>1.4527565138526919</c:v>
                </c:pt>
                <c:pt idx="36">
                  <c:v>1.4703650239871127</c:v>
                </c:pt>
                <c:pt idx="37">
                  <c:v>1.4877309833857137</c:v>
                </c:pt>
                <c:pt idx="38">
                  <c:v>1.5048641614332572</c:v>
                </c:pt>
                <c:pt idx="39">
                  <c:v>1.5217736887950908</c:v>
                </c:pt>
                <c:pt idx="40">
                  <c:v>1.5384681143948156</c:v>
                </c:pt>
                <c:pt idx="41">
                  <c:v>1.5549554560189156</c:v>
                </c:pt>
                <c:pt idx="42">
                  <c:v>1.5712432453985139</c:v>
                </c:pt>
                <c:pt idx="43">
                  <c:v>1.5873385684875643</c:v>
                </c:pt>
                <c:pt idx="44">
                  <c:v>1.6032481015486266</c:v>
                </c:pt>
                <c:pt idx="45">
                  <c:v>1.6189781435675343</c:v>
                </c:pt>
                <c:pt idx="46">
                  <c:v>1.6345346454433696</c:v>
                </c:pt>
                <c:pt idx="47">
                  <c:v>1.6499232363373686</c:v>
                </c:pt>
                <c:pt idx="48">
                  <c:v>1.665149247511597</c:v>
                </c:pt>
                <c:pt idx="49">
                  <c:v>1.6802177339436348</c:v>
                </c:pt>
                <c:pt idx="50">
                  <c:v>1.695133493965735</c:v>
                </c:pt>
                <c:pt idx="51">
                  <c:v>1.7099010871447442</c:v>
                </c:pt>
                <c:pt idx="52">
                  <c:v>1.7245248505916506</c:v>
                </c:pt>
                <c:pt idx="53">
                  <c:v>1.7390089138661131</c:v>
                </c:pt>
                <c:pt idx="54">
                  <c:v>1.7533572126211303</c:v>
                </c:pt>
                <c:pt idx="55">
                  <c:v>1.7675735011156219</c:v>
                </c:pt>
                <c:pt idx="56">
                  <c:v>1.7816613637076419</c:v>
                </c:pt>
                <c:pt idx="57">
                  <c:v>1.7956242254279293</c:v>
                </c:pt>
                <c:pt idx="58">
                  <c:v>1.8094653617221683</c:v>
                </c:pt>
                <c:pt idx="59">
                  <c:v>1.8231879074404671</c:v>
                </c:pt>
                <c:pt idx="60">
                  <c:v>1.8367948651439527</c:v>
                </c:pt>
                <c:pt idx="61">
                  <c:v>1.8502891127908372</c:v>
                </c:pt>
                <c:pt idx="62">
                  <c:v>1.8636734108576811</c:v>
                </c:pt>
                <c:pt idx="63">
                  <c:v>1.8769504089457747</c:v>
                </c:pt>
                <c:pt idx="64">
                  <c:v>1.8901226519174164</c:v>
                </c:pt>
                <c:pt idx="65">
                  <c:v>1.9031925856023366</c:v>
                </c:pt>
                <c:pt idx="66">
                  <c:v>1.9161625621105127</c:v>
                </c:pt>
                <c:pt idx="67">
                  <c:v>1.9290348447840509</c:v>
                </c:pt>
                <c:pt idx="68">
                  <c:v>1.9418116128176661</c:v>
                </c:pt>
                <c:pt idx="69">
                  <c:v>1.9544949655744688</c:v>
                </c:pt>
                <c:pt idx="70">
                  <c:v>1.9670869266212576</c:v>
                </c:pt>
                <c:pt idx="71">
                  <c:v>1.9795894475052931</c:v>
                </c:pt>
                <c:pt idx="72">
                  <c:v>1.9920044112924984</c:v>
                </c:pt>
                <c:pt idx="73">
                  <c:v>2.0043336358852617</c:v>
                </c:pt>
                <c:pt idx="74">
                  <c:v>2.0165788771363875</c:v>
                </c:pt>
                <c:pt idx="75">
                  <c:v>2.0287418317742949</c:v>
                </c:pt>
                <c:pt idx="76">
                  <c:v>2.0408241401532736</c:v>
                </c:pt>
                <c:pt idx="77">
                  <c:v>2.0528273888414001</c:v>
                </c:pt>
                <c:pt idx="78">
                  <c:v>2.0647531130576917</c:v>
                </c:pt>
                <c:pt idx="79">
                  <c:v>2.0766027989690827</c:v>
                </c:pt>
                <c:pt idx="80">
                  <c:v>2.0883778858569633</c:v>
                </c:pt>
                <c:pt idx="81">
                  <c:v>2.1000797681622121</c:v>
                </c:pt>
                <c:pt idx="82">
                  <c:v>2.1117097974169581</c:v>
                </c:pt>
                <c:pt idx="83">
                  <c:v>2.123269284070636</c:v>
                </c:pt>
                <c:pt idx="84">
                  <c:v>2.134759499217334</c:v>
                </c:pt>
                <c:pt idx="85">
                  <c:v>2.1461816762308619</c:v>
                </c:pt>
                <c:pt idx="86">
                  <c:v>2.1575370123135107</c:v>
                </c:pt>
                <c:pt idx="87">
                  <c:v>2.168826669963992</c:v>
                </c:pt>
                <c:pt idx="88">
                  <c:v>2.1800517783696667</c:v>
                </c:pt>
                <c:pt idx="89">
                  <c:v>2.1912271949617406</c:v>
                </c:pt>
                <c:pt idx="90">
                  <c:v>2.20234605339436</c:v>
                </c:pt>
                <c:pt idx="91">
                  <c:v>2.2134039874836047</c:v>
                </c:pt>
                <c:pt idx="92">
                  <c:v>2.2244020064015149</c:v>
                </c:pt>
                <c:pt idx="93">
                  <c:v>2.2358938842551197</c:v>
                </c:pt>
                <c:pt idx="94">
                  <c:v>2.25768084217174</c:v>
                </c:pt>
                <c:pt idx="95">
                  <c:v>2.2794841588281392</c:v>
                </c:pt>
                <c:pt idx="96">
                  <c:v>2.3012782022202911</c:v>
                </c:pt>
                <c:pt idx="97">
                  <c:v>2.3230692566533362</c:v>
                </c:pt>
                <c:pt idx="98">
                  <c:v>2.3448609587735674</c:v>
                </c:pt>
                <c:pt idx="99">
                  <c:v>2.3666533086204957</c:v>
                </c:pt>
                <c:pt idx="100">
                  <c:v>2.3884463062336421</c:v>
                </c:pt>
              </c:numCache>
            </c:numRef>
          </c:val>
          <c:smooth val="0"/>
          <c:extLst>
            <c:ext xmlns:c16="http://schemas.microsoft.com/office/drawing/2014/chart" uri="{C3380CC4-5D6E-409C-BE32-E72D297353CC}">
              <c16:uniqueId val="{00000002-B28B-4852-801F-8278A9821D66}"/>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Single'!$CB$5:$CB$105</c:f>
              <c:numCache>
                <c:formatCode>0.00</c:formatCode>
                <c:ptCount val="101"/>
                <c:pt idx="0">
                  <c:v>3.0069218587900618E-5</c:v>
                </c:pt>
                <c:pt idx="1">
                  <c:v>70.084436916868938</c:v>
                </c:pt>
                <c:pt idx="2">
                  <c:v>75.376827097846828</c:v>
                </c:pt>
                <c:pt idx="3">
                  <c:v>77.323030781987995</c:v>
                </c:pt>
                <c:pt idx="4">
                  <c:v>78.334208542735553</c:v>
                </c:pt>
                <c:pt idx="5">
                  <c:v>78.953625033579087</c:v>
                </c:pt>
                <c:pt idx="6">
                  <c:v>79.371968678206912</c:v>
                </c:pt>
                <c:pt idx="7">
                  <c:v>79.673448207635829</c:v>
                </c:pt>
                <c:pt idx="8">
                  <c:v>79.901010616144347</c:v>
                </c:pt>
                <c:pt idx="9">
                  <c:v>80.078855654193987</c:v>
                </c:pt>
                <c:pt idx="10">
                  <c:v>80.221658772854028</c:v>
                </c:pt>
                <c:pt idx="11">
                  <c:v>80.338836993928481</c:v>
                </c:pt>
                <c:pt idx="12">
                  <c:v>80.436710493553093</c:v>
                </c:pt>
                <c:pt idx="13">
                  <c:v>80.519678913845112</c:v>
                </c:pt>
                <c:pt idx="14">
                  <c:v>80.590899356096173</c:v>
                </c:pt>
                <c:pt idx="15">
                  <c:v>80.652696098607521</c:v>
                </c:pt>
                <c:pt idx="16">
                  <c:v>80.706818223306669</c:v>
                </c:pt>
                <c:pt idx="17">
                  <c:v>80.754607180827023</c:v>
                </c:pt>
                <c:pt idx="18">
                  <c:v>80.797109002955182</c:v>
                </c:pt>
                <c:pt idx="19">
                  <c:v>80.835151381664858</c:v>
                </c:pt>
                <c:pt idx="20">
                  <c:v>80.869397811799033</c:v>
                </c:pt>
                <c:pt idx="21">
                  <c:v>80.90038638383119</c:v>
                </c:pt>
                <c:pt idx="22">
                  <c:v>80.928558074769597</c:v>
                </c:pt>
                <c:pt idx="23">
                  <c:v>81.222050724210277</c:v>
                </c:pt>
                <c:pt idx="24">
                  <c:v>81.558738012876987</c:v>
                </c:pt>
                <c:pt idx="25">
                  <c:v>81.873487489855037</c:v>
                </c:pt>
                <c:pt idx="26">
                  <c:v>82.168482470940006</c:v>
                </c:pt>
                <c:pt idx="27">
                  <c:v>82.445619394833145</c:v>
                </c:pt>
                <c:pt idx="28">
                  <c:v>82.706554018671881</c:v>
                </c:pt>
                <c:pt idx="29">
                  <c:v>82.952738896957925</c:v>
                </c:pt>
                <c:pt idx="30">
                  <c:v>83.185454014306089</c:v>
                </c:pt>
                <c:pt idx="31">
                  <c:v>83.405831995636348</c:v>
                </c:pt>
                <c:pt idx="32">
                  <c:v>83.614878987567536</c:v>
                </c:pt>
                <c:pt idx="33">
                  <c:v>83.813492058723781</c:v>
                </c:pt>
                <c:pt idx="34">
                  <c:v>84.002473781364472</c:v>
                </c:pt>
                <c:pt idx="35">
                  <c:v>84.182544515939639</c:v>
                </c:pt>
                <c:pt idx="36">
                  <c:v>84.354352812264295</c:v>
                </c:pt>
                <c:pt idx="37">
                  <c:v>84.518484257654904</c:v>
                </c:pt>
                <c:pt idx="38">
                  <c:v>84.675469037504087</c:v>
                </c:pt>
                <c:pt idx="39">
                  <c:v>84.825788422934508</c:v>
                </c:pt>
                <c:pt idx="40">
                  <c:v>84.969880360064579</c:v>
                </c:pt>
                <c:pt idx="41">
                  <c:v>85.108144303575799</c:v>
                </c:pt>
                <c:pt idx="42">
                  <c:v>85.240945411839348</c:v>
                </c:pt>
                <c:pt idx="43">
                  <c:v>85.368618200430902</c:v>
                </c:pt>
                <c:pt idx="44">
                  <c:v>85.491469734365367</c:v>
                </c:pt>
                <c:pt idx="45">
                  <c:v>85.609782425992364</c:v>
                </c:pt>
                <c:pt idx="46">
                  <c:v>85.723816494569405</c:v>
                </c:pt>
                <c:pt idx="47">
                  <c:v>85.833812134578721</c:v>
                </c:pt>
                <c:pt idx="48">
                  <c:v>85.939991432484248</c:v>
                </c:pt>
                <c:pt idx="49">
                  <c:v>86.042560065533962</c:v>
                </c:pt>
                <c:pt idx="50">
                  <c:v>86.141708811156576</c:v>
                </c:pt>
                <c:pt idx="51">
                  <c:v>86.23761489128708</c:v>
                </c:pt>
                <c:pt idx="52">
                  <c:v>86.330443172432936</c:v>
                </c:pt>
                <c:pt idx="53">
                  <c:v>86.420347239332244</c:v>
                </c:pt>
                <c:pt idx="54">
                  <c:v>86.507470357565225</c:v>
                </c:pt>
                <c:pt idx="55">
                  <c:v>86.591946338372722</c:v>
                </c:pt>
                <c:pt idx="56">
                  <c:v>86.673900317150299</c:v>
                </c:pt>
                <c:pt idx="57">
                  <c:v>86.753449455568557</c:v>
                </c:pt>
                <c:pt idx="58">
                  <c:v>86.830703575973743</c:v>
                </c:pt>
                <c:pt idx="59">
                  <c:v>86.905765735615731</c:v>
                </c:pt>
                <c:pt idx="60">
                  <c:v>86.978732747299972</c:v>
                </c:pt>
                <c:pt idx="61">
                  <c:v>87.049695652241624</c:v>
                </c:pt>
                <c:pt idx="62">
                  <c:v>87.118740150197027</c:v>
                </c:pt>
                <c:pt idx="63">
                  <c:v>87.185946991336479</c:v>
                </c:pt>
                <c:pt idx="64">
                  <c:v>87.251392333796289</c:v>
                </c:pt>
                <c:pt idx="65">
                  <c:v>87.384484900600214</c:v>
                </c:pt>
                <c:pt idx="66">
                  <c:v>87.536634196060362</c:v>
                </c:pt>
                <c:pt idx="67">
                  <c:v>87.683465794241371</c:v>
                </c:pt>
                <c:pt idx="68">
                  <c:v>87.825252088385781</c:v>
                </c:pt>
                <c:pt idx="69">
                  <c:v>87.962226484320212</c:v>
                </c:pt>
                <c:pt idx="70">
                  <c:v>88.058639669758819</c:v>
                </c:pt>
                <c:pt idx="71">
                  <c:v>88.148212948927295</c:v>
                </c:pt>
                <c:pt idx="72">
                  <c:v>88.23476035547219</c:v>
                </c:pt>
                <c:pt idx="73">
                  <c:v>88.318391680411068</c:v>
                </c:pt>
                <c:pt idx="74">
                  <c:v>88.399231617323053</c:v>
                </c:pt>
                <c:pt idx="75">
                  <c:v>88.477398005516719</c:v>
                </c:pt>
                <c:pt idx="76">
                  <c:v>88.553002285052102</c:v>
                </c:pt>
                <c:pt idx="77">
                  <c:v>88.62614991659872</c:v>
                </c:pt>
                <c:pt idx="78">
                  <c:v>88.696940769212858</c:v>
                </c:pt>
                <c:pt idx="79">
                  <c:v>88.765469478816172</c:v>
                </c:pt>
                <c:pt idx="80">
                  <c:v>88.83182577988903</c:v>
                </c:pt>
                <c:pt idx="81">
                  <c:v>88.89609481265191</c:v>
                </c:pt>
                <c:pt idx="82">
                  <c:v>88.958357407793059</c:v>
                </c:pt>
                <c:pt idx="83">
                  <c:v>89.01869035060767</c:v>
                </c:pt>
                <c:pt idx="84">
                  <c:v>89.077166626241493</c:v>
                </c:pt>
                <c:pt idx="85">
                  <c:v>89.133855647576127</c:v>
                </c:pt>
                <c:pt idx="86">
                  <c:v>89.188823467153725</c:v>
                </c:pt>
                <c:pt idx="87">
                  <c:v>89.242132974413437</c:v>
                </c:pt>
                <c:pt idx="88">
                  <c:v>89.293844079398227</c:v>
                </c:pt>
                <c:pt idx="89">
                  <c:v>89.34401388398912</c:v>
                </c:pt>
                <c:pt idx="90">
                  <c:v>89.392696841631249</c:v>
                </c:pt>
                <c:pt idx="91">
                  <c:v>89.439944906432871</c:v>
                </c:pt>
                <c:pt idx="92">
                  <c:v>89.485807672443357</c:v>
                </c:pt>
                <c:pt idx="93">
                  <c:v>89.530332503847276</c:v>
                </c:pt>
                <c:pt idx="94">
                  <c:v>89.573564656750193</c:v>
                </c:pt>
                <c:pt idx="95">
                  <c:v>89.615547393175731</c:v>
                </c:pt>
                <c:pt idx="96">
                  <c:v>89.656322087841872</c:v>
                </c:pt>
                <c:pt idx="97">
                  <c:v>89.695928328238409</c:v>
                </c:pt>
                <c:pt idx="98">
                  <c:v>89.734404008485427</c:v>
                </c:pt>
                <c:pt idx="99">
                  <c:v>89.771785417413682</c:v>
                </c:pt>
                <c:pt idx="100">
                  <c:v>89.808107321273297</c:v>
                </c:pt>
              </c:numCache>
            </c:numRef>
          </c:val>
          <c:smooth val="0"/>
          <c:extLst>
            <c:ext xmlns:c16="http://schemas.microsoft.com/office/drawing/2014/chart" uri="{C3380CC4-5D6E-409C-BE32-E72D297353CC}">
              <c16:uniqueId val="{00000000-1E04-4A6B-B26C-C435E097FB7E}"/>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val>
            <c:numRef>
              <c:f>'Calculations - Single'!$BR$5:$BR$105</c:f>
              <c:numCache>
                <c:formatCode>0.0</c:formatCode>
                <c:ptCount val="101"/>
                <c:pt idx="0">
                  <c:v>6.2124999999999988E-7</c:v>
                </c:pt>
                <c:pt idx="1">
                  <c:v>6.2124999999999995</c:v>
                </c:pt>
                <c:pt idx="2">
                  <c:v>12.424999999999999</c:v>
                </c:pt>
                <c:pt idx="3">
                  <c:v>18.637499999999999</c:v>
                </c:pt>
                <c:pt idx="4">
                  <c:v>24.849999999999998</c:v>
                </c:pt>
                <c:pt idx="5">
                  <c:v>31.062499999999996</c:v>
                </c:pt>
                <c:pt idx="6">
                  <c:v>37.274999999999999</c:v>
                </c:pt>
                <c:pt idx="7">
                  <c:v>43.487499999999997</c:v>
                </c:pt>
                <c:pt idx="8">
                  <c:v>49.699999999999996</c:v>
                </c:pt>
                <c:pt idx="9">
                  <c:v>55.912499999999994</c:v>
                </c:pt>
                <c:pt idx="10">
                  <c:v>62.124999999999993</c:v>
                </c:pt>
                <c:pt idx="11">
                  <c:v>68.337499999999991</c:v>
                </c:pt>
                <c:pt idx="12">
                  <c:v>74.55</c:v>
                </c:pt>
                <c:pt idx="13">
                  <c:v>80.762499999999989</c:v>
                </c:pt>
                <c:pt idx="14">
                  <c:v>86.974999999999994</c:v>
                </c:pt>
                <c:pt idx="15">
                  <c:v>93.187499999999986</c:v>
                </c:pt>
                <c:pt idx="16">
                  <c:v>99.399999999999991</c:v>
                </c:pt>
                <c:pt idx="17">
                  <c:v>105.61249999999998</c:v>
                </c:pt>
                <c:pt idx="18">
                  <c:v>111.82499999999999</c:v>
                </c:pt>
                <c:pt idx="19">
                  <c:v>118.03749999999998</c:v>
                </c:pt>
                <c:pt idx="20">
                  <c:v>124.24999999999999</c:v>
                </c:pt>
                <c:pt idx="21">
                  <c:v>130.46249999999998</c:v>
                </c:pt>
                <c:pt idx="22">
                  <c:v>136.67499999999998</c:v>
                </c:pt>
                <c:pt idx="23">
                  <c:v>142.88749999999999</c:v>
                </c:pt>
                <c:pt idx="24">
                  <c:v>149.1</c:v>
                </c:pt>
                <c:pt idx="25">
                  <c:v>155.3125</c:v>
                </c:pt>
                <c:pt idx="26">
                  <c:v>161.52499999999998</c:v>
                </c:pt>
                <c:pt idx="27">
                  <c:v>167.73749999999998</c:v>
                </c:pt>
                <c:pt idx="28">
                  <c:v>173.95</c:v>
                </c:pt>
                <c:pt idx="29">
                  <c:v>180.16249999999997</c:v>
                </c:pt>
                <c:pt idx="30">
                  <c:v>186.37499999999997</c:v>
                </c:pt>
                <c:pt idx="31">
                  <c:v>192.58750000000001</c:v>
                </c:pt>
                <c:pt idx="32">
                  <c:v>198.79999999999998</c:v>
                </c:pt>
                <c:pt idx="33">
                  <c:v>205.01249999999999</c:v>
                </c:pt>
                <c:pt idx="34">
                  <c:v>211.22499999999997</c:v>
                </c:pt>
                <c:pt idx="35">
                  <c:v>217.43749999999994</c:v>
                </c:pt>
                <c:pt idx="36">
                  <c:v>223.64999999999998</c:v>
                </c:pt>
                <c:pt idx="37">
                  <c:v>229.86250000000001</c:v>
                </c:pt>
                <c:pt idx="38">
                  <c:v>236.07499999999996</c:v>
                </c:pt>
                <c:pt idx="39">
                  <c:v>242.28749999999997</c:v>
                </c:pt>
                <c:pt idx="40">
                  <c:v>248.49999999999997</c:v>
                </c:pt>
                <c:pt idx="41">
                  <c:v>254.71249999999995</c:v>
                </c:pt>
                <c:pt idx="42">
                  <c:v>260.92499999999995</c:v>
                </c:pt>
                <c:pt idx="43">
                  <c:v>267.13749999999999</c:v>
                </c:pt>
                <c:pt idx="44">
                  <c:v>273.34999999999997</c:v>
                </c:pt>
                <c:pt idx="45">
                  <c:v>279.5625</c:v>
                </c:pt>
                <c:pt idx="46">
                  <c:v>285.77499999999998</c:v>
                </c:pt>
                <c:pt idx="47">
                  <c:v>291.98749999999995</c:v>
                </c:pt>
                <c:pt idx="48">
                  <c:v>298.2</c:v>
                </c:pt>
                <c:pt idx="49">
                  <c:v>304.41249999999997</c:v>
                </c:pt>
                <c:pt idx="50">
                  <c:v>310.625</c:v>
                </c:pt>
                <c:pt idx="51">
                  <c:v>316.83749999999998</c:v>
                </c:pt>
                <c:pt idx="52">
                  <c:v>323.04999999999995</c:v>
                </c:pt>
                <c:pt idx="53">
                  <c:v>329.26249999999993</c:v>
                </c:pt>
                <c:pt idx="54">
                  <c:v>335.47499999999997</c:v>
                </c:pt>
                <c:pt idx="55">
                  <c:v>341.6875</c:v>
                </c:pt>
                <c:pt idx="56">
                  <c:v>347.9</c:v>
                </c:pt>
                <c:pt idx="57">
                  <c:v>354.11249999999995</c:v>
                </c:pt>
                <c:pt idx="58">
                  <c:v>360.32499999999993</c:v>
                </c:pt>
                <c:pt idx="59">
                  <c:v>366.53749999999997</c:v>
                </c:pt>
                <c:pt idx="60">
                  <c:v>372.74999999999994</c:v>
                </c:pt>
                <c:pt idx="61">
                  <c:v>378.96249999999998</c:v>
                </c:pt>
                <c:pt idx="62">
                  <c:v>385.17500000000001</c:v>
                </c:pt>
                <c:pt idx="63">
                  <c:v>391.38749999999993</c:v>
                </c:pt>
                <c:pt idx="64">
                  <c:v>397.59999999999997</c:v>
                </c:pt>
                <c:pt idx="65">
                  <c:v>403.81249999999994</c:v>
                </c:pt>
                <c:pt idx="66">
                  <c:v>410.02499999999998</c:v>
                </c:pt>
                <c:pt idx="67">
                  <c:v>416.23749999999995</c:v>
                </c:pt>
                <c:pt idx="68">
                  <c:v>422.44999999999993</c:v>
                </c:pt>
                <c:pt idx="69">
                  <c:v>428.66249999999991</c:v>
                </c:pt>
                <c:pt idx="70">
                  <c:v>434.87499999999989</c:v>
                </c:pt>
                <c:pt idx="71">
                  <c:v>441.08749999999992</c:v>
                </c:pt>
                <c:pt idx="72">
                  <c:v>447.29999999999995</c:v>
                </c:pt>
                <c:pt idx="73">
                  <c:v>453.51249999999999</c:v>
                </c:pt>
                <c:pt idx="74">
                  <c:v>459.72500000000002</c:v>
                </c:pt>
                <c:pt idx="75">
                  <c:v>465.93749999999989</c:v>
                </c:pt>
                <c:pt idx="76">
                  <c:v>472.14999999999992</c:v>
                </c:pt>
                <c:pt idx="77">
                  <c:v>478.3624999999999</c:v>
                </c:pt>
                <c:pt idx="78">
                  <c:v>484.57499999999993</c:v>
                </c:pt>
                <c:pt idx="79">
                  <c:v>490.78749999999991</c:v>
                </c:pt>
                <c:pt idx="80">
                  <c:v>496.99999999999994</c:v>
                </c:pt>
                <c:pt idx="81">
                  <c:v>503.21249999999998</c:v>
                </c:pt>
                <c:pt idx="82">
                  <c:v>509.4249999999999</c:v>
                </c:pt>
                <c:pt idx="83">
                  <c:v>515.63749999999993</c:v>
                </c:pt>
                <c:pt idx="84">
                  <c:v>521.84999999999991</c:v>
                </c:pt>
                <c:pt idx="85">
                  <c:v>528.0625</c:v>
                </c:pt>
                <c:pt idx="86">
                  <c:v>534.27499999999998</c:v>
                </c:pt>
                <c:pt idx="87">
                  <c:v>540.48749999999995</c:v>
                </c:pt>
                <c:pt idx="88">
                  <c:v>546.69999999999993</c:v>
                </c:pt>
                <c:pt idx="89">
                  <c:v>552.91249999999991</c:v>
                </c:pt>
                <c:pt idx="90">
                  <c:v>559.125</c:v>
                </c:pt>
                <c:pt idx="91">
                  <c:v>565.33749999999998</c:v>
                </c:pt>
                <c:pt idx="92">
                  <c:v>571.54999999999995</c:v>
                </c:pt>
                <c:pt idx="93">
                  <c:v>577.76249999999993</c:v>
                </c:pt>
                <c:pt idx="94">
                  <c:v>583.97499999999991</c:v>
                </c:pt>
                <c:pt idx="95">
                  <c:v>590.18749999999989</c:v>
                </c:pt>
                <c:pt idx="96">
                  <c:v>596.4</c:v>
                </c:pt>
                <c:pt idx="97">
                  <c:v>602.61249999999984</c:v>
                </c:pt>
                <c:pt idx="98">
                  <c:v>608.82499999999993</c:v>
                </c:pt>
                <c:pt idx="99">
                  <c:v>615.03749999999991</c:v>
                </c:pt>
                <c:pt idx="100">
                  <c:v>621.25</c:v>
                </c:pt>
              </c:numCache>
            </c:numRef>
          </c:val>
          <c:smooth val="0"/>
          <c:extLst>
            <c:ext xmlns:c16="http://schemas.microsoft.com/office/drawing/2014/chart" uri="{C3380CC4-5D6E-409C-BE32-E72D297353CC}">
              <c16:uniqueId val="{00000001-1E04-4A6B-B26C-C435E097FB7E}"/>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val>
            <c:numRef>
              <c:f>'Calculations - Single'!$BM$5:$BM$105</c:f>
              <c:numCache>
                <c:formatCode>0.0000</c:formatCode>
                <c:ptCount val="101"/>
                <c:pt idx="0">
                  <c:v>1.4358309187502581E-2</c:v>
                </c:pt>
                <c:pt idx="1">
                  <c:v>1.8878128207305469E-2</c:v>
                </c:pt>
                <c:pt idx="2">
                  <c:v>3.7757375706926527E-2</c:v>
                </c:pt>
                <c:pt idx="3">
                  <c:v>5.6637742598411096E-2</c:v>
                </c:pt>
                <c:pt idx="4">
                  <c:v>7.5519228981318923E-2</c:v>
                </c:pt>
                <c:pt idx="5">
                  <c:v>9.4401834955221545E-2</c:v>
                </c:pt>
                <c:pt idx="6">
                  <c:v>0.11328556061970234</c:v>
                </c:pt>
                <c:pt idx="7">
                  <c:v>0.13217040607435646</c:v>
                </c:pt>
                <c:pt idx="8">
                  <c:v>0.15105637141879089</c:v>
                </c:pt>
                <c:pt idx="9">
                  <c:v>0.16994345675262432</c:v>
                </c:pt>
                <c:pt idx="10">
                  <c:v>0.18883166217548752</c:v>
                </c:pt>
                <c:pt idx="11">
                  <c:v>0.20772098778702286</c:v>
                </c:pt>
                <c:pt idx="12">
                  <c:v>0.22661143368688449</c:v>
                </c:pt>
                <c:pt idx="13">
                  <c:v>0.24550299997473857</c:v>
                </c:pt>
                <c:pt idx="14">
                  <c:v>0.26439568675026298</c:v>
                </c:pt>
                <c:pt idx="15">
                  <c:v>0.28328949411314741</c:v>
                </c:pt>
                <c:pt idx="16">
                  <c:v>0.30218442216309344</c:v>
                </c:pt>
                <c:pt idx="17">
                  <c:v>0.32108047099981429</c:v>
                </c:pt>
                <c:pt idx="18">
                  <c:v>0.33997764072303527</c:v>
                </c:pt>
                <c:pt idx="19">
                  <c:v>0.35887593143249347</c:v>
                </c:pt>
                <c:pt idx="20">
                  <c:v>0.37777534322793754</c:v>
                </c:pt>
                <c:pt idx="21">
                  <c:v>0.39667587620912836</c:v>
                </c:pt>
                <c:pt idx="22">
                  <c:v>0.41557753047583856</c:v>
                </c:pt>
                <c:pt idx="23">
                  <c:v>0.42591542495761947</c:v>
                </c:pt>
                <c:pt idx="24">
                  <c:v>0.43401573956433848</c:v>
                </c:pt>
                <c:pt idx="25">
                  <c:v>0.441961141164676</c:v>
                </c:pt>
                <c:pt idx="26">
                  <c:v>0.44976110402121344</c:v>
                </c:pt>
                <c:pt idx="27">
                  <c:v>0.45742419576180754</c:v>
                </c:pt>
                <c:pt idx="28">
                  <c:v>0.46495819413693629</c:v>
                </c:pt>
                <c:pt idx="29">
                  <c:v>0.4723701851420784</c:v>
                </c:pt>
                <c:pt idx="30">
                  <c:v>0.47966664601511005</c:v>
                </c:pt>
                <c:pt idx="31">
                  <c:v>0.4868535158632713</c:v>
                </c:pt>
                <c:pt idx="32">
                  <c:v>0.49393625610042868</c:v>
                </c:pt>
                <c:pt idx="33">
                  <c:v>0.50091990243517004</c:v>
                </c:pt>
                <c:pt idx="34">
                  <c:v>0.50780910980952565</c:v>
                </c:pt>
                <c:pt idx="35">
                  <c:v>0.51460819142207348</c:v>
                </c:pt>
                <c:pt idx="36">
                  <c:v>0.52132115275984325</c:v>
                </c:pt>
                <c:pt idx="37">
                  <c:v>0.52795172139744329</c:v>
                </c:pt>
                <c:pt idx="38">
                  <c:v>0.53450337318932994</c:v>
                </c:pt>
                <c:pt idx="39">
                  <c:v>0.54097935537462272</c:v>
                </c:pt>
                <c:pt idx="40">
                  <c:v>0.54738270702774749</c:v>
                </c:pt>
                <c:pt idx="41">
                  <c:v>0.55371627721813177</c:v>
                </c:pt>
                <c:pt idx="42">
                  <c:v>0.55998274118486524</c:v>
                </c:pt>
                <c:pt idx="43">
                  <c:v>0.56618461478511795</c:v>
                </c:pt>
                <c:pt idx="44">
                  <c:v>0.57232426743616704</c:v>
                </c:pt>
                <c:pt idx="45">
                  <c:v>0.57840393373854881</c:v>
                </c:pt>
                <c:pt idx="46">
                  <c:v>0.5844257239408821</c:v>
                </c:pt>
                <c:pt idx="47">
                  <c:v>0.59039163338432121</c:v>
                </c:pt>
                <c:pt idx="48">
                  <c:v>0.59630355104559141</c:v>
                </c:pt>
                <c:pt idx="49">
                  <c:v>0.60216326728151748</c:v>
                </c:pt>
                <c:pt idx="50">
                  <c:v>0.60797248086435918</c:v>
                </c:pt>
                <c:pt idx="51">
                  <c:v>0.61373280538569408</c:v>
                </c:pt>
                <c:pt idx="52">
                  <c:v>0.61944577509672583</c:v>
                </c:pt>
                <c:pt idx="53">
                  <c:v>0.62511285024443042</c:v>
                </c:pt>
                <c:pt idx="54">
                  <c:v>0.63073542195570098</c:v>
                </c:pt>
                <c:pt idx="55">
                  <c:v>0.63631481671538959</c:v>
                </c:pt>
                <c:pt idx="56">
                  <c:v>0.6418523004787392</c:v>
                </c:pt>
                <c:pt idx="57">
                  <c:v>0.64734908245401113</c:v>
                </c:pt>
                <c:pt idx="58">
                  <c:v>0.6528063185870504</c:v>
                </c:pt>
                <c:pt idx="59">
                  <c:v>0.65822511477597401</c:v>
                </c:pt>
                <c:pt idx="60">
                  <c:v>0.66360652984108304</c:v>
                </c:pt>
                <c:pt idx="61">
                  <c:v>0.66895157827237595</c:v>
                </c:pt>
                <c:pt idx="62">
                  <c:v>0.6742612327746732</c:v>
                </c:pt>
                <c:pt idx="63">
                  <c:v>0.67953642662826552</c:v>
                </c:pt>
                <c:pt idx="64">
                  <c:v>0.68477805588115215</c:v>
                </c:pt>
                <c:pt idx="65">
                  <c:v>0.68262488879395145</c:v>
                </c:pt>
                <c:pt idx="66">
                  <c:v>0.67799879461742141</c:v>
                </c:pt>
                <c:pt idx="67">
                  <c:v>0.67347973382802262</c:v>
                </c:pt>
                <c:pt idx="68">
                  <c:v>0.66905527202436776</c:v>
                </c:pt>
                <c:pt idx="69">
                  <c:v>0.66472225978281796</c:v>
                </c:pt>
                <c:pt idx="70">
                  <c:v>0.6647383528761398</c:v>
                </c:pt>
                <c:pt idx="71">
                  <c:v>0.66520863327900703</c:v>
                </c:pt>
                <c:pt idx="72">
                  <c:v>0.66568458557758703</c:v>
                </c:pt>
                <c:pt idx="73">
                  <c:v>0.66617425392570706</c:v>
                </c:pt>
                <c:pt idx="74">
                  <c:v>0.66667748260671389</c:v>
                </c:pt>
                <c:pt idx="75">
                  <c:v>0.66719412422940683</c:v>
                </c:pt>
                <c:pt idx="76">
                  <c:v>0.66772403921908219</c:v>
                </c:pt>
                <c:pt idx="77">
                  <c:v>0.66826709534590611</c:v>
                </c:pt>
                <c:pt idx="78">
                  <c:v>0.66882316728746738</c:v>
                </c:pt>
                <c:pt idx="79">
                  <c:v>0.66939213622264915</c:v>
                </c:pt>
                <c:pt idx="80">
                  <c:v>0.66997388945424441</c:v>
                </c:pt>
                <c:pt idx="81">
                  <c:v>0.67056832005796385</c:v>
                </c:pt>
                <c:pt idx="82">
                  <c:v>0.67117532655571499</c:v>
                </c:pt>
                <c:pt idx="83">
                  <c:v>0.67179481261121599</c:v>
                </c:pt>
                <c:pt idx="84">
                  <c:v>0.67242668674618233</c:v>
                </c:pt>
                <c:pt idx="85">
                  <c:v>0.67307086207548961</c:v>
                </c:pt>
                <c:pt idx="86">
                  <c:v>0.67372725605984374</c:v>
                </c:pt>
                <c:pt idx="87">
                  <c:v>0.67439579027463048</c:v>
                </c:pt>
                <c:pt idx="88">
                  <c:v>0.67507639019372034</c:v>
                </c:pt>
                <c:pt idx="89">
                  <c:v>0.67576898498711346</c:v>
                </c:pt>
                <c:pt idx="90">
                  <c:v>0.67647350733140854</c:v>
                </c:pt>
                <c:pt idx="91">
                  <c:v>0.67718989323215195</c:v>
                </c:pt>
                <c:pt idx="92">
                  <c:v>0.67791808185721258</c:v>
                </c:pt>
                <c:pt idx="93">
                  <c:v>0.67865801538039783</c:v>
                </c:pt>
                <c:pt idx="94">
                  <c:v>0.67940963883457417</c:v>
                </c:pt>
                <c:pt idx="95">
                  <c:v>0.68017289997363761</c:v>
                </c:pt>
                <c:pt idx="96">
                  <c:v>0.68094774914271539</c:v>
                </c:pt>
                <c:pt idx="97">
                  <c:v>0.68173413915603076</c:v>
                </c:pt>
                <c:pt idx="98">
                  <c:v>0.6825320251819158</c:v>
                </c:pt>
                <c:pt idx="99">
                  <c:v>0.68334136463448447</c:v>
                </c:pt>
                <c:pt idx="100">
                  <c:v>0.68416211707152264</c:v>
                </c:pt>
              </c:numCache>
            </c:numRef>
          </c:val>
          <c:smooth val="0"/>
          <c:extLst>
            <c:ext xmlns:c16="http://schemas.microsoft.com/office/drawing/2014/chart" uri="{C3380CC4-5D6E-409C-BE32-E72D297353CC}">
              <c16:uniqueId val="{00000002-1E04-4A6B-B26C-C435E097FB7E}"/>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val>
            <c:numRef>
              <c:f>'Calculations - Single'!$BX$5:$BX$105</c:f>
              <c:numCache>
                <c:formatCode>0.0</c:formatCode>
                <c:ptCount val="101"/>
                <c:pt idx="0">
                  <c:v>22.182508109385214</c:v>
                </c:pt>
                <c:pt idx="1">
                  <c:v>24.679509516589878</c:v>
                </c:pt>
                <c:pt idx="2">
                  <c:v>27.2831778368116</c:v>
                </c:pt>
                <c:pt idx="3">
                  <c:v>29.8868461570333</c:v>
                </c:pt>
                <c:pt idx="4">
                  <c:v>32.490514477255026</c:v>
                </c:pt>
                <c:pt idx="5">
                  <c:v>35.094182797476734</c:v>
                </c:pt>
                <c:pt idx="6">
                  <c:v>37.697851117698463</c:v>
                </c:pt>
                <c:pt idx="7">
                  <c:v>40.301519437920163</c:v>
                </c:pt>
                <c:pt idx="8">
                  <c:v>42.905187758141864</c:v>
                </c:pt>
                <c:pt idx="9">
                  <c:v>45.508856078363578</c:v>
                </c:pt>
                <c:pt idx="10">
                  <c:v>48.1125243985853</c:v>
                </c:pt>
                <c:pt idx="11">
                  <c:v>50.716192718807015</c:v>
                </c:pt>
                <c:pt idx="12">
                  <c:v>53.319861039028723</c:v>
                </c:pt>
                <c:pt idx="13">
                  <c:v>55.923529359250438</c:v>
                </c:pt>
                <c:pt idx="14">
                  <c:v>58.527197679472145</c:v>
                </c:pt>
                <c:pt idx="15">
                  <c:v>61.130865999693853</c:v>
                </c:pt>
                <c:pt idx="16">
                  <c:v>63.734534319915575</c:v>
                </c:pt>
                <c:pt idx="17">
                  <c:v>66.338202640137283</c:v>
                </c:pt>
                <c:pt idx="18">
                  <c:v>68.941870960358983</c:v>
                </c:pt>
                <c:pt idx="19">
                  <c:v>71.545539280580698</c:v>
                </c:pt>
                <c:pt idx="20">
                  <c:v>74.149207600802427</c:v>
                </c:pt>
                <c:pt idx="21">
                  <c:v>76.752875921024128</c:v>
                </c:pt>
                <c:pt idx="22">
                  <c:v>79.356544241245857</c:v>
                </c:pt>
                <c:pt idx="23">
                  <c:v>82.764379095154808</c:v>
                </c:pt>
                <c:pt idx="24">
                  <c:v>86.368860279702616</c:v>
                </c:pt>
                <c:pt idx="25">
                  <c:v>89.973829920939295</c:v>
                </c:pt>
                <c:pt idx="26">
                  <c:v>93.579287257571821</c:v>
                </c:pt>
                <c:pt idx="27">
                  <c:v>97.185231578767002</c:v>
                </c:pt>
                <c:pt idx="28">
                  <c:v>100.79166221941405</c:v>
                </c:pt>
                <c:pt idx="29">
                  <c:v>104.39857855598645</c:v>
                </c:pt>
                <c:pt idx="30">
                  <c:v>108.00598000290927</c:v>
                </c:pt>
                <c:pt idx="31">
                  <c:v>111.61386600935485</c:v>
                </c:pt>
                <c:pt idx="32">
                  <c:v>115.22223605640463</c:v>
                </c:pt>
                <c:pt idx="33">
                  <c:v>118.83108965452448</c:v>
                </c:pt>
                <c:pt idx="34">
                  <c:v>122.44042634131088</c:v>
                </c:pt>
                <c:pt idx="35">
                  <c:v>126.05024567947149</c:v>
                </c:pt>
                <c:pt idx="36">
                  <c:v>129.66054725500965</c:v>
                </c:pt>
                <c:pt idx="37">
                  <c:v>133.27133067558714</c:v>
                </c:pt>
                <c:pt idx="38">
                  <c:v>136.88259556904362</c:v>
                </c:pt>
                <c:pt idx="39">
                  <c:v>140.49434158205352</c:v>
                </c:pt>
                <c:pt idx="40">
                  <c:v>144.10656837890451</c:v>
                </c:pt>
                <c:pt idx="41">
                  <c:v>147.71927564038438</c:v>
                </c:pt>
                <c:pt idx="42">
                  <c:v>151.33246306276317</c:v>
                </c:pt>
                <c:pt idx="43">
                  <c:v>154.94613035686149</c:v>
                </c:pt>
                <c:pt idx="44">
                  <c:v>158.56027724719516</c:v>
                </c:pt>
                <c:pt idx="45">
                  <c:v>162.17490347118812</c:v>
                </c:pt>
                <c:pt idx="46">
                  <c:v>165.79000877844791</c:v>
                </c:pt>
                <c:pt idx="47">
                  <c:v>169.40559293009613</c:v>
                </c:pt>
                <c:pt idx="48">
                  <c:v>173.02165569814943</c:v>
                </c:pt>
                <c:pt idx="49">
                  <c:v>176.63819686494588</c:v>
                </c:pt>
                <c:pt idx="50">
                  <c:v>180.25521622261306</c:v>
                </c:pt>
                <c:pt idx="51">
                  <c:v>183.87271357257339</c:v>
                </c:pt>
                <c:pt idx="52">
                  <c:v>187.49068872508343</c:v>
                </c:pt>
                <c:pt idx="53">
                  <c:v>191.1091414988054</c:v>
                </c:pt>
                <c:pt idx="54">
                  <c:v>194.72807172040598</c:v>
                </c:pt>
                <c:pt idx="55">
                  <c:v>198.34747922418256</c:v>
                </c:pt>
                <c:pt idx="56">
                  <c:v>201.96736385171258</c:v>
                </c:pt>
                <c:pt idx="57">
                  <c:v>205.58772545152522</c:v>
                </c:pt>
                <c:pt idx="58">
                  <c:v>209.20856387879377</c:v>
                </c:pt>
                <c:pt idx="59">
                  <c:v>212.8298789950465</c:v>
                </c:pt>
                <c:pt idx="60">
                  <c:v>216.45167066789435</c:v>
                </c:pt>
                <c:pt idx="61">
                  <c:v>220.07393877077544</c:v>
                </c:pt>
                <c:pt idx="62">
                  <c:v>223.69668318271388</c:v>
                </c:pt>
                <c:pt idx="63">
                  <c:v>227.31990378809257</c:v>
                </c:pt>
                <c:pt idx="64">
                  <c:v>230.94360047643821</c:v>
                </c:pt>
                <c:pt idx="65">
                  <c:v>234.47079981944387</c:v>
                </c:pt>
                <c:pt idx="66">
                  <c:v>237.96479941853585</c:v>
                </c:pt>
                <c:pt idx="67">
                  <c:v>241.4606831902525</c:v>
                </c:pt>
                <c:pt idx="68">
                  <c:v>244.95687550061683</c:v>
                </c:pt>
                <c:pt idx="69">
                  <c:v>248.45338807608169</c:v>
                </c:pt>
                <c:pt idx="70">
                  <c:v>253.00366627680333</c:v>
                </c:pt>
                <c:pt idx="71">
                  <c:v>257.69216339212079</c:v>
                </c:pt>
                <c:pt idx="72">
                  <c:v>262.40919078464123</c:v>
                </c:pt>
                <c:pt idx="73">
                  <c:v>267.15710195664093</c:v>
                </c:pt>
                <c:pt idx="74">
                  <c:v>271.93593974365399</c:v>
                </c:pt>
                <c:pt idx="75">
                  <c:v>276.74574738804466</c:v>
                </c:pt>
                <c:pt idx="76">
                  <c:v>281.58656853848066</c:v>
                </c:pt>
                <c:pt idx="77">
                  <c:v>286.45844724954378</c:v>
                </c:pt>
                <c:pt idx="78">
                  <c:v>291.36142798146625</c:v>
                </c:pt>
                <c:pt idx="79">
                  <c:v>296.29555559998585</c:v>
                </c:pt>
                <c:pt idx="80">
                  <c:v>301.26087537630781</c:v>
                </c:pt>
                <c:pt idx="81">
                  <c:v>306.25743298716964</c:v>
                </c:pt>
                <c:pt idx="82">
                  <c:v>311.28527451499724</c:v>
                </c:pt>
                <c:pt idx="83">
                  <c:v>316.34444644815045</c:v>
                </c:pt>
                <c:pt idx="84">
                  <c:v>321.43499568124878</c:v>
                </c:pt>
                <c:pt idx="85">
                  <c:v>326.55696951557428</c:v>
                </c:pt>
                <c:pt idx="86">
                  <c:v>331.71041565954414</c:v>
                </c:pt>
                <c:pt idx="87">
                  <c:v>336.89538222925216</c:v>
                </c:pt>
                <c:pt idx="88">
                  <c:v>342.11191774907235</c:v>
                </c:pt>
                <c:pt idx="89">
                  <c:v>347.36007115232076</c:v>
                </c:pt>
                <c:pt idx="90">
                  <c:v>352.63989178197511</c:v>
                </c:pt>
                <c:pt idx="91">
                  <c:v>357.95142939144574</c:v>
                </c:pt>
                <c:pt idx="92">
                  <c:v>363.29473414539666</c:v>
                </c:pt>
                <c:pt idx="93">
                  <c:v>368.66985662061535</c:v>
                </c:pt>
                <c:pt idx="94">
                  <c:v>374.07684780692625</c:v>
                </c:pt>
                <c:pt idx="95">
                  <c:v>379.51575910814745</c:v>
                </c:pt>
                <c:pt idx="96">
                  <c:v>384.9866423430895</c:v>
                </c:pt>
                <c:pt idx="97">
                  <c:v>390.4895497465908</c:v>
                </c:pt>
                <c:pt idx="98">
                  <c:v>396.02453397059395</c:v>
                </c:pt>
                <c:pt idx="99">
                  <c:v>401.59164808525435</c:v>
                </c:pt>
                <c:pt idx="100">
                  <c:v>407.19094558008646</c:v>
                </c:pt>
              </c:numCache>
            </c:numRef>
          </c:val>
          <c:smooth val="0"/>
          <c:extLst>
            <c:ext xmlns:c16="http://schemas.microsoft.com/office/drawing/2014/chart" uri="{C3380CC4-5D6E-409C-BE32-E72D297353CC}">
              <c16:uniqueId val="{00000003-1E04-4A6B-B26C-C435E097FB7E}"/>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75.598042528050797</c:v>
                </c:pt>
                <c:pt idx="1">
                  <c:v>74.798237521559386</c:v>
                </c:pt>
                <c:pt idx="2">
                  <c:v>73.99843801570907</c:v>
                </c:pt>
                <c:pt idx="3">
                  <c:v>73.198621342781948</c:v>
                </c:pt>
                <c:pt idx="4">
                  <c:v>72.399290642344099</c:v>
                </c:pt>
                <c:pt idx="5">
                  <c:v>71.599098601995408</c:v>
                </c:pt>
                <c:pt idx="6">
                  <c:v>70.799165996491269</c:v>
                </c:pt>
                <c:pt idx="7">
                  <c:v>69.998951330435006</c:v>
                </c:pt>
                <c:pt idx="8">
                  <c:v>69.199024407014079</c:v>
                </c:pt>
                <c:pt idx="9">
                  <c:v>68.398766392028108</c:v>
                </c:pt>
                <c:pt idx="10">
                  <c:v>67.598624037403681</c:v>
                </c:pt>
                <c:pt idx="11">
                  <c:v>66.798469361797117</c:v>
                </c:pt>
                <c:pt idx="12">
                  <c:v>65.997863705269168</c:v>
                </c:pt>
                <c:pt idx="13">
                  <c:v>65.197559136632961</c:v>
                </c:pt>
                <c:pt idx="14">
                  <c:v>64.396897360339665</c:v>
                </c:pt>
                <c:pt idx="15">
                  <c:v>63.596163667561108</c:v>
                </c:pt>
                <c:pt idx="16">
                  <c:v>62.795266883002114</c:v>
                </c:pt>
                <c:pt idx="17">
                  <c:v>61.994289288891224</c:v>
                </c:pt>
                <c:pt idx="18">
                  <c:v>61.19296046210885</c:v>
                </c:pt>
                <c:pt idx="19">
                  <c:v>60.391450354837389</c:v>
                </c:pt>
                <c:pt idx="20">
                  <c:v>59.589544714743674</c:v>
                </c:pt>
                <c:pt idx="21">
                  <c:v>58.787341850329355</c:v>
                </c:pt>
                <c:pt idx="22">
                  <c:v>57.984592302274393</c:v>
                </c:pt>
                <c:pt idx="23">
                  <c:v>57.181401404716865</c:v>
                </c:pt>
                <c:pt idx="24">
                  <c:v>56.377453308036571</c:v>
                </c:pt>
                <c:pt idx="25">
                  <c:v>55.572739319504862</c:v>
                </c:pt>
                <c:pt idx="26">
                  <c:v>54.766912905992065</c:v>
                </c:pt>
                <c:pt idx="27">
                  <c:v>53.960041002280747</c:v>
                </c:pt>
                <c:pt idx="28">
                  <c:v>53.151866705586535</c:v>
                </c:pt>
                <c:pt idx="29">
                  <c:v>52.34262500930447</c:v>
                </c:pt>
                <c:pt idx="30">
                  <c:v>51.530626908566916</c:v>
                </c:pt>
                <c:pt idx="31">
                  <c:v>50.716625467181295</c:v>
                </c:pt>
                <c:pt idx="32">
                  <c:v>49.899618437691288</c:v>
                </c:pt>
                <c:pt idx="33">
                  <c:v>49.079656219082601</c:v>
                </c:pt>
                <c:pt idx="34">
                  <c:v>48.255478964364599</c:v>
                </c:pt>
                <c:pt idx="35">
                  <c:v>47.426812272189302</c:v>
                </c:pt>
                <c:pt idx="36">
                  <c:v>46.592668798459485</c:v>
                </c:pt>
                <c:pt idx="37">
                  <c:v>45.7515917617296</c:v>
                </c:pt>
                <c:pt idx="38">
                  <c:v>44.903221935606872</c:v>
                </c:pt>
                <c:pt idx="39">
                  <c:v>44.045546226760251</c:v>
                </c:pt>
                <c:pt idx="40">
                  <c:v>43.177372174405271</c:v>
                </c:pt>
                <c:pt idx="41">
                  <c:v>42.296924618564795</c:v>
                </c:pt>
                <c:pt idx="42">
                  <c:v>41.402440640717955</c:v>
                </c:pt>
                <c:pt idx="43">
                  <c:v>40.491597958388425</c:v>
                </c:pt>
                <c:pt idx="44">
                  <c:v>39.562435161681933</c:v>
                </c:pt>
                <c:pt idx="45">
                  <c:v>38.612464807924717</c:v>
                </c:pt>
                <c:pt idx="46">
                  <c:v>37.639547576508846</c:v>
                </c:pt>
                <c:pt idx="47">
                  <c:v>36.641197474512744</c:v>
                </c:pt>
                <c:pt idx="48">
                  <c:v>35.615546829837328</c:v>
                </c:pt>
                <c:pt idx="49">
                  <c:v>34.560501937221943</c:v>
                </c:pt>
                <c:pt idx="50">
                  <c:v>33.474798930299052</c:v>
                </c:pt>
                <c:pt idx="51">
                  <c:v>32.357286524779688</c:v>
                </c:pt>
                <c:pt idx="52">
                  <c:v>31.208066088474808</c:v>
                </c:pt>
                <c:pt idx="53">
                  <c:v>30.027570934458005</c:v>
                </c:pt>
                <c:pt idx="54">
                  <c:v>28.817799474133977</c:v>
                </c:pt>
                <c:pt idx="55">
                  <c:v>27.578686439609193</c:v>
                </c:pt>
                <c:pt idx="56">
                  <c:v>26.31465794740982</c:v>
                </c:pt>
                <c:pt idx="57">
                  <c:v>25.028237671373738</c:v>
                </c:pt>
                <c:pt idx="58">
                  <c:v>23.724280658256927</c:v>
                </c:pt>
                <c:pt idx="59">
                  <c:v>22.40616709132987</c:v>
                </c:pt>
                <c:pt idx="60">
                  <c:v>21.079349290203709</c:v>
                </c:pt>
                <c:pt idx="61">
                  <c:v>19.74855204449085</c:v>
                </c:pt>
                <c:pt idx="62">
                  <c:v>18.418078522064125</c:v>
                </c:pt>
                <c:pt idx="63">
                  <c:v>17.094193715704478</c:v>
                </c:pt>
                <c:pt idx="64">
                  <c:v>15.780690921125391</c:v>
                </c:pt>
                <c:pt idx="65">
                  <c:v>14.482675871321218</c:v>
                </c:pt>
                <c:pt idx="66">
                  <c:v>13.204265709545101</c:v>
                </c:pt>
                <c:pt idx="67">
                  <c:v>11.949371103496571</c:v>
                </c:pt>
                <c:pt idx="68">
                  <c:v>10.720765440921857</c:v>
                </c:pt>
                <c:pt idx="69">
                  <c:v>9.5212330981383513</c:v>
                </c:pt>
                <c:pt idx="70">
                  <c:v>8.3522426113565729</c:v>
                </c:pt>
                <c:pt idx="71">
                  <c:v>7.2149722819842221</c:v>
                </c:pt>
                <c:pt idx="72">
                  <c:v>6.1093693365206727</c:v>
                </c:pt>
                <c:pt idx="73">
                  <c:v>5.0352025255706367</c:v>
                </c:pt>
                <c:pt idx="74">
                  <c:v>3.9910909667517753</c:v>
                </c:pt>
                <c:pt idx="75">
                  <c:v>2.9756044412636573</c:v>
                </c:pt>
                <c:pt idx="76">
                  <c:v>1.986553814477374</c:v>
                </c:pt>
                <c:pt idx="77">
                  <c:v>1.0220601046900437</c:v>
                </c:pt>
                <c:pt idx="78">
                  <c:v>7.976010830621022E-2</c:v>
                </c:pt>
                <c:pt idx="79">
                  <c:v>-0.84212456101283562</c:v>
                </c:pt>
                <c:pt idx="80">
                  <c:v>-1.7474287112683653</c:v>
                </c:pt>
                <c:pt idx="81">
                  <c:v>-2.6370421939286941</c:v>
                </c:pt>
                <c:pt idx="82">
                  <c:v>-3.5135903120606633</c:v>
                </c:pt>
                <c:pt idx="83">
                  <c:v>-4.3782949920335543</c:v>
                </c:pt>
                <c:pt idx="84">
                  <c:v>-5.2334862110955669</c:v>
                </c:pt>
                <c:pt idx="85">
                  <c:v>-6.0801613520608626</c:v>
                </c:pt>
                <c:pt idx="86">
                  <c:v>-6.9197621701355256</c:v>
                </c:pt>
                <c:pt idx="87">
                  <c:v>-7.7538879888993186</c:v>
                </c:pt>
                <c:pt idx="88">
                  <c:v>-8.582753934078422</c:v>
                </c:pt>
                <c:pt idx="89">
                  <c:v>-9.407915018599919</c:v>
                </c:pt>
                <c:pt idx="90">
                  <c:v>-10.229838343378814</c:v>
                </c:pt>
                <c:pt idx="91">
                  <c:v>-11.049288415862586</c:v>
                </c:pt>
                <c:pt idx="92">
                  <c:v>-11.866776531250478</c:v>
                </c:pt>
                <c:pt idx="93">
                  <c:v>-12.68311398885009</c:v>
                </c:pt>
                <c:pt idx="94">
                  <c:v>-12.886977713216677</c:v>
                </c:pt>
                <c:pt idx="95">
                  <c:v>-12.989525596976838</c:v>
                </c:pt>
                <c:pt idx="96">
                  <c:v>-13.09089098221807</c:v>
                </c:pt>
                <c:pt idx="97">
                  <c:v>-13.193411253069684</c:v>
                </c:pt>
                <c:pt idx="98">
                  <c:v>-13.294751457140856</c:v>
                </c:pt>
                <c:pt idx="99">
                  <c:v>-13.397273890305073</c:v>
                </c:pt>
                <c:pt idx="100">
                  <c:v>-13.498618041305923</c:v>
                </c:pt>
                <c:pt idx="101">
                  <c:v>-13.601092836619271</c:v>
                </c:pt>
                <c:pt idx="102">
                  <c:v>-13.702392308770918</c:v>
                </c:pt>
                <c:pt idx="103">
                  <c:v>-13.804921909264941</c:v>
                </c:pt>
                <c:pt idx="104">
                  <c:v>-13.906276850496385</c:v>
                </c:pt>
                <c:pt idx="105">
                  <c:v>-14.008808425754189</c:v>
                </c:pt>
                <c:pt idx="106">
                  <c:v>-14.110167256315126</c:v>
                </c:pt>
                <c:pt idx="107">
                  <c:v>-14.212651767867175</c:v>
                </c:pt>
                <c:pt idx="108">
                  <c:v>-14.313966610222671</c:v>
                </c:pt>
                <c:pt idx="109">
                  <c:v>-14.416427974740211</c:v>
                </c:pt>
                <c:pt idx="110">
                  <c:v>-14.517722250195304</c:v>
                </c:pt>
                <c:pt idx="111">
                  <c:v>-14.620249314409694</c:v>
                </c:pt>
                <c:pt idx="112">
                  <c:v>-14.72160991335063</c:v>
                </c:pt>
                <c:pt idx="113">
                  <c:v>-14.824150269187102</c:v>
                </c:pt>
                <c:pt idx="114">
                  <c:v>-14.925526030875996</c:v>
                </c:pt>
                <c:pt idx="115">
                  <c:v>-15.028095791524635</c:v>
                </c:pt>
                <c:pt idx="116">
                  <c:v>-15.129502528981915</c:v>
                </c:pt>
                <c:pt idx="117">
                  <c:v>-15.232115562817244</c:v>
                </c:pt>
                <c:pt idx="118">
                  <c:v>-15.333566900637049</c:v>
                </c:pt>
                <c:pt idx="119">
                  <c:v>-15.436173143084096</c:v>
                </c:pt>
                <c:pt idx="120">
                  <c:v>-15.53762021467505</c:v>
                </c:pt>
                <c:pt idx="121">
                  <c:v>-15.640233743732308</c:v>
                </c:pt>
                <c:pt idx="122">
                  <c:v>-15.741690383564448</c:v>
                </c:pt>
                <c:pt idx="123">
                  <c:v>-15.844382469521925</c:v>
                </c:pt>
                <c:pt idx="124">
                  <c:v>-15.945918431002061</c:v>
                </c:pt>
                <c:pt idx="125">
                  <c:v>-16.048637677451541</c:v>
                </c:pt>
                <c:pt idx="126">
                  <c:v>-16.150202801318269</c:v>
                </c:pt>
                <c:pt idx="127">
                  <c:v>-16.252958057567525</c:v>
                </c:pt>
                <c:pt idx="128">
                  <c:v>-16.354561083901473</c:v>
                </c:pt>
                <c:pt idx="129">
                  <c:v>-16.457359719915416</c:v>
                </c:pt>
                <c:pt idx="130">
                  <c:v>-16.559007948044272</c:v>
                </c:pt>
                <c:pt idx="131">
                  <c:v>-16.661855990318394</c:v>
                </c:pt>
                <c:pt idx="132">
                  <c:v>-16.712847580785535</c:v>
                </c:pt>
                <c:pt idx="133">
                  <c:v>-16.763555411517544</c:v>
                </c:pt>
                <c:pt idx="134">
                  <c:v>-16.815178168184474</c:v>
                </c:pt>
                <c:pt idx="135">
                  <c:v>-16.866510497351189</c:v>
                </c:pt>
                <c:pt idx="136">
                  <c:v>-16.917555839663475</c:v>
                </c:pt>
                <c:pt idx="137">
                  <c:v>-16.968317575694641</c:v>
                </c:pt>
                <c:pt idx="138">
                  <c:v>-17.019941920709687</c:v>
                </c:pt>
                <c:pt idx="139">
                  <c:v>-17.0712766009127</c:v>
                </c:pt>
                <c:pt idx="140">
                  <c:v>-17.122325046394554</c:v>
                </c:pt>
                <c:pt idx="141">
                  <c:v>-17.17309062743302</c:v>
                </c:pt>
                <c:pt idx="142">
                  <c:v>-17.224770485902997</c:v>
                </c:pt>
                <c:pt idx="143">
                  <c:v>-17.276160867183663</c:v>
                </c:pt>
                <c:pt idx="144">
                  <c:v>-17.327265201191711</c:v>
                </c:pt>
                <c:pt idx="145">
                  <c:v>-17.378086858047638</c:v>
                </c:pt>
                <c:pt idx="146">
                  <c:v>-17.42979663271916</c:v>
                </c:pt>
                <c:pt idx="147">
                  <c:v>-17.481217434707624</c:v>
                </c:pt>
                <c:pt idx="148">
                  <c:v>-17.532352688340012</c:v>
                </c:pt>
                <c:pt idx="149">
                  <c:v>-17.583205758287978</c:v>
                </c:pt>
                <c:pt idx="150">
                  <c:v>-17.634946023913429</c:v>
                </c:pt>
                <c:pt idx="151">
                  <c:v>-17.68639784629357</c:v>
                </c:pt>
                <c:pt idx="152">
                  <c:v>-17.737564643923186</c:v>
                </c:pt>
                <c:pt idx="153">
                  <c:v>-17.788449775786951</c:v>
                </c:pt>
                <c:pt idx="154">
                  <c:v>-17.840244523728607</c:v>
                </c:pt>
                <c:pt idx="155">
                  <c:v>-17.891751124454185</c:v>
                </c:pt>
                <c:pt idx="156">
                  <c:v>-17.942972994967732</c:v>
                </c:pt>
                <c:pt idx="157">
                  <c:v>-17.993913492806076</c:v>
                </c:pt>
                <c:pt idx="158">
                  <c:v>-18.045761098536573</c:v>
                </c:pt>
                <c:pt idx="159">
                  <c:v>-18.097320906687923</c:v>
                </c:pt>
                <c:pt idx="160">
                  <c:v>-18.148596332032302</c:v>
                </c:pt>
                <c:pt idx="161">
                  <c:v>-18.199590729933163</c:v>
                </c:pt>
                <c:pt idx="162">
                  <c:v>-18.251466661917547</c:v>
                </c:pt>
                <c:pt idx="163">
                  <c:v>-18.303055453668485</c:v>
                </c:pt>
                <c:pt idx="164">
                  <c:v>-18.354360512475665</c:v>
                </c:pt>
                <c:pt idx="165">
                  <c:v>-18.405385186398114</c:v>
                </c:pt>
                <c:pt idx="166">
                  <c:v>-18.457333455772336</c:v>
                </c:pt>
                <c:pt idx="167">
                  <c:v>-18.508994794254143</c:v>
                </c:pt>
                <c:pt idx="168">
                  <c:v>-18.560372609815698</c:v>
                </c:pt>
                <c:pt idx="169">
                  <c:v>-18.61147025118634</c:v>
                </c:pt>
                <c:pt idx="170">
                  <c:v>-18.663378572807837</c:v>
                </c:pt>
                <c:pt idx="171">
                  <c:v>-18.715001446355561</c:v>
                </c:pt>
                <c:pt idx="172">
                  <c:v>-18.766342258086311</c:v>
                </c:pt>
                <c:pt idx="173">
                  <c:v>-18.8174043355172</c:v>
                </c:pt>
                <c:pt idx="174">
                  <c:v>-18.869467751948051</c:v>
                </c:pt>
                <c:pt idx="175">
                  <c:v>-18.92124510250294</c:v>
                </c:pt>
                <c:pt idx="176">
                  <c:v>-18.97273978924288</c:v>
                </c:pt>
                <c:pt idx="177">
                  <c:v>-19.023955155124497</c:v>
                </c:pt>
                <c:pt idx="178">
                  <c:v>-19.076143642070235</c:v>
                </c:pt>
                <c:pt idx="179">
                  <c:v>-19.12804582284658</c:v>
                </c:pt>
                <c:pt idx="180">
                  <c:v>-19.179665108880627</c:v>
                </c:pt>
                <c:pt idx="181">
                  <c:v>-19.231004852276541</c:v>
                </c:pt>
                <c:pt idx="182">
                  <c:v>-19.283086821675163</c:v>
                </c:pt>
                <c:pt idx="183">
                  <c:v>-19.334884817041115</c:v>
                </c:pt>
                <c:pt idx="184">
                  <c:v>-19.386402213595474</c:v>
                </c:pt>
                <c:pt idx="185">
                  <c:v>-19.437642328068332</c:v>
                </c:pt>
                <c:pt idx="186">
                  <c:v>-19.490003655554574</c:v>
                </c:pt>
                <c:pt idx="187">
                  <c:v>-19.542079183473795</c:v>
                </c:pt>
                <c:pt idx="188">
                  <c:v>-19.593872325112741</c:v>
                </c:pt>
                <c:pt idx="189">
                  <c:v>-19.645386434382146</c:v>
                </c:pt>
                <c:pt idx="190">
                  <c:v>-19.69759997873097</c:v>
                </c:pt>
                <c:pt idx="191">
                  <c:v>-19.749530589384438</c:v>
                </c:pt>
                <c:pt idx="192">
                  <c:v>-19.801181634303873</c:v>
                </c:pt>
                <c:pt idx="193">
                  <c:v>-19.852556423112368</c:v>
                </c:pt>
                <c:pt idx="194">
                  <c:v>-19.904994312259973</c:v>
                </c:pt>
                <c:pt idx="195">
                  <c:v>-19.957148149465297</c:v>
                </c:pt>
                <c:pt idx="196">
                  <c:v>-20.009021328629775</c:v>
                </c:pt>
                <c:pt idx="197">
                  <c:v>-20.06061718470815</c:v>
                </c:pt>
                <c:pt idx="198">
                  <c:v>-20.113059788512654</c:v>
                </c:pt>
                <c:pt idx="199">
                  <c:v>-20.165219649679745</c:v>
                </c:pt>
                <c:pt idx="200">
                  <c:v>-20.217100144976897</c:v>
                </c:pt>
                <c:pt idx="201">
                  <c:v>-20.268704592607225</c:v>
                </c:pt>
                <c:pt idx="202">
                  <c:v>-20.321133256105451</c:v>
                </c:pt>
                <c:pt idx="203">
                  <c:v>-20.373280731518577</c:v>
                </c:pt>
                <c:pt idx="204">
                  <c:v>-20.425150374316985</c:v>
                </c:pt>
                <c:pt idx="205">
                  <c:v>-20.476745481881839</c:v>
                </c:pt>
                <c:pt idx="206">
                  <c:v>-20.529322097836364</c:v>
                </c:pt>
                <c:pt idx="207">
                  <c:v>-20.581617400347419</c:v>
                </c:pt>
                <c:pt idx="208">
                  <c:v>-20.633634753812366</c:v>
                </c:pt>
                <c:pt idx="209">
                  <c:v>-20.685377464315803</c:v>
                </c:pt>
                <c:pt idx="210">
                  <c:v>-20.738250365341141</c:v>
                </c:pt>
                <c:pt idx="211">
                  <c:v>-20.79084031118132</c:v>
                </c:pt>
                <c:pt idx="212">
                  <c:v>-20.843150702667156</c:v>
                </c:pt>
                <c:pt idx="213">
                  <c:v>-20.895184881454377</c:v>
                </c:pt>
                <c:pt idx="214">
                  <c:v>-20.947975164833906</c:v>
                </c:pt>
                <c:pt idx="215">
                  <c:v>-21.000484953456315</c:v>
                </c:pt>
                <c:pt idx="216">
                  <c:v>-21.052717611231181</c:v>
                </c:pt>
                <c:pt idx="217">
                  <c:v>-21.104676443721559</c:v>
                </c:pt>
                <c:pt idx="218">
                  <c:v>-21.15754012917801</c:v>
                </c:pt>
                <c:pt idx="219">
                  <c:v>-21.210124173594718</c:v>
                </c:pt>
                <c:pt idx="220">
                  <c:v>-21.262431933003583</c:v>
                </c:pt>
                <c:pt idx="221">
                  <c:v>-21.314466705244406</c:v>
                </c:pt>
                <c:pt idx="222">
                  <c:v>-21.36738267950847</c:v>
                </c:pt>
                <c:pt idx="223">
                  <c:v>-21.420020148990563</c:v>
                </c:pt>
                <c:pt idx="224">
                  <c:v>-21.472382456983915</c:v>
                </c:pt>
                <c:pt idx="225">
                  <c:v>-21.524472888852827</c:v>
                </c:pt>
                <c:pt idx="226">
                  <c:v>-21.577582778413735</c:v>
                </c:pt>
                <c:pt idx="227">
                  <c:v>-21.630413878920685</c:v>
                </c:pt>
                <c:pt idx="228">
                  <c:v>-21.682969546679409</c:v>
                </c:pt>
                <c:pt idx="229">
                  <c:v>-21.735253079732388</c:v>
                </c:pt>
                <c:pt idx="230">
                  <c:v>-21.841526595424796</c:v>
                </c:pt>
                <c:pt idx="231">
                  <c:v>-21.894248655952179</c:v>
                </c:pt>
                <c:pt idx="232">
                  <c:v>-21.946698677147559</c:v>
                </c:pt>
                <c:pt idx="233">
                  <c:v>-22.000115390109023</c:v>
                </c:pt>
                <c:pt idx="234">
                  <c:v>-22.05325382147192</c:v>
                </c:pt>
                <c:pt idx="235">
                  <c:v>-22.106117334989719</c:v>
                </c:pt>
                <c:pt idx="236">
                  <c:v>-22.158709235900108</c:v>
                </c:pt>
                <c:pt idx="237">
                  <c:v>-22.212091653799803</c:v>
                </c:pt>
                <c:pt idx="238">
                  <c:v>-22.265198096189955</c:v>
                </c:pt>
                <c:pt idx="239">
                  <c:v>-22.318031893786507</c:v>
                </c:pt>
                <c:pt idx="240">
                  <c:v>-22.370596319506539</c:v>
                </c:pt>
                <c:pt idx="241">
                  <c:v>-22.424228300018711</c:v>
                </c:pt>
                <c:pt idx="242">
                  <c:v>-22.477583749849188</c:v>
                </c:pt>
                <c:pt idx="243">
                  <c:v>-22.530666018567441</c:v>
                </c:pt>
                <c:pt idx="244">
                  <c:v>-22.583478397457547</c:v>
                </c:pt>
                <c:pt idx="245">
                  <c:v>-22.637185573274582</c:v>
                </c:pt>
                <c:pt idx="246">
                  <c:v>-22.69061753796521</c:v>
                </c:pt>
                <c:pt idx="247">
                  <c:v>-22.743777626238433</c:v>
                </c:pt>
                <c:pt idx="248">
                  <c:v>-22.796669114805965</c:v>
                </c:pt>
                <c:pt idx="249">
                  <c:v>-22.85057549885423</c:v>
                </c:pt>
                <c:pt idx="250">
                  <c:v>-22.904206800966843</c:v>
                </c:pt>
                <c:pt idx="251">
                  <c:v>-22.957566362749784</c:v>
                </c:pt>
                <c:pt idx="252">
                  <c:v>-23.010657467591201</c:v>
                </c:pt>
                <c:pt idx="253">
                  <c:v>-23.064598507024783</c:v>
                </c:pt>
                <c:pt idx="254">
                  <c:v>-23.118266346230264</c:v>
                </c:pt>
                <c:pt idx="255">
                  <c:v>-23.171664302051212</c:v>
                </c:pt>
                <c:pt idx="256">
                  <c:v>-23.22479563362046</c:v>
                </c:pt>
                <c:pt idx="257">
                  <c:v>-23.279029706420648</c:v>
                </c:pt>
                <c:pt idx="258">
                  <c:v>-23.33298992975984</c:v>
                </c:pt>
                <c:pt idx="259">
                  <c:v>-23.386679641879375</c:v>
                </c:pt>
                <c:pt idx="260">
                  <c:v>-23.44010212274199</c:v>
                </c:pt>
                <c:pt idx="261">
                  <c:v>-23.49446569911396</c:v>
                </c:pt>
                <c:pt idx="262">
                  <c:v>-23.548556517876769</c:v>
                </c:pt>
                <c:pt idx="263">
                  <c:v>-23.602377907143079</c:v>
                </c:pt>
                <c:pt idx="264">
                  <c:v>-23.655933136903755</c:v>
                </c:pt>
                <c:pt idx="265">
                  <c:v>-23.710406731046412</c:v>
                </c:pt>
                <c:pt idx="266">
                  <c:v>-23.764608934575712</c:v>
                </c:pt>
                <c:pt idx="267">
                  <c:v>-23.818543060546293</c:v>
                </c:pt>
                <c:pt idx="268">
                  <c:v>-23.872212364155978</c:v>
                </c:pt>
                <c:pt idx="269">
                  <c:v>-23.926906874958025</c:v>
                </c:pt>
                <c:pt idx="270">
                  <c:v>-23.981330346382556</c:v>
                </c:pt>
                <c:pt idx="271">
                  <c:v>-24.03548609506646</c:v>
                </c:pt>
                <c:pt idx="272">
                  <c:v>-24.089377379615566</c:v>
                </c:pt>
                <c:pt idx="273">
                  <c:v>-24.144269133085409</c:v>
                </c:pt>
                <c:pt idx="274">
                  <c:v>-24.198890528779447</c:v>
                </c:pt>
                <c:pt idx="275">
                  <c:v>-24.253244880969934</c:v>
                </c:pt>
                <c:pt idx="276">
                  <c:v>-24.307335445854712</c:v>
                </c:pt>
                <c:pt idx="277">
                  <c:v>-24.362278977256878</c:v>
                </c:pt>
                <c:pt idx="278">
                  <c:v>-24.416954343807845</c:v>
                </c:pt>
                <c:pt idx="279">
                  <c:v>-24.471364829744601</c:v>
                </c:pt>
                <c:pt idx="280">
                  <c:v>-24.525513661823709</c:v>
                </c:pt>
                <c:pt idx="281">
                  <c:v>-24.580860228017865</c:v>
                </c:pt>
                <c:pt idx="282">
                  <c:v>-24.635937492403855</c:v>
                </c:pt>
                <c:pt idx="283">
                  <c:v>-24.690748770298097</c:v>
                </c:pt>
                <c:pt idx="284">
                  <c:v>-24.745297318698015</c:v>
                </c:pt>
                <c:pt idx="285">
                  <c:v>-24.800657590234309</c:v>
                </c:pt>
                <c:pt idx="286">
                  <c:v>-24.85575129749289</c:v>
                </c:pt>
                <c:pt idx="287">
                  <c:v>-24.910581715668076</c:v>
                </c:pt>
                <c:pt idx="288">
                  <c:v>-24.965152062450748</c:v>
                </c:pt>
                <c:pt idx="289">
                  <c:v>-25.020866777105837</c:v>
                </c:pt>
                <c:pt idx="290">
                  <c:v>-25.076314474469591</c:v>
                </c:pt>
                <c:pt idx="291">
                  <c:v>-25.13149844824785</c:v>
                </c:pt>
                <c:pt idx="292">
                  <c:v>-25.186421934079952</c:v>
                </c:pt>
                <c:pt idx="293">
                  <c:v>-25.242348388055685</c:v>
                </c:pt>
                <c:pt idx="294">
                  <c:v>-25.298008847261201</c:v>
                </c:pt>
                <c:pt idx="295">
                  <c:v>-25.353406596687002</c:v>
                </c:pt>
                <c:pt idx="296">
                  <c:v>-25.408544863321726</c:v>
                </c:pt>
                <c:pt idx="297">
                  <c:v>-25.464663515209725</c:v>
                </c:pt>
                <c:pt idx="298">
                  <c:v>-25.520517474966027</c:v>
                </c:pt>
                <c:pt idx="299">
                  <c:v>-25.576110013549442</c:v>
                </c:pt>
                <c:pt idx="300">
                  <c:v>-25.631444344097659</c:v>
                </c:pt>
                <c:pt idx="301">
                  <c:v>-25.687737378474562</c:v>
                </c:pt>
                <c:pt idx="302">
                  <c:v>-25.743767280327489</c:v>
                </c:pt>
                <c:pt idx="303">
                  <c:v>-25.799537301637628</c:v>
                </c:pt>
                <c:pt idx="304">
                  <c:v>-25.855050636853466</c:v>
                </c:pt>
                <c:pt idx="305">
                  <c:v>-25.911718481211757</c:v>
                </c:pt>
                <c:pt idx="306">
                  <c:v>-25.968122985559109</c:v>
                </c:pt>
                <c:pt idx="307">
                  <c:v>-26.024267415376848</c:v>
                </c:pt>
                <c:pt idx="308">
                  <c:v>-26.080154978127219</c:v>
                </c:pt>
                <c:pt idx="309">
                  <c:v>-26.136958478268614</c:v>
                </c:pt>
                <c:pt idx="310">
                  <c:v>-26.193500750800762</c:v>
                </c:pt>
                <c:pt idx="311">
                  <c:v>-26.249785031467475</c:v>
                </c:pt>
                <c:pt idx="312">
                  <c:v>-26.305814498517499</c:v>
                </c:pt>
                <c:pt idx="313">
                  <c:v>-26.362949589256786</c:v>
                </c:pt>
                <c:pt idx="314">
                  <c:v>-26.41982385723113</c:v>
                </c:pt>
                <c:pt idx="315">
                  <c:v>-26.476440539754819</c:v>
                </c:pt>
                <c:pt idx="316">
                  <c:v>-26.532802816421366</c:v>
                </c:pt>
                <c:pt idx="317">
                  <c:v>-26.590246749117178</c:v>
                </c:pt>
                <c:pt idx="318">
                  <c:v>-26.647430582403551</c:v>
                </c:pt>
                <c:pt idx="319">
                  <c:v>-26.704357548895238</c:v>
                </c:pt>
                <c:pt idx="320">
                  <c:v>-26.761030823397547</c:v>
                </c:pt>
                <c:pt idx="321">
                  <c:v>-26.818762723339141</c:v>
                </c:pt>
                <c:pt idx="322">
                  <c:v>-26.876235540422524</c:v>
                </c:pt>
                <c:pt idx="323">
                  <c:v>-26.933452496670938</c:v>
                </c:pt>
                <c:pt idx="324">
                  <c:v>-26.990416756338792</c:v>
                </c:pt>
                <c:pt idx="325">
                  <c:v>-27.048417520352807</c:v>
                </c:pt>
                <c:pt idx="326">
                  <c:v>-27.106160486389971</c:v>
                </c:pt>
                <c:pt idx="327">
                  <c:v>-27.163648860372369</c:v>
                </c:pt>
                <c:pt idx="328">
                  <c:v>-27.220885790615025</c:v>
                </c:pt>
                <c:pt idx="329">
                  <c:v>-27.279235180736411</c:v>
                </c:pt>
                <c:pt idx="330">
                  <c:v>-27.33732744937647</c:v>
                </c:pt>
                <c:pt idx="331">
                  <c:v>-27.39516579708717</c:v>
                </c:pt>
                <c:pt idx="332">
                  <c:v>-27.452753366708045</c:v>
                </c:pt>
                <c:pt idx="333">
                  <c:v>-27.511334959382182</c:v>
                </c:pt>
                <c:pt idx="334">
                  <c:v>-27.56966122471081</c:v>
                </c:pt>
                <c:pt idx="335">
                  <c:v>-27.627735336427463</c:v>
                </c:pt>
                <c:pt idx="336">
                  <c:v>-27.685560410951876</c:v>
                </c:pt>
                <c:pt idx="337">
                  <c:v>-27.744547698370305</c:v>
                </c:pt>
                <c:pt idx="338">
                  <c:v>-27.803280034774957</c:v>
                </c:pt>
                <c:pt idx="339">
                  <c:v>-27.861760592717332</c:v>
                </c:pt>
                <c:pt idx="340">
                  <c:v>-27.919992487207832</c:v>
                </c:pt>
                <c:pt idx="341">
                  <c:v>-27.979363025639884</c:v>
                </c:pt>
                <c:pt idx="342">
                  <c:v>-28.03847929113347</c:v>
                </c:pt>
                <c:pt idx="343">
                  <c:v>-28.097344448644762</c:v>
                </c:pt>
                <c:pt idx="344">
                  <c:v>-28.155961605504057</c:v>
                </c:pt>
                <c:pt idx="345">
                  <c:v>-28.215604020478501</c:v>
                </c:pt>
                <c:pt idx="346">
                  <c:v>-28.274993881665051</c:v>
                </c:pt>
                <c:pt idx="347">
                  <c:v>-28.334134326172773</c:v>
                </c:pt>
                <c:pt idx="348">
                  <c:v>-28.393028433880506</c:v>
                </c:pt>
                <c:pt idx="349">
                  <c:v>-28.453106721484094</c:v>
                </c:pt>
                <c:pt idx="350">
                  <c:v>-28.512932873587957</c:v>
                </c:pt>
                <c:pt idx="351">
                  <c:v>-28.572510022659841</c:v>
                </c:pt>
                <c:pt idx="352">
                  <c:v>-28.631841243760853</c:v>
                </c:pt>
                <c:pt idx="353">
                  <c:v>-28.692333484296398</c:v>
                </c:pt>
                <c:pt idx="354">
                  <c:v>-28.752574291109283</c:v>
                </c:pt>
                <c:pt idx="355">
                  <c:v>-28.812566785696298</c:v>
                </c:pt>
                <c:pt idx="356">
                  <c:v>-28.872314032114666</c:v>
                </c:pt>
                <c:pt idx="357">
                  <c:v>-28.93311370982093</c:v>
                </c:pt>
                <c:pt idx="358">
                  <c:v>-28.993663619036457</c:v>
                </c:pt>
                <c:pt idx="359">
                  <c:v>-29.053966851282734</c:v>
                </c:pt>
                <c:pt idx="360">
                  <c:v>-29.114026441065896</c:v>
                </c:pt>
                <c:pt idx="361">
                  <c:v>-29.175288957363851</c:v>
                </c:pt>
                <c:pt idx="362">
                  <c:v>-29.23630217057001</c:v>
                </c:pt>
                <c:pt idx="363">
                  <c:v>-29.297069163233292</c:v>
                </c:pt>
                <c:pt idx="364">
                  <c:v>-29.357592960789493</c:v>
                </c:pt>
                <c:pt idx="365">
                  <c:v>-29.419213461752683</c:v>
                </c:pt>
                <c:pt idx="366">
                  <c:v>-29.480586054928523</c:v>
                </c:pt>
                <c:pt idx="367">
                  <c:v>-29.541713795403496</c:v>
                </c:pt>
                <c:pt idx="368">
                  <c:v>-29.602599681501822</c:v>
                </c:pt>
                <c:pt idx="369">
                  <c:v>-29.664726901764723</c:v>
                </c:pt>
                <c:pt idx="370">
                  <c:v>-29.726606486697516</c:v>
                </c:pt>
                <c:pt idx="371">
                  <c:v>-29.788241483230923</c:v>
                </c:pt>
                <c:pt idx="372">
                  <c:v>-29.849634881401954</c:v>
                </c:pt>
                <c:pt idx="373">
                  <c:v>-29.912165707263853</c:v>
                </c:pt>
                <c:pt idx="374">
                  <c:v>-29.97445006445006</c:v>
                </c:pt>
                <c:pt idx="375">
                  <c:v>-30.036490973804774</c:v>
                </c:pt>
                <c:pt idx="376">
                  <c:v>-30.098291399587257</c:v>
                </c:pt>
                <c:pt idx="377">
                  <c:v>-30.16136838884286</c:v>
                </c:pt>
                <c:pt idx="378">
                  <c:v>-30.224199020388781</c:v>
                </c:pt>
                <c:pt idx="379">
                  <c:v>-30.286786306766249</c:v>
                </c:pt>
                <c:pt idx="380">
                  <c:v>-30.349133203794423</c:v>
                </c:pt>
                <c:pt idx="381">
                  <c:v>-30.412576554397369</c:v>
                </c:pt>
                <c:pt idx="382">
                  <c:v>-30.475775118313997</c:v>
                </c:pt>
                <c:pt idx="383">
                  <c:v>-30.538731871489734</c:v>
                </c:pt>
                <c:pt idx="384">
                  <c:v>-30.601449733717541</c:v>
                </c:pt>
                <c:pt idx="385">
                  <c:v>-30.665477093507224</c:v>
                </c:pt>
                <c:pt idx="386">
                  <c:v>-30.729259608134655</c:v>
                </c:pt>
                <c:pt idx="387">
                  <c:v>-30.792800244911053</c:v>
                </c:pt>
                <c:pt idx="388">
                  <c:v>-30.856101914864698</c:v>
                </c:pt>
                <c:pt idx="389">
                  <c:v>-30.920613628229212</c:v>
                </c:pt>
                <c:pt idx="390">
                  <c:v>-30.984881256292617</c:v>
                </c:pt>
                <c:pt idx="391">
                  <c:v>-31.048907741090641</c:v>
                </c:pt>
                <c:pt idx="392">
                  <c:v>-31.11269596866687</c:v>
                </c:pt>
                <c:pt idx="393">
                  <c:v>-31.177673397744709</c:v>
                </c:pt>
                <c:pt idx="394">
                  <c:v>-31.242407676124987</c:v>
                </c:pt>
                <c:pt idx="395">
                  <c:v>-31.306901715661706</c:v>
                </c:pt>
                <c:pt idx="396">
                  <c:v>-31.371158372638355</c:v>
                </c:pt>
                <c:pt idx="397">
                  <c:v>-31.436731848806794</c:v>
                </c:pt>
                <c:pt idx="398">
                  <c:v>-31.50206216944596</c:v>
                </c:pt>
                <c:pt idx="399">
                  <c:v>-31.567152231187819</c:v>
                </c:pt>
                <c:pt idx="400">
                  <c:v>-31.632004875143881</c:v>
                </c:pt>
                <c:pt idx="401">
                  <c:v>-31.698078847517817</c:v>
                </c:pt>
                <c:pt idx="402">
                  <c:v>-31.76391039919762</c:v>
                </c:pt>
                <c:pt idx="403">
                  <c:v>-31.829502396500573</c:v>
                </c:pt>
                <c:pt idx="404">
                  <c:v>-31.894857650668513</c:v>
                </c:pt>
                <c:pt idx="405">
                  <c:v>-31.961485599691688</c:v>
                </c:pt>
                <c:pt idx="406">
                  <c:v>-32.027871487009712</c:v>
                </c:pt>
                <c:pt idx="407">
                  <c:v>-32.094018153404321</c:v>
                </c:pt>
                <c:pt idx="408">
                  <c:v>-32.159928384919354</c:v>
                </c:pt>
                <c:pt idx="409">
                  <c:v>-32.227160763554544</c:v>
                </c:pt>
                <c:pt idx="410">
                  <c:v>-32.294151090689653</c:v>
                </c:pt>
                <c:pt idx="411">
                  <c:v>-32.360902185731987</c:v>
                </c:pt>
                <c:pt idx="412">
                  <c:v>-32.427416813598896</c:v>
                </c:pt>
                <c:pt idx="413">
                  <c:v>-32.495231477991211</c:v>
                </c:pt>
                <c:pt idx="414">
                  <c:v>-32.562804271701452</c:v>
                </c:pt>
                <c:pt idx="415">
                  <c:v>-32.630137987826259</c:v>
                </c:pt>
                <c:pt idx="416">
                  <c:v>-32.697235365367469</c:v>
                </c:pt>
                <c:pt idx="417">
                  <c:v>-32.76568007516034</c:v>
                </c:pt>
                <c:pt idx="418">
                  <c:v>-32.833882758080698</c:v>
                </c:pt>
                <c:pt idx="419">
                  <c:v>-32.901846184792028</c:v>
                </c:pt>
                <c:pt idx="420">
                  <c:v>-32.969573072182442</c:v>
                </c:pt>
                <c:pt idx="421">
                  <c:v>-33.038557268400972</c:v>
                </c:pt>
                <c:pt idx="422">
                  <c:v>-33.107299912425667</c:v>
                </c:pt>
                <c:pt idx="423">
                  <c:v>-33.175803739867959</c:v>
                </c:pt>
                <c:pt idx="424">
                  <c:v>-33.244071433237202</c:v>
                </c:pt>
                <c:pt idx="425">
                  <c:v>-33.313776771428572</c:v>
                </c:pt>
                <c:pt idx="426">
                  <c:v>-33.383239748113603</c:v>
                </c:pt>
                <c:pt idx="427">
                  <c:v>-33.452463083773473</c:v>
                </c:pt>
                <c:pt idx="428">
                  <c:v>-33.521449445978433</c:v>
                </c:pt>
                <c:pt idx="429">
                  <c:v>-33.591783768025479</c:v>
                </c:pt>
                <c:pt idx="430">
                  <c:v>-33.661875548357294</c:v>
                </c:pt>
                <c:pt idx="431">
                  <c:v>-33.731727479896549</c:v>
                </c:pt>
                <c:pt idx="432">
                  <c:v>-33.801342203203397</c:v>
                </c:pt>
                <c:pt idx="433">
                  <c:v>-33.872283119760318</c:v>
                </c:pt>
                <c:pt idx="434">
                  <c:v>-33.942981438643415</c:v>
                </c:pt>
                <c:pt idx="435">
                  <c:v>-34.013439821584008</c:v>
                </c:pt>
                <c:pt idx="436">
                  <c:v>-34.083660878633445</c:v>
                </c:pt>
                <c:pt idx="437">
                  <c:v>-34.155315251549226</c:v>
                </c:pt>
                <c:pt idx="438">
                  <c:v>-34.226726208189689</c:v>
                </c:pt>
                <c:pt idx="439">
                  <c:v>-34.297896390082066</c:v>
                </c:pt>
                <c:pt idx="440">
                  <c:v>-34.368828387518157</c:v>
                </c:pt>
                <c:pt idx="441">
                  <c:v>-34.441170474349889</c:v>
                </c:pt>
                <c:pt idx="442">
                  <c:v>-34.513268468585935</c:v>
                </c:pt>
                <c:pt idx="443">
                  <c:v>-34.585124987753204</c:v>
                </c:pt>
                <c:pt idx="444">
                  <c:v>-34.656742598735207</c:v>
                </c:pt>
                <c:pt idx="445">
                  <c:v>-34.729747649805603</c:v>
                </c:pt>
                <c:pt idx="446">
                  <c:v>-34.802508055590401</c:v>
                </c:pt>
                <c:pt idx="447">
                  <c:v>-34.875026406423515</c:v>
                </c:pt>
                <c:pt idx="448">
                  <c:v>-34.947305242723658</c:v>
                </c:pt>
                <c:pt idx="449">
                  <c:v>-35.0210726746202</c:v>
                </c:pt>
                <c:pt idx="450">
                  <c:v>-35.094594197320632</c:v>
                </c:pt>
                <c:pt idx="451">
                  <c:v>-35.167872384141376</c:v>
                </c:pt>
                <c:pt idx="452">
                  <c:v>-35.240909759010876</c:v>
                </c:pt>
                <c:pt idx="453">
                  <c:v>-35.31535089526654</c:v>
                </c:pt>
                <c:pt idx="454">
                  <c:v>-35.389545400360618</c:v>
                </c:pt>
                <c:pt idx="455">
                  <c:v>-35.463495821236876</c:v>
                </c:pt>
                <c:pt idx="456">
                  <c:v>-35.537204656280565</c:v>
                </c:pt>
                <c:pt idx="457">
                  <c:v>-35.612415024156682</c:v>
                </c:pt>
                <c:pt idx="458">
                  <c:v>-35.68737735214895</c:v>
                </c:pt>
                <c:pt idx="459">
                  <c:v>-35.762094170844335</c:v>
                </c:pt>
                <c:pt idx="460">
                  <c:v>-35.836567962915495</c:v>
                </c:pt>
                <c:pt idx="461">
                  <c:v>-35.912519163941013</c:v>
                </c:pt>
                <c:pt idx="462">
                  <c:v>-35.988221050621007</c:v>
                </c:pt>
                <c:pt idx="463">
                  <c:v>-36.063676134727523</c:v>
                </c:pt>
                <c:pt idx="464">
                  <c:v>-36.138886880898781</c:v>
                </c:pt>
                <c:pt idx="465">
                  <c:v>-36.215609907637905</c:v>
                </c:pt>
                <c:pt idx="466">
                  <c:v>-36.292082086607877</c:v>
                </c:pt>
                <c:pt idx="467">
                  <c:v>-36.36830591458812</c:v>
                </c:pt>
                <c:pt idx="468">
                  <c:v>-36.444283841988423</c:v>
                </c:pt>
                <c:pt idx="469">
                  <c:v>-36.52174981717566</c:v>
                </c:pt>
                <c:pt idx="470">
                  <c:v>-36.598963543574101</c:v>
                </c:pt>
                <c:pt idx="471">
                  <c:v>-36.675927501263111</c:v>
                </c:pt>
                <c:pt idx="472">
                  <c:v>-36.752644124841815</c:v>
                </c:pt>
                <c:pt idx="473">
                  <c:v>-36.830939018934494</c:v>
                </c:pt>
                <c:pt idx="474">
                  <c:v>-36.90897964958328</c:v>
                </c:pt>
                <c:pt idx="475">
                  <c:v>-36.986768489773183</c:v>
                </c:pt>
                <c:pt idx="476">
                  <c:v>-37.06430796775453</c:v>
                </c:pt>
                <c:pt idx="477">
                  <c:v>-37.143400280361057</c:v>
                </c:pt>
                <c:pt idx="478">
                  <c:v>-37.222236469822391</c:v>
                </c:pt>
                <c:pt idx="479">
                  <c:v>-37.300819000687675</c:v>
                </c:pt>
                <c:pt idx="480">
                  <c:v>-37.37915029364536</c:v>
                </c:pt>
                <c:pt idx="481">
                  <c:v>-37.459009501124008</c:v>
                </c:pt>
                <c:pt idx="482">
                  <c:v>-37.538610874765538</c:v>
                </c:pt>
                <c:pt idx="483">
                  <c:v>-37.617956869974648</c:v>
                </c:pt>
                <c:pt idx="484">
                  <c:v>-37.697049899283854</c:v>
                </c:pt>
                <c:pt idx="485">
                  <c:v>-37.777701245198067</c:v>
                </c:pt>
                <c:pt idx="486">
                  <c:v>-37.858092840198964</c:v>
                </c:pt>
                <c:pt idx="487">
                  <c:v>-37.938227135407359</c:v>
                </c:pt>
                <c:pt idx="488">
                  <c:v>-38.018106540050532</c:v>
                </c:pt>
                <c:pt idx="489">
                  <c:v>-38.099627530694711</c:v>
                </c:pt>
                <c:pt idx="490">
                  <c:v>-38.180886321641914</c:v>
                </c:pt>
                <c:pt idx="491">
                  <c:v>-38.261885369574493</c:v>
                </c:pt>
                <c:pt idx="492">
                  <c:v>-38.342627090147609</c:v>
                </c:pt>
                <c:pt idx="493">
                  <c:v>-38.424983872303727</c:v>
                </c:pt>
                <c:pt idx="494">
                  <c:v>-38.507076202156767</c:v>
                </c:pt>
                <c:pt idx="495">
                  <c:v>-38.588906542060577</c:v>
                </c:pt>
                <c:pt idx="496">
                  <c:v>-38.67047731432703</c:v>
                </c:pt>
                <c:pt idx="497">
                  <c:v>-38.753689915257041</c:v>
                </c:pt>
                <c:pt idx="498">
                  <c:v>-38.836635672754326</c:v>
                </c:pt>
                <c:pt idx="499">
                  <c:v>-38.919317060270778</c:v>
                </c:pt>
                <c:pt idx="500">
                  <c:v>-39.001736512209426</c:v>
                </c:pt>
                <c:pt idx="501">
                  <c:v>-39.085823429984018</c:v>
                </c:pt>
                <c:pt idx="502">
                  <c:v>-39.16964100053341</c:v>
                </c:pt>
                <c:pt idx="503">
                  <c:v>-39.253191714124654</c:v>
                </c:pt>
                <c:pt idx="504">
                  <c:v>-39.336478022983655</c:v>
                </c:pt>
                <c:pt idx="505">
                  <c:v>-39.421404930654745</c:v>
                </c:pt>
                <c:pt idx="506">
                  <c:v>-39.506060230599452</c:v>
                </c:pt>
                <c:pt idx="507">
                  <c:v>-39.590446431434863</c:v>
                </c:pt>
                <c:pt idx="508">
                  <c:v>-39.674566004854171</c:v>
                </c:pt>
                <c:pt idx="509">
                  <c:v>-39.760350677682581</c:v>
                </c:pt>
                <c:pt idx="510">
                  <c:v>-39.845861412882932</c:v>
                </c:pt>
                <c:pt idx="511">
                  <c:v>-39.931100744099325</c:v>
                </c:pt>
                <c:pt idx="512">
                  <c:v>-40.016071169187356</c:v>
                </c:pt>
                <c:pt idx="513">
                  <c:v>-40.10278033075388</c:v>
                </c:pt>
                <c:pt idx="514">
                  <c:v>-40.189212870326791</c:v>
                </c:pt>
                <c:pt idx="515">
                  <c:v>-40.275371358123209</c:v>
                </c:pt>
                <c:pt idx="516">
                  <c:v>-40.361258329654355</c:v>
                </c:pt>
                <c:pt idx="517">
                  <c:v>-40.448856163790417</c:v>
                </c:pt>
                <c:pt idx="518">
                  <c:v>-40.536175021983155</c:v>
                </c:pt>
                <c:pt idx="519">
                  <c:v>-40.623217514113307</c:v>
                </c:pt>
                <c:pt idx="520">
                  <c:v>-40.709986216561845</c:v>
                </c:pt>
                <c:pt idx="521">
                  <c:v>-40.798487488668485</c:v>
                </c:pt>
                <c:pt idx="522">
                  <c:v>-40.88670747247523</c:v>
                </c:pt>
                <c:pt idx="523">
                  <c:v>-40.974648825787988</c:v>
                </c:pt>
                <c:pt idx="524">
                  <c:v>-41.06231417416889</c:v>
                </c:pt>
                <c:pt idx="525">
                  <c:v>-41.151733005593492</c:v>
                </c:pt>
                <c:pt idx="526">
                  <c:v>-41.240868322774972</c:v>
                </c:pt>
                <c:pt idx="527">
                  <c:v>-41.329722840419187</c:v>
                </c:pt>
                <c:pt idx="528">
                  <c:v>-41.418299242309814</c:v>
                </c:pt>
                <c:pt idx="529">
                  <c:v>-41.508649327955531</c:v>
                </c:pt>
                <c:pt idx="530">
                  <c:v>-41.598713809544591</c:v>
                </c:pt>
                <c:pt idx="531">
                  <c:v>-41.688495468493855</c:v>
                </c:pt>
                <c:pt idx="532">
                  <c:v>-41.777997056703555</c:v>
                </c:pt>
                <c:pt idx="533">
                  <c:v>-41.869338964870941</c:v>
                </c:pt>
                <c:pt idx="534">
                  <c:v>-41.960393075222946</c:v>
                </c:pt>
                <c:pt idx="535">
                  <c:v>-42.05116225108705</c:v>
                </c:pt>
                <c:pt idx="536">
                  <c:v>-42.141649327729326</c:v>
                </c:pt>
                <c:pt idx="537">
                  <c:v>-42.233901953918291</c:v>
                </c:pt>
                <c:pt idx="538">
                  <c:v>-42.325865438819122</c:v>
                </c:pt>
                <c:pt idx="539">
                  <c:v>-42.417542730742014</c:v>
                </c:pt>
                <c:pt idx="540">
                  <c:v>-42.508936751641286</c:v>
                </c:pt>
                <c:pt idx="541">
                  <c:v>-42.602207634792222</c:v>
                </c:pt>
                <c:pt idx="542">
                  <c:v>-42.695187769705008</c:v>
                </c:pt>
                <c:pt idx="543">
                  <c:v>-42.78788021193553</c:v>
                </c:pt>
                <c:pt idx="544">
                  <c:v>-42.880287992451485</c:v>
                </c:pt>
                <c:pt idx="545">
                  <c:v>-42.974544825524163</c:v>
                </c:pt>
                <c:pt idx="546">
                  <c:v>-43.068510001375316</c:v>
                </c:pt>
                <c:pt idx="547">
                  <c:v>-43.162186693234659</c:v>
                </c:pt>
                <c:pt idx="548">
                  <c:v>-43.255578051776915</c:v>
                </c:pt>
                <c:pt idx="549">
                  <c:v>-43.350836705907689</c:v>
                </c:pt>
                <c:pt idx="550">
                  <c:v>-43.445803284107299</c:v>
                </c:pt>
                <c:pt idx="551">
                  <c:v>-43.540481094106525</c:v>
                </c:pt>
                <c:pt idx="552">
                  <c:v>-43.634873423376881</c:v>
                </c:pt>
                <c:pt idx="553">
                  <c:v>-43.731195564964025</c:v>
                </c:pt>
                <c:pt idx="554">
                  <c:v>-43.827225535667154</c:v>
                </c:pt>
                <c:pt idx="555">
                  <c:v>-43.92296680157321</c:v>
                </c:pt>
                <c:pt idx="556">
                  <c:v>-44.018422811101523</c:v>
                </c:pt>
                <c:pt idx="557">
                  <c:v>-44.212938324105828</c:v>
                </c:pt>
                <c:pt idx="558">
                  <c:v>-44.406302247991604</c:v>
                </c:pt>
                <c:pt idx="559">
                  <c:v>-44.602937083675151</c:v>
                </c:pt>
                <c:pt idx="560">
                  <c:v>-44.798428108782886</c:v>
                </c:pt>
                <c:pt idx="561">
                  <c:v>-44.9974044830427</c:v>
                </c:pt>
                <c:pt idx="562">
                  <c:v>-45.195246983221303</c:v>
                </c:pt>
                <c:pt idx="563">
                  <c:v>-45.396198318214815</c:v>
                </c:pt>
                <c:pt idx="564">
                  <c:v>-45.59603532388288</c:v>
                </c:pt>
                <c:pt idx="565">
                  <c:v>-45.799789701670818</c:v>
                </c:pt>
                <c:pt idx="566">
                  <c:v>-46.002446654498677</c:v>
                </c:pt>
                <c:pt idx="567">
                  <c:v>-46.208987880045427</c:v>
                </c:pt>
                <c:pt idx="568">
                  <c:v>-46.414456723322843</c:v>
                </c:pt>
                <c:pt idx="569">
                  <c:v>-46.622972246127539</c:v>
                </c:pt>
                <c:pt idx="570">
                  <c:v>-46.830457572677346</c:v>
                </c:pt>
                <c:pt idx="571">
                  <c:v>-47.042611426401137</c:v>
                </c:pt>
                <c:pt idx="572">
                  <c:v>-47.253771541407644</c:v>
                </c:pt>
                <c:pt idx="573">
                  <c:v>-47.467989011425914</c:v>
                </c:pt>
                <c:pt idx="574">
                  <c:v>-47.681276223674217</c:v>
                </c:pt>
                <c:pt idx="575">
                  <c:v>-47.899243010696779</c:v>
                </c:pt>
                <c:pt idx="576">
                  <c:v>-48.116342760506974</c:v>
                </c:pt>
                <c:pt idx="577">
                  <c:v>-49.027212597294238</c:v>
                </c:pt>
                <c:pt idx="578">
                  <c:v>-49.928305833616243</c:v>
                </c:pt>
                <c:pt idx="579">
                  <c:v>-51.895233037721617</c:v>
                </c:pt>
                <c:pt idx="580">
                  <c:v>-54.113471619261027</c:v>
                </c:pt>
                <c:pt idx="581">
                  <c:v>-56.781487612041701</c:v>
                </c:pt>
                <c:pt idx="582">
                  <c:v>-60.391132938185244</c:v>
                </c:pt>
                <c:pt idx="583">
                  <c:v>-66.452204086279124</c:v>
                </c:pt>
                <c:pt idx="584">
                  <c:v>-91.399771675544599</c:v>
                </c:pt>
                <c:pt idx="585">
                  <c:v>-70.063516337503515</c:v>
                </c:pt>
                <c:pt idx="586">
                  <c:v>-66.26448467512003</c:v>
                </c:pt>
                <c:pt idx="587">
                  <c:v>-65.685614455527073</c:v>
                </c:pt>
                <c:pt idx="588">
                  <c:v>-66.418002021708816</c:v>
                </c:pt>
                <c:pt idx="589">
                  <c:v>-67.984606899164334</c:v>
                </c:pt>
                <c:pt idx="590">
                  <c:v>-70.761913903937725</c:v>
                </c:pt>
                <c:pt idx="591">
                  <c:v>-78.020266428091091</c:v>
                </c:pt>
                <c:pt idx="592">
                  <c:v>-82.006585949856031</c:v>
                </c:pt>
                <c:pt idx="593">
                  <c:v>-74.971249795695798</c:v>
                </c:pt>
                <c:pt idx="594">
                  <c:v>-74.972510033136857</c:v>
                </c:pt>
                <c:pt idx="595">
                  <c:v>-77.849106578409277</c:v>
                </c:pt>
                <c:pt idx="596">
                  <c:v>-120.79675928237053</c:v>
                </c:pt>
                <c:pt idx="597">
                  <c:v>-79.913738057828269</c:v>
                </c:pt>
                <c:pt idx="598">
                  <c:v>-80.22050248969073</c:v>
                </c:pt>
                <c:pt idx="599">
                  <c:v>-95.626951269654356</c:v>
                </c:pt>
                <c:pt idx="600">
                  <c:v>-82.834755583522877</c:v>
                </c:pt>
              </c:numCache>
            </c:numRef>
          </c:yVal>
          <c:smooth val="0"/>
          <c:extLst>
            <c:ext xmlns:c16="http://schemas.microsoft.com/office/drawing/2014/chart" uri="{C3380CC4-5D6E-409C-BE32-E72D297353CC}">
              <c16:uniqueId val="{00000000-52E8-40C0-BDC9-E7AD10D908CE}"/>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91.00344310161708</c:v>
                </c:pt>
                <c:pt idx="1">
                  <c:v>90.845443207849172</c:v>
                </c:pt>
                <c:pt idx="2">
                  <c:v>90.694626819224354</c:v>
                </c:pt>
                <c:pt idx="3">
                  <c:v>90.549709101478982</c:v>
                </c:pt>
                <c:pt idx="4">
                  <c:v>90.409547341831768</c:v>
                </c:pt>
                <c:pt idx="5">
                  <c:v>90.272718319524046</c:v>
                </c:pt>
                <c:pt idx="6">
                  <c:v>90.138257384780076</c:v>
                </c:pt>
                <c:pt idx="7">
                  <c:v>90.004932919815943</c:v>
                </c:pt>
                <c:pt idx="8">
                  <c:v>89.87171050218501</c:v>
                </c:pt>
                <c:pt idx="9">
                  <c:v>89.737358462717097</c:v>
                </c:pt>
                <c:pt idx="10">
                  <c:v>89.600814846213055</c:v>
                </c:pt>
                <c:pt idx="11">
                  <c:v>89.460904380414391</c:v>
                </c:pt>
                <c:pt idx="12">
                  <c:v>89.316365754777593</c:v>
                </c:pt>
                <c:pt idx="13">
                  <c:v>89.166115912193547</c:v>
                </c:pt>
                <c:pt idx="14">
                  <c:v>89.008766538094321</c:v>
                </c:pt>
                <c:pt idx="15">
                  <c:v>88.843047929961187</c:v>
                </c:pt>
                <c:pt idx="16">
                  <c:v>88.667551254301927</c:v>
                </c:pt>
                <c:pt idx="17">
                  <c:v>88.480827836919076</c:v>
                </c:pt>
                <c:pt idx="18">
                  <c:v>88.281256286990072</c:v>
                </c:pt>
                <c:pt idx="19">
                  <c:v>88.067219825575378</c:v>
                </c:pt>
                <c:pt idx="20">
                  <c:v>87.836891261666395</c:v>
                </c:pt>
                <c:pt idx="21">
                  <c:v>87.588405565252813</c:v>
                </c:pt>
                <c:pt idx="22">
                  <c:v>87.319656262863418</c:v>
                </c:pt>
                <c:pt idx="23">
                  <c:v>87.028503907933313</c:v>
                </c:pt>
                <c:pt idx="24">
                  <c:v>86.71250093119346</c:v>
                </c:pt>
                <c:pt idx="25">
                  <c:v>86.369139331540069</c:v>
                </c:pt>
                <c:pt idx="26">
                  <c:v>85.995585817585962</c:v>
                </c:pt>
                <c:pt idx="27">
                  <c:v>85.589006852065296</c:v>
                </c:pt>
                <c:pt idx="28">
                  <c:v>85.146237218824879</c:v>
                </c:pt>
                <c:pt idx="29">
                  <c:v>84.664223586545575</c:v>
                </c:pt>
                <c:pt idx="30">
                  <c:v>84.138542088002922</c:v>
                </c:pt>
                <c:pt idx="31">
                  <c:v>83.566087448161412</c:v>
                </c:pt>
                <c:pt idx="32">
                  <c:v>82.942480149201188</c:v>
                </c:pt>
                <c:pt idx="33">
                  <c:v>82.26400874049601</c:v>
                </c:pt>
                <c:pt idx="34">
                  <c:v>81.525858981908897</c:v>
                </c:pt>
                <c:pt idx="35">
                  <c:v>80.724068768536767</c:v>
                </c:pt>
                <c:pt idx="36">
                  <c:v>79.854191650219079</c:v>
                </c:pt>
                <c:pt idx="37">
                  <c:v>78.911491987430551</c:v>
                </c:pt>
                <c:pt idx="38">
                  <c:v>77.892922755432949</c:v>
                </c:pt>
                <c:pt idx="39">
                  <c:v>76.794202866916251</c:v>
                </c:pt>
                <c:pt idx="40">
                  <c:v>75.612942781410098</c:v>
                </c:pt>
                <c:pt idx="41">
                  <c:v>74.347262411475398</c:v>
                </c:pt>
                <c:pt idx="42">
                  <c:v>72.996890721904833</c:v>
                </c:pt>
                <c:pt idx="43">
                  <c:v>71.562668508306587</c:v>
                </c:pt>
                <c:pt idx="44">
                  <c:v>70.048319171940548</c:v>
                </c:pt>
                <c:pt idx="45">
                  <c:v>68.459405965284901</c:v>
                </c:pt>
                <c:pt idx="46">
                  <c:v>66.805015685071126</c:v>
                </c:pt>
                <c:pt idx="47">
                  <c:v>65.0967627710491</c:v>
                </c:pt>
                <c:pt idx="48">
                  <c:v>63.350424577590289</c:v>
                </c:pt>
                <c:pt idx="49">
                  <c:v>61.584306424246321</c:v>
                </c:pt>
                <c:pt idx="50">
                  <c:v>59.82061255802536</c:v>
                </c:pt>
                <c:pt idx="51">
                  <c:v>58.083612556734906</c:v>
                </c:pt>
                <c:pt idx="52">
                  <c:v>56.40059933928724</c:v>
                </c:pt>
                <c:pt idx="53">
                  <c:v>54.799407315740112</c:v>
                </c:pt>
                <c:pt idx="54">
                  <c:v>53.308994463001625</c:v>
                </c:pt>
                <c:pt idx="55">
                  <c:v>51.954117078556749</c:v>
                </c:pt>
                <c:pt idx="56">
                  <c:v>50.762144652937224</c:v>
                </c:pt>
                <c:pt idx="57">
                  <c:v>49.754843623658644</c:v>
                </c:pt>
                <c:pt idx="58">
                  <c:v>48.95198585681689</c:v>
                </c:pt>
                <c:pt idx="59">
                  <c:v>48.367978700440489</c:v>
                </c:pt>
                <c:pt idx="60">
                  <c:v>48.013805855491654</c:v>
                </c:pt>
                <c:pt idx="61">
                  <c:v>47.895251110709779</c:v>
                </c:pt>
                <c:pt idx="62">
                  <c:v>48.013528019917572</c:v>
                </c:pt>
                <c:pt idx="63">
                  <c:v>48.36481918412548</c:v>
                </c:pt>
                <c:pt idx="64">
                  <c:v>48.940872603257759</c:v>
                </c:pt>
                <c:pt idx="65">
                  <c:v>49.728465062110814</c:v>
                </c:pt>
                <c:pt idx="66">
                  <c:v>50.710230822691699</c:v>
                </c:pt>
                <c:pt idx="67">
                  <c:v>51.864703817643402</c:v>
                </c:pt>
                <c:pt idx="68">
                  <c:v>53.167658061708764</c:v>
                </c:pt>
                <c:pt idx="69">
                  <c:v>54.59170240495375</c:v>
                </c:pt>
                <c:pt idx="70">
                  <c:v>56.108507023505069</c:v>
                </c:pt>
                <c:pt idx="71">
                  <c:v>57.688619887283934</c:v>
                </c:pt>
                <c:pt idx="72">
                  <c:v>59.30373094718226</c:v>
                </c:pt>
                <c:pt idx="73">
                  <c:v>60.926248193668854</c:v>
                </c:pt>
                <c:pt idx="74">
                  <c:v>62.531639315968874</c:v>
                </c:pt>
                <c:pt idx="75">
                  <c:v>64.097544268532019</c:v>
                </c:pt>
                <c:pt idx="76">
                  <c:v>65.605384281649208</c:v>
                </c:pt>
                <c:pt idx="77">
                  <c:v>67.039036623440992</c:v>
                </c:pt>
                <c:pt idx="78">
                  <c:v>68.386152138412399</c:v>
                </c:pt>
                <c:pt idx="79">
                  <c:v>69.636538553248201</c:v>
                </c:pt>
                <c:pt idx="80">
                  <c:v>70.785402845323574</c:v>
                </c:pt>
                <c:pt idx="81">
                  <c:v>71.826374816395742</c:v>
                </c:pt>
                <c:pt idx="82">
                  <c:v>72.757266473703964</c:v>
                </c:pt>
                <c:pt idx="83">
                  <c:v>73.575872627354187</c:v>
                </c:pt>
                <c:pt idx="84">
                  <c:v>74.282233437500281</c:v>
                </c:pt>
                <c:pt idx="85">
                  <c:v>74.875945904117444</c:v>
                </c:pt>
                <c:pt idx="86">
                  <c:v>75.357492625543813</c:v>
                </c:pt>
                <c:pt idx="87">
                  <c:v>75.727490584276595</c:v>
                </c:pt>
                <c:pt idx="88">
                  <c:v>75.985893252440604</c:v>
                </c:pt>
                <c:pt idx="89">
                  <c:v>76.132951509461165</c:v>
                </c:pt>
                <c:pt idx="90">
                  <c:v>76.168157716629437</c:v>
                </c:pt>
                <c:pt idx="91">
                  <c:v>76.09057795848949</c:v>
                </c:pt>
                <c:pt idx="92">
                  <c:v>75.898670717383368</c:v>
                </c:pt>
                <c:pt idx="93">
                  <c:v>75.590100625535925</c:v>
                </c:pt>
                <c:pt idx="94">
                  <c:v>75.494435168640777</c:v>
                </c:pt>
                <c:pt idx="95">
                  <c:v>75.443464644155171</c:v>
                </c:pt>
                <c:pt idx="96">
                  <c:v>75.391198411419396</c:v>
                </c:pt>
                <c:pt idx="97">
                  <c:v>75.336424621495965</c:v>
                </c:pt>
                <c:pt idx="98">
                  <c:v>75.280384045318087</c:v>
                </c:pt>
                <c:pt idx="99">
                  <c:v>75.221762597763799</c:v>
                </c:pt>
                <c:pt idx="100">
                  <c:v>75.161902180259077</c:v>
                </c:pt>
                <c:pt idx="101">
                  <c:v>75.099432381621853</c:v>
                </c:pt>
                <c:pt idx="102">
                  <c:v>75.035752238388767</c:v>
                </c:pt>
                <c:pt idx="103">
                  <c:v>74.969339792381859</c:v>
                </c:pt>
                <c:pt idx="104">
                  <c:v>74.90174286859299</c:v>
                </c:pt>
                <c:pt idx="105">
                  <c:v>74.831384720572885</c:v>
                </c:pt>
                <c:pt idx="106">
                  <c:v>74.759868856891643</c:v>
                </c:pt>
                <c:pt idx="107">
                  <c:v>74.685566131772077</c:v>
                </c:pt>
                <c:pt idx="108">
                  <c:v>74.610133172067549</c:v>
                </c:pt>
                <c:pt idx="109">
                  <c:v>74.531837072119657</c:v>
                </c:pt>
                <c:pt idx="110">
                  <c:v>74.4524372999349</c:v>
                </c:pt>
                <c:pt idx="111">
                  <c:v>74.37004138088308</c:v>
                </c:pt>
                <c:pt idx="112">
                  <c:v>74.286566129944688</c:v>
                </c:pt>
                <c:pt idx="113">
                  <c:v>74.200069255248863</c:v>
                </c:pt>
                <c:pt idx="114">
                  <c:v>74.112518194461742</c:v>
                </c:pt>
                <c:pt idx="115">
                  <c:v>74.021865155108486</c:v>
                </c:pt>
                <c:pt idx="116">
                  <c:v>73.930182437167844</c:v>
                </c:pt>
                <c:pt idx="117">
                  <c:v>73.835316356731042</c:v>
                </c:pt>
                <c:pt idx="118">
                  <c:v>73.739444543383556</c:v>
                </c:pt>
                <c:pt idx="119">
                  <c:v>73.640367495203463</c:v>
                </c:pt>
                <c:pt idx="120">
                  <c:v>73.540309335741853</c:v>
                </c:pt>
                <c:pt idx="121">
                  <c:v>73.436965266993312</c:v>
                </c:pt>
                <c:pt idx="122">
                  <c:v>73.332664127619097</c:v>
                </c:pt>
                <c:pt idx="123">
                  <c:v>73.224932980277259</c:v>
                </c:pt>
                <c:pt idx="124">
                  <c:v>73.116267225374202</c:v>
                </c:pt>
                <c:pt idx="125">
                  <c:v>73.004150991429</c:v>
                </c:pt>
                <c:pt idx="126">
                  <c:v>72.891123307611593</c:v>
                </c:pt>
                <c:pt idx="127">
                  <c:v>72.774562609266425</c:v>
                </c:pt>
                <c:pt idx="128">
                  <c:v>72.657113212177862</c:v>
                </c:pt>
                <c:pt idx="129">
                  <c:v>72.536047859560739</c:v>
                </c:pt>
                <c:pt idx="130">
                  <c:v>72.414116201340619</c:v>
                </c:pt>
                <c:pt idx="131">
                  <c:v>72.288485345409427</c:v>
                </c:pt>
                <c:pt idx="132">
                  <c:v>72.225351445182753</c:v>
                </c:pt>
                <c:pt idx="133">
                  <c:v>72.162010262828773</c:v>
                </c:pt>
                <c:pt idx="134">
                  <c:v>72.096952446879243</c:v>
                </c:pt>
                <c:pt idx="135">
                  <c:v>72.03168507352386</c:v>
                </c:pt>
                <c:pt idx="136">
                  <c:v>71.966211907008073</c:v>
                </c:pt>
                <c:pt idx="137">
                  <c:v>71.900536627786664</c:v>
                </c:pt>
                <c:pt idx="138">
                  <c:v>71.833164971260544</c:v>
                </c:pt>
                <c:pt idx="139">
                  <c:v>71.76558944845317</c:v>
                </c:pt>
                <c:pt idx="140">
                  <c:v>71.697813739284214</c:v>
                </c:pt>
                <c:pt idx="141">
                  <c:v>71.62984144185377</c:v>
                </c:pt>
                <c:pt idx="142">
                  <c:v>71.560057325564742</c:v>
                </c:pt>
                <c:pt idx="143">
                  <c:v>71.490074564943683</c:v>
                </c:pt>
                <c:pt idx="144">
                  <c:v>71.419896768407796</c:v>
                </c:pt>
                <c:pt idx="145">
                  <c:v>71.349527464166002</c:v>
                </c:pt>
                <c:pt idx="146">
                  <c:v>71.277333501816855</c:v>
                </c:pt>
                <c:pt idx="147">
                  <c:v>71.20494628191932</c:v>
                </c:pt>
                <c:pt idx="148">
                  <c:v>71.132369337252698</c:v>
                </c:pt>
                <c:pt idx="149">
                  <c:v>71.059606122144103</c:v>
                </c:pt>
                <c:pt idx="150">
                  <c:v>70.984971262703567</c:v>
                </c:pt>
                <c:pt idx="151">
                  <c:v>70.910148492908235</c:v>
                </c:pt>
                <c:pt idx="152">
                  <c:v>70.835141271363526</c:v>
                </c:pt>
                <c:pt idx="153">
                  <c:v>70.759952979953354</c:v>
                </c:pt>
                <c:pt idx="154">
                  <c:v>70.682810657035901</c:v>
                </c:pt>
                <c:pt idx="155">
                  <c:v>70.605485571294096</c:v>
                </c:pt>
                <c:pt idx="156">
                  <c:v>70.527981113182776</c:v>
                </c:pt>
                <c:pt idx="157">
                  <c:v>70.450300598007459</c:v>
                </c:pt>
                <c:pt idx="158">
                  <c:v>70.370618853185931</c:v>
                </c:pt>
                <c:pt idx="159">
                  <c:v>70.290759488847655</c:v>
                </c:pt>
                <c:pt idx="160">
                  <c:v>70.210725828115869</c:v>
                </c:pt>
                <c:pt idx="161">
                  <c:v>70.130521120532038</c:v>
                </c:pt>
                <c:pt idx="162">
                  <c:v>70.048304353013052</c:v>
                </c:pt>
                <c:pt idx="163">
                  <c:v>69.965915258972018</c:v>
                </c:pt>
                <c:pt idx="164">
                  <c:v>69.883357090782155</c:v>
                </c:pt>
                <c:pt idx="165">
                  <c:v>69.800633028923286</c:v>
                </c:pt>
                <c:pt idx="166">
                  <c:v>69.715777672565395</c:v>
                </c:pt>
                <c:pt idx="167">
                  <c:v>69.630754980459514</c:v>
                </c:pt>
                <c:pt idx="168">
                  <c:v>69.545568143669684</c:v>
                </c:pt>
                <c:pt idx="169">
                  <c:v>69.460220282796655</c:v>
                </c:pt>
                <c:pt idx="170">
                  <c:v>69.37287785164871</c:v>
                </c:pt>
                <c:pt idx="171">
                  <c:v>69.285373776760267</c:v>
                </c:pt>
                <c:pt idx="172">
                  <c:v>69.197711168836392</c:v>
                </c:pt>
                <c:pt idx="173">
                  <c:v>69.109893070126077</c:v>
                </c:pt>
                <c:pt idx="174">
                  <c:v>69.019702764375666</c:v>
                </c:pt>
                <c:pt idx="175">
                  <c:v>68.929355292406015</c:v>
                </c:pt>
                <c:pt idx="176">
                  <c:v>68.838853720690068</c:v>
                </c:pt>
                <c:pt idx="177">
                  <c:v>68.748201048213204</c:v>
                </c:pt>
                <c:pt idx="178">
                  <c:v>68.65516555882553</c:v>
                </c:pt>
                <c:pt idx="179">
                  <c:v>68.561977611012566</c:v>
                </c:pt>
                <c:pt idx="180">
                  <c:v>68.468640222227961</c:v>
                </c:pt>
                <c:pt idx="181">
                  <c:v>68.375156343565124</c:v>
                </c:pt>
                <c:pt idx="182">
                  <c:v>68.279654866724584</c:v>
                </c:pt>
                <c:pt idx="183">
                  <c:v>68.184006980901032</c:v>
                </c:pt>
                <c:pt idx="184">
                  <c:v>68.088215616236383</c:v>
                </c:pt>
                <c:pt idx="185">
                  <c:v>67.992283638776129</c:v>
                </c:pt>
                <c:pt idx="186">
                  <c:v>67.893574725295991</c:v>
                </c:pt>
                <c:pt idx="187">
                  <c:v>67.794723307086244</c:v>
                </c:pt>
                <c:pt idx="188">
                  <c:v>67.695732293015283</c:v>
                </c:pt>
                <c:pt idx="189">
                  <c:v>67.596604528214684</c:v>
                </c:pt>
                <c:pt idx="190">
                  <c:v>67.495447203201252</c:v>
                </c:pt>
                <c:pt idx="191">
                  <c:v>67.394153629643739</c:v>
                </c:pt>
                <c:pt idx="192">
                  <c:v>67.292726625686669</c:v>
                </c:pt>
                <c:pt idx="193">
                  <c:v>67.19116894813267</c:v>
                </c:pt>
                <c:pt idx="194">
                  <c:v>67.086815680664103</c:v>
                </c:pt>
                <c:pt idx="195">
                  <c:v>66.982330489637761</c:v>
                </c:pt>
                <c:pt idx="196">
                  <c:v>66.877716164053282</c:v>
                </c:pt>
                <c:pt idx="197">
                  <c:v>66.772975432197114</c:v>
                </c:pt>
                <c:pt idx="198">
                  <c:v>66.665813296454601</c:v>
                </c:pt>
                <c:pt idx="199">
                  <c:v>66.55852473164623</c:v>
                </c:pt>
                <c:pt idx="200">
                  <c:v>66.451112463603749</c:v>
                </c:pt>
                <c:pt idx="201">
                  <c:v>66.343579159076953</c:v>
                </c:pt>
                <c:pt idx="202">
                  <c:v>66.233619327439982</c:v>
                </c:pt>
                <c:pt idx="203">
                  <c:v>66.123538659160232</c:v>
                </c:pt>
                <c:pt idx="204">
                  <c:v>66.013339815738718</c:v>
                </c:pt>
                <c:pt idx="205">
                  <c:v>65.903025401273879</c:v>
                </c:pt>
                <c:pt idx="206">
                  <c:v>65.78989379883167</c:v>
                </c:pt>
                <c:pt idx="207">
                  <c:v>65.676646254115568</c:v>
                </c:pt>
                <c:pt idx="208">
                  <c:v>65.563285390045792</c:v>
                </c:pt>
                <c:pt idx="209">
                  <c:v>65.449813773097645</c:v>
                </c:pt>
                <c:pt idx="210">
                  <c:v>65.333131263713184</c:v>
                </c:pt>
                <c:pt idx="211">
                  <c:v>65.216337185714181</c:v>
                </c:pt>
                <c:pt idx="212">
                  <c:v>65.099434145765017</c:v>
                </c:pt>
                <c:pt idx="213">
                  <c:v>64.982424694423344</c:v>
                </c:pt>
                <c:pt idx="214">
                  <c:v>64.862975802457768</c:v>
                </c:pt>
                <c:pt idx="215">
                  <c:v>64.743421402323648</c:v>
                </c:pt>
                <c:pt idx="216">
                  <c:v>64.623764029750546</c:v>
                </c:pt>
                <c:pt idx="217">
                  <c:v>64.504006166276852</c:v>
                </c:pt>
                <c:pt idx="218">
                  <c:v>64.381416244824095</c:v>
                </c:pt>
                <c:pt idx="219">
                  <c:v>64.25872628166627</c:v>
                </c:pt>
                <c:pt idx="220">
                  <c:v>64.135938765739368</c:v>
                </c:pt>
                <c:pt idx="221">
                  <c:v>64.013056133031853</c:v>
                </c:pt>
                <c:pt idx="222">
                  <c:v>63.887338240372699</c:v>
                </c:pt>
                <c:pt idx="223">
                  <c:v>63.761525928126957</c:v>
                </c:pt>
                <c:pt idx="224">
                  <c:v>63.635621636690104</c:v>
                </c:pt>
                <c:pt idx="225">
                  <c:v>63.509627754816236</c:v>
                </c:pt>
                <c:pt idx="226">
                  <c:v>63.380403317605285</c:v>
                </c:pt>
                <c:pt idx="227">
                  <c:v>63.251089689683539</c:v>
                </c:pt>
                <c:pt idx="228">
                  <c:v>63.12168928328532</c:v>
                </c:pt>
                <c:pt idx="229">
                  <c:v>62.992204459753637</c:v>
                </c:pt>
                <c:pt idx="230">
                  <c:v>62.726683753479904</c:v>
                </c:pt>
                <c:pt idx="231">
                  <c:v>62.593800209220817</c:v>
                </c:pt>
                <c:pt idx="232">
                  <c:v>62.460837661986403</c:v>
                </c:pt>
                <c:pt idx="233">
                  <c:v>62.324639277905462</c:v>
                </c:pt>
                <c:pt idx="234">
                  <c:v>62.188362884316405</c:v>
                </c:pt>
                <c:pt idx="235">
                  <c:v>62.052010827976659</c:v>
                </c:pt>
                <c:pt idx="236">
                  <c:v>61.915585406556033</c:v>
                </c:pt>
                <c:pt idx="237">
                  <c:v>61.776318654394032</c:v>
                </c:pt>
                <c:pt idx="238">
                  <c:v>61.636980211734937</c:v>
                </c:pt>
                <c:pt idx="239">
                  <c:v>61.4975723696042</c:v>
                </c:pt>
                <c:pt idx="240">
                  <c:v>61.358097371497351</c:v>
                </c:pt>
                <c:pt idx="241">
                  <c:v>61.214988799183018</c:v>
                </c:pt>
                <c:pt idx="242">
                  <c:v>61.07181422482337</c:v>
                </c:pt>
                <c:pt idx="243">
                  <c:v>60.928575921155328</c:v>
                </c:pt>
                <c:pt idx="244">
                  <c:v>60.785276113921853</c:v>
                </c:pt>
                <c:pt idx="245">
                  <c:v>60.638739394016426</c:v>
                </c:pt>
                <c:pt idx="246">
                  <c:v>60.492142972224627</c:v>
                </c:pt>
                <c:pt idx="247">
                  <c:v>60.345489081618538</c:v>
                </c:pt>
                <c:pt idx="248">
                  <c:v>60.198779909410462</c:v>
                </c:pt>
                <c:pt idx="249">
                  <c:v>60.048437383589246</c:v>
                </c:pt>
                <c:pt idx="250">
                  <c:v>59.898041350892612</c:v>
                </c:pt>
                <c:pt idx="251">
                  <c:v>59.747594020937171</c:v>
                </c:pt>
                <c:pt idx="252">
                  <c:v>59.597097558179797</c:v>
                </c:pt>
                <c:pt idx="253">
                  <c:v>59.443367485055333</c:v>
                </c:pt>
                <c:pt idx="254">
                  <c:v>59.289590600596952</c:v>
                </c:pt>
                <c:pt idx="255">
                  <c:v>59.135769071718443</c:v>
                </c:pt>
                <c:pt idx="256">
                  <c:v>58.981905021404685</c:v>
                </c:pt>
                <c:pt idx="257">
                  <c:v>58.824012847882841</c:v>
                </c:pt>
                <c:pt idx="258">
                  <c:v>58.666080311155852</c:v>
                </c:pt>
                <c:pt idx="259">
                  <c:v>58.508109567153952</c:v>
                </c:pt>
                <c:pt idx="260">
                  <c:v>58.350102728259913</c:v>
                </c:pt>
                <c:pt idx="261">
                  <c:v>58.188469647226427</c:v>
                </c:pt>
                <c:pt idx="262">
                  <c:v>58.026803146818864</c:v>
                </c:pt>
                <c:pt idx="263">
                  <c:v>57.865105353009028</c:v>
                </c:pt>
                <c:pt idx="264">
                  <c:v>57.703378349117941</c:v>
                </c:pt>
                <c:pt idx="265">
                  <c:v>57.538029346636236</c:v>
                </c:pt>
                <c:pt idx="266">
                  <c:v>57.372654092257008</c:v>
                </c:pt>
                <c:pt idx="267">
                  <c:v>57.207254680509124</c:v>
                </c:pt>
                <c:pt idx="268">
                  <c:v>57.041833164208626</c:v>
                </c:pt>
                <c:pt idx="269">
                  <c:v>56.872395149484348</c:v>
                </c:pt>
                <c:pt idx="270">
                  <c:v>56.702938178565915</c:v>
                </c:pt>
                <c:pt idx="271">
                  <c:v>56.533464327846119</c:v>
                </c:pt>
                <c:pt idx="272">
                  <c:v>56.363975632589913</c:v>
                </c:pt>
                <c:pt idx="273">
                  <c:v>56.190476271008265</c:v>
                </c:pt>
                <c:pt idx="274">
                  <c:v>56.016965544240307</c:v>
                </c:pt>
                <c:pt idx="275">
                  <c:v>55.843445508199906</c:v>
                </c:pt>
                <c:pt idx="276">
                  <c:v>55.669918178318696</c:v>
                </c:pt>
                <c:pt idx="277">
                  <c:v>55.49278688493294</c:v>
                </c:pt>
                <c:pt idx="278">
                  <c:v>55.315652111086962</c:v>
                </c:pt>
                <c:pt idx="279">
                  <c:v>55.138515876593587</c:v>
                </c:pt>
                <c:pt idx="280">
                  <c:v>54.96138016182941</c:v>
                </c:pt>
                <c:pt idx="281">
                  <c:v>54.779448769056089</c:v>
                </c:pt>
                <c:pt idx="282">
                  <c:v>54.597522036068781</c:v>
                </c:pt>
                <c:pt idx="283">
                  <c:v>54.415601985461848</c:v>
                </c:pt>
                <c:pt idx="284">
                  <c:v>54.233690600423159</c:v>
                </c:pt>
                <c:pt idx="285">
                  <c:v>54.048191908501423</c:v>
                </c:pt>
                <c:pt idx="286">
                  <c:v>53.862706273268344</c:v>
                </c:pt>
                <c:pt idx="287">
                  <c:v>53.677235677914567</c:v>
                </c:pt>
                <c:pt idx="288">
                  <c:v>53.49178206733302</c:v>
                </c:pt>
                <c:pt idx="289">
                  <c:v>53.301551891104026</c:v>
                </c:pt>
                <c:pt idx="290">
                  <c:v>53.111343616644305</c:v>
                </c:pt>
                <c:pt idx="291">
                  <c:v>52.921159224518632</c:v>
                </c:pt>
                <c:pt idx="292">
                  <c:v>52.731000657141209</c:v>
                </c:pt>
                <c:pt idx="293">
                  <c:v>52.536476382693706</c:v>
                </c:pt>
                <c:pt idx="294">
                  <c:v>52.341983135756365</c:v>
                </c:pt>
                <c:pt idx="295">
                  <c:v>52.147522878907424</c:v>
                </c:pt>
                <c:pt idx="296">
                  <c:v>51.953097537096397</c:v>
                </c:pt>
                <c:pt idx="297">
                  <c:v>51.754318731927157</c:v>
                </c:pt>
                <c:pt idx="298">
                  <c:v>51.555580391826481</c:v>
                </c:pt>
                <c:pt idx="299">
                  <c:v>51.356884459274966</c:v>
                </c:pt>
                <c:pt idx="300">
                  <c:v>51.158232839677311</c:v>
                </c:pt>
                <c:pt idx="301">
                  <c:v>50.95524107054456</c:v>
                </c:pt>
                <c:pt idx="302">
                  <c:v>50.752299504096129</c:v>
                </c:pt>
                <c:pt idx="303">
                  <c:v>50.549410060762852</c:v>
                </c:pt>
                <c:pt idx="304">
                  <c:v>50.346574624472538</c:v>
                </c:pt>
                <c:pt idx="305">
                  <c:v>50.138616744904965</c:v>
                </c:pt>
                <c:pt idx="306">
                  <c:v>49.930719565844015</c:v>
                </c:pt>
                <c:pt idx="307">
                  <c:v>49.722885005602393</c:v>
                </c:pt>
                <c:pt idx="308">
                  <c:v>49.515114946025136</c:v>
                </c:pt>
                <c:pt idx="309">
                  <c:v>49.303035062219152</c:v>
                </c:pt>
                <c:pt idx="310">
                  <c:v>49.091026279112327</c:v>
                </c:pt>
                <c:pt idx="311">
                  <c:v>48.879090488131936</c:v>
                </c:pt>
                <c:pt idx="312">
                  <c:v>48.66722954486039</c:v>
                </c:pt>
                <c:pt idx="313">
                  <c:v>48.45028077270814</c:v>
                </c:pt>
                <c:pt idx="314">
                  <c:v>48.233414374263617</c:v>
                </c:pt>
                <c:pt idx="315">
                  <c:v>48.016632232890288</c:v>
                </c:pt>
                <c:pt idx="316">
                  <c:v>47.799936196209615</c:v>
                </c:pt>
                <c:pt idx="317">
                  <c:v>47.578171827044827</c:v>
                </c:pt>
                <c:pt idx="318">
                  <c:v>47.356501519947869</c:v>
                </c:pt>
                <c:pt idx="319">
                  <c:v>47.134927146820473</c:v>
                </c:pt>
                <c:pt idx="320">
                  <c:v>46.91345054396146</c:v>
                </c:pt>
                <c:pt idx="321">
                  <c:v>46.686926408857602</c:v>
                </c:pt>
                <c:pt idx="322">
                  <c:v>46.460508423947971</c:v>
                </c:pt>
                <c:pt idx="323">
                  <c:v>46.234198446348586</c:v>
                </c:pt>
                <c:pt idx="324">
                  <c:v>46.007998297736577</c:v>
                </c:pt>
                <c:pt idx="325">
                  <c:v>45.776772700438215</c:v>
                </c:pt>
                <c:pt idx="326">
                  <c:v>45.545665725329457</c:v>
                </c:pt>
                <c:pt idx="327">
                  <c:v>45.314679211463385</c:v>
                </c:pt>
                <c:pt idx="328">
                  <c:v>45.083814962635927</c:v>
                </c:pt>
                <c:pt idx="329">
                  <c:v>44.84755429427176</c:v>
                </c:pt>
                <c:pt idx="330">
                  <c:v>44.611425530794747</c:v>
                </c:pt>
                <c:pt idx="331">
                  <c:v>44.375430498984741</c:v>
                </c:pt>
                <c:pt idx="332">
                  <c:v>44.139570990327485</c:v>
                </c:pt>
                <c:pt idx="333">
                  <c:v>43.898734455416843</c:v>
                </c:pt>
                <c:pt idx="334">
                  <c:v>43.658043061482175</c:v>
                </c:pt>
                <c:pt idx="335">
                  <c:v>43.417498610186101</c:v>
                </c:pt>
                <c:pt idx="336">
                  <c:v>43.177102868108193</c:v>
                </c:pt>
                <c:pt idx="337">
                  <c:v>42.930971105614645</c:v>
                </c:pt>
                <c:pt idx="338">
                  <c:v>42.684999075739881</c:v>
                </c:pt>
                <c:pt idx="339">
                  <c:v>42.439188568671852</c:v>
                </c:pt>
                <c:pt idx="340">
                  <c:v>42.193541339283001</c:v>
                </c:pt>
                <c:pt idx="341">
                  <c:v>41.942188362134715</c:v>
                </c:pt>
                <c:pt idx="342">
                  <c:v>41.691010182023234</c:v>
                </c:pt>
                <c:pt idx="343">
                  <c:v>41.440008572722689</c:v>
                </c:pt>
                <c:pt idx="344">
                  <c:v>41.189185272485133</c:v>
                </c:pt>
                <c:pt idx="345">
                  <c:v>40.93307826148552</c:v>
                </c:pt>
                <c:pt idx="346">
                  <c:v>40.677160980255394</c:v>
                </c:pt>
                <c:pt idx="347">
                  <c:v>40.421435173243481</c:v>
                </c:pt>
                <c:pt idx="348">
                  <c:v>40.165902549403711</c:v>
                </c:pt>
                <c:pt idx="349">
                  <c:v>39.904339480711712</c:v>
                </c:pt>
                <c:pt idx="350">
                  <c:v>39.642982653142496</c:v>
                </c:pt>
                <c:pt idx="351">
                  <c:v>39.381833792768646</c:v>
                </c:pt>
                <c:pt idx="352">
                  <c:v>39.120894589776668</c:v>
                </c:pt>
                <c:pt idx="353">
                  <c:v>38.853961481211542</c:v>
                </c:pt>
                <c:pt idx="354">
                  <c:v>38.587251605965946</c:v>
                </c:pt>
                <c:pt idx="355">
                  <c:v>38.320766665766172</c:v>
                </c:pt>
                <c:pt idx="356">
                  <c:v>38.054508326085084</c:v>
                </c:pt>
                <c:pt idx="357">
                  <c:v>37.782680696089443</c:v>
                </c:pt>
                <c:pt idx="358">
                  <c:v>37.511093058241755</c:v>
                </c:pt>
                <c:pt idx="359">
                  <c:v>37.239747076796192</c:v>
                </c:pt>
                <c:pt idx="360">
                  <c:v>36.968644379612016</c:v>
                </c:pt>
                <c:pt idx="361">
                  <c:v>36.691239699749161</c:v>
                </c:pt>
                <c:pt idx="362">
                  <c:v>36.414093555155375</c:v>
                </c:pt>
                <c:pt idx="363">
                  <c:v>36.137207580667223</c:v>
                </c:pt>
                <c:pt idx="364">
                  <c:v>35.860583374188565</c:v>
                </c:pt>
                <c:pt idx="365">
                  <c:v>35.578084147258664</c:v>
                </c:pt>
                <c:pt idx="366">
                  <c:v>35.295861713299047</c:v>
                </c:pt>
                <c:pt idx="367">
                  <c:v>35.013917664137722</c:v>
                </c:pt>
                <c:pt idx="368">
                  <c:v>34.732253554357953</c:v>
                </c:pt>
                <c:pt idx="369">
                  <c:v>34.443992799579547</c:v>
                </c:pt>
                <c:pt idx="370">
                  <c:v>34.156029030590474</c:v>
                </c:pt>
                <c:pt idx="371">
                  <c:v>33.868363801922271</c:v>
                </c:pt>
                <c:pt idx="372">
                  <c:v>33.580998630170598</c:v>
                </c:pt>
                <c:pt idx="373">
                  <c:v>33.287466224895496</c:v>
                </c:pt>
                <c:pt idx="374">
                  <c:v>32.994250648455164</c:v>
                </c:pt>
                <c:pt idx="375">
                  <c:v>32.701353403973798</c:v>
                </c:pt>
                <c:pt idx="376">
                  <c:v>32.408775956181103</c:v>
                </c:pt>
                <c:pt idx="377">
                  <c:v>32.10932163584792</c:v>
                </c:pt>
                <c:pt idx="378">
                  <c:v>31.81020606115473</c:v>
                </c:pt>
                <c:pt idx="379">
                  <c:v>31.511430687066934</c:v>
                </c:pt>
                <c:pt idx="380">
                  <c:v>31.212996929332121</c:v>
                </c:pt>
                <c:pt idx="381">
                  <c:v>30.908495333673329</c:v>
                </c:pt>
                <c:pt idx="382">
                  <c:v>30.604353079479466</c:v>
                </c:pt>
                <c:pt idx="383">
                  <c:v>30.300571553805668</c:v>
                </c:pt>
                <c:pt idx="384">
                  <c:v>29.997152104101019</c:v>
                </c:pt>
                <c:pt idx="385">
                  <c:v>29.686589981257754</c:v>
                </c:pt>
                <c:pt idx="386">
                  <c:v>29.376410844335766</c:v>
                </c:pt>
                <c:pt idx="387">
                  <c:v>29.066616018758481</c:v>
                </c:pt>
                <c:pt idx="388">
                  <c:v>28.757206789409963</c:v>
                </c:pt>
                <c:pt idx="389">
                  <c:v>28.441089288944113</c:v>
                </c:pt>
                <c:pt idx="390">
                  <c:v>28.125377899474074</c:v>
                </c:pt>
                <c:pt idx="391">
                  <c:v>27.810073869601467</c:v>
                </c:pt>
                <c:pt idx="392">
                  <c:v>27.495178406705435</c:v>
                </c:pt>
                <c:pt idx="393">
                  <c:v>27.173634472595268</c:v>
                </c:pt>
                <c:pt idx="394">
                  <c:v>26.85252008737524</c:v>
                </c:pt>
                <c:pt idx="395">
                  <c:v>26.531836412790739</c:v>
                </c:pt>
                <c:pt idx="396">
                  <c:v>26.211584568742467</c:v>
                </c:pt>
                <c:pt idx="397">
                  <c:v>25.884006635067465</c:v>
                </c:pt>
                <c:pt idx="398">
                  <c:v>25.556884001052822</c:v>
                </c:pt>
                <c:pt idx="399">
                  <c:v>25.23021773856442</c:v>
                </c:pt>
                <c:pt idx="400">
                  <c:v>24.90400887668298</c:v>
                </c:pt>
                <c:pt idx="401">
                  <c:v>24.570910416544876</c:v>
                </c:pt>
                <c:pt idx="402">
                  <c:v>24.238292283060758</c:v>
                </c:pt>
                <c:pt idx="403">
                  <c:v>23.906155442824542</c:v>
                </c:pt>
                <c:pt idx="404">
                  <c:v>23.574500818980908</c:v>
                </c:pt>
                <c:pt idx="405">
                  <c:v>23.235658866165295</c:v>
                </c:pt>
                <c:pt idx="406">
                  <c:v>22.897323562606431</c:v>
                </c:pt>
                <c:pt idx="407">
                  <c:v>22.55949576103643</c:v>
                </c:pt>
                <c:pt idx="408">
                  <c:v>22.222176269971271</c:v>
                </c:pt>
                <c:pt idx="409">
                  <c:v>21.877378701512413</c:v>
                </c:pt>
                <c:pt idx="410">
                  <c:v>21.533115433113409</c:v>
                </c:pt>
                <c:pt idx="411">
                  <c:v>21.18938719350021</c:v>
                </c:pt>
                <c:pt idx="412">
                  <c:v>20.846194666332366</c:v>
                </c:pt>
                <c:pt idx="413">
                  <c:v>20.495601299670824</c:v>
                </c:pt>
                <c:pt idx="414">
                  <c:v>20.145570078601509</c:v>
                </c:pt>
                <c:pt idx="415">
                  <c:v>19.796101594358305</c:v>
                </c:pt>
                <c:pt idx="416">
                  <c:v>19.447196392376128</c:v>
                </c:pt>
                <c:pt idx="417">
                  <c:v>19.09061067669748</c:v>
                </c:pt>
                <c:pt idx="418">
                  <c:v>18.734616257530035</c:v>
                </c:pt>
                <c:pt idx="419">
                  <c:v>18.379213576439753</c:v>
                </c:pt>
                <c:pt idx="420">
                  <c:v>18.024403028406596</c:v>
                </c:pt>
                <c:pt idx="421">
                  <c:v>17.662351830416895</c:v>
                </c:pt>
                <c:pt idx="422">
                  <c:v>17.300919956015406</c:v>
                </c:pt>
                <c:pt idx="423">
                  <c:v>16.940107681834377</c:v>
                </c:pt>
                <c:pt idx="424">
                  <c:v>16.579915237462927</c:v>
                </c:pt>
                <c:pt idx="425">
                  <c:v>16.211502876620216</c:v>
                </c:pt>
                <c:pt idx="426">
                  <c:v>15.843741564816185</c:v>
                </c:pt>
                <c:pt idx="427">
                  <c:v>15.476631401290859</c:v>
                </c:pt>
                <c:pt idx="428">
                  <c:v>15.110172437393828</c:v>
                </c:pt>
                <c:pt idx="429">
                  <c:v>14.735938748736231</c:v>
                </c:pt>
                <c:pt idx="430">
                  <c:v>14.362386591662812</c:v>
                </c:pt>
                <c:pt idx="431">
                  <c:v>13.989515871703503</c:v>
                </c:pt>
                <c:pt idx="432">
                  <c:v>13.617326446015795</c:v>
                </c:pt>
                <c:pt idx="433">
                  <c:v>13.237453951459827</c:v>
                </c:pt>
                <c:pt idx="434">
                  <c:v>12.858293350734357</c:v>
                </c:pt>
                <c:pt idx="435">
                  <c:v>12.479844340579234</c:v>
                </c:pt>
                <c:pt idx="436">
                  <c:v>12.102106569074436</c:v>
                </c:pt>
                <c:pt idx="437">
                  <c:v>11.716086760056299</c:v>
                </c:pt>
                <c:pt idx="438">
                  <c:v>11.330811658313195</c:v>
                </c:pt>
                <c:pt idx="439">
                  <c:v>10.946280734139947</c:v>
                </c:pt>
                <c:pt idx="440">
                  <c:v>10.56249340873353</c:v>
                </c:pt>
                <c:pt idx="441">
                  <c:v>10.170525938409639</c:v>
                </c:pt>
                <c:pt idx="442">
                  <c:v>9.7793357709383031</c:v>
                </c:pt>
                <c:pt idx="443">
                  <c:v>9.3889221332291584</c:v>
                </c:pt>
                <c:pt idx="444">
                  <c:v>8.9992842028918858</c:v>
                </c:pt>
                <c:pt idx="445">
                  <c:v>8.6015690969269372</c:v>
                </c:pt>
                <c:pt idx="446">
                  <c:v>8.204663559858659</c:v>
                </c:pt>
                <c:pt idx="447">
                  <c:v>7.808566558799356</c:v>
                </c:pt>
                <c:pt idx="448">
                  <c:v>7.4132770116016218</c:v>
                </c:pt>
                <c:pt idx="449">
                  <c:v>7.0093387904175586</c:v>
                </c:pt>
                <c:pt idx="450">
                  <c:v>6.606244784575523</c:v>
                </c:pt>
                <c:pt idx="451">
                  <c:v>6.2039936788937098</c:v>
                </c:pt>
                <c:pt idx="452">
                  <c:v>5.8025841088939671</c:v>
                </c:pt>
                <c:pt idx="453">
                  <c:v>5.3929738329933912</c:v>
                </c:pt>
                <c:pt idx="454">
                  <c:v>4.9842405112580934</c:v>
                </c:pt>
                <c:pt idx="455">
                  <c:v>4.5763825322444802</c:v>
                </c:pt>
                <c:pt idx="456">
                  <c:v>4.169398235619866</c:v>
                </c:pt>
                <c:pt idx="457">
                  <c:v>3.7536588011540459</c:v>
                </c:pt>
                <c:pt idx="458">
                  <c:v>3.3388313356154526</c:v>
                </c:pt>
                <c:pt idx="459">
                  <c:v>2.9249139062128506</c:v>
                </c:pt>
                <c:pt idx="460">
                  <c:v>2.5119045316404538</c:v>
                </c:pt>
                <c:pt idx="461">
                  <c:v>2.0902587566032196</c:v>
                </c:pt>
                <c:pt idx="462">
                  <c:v>1.6695592776838168</c:v>
                </c:pt>
                <c:pt idx="463">
                  <c:v>1.2498038229013559</c:v>
                </c:pt>
                <c:pt idx="464">
                  <c:v>0.83099007243947653</c:v>
                </c:pt>
                <c:pt idx="465">
                  <c:v>0.4033329748247354</c:v>
                </c:pt>
                <c:pt idx="466">
                  <c:v>-2.3342823380460231E-2</c:v>
                </c:pt>
                <c:pt idx="467">
                  <c:v>-0.44903995631861449</c:v>
                </c:pt>
                <c:pt idx="468">
                  <c:v>-0.873761105124089</c:v>
                </c:pt>
                <c:pt idx="469">
                  <c:v>-1.3072017692195743</c:v>
                </c:pt>
                <c:pt idx="470">
                  <c:v>-1.7396270555977935</c:v>
                </c:pt>
                <c:pt idx="471">
                  <c:v>-2.1710399779751697</c:v>
                </c:pt>
                <c:pt idx="472">
                  <c:v>-2.6014435958937554</c:v>
                </c:pt>
                <c:pt idx="473">
                  <c:v>-3.0410830046970148</c:v>
                </c:pt>
                <c:pt idx="474">
                  <c:v>-3.4796709607397815</c:v>
                </c:pt>
                <c:pt idx="475">
                  <c:v>-3.9172108886744184</c:v>
                </c:pt>
                <c:pt idx="476">
                  <c:v>-4.3537062577596828</c:v>
                </c:pt>
                <c:pt idx="477">
                  <c:v>-4.7993045544188249</c:v>
                </c:pt>
                <c:pt idx="478">
                  <c:v>-5.243816486093408</c:v>
                </c:pt>
                <c:pt idx="479">
                  <c:v>-5.6872459067090233</c:v>
                </c:pt>
                <c:pt idx="480">
                  <c:v>-6.1295967132403462</c:v>
                </c:pt>
                <c:pt idx="481">
                  <c:v>-6.5809179249981753</c:v>
                </c:pt>
                <c:pt idx="482">
                  <c:v>-7.0311191728462461</c:v>
                </c:pt>
                <c:pt idx="483">
                  <c:v>-7.4802047571048718</c:v>
                </c:pt>
                <c:pt idx="484">
                  <c:v>-7.9281790192602841</c:v>
                </c:pt>
                <c:pt idx="485">
                  <c:v>-8.3853025992975176</c:v>
                </c:pt>
                <c:pt idx="486">
                  <c:v>-8.8412725097777525</c:v>
                </c:pt>
                <c:pt idx="487">
                  <c:v>-9.2960935230807138</c:v>
                </c:pt>
                <c:pt idx="488">
                  <c:v>-9.7497704506689047</c:v>
                </c:pt>
                <c:pt idx="489">
                  <c:v>-10.213076328524465</c:v>
                </c:pt>
                <c:pt idx="490">
                  <c:v>-10.675193280398076</c:v>
                </c:pt>
                <c:pt idx="491">
                  <c:v>-11.136126588097852</c:v>
                </c:pt>
                <c:pt idx="492">
                  <c:v>-11.595881570325929</c:v>
                </c:pt>
                <c:pt idx="493">
                  <c:v>-12.065121447391533</c:v>
                </c:pt>
                <c:pt idx="494">
                  <c:v>-12.533138898651544</c:v>
                </c:pt>
                <c:pt idx="495">
                  <c:v>-12.99993973362362</c:v>
                </c:pt>
                <c:pt idx="496">
                  <c:v>-13.465529796217197</c:v>
                </c:pt>
                <c:pt idx="497">
                  <c:v>-13.940763399886265</c:v>
                </c:pt>
                <c:pt idx="498">
                  <c:v>-14.414741412768365</c:v>
                </c:pt>
                <c:pt idx="499">
                  <c:v>-14.887470201263739</c:v>
                </c:pt>
                <c:pt idx="500">
                  <c:v>-15.358956163462267</c:v>
                </c:pt>
                <c:pt idx="501">
                  <c:v>-15.840238048721659</c:v>
                </c:pt>
                <c:pt idx="502">
                  <c:v>-16.320231686245819</c:v>
                </c:pt>
                <c:pt idx="503">
                  <c:v>-16.798944029761401</c:v>
                </c:pt>
                <c:pt idx="504">
                  <c:v>-17.276382061795005</c:v>
                </c:pt>
                <c:pt idx="505">
                  <c:v>-17.763467447075158</c:v>
                </c:pt>
                <c:pt idx="506">
                  <c:v>-18.249234218877319</c:v>
                </c:pt>
                <c:pt idx="507">
                  <c:v>-18.733689936278495</c:v>
                </c:pt>
                <c:pt idx="508">
                  <c:v>-19.216842184030128</c:v>
                </c:pt>
                <c:pt idx="509">
                  <c:v>-19.709787384995394</c:v>
                </c:pt>
                <c:pt idx="510">
                  <c:v>-20.201384485221467</c:v>
                </c:pt>
                <c:pt idx="511">
                  <c:v>-20.691641680713275</c:v>
                </c:pt>
                <c:pt idx="512">
                  <c:v>-21.180567189896522</c:v>
                </c:pt>
                <c:pt idx="513">
                  <c:v>-21.679714658331562</c:v>
                </c:pt>
                <c:pt idx="514">
                  <c:v>-22.177484037412398</c:v>
                </c:pt>
                <c:pt idx="515">
                  <c:v>-22.673884208717311</c:v>
                </c:pt>
                <c:pt idx="516">
                  <c:v>-23.168924072931731</c:v>
                </c:pt>
                <c:pt idx="517">
                  <c:v>-23.674031198558737</c:v>
                </c:pt>
                <c:pt idx="518">
                  <c:v>-24.177733180921081</c:v>
                </c:pt>
                <c:pt idx="519">
                  <c:v>-24.680039607644716</c:v>
                </c:pt>
                <c:pt idx="520">
                  <c:v>-25.180960082032698</c:v>
                </c:pt>
                <c:pt idx="521">
                  <c:v>-25.692078967991336</c:v>
                </c:pt>
                <c:pt idx="522">
                  <c:v>-26.201767225171636</c:v>
                </c:pt>
                <c:pt idx="523">
                  <c:v>-26.710035184334998</c:v>
                </c:pt>
                <c:pt idx="524">
                  <c:v>-27.216893188467651</c:v>
                </c:pt>
                <c:pt idx="525">
                  <c:v>-27.734076884092758</c:v>
                </c:pt>
                <c:pt idx="526">
                  <c:v>-28.249806301291244</c:v>
                </c:pt>
                <c:pt idx="527">
                  <c:v>-28.764092553396154</c:v>
                </c:pt>
                <c:pt idx="528">
                  <c:v>-29.276946762548619</c:v>
                </c:pt>
                <c:pt idx="529">
                  <c:v>-29.800250619352653</c:v>
                </c:pt>
                <c:pt idx="530">
                  <c:v>-30.322078673844914</c:v>
                </c:pt>
                <c:pt idx="531">
                  <c:v>-30.84244286406232</c:v>
                </c:pt>
                <c:pt idx="532">
                  <c:v>-31.361355133532186</c:v>
                </c:pt>
                <c:pt idx="533">
                  <c:v>-31.891111249427439</c:v>
                </c:pt>
                <c:pt idx="534">
                  <c:v>-32.419370942156803</c:v>
                </c:pt>
                <c:pt idx="535">
                  <c:v>-32.946147039551335</c:v>
                </c:pt>
                <c:pt idx="536">
                  <c:v>-33.471452371787734</c:v>
                </c:pt>
                <c:pt idx="537">
                  <c:v>-34.007176281163481</c:v>
                </c:pt>
                <c:pt idx="538">
                  <c:v>-34.541389030904298</c:v>
                </c:pt>
                <c:pt idx="539">
                  <c:v>-35.074104347765171</c:v>
                </c:pt>
                <c:pt idx="540">
                  <c:v>-35.605335957949507</c:v>
                </c:pt>
                <c:pt idx="541">
                  <c:v>-36.147642316799249</c:v>
                </c:pt>
                <c:pt idx="542">
                  <c:v>-36.688422873588877</c:v>
                </c:pt>
                <c:pt idx="543">
                  <c:v>-37.227692348574635</c:v>
                </c:pt>
                <c:pt idx="544">
                  <c:v>-37.765465458918044</c:v>
                </c:pt>
                <c:pt idx="545">
                  <c:v>-38.314162197540981</c:v>
                </c:pt>
                <c:pt idx="546">
                  <c:v>-38.861323603373563</c:v>
                </c:pt>
                <c:pt idx="547">
                  <c:v>-39.406965427195729</c:v>
                </c:pt>
                <c:pt idx="548">
                  <c:v>-39.951103414618728</c:v>
                </c:pt>
                <c:pt idx="549">
                  <c:v>-40.506282648397189</c:v>
                </c:pt>
                <c:pt idx="550">
                  <c:v>-41.059921027832672</c:v>
                </c:pt>
                <c:pt idx="551">
                  <c:v>-41.612035397611834</c:v>
                </c:pt>
                <c:pt idx="552">
                  <c:v>-42.162642595771615</c:v>
                </c:pt>
                <c:pt idx="553">
                  <c:v>-42.724668115419519</c:v>
                </c:pt>
                <c:pt idx="554">
                  <c:v>-43.285150342891995</c:v>
                </c:pt>
                <c:pt idx="555">
                  <c:v>-43.844107311475511</c:v>
                </c:pt>
                <c:pt idx="556">
                  <c:v>-44.401557047051483</c:v>
                </c:pt>
                <c:pt idx="557">
                  <c:v>-45.537986654024536</c:v>
                </c:pt>
                <c:pt idx="558">
                  <c:v>-46.668331074530812</c:v>
                </c:pt>
                <c:pt idx="559">
                  <c:v>-47.818449399374884</c:v>
                </c:pt>
                <c:pt idx="560">
                  <c:v>-48.96252693272703</c:v>
                </c:pt>
                <c:pt idx="561">
                  <c:v>-50.127663429537733</c:v>
                </c:pt>
                <c:pt idx="562">
                  <c:v>-51.286818904336542</c:v>
                </c:pt>
                <c:pt idx="563">
                  <c:v>-52.464857941906502</c:v>
                </c:pt>
                <c:pt idx="564">
                  <c:v>-53.63702951146405</c:v>
                </c:pt>
                <c:pt idx="565">
                  <c:v>-54.832857724004583</c:v>
                </c:pt>
                <c:pt idx="566">
                  <c:v>-56.022920154306917</c:v>
                </c:pt>
                <c:pt idx="567">
                  <c:v>-57.236478760127852</c:v>
                </c:pt>
                <c:pt idx="568">
                  <c:v>-58.444416701383886</c:v>
                </c:pt>
                <c:pt idx="569">
                  <c:v>-59.670950138202983</c:v>
                </c:pt>
                <c:pt idx="570">
                  <c:v>-60.892096460929508</c:v>
                </c:pt>
                <c:pt idx="571">
                  <c:v>-62.141398540571515</c:v>
                </c:pt>
                <c:pt idx="572">
                  <c:v>-63.38551320547694</c:v>
                </c:pt>
                <c:pt idx="573">
                  <c:v>-64.648296658523549</c:v>
                </c:pt>
                <c:pt idx="574">
                  <c:v>-65.906226207116902</c:v>
                </c:pt>
                <c:pt idx="575">
                  <c:v>-67.192372371982771</c:v>
                </c:pt>
                <c:pt idx="576">
                  <c:v>-68.473984958453769</c:v>
                </c:pt>
                <c:pt idx="577">
                  <c:v>-73.856370917088668</c:v>
                </c:pt>
                <c:pt idx="578">
                  <c:v>-79.185461034587092</c:v>
                </c:pt>
                <c:pt idx="579">
                  <c:v>-90.791683384284681</c:v>
                </c:pt>
                <c:pt idx="580">
                  <c:v>-103.6717091697829</c:v>
                </c:pt>
                <c:pt idx="581">
                  <c:v>-118.3795112482025</c:v>
                </c:pt>
                <c:pt idx="582">
                  <c:v>-135.76746857920631</c:v>
                </c:pt>
                <c:pt idx="583">
                  <c:v>-156.78807023210828</c:v>
                </c:pt>
                <c:pt idx="584">
                  <c:v>-181.69027389282564</c:v>
                </c:pt>
                <c:pt idx="585">
                  <c:v>-28.514769420025601</c:v>
                </c:pt>
                <c:pt idx="586">
                  <c:v>-53.858298333973323</c:v>
                </c:pt>
                <c:pt idx="587">
                  <c:v>-76.069487119930727</c:v>
                </c:pt>
                <c:pt idx="588">
                  <c:v>-95.97465472094234</c:v>
                </c:pt>
                <c:pt idx="589">
                  <c:v>-115.84176836529099</c:v>
                </c:pt>
                <c:pt idx="590">
                  <c:v>-139.37922051696654</c:v>
                </c:pt>
                <c:pt idx="591">
                  <c:v>-172.97330796732615</c:v>
                </c:pt>
                <c:pt idx="592">
                  <c:v>-38.670147233394459</c:v>
                </c:pt>
                <c:pt idx="593">
                  <c:v>-79.202675316993975</c:v>
                </c:pt>
                <c:pt idx="594">
                  <c:v>-110.10703890247487</c:v>
                </c:pt>
                <c:pt idx="595">
                  <c:v>-143.98164690375432</c:v>
                </c:pt>
                <c:pt idx="596">
                  <c:v>-20.716496879550391</c:v>
                </c:pt>
                <c:pt idx="597">
                  <c:v>-81.089461185898756</c:v>
                </c:pt>
                <c:pt idx="598">
                  <c:v>-123.54148974879428</c:v>
                </c:pt>
                <c:pt idx="599">
                  <c:v>-187.76147508965335</c:v>
                </c:pt>
                <c:pt idx="600">
                  <c:v>-86.105900234137778</c:v>
                </c:pt>
              </c:numCache>
            </c:numRef>
          </c:yVal>
          <c:smooth val="0"/>
          <c:extLst>
            <c:ext xmlns:c16="http://schemas.microsoft.com/office/drawing/2014/chart" uri="{C3380CC4-5D6E-409C-BE32-E72D297353CC}">
              <c16:uniqueId val="{00000001-52E8-40C0-BDC9-E7AD10D908CE}"/>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347.14788855013677</c:v>
                </c:pt>
                <c:pt idx="27">
                  <c:v>335.1003438852216</c:v>
                </c:pt>
                <c:pt idx="28">
                  <c:v>323.86334662373991</c:v>
                </c:pt>
                <c:pt idx="29">
                  <c:v>313.29961134764125</c:v>
                </c:pt>
                <c:pt idx="30">
                  <c:v>303.43859780800199</c:v>
                </c:pt>
                <c:pt idx="31">
                  <c:v>294.1761303112994</c:v>
                </c:pt>
                <c:pt idx="32">
                  <c:v>285.45931792670194</c:v>
                </c:pt>
                <c:pt idx="33">
                  <c:v>277.24132307532017</c:v>
                </c:pt>
                <c:pt idx="34">
                  <c:v>269.48051961440848</c:v>
                </c:pt>
                <c:pt idx="35">
                  <c:v>262.1397876336228</c:v>
                </c:pt>
                <c:pt idx="36">
                  <c:v>255.18591974629152</c:v>
                </c:pt>
                <c:pt idx="37">
                  <c:v>248.5891188380339</c:v>
                </c:pt>
                <c:pt idx="38">
                  <c:v>242.32257124761821</c:v>
                </c:pt>
                <c:pt idx="39">
                  <c:v>236.36208248562281</c:v>
                </c:pt>
                <c:pt idx="40">
                  <c:v>230.68576505548404</c:v>
                </c:pt>
                <c:pt idx="41">
                  <c:v>225.27376988524802</c:v>
                </c:pt>
                <c:pt idx="42">
                  <c:v>220.10805442404748</c:v>
                </c:pt>
                <c:pt idx="43">
                  <c:v>215.17218169354268</c:v>
                </c:pt>
                <c:pt idx="44">
                  <c:v>210.45114557864835</c:v>
                </c:pt>
                <c:pt idx="45">
                  <c:v>205.93121844539596</c:v>
                </c:pt>
                <c:pt idx="46">
                  <c:v>201.59981782648484</c:v>
                </c:pt>
                <c:pt idx="47">
                  <c:v>197.44538944777864</c:v>
                </c:pt>
                <c:pt idx="48">
                  <c:v>193.45730430571598</c:v>
                </c:pt>
                <c:pt idx="49">
                  <c:v>189.62576786518207</c:v>
                </c:pt>
                <c:pt idx="50">
                  <c:v>185.94173974466503</c:v>
                </c:pt>
                <c:pt idx="51">
                  <c:v>182.39686250227214</c:v>
                </c:pt>
                <c:pt idx="52">
                  <c:v>178.98339834176863</c:v>
                </c:pt>
                <c:pt idx="53">
                  <c:v>175.69417272971563</c:v>
                </c:pt>
                <c:pt idx="54">
                  <c:v>172.52252405904528</c:v>
                </c:pt>
                <c:pt idx="55">
                  <c:v>169.46225861587561</c:v>
                </c:pt>
                <c:pt idx="56">
                  <c:v>166.50761020896243</c:v>
                </c:pt>
                <c:pt idx="57">
                  <c:v>163.65320390812656</c:v>
                </c:pt>
                <c:pt idx="58">
                  <c:v>160.89402341187102</c:v>
                </c:pt>
                <c:pt idx="59">
                  <c:v>158.22538162738496</c:v>
                </c:pt>
                <c:pt idx="60">
                  <c:v>155.64289409994927</c:v>
                </c:pt>
                <c:pt idx="61">
                  <c:v>153.14245497489114</c:v>
                </c:pt>
                <c:pt idx="62">
                  <c:v>150.72021521487466</c:v>
                </c:pt>
                <c:pt idx="63">
                  <c:v>148.37256282945648</c:v>
                </c:pt>
                <c:pt idx="64">
                  <c:v>146.0961049033213</c:v>
                </c:pt>
                <c:pt idx="65">
                  <c:v>143.88765123513599</c:v>
                </c:pt>
                <c:pt idx="66">
                  <c:v>141.74419942110052</c:v>
                </c:pt>
                <c:pt idx="67">
                  <c:v>139.6629212365246</c:v>
                </c:pt>
                <c:pt idx="68">
                  <c:v>137.64115018553619</c:v>
                </c:pt>
                <c:pt idx="69">
                  <c:v>135.67637010367076</c:v>
                </c:pt>
                <c:pt idx="70">
                  <c:v>133.76620471090754</c:v>
                </c:pt>
                <c:pt idx="71">
                  <c:v>131.90840802395132</c:v>
                </c:pt>
                <c:pt idx="72">
                  <c:v>130.10085554642345</c:v>
                </c:pt>
                <c:pt idx="73">
                  <c:v>128.3415361643107</c:v>
                </c:pt>
                <c:pt idx="74">
                  <c:v>126.62854468166898</c:v>
                </c:pt>
                <c:pt idx="75">
                  <c:v>124.96007493834024</c:v>
                </c:pt>
                <c:pt idx="76">
                  <c:v>123.33441345741669</c:v>
                </c:pt>
                <c:pt idx="77">
                  <c:v>121.74993357548257</c:v>
                </c:pt>
                <c:pt idx="78">
                  <c:v>120.20509001336437</c:v>
                </c:pt>
                <c:pt idx="79">
                  <c:v>118.698413849297</c:v>
                </c:pt>
                <c:pt idx="80">
                  <c:v>117.22850786013221</c:v>
                </c:pt>
                <c:pt idx="81">
                  <c:v>115.79404219953101</c:v>
                </c:pt>
                <c:pt idx="82">
                  <c:v>114.39375038504146</c:v>
                </c:pt>
                <c:pt idx="83">
                  <c:v>113.02642556860812</c:v>
                </c:pt>
                <c:pt idx="84">
                  <c:v>111.69091706743147</c:v>
                </c:pt>
                <c:pt idx="85">
                  <c:v>110.38612713421597</c:v>
                </c:pt>
                <c:pt idx="86">
                  <c:v>109.11100794775406</c:v>
                </c:pt>
                <c:pt idx="87">
                  <c:v>107.86455880650688</c:v>
                </c:pt>
                <c:pt idx="88">
                  <c:v>106.64582350938406</c:v>
                </c:pt>
                <c:pt idx="89">
                  <c:v>105.45388790931433</c:v>
                </c:pt>
                <c:pt idx="90">
                  <c:v>104.28787762645337</c:v>
                </c:pt>
                <c:pt idx="91">
                  <c:v>103.1469559090059</c:v>
                </c:pt>
                <c:pt idx="92">
                  <c:v>102.03032163066443</c:v>
                </c:pt>
                <c:pt idx="93">
                  <c:v>100.93720741459215</c:v>
                </c:pt>
                <c:pt idx="94">
                  <c:v>99.86687787471817</c:v>
                </c:pt>
                <c:pt idx="95">
                  <c:v>98.818627965875251</c:v>
                </c:pt>
                <c:pt idx="96">
                  <c:v>97.791781435000829</c:v>
                </c:pt>
                <c:pt idx="97">
                  <c:v>96.785689366252996</c:v>
                </c:pt>
                <c:pt idx="98">
                  <c:v>95.799728813462337</c:v>
                </c:pt>
                <c:pt idx="99">
                  <c:v>94.833301513865763</c:v>
                </c:pt>
                <c:pt idx="100">
                  <c:v>93.88583267753917</c:v>
                </c:pt>
              </c:numCache>
            </c:numRef>
          </c:val>
          <c:smooth val="0"/>
          <c:extLst>
            <c:ext xmlns:c16="http://schemas.microsoft.com/office/drawing/2014/chart" uri="{C3380CC4-5D6E-409C-BE32-E72D297353CC}">
              <c16:uniqueId val="{00000000-D9E7-4F5E-A983-604758A0F86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346.27774466560868</c:v>
                </c:pt>
                <c:pt idx="66">
                  <c:v>341.38499735288116</c:v>
                </c:pt>
                <c:pt idx="67">
                  <c:v>336.62578565172737</c:v>
                </c:pt>
                <c:pt idx="68">
                  <c:v>331.99721342237262</c:v>
                </c:pt>
                <c:pt idx="69">
                  <c:v>327.49397254915118</c:v>
                </c:pt>
                <c:pt idx="70">
                  <c:v>323.11434725595433</c:v>
                </c:pt>
                <c:pt idx="71">
                  <c:v>318.84265711211765</c:v>
                </c:pt>
                <c:pt idx="72">
                  <c:v>314.68591287330526</c:v>
                </c:pt>
                <c:pt idx="73">
                  <c:v>310.63596348533287</c:v>
                </c:pt>
                <c:pt idx="74">
                  <c:v>306.68874546416623</c:v>
                </c:pt>
                <c:pt idx="75">
                  <c:v>302.84039889491436</c:v>
                </c:pt>
                <c:pt idx="76">
                  <c:v>299.08725484170844</c:v>
                </c:pt>
                <c:pt idx="77">
                  <c:v>295.42582368055702</c:v>
                </c:pt>
                <c:pt idx="78">
                  <c:v>291.85278427718907</c:v>
                </c:pt>
                <c:pt idx="79">
                  <c:v>288.36497393933831</c:v>
                </c:pt>
                <c:pt idx="80">
                  <c:v>284.95937907957722</c:v>
                </c:pt>
                <c:pt idx="81">
                  <c:v>281.6331265307569</c:v>
                </c:pt>
                <c:pt idx="82">
                  <c:v>278.38347546145405</c:v>
                </c:pt>
                <c:pt idx="83">
                  <c:v>275.20780984361085</c:v>
                </c:pt>
                <c:pt idx="84">
                  <c:v>272.10363142886132</c:v>
                </c:pt>
                <c:pt idx="85">
                  <c:v>269.06855319391104</c:v>
                </c:pt>
                <c:pt idx="86">
                  <c:v>266.10029321883007</c:v>
                </c:pt>
                <c:pt idx="87">
                  <c:v>263.19666896525888</c:v>
                </c:pt>
                <c:pt idx="88">
                  <c:v>260.35559192438257</c:v>
                </c:pt>
                <c:pt idx="89">
                  <c:v>257.57506260708681</c:v>
                </c:pt>
                <c:pt idx="90">
                  <c:v>254.85316585104383</c:v>
                </c:pt>
                <c:pt idx="91">
                  <c:v>252.18806642157949</c:v>
                </c:pt>
                <c:pt idx="92">
                  <c:v>249.5780048850886</c:v>
                </c:pt>
                <c:pt idx="93">
                  <c:v>247.021293735499</c:v>
                </c:pt>
                <c:pt idx="94">
                  <c:v>244.51631375586331</c:v>
                </c:pt>
                <c:pt idx="95">
                  <c:v>242.06151059859508</c:v>
                </c:pt>
                <c:pt idx="96">
                  <c:v>239.65539156917188</c:v>
                </c:pt>
                <c:pt idx="97">
                  <c:v>237.29652259932067</c:v>
                </c:pt>
                <c:pt idx="98">
                  <c:v>234.98352539678808</c:v>
                </c:pt>
                <c:pt idx="99">
                  <c:v>232.71507475979374</c:v>
                </c:pt>
                <c:pt idx="100">
                  <c:v>230.48989604516913</c:v>
                </c:pt>
              </c:numCache>
            </c:numRef>
          </c:val>
          <c:smooth val="0"/>
          <c:extLst>
            <c:ext xmlns:c16="http://schemas.microsoft.com/office/drawing/2014/chart" uri="{C3380CC4-5D6E-409C-BE32-E72D297353CC}">
              <c16:uniqueId val="{00000001-D9E7-4F5E-A983-604758A0F86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347.90107027032275</c:v>
                </c:pt>
                <c:pt idx="88">
                  <c:v>344.21921921050699</c:v>
                </c:pt>
                <c:pt idx="89">
                  <c:v>340.61527769948367</c:v>
                </c:pt>
                <c:pt idx="90">
                  <c:v>337.08635455483557</c:v>
                </c:pt>
                <c:pt idx="91">
                  <c:v>333.62983017151669</c:v>
                </c:pt>
                <c:pt idx="92">
                  <c:v>330.24349954135721</c:v>
                </c:pt>
                <c:pt idx="93">
                  <c:v>326.92368883183286</c:v>
                </c:pt>
                <c:pt idx="94">
                  <c:v>323.67180816550479</c:v>
                </c:pt>
                <c:pt idx="95">
                  <c:v>320.48176521469077</c:v>
                </c:pt>
                <c:pt idx="96">
                  <c:v>317.35413438818784</c:v>
                </c:pt>
                <c:pt idx="97">
                  <c:v>314.28703680257962</c:v>
                </c:pt>
                <c:pt idx="98">
                  <c:v>311.27863445097097</c:v>
                </c:pt>
                <c:pt idx="99">
                  <c:v>308.32725840833513</c:v>
                </c:pt>
                <c:pt idx="100">
                  <c:v>305.4313024273003</c:v>
                </c:pt>
              </c:numCache>
            </c:numRef>
          </c:val>
          <c:smooth val="0"/>
          <c:extLst>
            <c:ext xmlns:c16="http://schemas.microsoft.com/office/drawing/2014/chart" uri="{C3380CC4-5D6E-409C-BE32-E72D297353CC}">
              <c16:uniqueId val="{00000002-D9E7-4F5E-A983-604758A0F86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9E7-4F5E-A983-604758A0F86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9E7-4F5E-A983-604758A0F86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9E7-4F5E-A983-604758A0F86A}"/>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1.470663606409917</c:v>
                </c:pt>
                <c:pt idx="28">
                  <c:v>1.5056629405573461</c:v>
                </c:pt>
                <c:pt idx="29">
                  <c:v>1.559743743489352</c:v>
                </c:pt>
                <c:pt idx="30">
                  <c:v>1.6137125330844346</c:v>
                </c:pt>
                <c:pt idx="31">
                  <c:v>1.6676936968535112</c:v>
                </c:pt>
                <c:pt idx="32">
                  <c:v>1.7216872397031628</c:v>
                </c:pt>
                <c:pt idx="33">
                  <c:v>1.7756931665540028</c:v>
                </c:pt>
                <c:pt idx="34">
                  <c:v>1.8297114823389455</c:v>
                </c:pt>
                <c:pt idx="35">
                  <c:v>1.8837421920017794</c:v>
                </c:pt>
                <c:pt idx="36">
                  <c:v>1.9377853004959866</c:v>
                </c:pt>
                <c:pt idx="37">
                  <c:v>1.9918408127837681</c:v>
                </c:pt>
                <c:pt idx="38">
                  <c:v>2.0459087338352204</c:v>
                </c:pt>
                <c:pt idx="39">
                  <c:v>2.0999890686276497</c:v>
                </c:pt>
                <c:pt idx="40">
                  <c:v>2.15408182214499</c:v>
                </c:pt>
                <c:pt idx="41">
                  <c:v>2.2081869993773102</c:v>
                </c:pt>
                <c:pt idx="42">
                  <c:v>2.2623046053203937</c:v>
                </c:pt>
                <c:pt idx="43">
                  <c:v>2.3164346449753803</c:v>
                </c:pt>
                <c:pt idx="44">
                  <c:v>2.3705771233484576</c:v>
                </c:pt>
                <c:pt idx="45">
                  <c:v>2.4247320454505932</c:v>
                </c:pt>
                <c:pt idx="46">
                  <c:v>2.4788994162973084</c:v>
                </c:pt>
                <c:pt idx="47">
                  <c:v>2.5330792409084744</c:v>
                </c:pt>
                <c:pt idx="48">
                  <c:v>2.5872715243081434</c:v>
                </c:pt>
                <c:pt idx="49">
                  <c:v>2.6414762715243949</c:v>
                </c:pt>
                <c:pt idx="50">
                  <c:v>2.6956934875892009</c:v>
                </c:pt>
                <c:pt idx="51">
                  <c:v>2.7499231775383155</c:v>
                </c:pt>
                <c:pt idx="52">
                  <c:v>2.8041653464111653</c:v>
                </c:pt>
                <c:pt idx="53">
                  <c:v>2.8584199992507653</c:v>
                </c:pt>
                <c:pt idx="54">
                  <c:v>2.9126871411036381</c:v>
                </c:pt>
                <c:pt idx="55">
                  <c:v>2.9669667770197368</c:v>
                </c:pt>
                <c:pt idx="56">
                  <c:v>3.0212589120523932</c:v>
                </c:pt>
                <c:pt idx="57">
                  <c:v>3.0755635512582518</c:v>
                </c:pt>
                <c:pt idx="58">
                  <c:v>3.129880699697229</c:v>
                </c:pt>
                <c:pt idx="59">
                  <c:v>3.1842103624324647</c:v>
                </c:pt>
                <c:pt idx="60">
                  <c:v>3.2385525445302763</c:v>
                </c:pt>
                <c:pt idx="61">
                  <c:v>3.2929072510601367</c:v>
                </c:pt>
                <c:pt idx="62">
                  <c:v>3.3472744870946336</c:v>
                </c:pt>
                <c:pt idx="63">
                  <c:v>3.4016542577094424</c:v>
                </c:pt>
                <c:pt idx="64">
                  <c:v>3.4560465679833019</c:v>
                </c:pt>
                <c:pt idx="65">
                  <c:v>3.5104514229979924</c:v>
                </c:pt>
                <c:pt idx="66">
                  <c:v>3.5648688278383101</c:v>
                </c:pt>
                <c:pt idx="67">
                  <c:v>3.6192987875920557</c:v>
                </c:pt>
                <c:pt idx="68">
                  <c:v>3.6737413073500118</c:v>
                </c:pt>
                <c:pt idx="69">
                  <c:v>3.7281963922059296</c:v>
                </c:pt>
                <c:pt idx="70">
                  <c:v>3.7826640472565196</c:v>
                </c:pt>
                <c:pt idx="71">
                  <c:v>3.8371442776014284</c:v>
                </c:pt>
                <c:pt idx="72">
                  <c:v>3.8916370883432432</c:v>
                </c:pt>
                <c:pt idx="73">
                  <c:v>3.9461424845874662</c:v>
                </c:pt>
                <c:pt idx="74">
                  <c:v>4.0006604714425151</c:v>
                </c:pt>
                <c:pt idx="75">
                  <c:v>4.0551910540197147</c:v>
                </c:pt>
                <c:pt idx="76">
                  <c:v>4.1097342374332841</c:v>
                </c:pt>
                <c:pt idx="77">
                  <c:v>4.1642900268003338</c:v>
                </c:pt>
                <c:pt idx="78">
                  <c:v>4.2188584272408622</c:v>
                </c:pt>
                <c:pt idx="79">
                  <c:v>4.273439443877745</c:v>
                </c:pt>
                <c:pt idx="80">
                  <c:v>4.3280330818367343</c:v>
                </c:pt>
                <c:pt idx="81">
                  <c:v>4.382639346246453</c:v>
                </c:pt>
                <c:pt idx="82">
                  <c:v>4.4372582422383866</c:v>
                </c:pt>
                <c:pt idx="83">
                  <c:v>4.491889774946892</c:v>
                </c:pt>
                <c:pt idx="84">
                  <c:v>4.5465339495091834</c:v>
                </c:pt>
                <c:pt idx="85">
                  <c:v>4.6011907710653288</c:v>
                </c:pt>
                <c:pt idx="86">
                  <c:v>4.6558602447582578</c:v>
                </c:pt>
                <c:pt idx="87">
                  <c:v>4.7105423757337492</c:v>
                </c:pt>
                <c:pt idx="88">
                  <c:v>4.7652371691404367</c:v>
                </c:pt>
                <c:pt idx="89">
                  <c:v>4.819944630129803</c:v>
                </c:pt>
                <c:pt idx="90">
                  <c:v>4.8746647638561802</c:v>
                </c:pt>
                <c:pt idx="91">
                  <c:v>4.9293975754767478</c:v>
                </c:pt>
                <c:pt idx="92">
                  <c:v>4.9841430701515339</c:v>
                </c:pt>
                <c:pt idx="93">
                  <c:v>5.0389012530434103</c:v>
                </c:pt>
                <c:pt idx="94">
                  <c:v>5.0936721293180982</c:v>
                </c:pt>
                <c:pt idx="95">
                  <c:v>5.1484557041441601</c:v>
                </c:pt>
                <c:pt idx="96">
                  <c:v>5.2032519826930104</c:v>
                </c:pt>
                <c:pt idx="97">
                  <c:v>5.2580609701389012</c:v>
                </c:pt>
                <c:pt idx="98">
                  <c:v>5.3128826716589366</c:v>
                </c:pt>
                <c:pt idx="99">
                  <c:v>5.3677170924330584</c:v>
                </c:pt>
                <c:pt idx="100">
                  <c:v>5.4225642376440657</c:v>
                </c:pt>
              </c:numCache>
            </c:numRef>
          </c:val>
          <c:smooth val="0"/>
          <c:extLst>
            <c:ext xmlns:c16="http://schemas.microsoft.com/office/drawing/2014/chart" uri="{C3380CC4-5D6E-409C-BE32-E72D297353CC}">
              <c16:uniqueId val="{00000000-B744-4C18-B26C-E1D454627484}"/>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2.3001569572310117</c:v>
                </c:pt>
                <c:pt idx="67">
                  <c:v>2.3175649898410255</c:v>
                </c:pt>
                <c:pt idx="68">
                  <c:v>2.3348450769136839</c:v>
                </c:pt>
                <c:pt idx="69">
                  <c:v>2.3520000596669925</c:v>
                </c:pt>
                <c:pt idx="70">
                  <c:v>2.3845637353424745</c:v>
                </c:pt>
                <c:pt idx="71">
                  <c:v>2.4187307007116678</c:v>
                </c:pt>
                <c:pt idx="72">
                  <c:v>2.4528639420530722</c:v>
                </c:pt>
                <c:pt idx="73">
                  <c:v>2.4869990394636963</c:v>
                </c:pt>
                <c:pt idx="74">
                  <c:v>2.5211359931401405</c:v>
                </c:pt>
                <c:pt idx="75">
                  <c:v>2.5552748032790937</c:v>
                </c:pt>
                <c:pt idx="76">
                  <c:v>2.5894154700773337</c:v>
                </c:pt>
                <c:pt idx="77">
                  <c:v>2.6235579937317191</c:v>
                </c:pt>
                <c:pt idx="78">
                  <c:v>2.6577023744391859</c:v>
                </c:pt>
                <c:pt idx="79">
                  <c:v>2.69184861239675</c:v>
                </c:pt>
                <c:pt idx="80">
                  <c:v>2.7259967078014955</c:v>
                </c:pt>
                <c:pt idx="81">
                  <c:v>2.7601466608505785</c:v>
                </c:pt>
                <c:pt idx="82">
                  <c:v>2.7942984717412216</c:v>
                </c:pt>
                <c:pt idx="83">
                  <c:v>2.8284521406707119</c:v>
                </c:pt>
                <c:pt idx="84">
                  <c:v>2.8626076678363988</c:v>
                </c:pt>
                <c:pt idx="85">
                  <c:v>2.8967650534356957</c:v>
                </c:pt>
                <c:pt idx="86">
                  <c:v>2.9309242976660665</c:v>
                </c:pt>
                <c:pt idx="87">
                  <c:v>2.9650854007250391</c:v>
                </c:pt>
                <c:pt idx="88">
                  <c:v>2.9992483628101945</c:v>
                </c:pt>
                <c:pt idx="89">
                  <c:v>3.0334131841191661</c:v>
                </c:pt>
                <c:pt idx="90">
                  <c:v>3.0675798648496393</c:v>
                </c:pt>
                <c:pt idx="91">
                  <c:v>3.1017484051993525</c:v>
                </c:pt>
                <c:pt idx="92">
                  <c:v>3.13591880536609</c:v>
                </c:pt>
                <c:pt idx="93">
                  <c:v>3.1700910655476875</c:v>
                </c:pt>
                <c:pt idx="94">
                  <c:v>3.2042651859420266</c:v>
                </c:pt>
                <c:pt idx="95">
                  <c:v>3.2384411667470352</c:v>
                </c:pt>
                <c:pt idx="96">
                  <c:v>3.2726190081606878</c:v>
                </c:pt>
                <c:pt idx="97">
                  <c:v>3.3067987103810008</c:v>
                </c:pt>
                <c:pt idx="98">
                  <c:v>3.3409802736060361</c:v>
                </c:pt>
                <c:pt idx="99">
                  <c:v>3.3751636980338962</c:v>
                </c:pt>
                <c:pt idx="100">
                  <c:v>3.4093489838627278</c:v>
                </c:pt>
              </c:numCache>
            </c:numRef>
          </c:val>
          <c:smooth val="1"/>
          <c:extLst>
            <c:ext xmlns:c16="http://schemas.microsoft.com/office/drawing/2014/chart" uri="{C3380CC4-5D6E-409C-BE32-E72D297353CC}">
              <c16:uniqueId val="{00000001-B744-4C18-B26C-E1D454627484}"/>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2.3001527921825256</c:v>
                </c:pt>
                <c:pt idx="67">
                  <c:v>2.317530373791802</c:v>
                </c:pt>
                <c:pt idx="68">
                  <c:v>2.3347790106371829</c:v>
                </c:pt>
                <c:pt idx="69">
                  <c:v>2.3519015368588665</c:v>
                </c:pt>
                <c:pt idx="70">
                  <c:v>2.3689006842720315</c:v>
                </c:pt>
                <c:pt idx="71">
                  <c:v>2.3857790874654792</c:v>
                </c:pt>
                <c:pt idx="72">
                  <c:v>2.4025392885782062</c:v>
                </c:pt>
                <c:pt idx="73">
                  <c:v>2.4191837417784372</c:v>
                </c:pt>
                <c:pt idx="74">
                  <c:v>2.4357148174674563</c:v>
                </c:pt>
                <c:pt idx="75">
                  <c:v>2.4521348062286319</c:v>
                </c:pt>
                <c:pt idx="76">
                  <c:v>2.4684459225402531</c:v>
                </c:pt>
                <c:pt idx="77">
                  <c:v>2.4846503082692237</c:v>
                </c:pt>
                <c:pt idx="78">
                  <c:v>2.5007500359612171</c:v>
                </c:pt>
                <c:pt idx="79">
                  <c:v>2.5167471119415952</c:v>
                </c:pt>
                <c:pt idx="80">
                  <c:v>2.5326434792402339</c:v>
                </c:pt>
                <c:pt idx="81">
                  <c:v>2.5484410203523202</c:v>
                </c:pt>
                <c:pt idx="82">
                  <c:v>2.5641415598462269</c:v>
                </c:pt>
                <c:pt idx="83">
                  <c:v>2.5797468668286925</c:v>
                </c:pt>
                <c:pt idx="84">
                  <c:v>2.5952586572767342</c:v>
                </c:pt>
                <c:pt idx="85">
                  <c:v>2.610678596244997</c:v>
                </c:pt>
                <c:pt idx="86">
                  <c:v>2.626008299956573</c:v>
                </c:pt>
                <c:pt idx="87">
                  <c:v>2.641249337784723</c:v>
                </c:pt>
                <c:pt idx="88">
                  <c:v>2.6564032341323838</c:v>
                </c:pt>
                <c:pt idx="89">
                  <c:v>2.6714900465316833</c:v>
                </c:pt>
                <c:pt idx="90">
                  <c:v>2.6865005054157196</c:v>
                </c:pt>
                <c:pt idx="91">
                  <c:v>2.7014287164361996</c:v>
                </c:pt>
                <c:pt idx="92">
                  <c:v>2.7162760419753789</c:v>
                </c:pt>
                <c:pt idx="93">
                  <c:v>2.7317900770777452</c:v>
                </c:pt>
                <c:pt idx="94">
                  <c:v>2.7612024702651827</c:v>
                </c:pt>
                <c:pt idx="95">
                  <c:v>2.7906369477513215</c:v>
                </c:pt>
                <c:pt idx="96">
                  <c:v>2.8200589063307264</c:v>
                </c:pt>
                <c:pt idx="97">
                  <c:v>2.8494768298153375</c:v>
                </c:pt>
                <c:pt idx="98">
                  <c:v>2.8788956276776494</c:v>
                </c:pt>
                <c:pt idx="99">
                  <c:v>2.9083152999710031</c:v>
                </c:pt>
                <c:pt idx="100">
                  <c:v>2.9377358467487507</c:v>
                </c:pt>
              </c:numCache>
            </c:numRef>
          </c:val>
          <c:smooth val="1"/>
          <c:extLst>
            <c:ext xmlns:c16="http://schemas.microsoft.com/office/drawing/2014/chart" uri="{C3380CC4-5D6E-409C-BE32-E72D297353CC}">
              <c16:uniqueId val="{00000002-B744-4C18-B26C-E1D454627484}"/>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347.78362894374703</c:v>
                </c:pt>
                <c:pt idx="25">
                  <c:v>334.7711064029632</c:v>
                </c:pt>
                <c:pt idx="26">
                  <c:v>322.68272887954049</c:v>
                </c:pt>
                <c:pt idx="27">
                  <c:v>311.41618065562244</c:v>
                </c:pt>
                <c:pt idx="28">
                  <c:v>300.90566782326096</c:v>
                </c:pt>
                <c:pt idx="29">
                  <c:v>291.07755990826632</c:v>
                </c:pt>
                <c:pt idx="30">
                  <c:v>281.86748699432445</c:v>
                </c:pt>
                <c:pt idx="31">
                  <c:v>273.21892822060551</c:v>
                </c:pt>
                <c:pt idx="32">
                  <c:v>265.08205081298991</c:v>
                </c:pt>
                <c:pt idx="33">
                  <c:v>257.41274925986704</c:v>
                </c:pt>
                <c:pt idx="34">
                  <c:v>250.17184550236544</c:v>
                </c:pt>
                <c:pt idx="35">
                  <c:v>243.32441951451295</c:v>
                </c:pt>
                <c:pt idx="36">
                  <c:v>236.83924612954232</c:v>
                </c:pt>
                <c:pt idx="37">
                  <c:v>230.68831894614939</c:v>
                </c:pt>
                <c:pt idx="38">
                  <c:v>224.8464460006366</c:v>
                </c:pt>
                <c:pt idx="39">
                  <c:v>219.29090489334567</c:v>
                </c:pt>
                <c:pt idx="40">
                  <c:v>214.00114741385082</c:v>
                </c:pt>
                <c:pt idx="41">
                  <c:v>208.9585455700572</c:v>
                </c:pt>
                <c:pt idx="42">
                  <c:v>204.14617240473316</c:v>
                </c:pt>
                <c:pt idx="43">
                  <c:v>199.54861216441293</c:v>
                </c:pt>
                <c:pt idx="44">
                  <c:v>195.15179533488296</c:v>
                </c:pt>
                <c:pt idx="45">
                  <c:v>190.94285482419971</c:v>
                </c:pt>
                <c:pt idx="46">
                  <c:v>186.91000019657395</c:v>
                </c:pt>
                <c:pt idx="47">
                  <c:v>183.04240736806608</c:v>
                </c:pt>
                <c:pt idx="48">
                  <c:v>179.33012159091351</c:v>
                </c:pt>
                <c:pt idx="49">
                  <c:v>175.76397189552216</c:v>
                </c:pt>
                <c:pt idx="50">
                  <c:v>172.33549544190518</c:v>
                </c:pt>
                <c:pt idx="51">
                  <c:v>169.03687046691317</c:v>
                </c:pt>
                <c:pt idx="52">
                  <c:v>165.86085670892578</c:v>
                </c:pt>
                <c:pt idx="53">
                  <c:v>162.80074235492296</c:v>
                </c:pt>
                <c:pt idx="54">
                  <c:v>159.85029669177268</c:v>
                </c:pt>
                <c:pt idx="55">
                  <c:v>157.00372775879961</c:v>
                </c:pt>
                <c:pt idx="56">
                  <c:v>154.25564439598401</c:v>
                </c:pt>
                <c:pt idx="57">
                  <c:v>151.60102216453612</c:v>
                </c:pt>
                <c:pt idx="58">
                  <c:v>149.03517268658783</c:v>
                </c:pt>
                <c:pt idx="59">
                  <c:v>146.55371601037854</c:v>
                </c:pt>
                <c:pt idx="60">
                  <c:v>144.15255565826249</c:v>
                </c:pt>
                <c:pt idx="61">
                  <c:v>141.82785605851711</c:v>
                </c:pt>
                <c:pt idx="62">
                  <c:v>139.57602209942164</c:v>
                </c:pt>
                <c:pt idx="63">
                  <c:v>137.39368057636216</c:v>
                </c:pt>
                <c:pt idx="64">
                  <c:v>135.27766333059014</c:v>
                </c:pt>
                <c:pt idx="65">
                  <c:v>133.22499190237491</c:v>
                </c:pt>
                <c:pt idx="66">
                  <c:v>131.23286354220627</c:v>
                </c:pt>
                <c:pt idx="67">
                  <c:v>129.29863844188105</c:v>
                </c:pt>
                <c:pt idx="68">
                  <c:v>127.41982806314212</c:v>
                </c:pt>
                <c:pt idx="69">
                  <c:v>125.59408445536226</c:v>
                </c:pt>
                <c:pt idx="70">
                  <c:v>123.81919046585134</c:v>
                </c:pt>
                <c:pt idx="71">
                  <c:v>122.09305075696309</c:v>
                </c:pt>
                <c:pt idx="72">
                  <c:v>120.41368355348025</c:v>
                </c:pt>
                <c:pt idx="73">
                  <c:v>118.77921305193911</c:v>
                </c:pt>
                <c:pt idx="74">
                  <c:v>117.18786243076858</c:v>
                </c:pt>
                <c:pt idx="75">
                  <c:v>115.63794740648386</c:v>
                </c:pt>
                <c:pt idx="76">
                  <c:v>114.12787028680728</c:v>
                </c:pt>
                <c:pt idx="77">
                  <c:v>112.65611447657444</c:v>
                </c:pt>
                <c:pt idx="78">
                  <c:v>111.22123939671036</c:v>
                </c:pt>
                <c:pt idx="79">
                  <c:v>109.82187578049034</c:v>
                </c:pt>
                <c:pt idx="80">
                  <c:v>108.45672131480293</c:v>
                </c:pt>
                <c:pt idx="81">
                  <c:v>107.12453659724756</c:v>
                </c:pt>
                <c:pt idx="82">
                  <c:v>105.8241413826872</c:v>
                </c:pt>
                <c:pt idx="83">
                  <c:v>104.55441109536281</c:v>
                </c:pt>
                <c:pt idx="84">
                  <c:v>103.31427358490478</c:v>
                </c:pt>
                <c:pt idx="85">
                  <c:v>102.10270610657264</c:v>
                </c:pt>
                <c:pt idx="86">
                  <c:v>100.91873250784838</c:v>
                </c:pt>
                <c:pt idx="87">
                  <c:v>99.761420605115319</c:v>
                </c:pt>
                <c:pt idx="88">
                  <c:v>98.629879735607716</c:v>
                </c:pt>
                <c:pt idx="89">
                  <c:v>97.523258471118524</c:v>
                </c:pt>
                <c:pt idx="90">
                  <c:v>96.440742481131764</c:v>
                </c:pt>
                <c:pt idx="91">
                  <c:v>95.381552534108607</c:v>
                </c:pt>
                <c:pt idx="92">
                  <c:v>94.344942626617708</c:v>
                </c:pt>
                <c:pt idx="93">
                  <c:v>93.330198230869854</c:v>
                </c:pt>
                <c:pt idx="94">
                  <c:v>92.336634652006325</c:v>
                </c:pt>
                <c:pt idx="95">
                  <c:v>91.363595487203753</c:v>
                </c:pt>
                <c:pt idx="96">
                  <c:v>90.410451179308851</c:v>
                </c:pt>
                <c:pt idx="97">
                  <c:v>89.476597658305579</c:v>
                </c:pt>
                <c:pt idx="98">
                  <c:v>88.56145506445435</c:v>
                </c:pt>
                <c:pt idx="99">
                  <c:v>87.664466547432042</c:v>
                </c:pt>
                <c:pt idx="100">
                  <c:v>86.785097136246634</c:v>
                </c:pt>
              </c:numCache>
            </c:numRef>
          </c:val>
          <c:smooth val="0"/>
          <c:extLst>
            <c:ext xmlns:c16="http://schemas.microsoft.com/office/drawing/2014/chart" uri="{C3380CC4-5D6E-409C-BE32-E72D297353CC}">
              <c16:uniqueId val="{00000000-CEA8-405E-B5B3-AF38AAF3801C}"/>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349.86288604773813</c:v>
                </c:pt>
                <c:pt idx="61">
                  <c:v>344.52168384421304</c:v>
                </c:pt>
                <c:pt idx="62">
                  <c:v>339.34108994554043</c:v>
                </c:pt>
                <c:pt idx="63">
                  <c:v>334.31396765403355</c:v>
                </c:pt>
                <c:pt idx="64">
                  <c:v>329.43346017311495</c:v>
                </c:pt>
                <c:pt idx="65">
                  <c:v>324.69263270636736</c:v>
                </c:pt>
                <c:pt idx="66">
                  <c:v>320.08626446695831</c:v>
                </c:pt>
                <c:pt idx="67">
                  <c:v>315.60871506164466</c:v>
                </c:pt>
                <c:pt idx="68">
                  <c:v>311.25465522314454</c:v>
                </c:pt>
                <c:pt idx="69">
                  <c:v>307.01904564967822</c:v>
                </c:pt>
                <c:pt idx="70">
                  <c:v>302.8971175483436</c:v>
                </c:pt>
                <c:pt idx="71">
                  <c:v>298.88435472438755</c:v>
                </c:pt>
                <c:pt idx="72">
                  <c:v>294.97647707495042</c:v>
                </c:pt>
                <c:pt idx="73">
                  <c:v>291.16942536045076</c:v>
                </c:pt>
                <c:pt idx="74">
                  <c:v>287.45934713970553</c:v>
                </c:pt>
                <c:pt idx="75">
                  <c:v>283.84258376634034</c:v>
                </c:pt>
                <c:pt idx="76">
                  <c:v>280.31565835421753</c:v>
                </c:pt>
                <c:pt idx="77">
                  <c:v>276.87526462867402</c:v>
                </c:pt>
                <c:pt idx="78">
                  <c:v>273.51825658842256</c:v>
                </c:pt>
                <c:pt idx="79">
                  <c:v>270.24163891016781</c:v>
                </c:pt>
                <c:pt idx="80">
                  <c:v>267.04255803442459</c:v>
                </c:pt>
                <c:pt idx="81">
                  <c:v>263.91829387677535</c:v>
                </c:pt>
                <c:pt idx="82">
                  <c:v>260.86625211396534</c:v>
                </c:pt>
                <c:pt idx="83">
                  <c:v>257.88395699885399</c:v>
                </c:pt>
                <c:pt idx="84">
                  <c:v>254.96904466240133</c:v>
                </c:pt>
                <c:pt idx="85">
                  <c:v>252.11925686460367</c:v>
                </c:pt>
                <c:pt idx="86">
                  <c:v>249.33243515965921</c:v>
                </c:pt>
                <c:pt idx="87">
                  <c:v>246.60651544367877</c:v>
                </c:pt>
                <c:pt idx="88">
                  <c:v>243.93952285599892</c:v>
                </c:pt>
                <c:pt idx="89">
                  <c:v>241.32956700762691</c:v>
                </c:pt>
                <c:pt idx="90">
                  <c:v>238.77483751259095</c:v>
                </c:pt>
                <c:pt idx="91">
                  <c:v>236.27359979999756</c:v>
                </c:pt>
                <c:pt idx="92">
                  <c:v>233.82419118643423</c:v>
                </c:pt>
                <c:pt idx="93">
                  <c:v>231.4250171900338</c:v>
                </c:pt>
                <c:pt idx="94">
                  <c:v>229.07454806902365</c:v>
                </c:pt>
                <c:pt idx="95">
                  <c:v>226.77131556897467</c:v>
                </c:pt>
                <c:pt idx="96">
                  <c:v>224.51390986421256</c:v>
                </c:pt>
                <c:pt idx="97">
                  <c:v>222.30097668000428</c:v>
                </c:pt>
                <c:pt idx="98">
                  <c:v>220.13121458317571</c:v>
                </c:pt>
                <c:pt idx="99">
                  <c:v>218.00337242977082</c:v>
                </c:pt>
                <c:pt idx="100">
                  <c:v>215.91624695923517</c:v>
                </c:pt>
              </c:numCache>
            </c:numRef>
          </c:val>
          <c:smooth val="0"/>
          <c:extLst>
            <c:ext xmlns:c16="http://schemas.microsoft.com/office/drawing/2014/chart" uri="{C3380CC4-5D6E-409C-BE32-E72D297353CC}">
              <c16:uniqueId val="{00000001-CEA8-405E-B5B3-AF38AAF3801C}"/>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349.95866578286689</c:v>
                </c:pt>
                <c:pt idx="82">
                  <c:v>345.98907874618919</c:v>
                </c:pt>
                <c:pt idx="83">
                  <c:v>342.10858700313742</c:v>
                </c:pt>
                <c:pt idx="84">
                  <c:v>338.31422398906062</c:v>
                </c:pt>
                <c:pt idx="85">
                  <c:v>334.60315340076636</c:v>
                </c:pt>
                <c:pt idx="86">
                  <c:v>330.97288265021632</c:v>
                </c:pt>
                <c:pt idx="87">
                  <c:v>327.42304683347294</c:v>
                </c:pt>
                <c:pt idx="88">
                  <c:v>323.94866926022524</c:v>
                </c:pt>
                <c:pt idx="89">
                  <c:v>320.54736920440024</c:v>
                </c:pt>
                <c:pt idx="90">
                  <c:v>317.21686504762022</c:v>
                </c:pt>
                <c:pt idx="91">
                  <c:v>313.95496917510638</c:v>
                </c:pt>
                <c:pt idx="92">
                  <c:v>310.75958318380293</c:v>
                </c:pt>
                <c:pt idx="93">
                  <c:v>307.6286933806644</c:v>
                </c:pt>
                <c:pt idx="94">
                  <c:v>304.56036655081243</c:v>
                </c:pt>
                <c:pt idx="95">
                  <c:v>301.55274597687458</c:v>
                </c:pt>
                <c:pt idx="96">
                  <c:v>298.60404769228091</c:v>
                </c:pt>
                <c:pt idx="97">
                  <c:v>295.71255695263335</c:v>
                </c:pt>
                <c:pt idx="98">
                  <c:v>292.87662491047882</c:v>
                </c:pt>
                <c:pt idx="99">
                  <c:v>290.09466547994089</c:v>
                </c:pt>
                <c:pt idx="100">
                  <c:v>287.36515237868002</c:v>
                </c:pt>
              </c:numCache>
            </c:numRef>
          </c:val>
          <c:smooth val="0"/>
          <c:extLst>
            <c:ext xmlns:c16="http://schemas.microsoft.com/office/drawing/2014/chart" uri="{C3380CC4-5D6E-409C-BE32-E72D297353CC}">
              <c16:uniqueId val="{00000002-CEA8-405E-B5B3-AF38AAF3801C}"/>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CEA8-405E-B5B3-AF38AAF3801C}"/>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CEA8-405E-B5B3-AF38AAF3801C}"/>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CEA8-405E-B5B3-AF38AAF3801C}"/>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6.6666729551211308E-3</c:v>
                </c:pt>
                <c:pt idx="1">
                  <c:v>1.0719895980979079E-2</c:v>
                </c:pt>
                <c:pt idx="2">
                  <c:v>2.1439791961958159E-2</c:v>
                </c:pt>
                <c:pt idx="3">
                  <c:v>3.2159687942937228E-2</c:v>
                </c:pt>
                <c:pt idx="4">
                  <c:v>4.2879583923916317E-2</c:v>
                </c:pt>
                <c:pt idx="5">
                  <c:v>5.3599479904895386E-2</c:v>
                </c:pt>
                <c:pt idx="6">
                  <c:v>6.4319375885874455E-2</c:v>
                </c:pt>
                <c:pt idx="7">
                  <c:v>7.5039271866853552E-2</c:v>
                </c:pt>
                <c:pt idx="8">
                  <c:v>8.5759167847832635E-2</c:v>
                </c:pt>
                <c:pt idx="9">
                  <c:v>9.6479063828811662E-2</c:v>
                </c:pt>
                <c:pt idx="10">
                  <c:v>0.10719895980979077</c:v>
                </c:pt>
                <c:pt idx="11">
                  <c:v>0.11791885579076984</c:v>
                </c:pt>
                <c:pt idx="12">
                  <c:v>0.12863875177174891</c:v>
                </c:pt>
                <c:pt idx="13">
                  <c:v>0.13935864775272799</c:v>
                </c:pt>
                <c:pt idx="14">
                  <c:v>0.1500785437337071</c:v>
                </c:pt>
                <c:pt idx="15">
                  <c:v>0.16079843971468613</c:v>
                </c:pt>
                <c:pt idx="16">
                  <c:v>0.17151833569566527</c:v>
                </c:pt>
                <c:pt idx="17">
                  <c:v>0.18223823167664432</c:v>
                </c:pt>
                <c:pt idx="18">
                  <c:v>0.19295812765762332</c:v>
                </c:pt>
                <c:pt idx="19">
                  <c:v>0.20367802363860249</c:v>
                </c:pt>
                <c:pt idx="20">
                  <c:v>0.21439791961958155</c:v>
                </c:pt>
                <c:pt idx="21">
                  <c:v>0.22902349657250204</c:v>
                </c:pt>
                <c:pt idx="22">
                  <c:v>0.24342379488550633</c:v>
                </c:pt>
                <c:pt idx="23">
                  <c:v>0.24890517528594497</c:v>
                </c:pt>
                <c:pt idx="24">
                  <c:v>0.2542690828384529</c:v>
                </c:pt>
                <c:pt idx="25">
                  <c:v>0.25952278794917977</c:v>
                </c:pt>
                <c:pt idx="26">
                  <c:v>0.26467284065998603</c:v>
                </c:pt>
                <c:pt idx="27">
                  <c:v>0.26972516678139552</c:v>
                </c:pt>
                <c:pt idx="28">
                  <c:v>0.27468514813427447</c:v>
                </c:pt>
                <c:pt idx="29">
                  <c:v>0.2795576899976287</c:v>
                </c:pt>
                <c:pt idx="30">
                  <c:v>0.28434727817073902</c:v>
                </c:pt>
                <c:pt idx="31">
                  <c:v>0.2890580275397962</c:v>
                </c:pt>
                <c:pt idx="32">
                  <c:v>0.2936937236456108</c:v>
                </c:pt>
                <c:pt idx="33">
                  <c:v>0.29825785844704034</c:v>
                </c:pt>
                <c:pt idx="34">
                  <c:v>0.30275366124101211</c:v>
                </c:pt>
                <c:pt idx="35">
                  <c:v>0.30718412551750363</c:v>
                </c:pt>
                <c:pt idx="36">
                  <c:v>0.3115520323841936</c:v>
                </c:pt>
                <c:pt idx="37">
                  <c:v>0.31585997108159869</c:v>
                </c:pt>
                <c:pt idx="38">
                  <c:v>0.32011035701855822</c:v>
                </c:pt>
                <c:pt idx="39">
                  <c:v>0.32430544768483638</c:v>
                </c:pt>
                <c:pt idx="40">
                  <c:v>0.32844735673848058</c:v>
                </c:pt>
                <c:pt idx="41">
                  <c:v>0.33253806651748818</c:v>
                </c:pt>
                <c:pt idx="42">
                  <c:v>0.33657943918597627</c:v>
                </c:pt>
                <c:pt idx="43">
                  <c:v>0.34057322669270246</c:v>
                </c:pt>
                <c:pt idx="44">
                  <c:v>0.3445210796930353</c:v>
                </c:pt>
                <c:pt idx="45">
                  <c:v>0.34842455556326918</c:v>
                </c:pt>
                <c:pt idx="46">
                  <c:v>0.35228512561765274</c:v>
                </c:pt>
                <c:pt idx="47">
                  <c:v>0.35610418162298185</c:v>
                </c:pt>
                <c:pt idx="48">
                  <c:v>0.35988304169255442</c:v>
                </c:pt>
                <c:pt idx="49">
                  <c:v>0.36362295563025787</c:v>
                </c:pt>
                <c:pt idx="50">
                  <c:v>0.36732510978622007</c:v>
                </c:pt>
                <c:pt idx="51">
                  <c:v>0.37099063147750072</c:v>
                </c:pt>
                <c:pt idx="52">
                  <c:v>0.37462059302051787</c:v>
                </c:pt>
                <c:pt idx="53">
                  <c:v>0.37821601541609245</c:v>
                </c:pt>
                <c:pt idx="54">
                  <c:v>0.38177787172300143</c:v>
                </c:pt>
                <c:pt idx="55">
                  <c:v>0.38530709015162884</c:v>
                </c:pt>
                <c:pt idx="56">
                  <c:v>0.38880455690558502</c:v>
                </c:pt>
                <c:pt idx="57">
                  <c:v>0.39227111879594556</c:v>
                </c:pt>
                <c:pt idx="58">
                  <c:v>0.39570758564995867</c:v>
                </c:pt>
                <c:pt idx="59">
                  <c:v>0.39911473253363267</c:v>
                </c:pt>
                <c:pt idx="60">
                  <c:v>0.40233562338442924</c:v>
                </c:pt>
                <c:pt idx="61">
                  <c:v>0.39949159996140238</c:v>
                </c:pt>
                <c:pt idx="62">
                  <c:v>0.39670672512210892</c:v>
                </c:pt>
                <c:pt idx="63">
                  <c:v>0.39397899661486452</c:v>
                </c:pt>
                <c:pt idx="64">
                  <c:v>0.39130786123662342</c:v>
                </c:pt>
                <c:pt idx="65">
                  <c:v>0.38869752040588396</c:v>
                </c:pt>
                <c:pt idx="66">
                  <c:v>0.38613880086708502</c:v>
                </c:pt>
                <c:pt idx="67">
                  <c:v>0.38363004048370541</c:v>
                </c:pt>
                <c:pt idx="68">
                  <c:v>0.38116965032724714</c:v>
                </c:pt>
                <c:pt idx="69">
                  <c:v>0.37875611063335485</c:v>
                </c:pt>
                <c:pt idx="70">
                  <c:v>0.39214999780806281</c:v>
                </c:pt>
                <c:pt idx="71">
                  <c:v>0.39250356800354624</c:v>
                </c:pt>
                <c:pt idx="72">
                  <c:v>0.3928484130359704</c:v>
                </c:pt>
                <c:pt idx="73">
                  <c:v>0.39318487060933022</c:v>
                </c:pt>
                <c:pt idx="74">
                  <c:v>0.39351326122325569</c:v>
                </c:pt>
                <c:pt idx="75">
                  <c:v>0.39383388925483159</c:v>
                </c:pt>
                <c:pt idx="76">
                  <c:v>0.39414704395979988</c:v>
                </c:pt>
                <c:pt idx="77">
                  <c:v>0.39445300040006886</c:v>
                </c:pt>
                <c:pt idx="78">
                  <c:v>0.39475202030378015</c:v>
                </c:pt>
                <c:pt idx="79">
                  <c:v>0.39504435286358575</c:v>
                </c:pt>
                <c:pt idx="80">
                  <c:v>0.39533023547825369</c:v>
                </c:pt>
                <c:pt idx="81">
                  <c:v>0.39560989444224115</c:v>
                </c:pt>
                <c:pt idx="82">
                  <c:v>0.39588354558744349</c:v>
                </c:pt>
                <c:pt idx="83">
                  <c:v>0.39615139488094736</c:v>
                </c:pt>
                <c:pt idx="84">
                  <c:v>0.39641363898226373</c:v>
                </c:pt>
                <c:pt idx="85">
                  <c:v>0.39667046576321258</c:v>
                </c:pt>
                <c:pt idx="86">
                  <c:v>0.39692205479334536</c:v>
                </c:pt>
                <c:pt idx="87">
                  <c:v>0.39716857779354153</c:v>
                </c:pt>
                <c:pt idx="88">
                  <c:v>0.39741019906018948</c:v>
                </c:pt>
                <c:pt idx="89">
                  <c:v>0.39764707586214948</c:v>
                </c:pt>
                <c:pt idx="90">
                  <c:v>0.39787935881251851</c:v>
                </c:pt>
                <c:pt idx="91">
                  <c:v>0.39810719221704255</c:v>
                </c:pt>
                <c:pt idx="92">
                  <c:v>0.39833071440086693</c:v>
                </c:pt>
                <c:pt idx="93">
                  <c:v>0.398550058015185</c:v>
                </c:pt>
                <c:pt idx="94">
                  <c:v>0.39876535032520916</c:v>
                </c:pt>
                <c:pt idx="95">
                  <c:v>0.39897671348078001</c:v>
                </c:pt>
                <c:pt idx="96">
                  <c:v>0.39918426477082242</c:v>
                </c:pt>
                <c:pt idx="97">
                  <c:v>0.39938811686276193</c:v>
                </c:pt>
                <c:pt idx="98">
                  <c:v>0.39958837802792863</c:v>
                </c:pt>
                <c:pt idx="99">
                  <c:v>0.39978515235389656</c:v>
                </c:pt>
                <c:pt idx="100">
                  <c:v>0.39997853994463312</c:v>
                </c:pt>
              </c:numCache>
            </c:numRef>
          </c:val>
          <c:smooth val="0"/>
          <c:extLst>
            <c:ext xmlns:c16="http://schemas.microsoft.com/office/drawing/2014/chart" uri="{C3380CC4-5D6E-409C-BE32-E72D297353CC}">
              <c16:uniqueId val="{00000006-CEA8-405E-B5B3-AF38AAF3801C}"/>
            </c:ext>
          </c:extLst>
        </c:ser>
        <c:ser>
          <c:idx val="16"/>
          <c:order val="16"/>
          <c:spPr>
            <a:ln w="25400">
              <a:solidFill>
                <a:srgbClr val="00B050"/>
              </a:solidFill>
              <a:prstDash val="dash"/>
            </a:ln>
          </c:spPr>
          <c:marker>
            <c:symbol val="none"/>
          </c:marker>
          <c:val>
            <c:numRef>
              <c:f>'Calculations - Dual'!$AU$110:$AU$210</c:f>
              <c:numCache>
                <c:formatCode>0.000</c:formatCode>
                <c:ptCount val="101"/>
                <c:pt idx="0">
                  <c:v>1.6007552455829924E-2</c:v>
                </c:pt>
                <c:pt idx="1">
                  <c:v>2.5795273338807052E-2</c:v>
                </c:pt>
                <c:pt idx="2">
                  <c:v>7.738582001642115E-2</c:v>
                </c:pt>
                <c:pt idx="3">
                  <c:v>7.738582001642115E-2</c:v>
                </c:pt>
                <c:pt idx="4">
                  <c:v>0.10318109335522821</c:v>
                </c:pt>
                <c:pt idx="5">
                  <c:v>0.12897636669403525</c:v>
                </c:pt>
                <c:pt idx="6">
                  <c:v>0.1547716400328423</c:v>
                </c:pt>
                <c:pt idx="7">
                  <c:v>0.1805669133716494</c:v>
                </c:pt>
                <c:pt idx="8">
                  <c:v>0.20636218671045642</c:v>
                </c:pt>
                <c:pt idx="9">
                  <c:v>0.23215746004926338</c:v>
                </c:pt>
                <c:pt idx="10">
                  <c:v>0.25795273338807051</c:v>
                </c:pt>
                <c:pt idx="11">
                  <c:v>0.28374800672687756</c:v>
                </c:pt>
                <c:pt idx="12">
                  <c:v>0.3095432800656846</c:v>
                </c:pt>
                <c:pt idx="13">
                  <c:v>0.33533855340449165</c:v>
                </c:pt>
                <c:pt idx="14">
                  <c:v>0.3611338267432988</c:v>
                </c:pt>
                <c:pt idx="15">
                  <c:v>0.38692910008210574</c:v>
                </c:pt>
                <c:pt idx="16">
                  <c:v>0.41272437342091284</c:v>
                </c:pt>
                <c:pt idx="17">
                  <c:v>0.43851964675971988</c:v>
                </c:pt>
                <c:pt idx="18">
                  <c:v>0.46431492009852676</c:v>
                </c:pt>
                <c:pt idx="19">
                  <c:v>0.49011019343733403</c:v>
                </c:pt>
                <c:pt idx="20">
                  <c:v>0.51590546677614102</c:v>
                </c:pt>
                <c:pt idx="21">
                  <c:v>0.55109897573441402</c:v>
                </c:pt>
                <c:pt idx="22">
                  <c:v>0.58575629897598225</c:v>
                </c:pt>
                <c:pt idx="23">
                  <c:v>0.59898180642203436</c:v>
                </c:pt>
                <c:pt idx="24">
                  <c:v>0.60805038334111861</c:v>
                </c:pt>
                <c:pt idx="25">
                  <c:v>0.59006051482295963</c:v>
                </c:pt>
                <c:pt idx="26">
                  <c:v>0.59162619899447821</c:v>
                </c:pt>
                <c:pt idx="27">
                  <c:v>0.59310347454198331</c:v>
                </c:pt>
                <c:pt idx="28">
                  <c:v>0.59448535847669604</c:v>
                </c:pt>
                <c:pt idx="29">
                  <c:v>0.59578114143534611</c:v>
                </c:pt>
                <c:pt idx="30">
                  <c:v>0.59699894556464217</c:v>
                </c:pt>
                <c:pt idx="31">
                  <c:v>0.59814590262354805</c:v>
                </c:pt>
                <c:pt idx="32">
                  <c:v>0.59922830047342568</c:v>
                </c:pt>
                <c:pt idx="33">
                  <c:v>0.60025170431408803</c:v>
                </c:pt>
                <c:pt idx="34">
                  <c:v>0.6012210576031769</c:v>
                </c:pt>
                <c:pt idx="35">
                  <c:v>0.60214076652303972</c:v>
                </c:pt>
                <c:pt idx="36">
                  <c:v>0.60301477104155032</c:v>
                </c:pt>
                <c:pt idx="37">
                  <c:v>0.603846604985249</c:v>
                </c:pt>
                <c:pt idx="38">
                  <c:v>0.60463944705711825</c:v>
                </c:pt>
                <c:pt idx="39">
                  <c:v>0.60539616435246169</c:v>
                </c:pt>
                <c:pt idx="40">
                  <c:v>0.60611934962906933</c:v>
                </c:pt>
                <c:pt idx="41">
                  <c:v>0.60681135335306968</c:v>
                </c:pt>
                <c:pt idx="42">
                  <c:v>0.60747431135532826</c:v>
                </c:pt>
                <c:pt idx="43">
                  <c:v>0.60811016878419066</c:v>
                </c:pt>
                <c:pt idx="44">
                  <c:v>0.60872070092057529</c:v>
                </c:pt>
                <c:pt idx="45">
                  <c:v>0.60930753132469051</c:v>
                </c:pt>
                <c:pt idx="46">
                  <c:v>0.60987214770510356</c:v>
                </c:pt>
                <c:pt idx="47">
                  <c:v>0.61041591583685473</c:v>
                </c:pt>
                <c:pt idx="48">
                  <c:v>0.61094009180281839</c:v>
                </c:pt>
                <c:pt idx="49">
                  <c:v>0.61144583278934617</c:v>
                </c:pt>
                <c:pt idx="50">
                  <c:v>0.61193420663154463</c:v>
                </c:pt>
                <c:pt idx="51">
                  <c:v>0.61240620027394144</c:v>
                </c:pt>
                <c:pt idx="52">
                  <c:v>0.61286272728765112</c:v>
                </c:pt>
                <c:pt idx="53">
                  <c:v>0.61330463456455431</c:v>
                </c:pt>
                <c:pt idx="54">
                  <c:v>0.61373270829171878</c:v>
                </c:pt>
                <c:pt idx="55">
                  <c:v>0.6141476792947681</c:v>
                </c:pt>
                <c:pt idx="56">
                  <c:v>0.61455022782660906</c:v>
                </c:pt>
                <c:pt idx="57">
                  <c:v>0.61494098786754858</c:v>
                </c:pt>
                <c:pt idx="58">
                  <c:v>0.6153205509939853</c:v>
                </c:pt>
                <c:pt idx="59">
                  <c:v>0.615689469865352</c:v>
                </c:pt>
                <c:pt idx="60">
                  <c:v>0.61604826137253621</c:v>
                </c:pt>
                <c:pt idx="61">
                  <c:v>0.61639740948551824</c:v>
                </c:pt>
                <c:pt idx="62">
                  <c:v>0.61673736783322219</c:v>
                </c:pt>
                <c:pt idx="63">
                  <c:v>0.61706856204450489</c:v>
                </c:pt>
                <c:pt idx="64">
                  <c:v>0.61739139187569503</c:v>
                </c:pt>
                <c:pt idx="65">
                  <c:v>0.61770623314704554</c:v>
                </c:pt>
                <c:pt idx="66">
                  <c:v>0.61801343950783094</c:v>
                </c:pt>
                <c:pt idx="67">
                  <c:v>0.61831334404751681</c:v>
                </c:pt>
                <c:pt idx="68">
                  <c:v>0.61860626076844472</c:v>
                </c:pt>
                <c:pt idx="69">
                  <c:v>0.6188924859337176</c:v>
                </c:pt>
                <c:pt idx="70">
                  <c:v>0.61917229930245665</c:v>
                </c:pt>
                <c:pt idx="71">
                  <c:v>0.61944596526325513</c:v>
                </c:pt>
                <c:pt idx="72">
                  <c:v>0.61971373387548623</c:v>
                </c:pt>
                <c:pt idx="73">
                  <c:v>0.6199758418270902</c:v>
                </c:pt>
                <c:pt idx="74">
                  <c:v>0.62023251331654849</c:v>
                </c:pt>
                <c:pt idx="75">
                  <c:v>0.62048396086595892</c:v>
                </c:pt>
                <c:pt idx="76">
                  <c:v>0.62073038607140729</c:v>
                </c:pt>
                <c:pt idx="77">
                  <c:v>0.62097198029620893</c:v>
                </c:pt>
                <c:pt idx="78">
                  <c:v>0.62120892531202809</c:v>
                </c:pt>
                <c:pt idx="79">
                  <c:v>0.62144139389239139</c:v>
                </c:pt>
                <c:pt idx="80">
                  <c:v>0.62166955036267113</c:v>
                </c:pt>
                <c:pt idx="81">
                  <c:v>0.62189355111021449</c:v>
                </c:pt>
                <c:pt idx="82">
                  <c:v>0.62211354505795113</c:v>
                </c:pt>
                <c:pt idx="83">
                  <c:v>0.62232967410449147</c:v>
                </c:pt>
                <c:pt idx="84">
                  <c:v>0.62254207353345159</c:v>
                </c:pt>
                <c:pt idx="85">
                  <c:v>0.6227508723944829</c:v>
                </c:pt>
                <c:pt idx="86">
                  <c:v>0.62295619385826728</c:v>
                </c:pt>
                <c:pt idx="87">
                  <c:v>0.62315815554752363</c:v>
                </c:pt>
                <c:pt idx="88">
                  <c:v>0.62335686984590288</c:v>
                </c:pt>
                <c:pt idx="89">
                  <c:v>0.62355244418646982</c:v>
                </c:pt>
                <c:pt idx="90">
                  <c:v>0.62374498132133072</c:v>
                </c:pt>
                <c:pt idx="91">
                  <c:v>0.62393457957383081</c:v>
                </c:pt>
                <c:pt idx="92">
                  <c:v>0.62412133307461859</c:v>
                </c:pt>
                <c:pt idx="93">
                  <c:v>0.62430533198276983</c:v>
                </c:pt>
                <c:pt idx="94">
                  <c:v>0.62448666269306485</c:v>
                </c:pt>
                <c:pt idx="95">
                  <c:v>0.6246654080304167</c:v>
                </c:pt>
                <c:pt idx="96">
                  <c:v>0.6248416474323728</c:v>
                </c:pt>
                <c:pt idx="97">
                  <c:v>0.62501545712053352</c:v>
                </c:pt>
                <c:pt idx="98">
                  <c:v>0.62518691026166495</c:v>
                </c:pt>
                <c:pt idx="99">
                  <c:v>0.62535607711922314</c:v>
                </c:pt>
                <c:pt idx="100">
                  <c:v>0.62552302519594716</c:v>
                </c:pt>
              </c:numCache>
            </c:numRef>
          </c:val>
          <c:smooth val="0"/>
          <c:extLst>
            <c:ext xmlns:c16="http://schemas.microsoft.com/office/drawing/2014/chart" uri="{C3380CC4-5D6E-409C-BE32-E72D297353CC}">
              <c16:uniqueId val="{00000007-CEA8-405E-B5B3-AF38AAF3801C}"/>
            </c:ext>
          </c:extLst>
        </c:ser>
        <c:ser>
          <c:idx val="17"/>
          <c:order val="17"/>
          <c:spPr>
            <a:ln w="25400">
              <a:solidFill>
                <a:srgbClr val="FF0000"/>
              </a:solidFill>
            </a:ln>
          </c:spPr>
          <c:marker>
            <c:symbol val="none"/>
          </c:marker>
          <c:val>
            <c:numRef>
              <c:f>'Calculations - Dual'!$AU$216:$AU$316</c:f>
              <c:numCache>
                <c:formatCode>0.000</c:formatCode>
                <c:ptCount val="101"/>
                <c:pt idx="0">
                  <c:v>4.4450096305018857E-3</c:v>
                </c:pt>
                <c:pt idx="1">
                  <c:v>7.1418986430508997E-3</c:v>
                </c:pt>
                <c:pt idx="2">
                  <c:v>1.4283797286101799E-2</c:v>
                </c:pt>
                <c:pt idx="3">
                  <c:v>2.1425695929152697E-2</c:v>
                </c:pt>
                <c:pt idx="4">
                  <c:v>2.8567594572203599E-2</c:v>
                </c:pt>
                <c:pt idx="5">
                  <c:v>3.5709493215254504E-2</c:v>
                </c:pt>
                <c:pt idx="6">
                  <c:v>4.2851391858305395E-2</c:v>
                </c:pt>
                <c:pt idx="7">
                  <c:v>4.9993290501356306E-2</c:v>
                </c:pt>
                <c:pt idx="8">
                  <c:v>5.7135189144407197E-2</c:v>
                </c:pt>
                <c:pt idx="9">
                  <c:v>6.4277087787458109E-2</c:v>
                </c:pt>
                <c:pt idx="10">
                  <c:v>7.1418986430509007E-2</c:v>
                </c:pt>
                <c:pt idx="11">
                  <c:v>7.8560885073559877E-2</c:v>
                </c:pt>
                <c:pt idx="12">
                  <c:v>8.5702783716610789E-2</c:v>
                </c:pt>
                <c:pt idx="13">
                  <c:v>9.2844682359661687E-2</c:v>
                </c:pt>
                <c:pt idx="14">
                  <c:v>9.9986581002712613E-2</c:v>
                </c:pt>
                <c:pt idx="15">
                  <c:v>0.10712847964576347</c:v>
                </c:pt>
                <c:pt idx="16">
                  <c:v>0.11427037828881439</c:v>
                </c:pt>
                <c:pt idx="17">
                  <c:v>0.12141227693186532</c:v>
                </c:pt>
                <c:pt idx="18">
                  <c:v>0.12855417557491622</c:v>
                </c:pt>
                <c:pt idx="19">
                  <c:v>0.13569607421796709</c:v>
                </c:pt>
                <c:pt idx="20">
                  <c:v>0.14283797286101801</c:v>
                </c:pt>
                <c:pt idx="21">
                  <c:v>0.15258194690509816</c:v>
                </c:pt>
                <c:pt idx="22">
                  <c:v>0.16217768230456678</c:v>
                </c:pt>
                <c:pt idx="23">
                  <c:v>0.1658271624504731</c:v>
                </c:pt>
                <c:pt idx="24">
                  <c:v>0.16939832686988923</c:v>
                </c:pt>
                <c:pt idx="25">
                  <c:v>0.17289602251059821</c:v>
                </c:pt>
                <c:pt idx="26">
                  <c:v>0.17632461607689578</c:v>
                </c:pt>
                <c:pt idx="27">
                  <c:v>0.17968805811828659</c:v>
                </c:pt>
                <c:pt idx="28">
                  <c:v>0.18298993652398965</c:v>
                </c:pt>
                <c:pt idx="29">
                  <c:v>0.18623352148818292</c:v>
                </c:pt>
                <c:pt idx="30">
                  <c:v>0.18942180355146779</c:v>
                </c:pt>
                <c:pt idx="31">
                  <c:v>0.19255752597866119</c:v>
                </c:pt>
                <c:pt idx="32">
                  <c:v>0.19564321247063418</c:v>
                </c:pt>
                <c:pt idx="33">
                  <c:v>0.19868119100662518</c:v>
                </c:pt>
                <c:pt idx="34">
                  <c:v>0.20167361445761348</c:v>
                </c:pt>
                <c:pt idx="35">
                  <c:v>0.20462247848966245</c:v>
                </c:pt>
                <c:pt idx="36">
                  <c:v>0.2075296371803737</c:v>
                </c:pt>
                <c:pt idx="37">
                  <c:v>0.21039681669566335</c:v>
                </c:pt>
                <c:pt idx="38">
                  <c:v>0.21322562731343511</c:v>
                </c:pt>
                <c:pt idx="39">
                  <c:v>0.21601757403199673</c:v>
                </c:pt>
                <c:pt idx="40">
                  <c:v>0.21877406596164642</c:v>
                </c:pt>
                <c:pt idx="41">
                  <c:v>0.22149642466579553</c:v>
                </c:pt>
                <c:pt idx="42">
                  <c:v>0.22418589159176103</c:v>
                </c:pt>
                <c:pt idx="43">
                  <c:v>0.22684363470978888</c:v>
                </c:pt>
                <c:pt idx="44">
                  <c:v>0.22947075446104456</c:v>
                </c:pt>
                <c:pt idx="45">
                  <c:v>0.23206828910049793</c:v>
                </c:pt>
                <c:pt idx="46">
                  <c:v>0.23463721950828426</c:v>
                </c:pt>
                <c:pt idx="47">
                  <c:v>0.23717847353277338</c:v>
                </c:pt>
                <c:pt idx="48">
                  <c:v>0.23969292991987989</c:v>
                </c:pt>
                <c:pt idx="49">
                  <c:v>0.24218142187579447</c:v>
                </c:pt>
                <c:pt idx="50">
                  <c:v>0.24464474030409109</c:v>
                </c:pt>
                <c:pt idx="51">
                  <c:v>0.2470836367528593</c:v>
                </c:pt>
                <c:pt idx="52">
                  <c:v>0.2494988261029944</c:v>
                </c:pt>
                <c:pt idx="53">
                  <c:v>0.25189098902489843</c:v>
                </c:pt>
                <c:pt idx="54">
                  <c:v>0.25426077422752008</c:v>
                </c:pt>
                <c:pt idx="55">
                  <c:v>0.25660880052079288</c:v>
                </c:pt>
                <c:pt idx="56">
                  <c:v>0.2589356587100522</c:v>
                </c:pt>
                <c:pt idx="57">
                  <c:v>0.26124191333886471</c:v>
                </c:pt>
                <c:pt idx="58">
                  <c:v>0.2635281042948367</c:v>
                </c:pt>
                <c:pt idx="59">
                  <c:v>0.26579474829134264</c:v>
                </c:pt>
                <c:pt idx="60">
                  <c:v>0.26804234023669399</c:v>
                </c:pt>
                <c:pt idx="61">
                  <c:v>0.27027135450102663</c:v>
                </c:pt>
                <c:pt idx="62">
                  <c:v>0.27248224609009269</c:v>
                </c:pt>
                <c:pt idx="63">
                  <c:v>0.27467545173418523</c:v>
                </c:pt>
                <c:pt idx="64">
                  <c:v>0.27685139089957445</c:v>
                </c:pt>
                <c:pt idx="65">
                  <c:v>0.27901046672909402</c:v>
                </c:pt>
                <c:pt idx="66">
                  <c:v>0.28115306691784592</c:v>
                </c:pt>
                <c:pt idx="67">
                  <c:v>0.28327956452941633</c:v>
                </c:pt>
                <c:pt idx="68">
                  <c:v>0.28539031875746429</c:v>
                </c:pt>
                <c:pt idx="69">
                  <c:v>0.28748567563708904</c:v>
                </c:pt>
                <c:pt idx="70">
                  <c:v>0.28956596870996409</c:v>
                </c:pt>
                <c:pt idx="71">
                  <c:v>0.29163151964685874</c:v>
                </c:pt>
                <c:pt idx="72">
                  <c:v>0.29368263883083701</c:v>
                </c:pt>
                <c:pt idx="73">
                  <c:v>0.2957196259041277</c:v>
                </c:pt>
                <c:pt idx="74">
                  <c:v>0.29774277028139401</c:v>
                </c:pt>
                <c:pt idx="75">
                  <c:v>0.29975235163189162</c:v>
                </c:pt>
                <c:pt idx="76">
                  <c:v>0.30174864033279025</c:v>
                </c:pt>
                <c:pt idx="77">
                  <c:v>0.30373189789573779</c:v>
                </c:pt>
                <c:pt idx="78">
                  <c:v>0.30570237736857431</c:v>
                </c:pt>
                <c:pt idx="79">
                  <c:v>0.30766032371393975</c:v>
                </c:pt>
                <c:pt idx="80">
                  <c:v>0.3096059741663833</c:v>
                </c:pt>
                <c:pt idx="81">
                  <c:v>0.31150276644441621</c:v>
                </c:pt>
                <c:pt idx="82">
                  <c:v>0.30986910372494375</c:v>
                </c:pt>
                <c:pt idx="83">
                  <c:v>0.30826076762056787</c:v>
                </c:pt>
                <c:pt idx="84">
                  <c:v>0.30119084103988875</c:v>
                </c:pt>
                <c:pt idx="85">
                  <c:v>0.30143624064220892</c:v>
                </c:pt>
                <c:pt idx="86">
                  <c:v>0.30167685294035984</c:v>
                </c:pt>
                <c:pt idx="87">
                  <c:v>0.30191739610512575</c:v>
                </c:pt>
                <c:pt idx="88">
                  <c:v>0.30215308059904328</c:v>
                </c:pt>
                <c:pt idx="89">
                  <c:v>0.30238405972241611</c:v>
                </c:pt>
                <c:pt idx="90">
                  <c:v>0.30261048039378124</c:v>
                </c:pt>
                <c:pt idx="91">
                  <c:v>0.30283248347857261</c:v>
                </c:pt>
                <c:pt idx="92">
                  <c:v>0.3030502040976813</c:v>
                </c:pt>
                <c:pt idx="93">
                  <c:v>0.30326377191733067</c:v>
                </c:pt>
                <c:pt idx="94">
                  <c:v>0.30347331142157419</c:v>
                </c:pt>
                <c:pt idx="95">
                  <c:v>0.30367894216861924</c:v>
                </c:pt>
                <c:pt idx="96">
                  <c:v>0.3038807790320856</c:v>
                </c:pt>
                <c:pt idx="97">
                  <c:v>0.30407893242822237</c:v>
                </c:pt>
                <c:pt idx="98">
                  <c:v>0.30427350853002622</c:v>
                </c:pt>
                <c:pt idx="99">
                  <c:v>0.30446460946913478</c:v>
                </c:pt>
                <c:pt idx="100">
                  <c:v>0.30465233352630228</c:v>
                </c:pt>
              </c:numCache>
            </c:numRef>
          </c:val>
          <c:smooth val="0"/>
          <c:extLst>
            <c:ext xmlns:c16="http://schemas.microsoft.com/office/drawing/2014/chart" uri="{C3380CC4-5D6E-409C-BE32-E72D297353CC}">
              <c16:uniqueId val="{00000008-CEA8-405E-B5B3-AF38AAF3801C}"/>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347.78362894374703</c:v>
                </c:pt>
                <c:pt idx="25">
                  <c:v>334.7711064029632</c:v>
                </c:pt>
                <c:pt idx="26">
                  <c:v>322.68272887954049</c:v>
                </c:pt>
                <c:pt idx="27">
                  <c:v>311.41618065562244</c:v>
                </c:pt>
                <c:pt idx="28">
                  <c:v>300.90566782326096</c:v>
                </c:pt>
                <c:pt idx="29">
                  <c:v>291.07755990826632</c:v>
                </c:pt>
                <c:pt idx="30">
                  <c:v>281.86748699432445</c:v>
                </c:pt>
                <c:pt idx="31">
                  <c:v>273.21892822060551</c:v>
                </c:pt>
                <c:pt idx="32">
                  <c:v>265.08205081298991</c:v>
                </c:pt>
                <c:pt idx="33">
                  <c:v>257.41274925986704</c:v>
                </c:pt>
                <c:pt idx="34">
                  <c:v>250.17184550236544</c:v>
                </c:pt>
                <c:pt idx="35">
                  <c:v>243.32441951451295</c:v>
                </c:pt>
                <c:pt idx="36">
                  <c:v>236.83924612954232</c:v>
                </c:pt>
                <c:pt idx="37">
                  <c:v>230.68831894614939</c:v>
                </c:pt>
                <c:pt idx="38">
                  <c:v>224.8464460006366</c:v>
                </c:pt>
                <c:pt idx="39">
                  <c:v>219.29090489334567</c:v>
                </c:pt>
                <c:pt idx="40">
                  <c:v>214.00114741385082</c:v>
                </c:pt>
                <c:pt idx="41">
                  <c:v>208.9585455700572</c:v>
                </c:pt>
                <c:pt idx="42">
                  <c:v>204.14617240473316</c:v>
                </c:pt>
                <c:pt idx="43">
                  <c:v>199.54861216441293</c:v>
                </c:pt>
                <c:pt idx="44">
                  <c:v>195.15179533488296</c:v>
                </c:pt>
                <c:pt idx="45">
                  <c:v>190.94285482419971</c:v>
                </c:pt>
                <c:pt idx="46">
                  <c:v>186.91000019657395</c:v>
                </c:pt>
                <c:pt idx="47">
                  <c:v>183.04240736806608</c:v>
                </c:pt>
                <c:pt idx="48">
                  <c:v>179.33012159091351</c:v>
                </c:pt>
                <c:pt idx="49">
                  <c:v>175.76397189552216</c:v>
                </c:pt>
                <c:pt idx="50">
                  <c:v>172.33549544190518</c:v>
                </c:pt>
                <c:pt idx="51">
                  <c:v>169.03687046691317</c:v>
                </c:pt>
                <c:pt idx="52">
                  <c:v>165.86085670892578</c:v>
                </c:pt>
                <c:pt idx="53">
                  <c:v>162.80074235492296</c:v>
                </c:pt>
                <c:pt idx="54">
                  <c:v>159.85029669177268</c:v>
                </c:pt>
                <c:pt idx="55">
                  <c:v>157.00372775879961</c:v>
                </c:pt>
                <c:pt idx="56">
                  <c:v>154.25564439598401</c:v>
                </c:pt>
                <c:pt idx="57">
                  <c:v>151.60102216453612</c:v>
                </c:pt>
                <c:pt idx="58">
                  <c:v>149.03517268658783</c:v>
                </c:pt>
                <c:pt idx="59">
                  <c:v>146.55371601037854</c:v>
                </c:pt>
                <c:pt idx="60">
                  <c:v>144.15255565826249</c:v>
                </c:pt>
                <c:pt idx="61">
                  <c:v>141.82785605851711</c:v>
                </c:pt>
                <c:pt idx="62">
                  <c:v>139.57602209942164</c:v>
                </c:pt>
                <c:pt idx="63">
                  <c:v>137.39368057636216</c:v>
                </c:pt>
                <c:pt idx="64">
                  <c:v>135.27766333059014</c:v>
                </c:pt>
                <c:pt idx="65">
                  <c:v>133.22499190237491</c:v>
                </c:pt>
                <c:pt idx="66">
                  <c:v>131.23286354220627</c:v>
                </c:pt>
                <c:pt idx="67">
                  <c:v>129.29863844188105</c:v>
                </c:pt>
                <c:pt idx="68">
                  <c:v>127.41982806314212</c:v>
                </c:pt>
                <c:pt idx="69">
                  <c:v>125.59408445536226</c:v>
                </c:pt>
                <c:pt idx="70">
                  <c:v>123.81919046585134</c:v>
                </c:pt>
                <c:pt idx="71">
                  <c:v>122.09305075696309</c:v>
                </c:pt>
                <c:pt idx="72">
                  <c:v>120.41368355348025</c:v>
                </c:pt>
                <c:pt idx="73">
                  <c:v>118.77921305193911</c:v>
                </c:pt>
                <c:pt idx="74">
                  <c:v>117.18786243076858</c:v>
                </c:pt>
                <c:pt idx="75">
                  <c:v>115.63794740648386</c:v>
                </c:pt>
                <c:pt idx="76">
                  <c:v>114.12787028680728</c:v>
                </c:pt>
                <c:pt idx="77">
                  <c:v>112.65611447657444</c:v>
                </c:pt>
                <c:pt idx="78">
                  <c:v>111.22123939671036</c:v>
                </c:pt>
                <c:pt idx="79">
                  <c:v>109.82187578049034</c:v>
                </c:pt>
                <c:pt idx="80">
                  <c:v>108.45672131480293</c:v>
                </c:pt>
                <c:pt idx="81">
                  <c:v>107.12453659724756</c:v>
                </c:pt>
                <c:pt idx="82">
                  <c:v>105.8241413826872</c:v>
                </c:pt>
                <c:pt idx="83">
                  <c:v>104.55441109536281</c:v>
                </c:pt>
                <c:pt idx="84">
                  <c:v>103.31427358490478</c:v>
                </c:pt>
                <c:pt idx="85">
                  <c:v>102.10270610657264</c:v>
                </c:pt>
                <c:pt idx="86">
                  <c:v>100.91873250784838</c:v>
                </c:pt>
                <c:pt idx="87">
                  <c:v>99.761420605115319</c:v>
                </c:pt>
                <c:pt idx="88">
                  <c:v>98.629879735607716</c:v>
                </c:pt>
                <c:pt idx="89">
                  <c:v>97.523258471118524</c:v>
                </c:pt>
                <c:pt idx="90">
                  <c:v>96.440742481131764</c:v>
                </c:pt>
                <c:pt idx="91">
                  <c:v>95.381552534108607</c:v>
                </c:pt>
                <c:pt idx="92">
                  <c:v>94.344942626617708</c:v>
                </c:pt>
                <c:pt idx="93">
                  <c:v>93.330198230869854</c:v>
                </c:pt>
                <c:pt idx="94">
                  <c:v>92.336634652006325</c:v>
                </c:pt>
                <c:pt idx="95">
                  <c:v>91.363595487203753</c:v>
                </c:pt>
                <c:pt idx="96">
                  <c:v>90.410451179308851</c:v>
                </c:pt>
                <c:pt idx="97">
                  <c:v>89.476597658305579</c:v>
                </c:pt>
                <c:pt idx="98">
                  <c:v>88.56145506445435</c:v>
                </c:pt>
                <c:pt idx="99">
                  <c:v>87.664466547432042</c:v>
                </c:pt>
                <c:pt idx="100">
                  <c:v>86.785097136246634</c:v>
                </c:pt>
              </c:numCache>
            </c:numRef>
          </c:val>
          <c:smooth val="0"/>
          <c:extLst>
            <c:ext xmlns:c16="http://schemas.microsoft.com/office/drawing/2014/chart" uri="{C3380CC4-5D6E-409C-BE32-E72D297353CC}">
              <c16:uniqueId val="{00000009-CEA8-405E-B5B3-AF38AAF3801C}"/>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349.86288604773813</c:v>
                </c:pt>
                <c:pt idx="61">
                  <c:v>344.52168384421304</c:v>
                </c:pt>
                <c:pt idx="62">
                  <c:v>339.34108994554043</c:v>
                </c:pt>
                <c:pt idx="63">
                  <c:v>334.31396765403355</c:v>
                </c:pt>
                <c:pt idx="64">
                  <c:v>329.43346017311495</c:v>
                </c:pt>
                <c:pt idx="65">
                  <c:v>324.69263270636736</c:v>
                </c:pt>
                <c:pt idx="66">
                  <c:v>320.08626446695831</c:v>
                </c:pt>
                <c:pt idx="67">
                  <c:v>315.60871506164466</c:v>
                </c:pt>
                <c:pt idx="68">
                  <c:v>311.25465522314454</c:v>
                </c:pt>
                <c:pt idx="69">
                  <c:v>307.01904564967822</c:v>
                </c:pt>
                <c:pt idx="70">
                  <c:v>302.8971175483436</c:v>
                </c:pt>
                <c:pt idx="71">
                  <c:v>298.88435472438755</c:v>
                </c:pt>
                <c:pt idx="72">
                  <c:v>294.97647707495042</c:v>
                </c:pt>
                <c:pt idx="73">
                  <c:v>291.16942536045076</c:v>
                </c:pt>
                <c:pt idx="74">
                  <c:v>287.45934713970553</c:v>
                </c:pt>
                <c:pt idx="75">
                  <c:v>283.84258376634034</c:v>
                </c:pt>
                <c:pt idx="76">
                  <c:v>280.31565835421753</c:v>
                </c:pt>
                <c:pt idx="77">
                  <c:v>276.87526462867402</c:v>
                </c:pt>
                <c:pt idx="78">
                  <c:v>273.51825658842256</c:v>
                </c:pt>
                <c:pt idx="79">
                  <c:v>270.24163891016781</c:v>
                </c:pt>
                <c:pt idx="80">
                  <c:v>267.04255803442459</c:v>
                </c:pt>
                <c:pt idx="81">
                  <c:v>263.91829387677535</c:v>
                </c:pt>
                <c:pt idx="82">
                  <c:v>260.86625211396534</c:v>
                </c:pt>
                <c:pt idx="83">
                  <c:v>257.88395699885399</c:v>
                </c:pt>
                <c:pt idx="84">
                  <c:v>254.96904466240133</c:v>
                </c:pt>
                <c:pt idx="85">
                  <c:v>252.11925686460367</c:v>
                </c:pt>
                <c:pt idx="86">
                  <c:v>249.33243515965921</c:v>
                </c:pt>
                <c:pt idx="87">
                  <c:v>246.60651544367877</c:v>
                </c:pt>
                <c:pt idx="88">
                  <c:v>243.93952285599892</c:v>
                </c:pt>
                <c:pt idx="89">
                  <c:v>241.32956700762691</c:v>
                </c:pt>
                <c:pt idx="90">
                  <c:v>238.77483751259095</c:v>
                </c:pt>
                <c:pt idx="91">
                  <c:v>236.27359979999756</c:v>
                </c:pt>
                <c:pt idx="92">
                  <c:v>233.82419118643423</c:v>
                </c:pt>
                <c:pt idx="93">
                  <c:v>231.4250171900338</c:v>
                </c:pt>
                <c:pt idx="94">
                  <c:v>229.07454806902365</c:v>
                </c:pt>
                <c:pt idx="95">
                  <c:v>226.77131556897467</c:v>
                </c:pt>
                <c:pt idx="96">
                  <c:v>224.51390986421256</c:v>
                </c:pt>
                <c:pt idx="97">
                  <c:v>222.30097668000428</c:v>
                </c:pt>
                <c:pt idx="98">
                  <c:v>220.13121458317571</c:v>
                </c:pt>
                <c:pt idx="99">
                  <c:v>218.00337242977082</c:v>
                </c:pt>
                <c:pt idx="100">
                  <c:v>215.91624695923517</c:v>
                </c:pt>
              </c:numCache>
            </c:numRef>
          </c:val>
          <c:smooth val="0"/>
          <c:extLst>
            <c:ext xmlns:c16="http://schemas.microsoft.com/office/drawing/2014/chart" uri="{C3380CC4-5D6E-409C-BE32-E72D297353CC}">
              <c16:uniqueId val="{0000000A-CEA8-405E-B5B3-AF38AAF3801C}"/>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349.95866578286689</c:v>
                </c:pt>
                <c:pt idx="82">
                  <c:v>345.98907874618919</c:v>
                </c:pt>
                <c:pt idx="83">
                  <c:v>342.10858700313742</c:v>
                </c:pt>
                <c:pt idx="84">
                  <c:v>338.31422398906062</c:v>
                </c:pt>
                <c:pt idx="85">
                  <c:v>334.60315340076636</c:v>
                </c:pt>
                <c:pt idx="86">
                  <c:v>330.97288265021632</c:v>
                </c:pt>
                <c:pt idx="87">
                  <c:v>327.42304683347294</c:v>
                </c:pt>
                <c:pt idx="88">
                  <c:v>323.94866926022524</c:v>
                </c:pt>
                <c:pt idx="89">
                  <c:v>320.54736920440024</c:v>
                </c:pt>
                <c:pt idx="90">
                  <c:v>317.21686504762022</c:v>
                </c:pt>
                <c:pt idx="91">
                  <c:v>313.95496917510638</c:v>
                </c:pt>
                <c:pt idx="92">
                  <c:v>310.75958318380293</c:v>
                </c:pt>
                <c:pt idx="93">
                  <c:v>307.6286933806644</c:v>
                </c:pt>
                <c:pt idx="94">
                  <c:v>304.56036655081243</c:v>
                </c:pt>
                <c:pt idx="95">
                  <c:v>301.55274597687458</c:v>
                </c:pt>
                <c:pt idx="96">
                  <c:v>298.60404769228091</c:v>
                </c:pt>
                <c:pt idx="97">
                  <c:v>295.71255695263335</c:v>
                </c:pt>
                <c:pt idx="98">
                  <c:v>292.87662491047882</c:v>
                </c:pt>
                <c:pt idx="99">
                  <c:v>290.09466547994089</c:v>
                </c:pt>
                <c:pt idx="100">
                  <c:v>287.36515237868002</c:v>
                </c:pt>
              </c:numCache>
            </c:numRef>
          </c:val>
          <c:smooth val="0"/>
          <c:extLst>
            <c:ext xmlns:c16="http://schemas.microsoft.com/office/drawing/2014/chart" uri="{C3380CC4-5D6E-409C-BE32-E72D297353CC}">
              <c16:uniqueId val="{0000000B-CEA8-405E-B5B3-AF38AAF3801C}"/>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CEA8-405E-B5B3-AF38AAF3801C}"/>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CEA8-405E-B5B3-AF38AAF3801C}"/>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CEA8-405E-B5B3-AF38AAF3801C}"/>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6.6666729551211308E-3</c:v>
                </c:pt>
                <c:pt idx="1">
                  <c:v>1.0719895980979079E-2</c:v>
                </c:pt>
                <c:pt idx="2">
                  <c:v>2.1439791961958159E-2</c:v>
                </c:pt>
                <c:pt idx="3">
                  <c:v>3.2159687942937228E-2</c:v>
                </c:pt>
                <c:pt idx="4">
                  <c:v>4.2879583923916317E-2</c:v>
                </c:pt>
                <c:pt idx="5">
                  <c:v>5.3599479904895386E-2</c:v>
                </c:pt>
                <c:pt idx="6">
                  <c:v>6.4319375885874455E-2</c:v>
                </c:pt>
                <c:pt idx="7">
                  <c:v>7.5039271866853552E-2</c:v>
                </c:pt>
                <c:pt idx="8">
                  <c:v>8.5759167847832635E-2</c:v>
                </c:pt>
                <c:pt idx="9">
                  <c:v>9.6479063828811662E-2</c:v>
                </c:pt>
                <c:pt idx="10">
                  <c:v>0.10719895980979077</c:v>
                </c:pt>
                <c:pt idx="11">
                  <c:v>0.11791885579076984</c:v>
                </c:pt>
                <c:pt idx="12">
                  <c:v>0.12863875177174891</c:v>
                </c:pt>
                <c:pt idx="13">
                  <c:v>0.13935864775272799</c:v>
                </c:pt>
                <c:pt idx="14">
                  <c:v>0.1500785437337071</c:v>
                </c:pt>
                <c:pt idx="15">
                  <c:v>0.16079843971468613</c:v>
                </c:pt>
                <c:pt idx="16">
                  <c:v>0.17151833569566527</c:v>
                </c:pt>
                <c:pt idx="17">
                  <c:v>0.18223823167664432</c:v>
                </c:pt>
                <c:pt idx="18">
                  <c:v>0.19295812765762332</c:v>
                </c:pt>
                <c:pt idx="19">
                  <c:v>0.20367802363860249</c:v>
                </c:pt>
                <c:pt idx="20">
                  <c:v>0.21439791961958155</c:v>
                </c:pt>
                <c:pt idx="21">
                  <c:v>0.22902349657250204</c:v>
                </c:pt>
                <c:pt idx="22">
                  <c:v>0.24342379488550633</c:v>
                </c:pt>
                <c:pt idx="23">
                  <c:v>0.24890517528594497</c:v>
                </c:pt>
                <c:pt idx="24">
                  <c:v>0.2542690828384529</c:v>
                </c:pt>
                <c:pt idx="25">
                  <c:v>0.25952278794917977</c:v>
                </c:pt>
                <c:pt idx="26">
                  <c:v>0.26467284065998603</c:v>
                </c:pt>
                <c:pt idx="27">
                  <c:v>0.26972516678139552</c:v>
                </c:pt>
                <c:pt idx="28">
                  <c:v>0.27468514813427447</c:v>
                </c:pt>
                <c:pt idx="29">
                  <c:v>0.2795576899976287</c:v>
                </c:pt>
                <c:pt idx="30">
                  <c:v>0.28434727817073902</c:v>
                </c:pt>
                <c:pt idx="31">
                  <c:v>0.2890580275397962</c:v>
                </c:pt>
                <c:pt idx="32">
                  <c:v>0.2936937236456108</c:v>
                </c:pt>
                <c:pt idx="33">
                  <c:v>0.29825785844704034</c:v>
                </c:pt>
                <c:pt idx="34">
                  <c:v>0.30275366124101211</c:v>
                </c:pt>
                <c:pt idx="35">
                  <c:v>0.30718412551750363</c:v>
                </c:pt>
                <c:pt idx="36">
                  <c:v>0.3115520323841936</c:v>
                </c:pt>
                <c:pt idx="37">
                  <c:v>0.31585997108159869</c:v>
                </c:pt>
                <c:pt idx="38">
                  <c:v>0.32011035701855822</c:v>
                </c:pt>
                <c:pt idx="39">
                  <c:v>0.32430544768483638</c:v>
                </c:pt>
                <c:pt idx="40">
                  <c:v>0.32844735673848058</c:v>
                </c:pt>
                <c:pt idx="41">
                  <c:v>0.33253806651748818</c:v>
                </c:pt>
                <c:pt idx="42">
                  <c:v>0.33657943918597627</c:v>
                </c:pt>
                <c:pt idx="43">
                  <c:v>0.34057322669270246</c:v>
                </c:pt>
                <c:pt idx="44">
                  <c:v>0.3445210796930353</c:v>
                </c:pt>
                <c:pt idx="45">
                  <c:v>0.34842455556326918</c:v>
                </c:pt>
                <c:pt idx="46">
                  <c:v>0.35228512561765274</c:v>
                </c:pt>
                <c:pt idx="47">
                  <c:v>0.35610418162298185</c:v>
                </c:pt>
                <c:pt idx="48">
                  <c:v>0.35988304169255442</c:v>
                </c:pt>
                <c:pt idx="49">
                  <c:v>0.36362295563025787</c:v>
                </c:pt>
                <c:pt idx="50">
                  <c:v>0.36732510978622007</c:v>
                </c:pt>
                <c:pt idx="51">
                  <c:v>0.37099063147750072</c:v>
                </c:pt>
                <c:pt idx="52">
                  <c:v>0.37462059302051787</c:v>
                </c:pt>
                <c:pt idx="53">
                  <c:v>0.37821601541609245</c:v>
                </c:pt>
                <c:pt idx="54">
                  <c:v>0.38177787172300143</c:v>
                </c:pt>
                <c:pt idx="55">
                  <c:v>0.38530709015162884</c:v>
                </c:pt>
                <c:pt idx="56">
                  <c:v>0.38880455690558502</c:v>
                </c:pt>
                <c:pt idx="57">
                  <c:v>0.39227111879594556</c:v>
                </c:pt>
                <c:pt idx="58">
                  <c:v>0.39570758564995867</c:v>
                </c:pt>
                <c:pt idx="59">
                  <c:v>0.39911473253363267</c:v>
                </c:pt>
                <c:pt idx="60">
                  <c:v>0.40233562338442924</c:v>
                </c:pt>
                <c:pt idx="61">
                  <c:v>0.39949159996140238</c:v>
                </c:pt>
                <c:pt idx="62">
                  <c:v>0.39670672512210892</c:v>
                </c:pt>
                <c:pt idx="63">
                  <c:v>0.39397899661486452</c:v>
                </c:pt>
                <c:pt idx="64">
                  <c:v>0.39130786123662342</c:v>
                </c:pt>
                <c:pt idx="65">
                  <c:v>0.38869752040588396</c:v>
                </c:pt>
                <c:pt idx="66">
                  <c:v>0.38613880086708502</c:v>
                </c:pt>
                <c:pt idx="67">
                  <c:v>0.38363004048370541</c:v>
                </c:pt>
                <c:pt idx="68">
                  <c:v>0.38116965032724714</c:v>
                </c:pt>
                <c:pt idx="69">
                  <c:v>0.37875611063335485</c:v>
                </c:pt>
                <c:pt idx="70">
                  <c:v>0.39214999780806281</c:v>
                </c:pt>
                <c:pt idx="71">
                  <c:v>0.39250356800354624</c:v>
                </c:pt>
                <c:pt idx="72">
                  <c:v>0.3928484130359704</c:v>
                </c:pt>
                <c:pt idx="73">
                  <c:v>0.39318487060933022</c:v>
                </c:pt>
                <c:pt idx="74">
                  <c:v>0.39351326122325569</c:v>
                </c:pt>
                <c:pt idx="75">
                  <c:v>0.39383388925483159</c:v>
                </c:pt>
                <c:pt idx="76">
                  <c:v>0.39414704395979988</c:v>
                </c:pt>
                <c:pt idx="77">
                  <c:v>0.39445300040006886</c:v>
                </c:pt>
                <c:pt idx="78">
                  <c:v>0.39475202030378015</c:v>
                </c:pt>
                <c:pt idx="79">
                  <c:v>0.39504435286358575</c:v>
                </c:pt>
                <c:pt idx="80">
                  <c:v>0.39533023547825369</c:v>
                </c:pt>
                <c:pt idx="81">
                  <c:v>0.39560989444224115</c:v>
                </c:pt>
                <c:pt idx="82">
                  <c:v>0.39588354558744349</c:v>
                </c:pt>
                <c:pt idx="83">
                  <c:v>0.39615139488094736</c:v>
                </c:pt>
                <c:pt idx="84">
                  <c:v>0.39641363898226373</c:v>
                </c:pt>
                <c:pt idx="85">
                  <c:v>0.39667046576321258</c:v>
                </c:pt>
                <c:pt idx="86">
                  <c:v>0.39692205479334536</c:v>
                </c:pt>
                <c:pt idx="87">
                  <c:v>0.39716857779354153</c:v>
                </c:pt>
                <c:pt idx="88">
                  <c:v>0.39741019906018948</c:v>
                </c:pt>
                <c:pt idx="89">
                  <c:v>0.39764707586214948</c:v>
                </c:pt>
                <c:pt idx="90">
                  <c:v>0.39787935881251851</c:v>
                </c:pt>
                <c:pt idx="91">
                  <c:v>0.39810719221704255</c:v>
                </c:pt>
                <c:pt idx="92">
                  <c:v>0.39833071440086693</c:v>
                </c:pt>
                <c:pt idx="93">
                  <c:v>0.398550058015185</c:v>
                </c:pt>
                <c:pt idx="94">
                  <c:v>0.39876535032520916</c:v>
                </c:pt>
                <c:pt idx="95">
                  <c:v>0.39897671348078001</c:v>
                </c:pt>
                <c:pt idx="96">
                  <c:v>0.39918426477082242</c:v>
                </c:pt>
                <c:pt idx="97">
                  <c:v>0.39938811686276193</c:v>
                </c:pt>
                <c:pt idx="98">
                  <c:v>0.39958837802792863</c:v>
                </c:pt>
                <c:pt idx="99">
                  <c:v>0.39978515235389656</c:v>
                </c:pt>
                <c:pt idx="100">
                  <c:v>0.39997853994463312</c:v>
                </c:pt>
              </c:numCache>
            </c:numRef>
          </c:val>
          <c:smooth val="0"/>
          <c:extLst>
            <c:ext xmlns:c16="http://schemas.microsoft.com/office/drawing/2014/chart" uri="{C3380CC4-5D6E-409C-BE32-E72D297353CC}">
              <c16:uniqueId val="{0000000F-CEA8-405E-B5B3-AF38AAF3801C}"/>
            </c:ext>
          </c:extLst>
        </c:ser>
        <c:ser>
          <c:idx val="7"/>
          <c:order val="7"/>
          <c:spPr>
            <a:ln w="25400">
              <a:solidFill>
                <a:srgbClr val="00B050"/>
              </a:solidFill>
              <a:prstDash val="dash"/>
            </a:ln>
          </c:spPr>
          <c:marker>
            <c:symbol val="none"/>
          </c:marker>
          <c:val>
            <c:numRef>
              <c:f>'Calculations - Dual'!$AU$110:$AU$210</c:f>
              <c:numCache>
                <c:formatCode>0.000</c:formatCode>
                <c:ptCount val="101"/>
                <c:pt idx="0">
                  <c:v>1.6007552455829924E-2</c:v>
                </c:pt>
                <c:pt idx="1">
                  <c:v>2.5795273338807052E-2</c:v>
                </c:pt>
                <c:pt idx="2">
                  <c:v>7.738582001642115E-2</c:v>
                </c:pt>
                <c:pt idx="3">
                  <c:v>7.738582001642115E-2</c:v>
                </c:pt>
                <c:pt idx="4">
                  <c:v>0.10318109335522821</c:v>
                </c:pt>
                <c:pt idx="5">
                  <c:v>0.12897636669403525</c:v>
                </c:pt>
                <c:pt idx="6">
                  <c:v>0.1547716400328423</c:v>
                </c:pt>
                <c:pt idx="7">
                  <c:v>0.1805669133716494</c:v>
                </c:pt>
                <c:pt idx="8">
                  <c:v>0.20636218671045642</c:v>
                </c:pt>
                <c:pt idx="9">
                  <c:v>0.23215746004926338</c:v>
                </c:pt>
                <c:pt idx="10">
                  <c:v>0.25795273338807051</c:v>
                </c:pt>
                <c:pt idx="11">
                  <c:v>0.28374800672687756</c:v>
                </c:pt>
                <c:pt idx="12">
                  <c:v>0.3095432800656846</c:v>
                </c:pt>
                <c:pt idx="13">
                  <c:v>0.33533855340449165</c:v>
                </c:pt>
                <c:pt idx="14">
                  <c:v>0.3611338267432988</c:v>
                </c:pt>
                <c:pt idx="15">
                  <c:v>0.38692910008210574</c:v>
                </c:pt>
                <c:pt idx="16">
                  <c:v>0.41272437342091284</c:v>
                </c:pt>
                <c:pt idx="17">
                  <c:v>0.43851964675971988</c:v>
                </c:pt>
                <c:pt idx="18">
                  <c:v>0.46431492009852676</c:v>
                </c:pt>
                <c:pt idx="19">
                  <c:v>0.49011019343733403</c:v>
                </c:pt>
                <c:pt idx="20">
                  <c:v>0.51590546677614102</c:v>
                </c:pt>
                <c:pt idx="21">
                  <c:v>0.55109897573441402</c:v>
                </c:pt>
                <c:pt idx="22">
                  <c:v>0.58575629897598225</c:v>
                </c:pt>
                <c:pt idx="23">
                  <c:v>0.59898180642203436</c:v>
                </c:pt>
                <c:pt idx="24">
                  <c:v>0.60805038334111861</c:v>
                </c:pt>
                <c:pt idx="25">
                  <c:v>0.59006051482295963</c:v>
                </c:pt>
                <c:pt idx="26">
                  <c:v>0.59162619899447821</c:v>
                </c:pt>
                <c:pt idx="27">
                  <c:v>0.59310347454198331</c:v>
                </c:pt>
                <c:pt idx="28">
                  <c:v>0.59448535847669604</c:v>
                </c:pt>
                <c:pt idx="29">
                  <c:v>0.59578114143534611</c:v>
                </c:pt>
                <c:pt idx="30">
                  <c:v>0.59699894556464217</c:v>
                </c:pt>
                <c:pt idx="31">
                  <c:v>0.59814590262354805</c:v>
                </c:pt>
                <c:pt idx="32">
                  <c:v>0.59922830047342568</c:v>
                </c:pt>
                <c:pt idx="33">
                  <c:v>0.60025170431408803</c:v>
                </c:pt>
                <c:pt idx="34">
                  <c:v>0.6012210576031769</c:v>
                </c:pt>
                <c:pt idx="35">
                  <c:v>0.60214076652303972</c:v>
                </c:pt>
                <c:pt idx="36">
                  <c:v>0.60301477104155032</c:v>
                </c:pt>
                <c:pt idx="37">
                  <c:v>0.603846604985249</c:v>
                </c:pt>
                <c:pt idx="38">
                  <c:v>0.60463944705711825</c:v>
                </c:pt>
                <c:pt idx="39">
                  <c:v>0.60539616435246169</c:v>
                </c:pt>
                <c:pt idx="40">
                  <c:v>0.60611934962906933</c:v>
                </c:pt>
                <c:pt idx="41">
                  <c:v>0.60681135335306968</c:v>
                </c:pt>
                <c:pt idx="42">
                  <c:v>0.60747431135532826</c:v>
                </c:pt>
                <c:pt idx="43">
                  <c:v>0.60811016878419066</c:v>
                </c:pt>
                <c:pt idx="44">
                  <c:v>0.60872070092057529</c:v>
                </c:pt>
                <c:pt idx="45">
                  <c:v>0.60930753132469051</c:v>
                </c:pt>
                <c:pt idx="46">
                  <c:v>0.60987214770510356</c:v>
                </c:pt>
                <c:pt idx="47">
                  <c:v>0.61041591583685473</c:v>
                </c:pt>
                <c:pt idx="48">
                  <c:v>0.61094009180281839</c:v>
                </c:pt>
                <c:pt idx="49">
                  <c:v>0.61144583278934617</c:v>
                </c:pt>
                <c:pt idx="50">
                  <c:v>0.61193420663154463</c:v>
                </c:pt>
                <c:pt idx="51">
                  <c:v>0.61240620027394144</c:v>
                </c:pt>
                <c:pt idx="52">
                  <c:v>0.61286272728765112</c:v>
                </c:pt>
                <c:pt idx="53">
                  <c:v>0.61330463456455431</c:v>
                </c:pt>
                <c:pt idx="54">
                  <c:v>0.61373270829171878</c:v>
                </c:pt>
                <c:pt idx="55">
                  <c:v>0.6141476792947681</c:v>
                </c:pt>
                <c:pt idx="56">
                  <c:v>0.61455022782660906</c:v>
                </c:pt>
                <c:pt idx="57">
                  <c:v>0.61494098786754858</c:v>
                </c:pt>
                <c:pt idx="58">
                  <c:v>0.6153205509939853</c:v>
                </c:pt>
                <c:pt idx="59">
                  <c:v>0.615689469865352</c:v>
                </c:pt>
                <c:pt idx="60">
                  <c:v>0.61604826137253621</c:v>
                </c:pt>
                <c:pt idx="61">
                  <c:v>0.61639740948551824</c:v>
                </c:pt>
                <c:pt idx="62">
                  <c:v>0.61673736783322219</c:v>
                </c:pt>
                <c:pt idx="63">
                  <c:v>0.61706856204450489</c:v>
                </c:pt>
                <c:pt idx="64">
                  <c:v>0.61739139187569503</c:v>
                </c:pt>
                <c:pt idx="65">
                  <c:v>0.61770623314704554</c:v>
                </c:pt>
                <c:pt idx="66">
                  <c:v>0.61801343950783094</c:v>
                </c:pt>
                <c:pt idx="67">
                  <c:v>0.61831334404751681</c:v>
                </c:pt>
                <c:pt idx="68">
                  <c:v>0.61860626076844472</c:v>
                </c:pt>
                <c:pt idx="69">
                  <c:v>0.6188924859337176</c:v>
                </c:pt>
                <c:pt idx="70">
                  <c:v>0.61917229930245665</c:v>
                </c:pt>
                <c:pt idx="71">
                  <c:v>0.61944596526325513</c:v>
                </c:pt>
                <c:pt idx="72">
                  <c:v>0.61971373387548623</c:v>
                </c:pt>
                <c:pt idx="73">
                  <c:v>0.6199758418270902</c:v>
                </c:pt>
                <c:pt idx="74">
                  <c:v>0.62023251331654849</c:v>
                </c:pt>
                <c:pt idx="75">
                  <c:v>0.62048396086595892</c:v>
                </c:pt>
                <c:pt idx="76">
                  <c:v>0.62073038607140729</c:v>
                </c:pt>
                <c:pt idx="77">
                  <c:v>0.62097198029620893</c:v>
                </c:pt>
                <c:pt idx="78">
                  <c:v>0.62120892531202809</c:v>
                </c:pt>
                <c:pt idx="79">
                  <c:v>0.62144139389239139</c:v>
                </c:pt>
                <c:pt idx="80">
                  <c:v>0.62166955036267113</c:v>
                </c:pt>
                <c:pt idx="81">
                  <c:v>0.62189355111021449</c:v>
                </c:pt>
                <c:pt idx="82">
                  <c:v>0.62211354505795113</c:v>
                </c:pt>
                <c:pt idx="83">
                  <c:v>0.62232967410449147</c:v>
                </c:pt>
                <c:pt idx="84">
                  <c:v>0.62254207353345159</c:v>
                </c:pt>
                <c:pt idx="85">
                  <c:v>0.6227508723944829</c:v>
                </c:pt>
                <c:pt idx="86">
                  <c:v>0.62295619385826728</c:v>
                </c:pt>
                <c:pt idx="87">
                  <c:v>0.62315815554752363</c:v>
                </c:pt>
                <c:pt idx="88">
                  <c:v>0.62335686984590288</c:v>
                </c:pt>
                <c:pt idx="89">
                  <c:v>0.62355244418646982</c:v>
                </c:pt>
                <c:pt idx="90">
                  <c:v>0.62374498132133072</c:v>
                </c:pt>
                <c:pt idx="91">
                  <c:v>0.62393457957383081</c:v>
                </c:pt>
                <c:pt idx="92">
                  <c:v>0.62412133307461859</c:v>
                </c:pt>
                <c:pt idx="93">
                  <c:v>0.62430533198276983</c:v>
                </c:pt>
                <c:pt idx="94">
                  <c:v>0.62448666269306485</c:v>
                </c:pt>
                <c:pt idx="95">
                  <c:v>0.6246654080304167</c:v>
                </c:pt>
                <c:pt idx="96">
                  <c:v>0.6248416474323728</c:v>
                </c:pt>
                <c:pt idx="97">
                  <c:v>0.62501545712053352</c:v>
                </c:pt>
                <c:pt idx="98">
                  <c:v>0.62518691026166495</c:v>
                </c:pt>
                <c:pt idx="99">
                  <c:v>0.62535607711922314</c:v>
                </c:pt>
                <c:pt idx="100">
                  <c:v>0.62552302519594716</c:v>
                </c:pt>
              </c:numCache>
            </c:numRef>
          </c:val>
          <c:smooth val="0"/>
          <c:extLst>
            <c:ext xmlns:c16="http://schemas.microsoft.com/office/drawing/2014/chart" uri="{C3380CC4-5D6E-409C-BE32-E72D297353CC}">
              <c16:uniqueId val="{00000010-CEA8-405E-B5B3-AF38AAF3801C}"/>
            </c:ext>
          </c:extLst>
        </c:ser>
        <c:ser>
          <c:idx val="8"/>
          <c:order val="8"/>
          <c:spPr>
            <a:ln w="25400">
              <a:solidFill>
                <a:srgbClr val="FF0000"/>
              </a:solidFill>
            </a:ln>
          </c:spPr>
          <c:marker>
            <c:symbol val="none"/>
          </c:marker>
          <c:val>
            <c:numRef>
              <c:f>'Calculations - Dual'!$AU$216:$AU$316</c:f>
              <c:numCache>
                <c:formatCode>0.000</c:formatCode>
                <c:ptCount val="101"/>
                <c:pt idx="0">
                  <c:v>4.4450096305018857E-3</c:v>
                </c:pt>
                <c:pt idx="1">
                  <c:v>7.1418986430508997E-3</c:v>
                </c:pt>
                <c:pt idx="2">
                  <c:v>1.4283797286101799E-2</c:v>
                </c:pt>
                <c:pt idx="3">
                  <c:v>2.1425695929152697E-2</c:v>
                </c:pt>
                <c:pt idx="4">
                  <c:v>2.8567594572203599E-2</c:v>
                </c:pt>
                <c:pt idx="5">
                  <c:v>3.5709493215254504E-2</c:v>
                </c:pt>
                <c:pt idx="6">
                  <c:v>4.2851391858305395E-2</c:v>
                </c:pt>
                <c:pt idx="7">
                  <c:v>4.9993290501356306E-2</c:v>
                </c:pt>
                <c:pt idx="8">
                  <c:v>5.7135189144407197E-2</c:v>
                </c:pt>
                <c:pt idx="9">
                  <c:v>6.4277087787458109E-2</c:v>
                </c:pt>
                <c:pt idx="10">
                  <c:v>7.1418986430509007E-2</c:v>
                </c:pt>
                <c:pt idx="11">
                  <c:v>7.8560885073559877E-2</c:v>
                </c:pt>
                <c:pt idx="12">
                  <c:v>8.5702783716610789E-2</c:v>
                </c:pt>
                <c:pt idx="13">
                  <c:v>9.2844682359661687E-2</c:v>
                </c:pt>
                <c:pt idx="14">
                  <c:v>9.9986581002712613E-2</c:v>
                </c:pt>
                <c:pt idx="15">
                  <c:v>0.10712847964576347</c:v>
                </c:pt>
                <c:pt idx="16">
                  <c:v>0.11427037828881439</c:v>
                </c:pt>
                <c:pt idx="17">
                  <c:v>0.12141227693186532</c:v>
                </c:pt>
                <c:pt idx="18">
                  <c:v>0.12855417557491622</c:v>
                </c:pt>
                <c:pt idx="19">
                  <c:v>0.13569607421796709</c:v>
                </c:pt>
                <c:pt idx="20">
                  <c:v>0.14283797286101801</c:v>
                </c:pt>
                <c:pt idx="21">
                  <c:v>0.15258194690509816</c:v>
                </c:pt>
                <c:pt idx="22">
                  <c:v>0.16217768230456678</c:v>
                </c:pt>
                <c:pt idx="23">
                  <c:v>0.1658271624504731</c:v>
                </c:pt>
                <c:pt idx="24">
                  <c:v>0.16939832686988923</c:v>
                </c:pt>
                <c:pt idx="25">
                  <c:v>0.17289602251059821</c:v>
                </c:pt>
                <c:pt idx="26">
                  <c:v>0.17632461607689578</c:v>
                </c:pt>
                <c:pt idx="27">
                  <c:v>0.17968805811828659</c:v>
                </c:pt>
                <c:pt idx="28">
                  <c:v>0.18298993652398965</c:v>
                </c:pt>
                <c:pt idx="29">
                  <c:v>0.18623352148818292</c:v>
                </c:pt>
                <c:pt idx="30">
                  <c:v>0.18942180355146779</c:v>
                </c:pt>
                <c:pt idx="31">
                  <c:v>0.19255752597866119</c:v>
                </c:pt>
                <c:pt idx="32">
                  <c:v>0.19564321247063418</c:v>
                </c:pt>
                <c:pt idx="33">
                  <c:v>0.19868119100662518</c:v>
                </c:pt>
                <c:pt idx="34">
                  <c:v>0.20167361445761348</c:v>
                </c:pt>
                <c:pt idx="35">
                  <c:v>0.20462247848966245</c:v>
                </c:pt>
                <c:pt idx="36">
                  <c:v>0.2075296371803737</c:v>
                </c:pt>
                <c:pt idx="37">
                  <c:v>0.21039681669566335</c:v>
                </c:pt>
                <c:pt idx="38">
                  <c:v>0.21322562731343511</c:v>
                </c:pt>
                <c:pt idx="39">
                  <c:v>0.21601757403199673</c:v>
                </c:pt>
                <c:pt idx="40">
                  <c:v>0.21877406596164642</c:v>
                </c:pt>
                <c:pt idx="41">
                  <c:v>0.22149642466579553</c:v>
                </c:pt>
                <c:pt idx="42">
                  <c:v>0.22418589159176103</c:v>
                </c:pt>
                <c:pt idx="43">
                  <c:v>0.22684363470978888</c:v>
                </c:pt>
                <c:pt idx="44">
                  <c:v>0.22947075446104456</c:v>
                </c:pt>
                <c:pt idx="45">
                  <c:v>0.23206828910049793</c:v>
                </c:pt>
                <c:pt idx="46">
                  <c:v>0.23463721950828426</c:v>
                </c:pt>
                <c:pt idx="47">
                  <c:v>0.23717847353277338</c:v>
                </c:pt>
                <c:pt idx="48">
                  <c:v>0.23969292991987989</c:v>
                </c:pt>
                <c:pt idx="49">
                  <c:v>0.24218142187579447</c:v>
                </c:pt>
                <c:pt idx="50">
                  <c:v>0.24464474030409109</c:v>
                </c:pt>
                <c:pt idx="51">
                  <c:v>0.2470836367528593</c:v>
                </c:pt>
                <c:pt idx="52">
                  <c:v>0.2494988261029944</c:v>
                </c:pt>
                <c:pt idx="53">
                  <c:v>0.25189098902489843</c:v>
                </c:pt>
                <c:pt idx="54">
                  <c:v>0.25426077422752008</c:v>
                </c:pt>
                <c:pt idx="55">
                  <c:v>0.25660880052079288</c:v>
                </c:pt>
                <c:pt idx="56">
                  <c:v>0.2589356587100522</c:v>
                </c:pt>
                <c:pt idx="57">
                  <c:v>0.26124191333886471</c:v>
                </c:pt>
                <c:pt idx="58">
                  <c:v>0.2635281042948367</c:v>
                </c:pt>
                <c:pt idx="59">
                  <c:v>0.26579474829134264</c:v>
                </c:pt>
                <c:pt idx="60">
                  <c:v>0.26804234023669399</c:v>
                </c:pt>
                <c:pt idx="61">
                  <c:v>0.27027135450102663</c:v>
                </c:pt>
                <c:pt idx="62">
                  <c:v>0.27248224609009269</c:v>
                </c:pt>
                <c:pt idx="63">
                  <c:v>0.27467545173418523</c:v>
                </c:pt>
                <c:pt idx="64">
                  <c:v>0.27685139089957445</c:v>
                </c:pt>
                <c:pt idx="65">
                  <c:v>0.27901046672909402</c:v>
                </c:pt>
                <c:pt idx="66">
                  <c:v>0.28115306691784592</c:v>
                </c:pt>
                <c:pt idx="67">
                  <c:v>0.28327956452941633</c:v>
                </c:pt>
                <c:pt idx="68">
                  <c:v>0.28539031875746429</c:v>
                </c:pt>
                <c:pt idx="69">
                  <c:v>0.28748567563708904</c:v>
                </c:pt>
                <c:pt idx="70">
                  <c:v>0.28956596870996409</c:v>
                </c:pt>
                <c:pt idx="71">
                  <c:v>0.29163151964685874</c:v>
                </c:pt>
                <c:pt idx="72">
                  <c:v>0.29368263883083701</c:v>
                </c:pt>
                <c:pt idx="73">
                  <c:v>0.2957196259041277</c:v>
                </c:pt>
                <c:pt idx="74">
                  <c:v>0.29774277028139401</c:v>
                </c:pt>
                <c:pt idx="75">
                  <c:v>0.29975235163189162</c:v>
                </c:pt>
                <c:pt idx="76">
                  <c:v>0.30174864033279025</c:v>
                </c:pt>
                <c:pt idx="77">
                  <c:v>0.30373189789573779</c:v>
                </c:pt>
                <c:pt idx="78">
                  <c:v>0.30570237736857431</c:v>
                </c:pt>
                <c:pt idx="79">
                  <c:v>0.30766032371393975</c:v>
                </c:pt>
                <c:pt idx="80">
                  <c:v>0.3096059741663833</c:v>
                </c:pt>
                <c:pt idx="81">
                  <c:v>0.31150276644441621</c:v>
                </c:pt>
                <c:pt idx="82">
                  <c:v>0.30986910372494375</c:v>
                </c:pt>
                <c:pt idx="83">
                  <c:v>0.30826076762056787</c:v>
                </c:pt>
                <c:pt idx="84">
                  <c:v>0.30119084103988875</c:v>
                </c:pt>
                <c:pt idx="85">
                  <c:v>0.30143624064220892</c:v>
                </c:pt>
                <c:pt idx="86">
                  <c:v>0.30167685294035984</c:v>
                </c:pt>
                <c:pt idx="87">
                  <c:v>0.30191739610512575</c:v>
                </c:pt>
                <c:pt idx="88">
                  <c:v>0.30215308059904328</c:v>
                </c:pt>
                <c:pt idx="89">
                  <c:v>0.30238405972241611</c:v>
                </c:pt>
                <c:pt idx="90">
                  <c:v>0.30261048039378124</c:v>
                </c:pt>
                <c:pt idx="91">
                  <c:v>0.30283248347857261</c:v>
                </c:pt>
                <c:pt idx="92">
                  <c:v>0.3030502040976813</c:v>
                </c:pt>
                <c:pt idx="93">
                  <c:v>0.30326377191733067</c:v>
                </c:pt>
                <c:pt idx="94">
                  <c:v>0.30347331142157419</c:v>
                </c:pt>
                <c:pt idx="95">
                  <c:v>0.30367894216861924</c:v>
                </c:pt>
                <c:pt idx="96">
                  <c:v>0.3038807790320856</c:v>
                </c:pt>
                <c:pt idx="97">
                  <c:v>0.30407893242822237</c:v>
                </c:pt>
                <c:pt idx="98">
                  <c:v>0.30427350853002622</c:v>
                </c:pt>
                <c:pt idx="99">
                  <c:v>0.30446460946913478</c:v>
                </c:pt>
                <c:pt idx="100">
                  <c:v>0.30465233352630228</c:v>
                </c:pt>
              </c:numCache>
            </c:numRef>
          </c:val>
          <c:smooth val="0"/>
          <c:extLst>
            <c:ext xmlns:c16="http://schemas.microsoft.com/office/drawing/2014/chart" uri="{C3380CC4-5D6E-409C-BE32-E72D297353CC}">
              <c16:uniqueId val="{00000011-CEA8-405E-B5B3-AF38AAF3801C}"/>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1.3564659966250534</c:v>
                </c:pt>
                <c:pt idx="22">
                  <c:v>1.3883872109822417</c:v>
                </c:pt>
                <c:pt idx="23">
                  <c:v>1.4195908196512457</c:v>
                </c:pt>
                <c:pt idx="24">
                  <c:v>1.450123147479945</c:v>
                </c:pt>
                <c:pt idx="25">
                  <c:v>1.4617758513432355</c:v>
                </c:pt>
                <c:pt idx="26">
                  <c:v>1.5203567708152046</c:v>
                </c:pt>
                <c:pt idx="27">
                  <c:v>1.5789937880031371</c:v>
                </c:pt>
                <c:pt idx="28">
                  <c:v>1.6376428652031318</c:v>
                </c:pt>
                <c:pt idx="29">
                  <c:v>1.6963040108194807</c:v>
                </c:pt>
                <c:pt idx="30">
                  <c:v>1.7549772332625844</c:v>
                </c:pt>
                <c:pt idx="31">
                  <c:v>1.8136625409489615</c:v>
                </c:pt>
                <c:pt idx="32">
                  <c:v>1.8723599423012514</c:v>
                </c:pt>
                <c:pt idx="33">
                  <c:v>1.9310694457482236</c:v>
                </c:pt>
                <c:pt idx="34">
                  <c:v>1.9897910597247785</c:v>
                </c:pt>
                <c:pt idx="35">
                  <c:v>2.0485247926719596</c:v>
                </c:pt>
                <c:pt idx="36">
                  <c:v>2.1072706530369554</c:v>
                </c:pt>
                <c:pt idx="37">
                  <c:v>2.1660286492731067</c:v>
                </c:pt>
                <c:pt idx="38">
                  <c:v>2.2247987898399093</c:v>
                </c:pt>
                <c:pt idx="39">
                  <c:v>2.283581083203027</c:v>
                </c:pt>
                <c:pt idx="40">
                  <c:v>2.3423755378342901</c:v>
                </c:pt>
                <c:pt idx="41">
                  <c:v>2.4011821622117067</c:v>
                </c:pt>
                <c:pt idx="42">
                  <c:v>2.4600009648194643</c:v>
                </c:pt>
                <c:pt idx="43">
                  <c:v>2.5188319541479411</c:v>
                </c:pt>
                <c:pt idx="44">
                  <c:v>2.5776751386937065</c:v>
                </c:pt>
                <c:pt idx="45">
                  <c:v>2.6365305269595298</c:v>
                </c:pt>
                <c:pt idx="46">
                  <c:v>2.6953981274543874</c:v>
                </c:pt>
                <c:pt idx="47">
                  <c:v>2.7542779486934652</c:v>
                </c:pt>
                <c:pt idx="48">
                  <c:v>2.8131699991981676</c:v>
                </c:pt>
                <c:pt idx="49">
                  <c:v>2.8720742874961238</c:v>
                </c:pt>
                <c:pt idx="50">
                  <c:v>2.9309908221211907</c:v>
                </c:pt>
                <c:pt idx="51">
                  <c:v>2.989919611613463</c:v>
                </c:pt>
                <c:pt idx="52">
                  <c:v>3.0488606645192755</c:v>
                </c:pt>
                <c:pt idx="53">
                  <c:v>3.1078139893912118</c:v>
                </c:pt>
                <c:pt idx="54">
                  <c:v>3.1667795947881081</c:v>
                </c:pt>
                <c:pt idx="55">
                  <c:v>3.2257574892750616</c:v>
                </c:pt>
                <c:pt idx="56">
                  <c:v>3.2847476814234349</c:v>
                </c:pt>
                <c:pt idx="57">
                  <c:v>3.343750179810864</c:v>
                </c:pt>
                <c:pt idx="58">
                  <c:v>3.4027649930212607</c:v>
                </c:pt>
                <c:pt idx="59">
                  <c:v>3.4617921296448224</c:v>
                </c:pt>
                <c:pt idx="60">
                  <c:v>3.5208315982780367</c:v>
                </c:pt>
                <c:pt idx="61">
                  <c:v>3.5798834075236892</c:v>
                </c:pt>
                <c:pt idx="62">
                  <c:v>3.6389475659908639</c:v>
                </c:pt>
                <c:pt idx="63">
                  <c:v>3.6980240822949559</c:v>
                </c:pt>
                <c:pt idx="64">
                  <c:v>3.7571129650576762</c:v>
                </c:pt>
                <c:pt idx="65">
                  <c:v>3.8162142229070559</c:v>
                </c:pt>
                <c:pt idx="66">
                  <c:v>3.8753278644774531</c:v>
                </c:pt>
                <c:pt idx="67">
                  <c:v>3.9344538984095552</c:v>
                </c:pt>
                <c:pt idx="68">
                  <c:v>3.9935923333503967</c:v>
                </c:pt>
                <c:pt idx="69">
                  <c:v>4.0527431779533512</c:v>
                </c:pt>
                <c:pt idx="70">
                  <c:v>4.1119064408781467</c:v>
                </c:pt>
                <c:pt idx="71">
                  <c:v>4.1710821307908672</c:v>
                </c:pt>
                <c:pt idx="72">
                  <c:v>4.2302702563639629</c:v>
                </c:pt>
                <c:pt idx="73">
                  <c:v>4.2894708262762533</c:v>
                </c:pt>
                <c:pt idx="74">
                  <c:v>4.348683849212934</c:v>
                </c:pt>
                <c:pt idx="75">
                  <c:v>4.4079093338655815</c:v>
                </c:pt>
                <c:pt idx="76">
                  <c:v>4.4671472889321642</c:v>
                </c:pt>
                <c:pt idx="77">
                  <c:v>4.5263977231170465</c:v>
                </c:pt>
                <c:pt idx="78">
                  <c:v>4.5856606451309867</c:v>
                </c:pt>
                <c:pt idx="79">
                  <c:v>4.6449360636911585</c:v>
                </c:pt>
                <c:pt idx="80">
                  <c:v>4.7042239875211456</c:v>
                </c:pt>
                <c:pt idx="81">
                  <c:v>4.7635244253509521</c:v>
                </c:pt>
                <c:pt idx="82">
                  <c:v>4.8228373859170093</c:v>
                </c:pt>
                <c:pt idx="83">
                  <c:v>4.8821628779621795</c:v>
                </c:pt>
                <c:pt idx="84">
                  <c:v>4.9415009102357619</c:v>
                </c:pt>
                <c:pt idx="85">
                  <c:v>5.000851491493508</c:v>
                </c:pt>
                <c:pt idx="86">
                  <c:v>5.0602146304976134</c:v>
                </c:pt>
                <c:pt idx="87">
                  <c:v>5.1195903360167305</c:v>
                </c:pt>
                <c:pt idx="88">
                  <c:v>5.1789786168259813</c:v>
                </c:pt>
                <c:pt idx="89">
                  <c:v>5.2383794817069553</c:v>
                </c:pt>
                <c:pt idx="90">
                  <c:v>5.2977929394477181</c:v>
                </c:pt>
                <c:pt idx="91">
                  <c:v>5.3572189988428169</c:v>
                </c:pt>
                <c:pt idx="92">
                  <c:v>5.416657668693289</c:v>
                </c:pt>
                <c:pt idx="93">
                  <c:v>5.4761089578066686</c:v>
                </c:pt>
                <c:pt idx="94">
                  <c:v>5.5355728749969897</c:v>
                </c:pt>
                <c:pt idx="95">
                  <c:v>5.5950494290847947</c:v>
                </c:pt>
                <c:pt idx="96">
                  <c:v>5.6545386288971429</c:v>
                </c:pt>
                <c:pt idx="97">
                  <c:v>5.7140404832676106</c:v>
                </c:pt>
                <c:pt idx="98">
                  <c:v>5.7735550010363035</c:v>
                </c:pt>
                <c:pt idx="99">
                  <c:v>5.8330821910498578</c:v>
                </c:pt>
                <c:pt idx="100">
                  <c:v>5.8926220621614558</c:v>
                </c:pt>
              </c:numCache>
            </c:numRef>
          </c:val>
          <c:smooth val="0"/>
          <c:extLst>
            <c:ext xmlns:c16="http://schemas.microsoft.com/office/drawing/2014/chart" uri="{C3380CC4-5D6E-409C-BE32-E72D297353CC}">
              <c16:uniqueId val="{00000000-E5BE-46CE-908E-4F68425D4B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Dual'!$AI$5:$AI$105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1.3564659966250534</c:v>
                </c:pt>
                <c:pt idx="22">
                  <c:v>1.3883872109822417</c:v>
                </c:pt>
                <c:pt idx="23">
                  <c:v>1.4195908196512457</c:v>
                </c:pt>
                <c:pt idx="24">
                  <c:v>1.450123147479945</c:v>
                </c:pt>
                <c:pt idx="25">
                  <c:v>1.4800257398019097</c:v>
                </c:pt>
                <c:pt idx="26">
                  <c:v>1.5093360255739068</c:v>
                </c:pt>
                <c:pt idx="27">
                  <c:v>1.5380878667079738</c:v>
                </c:pt>
                <c:pt idx="28">
                  <c:v>1.5663120165960973</c:v>
                </c:pt>
                <c:pt idx="29">
                  <c:v>1.5940365055268906</c:v>
                </c:pt>
                <c:pt idx="30">
                  <c:v>1.6212869667555549</c:v>
                </c:pt>
                <c:pt idx="31">
                  <c:v>1.6480869140280423</c:v>
                </c:pt>
                <c:pt idx="32">
                  <c:v>1.6744579791113072</c:v>
                </c:pt>
                <c:pt idx="33">
                  <c:v>1.7004201161561725</c:v>
                </c:pt>
                <c:pt idx="34">
                  <c:v>1.7259917783835526</c:v>
                </c:pt>
                <c:pt idx="35">
                  <c:v>1.7511900715418263</c:v>
                </c:pt>
                <c:pt idx="36">
                  <c:v>1.7760308877622915</c:v>
                </c:pt>
                <c:pt idx="37">
                  <c:v>1.8005290227887918</c:v>
                </c:pt>
                <c:pt idx="38">
                  <c:v>1.8246982790378821</c:v>
                </c:pt>
                <c:pt idx="39">
                  <c:v>1.8485515565282071</c:v>
                </c:pt>
                <c:pt idx="40">
                  <c:v>1.872100933379903</c:v>
                </c:pt>
                <c:pt idx="41">
                  <c:v>1.8953577373100183</c:v>
                </c:pt>
                <c:pt idx="42">
                  <c:v>1.9183326093250876</c:v>
                </c:pt>
                <c:pt idx="43">
                  <c:v>1.9410355606271223</c:v>
                </c:pt>
                <c:pt idx="44">
                  <c:v>1.9634760235964419</c:v>
                </c:pt>
                <c:pt idx="45">
                  <c:v>1.9856628975878918</c:v>
                </c:pt>
                <c:pt idx="46">
                  <c:v>2.0076045901711299</c:v>
                </c:pt>
                <c:pt idx="47">
                  <c:v>2.0293090543569843</c:v>
                </c:pt>
                <c:pt idx="48">
                  <c:v>2.0507838222772983</c:v>
                </c:pt>
                <c:pt idx="49">
                  <c:v>2.0720360357226735</c:v>
                </c:pt>
                <c:pt idx="50">
                  <c:v>2.0930724738891344</c:v>
                </c:pt>
                <c:pt idx="51">
                  <c:v>2.1138995786393044</c:v>
                </c:pt>
                <c:pt idx="52">
                  <c:v>2.1345234775449238</c:v>
                </c:pt>
                <c:pt idx="53">
                  <c:v>2.15495000494432</c:v>
                </c:pt>
                <c:pt idx="54">
                  <c:v>2.1751847212199178</c:v>
                </c:pt>
                <c:pt idx="55">
                  <c:v>2.1952329304763127</c:v>
                </c:pt>
                <c:pt idx="56">
                  <c:v>2.2150996967781529</c:v>
                </c:pt>
                <c:pt idx="57">
                  <c:v>2.2347898590887048</c:v>
                </c:pt>
                <c:pt idx="58">
                  <c:v>2.2543080450339437</c:v>
                </c:pt>
                <c:pt idx="59">
                  <c:v>2.2736586836031059</c:v>
                </c:pt>
                <c:pt idx="60">
                  <c:v>2.2928460168844431</c:v>
                </c:pt>
                <c:pt idx="61">
                  <c:v>2.3118741109242746</c:v>
                </c:pt>
                <c:pt idx="62">
                  <c:v>2.3307468657880785</c:v>
                </c:pt>
                <c:pt idx="63">
                  <c:v>2.3494680248941462</c:v>
                </c:pt>
                <c:pt idx="64">
                  <c:v>2.3680411836830553</c:v>
                </c:pt>
                <c:pt idx="65">
                  <c:v>2.3864697976798483</c:v>
                </c:pt>
                <c:pt idx="66">
                  <c:v>2.404757190000093</c:v>
                </c:pt>
                <c:pt idx="67">
                  <c:v>2.422906558346027</c:v>
                </c:pt>
                <c:pt idx="68">
                  <c:v>2.4409209815344775</c:v>
                </c:pt>
                <c:pt idx="69">
                  <c:v>2.4588034255943039</c:v>
                </c:pt>
                <c:pt idx="70">
                  <c:v>2.5802677262911553</c:v>
                </c:pt>
                <c:pt idx="71">
                  <c:v>2.6171362611823068</c:v>
                </c:pt>
                <c:pt idx="72">
                  <c:v>2.6540050177834109</c:v>
                </c:pt>
                <c:pt idx="73">
                  <c:v>2.6908739964510611</c:v>
                </c:pt>
                <c:pt idx="74">
                  <c:v>2.7277431975418831</c:v>
                </c:pt>
                <c:pt idx="75">
                  <c:v>2.7646126214125317</c:v>
                </c:pt>
                <c:pt idx="76">
                  <c:v>2.8014822684196941</c:v>
                </c:pt>
                <c:pt idx="77">
                  <c:v>2.838352138920091</c:v>
                </c:pt>
                <c:pt idx="78">
                  <c:v>2.8752222332704731</c:v>
                </c:pt>
                <c:pt idx="79">
                  <c:v>2.9120925518276226</c:v>
                </c:pt>
                <c:pt idx="80">
                  <c:v>2.9489630949483518</c:v>
                </c:pt>
                <c:pt idx="81">
                  <c:v>2.9858338629895087</c:v>
                </c:pt>
                <c:pt idx="82">
                  <c:v>3.022704856307969</c:v>
                </c:pt>
                <c:pt idx="83">
                  <c:v>3.0595760752606425</c:v>
                </c:pt>
                <c:pt idx="84">
                  <c:v>3.0964475202044688</c:v>
                </c:pt>
                <c:pt idx="85">
                  <c:v>3.1333191914964202</c:v>
                </c:pt>
                <c:pt idx="86">
                  <c:v>3.170191089493501</c:v>
                </c:pt>
                <c:pt idx="87">
                  <c:v>3.2070632145527469</c:v>
                </c:pt>
                <c:pt idx="88">
                  <c:v>3.2439355670312251</c:v>
                </c:pt>
                <c:pt idx="89">
                  <c:v>3.2808081472860326</c:v>
                </c:pt>
                <c:pt idx="90">
                  <c:v>3.3176809556743025</c:v>
                </c:pt>
                <c:pt idx="91">
                  <c:v>3.3545539925531966</c:v>
                </c:pt>
                <c:pt idx="92">
                  <c:v>3.3914272582799101</c:v>
                </c:pt>
                <c:pt idx="93">
                  <c:v>3.4283007532116661</c:v>
                </c:pt>
                <c:pt idx="94">
                  <c:v>3.4651744777057241</c:v>
                </c:pt>
                <c:pt idx="95">
                  <c:v>3.5020484321193734</c:v>
                </c:pt>
                <c:pt idx="96">
                  <c:v>3.5389226168099368</c:v>
                </c:pt>
                <c:pt idx="97">
                  <c:v>3.5757970321347665</c:v>
                </c:pt>
                <c:pt idx="98">
                  <c:v>3.6126716784512465</c:v>
                </c:pt>
                <c:pt idx="99">
                  <c:v>3.6495465561167948</c:v>
                </c:pt>
                <c:pt idx="100">
                  <c:v>3.6864216654888606</c:v>
                </c:pt>
              </c:numCache>
            </c:numRef>
          </c:val>
          <c:smooth val="0"/>
          <c:extLst>
            <c:ext xmlns:c16="http://schemas.microsoft.com/office/drawing/2014/chart" uri="{C3380CC4-5D6E-409C-BE32-E72D297353CC}">
              <c16:uniqueId val="{00000001-E5BE-46CE-908E-4F68425D4B37}"/>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1.3564659966250534</c:v>
                </c:pt>
                <c:pt idx="22">
                  <c:v>1.3883872109822417</c:v>
                </c:pt>
                <c:pt idx="23">
                  <c:v>1.4195908196512457</c:v>
                </c:pt>
                <c:pt idx="24">
                  <c:v>1.450123147479945</c:v>
                </c:pt>
                <c:pt idx="25">
                  <c:v>1.4800257398019097</c:v>
                </c:pt>
                <c:pt idx="26">
                  <c:v>1.5093360255739068</c:v>
                </c:pt>
                <c:pt idx="27">
                  <c:v>1.5380878667079738</c:v>
                </c:pt>
                <c:pt idx="28">
                  <c:v>1.5663120165960973</c:v>
                </c:pt>
                <c:pt idx="29">
                  <c:v>1.5940365055268906</c:v>
                </c:pt>
                <c:pt idx="30">
                  <c:v>1.6212869667555549</c:v>
                </c:pt>
                <c:pt idx="31">
                  <c:v>1.6480869140280423</c:v>
                </c:pt>
                <c:pt idx="32">
                  <c:v>1.6744579791113072</c:v>
                </c:pt>
                <c:pt idx="33">
                  <c:v>1.7004201161561725</c:v>
                </c:pt>
                <c:pt idx="34">
                  <c:v>1.7259917783835526</c:v>
                </c:pt>
                <c:pt idx="35">
                  <c:v>1.7511900715418263</c:v>
                </c:pt>
                <c:pt idx="36">
                  <c:v>1.7760308877622915</c:v>
                </c:pt>
                <c:pt idx="37">
                  <c:v>1.8005290227887918</c:v>
                </c:pt>
                <c:pt idx="38">
                  <c:v>1.8246982790378821</c:v>
                </c:pt>
                <c:pt idx="39">
                  <c:v>1.8485515565282071</c:v>
                </c:pt>
                <c:pt idx="40">
                  <c:v>1.872100933379903</c:v>
                </c:pt>
                <c:pt idx="41">
                  <c:v>1.8953577373100183</c:v>
                </c:pt>
                <c:pt idx="42">
                  <c:v>1.9183326093250876</c:v>
                </c:pt>
                <c:pt idx="43">
                  <c:v>1.9410355606271223</c:v>
                </c:pt>
                <c:pt idx="44">
                  <c:v>1.9634760235964419</c:v>
                </c:pt>
                <c:pt idx="45">
                  <c:v>1.9856628975878918</c:v>
                </c:pt>
                <c:pt idx="46">
                  <c:v>2.0076045901711299</c:v>
                </c:pt>
                <c:pt idx="47">
                  <c:v>2.0293090543569843</c:v>
                </c:pt>
                <c:pt idx="48">
                  <c:v>2.0507838222772983</c:v>
                </c:pt>
                <c:pt idx="49">
                  <c:v>2.0720360357226735</c:v>
                </c:pt>
                <c:pt idx="50">
                  <c:v>2.0930724738891344</c:v>
                </c:pt>
                <c:pt idx="51">
                  <c:v>2.1138995786393044</c:v>
                </c:pt>
                <c:pt idx="52">
                  <c:v>2.1345234775449238</c:v>
                </c:pt>
                <c:pt idx="53">
                  <c:v>2.15495000494432</c:v>
                </c:pt>
                <c:pt idx="54">
                  <c:v>2.1751847212199178</c:v>
                </c:pt>
                <c:pt idx="55">
                  <c:v>2.1952329304763127</c:v>
                </c:pt>
                <c:pt idx="56">
                  <c:v>2.2150996967781529</c:v>
                </c:pt>
                <c:pt idx="57">
                  <c:v>2.2347898590887048</c:v>
                </c:pt>
                <c:pt idx="58">
                  <c:v>2.2543080450339437</c:v>
                </c:pt>
                <c:pt idx="59">
                  <c:v>2.2736586836031059</c:v>
                </c:pt>
                <c:pt idx="60">
                  <c:v>2.2928460168844431</c:v>
                </c:pt>
                <c:pt idx="61">
                  <c:v>2.3118741109242746</c:v>
                </c:pt>
                <c:pt idx="62">
                  <c:v>2.3307468657880785</c:v>
                </c:pt>
                <c:pt idx="63">
                  <c:v>2.3494680248941462</c:v>
                </c:pt>
                <c:pt idx="64">
                  <c:v>2.3680411836830553</c:v>
                </c:pt>
                <c:pt idx="65">
                  <c:v>2.3864697976798483</c:v>
                </c:pt>
                <c:pt idx="66">
                  <c:v>2.404757190000093</c:v>
                </c:pt>
                <c:pt idx="67">
                  <c:v>2.422906558346027</c:v>
                </c:pt>
                <c:pt idx="68">
                  <c:v>2.4409209815344775</c:v>
                </c:pt>
                <c:pt idx="69">
                  <c:v>2.4588034255943039</c:v>
                </c:pt>
                <c:pt idx="70">
                  <c:v>2.4765567494675613</c:v>
                </c:pt>
                <c:pt idx="71">
                  <c:v>2.4941837103454065</c:v>
                </c:pt>
                <c:pt idx="72">
                  <c:v>2.511686968666961</c:v>
                </c:pt>
                <c:pt idx="73">
                  <c:v>2.5290690928067732</c:v>
                </c:pt>
                <c:pt idx="74">
                  <c:v>2.546332563474285</c:v>
                </c:pt>
                <c:pt idx="75">
                  <c:v>2.5634797778466227</c:v>
                </c:pt>
                <c:pt idx="76">
                  <c:v>2.5805130534542191</c:v>
                </c:pt>
                <c:pt idx="77">
                  <c:v>2.5974346318370873</c:v>
                </c:pt>
                <c:pt idx="78">
                  <c:v>2.6142466819880856</c:v>
                </c:pt>
                <c:pt idx="79">
                  <c:v>2.6309513035981418</c:v>
                </c:pt>
                <c:pt idx="80">
                  <c:v>2.6475505301171891</c:v>
                </c:pt>
                <c:pt idx="81">
                  <c:v>2.6640463316434375</c:v>
                </c:pt>
                <c:pt idx="82">
                  <c:v>2.6804406176526099</c:v>
                </c:pt>
                <c:pt idx="83">
                  <c:v>2.6967352395778401</c:v>
                </c:pt>
                <c:pt idx="84">
                  <c:v>2.664399212021344</c:v>
                </c:pt>
                <c:pt idx="85">
                  <c:v>2.6961064038631934</c:v>
                </c:pt>
                <c:pt idx="86">
                  <c:v>2.72781241508451</c:v>
                </c:pt>
                <c:pt idx="87">
                  <c:v>2.7595071201148778</c:v>
                </c:pt>
                <c:pt idx="88">
                  <c:v>2.7912012764871394</c:v>
                </c:pt>
                <c:pt idx="89">
                  <c:v>2.8228948843401991</c:v>
                </c:pt>
                <c:pt idx="90">
                  <c:v>2.8545879438129607</c:v>
                </c:pt>
                <c:pt idx="91">
                  <c:v>2.886280455044322</c:v>
                </c:pt>
                <c:pt idx="92">
                  <c:v>2.9179724181731785</c:v>
                </c:pt>
                <c:pt idx="93">
                  <c:v>2.9496638333384197</c:v>
                </c:pt>
                <c:pt idx="94">
                  <c:v>2.981354700678934</c:v>
                </c:pt>
                <c:pt idx="95">
                  <c:v>3.0130450203336037</c:v>
                </c:pt>
                <c:pt idx="96">
                  <c:v>3.0447347924413095</c:v>
                </c:pt>
                <c:pt idx="97">
                  <c:v>3.0764240171409249</c:v>
                </c:pt>
                <c:pt idx="98">
                  <c:v>3.1081126945713238</c:v>
                </c:pt>
                <c:pt idx="99">
                  <c:v>3.1398008248713722</c:v>
                </c:pt>
                <c:pt idx="100">
                  <c:v>3.1714884081799366</c:v>
                </c:pt>
              </c:numCache>
            </c:numRef>
          </c:val>
          <c:smooth val="0"/>
          <c:extLst>
            <c:ext xmlns:c16="http://schemas.microsoft.com/office/drawing/2014/chart" uri="{C3380CC4-5D6E-409C-BE32-E72D297353CC}">
              <c16:uniqueId val="{00000002-E5BE-46CE-908E-4F68425D4B37}"/>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1.0091713341705955</c:v>
                </c:pt>
                <c:pt idx="2">
                  <c:v>1.0275140025117862</c:v>
                </c:pt>
                <c:pt idx="3">
                  <c:v>1.0275140025117862</c:v>
                </c:pt>
                <c:pt idx="4">
                  <c:v>1.0366853366823814</c:v>
                </c:pt>
                <c:pt idx="5">
                  <c:v>1.0458566708529768</c:v>
                </c:pt>
                <c:pt idx="6">
                  <c:v>1.0550280050235721</c:v>
                </c:pt>
                <c:pt idx="7">
                  <c:v>1.0641993391941675</c:v>
                </c:pt>
                <c:pt idx="8">
                  <c:v>1.0733706733647628</c:v>
                </c:pt>
                <c:pt idx="9">
                  <c:v>1.0825420075353582</c:v>
                </c:pt>
                <c:pt idx="10">
                  <c:v>1.0917133417059535</c:v>
                </c:pt>
                <c:pt idx="11">
                  <c:v>1.1008846758765489</c:v>
                </c:pt>
                <c:pt idx="12">
                  <c:v>1.1100560100471442</c:v>
                </c:pt>
                <c:pt idx="13">
                  <c:v>1.1192273442177396</c:v>
                </c:pt>
                <c:pt idx="14">
                  <c:v>1.1283986783883351</c:v>
                </c:pt>
                <c:pt idx="15">
                  <c:v>1.1375700125589303</c:v>
                </c:pt>
                <c:pt idx="16">
                  <c:v>1.1467413467295258</c:v>
                </c:pt>
                <c:pt idx="17">
                  <c:v>1.155912680900121</c:v>
                </c:pt>
                <c:pt idx="18">
                  <c:v>1.1650840150707165</c:v>
                </c:pt>
                <c:pt idx="19">
                  <c:v>1.1742553492413117</c:v>
                </c:pt>
                <c:pt idx="20">
                  <c:v>1.1834266834119072</c:v>
                </c:pt>
                <c:pt idx="21">
                  <c:v>1.1925980175825024</c:v>
                </c:pt>
                <c:pt idx="22">
                  <c:v>1.2407806501103023</c:v>
                </c:pt>
                <c:pt idx="23">
                  <c:v>1.2638944343095646</c:v>
                </c:pt>
                <c:pt idx="24">
                  <c:v>1.2865109734419344</c:v>
                </c:pt>
                <c:pt idx="25">
                  <c:v>1.2951426059332607</c:v>
                </c:pt>
                <c:pt idx="26">
                  <c:v>1.3385358796162008</c:v>
                </c:pt>
                <c:pt idx="27">
                  <c:v>1.3819707071628173</c:v>
                </c:pt>
                <c:pt idx="28">
                  <c:v>1.4254144680517025</c:v>
                </c:pt>
                <c:pt idx="29">
                  <c:v>1.468867168508257</c:v>
                </c:pt>
                <c:pt idx="30">
                  <c:v>1.5123288147624081</c:v>
                </c:pt>
                <c:pt idx="31">
                  <c:v>1.5557994130486132</c:v>
                </c:pt>
                <c:pt idx="32">
                  <c:v>1.5992789696058651</c:v>
                </c:pt>
                <c:pt idx="33">
                  <c:v>1.6427674906776963</c:v>
                </c:pt>
                <c:pt idx="34">
                  <c:v>1.6862649825121814</c:v>
                </c:pt>
                <c:pt idx="35">
                  <c:v>1.7297714513619451</c:v>
                </c:pt>
                <c:pt idx="36">
                  <c:v>1.7732869034841643</c:v>
                </c:pt>
                <c:pt idx="37">
                  <c:v>1.8168113451405727</c:v>
                </c:pt>
                <c:pt idx="38">
                  <c:v>1.8603447825974635</c:v>
                </c:pt>
                <c:pt idx="39">
                  <c:v>1.9038872221256988</c:v>
                </c:pt>
                <c:pt idx="40">
                  <c:v>1.9474386700007085</c:v>
                </c:pt>
                <c:pt idx="41">
                  <c:v>1.9909991325024987</c:v>
                </c:pt>
                <c:pt idx="42">
                  <c:v>2.0345686159156524</c:v>
                </c:pt>
                <c:pt idx="43">
                  <c:v>2.078147126529339</c:v>
                </c:pt>
                <c:pt idx="44">
                  <c:v>2.1217346706373132</c:v>
                </c:pt>
                <c:pt idx="45">
                  <c:v>2.1653312545379233</c:v>
                </c:pt>
                <c:pt idx="46">
                  <c:v>2.208936884534114</c:v>
                </c:pt>
                <c:pt idx="47">
                  <c:v>2.2525515669334308</c:v>
                </c:pt>
                <c:pt idx="48">
                  <c:v>2.2961753080480252</c:v>
                </c:pt>
                <c:pt idx="49">
                  <c:v>2.3398081141946596</c:v>
                </c:pt>
                <c:pt idx="50">
                  <c:v>2.3834499916947092</c:v>
                </c:pt>
                <c:pt idx="51">
                  <c:v>2.42710094687417</c:v>
                </c:pt>
                <c:pt idx="52">
                  <c:v>2.4707609860636608</c:v>
                </c:pt>
                <c:pt idx="53">
                  <c:v>2.5144301155984286</c:v>
                </c:pt>
                <c:pt idx="54">
                  <c:v>2.5581083418183512</c:v>
                </c:pt>
                <c:pt idx="55">
                  <c:v>2.6017956710679471</c:v>
                </c:pt>
                <c:pt idx="56">
                  <c:v>2.6454921096963711</c:v>
                </c:pt>
                <c:pt idx="57">
                  <c:v>2.68919766405743</c:v>
                </c:pt>
                <c:pt idx="58">
                  <c:v>2.7329123405095759</c:v>
                </c:pt>
                <c:pt idx="59">
                  <c:v>2.7766361454159174</c:v>
                </c:pt>
                <c:pt idx="60">
                  <c:v>2.8203690851442245</c:v>
                </c:pt>
                <c:pt idx="61">
                  <c:v>2.8641111660669303</c:v>
                </c:pt>
                <c:pt idx="62">
                  <c:v>2.9078623945611337</c:v>
                </c:pt>
                <c:pt idx="63">
                  <c:v>2.951622777008609</c:v>
                </c:pt>
                <c:pt idx="64">
                  <c:v>2.9953923197958092</c:v>
                </c:pt>
                <c:pt idx="65">
                  <c:v>3.0391710293138683</c:v>
                </c:pt>
                <c:pt idx="66">
                  <c:v>3.0829589119586069</c:v>
                </c:pt>
                <c:pt idx="67">
                  <c:v>3.1267559741305346</c:v>
                </c:pt>
                <c:pt idx="68">
                  <c:v>3.1705622222348619</c:v>
                </c:pt>
                <c:pt idx="69">
                  <c:v>3.2143776626814944</c:v>
                </c:pt>
                <c:pt idx="70">
                  <c:v>3.2582023018850466</c:v>
                </c:pt>
                <c:pt idx="71">
                  <c:v>3.3020361462648395</c:v>
                </c:pt>
                <c:pt idx="72">
                  <c:v>3.3458792022449106</c:v>
                </c:pt>
                <c:pt idx="73">
                  <c:v>3.3897314762540143</c:v>
                </c:pt>
                <c:pt idx="74">
                  <c:v>3.43359297472563</c:v>
                </c:pt>
                <c:pt idx="75">
                  <c:v>3.4774637040979615</c:v>
                </c:pt>
                <c:pt idx="76">
                  <c:v>3.5213436708139483</c:v>
                </c:pt>
                <c:pt idx="77">
                  <c:v>3.5652328813212684</c:v>
                </c:pt>
                <c:pt idx="78">
                  <c:v>3.6091313420723354</c:v>
                </c:pt>
                <c:pt idx="79">
                  <c:v>3.653039059524315</c:v>
                </c:pt>
                <c:pt idx="80">
                  <c:v>3.6969560401391197</c:v>
                </c:pt>
                <c:pt idx="81">
                  <c:v>3.7408822903834213</c:v>
                </c:pt>
                <c:pt idx="82">
                  <c:v>3.7848178167286486</c:v>
                </c:pt>
                <c:pt idx="83">
                  <c:v>3.828762625650997</c:v>
                </c:pt>
                <c:pt idx="84">
                  <c:v>3.8727167236314282</c:v>
                </c:pt>
                <c:pt idx="85">
                  <c:v>3.9166801171556846</c:v>
                </c:pt>
                <c:pt idx="86">
                  <c:v>3.9606528127142813</c:v>
                </c:pt>
                <c:pt idx="87">
                  <c:v>4.0046348168025165</c:v>
                </c:pt>
                <c:pt idx="88">
                  <c:v>4.0486261359204798</c:v>
                </c:pt>
                <c:pt idx="89">
                  <c:v>4.0926267765730531</c:v>
                </c:pt>
                <c:pt idx="90">
                  <c:v>4.1366367452699144</c:v>
                </c:pt>
                <c:pt idx="91">
                  <c:v>4.1806560485255435</c:v>
                </c:pt>
                <c:pt idx="92">
                  <c:v>4.2246846928592268</c:v>
                </c:pt>
                <c:pt idx="93">
                  <c:v>4.2687226847950637</c:v>
                </c:pt>
                <c:pt idx="94">
                  <c:v>4.3127700308619676</c:v>
                </c:pt>
                <c:pt idx="95">
                  <c:v>4.3568267375936758</c:v>
                </c:pt>
                <c:pt idx="96">
                  <c:v>4.400892811528748</c:v>
                </c:pt>
                <c:pt idx="97">
                  <c:v>4.4449682592105759</c:v>
                </c:pt>
                <c:pt idx="98">
                  <c:v>4.4890530871873855</c:v>
                </c:pt>
                <c:pt idx="99">
                  <c:v>4.5331473020122397</c:v>
                </c:pt>
                <c:pt idx="100">
                  <c:v>4.5772509102430536</c:v>
                </c:pt>
              </c:numCache>
            </c:numRef>
          </c:val>
          <c:smooth val="0"/>
          <c:extLst>
            <c:ext xmlns:c16="http://schemas.microsoft.com/office/drawing/2014/chart" uri="{C3380CC4-5D6E-409C-BE32-E72D297353CC}">
              <c16:uniqueId val="{00000000-DC32-4242-87FA-45A0737872EA}"/>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Dual'!$AJ$5:$AJ$105</c:f>
              <c:numCache>
                <c:formatCode>0.000</c:formatCode>
                <c:ptCount val="101"/>
                <c:pt idx="0">
                  <c:v>1.0057142857142858</c:v>
                </c:pt>
                <c:pt idx="1">
                  <c:v>1.0091713341705955</c:v>
                </c:pt>
                <c:pt idx="2">
                  <c:v>1.0183426683411907</c:v>
                </c:pt>
                <c:pt idx="3">
                  <c:v>1.0275140025117862</c:v>
                </c:pt>
                <c:pt idx="4">
                  <c:v>1.0366853366823814</c:v>
                </c:pt>
                <c:pt idx="5">
                  <c:v>1.0458566708529768</c:v>
                </c:pt>
                <c:pt idx="6">
                  <c:v>1.0550280050235721</c:v>
                </c:pt>
                <c:pt idx="7">
                  <c:v>1.0641993391941675</c:v>
                </c:pt>
                <c:pt idx="8">
                  <c:v>1.0733706733647628</c:v>
                </c:pt>
                <c:pt idx="9">
                  <c:v>1.0825420075353582</c:v>
                </c:pt>
                <c:pt idx="10">
                  <c:v>1.0917133417059535</c:v>
                </c:pt>
                <c:pt idx="11">
                  <c:v>1.1008846758765489</c:v>
                </c:pt>
                <c:pt idx="12">
                  <c:v>1.1100560100471442</c:v>
                </c:pt>
                <c:pt idx="13">
                  <c:v>1.1192273442177396</c:v>
                </c:pt>
                <c:pt idx="14">
                  <c:v>1.1283986783883351</c:v>
                </c:pt>
                <c:pt idx="15">
                  <c:v>1.1375700125589303</c:v>
                </c:pt>
                <c:pt idx="16">
                  <c:v>1.1467413467295258</c:v>
                </c:pt>
                <c:pt idx="17">
                  <c:v>1.155912680900121</c:v>
                </c:pt>
                <c:pt idx="18">
                  <c:v>1.1650840150707165</c:v>
                </c:pt>
                <c:pt idx="19">
                  <c:v>1.1742553492413117</c:v>
                </c:pt>
                <c:pt idx="20">
                  <c:v>1.1834266834119072</c:v>
                </c:pt>
                <c:pt idx="21">
                  <c:v>1.1925980175825024</c:v>
                </c:pt>
                <c:pt idx="22">
                  <c:v>1.2407806501103023</c:v>
                </c:pt>
                <c:pt idx="23">
                  <c:v>1.2638944343095646</c:v>
                </c:pt>
                <c:pt idx="24">
                  <c:v>1.2865109734419344</c:v>
                </c:pt>
                <c:pt idx="25">
                  <c:v>1.3086610418285749</c:v>
                </c:pt>
                <c:pt idx="26">
                  <c:v>1.3303723646226469</c:v>
                </c:pt>
                <c:pt idx="27">
                  <c:v>1.3516700247219557</c:v>
                </c:pt>
                <c:pt idx="28">
                  <c:v>1.3725768024168621</c:v>
                </c:pt>
                <c:pt idx="29">
                  <c:v>1.3931134608841163</c:v>
                </c:pt>
                <c:pt idx="30">
                  <c:v>1.413298987720164</c:v>
                </c:pt>
                <c:pt idx="31">
                  <c:v>1.433150800514599</c:v>
                </c:pt>
                <c:pt idx="32">
                  <c:v>1.452684922798499</c:v>
                </c:pt>
                <c:pt idx="33">
                  <c:v>1.4719161354243251</c:v>
                </c:pt>
                <c:pt idx="34">
                  <c:v>1.4908581074446068</c:v>
                </c:pt>
                <c:pt idx="35">
                  <c:v>1.5095235097840687</c:v>
                </c:pt>
                <c:pt idx="36">
                  <c:v>1.5279241143918207</c:v>
                </c:pt>
                <c:pt idx="37">
                  <c:v>1.5460708810781172</c:v>
                </c:pt>
                <c:pt idx="38">
                  <c:v>1.563974033855221</c:v>
                </c:pt>
                <c:pt idx="39">
                  <c:v>1.581643128292499</c:v>
                </c:pt>
                <c:pt idx="40">
                  <c:v>1.5990871111456071</c:v>
                </c:pt>
                <c:pt idx="41">
                  <c:v>1.6163143733160628</c:v>
                </c:pt>
                <c:pt idx="42">
                  <c:v>1.633332797030929</c:v>
                </c:pt>
                <c:pt idx="43">
                  <c:v>1.6501497979953992</c:v>
                </c:pt>
                <c:pt idx="44">
                  <c:v>1.6667723631578582</c:v>
                </c:pt>
                <c:pt idx="45">
                  <c:v>1.6832070846330063</c:v>
                </c:pt>
                <c:pt idx="46">
                  <c:v>1.6994601902502195</c:v>
                </c:pt>
                <c:pt idx="47">
                  <c:v>1.71553757112863</c:v>
                </c:pt>
                <c:pt idx="48">
                  <c:v>1.7314448066251589</c:v>
                </c:pt>
                <c:pt idx="49">
                  <c:v>1.7471871869550666</c:v>
                </c:pt>
                <c:pt idx="50">
                  <c:v>1.7627697337450376</c:v>
                </c:pt>
                <c:pt idx="51">
                  <c:v>1.7781972187451636</c:v>
                </c:pt>
                <c:pt idx="52">
                  <c:v>1.7934741808974741</c:v>
                </c:pt>
                <c:pt idx="53">
                  <c:v>1.808604941934064</c:v>
                </c:pt>
                <c:pt idx="54">
                  <c:v>1.8235936206567291</c:v>
                </c:pt>
                <c:pt idx="55">
                  <c:v>1.8384441460318364</c:v>
                </c:pt>
                <c:pt idx="56">
                  <c:v>1.8531602692183846</c:v>
                </c:pt>
                <c:pt idx="57">
                  <c:v>1.8677455746336082</c:v>
                </c:pt>
                <c:pt idx="58">
                  <c:v>1.8822034901486</c:v>
                </c:pt>
                <c:pt idx="59">
                  <c:v>1.8965372964961276</c:v>
                </c:pt>
                <c:pt idx="60">
                  <c:v>1.9107501359637848</c:v>
                </c:pt>
                <c:pt idx="61">
                  <c:v>1.9248450204377341</c:v>
                </c:pt>
                <c:pt idx="62">
                  <c:v>1.9388248388553666</c:v>
                </c:pt>
                <c:pt idx="63">
                  <c:v>1.9526923641191205</c:v>
                </c:pt>
                <c:pt idx="64">
                  <c:v>1.9664502595183124</c:v>
                </c:pt>
                <c:pt idx="65">
                  <c:v>1.980101084701122</c:v>
                </c:pt>
                <c:pt idx="66">
                  <c:v>1.9936473012346365</c:v>
                </c:pt>
                <c:pt idx="67">
                  <c:v>2.0070912777871803</c:v>
                </c:pt>
                <c:pt idx="68">
                  <c:v>2.0204352949638102</c:v>
                </c:pt>
                <c:pt idx="69">
                  <c:v>2.033681549822941</c:v>
                </c:pt>
                <c:pt idx="70">
                  <c:v>2.1236551058946826</c:v>
                </c:pt>
                <c:pt idx="71">
                  <c:v>2.1509651317399801</c:v>
                </c:pt>
                <c:pt idx="72">
                  <c:v>2.1782753218148723</c:v>
                </c:pt>
                <c:pt idx="73">
                  <c:v>2.2055856763835018</c:v>
                </c:pt>
                <c:pt idx="74">
                  <c:v>2.2328961957100368</c:v>
                </c:pt>
                <c:pt idx="75">
                  <c:v>2.2602068800586652</c:v>
                </c:pt>
                <c:pt idx="76">
                  <c:v>2.2875177296936005</c:v>
                </c:pt>
                <c:pt idx="77">
                  <c:v>2.3148287448790796</c:v>
                </c:pt>
                <c:pt idx="78">
                  <c:v>2.3421399258793625</c:v>
                </c:pt>
                <c:pt idx="79">
                  <c:v>2.3694512729587327</c:v>
                </c:pt>
                <c:pt idx="80">
                  <c:v>2.3967627863814949</c:v>
                </c:pt>
                <c:pt idx="81">
                  <c:v>2.424074466411982</c:v>
                </c:pt>
                <c:pt idx="82">
                  <c:v>2.4513863133145448</c:v>
                </c:pt>
                <c:pt idx="83">
                  <c:v>2.4786983273535625</c:v>
                </c:pt>
                <c:pt idx="84">
                  <c:v>2.5060105087934339</c:v>
                </c:pt>
                <c:pt idx="85">
                  <c:v>2.5333228578985825</c:v>
                </c:pt>
                <c:pt idx="86">
                  <c:v>2.5606353749334572</c:v>
                </c:pt>
                <c:pt idx="87">
                  <c:v>2.5879480601625282</c:v>
                </c:pt>
                <c:pt idx="88">
                  <c:v>2.6152609138502898</c:v>
                </c:pt>
                <c:pt idx="89">
                  <c:v>2.6425739362612584</c:v>
                </c:pt>
                <c:pt idx="90">
                  <c:v>2.6698871276599769</c:v>
                </c:pt>
                <c:pt idx="91">
                  <c:v>2.6972004883110099</c:v>
                </c:pt>
                <c:pt idx="92">
                  <c:v>2.7245140184789456</c:v>
                </c:pt>
                <c:pt idx="93">
                  <c:v>2.7518277184283946</c:v>
                </c:pt>
                <c:pt idx="94">
                  <c:v>2.7791415884239932</c:v>
                </c:pt>
                <c:pt idx="95">
                  <c:v>2.8064556287303999</c:v>
                </c:pt>
                <c:pt idx="96">
                  <c:v>2.833769839612299</c:v>
                </c:pt>
                <c:pt idx="97">
                  <c:v>2.8610842213343948</c:v>
                </c:pt>
                <c:pt idx="98">
                  <c:v>2.8883987741614172</c:v>
                </c:pt>
                <c:pt idx="99">
                  <c:v>2.9157134983581194</c:v>
                </c:pt>
                <c:pt idx="100">
                  <c:v>2.9430283941892794</c:v>
                </c:pt>
              </c:numCache>
            </c:numRef>
          </c:val>
          <c:smooth val="0"/>
          <c:extLst>
            <c:ext xmlns:c16="http://schemas.microsoft.com/office/drawing/2014/chart" uri="{C3380CC4-5D6E-409C-BE32-E72D297353CC}">
              <c16:uniqueId val="{00000001-DC32-4242-87FA-45A0737872EA}"/>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1.0091712069817571</c:v>
                </c:pt>
                <c:pt idx="2">
                  <c:v>1.0183424139635142</c:v>
                </c:pt>
                <c:pt idx="3">
                  <c:v>1.0275136209452713</c:v>
                </c:pt>
                <c:pt idx="4">
                  <c:v>1.0366848279270284</c:v>
                </c:pt>
                <c:pt idx="5">
                  <c:v>1.0458560349087855</c:v>
                </c:pt>
                <c:pt idx="6">
                  <c:v>1.0550272418905426</c:v>
                </c:pt>
                <c:pt idx="7">
                  <c:v>1.0641984488722998</c:v>
                </c:pt>
                <c:pt idx="8">
                  <c:v>1.0733696558540569</c:v>
                </c:pt>
                <c:pt idx="9">
                  <c:v>1.082540862835814</c:v>
                </c:pt>
                <c:pt idx="10">
                  <c:v>1.0917120698175711</c:v>
                </c:pt>
                <c:pt idx="11">
                  <c:v>1.1008832767993282</c:v>
                </c:pt>
                <c:pt idx="12">
                  <c:v>1.1100544837810853</c:v>
                </c:pt>
                <c:pt idx="13">
                  <c:v>1.1192256907628424</c:v>
                </c:pt>
                <c:pt idx="14">
                  <c:v>1.1283968977445995</c:v>
                </c:pt>
                <c:pt idx="15">
                  <c:v>1.1375681047263566</c:v>
                </c:pt>
                <c:pt idx="16">
                  <c:v>1.1467393117081137</c:v>
                </c:pt>
                <c:pt idx="17">
                  <c:v>1.1559105186898708</c:v>
                </c:pt>
                <c:pt idx="18">
                  <c:v>1.1650817256716279</c:v>
                </c:pt>
                <c:pt idx="19">
                  <c:v>1.174252932653385</c:v>
                </c:pt>
                <c:pt idx="20">
                  <c:v>1.1834241396351421</c:v>
                </c:pt>
                <c:pt idx="21">
                  <c:v>1.1925953466168993</c:v>
                </c:pt>
                <c:pt idx="22">
                  <c:v>1.2407806501103023</c:v>
                </c:pt>
                <c:pt idx="23">
                  <c:v>1.2638944343095646</c:v>
                </c:pt>
                <c:pt idx="24">
                  <c:v>1.2865109734419344</c:v>
                </c:pt>
                <c:pt idx="25">
                  <c:v>1.3086610418285749</c:v>
                </c:pt>
                <c:pt idx="26">
                  <c:v>1.3303723646226469</c:v>
                </c:pt>
                <c:pt idx="27">
                  <c:v>1.3516700247219557</c:v>
                </c:pt>
                <c:pt idx="28">
                  <c:v>1.3725768024168621</c:v>
                </c:pt>
                <c:pt idx="29">
                  <c:v>1.3931134608841163</c:v>
                </c:pt>
                <c:pt idx="30">
                  <c:v>1.413298987720164</c:v>
                </c:pt>
                <c:pt idx="31">
                  <c:v>1.433150800514599</c:v>
                </c:pt>
                <c:pt idx="32">
                  <c:v>1.452684922798499</c:v>
                </c:pt>
                <c:pt idx="33">
                  <c:v>1.4719161354243251</c:v>
                </c:pt>
                <c:pt idx="34">
                  <c:v>1.4908581074446068</c:v>
                </c:pt>
                <c:pt idx="35">
                  <c:v>1.5095235097840687</c:v>
                </c:pt>
                <c:pt idx="36">
                  <c:v>1.5279241143918207</c:v>
                </c:pt>
                <c:pt idx="37">
                  <c:v>1.5460708810781172</c:v>
                </c:pt>
                <c:pt idx="38">
                  <c:v>1.563974033855221</c:v>
                </c:pt>
                <c:pt idx="39">
                  <c:v>1.581643128292499</c:v>
                </c:pt>
                <c:pt idx="40">
                  <c:v>1.5990871111456071</c:v>
                </c:pt>
                <c:pt idx="41">
                  <c:v>1.6163143733160628</c:v>
                </c:pt>
                <c:pt idx="42">
                  <c:v>1.633332797030929</c:v>
                </c:pt>
                <c:pt idx="43">
                  <c:v>1.6501497979953992</c:v>
                </c:pt>
                <c:pt idx="44">
                  <c:v>1.6667723631578582</c:v>
                </c:pt>
                <c:pt idx="45">
                  <c:v>1.6832070846330063</c:v>
                </c:pt>
                <c:pt idx="46">
                  <c:v>1.6994601902502195</c:v>
                </c:pt>
                <c:pt idx="47">
                  <c:v>1.71553757112863</c:v>
                </c:pt>
                <c:pt idx="48">
                  <c:v>1.7314448066251589</c:v>
                </c:pt>
                <c:pt idx="49">
                  <c:v>1.7471871869550666</c:v>
                </c:pt>
                <c:pt idx="50">
                  <c:v>1.7627697337450376</c:v>
                </c:pt>
                <c:pt idx="51">
                  <c:v>1.7781972187451636</c:v>
                </c:pt>
                <c:pt idx="52">
                  <c:v>1.7934741808974741</c:v>
                </c:pt>
                <c:pt idx="53">
                  <c:v>1.808604941934064</c:v>
                </c:pt>
                <c:pt idx="54">
                  <c:v>1.8235936206567291</c:v>
                </c:pt>
                <c:pt idx="55">
                  <c:v>1.8384441460318364</c:v>
                </c:pt>
                <c:pt idx="56">
                  <c:v>1.8531602692183846</c:v>
                </c:pt>
                <c:pt idx="57">
                  <c:v>1.8677455746336082</c:v>
                </c:pt>
                <c:pt idx="58">
                  <c:v>1.8822034901486</c:v>
                </c:pt>
                <c:pt idx="59">
                  <c:v>1.8965372964961276</c:v>
                </c:pt>
                <c:pt idx="60">
                  <c:v>1.9107501359637848</c:v>
                </c:pt>
                <c:pt idx="61">
                  <c:v>1.9248450204377341</c:v>
                </c:pt>
                <c:pt idx="62">
                  <c:v>1.9388248388553666</c:v>
                </c:pt>
                <c:pt idx="63">
                  <c:v>1.9526923641191205</c:v>
                </c:pt>
                <c:pt idx="64">
                  <c:v>1.9664502595183124</c:v>
                </c:pt>
                <c:pt idx="65">
                  <c:v>1.980101084701122</c:v>
                </c:pt>
                <c:pt idx="66">
                  <c:v>1.9936473012346365</c:v>
                </c:pt>
                <c:pt idx="67">
                  <c:v>2.0070912777871803</c:v>
                </c:pt>
                <c:pt idx="68">
                  <c:v>2.0204352949638102</c:v>
                </c:pt>
                <c:pt idx="69">
                  <c:v>2.033681549822941</c:v>
                </c:pt>
                <c:pt idx="70">
                  <c:v>2.0468321600994281</c:v>
                </c:pt>
                <c:pt idx="71">
                  <c:v>2.059889168157091</c:v>
                </c:pt>
                <c:pt idx="72">
                  <c:v>2.0728545446915758</c:v>
                </c:pt>
                <c:pt idx="73">
                  <c:v>2.085730192202548</c:v>
                </c:pt>
                <c:pt idx="74">
                  <c:v>2.0985179482525567</c:v>
                </c:pt>
                <c:pt idx="75">
                  <c:v>2.1112195885283622</c:v>
                </c:pt>
                <c:pt idx="76">
                  <c:v>2.1238368297191745</c:v>
                </c:pt>
                <c:pt idx="77">
                  <c:v>2.1363713322250026</c:v>
                </c:pt>
                <c:pt idx="78">
                  <c:v>2.1488247027072238</c:v>
                </c:pt>
                <c:pt idx="79">
                  <c:v>2.1611984964924504</c:v>
                </c:pt>
                <c:pt idx="80">
                  <c:v>2.1734942198398928</c:v>
                </c:pt>
                <c:pt idx="81">
                  <c:v>2.1857133320815585</c:v>
                </c:pt>
                <c:pt idx="82">
                  <c:v>2.1978572476439084</c:v>
                </c:pt>
                <c:pt idx="83">
                  <c:v>2.2099273379588937</c:v>
                </c:pt>
                <c:pt idx="84">
                  <c:v>2.185974724954082</c:v>
                </c:pt>
                <c:pt idx="85">
                  <c:v>2.2094615337258219</c:v>
                </c:pt>
                <c:pt idx="86">
                  <c:v>2.2329474679638341</c:v>
                </c:pt>
                <c:pt idx="87">
                  <c:v>2.2564250272455881</c:v>
                </c:pt>
                <c:pt idx="88">
                  <c:v>2.2799021801139303</c:v>
                </c:pt>
                <c:pt idx="89">
                  <c:v>2.3033789266717521</c:v>
                </c:pt>
                <c:pt idx="90">
                  <c:v>2.326855267021946</c:v>
                </c:pt>
                <c:pt idx="91">
                  <c:v>2.3503312012673989</c:v>
                </c:pt>
                <c:pt idx="92">
                  <c:v>2.3738067295109961</c:v>
                </c:pt>
                <c:pt idx="93">
                  <c:v>2.3972818518556194</c:v>
                </c:pt>
                <c:pt idx="94">
                  <c:v>2.4207565684041485</c:v>
                </c:pt>
                <c:pt idx="95">
                  <c:v>2.4442308792594591</c:v>
                </c:pt>
                <c:pt idx="96">
                  <c:v>2.4677047845244267</c:v>
                </c:pt>
                <c:pt idx="97">
                  <c:v>2.4911782843019195</c:v>
                </c:pt>
                <c:pt idx="98">
                  <c:v>2.5146513786948077</c:v>
                </c:pt>
                <c:pt idx="99">
                  <c:v>2.5381240678059545</c:v>
                </c:pt>
                <c:pt idx="100">
                  <c:v>2.5615963517382245</c:v>
                </c:pt>
              </c:numCache>
            </c:numRef>
          </c:val>
          <c:smooth val="0"/>
          <c:extLst>
            <c:ext xmlns:c16="http://schemas.microsoft.com/office/drawing/2014/chart" uri="{C3380CC4-5D6E-409C-BE32-E72D297353CC}">
              <c16:uniqueId val="{00000002-DC32-4242-87FA-45A0737872EA}"/>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7.0760867315253356E-5</c:v>
                </c:pt>
                <c:pt idx="1">
                  <c:v>78.89653095820826</c:v>
                </c:pt>
                <c:pt idx="2">
                  <c:v>82.784968430880141</c:v>
                </c:pt>
                <c:pt idx="3">
                  <c:v>84.095815264828673</c:v>
                </c:pt>
                <c:pt idx="4">
                  <c:v>84.699763125016588</c:v>
                </c:pt>
                <c:pt idx="5">
                  <c:v>85.003774247528526</c:v>
                </c:pt>
                <c:pt idx="6">
                  <c:v>85.149180611651275</c:v>
                </c:pt>
                <c:pt idx="7">
                  <c:v>85.198365424406703</c:v>
                </c:pt>
                <c:pt idx="8">
                  <c:v>85.183344363151804</c:v>
                </c:pt>
                <c:pt idx="9">
                  <c:v>85.122372500510906</c:v>
                </c:pt>
                <c:pt idx="10">
                  <c:v>85.026710058553235</c:v>
                </c:pt>
                <c:pt idx="11">
                  <c:v>84.90374329815738</c:v>
                </c:pt>
                <c:pt idx="12">
                  <c:v>84.75856480579148</c:v>
                </c:pt>
                <c:pt idx="13">
                  <c:v>84.594834218663863</c:v>
                </c:pt>
                <c:pt idx="14">
                  <c:v>84.415275413845535</c:v>
                </c:pt>
                <c:pt idx="15">
                  <c:v>84.221977977357014</c:v>
                </c:pt>
                <c:pt idx="16">
                  <c:v>84.016587606769647</c:v>
                </c:pt>
                <c:pt idx="17">
                  <c:v>83.800430626384511</c:v>
                </c:pt>
                <c:pt idx="18">
                  <c:v>83.574597903886726</c:v>
                </c:pt>
                <c:pt idx="19">
                  <c:v>83.340002914656139</c:v>
                </c:pt>
                <c:pt idx="20">
                  <c:v>83.097422863054675</c:v>
                </c:pt>
                <c:pt idx="21">
                  <c:v>82.555179567393438</c:v>
                </c:pt>
                <c:pt idx="22">
                  <c:v>82.028993223834277</c:v>
                </c:pt>
                <c:pt idx="23">
                  <c:v>82.158265948089209</c:v>
                </c:pt>
                <c:pt idx="24">
                  <c:v>82.277257858822651</c:v>
                </c:pt>
                <c:pt idx="25">
                  <c:v>82.387075243760648</c:v>
                </c:pt>
                <c:pt idx="26">
                  <c:v>82.488669512442286</c:v>
                </c:pt>
                <c:pt idx="27">
                  <c:v>82.582863671192598</c:v>
                </c:pt>
                <c:pt idx="28">
                  <c:v>82.670373502957432</c:v>
                </c:pt>
                <c:pt idx="29">
                  <c:v>82.751824655172953</c:v>
                </c:pt>
                <c:pt idx="30">
                  <c:v>82.827766534786775</c:v>
                </c:pt>
                <c:pt idx="31">
                  <c:v>82.898683689596382</c:v>
                </c:pt>
                <c:pt idx="32">
                  <c:v>82.96500519407428</c:v>
                </c:pt>
                <c:pt idx="33">
                  <c:v>83.027112438704847</c:v>
                </c:pt>
                <c:pt idx="34">
                  <c:v>83.085345632785035</c:v>
                </c:pt>
                <c:pt idx="35">
                  <c:v>83.140009263408402</c:v>
                </c:pt>
                <c:pt idx="36">
                  <c:v>83.191376702154145</c:v>
                </c:pt>
                <c:pt idx="37">
                  <c:v>83.239694111683946</c:v>
                </c:pt>
                <c:pt idx="38">
                  <c:v>83.285183774018961</c:v>
                </c:pt>
                <c:pt idx="39">
                  <c:v>83.328046938539643</c:v>
                </c:pt>
                <c:pt idx="40">
                  <c:v>83.36846626911985</c:v>
                </c:pt>
                <c:pt idx="41">
                  <c:v>83.406607955079409</c:v>
                </c:pt>
                <c:pt idx="42">
                  <c:v>83.442623538926981</c:v>
                </c:pt>
                <c:pt idx="43">
                  <c:v>83.476651504493461</c:v>
                </c:pt>
                <c:pt idx="44">
                  <c:v>83.508818661516543</c:v>
                </c:pt>
                <c:pt idx="45">
                  <c:v>83.539241356638414</c:v>
                </c:pt>
                <c:pt idx="46">
                  <c:v>83.568026535819854</c:v>
                </c:pt>
                <c:pt idx="47">
                  <c:v>83.595272679123909</c:v>
                </c:pt>
                <c:pt idx="48">
                  <c:v>83.621070625497069</c:v>
                </c:pt>
                <c:pt idx="49">
                  <c:v>83.645504302435995</c:v>
                </c:pt>
                <c:pt idx="50">
                  <c:v>83.668651373158639</c:v>
                </c:pt>
                <c:pt idx="51">
                  <c:v>83.690583812013287</c:v>
                </c:pt>
                <c:pt idx="52">
                  <c:v>83.711368417285271</c:v>
                </c:pt>
                <c:pt idx="53">
                  <c:v>83.731067269243582</c:v>
                </c:pt>
                <c:pt idx="54">
                  <c:v>83.749738140162037</c:v>
                </c:pt>
                <c:pt idx="55">
                  <c:v>83.767434862115735</c:v>
                </c:pt>
                <c:pt idx="56">
                  <c:v>83.784207657562916</c:v>
                </c:pt>
                <c:pt idx="57">
                  <c:v>83.800103437052115</c:v>
                </c:pt>
                <c:pt idx="58">
                  <c:v>83.815166067822915</c:v>
                </c:pt>
                <c:pt idx="59">
                  <c:v>83.829436616581205</c:v>
                </c:pt>
                <c:pt idx="60">
                  <c:v>83.850432066703689</c:v>
                </c:pt>
                <c:pt idx="61">
                  <c:v>84.153428989641313</c:v>
                </c:pt>
                <c:pt idx="62">
                  <c:v>84.444887030692243</c:v>
                </c:pt>
                <c:pt idx="63">
                  <c:v>84.72536438249179</c:v>
                </c:pt>
                <c:pt idx="64">
                  <c:v>84.995399765292774</c:v>
                </c:pt>
                <c:pt idx="65">
                  <c:v>85.255542996263671</c:v>
                </c:pt>
                <c:pt idx="66">
                  <c:v>85.506195238699533</c:v>
                </c:pt>
                <c:pt idx="67">
                  <c:v>85.747799440162169</c:v>
                </c:pt>
                <c:pt idx="68">
                  <c:v>85.980774071841623</c:v>
                </c:pt>
                <c:pt idx="69">
                  <c:v>86.205514645481259</c:v>
                </c:pt>
                <c:pt idx="70">
                  <c:v>85.740311406468265</c:v>
                </c:pt>
                <c:pt idx="71">
                  <c:v>85.842746448502155</c:v>
                </c:pt>
                <c:pt idx="72">
                  <c:v>85.94253078669351</c:v>
                </c:pt>
                <c:pt idx="73">
                  <c:v>86.039755770100712</c:v>
                </c:pt>
                <c:pt idx="74">
                  <c:v>86.13450856945812</c:v>
                </c:pt>
                <c:pt idx="75">
                  <c:v>86.226872414377837</c:v>
                </c:pt>
                <c:pt idx="76">
                  <c:v>86.316926814480681</c:v>
                </c:pt>
                <c:pt idx="77">
                  <c:v>86.404747765720558</c:v>
                </c:pt>
                <c:pt idx="78">
                  <c:v>86.490407943053299</c:v>
                </c:pt>
                <c:pt idx="79">
                  <c:v>86.573976880499202</c:v>
                </c:pt>
                <c:pt idx="80">
                  <c:v>86.655521139557109</c:v>
                </c:pt>
                <c:pt idx="81">
                  <c:v>86.735104466844035</c:v>
                </c:pt>
                <c:pt idx="82">
                  <c:v>86.812787941761144</c:v>
                </c:pt>
                <c:pt idx="83">
                  <c:v>86.888630114917859</c:v>
                </c:pt>
                <c:pt idx="84">
                  <c:v>86.962687137985867</c:v>
                </c:pt>
                <c:pt idx="85">
                  <c:v>87.035012885598235</c:v>
                </c:pt>
                <c:pt idx="86">
                  <c:v>87.10565906985957</c:v>
                </c:pt>
                <c:pt idx="87">
                  <c:v>87.174675347986749</c:v>
                </c:pt>
                <c:pt idx="88">
                  <c:v>87.24210942355829</c:v>
                </c:pt>
                <c:pt idx="89">
                  <c:v>87.308007141812823</c:v>
                </c:pt>
                <c:pt idx="90">
                  <c:v>87.37241257940245</c:v>
                </c:pt>
                <c:pt idx="91">
                  <c:v>87.435368128975213</c:v>
                </c:pt>
                <c:pt idx="92">
                  <c:v>87.49691457893249</c:v>
                </c:pt>
                <c:pt idx="93">
                  <c:v>87.557091188680332</c:v>
                </c:pt>
                <c:pt idx="94">
                  <c:v>87.615935759670521</c:v>
                </c:pt>
                <c:pt idx="95">
                  <c:v>87.673484702504169</c:v>
                </c:pt>
                <c:pt idx="96">
                  <c:v>87.729773100351309</c:v>
                </c:pt>
                <c:pt idx="97">
                  <c:v>87.784834768920987</c:v>
                </c:pt>
                <c:pt idx="98">
                  <c:v>87.838702313199647</c:v>
                </c:pt>
                <c:pt idx="99">
                  <c:v>87.891407181159423</c:v>
                </c:pt>
                <c:pt idx="100">
                  <c:v>87.359896221666105</c:v>
                </c:pt>
              </c:numCache>
            </c:numRef>
          </c:val>
          <c:smooth val="0"/>
          <c:extLst>
            <c:ext xmlns:c16="http://schemas.microsoft.com/office/drawing/2014/chart" uri="{C3380CC4-5D6E-409C-BE32-E72D297353CC}">
              <c16:uniqueId val="{00000000-AC8A-4551-AD17-C0E237FEA675}"/>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1.065E-6</c:v>
                </c:pt>
                <c:pt idx="1">
                  <c:v>7.3218749999999995</c:v>
                </c:pt>
                <c:pt idx="2">
                  <c:v>14.643749999999999</c:v>
                </c:pt>
                <c:pt idx="3">
                  <c:v>21.965624999999999</c:v>
                </c:pt>
                <c:pt idx="4">
                  <c:v>29.287499999999998</c:v>
                </c:pt>
                <c:pt idx="5">
                  <c:v>36.609375</c:v>
                </c:pt>
                <c:pt idx="6">
                  <c:v>43.931249999999999</c:v>
                </c:pt>
                <c:pt idx="7">
                  <c:v>51.253124999999997</c:v>
                </c:pt>
                <c:pt idx="8">
                  <c:v>58.574999999999996</c:v>
                </c:pt>
                <c:pt idx="9">
                  <c:v>65.896874999999994</c:v>
                </c:pt>
                <c:pt idx="10">
                  <c:v>73.21875</c:v>
                </c:pt>
                <c:pt idx="11">
                  <c:v>80.540624999999991</c:v>
                </c:pt>
                <c:pt idx="12">
                  <c:v>87.862499999999997</c:v>
                </c:pt>
                <c:pt idx="13">
                  <c:v>95.184374999999989</c:v>
                </c:pt>
                <c:pt idx="14">
                  <c:v>102.50624999999999</c:v>
                </c:pt>
                <c:pt idx="15">
                  <c:v>109.828125</c:v>
                </c:pt>
                <c:pt idx="16">
                  <c:v>117.14999999999999</c:v>
                </c:pt>
                <c:pt idx="17">
                  <c:v>124.47187499999998</c:v>
                </c:pt>
                <c:pt idx="18">
                  <c:v>131.79374999999999</c:v>
                </c:pt>
                <c:pt idx="19">
                  <c:v>139.11562499999997</c:v>
                </c:pt>
                <c:pt idx="20">
                  <c:v>146.4375</c:v>
                </c:pt>
                <c:pt idx="21">
                  <c:v>153.75937499999998</c:v>
                </c:pt>
                <c:pt idx="22">
                  <c:v>161.08124999999998</c:v>
                </c:pt>
                <c:pt idx="23">
                  <c:v>168.40312499999999</c:v>
                </c:pt>
                <c:pt idx="24">
                  <c:v>175.72499999999999</c:v>
                </c:pt>
                <c:pt idx="25">
                  <c:v>183.046875</c:v>
                </c:pt>
                <c:pt idx="26">
                  <c:v>190.36874999999998</c:v>
                </c:pt>
                <c:pt idx="27">
                  <c:v>197.69062499999998</c:v>
                </c:pt>
                <c:pt idx="28">
                  <c:v>205.01249999999999</c:v>
                </c:pt>
                <c:pt idx="29">
                  <c:v>212.33437499999997</c:v>
                </c:pt>
                <c:pt idx="30">
                  <c:v>219.65625</c:v>
                </c:pt>
                <c:pt idx="31">
                  <c:v>226.97812500000001</c:v>
                </c:pt>
                <c:pt idx="32">
                  <c:v>234.29999999999998</c:v>
                </c:pt>
                <c:pt idx="33">
                  <c:v>241.62187499999999</c:v>
                </c:pt>
                <c:pt idx="34">
                  <c:v>248.94374999999997</c:v>
                </c:pt>
                <c:pt idx="35">
                  <c:v>256.26562499999994</c:v>
                </c:pt>
                <c:pt idx="36">
                  <c:v>263.58749999999998</c:v>
                </c:pt>
                <c:pt idx="37">
                  <c:v>270.90937500000001</c:v>
                </c:pt>
                <c:pt idx="38">
                  <c:v>278.23124999999993</c:v>
                </c:pt>
                <c:pt idx="39">
                  <c:v>285.55312499999997</c:v>
                </c:pt>
                <c:pt idx="40">
                  <c:v>292.875</c:v>
                </c:pt>
                <c:pt idx="41">
                  <c:v>300.19687499999992</c:v>
                </c:pt>
                <c:pt idx="42">
                  <c:v>307.51874999999995</c:v>
                </c:pt>
                <c:pt idx="43">
                  <c:v>314.84062499999999</c:v>
                </c:pt>
                <c:pt idx="44">
                  <c:v>322.16249999999997</c:v>
                </c:pt>
                <c:pt idx="45">
                  <c:v>329.484375</c:v>
                </c:pt>
                <c:pt idx="46">
                  <c:v>336.80624999999998</c:v>
                </c:pt>
                <c:pt idx="47">
                  <c:v>344.12812499999995</c:v>
                </c:pt>
                <c:pt idx="48">
                  <c:v>351.45</c:v>
                </c:pt>
                <c:pt idx="49">
                  <c:v>358.77187499999997</c:v>
                </c:pt>
                <c:pt idx="50">
                  <c:v>366.09375</c:v>
                </c:pt>
                <c:pt idx="51">
                  <c:v>373.41562499999998</c:v>
                </c:pt>
                <c:pt idx="52">
                  <c:v>380.73749999999995</c:v>
                </c:pt>
                <c:pt idx="53">
                  <c:v>388.05937499999999</c:v>
                </c:pt>
                <c:pt idx="54">
                  <c:v>395.38124999999997</c:v>
                </c:pt>
                <c:pt idx="55">
                  <c:v>402.703125</c:v>
                </c:pt>
                <c:pt idx="56">
                  <c:v>410.02499999999998</c:v>
                </c:pt>
                <c:pt idx="57">
                  <c:v>417.34687499999995</c:v>
                </c:pt>
                <c:pt idx="58">
                  <c:v>424.66874999999993</c:v>
                </c:pt>
                <c:pt idx="59">
                  <c:v>431.99062499999997</c:v>
                </c:pt>
                <c:pt idx="60">
                  <c:v>439.3125</c:v>
                </c:pt>
                <c:pt idx="61">
                  <c:v>446.63437499999998</c:v>
                </c:pt>
                <c:pt idx="62">
                  <c:v>453.95625000000001</c:v>
                </c:pt>
                <c:pt idx="63">
                  <c:v>461.27812499999993</c:v>
                </c:pt>
                <c:pt idx="64">
                  <c:v>468.59999999999997</c:v>
                </c:pt>
                <c:pt idx="65">
                  <c:v>475.92187499999994</c:v>
                </c:pt>
                <c:pt idx="66">
                  <c:v>483.24374999999998</c:v>
                </c:pt>
                <c:pt idx="67">
                  <c:v>490.5656249999999</c:v>
                </c:pt>
                <c:pt idx="68">
                  <c:v>497.88749999999993</c:v>
                </c:pt>
                <c:pt idx="69">
                  <c:v>505.20937499999985</c:v>
                </c:pt>
                <c:pt idx="70">
                  <c:v>512.53124999999989</c:v>
                </c:pt>
                <c:pt idx="71">
                  <c:v>519.85312499999986</c:v>
                </c:pt>
                <c:pt idx="72">
                  <c:v>527.17499999999995</c:v>
                </c:pt>
                <c:pt idx="73">
                  <c:v>534.49687499999993</c:v>
                </c:pt>
                <c:pt idx="74">
                  <c:v>541.81875000000002</c:v>
                </c:pt>
                <c:pt idx="75">
                  <c:v>549.14062499999989</c:v>
                </c:pt>
                <c:pt idx="76">
                  <c:v>556.46249999999986</c:v>
                </c:pt>
                <c:pt idx="77">
                  <c:v>563.78437499999984</c:v>
                </c:pt>
                <c:pt idx="78">
                  <c:v>571.10624999999993</c:v>
                </c:pt>
                <c:pt idx="79">
                  <c:v>578.42812499999991</c:v>
                </c:pt>
                <c:pt idx="80">
                  <c:v>585.75</c:v>
                </c:pt>
                <c:pt idx="81">
                  <c:v>593.07187499999986</c:v>
                </c:pt>
                <c:pt idx="82">
                  <c:v>600.39374999999984</c:v>
                </c:pt>
                <c:pt idx="83">
                  <c:v>607.71562499999993</c:v>
                </c:pt>
                <c:pt idx="84">
                  <c:v>615.03749999999991</c:v>
                </c:pt>
                <c:pt idx="85">
                  <c:v>622.35937499999989</c:v>
                </c:pt>
                <c:pt idx="86">
                  <c:v>629.68124999999998</c:v>
                </c:pt>
                <c:pt idx="87">
                  <c:v>637.00312499999995</c:v>
                </c:pt>
                <c:pt idx="88">
                  <c:v>644.32499999999993</c:v>
                </c:pt>
                <c:pt idx="89">
                  <c:v>651.64687499999991</c:v>
                </c:pt>
                <c:pt idx="90">
                  <c:v>658.96875</c:v>
                </c:pt>
                <c:pt idx="91">
                  <c:v>666.29062499999986</c:v>
                </c:pt>
                <c:pt idx="92">
                  <c:v>673.61249999999995</c:v>
                </c:pt>
                <c:pt idx="93">
                  <c:v>680.93437499999993</c:v>
                </c:pt>
                <c:pt idx="94">
                  <c:v>688.25624999999991</c:v>
                </c:pt>
                <c:pt idx="95">
                  <c:v>695.57812499999977</c:v>
                </c:pt>
                <c:pt idx="96">
                  <c:v>702.9</c:v>
                </c:pt>
                <c:pt idx="97">
                  <c:v>710.22187499999984</c:v>
                </c:pt>
                <c:pt idx="98">
                  <c:v>717.54374999999993</c:v>
                </c:pt>
                <c:pt idx="99">
                  <c:v>724.8656249999998</c:v>
                </c:pt>
                <c:pt idx="100">
                  <c:v>732.1875</c:v>
                </c:pt>
              </c:numCache>
            </c:numRef>
          </c:val>
          <c:smooth val="0"/>
          <c:extLst>
            <c:ext xmlns:c16="http://schemas.microsoft.com/office/drawing/2014/chart" uri="{C3380CC4-5D6E-409C-BE32-E72D297353CC}">
              <c16:uniqueId val="{00000001-AC8A-4551-AD17-C0E237FEA675}"/>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12.064777386240944</c:v>
                </c:pt>
                <c:pt idx="1">
                  <c:v>19.350987333745479</c:v>
                </c:pt>
                <c:pt idx="2">
                  <c:v>38.703143043328836</c:v>
                </c:pt>
                <c:pt idx="3">
                  <c:v>58.056467234569737</c:v>
                </c:pt>
                <c:pt idx="4">
                  <c:v>77.410960013300624</c:v>
                </c:pt>
                <c:pt idx="5">
                  <c:v>96.766621485366727</c:v>
                </c:pt>
                <c:pt idx="6">
                  <c:v>116.12345175662604</c:v>
                </c:pt>
                <c:pt idx="7">
                  <c:v>135.4814509329494</c:v>
                </c:pt>
                <c:pt idx="8">
                  <c:v>154.84061912022025</c:v>
                </c:pt>
                <c:pt idx="9">
                  <c:v>174.20095642433512</c:v>
                </c:pt>
                <c:pt idx="10">
                  <c:v>193.56246295120312</c:v>
                </c:pt>
                <c:pt idx="11">
                  <c:v>212.92513880674619</c:v>
                </c:pt>
                <c:pt idx="12">
                  <c:v>232.28898409689896</c:v>
                </c:pt>
                <c:pt idx="13">
                  <c:v>251.65399892760919</c:v>
                </c:pt>
                <c:pt idx="14">
                  <c:v>271.02018340483716</c:v>
                </c:pt>
                <c:pt idx="15">
                  <c:v>290.38753763455571</c:v>
                </c:pt>
                <c:pt idx="16">
                  <c:v>309.75606172275127</c:v>
                </c:pt>
                <c:pt idx="17">
                  <c:v>329.12575577542225</c:v>
                </c:pt>
                <c:pt idx="18">
                  <c:v>348.49661989858026</c:v>
                </c:pt>
                <c:pt idx="19">
                  <c:v>367.86865419824994</c:v>
                </c:pt>
                <c:pt idx="20">
                  <c:v>387.24185878046796</c:v>
                </c:pt>
                <c:pt idx="21">
                  <c:v>412.81821154666045</c:v>
                </c:pt>
                <c:pt idx="22">
                  <c:v>437.59402804331972</c:v>
                </c:pt>
                <c:pt idx="23">
                  <c:v>446.30169360491698</c:v>
                </c:pt>
                <c:pt idx="24">
                  <c:v>454.83563833173804</c:v>
                </c:pt>
                <c:pt idx="25">
                  <c:v>463.20693964444189</c:v>
                </c:pt>
                <c:pt idx="26">
                  <c:v>471.42557268339937</c:v>
                </c:pt>
                <c:pt idx="27">
                  <c:v>479.50055769057445</c:v>
                </c:pt>
                <c:pt idx="28">
                  <c:v>487.4400830025541</c:v>
                </c:pt>
                <c:pt idx="29">
                  <c:v>495.25160841159959</c:v>
                </c:pt>
                <c:pt idx="30">
                  <c:v>502.9419525927018</c:v>
                </c:pt>
                <c:pt idx="31">
                  <c:v>510.51736749870827</c:v>
                </c:pt>
                <c:pt idx="32">
                  <c:v>517.98360202099752</c:v>
                </c:pt>
                <c:pt idx="33">
                  <c:v>525.34595674941397</c:v>
                </c:pt>
                <c:pt idx="34">
                  <c:v>532.60933130616149</c:v>
                </c:pt>
                <c:pt idx="35">
                  <c:v>539.77826544808022</c:v>
                </c:pt>
                <c:pt idx="36">
                  <c:v>546.85697491117151</c:v>
                </c:pt>
                <c:pt idx="37">
                  <c:v>553.84938279635924</c:v>
                </c:pt>
                <c:pt idx="38">
                  <c:v>560.75914715586828</c:v>
                </c:pt>
                <c:pt idx="39">
                  <c:v>567.58968532740209</c:v>
                </c:pt>
                <c:pt idx="40">
                  <c:v>574.34419547254925</c:v>
                </c:pt>
                <c:pt idx="41">
                  <c:v>581.02567570206077</c:v>
                </c:pt>
                <c:pt idx="42">
                  <c:v>587.6369411102454</c:v>
                </c:pt>
                <c:pt idx="43">
                  <c:v>594.18063899111007</c:v>
                </c:pt>
                <c:pt idx="44">
                  <c:v>600.65926246782726</c:v>
                </c:pt>
                <c:pt idx="45">
                  <c:v>607.07516273306146</c:v>
                </c:pt>
                <c:pt idx="46">
                  <c:v>613.43056006927191</c:v>
                </c:pt>
                <c:pt idx="47">
                  <c:v>619.72755379430851</c:v>
                </c:pt>
                <c:pt idx="48">
                  <c:v>625.96813125760639</c:v>
                </c:pt>
                <c:pt idx="49">
                  <c:v>632.15417599537113</c:v>
                </c:pt>
                <c:pt idx="50">
                  <c:v>638.28747513884332</c:v>
                </c:pt>
                <c:pt idx="51">
                  <c:v>644.36972615751472</c:v>
                </c:pt>
                <c:pt idx="52">
                  <c:v>650.40254300880554</c:v>
                </c:pt>
                <c:pt idx="53">
                  <c:v>656.38746175677306</c:v>
                </c:pt>
                <c:pt idx="54">
                  <c:v>662.32594571479444</c:v>
                </c:pt>
                <c:pt idx="55">
                  <c:v>668.21939016057036</c:v>
                </c:pt>
                <c:pt idx="56">
                  <c:v>674.06912666609162</c:v>
                </c:pt>
                <c:pt idx="57">
                  <c:v>679.87642708029489</c:v>
                </c:pt>
                <c:pt idx="58">
                  <c:v>685.64250719782012</c:v>
                </c:pt>
                <c:pt idx="59">
                  <c:v>691.36853014357462</c:v>
                </c:pt>
                <c:pt idx="60">
                  <c:v>696.78161709484573</c:v>
                </c:pt>
                <c:pt idx="61">
                  <c:v>691.66851700552093</c:v>
                </c:pt>
                <c:pt idx="62">
                  <c:v>686.67216225826508</c:v>
                </c:pt>
                <c:pt idx="63">
                  <c:v>681.78830153537785</c:v>
                </c:pt>
                <c:pt idx="64">
                  <c:v>677.01179401469619</c:v>
                </c:pt>
                <c:pt idx="65">
                  <c:v>672.33392165874068</c:v>
                </c:pt>
                <c:pt idx="66">
                  <c:v>667.75706856382601</c:v>
                </c:pt>
                <c:pt idx="67">
                  <c:v>663.27775214954647</c:v>
                </c:pt>
                <c:pt idx="68">
                  <c:v>658.89265392334971</c:v>
                </c:pt>
                <c:pt idx="69">
                  <c:v>654.59860974483786</c:v>
                </c:pt>
                <c:pt idx="70">
                  <c:v>677.5568476701726</c:v>
                </c:pt>
                <c:pt idx="71">
                  <c:v>678.12369687389128</c:v>
                </c:pt>
                <c:pt idx="72">
                  <c:v>678.70591959758872</c:v>
                </c:pt>
                <c:pt idx="73">
                  <c:v>679.30336073558078</c:v>
                </c:pt>
                <c:pt idx="74">
                  <c:v>679.91587371943695</c:v>
                </c:pt>
                <c:pt idx="75">
                  <c:v>680.54331998948783</c:v>
                </c:pt>
                <c:pt idx="76">
                  <c:v>681.18556850573941</c:v>
                </c:pt>
                <c:pt idx="77">
                  <c:v>681.84249529481588</c:v>
                </c:pt>
                <c:pt idx="78">
                  <c:v>682.51398302986945</c:v>
                </c:pt>
                <c:pt idx="79">
                  <c:v>683.19992064069606</c:v>
                </c:pt>
                <c:pt idx="80">
                  <c:v>683.90020295155909</c:v>
                </c:pt>
                <c:pt idx="81">
                  <c:v>684.61473034444657</c:v>
                </c:pt>
                <c:pt idx="82">
                  <c:v>685.34340844571057</c:v>
                </c:pt>
                <c:pt idx="83">
                  <c:v>686.0861478342166</c:v>
                </c:pt>
                <c:pt idx="84">
                  <c:v>686.84286376929936</c:v>
                </c:pt>
                <c:pt idx="85">
                  <c:v>687.61347593698247</c:v>
                </c:pt>
                <c:pt idx="86">
                  <c:v>688.3979082130453</c:v>
                </c:pt>
                <c:pt idx="87">
                  <c:v>689.1960884416485</c:v>
                </c:pt>
                <c:pt idx="88">
                  <c:v>690.00794822834564</c:v>
                </c:pt>
                <c:pt idx="89">
                  <c:v>690.83342274639961</c:v>
                </c:pt>
                <c:pt idx="90">
                  <c:v>691.67245055542105</c:v>
                </c:pt>
                <c:pt idx="91">
                  <c:v>692.52497343142841</c:v>
                </c:pt>
                <c:pt idx="92">
                  <c:v>693.39093620749213</c:v>
                </c:pt>
                <c:pt idx="93">
                  <c:v>694.27028662421947</c:v>
                </c:pt>
                <c:pt idx="94">
                  <c:v>695.16297518936426</c:v>
                </c:pt>
                <c:pt idx="95">
                  <c:v>696.06895504593194</c:v>
                </c:pt>
                <c:pt idx="96">
                  <c:v>696.98818184818367</c:v>
                </c:pt>
                <c:pt idx="97">
                  <c:v>697.92061364499364</c:v>
                </c:pt>
                <c:pt idx="98">
                  <c:v>698.86621077006225</c:v>
                </c:pt>
                <c:pt idx="99">
                  <c:v>699.82493573851912</c:v>
                </c:pt>
                <c:pt idx="100">
                  <c:v>700.79675314948952</c:v>
                </c:pt>
              </c:numCache>
            </c:numRef>
          </c:val>
          <c:smooth val="0"/>
          <c:extLst>
            <c:ext xmlns:c16="http://schemas.microsoft.com/office/drawing/2014/chart" uri="{C3380CC4-5D6E-409C-BE32-E72D297353CC}">
              <c16:uniqueId val="{00000002-AC8A-4551-AD17-C0E237FEA675}"/>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22.417533114616116</c:v>
                </c:pt>
                <c:pt idx="1">
                  <c:v>22.543982266767252</c:v>
                </c:pt>
                <c:pt idx="2">
                  <c:v>23.178250802386543</c:v>
                </c:pt>
                <c:pt idx="3">
                  <c:v>24.372043741971076</c:v>
                </c:pt>
                <c:pt idx="4">
                  <c:v>26.253202712917687</c:v>
                </c:pt>
                <c:pt idx="5">
                  <c:v>28.928887202487754</c:v>
                </c:pt>
                <c:pt idx="6">
                  <c:v>32.49330031414862</c:v>
                </c:pt>
                <c:pt idx="7">
                  <c:v>37.031516742612141</c:v>
                </c:pt>
                <c:pt idx="8">
                  <c:v>42.621723161859258</c:v>
                </c:pt>
                <c:pt idx="9">
                  <c:v>49.336666410015845</c:v>
                </c:pt>
                <c:pt idx="10">
                  <c:v>57.244654606053992</c:v>
                </c:pt>
                <c:pt idx="11">
                  <c:v>66.410283792589581</c:v>
                </c:pt>
                <c:pt idx="12">
                  <c:v>76.894985317988031</c:v>
                </c:pt>
                <c:pt idx="13">
                  <c:v>88.757450442788965</c:v>
                </c:pt>
                <c:pt idx="14">
                  <c:v>102.0539676199427</c:v>
                </c:pt>
                <c:pt idx="15">
                  <c:v>116.83869572072172</c:v>
                </c:pt>
                <c:pt idx="16">
                  <c:v>133.16388905776193</c:v>
                </c:pt>
                <c:pt idx="17">
                  <c:v>151.08008534021681</c:v>
                </c:pt>
                <c:pt idx="18">
                  <c:v>170.63626459016541</c:v>
                </c:pt>
                <c:pt idx="19">
                  <c:v>191.879984941576</c:v>
                </c:pt>
                <c:pt idx="20">
                  <c:v>214.85749977490951</c:v>
                </c:pt>
                <c:pt idx="21">
                  <c:v>249.9282523942463</c:v>
                </c:pt>
                <c:pt idx="22">
                  <c:v>288.16524712823212</c:v>
                </c:pt>
                <c:pt idx="23">
                  <c:v>304.32892238706347</c:v>
                </c:pt>
                <c:pt idx="24">
                  <c:v>320.65761239958363</c:v>
                </c:pt>
                <c:pt idx="25">
                  <c:v>337.14623492627942</c:v>
                </c:pt>
                <c:pt idx="26">
                  <c:v>353.79006663494039</c:v>
                </c:pt>
                <c:pt idx="27">
                  <c:v>370.58470488377293</c:v>
                </c:pt>
                <c:pt idx="28">
                  <c:v>387.52603484618942</c:v>
                </c:pt>
                <c:pt idx="29">
                  <c:v>404.61020106544868</c:v>
                </c:pt>
                <c:pt idx="30">
                  <c:v>421.83358270922201</c:v>
                </c:pt>
                <c:pt idx="31">
                  <c:v>439.19277193490359</c:v>
                </c:pt>
                <c:pt idx="32">
                  <c:v>456.68455488637585</c:v>
                </c:pt>
                <c:pt idx="33">
                  <c:v>474.30589492954488</c:v>
                </c:pt>
                <c:pt idx="34">
                  <c:v>492.05391780273521</c:v>
                </c:pt>
                <c:pt idx="35">
                  <c:v>509.92589841309768</c:v>
                </c:pt>
                <c:pt idx="36">
                  <c:v>527.9192490545588</c:v>
                </c:pt>
                <c:pt idx="37">
                  <c:v>546.0315088588784</c:v>
                </c:pt>
                <c:pt idx="38">
                  <c:v>564.26033432078179</c:v>
                </c:pt>
                <c:pt idx="39">
                  <c:v>582.60349076232433</c:v>
                </c:pt>
                <c:pt idx="40">
                  <c:v>601.05884462159236</c:v>
                </c:pt>
                <c:pt idx="41">
                  <c:v>619.62435646745212</c:v>
                </c:pt>
                <c:pt idx="42">
                  <c:v>638.29807465587555</c:v>
                </c:pt>
                <c:pt idx="43">
                  <c:v>657.07812955500663</c:v>
                </c:pt>
                <c:pt idx="44">
                  <c:v>675.96272827588814</c:v>
                </c:pt>
                <c:pt idx="45">
                  <c:v>694.95014985405658</c:v>
                </c:pt>
                <c:pt idx="46">
                  <c:v>714.03874083423932</c:v>
                </c:pt>
                <c:pt idx="47">
                  <c:v>733.22691121636933</c:v>
                </c:pt>
                <c:pt idx="48">
                  <c:v>752.51313072628</c:v>
                </c:pt>
                <c:pt idx="49">
                  <c:v>771.8959253788305</c:v>
                </c:pt>
                <c:pt idx="50">
                  <c:v>791.37387430502179</c:v>
                </c:pt>
                <c:pt idx="51">
                  <c:v>810.94560681793041</c:v>
                </c:pt>
                <c:pt idx="52">
                  <c:v>830.60979969515961</c:v>
                </c:pt>
                <c:pt idx="53">
                  <c:v>850.36517465794702</c:v>
                </c:pt>
                <c:pt idx="54">
                  <c:v>870.21049602925711</c:v>
                </c:pt>
                <c:pt idx="55">
                  <c:v>890.14456855506569</c:v>
                </c:pt>
                <c:pt idx="56">
                  <c:v>910.16623537469411</c:v>
                </c:pt>
                <c:pt idx="57">
                  <c:v>930.2743761275151</c:v>
                </c:pt>
                <c:pt idx="58">
                  <c:v>950.46790518462626</c:v>
                </c:pt>
                <c:pt idx="59">
                  <c:v>970.74576999523742</c:v>
                </c:pt>
                <c:pt idx="60">
                  <c:v>990.20655410216318</c:v>
                </c:pt>
                <c:pt idx="61">
                  <c:v>975.24037243067301</c:v>
                </c:pt>
                <c:pt idx="62">
                  <c:v>960.77446710571735</c:v>
                </c:pt>
                <c:pt idx="63">
                  <c:v>946.78679945729436</c:v>
                </c:pt>
                <c:pt idx="64">
                  <c:v>933.255684129266</c:v>
                </c:pt>
                <c:pt idx="65">
                  <c:v>920.15758230964707</c:v>
                </c:pt>
                <c:pt idx="66">
                  <c:v>907.47885685471852</c:v>
                </c:pt>
                <c:pt idx="67">
                  <c:v>895.20195869363351</c:v>
                </c:pt>
                <c:pt idx="68">
                  <c:v>883.31028148671192</c:v>
                </c:pt>
                <c:pt idx="69">
                  <c:v>871.78810027604277</c:v>
                </c:pt>
                <c:pt idx="70">
                  <c:v>952.01736091616976</c:v>
                </c:pt>
                <c:pt idx="71">
                  <c:v>956.54837738358094</c:v>
                </c:pt>
                <c:pt idx="72">
                  <c:v>961.07123358148385</c:v>
                </c:pt>
                <c:pt idx="73">
                  <c:v>965.58763929566521</c:v>
                </c:pt>
                <c:pt idx="74">
                  <c:v>970.09922375665872</c:v>
                </c:pt>
                <c:pt idx="75">
                  <c:v>974.60754047894454</c:v>
                </c:pt>
                <c:pt idx="76">
                  <c:v>979.11407175852457</c:v>
                </c:pt>
                <c:pt idx="77">
                  <c:v>983.62023285671182</c:v>
                </c:pt>
                <c:pt idx="78">
                  <c:v>988.12737589526512</c:v>
                </c:pt>
                <c:pt idx="79">
                  <c:v>992.63679348584571</c:v>
                </c:pt>
                <c:pt idx="80">
                  <c:v>997.14972211462521</c:v>
                </c:pt>
                <c:pt idx="81">
                  <c:v>1001.6673453011135</c:v>
                </c:pt>
                <c:pt idx="82">
                  <c:v>1006.1907965485115</c:v>
                </c:pt>
                <c:pt idx="83">
                  <c:v>1010.7211621014986</c:v>
                </c:pt>
                <c:pt idx="84">
                  <c:v>1015.2594835258735</c:v>
                </c:pt>
                <c:pt idx="85">
                  <c:v>1019.8067601233922</c:v>
                </c:pt>
                <c:pt idx="86">
                  <c:v>1024.3639511938893</c:v>
                </c:pt>
                <c:pt idx="87">
                  <c:v>1028.9319781558384</c:v>
                </c:pt>
                <c:pt idx="88">
                  <c:v>1033.5117265355807</c:v>
                </c:pt>
                <c:pt idx="89">
                  <c:v>1038.1040478345944</c:v>
                </c:pt>
                <c:pt idx="90">
                  <c:v>1042.7097612834477</c:v>
                </c:pt>
                <c:pt idx="91">
                  <c:v>1047.3296554903707</c:v>
                </c:pt>
                <c:pt idx="92">
                  <c:v>1051.9644899917319</c:v>
                </c:pt>
                <c:pt idx="93">
                  <c:v>1056.6149967112292</c:v>
                </c:pt>
                <c:pt idx="94">
                  <c:v>1061.2818813339131</c:v>
                </c:pt>
                <c:pt idx="95">
                  <c:v>1065.9658246008594</c:v>
                </c:pt>
                <c:pt idx="96">
                  <c:v>1070.667483529762</c:v>
                </c:pt>
                <c:pt idx="97">
                  <c:v>1075.3874925663356</c:v>
                </c:pt>
                <c:pt idx="98">
                  <c:v>1080.1264646710797</c:v>
                </c:pt>
                <c:pt idx="99">
                  <c:v>1084.884992345603</c:v>
                </c:pt>
                <c:pt idx="100">
                  <c:v>1089.6636486023847</c:v>
                </c:pt>
              </c:numCache>
            </c:numRef>
          </c:val>
          <c:smooth val="0"/>
          <c:extLst>
            <c:ext xmlns:c16="http://schemas.microsoft.com/office/drawing/2014/chart" uri="{C3380CC4-5D6E-409C-BE32-E72D297353CC}">
              <c16:uniqueId val="{00000003-AC8A-4551-AD17-C0E237FEA675}"/>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347.78362894374703</c:v>
                </c:pt>
                <c:pt idx="25">
                  <c:v>334.7711064029632</c:v>
                </c:pt>
                <c:pt idx="26">
                  <c:v>322.68272887954049</c:v>
                </c:pt>
                <c:pt idx="27">
                  <c:v>311.41618065562244</c:v>
                </c:pt>
                <c:pt idx="28">
                  <c:v>300.90566782326096</c:v>
                </c:pt>
                <c:pt idx="29">
                  <c:v>291.07755990826632</c:v>
                </c:pt>
                <c:pt idx="30">
                  <c:v>281.86748699432445</c:v>
                </c:pt>
                <c:pt idx="31">
                  <c:v>273.21892822060551</c:v>
                </c:pt>
                <c:pt idx="32">
                  <c:v>265.08205081298991</c:v>
                </c:pt>
                <c:pt idx="33">
                  <c:v>257.41274925986704</c:v>
                </c:pt>
                <c:pt idx="34">
                  <c:v>250.17184550236544</c:v>
                </c:pt>
                <c:pt idx="35">
                  <c:v>243.32441951451295</c:v>
                </c:pt>
                <c:pt idx="36">
                  <c:v>236.83924612954232</c:v>
                </c:pt>
                <c:pt idx="37">
                  <c:v>230.68831894614939</c:v>
                </c:pt>
                <c:pt idx="38">
                  <c:v>224.8464460006366</c:v>
                </c:pt>
                <c:pt idx="39">
                  <c:v>219.29090489334567</c:v>
                </c:pt>
                <c:pt idx="40">
                  <c:v>214.00114741385082</c:v>
                </c:pt>
                <c:pt idx="41">
                  <c:v>208.9585455700572</c:v>
                </c:pt>
                <c:pt idx="42">
                  <c:v>204.14617240473316</c:v>
                </c:pt>
                <c:pt idx="43">
                  <c:v>199.54861216441293</c:v>
                </c:pt>
                <c:pt idx="44">
                  <c:v>195.15179533488296</c:v>
                </c:pt>
                <c:pt idx="45">
                  <c:v>190.94285482419971</c:v>
                </c:pt>
                <c:pt idx="46">
                  <c:v>186.91000019657395</c:v>
                </c:pt>
                <c:pt idx="47">
                  <c:v>183.04240736806608</c:v>
                </c:pt>
                <c:pt idx="48">
                  <c:v>179.33012159091351</c:v>
                </c:pt>
                <c:pt idx="49">
                  <c:v>175.76397189552216</c:v>
                </c:pt>
                <c:pt idx="50">
                  <c:v>172.33549544190518</c:v>
                </c:pt>
                <c:pt idx="51">
                  <c:v>169.03687046691317</c:v>
                </c:pt>
                <c:pt idx="52">
                  <c:v>165.86085670892578</c:v>
                </c:pt>
                <c:pt idx="53">
                  <c:v>162.80074235492296</c:v>
                </c:pt>
                <c:pt idx="54">
                  <c:v>159.85029669177268</c:v>
                </c:pt>
                <c:pt idx="55">
                  <c:v>157.00372775879961</c:v>
                </c:pt>
                <c:pt idx="56">
                  <c:v>154.25564439598401</c:v>
                </c:pt>
                <c:pt idx="57">
                  <c:v>151.60102216453612</c:v>
                </c:pt>
                <c:pt idx="58">
                  <c:v>149.03517268658783</c:v>
                </c:pt>
                <c:pt idx="59">
                  <c:v>146.55371601037854</c:v>
                </c:pt>
                <c:pt idx="60">
                  <c:v>144.15255565826249</c:v>
                </c:pt>
                <c:pt idx="61">
                  <c:v>141.82785605851711</c:v>
                </c:pt>
                <c:pt idx="62">
                  <c:v>139.57602209942164</c:v>
                </c:pt>
                <c:pt idx="63">
                  <c:v>137.39368057636216</c:v>
                </c:pt>
                <c:pt idx="64">
                  <c:v>135.27766333059014</c:v>
                </c:pt>
                <c:pt idx="65">
                  <c:v>133.22499190237491</c:v>
                </c:pt>
                <c:pt idx="66">
                  <c:v>131.23286354220627</c:v>
                </c:pt>
                <c:pt idx="67">
                  <c:v>129.29863844188105</c:v>
                </c:pt>
                <c:pt idx="68">
                  <c:v>127.41982806314212</c:v>
                </c:pt>
                <c:pt idx="69">
                  <c:v>125.59408445536226</c:v>
                </c:pt>
                <c:pt idx="70">
                  <c:v>123.81919046585134</c:v>
                </c:pt>
                <c:pt idx="71">
                  <c:v>122.09305075696309</c:v>
                </c:pt>
                <c:pt idx="72">
                  <c:v>120.41368355348025</c:v>
                </c:pt>
                <c:pt idx="73">
                  <c:v>118.77921305193911</c:v>
                </c:pt>
                <c:pt idx="74">
                  <c:v>117.18786243076858</c:v>
                </c:pt>
                <c:pt idx="75">
                  <c:v>115.63794740648386</c:v>
                </c:pt>
                <c:pt idx="76">
                  <c:v>114.12787028680728</c:v>
                </c:pt>
                <c:pt idx="77">
                  <c:v>112.65611447657444</c:v>
                </c:pt>
                <c:pt idx="78">
                  <c:v>111.22123939671036</c:v>
                </c:pt>
                <c:pt idx="79">
                  <c:v>109.82187578049034</c:v>
                </c:pt>
                <c:pt idx="80">
                  <c:v>108.45672131480293</c:v>
                </c:pt>
                <c:pt idx="81">
                  <c:v>107.12453659724756</c:v>
                </c:pt>
                <c:pt idx="82">
                  <c:v>105.8241413826872</c:v>
                </c:pt>
                <c:pt idx="83">
                  <c:v>104.55441109536281</c:v>
                </c:pt>
                <c:pt idx="84">
                  <c:v>103.31427358490478</c:v>
                </c:pt>
                <c:pt idx="85">
                  <c:v>102.10270610657264</c:v>
                </c:pt>
                <c:pt idx="86">
                  <c:v>100.91873250784838</c:v>
                </c:pt>
                <c:pt idx="87">
                  <c:v>99.761420605115319</c:v>
                </c:pt>
                <c:pt idx="88">
                  <c:v>98.629879735607716</c:v>
                </c:pt>
                <c:pt idx="89">
                  <c:v>97.523258471118524</c:v>
                </c:pt>
                <c:pt idx="90">
                  <c:v>96.440742481131764</c:v>
                </c:pt>
                <c:pt idx="91">
                  <c:v>95.381552534108607</c:v>
                </c:pt>
                <c:pt idx="92">
                  <c:v>94.344942626617708</c:v>
                </c:pt>
                <c:pt idx="93">
                  <c:v>93.330198230869854</c:v>
                </c:pt>
                <c:pt idx="94">
                  <c:v>92.336634652006325</c:v>
                </c:pt>
                <c:pt idx="95">
                  <c:v>91.363595487203753</c:v>
                </c:pt>
                <c:pt idx="96">
                  <c:v>90.410451179308851</c:v>
                </c:pt>
                <c:pt idx="97">
                  <c:v>89.476597658305579</c:v>
                </c:pt>
                <c:pt idx="98">
                  <c:v>88.56145506445435</c:v>
                </c:pt>
                <c:pt idx="99">
                  <c:v>87.664466547432042</c:v>
                </c:pt>
                <c:pt idx="100">
                  <c:v>86.785097136246634</c:v>
                </c:pt>
              </c:numCache>
            </c:numRef>
          </c:val>
          <c:smooth val="0"/>
          <c:extLst>
            <c:ext xmlns:c16="http://schemas.microsoft.com/office/drawing/2014/chart" uri="{C3380CC4-5D6E-409C-BE32-E72D297353CC}">
              <c16:uniqueId val="{00000000-14B5-4C6D-ADBB-33FE896DCEBE}"/>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349.86288604773813</c:v>
                </c:pt>
                <c:pt idx="61">
                  <c:v>344.52168384421304</c:v>
                </c:pt>
                <c:pt idx="62">
                  <c:v>339.34108994554043</c:v>
                </c:pt>
                <c:pt idx="63">
                  <c:v>334.31396765403355</c:v>
                </c:pt>
                <c:pt idx="64">
                  <c:v>329.43346017311495</c:v>
                </c:pt>
                <c:pt idx="65">
                  <c:v>324.69263270636736</c:v>
                </c:pt>
                <c:pt idx="66">
                  <c:v>320.08626446695831</c:v>
                </c:pt>
                <c:pt idx="67">
                  <c:v>315.60871506164466</c:v>
                </c:pt>
                <c:pt idx="68">
                  <c:v>311.25465522314454</c:v>
                </c:pt>
                <c:pt idx="69">
                  <c:v>307.01904564967822</c:v>
                </c:pt>
                <c:pt idx="70">
                  <c:v>302.8971175483436</c:v>
                </c:pt>
                <c:pt idx="71">
                  <c:v>298.88435472438755</c:v>
                </c:pt>
                <c:pt idx="72">
                  <c:v>294.97647707495042</c:v>
                </c:pt>
                <c:pt idx="73">
                  <c:v>291.16942536045076</c:v>
                </c:pt>
                <c:pt idx="74">
                  <c:v>287.45934713970553</c:v>
                </c:pt>
                <c:pt idx="75">
                  <c:v>283.84258376634034</c:v>
                </c:pt>
                <c:pt idx="76">
                  <c:v>280.31565835421753</c:v>
                </c:pt>
                <c:pt idx="77">
                  <c:v>276.87526462867402</c:v>
                </c:pt>
                <c:pt idx="78">
                  <c:v>273.51825658842256</c:v>
                </c:pt>
                <c:pt idx="79">
                  <c:v>270.24163891016781</c:v>
                </c:pt>
                <c:pt idx="80">
                  <c:v>267.04255803442459</c:v>
                </c:pt>
                <c:pt idx="81">
                  <c:v>263.91829387677535</c:v>
                </c:pt>
                <c:pt idx="82">
                  <c:v>260.86625211396534</c:v>
                </c:pt>
                <c:pt idx="83">
                  <c:v>257.88395699885399</c:v>
                </c:pt>
                <c:pt idx="84">
                  <c:v>254.96904466240133</c:v>
                </c:pt>
                <c:pt idx="85">
                  <c:v>252.11925686460367</c:v>
                </c:pt>
                <c:pt idx="86">
                  <c:v>249.33243515965921</c:v>
                </c:pt>
                <c:pt idx="87">
                  <c:v>246.60651544367877</c:v>
                </c:pt>
                <c:pt idx="88">
                  <c:v>243.93952285599892</c:v>
                </c:pt>
                <c:pt idx="89">
                  <c:v>241.32956700762691</c:v>
                </c:pt>
                <c:pt idx="90">
                  <c:v>238.77483751259095</c:v>
                </c:pt>
                <c:pt idx="91">
                  <c:v>236.27359979999756</c:v>
                </c:pt>
                <c:pt idx="92">
                  <c:v>233.82419118643423</c:v>
                </c:pt>
                <c:pt idx="93">
                  <c:v>231.4250171900338</c:v>
                </c:pt>
                <c:pt idx="94">
                  <c:v>229.07454806902365</c:v>
                </c:pt>
                <c:pt idx="95">
                  <c:v>226.77131556897467</c:v>
                </c:pt>
                <c:pt idx="96">
                  <c:v>224.51390986421256</c:v>
                </c:pt>
                <c:pt idx="97">
                  <c:v>222.30097668000428</c:v>
                </c:pt>
                <c:pt idx="98">
                  <c:v>220.13121458317571</c:v>
                </c:pt>
                <c:pt idx="99">
                  <c:v>218.00337242977082</c:v>
                </c:pt>
                <c:pt idx="100">
                  <c:v>215.91624695923517</c:v>
                </c:pt>
              </c:numCache>
            </c:numRef>
          </c:val>
          <c:smooth val="0"/>
          <c:extLst>
            <c:ext xmlns:c16="http://schemas.microsoft.com/office/drawing/2014/chart" uri="{C3380CC4-5D6E-409C-BE32-E72D297353CC}">
              <c16:uniqueId val="{00000001-14B5-4C6D-ADBB-33FE896DCEBE}"/>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349.95866578286689</c:v>
                </c:pt>
                <c:pt idx="82">
                  <c:v>345.98907874618919</c:v>
                </c:pt>
                <c:pt idx="83">
                  <c:v>342.10858700313742</c:v>
                </c:pt>
                <c:pt idx="84">
                  <c:v>338.31422398906062</c:v>
                </c:pt>
                <c:pt idx="85">
                  <c:v>334.60315340076636</c:v>
                </c:pt>
                <c:pt idx="86">
                  <c:v>330.97288265021632</c:v>
                </c:pt>
                <c:pt idx="87">
                  <c:v>327.42304683347294</c:v>
                </c:pt>
                <c:pt idx="88">
                  <c:v>323.94866926022524</c:v>
                </c:pt>
                <c:pt idx="89">
                  <c:v>320.54736920440024</c:v>
                </c:pt>
                <c:pt idx="90">
                  <c:v>317.21686504762022</c:v>
                </c:pt>
                <c:pt idx="91">
                  <c:v>313.95496917510638</c:v>
                </c:pt>
                <c:pt idx="92">
                  <c:v>310.75958318380293</c:v>
                </c:pt>
                <c:pt idx="93">
                  <c:v>307.6286933806644</c:v>
                </c:pt>
                <c:pt idx="94">
                  <c:v>304.56036655081243</c:v>
                </c:pt>
                <c:pt idx="95">
                  <c:v>301.55274597687458</c:v>
                </c:pt>
                <c:pt idx="96">
                  <c:v>298.60404769228091</c:v>
                </c:pt>
                <c:pt idx="97">
                  <c:v>295.71255695263335</c:v>
                </c:pt>
                <c:pt idx="98">
                  <c:v>292.87662491047882</c:v>
                </c:pt>
                <c:pt idx="99">
                  <c:v>290.09466547994089</c:v>
                </c:pt>
                <c:pt idx="100">
                  <c:v>287.36515237868002</c:v>
                </c:pt>
              </c:numCache>
            </c:numRef>
          </c:val>
          <c:smooth val="0"/>
          <c:extLst>
            <c:ext xmlns:c16="http://schemas.microsoft.com/office/drawing/2014/chart" uri="{C3380CC4-5D6E-409C-BE32-E72D297353CC}">
              <c16:uniqueId val="{00000002-14B5-4C6D-ADBB-33FE896DCEBE}"/>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B5-4C6D-ADBB-33FE896DCEBE}"/>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B5-4C6D-ADBB-33FE896DCEBE}"/>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B5-4C6D-ADBB-33FE896DCEBE}"/>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347.78362894374703</c:v>
                </c:pt>
                <c:pt idx="25">
                  <c:v>334.7711064029632</c:v>
                </c:pt>
                <c:pt idx="26">
                  <c:v>322.68272887954049</c:v>
                </c:pt>
                <c:pt idx="27">
                  <c:v>311.41618065562244</c:v>
                </c:pt>
                <c:pt idx="28">
                  <c:v>300.90566782326096</c:v>
                </c:pt>
                <c:pt idx="29">
                  <c:v>291.07755990826632</c:v>
                </c:pt>
                <c:pt idx="30">
                  <c:v>281.86748699432445</c:v>
                </c:pt>
                <c:pt idx="31">
                  <c:v>273.21892822060551</c:v>
                </c:pt>
                <c:pt idx="32">
                  <c:v>265.08205081298991</c:v>
                </c:pt>
                <c:pt idx="33">
                  <c:v>257.41274925986704</c:v>
                </c:pt>
                <c:pt idx="34">
                  <c:v>250.17184550236544</c:v>
                </c:pt>
                <c:pt idx="35">
                  <c:v>243.32441951451295</c:v>
                </c:pt>
                <c:pt idx="36">
                  <c:v>236.83924612954232</c:v>
                </c:pt>
                <c:pt idx="37">
                  <c:v>230.68831894614939</c:v>
                </c:pt>
                <c:pt idx="38">
                  <c:v>224.8464460006366</c:v>
                </c:pt>
                <c:pt idx="39">
                  <c:v>219.29090489334567</c:v>
                </c:pt>
                <c:pt idx="40">
                  <c:v>214.00114741385082</c:v>
                </c:pt>
                <c:pt idx="41">
                  <c:v>208.9585455700572</c:v>
                </c:pt>
                <c:pt idx="42">
                  <c:v>204.14617240473316</c:v>
                </c:pt>
                <c:pt idx="43">
                  <c:v>199.54861216441293</c:v>
                </c:pt>
                <c:pt idx="44">
                  <c:v>195.15179533488296</c:v>
                </c:pt>
                <c:pt idx="45">
                  <c:v>190.94285482419971</c:v>
                </c:pt>
                <c:pt idx="46">
                  <c:v>186.91000019657395</c:v>
                </c:pt>
                <c:pt idx="47">
                  <c:v>183.04240736806608</c:v>
                </c:pt>
                <c:pt idx="48">
                  <c:v>179.33012159091351</c:v>
                </c:pt>
                <c:pt idx="49">
                  <c:v>175.76397189552216</c:v>
                </c:pt>
                <c:pt idx="50">
                  <c:v>172.33549544190518</c:v>
                </c:pt>
                <c:pt idx="51">
                  <c:v>169.03687046691317</c:v>
                </c:pt>
                <c:pt idx="52">
                  <c:v>165.86085670892578</c:v>
                </c:pt>
                <c:pt idx="53">
                  <c:v>162.80074235492296</c:v>
                </c:pt>
                <c:pt idx="54">
                  <c:v>159.85029669177268</c:v>
                </c:pt>
                <c:pt idx="55">
                  <c:v>157.00372775879961</c:v>
                </c:pt>
                <c:pt idx="56">
                  <c:v>154.25564439598401</c:v>
                </c:pt>
                <c:pt idx="57">
                  <c:v>151.60102216453612</c:v>
                </c:pt>
                <c:pt idx="58">
                  <c:v>149.03517268658783</c:v>
                </c:pt>
                <c:pt idx="59">
                  <c:v>146.55371601037854</c:v>
                </c:pt>
                <c:pt idx="60">
                  <c:v>144.15255565826249</c:v>
                </c:pt>
                <c:pt idx="61">
                  <c:v>141.82785605851711</c:v>
                </c:pt>
                <c:pt idx="62">
                  <c:v>139.57602209942164</c:v>
                </c:pt>
                <c:pt idx="63">
                  <c:v>137.39368057636216</c:v>
                </c:pt>
                <c:pt idx="64">
                  <c:v>135.27766333059014</c:v>
                </c:pt>
                <c:pt idx="65">
                  <c:v>133.22499190237491</c:v>
                </c:pt>
                <c:pt idx="66">
                  <c:v>131.23286354220627</c:v>
                </c:pt>
                <c:pt idx="67">
                  <c:v>129.29863844188105</c:v>
                </c:pt>
                <c:pt idx="68">
                  <c:v>127.41982806314212</c:v>
                </c:pt>
                <c:pt idx="69">
                  <c:v>125.59408445536226</c:v>
                </c:pt>
                <c:pt idx="70">
                  <c:v>123.81919046585134</c:v>
                </c:pt>
                <c:pt idx="71">
                  <c:v>122.09305075696309</c:v>
                </c:pt>
                <c:pt idx="72">
                  <c:v>120.41368355348025</c:v>
                </c:pt>
                <c:pt idx="73">
                  <c:v>118.77921305193911</c:v>
                </c:pt>
                <c:pt idx="74">
                  <c:v>117.18786243076858</c:v>
                </c:pt>
                <c:pt idx="75">
                  <c:v>115.63794740648386</c:v>
                </c:pt>
                <c:pt idx="76">
                  <c:v>114.12787028680728</c:v>
                </c:pt>
                <c:pt idx="77">
                  <c:v>112.65611447657444</c:v>
                </c:pt>
                <c:pt idx="78">
                  <c:v>111.22123939671036</c:v>
                </c:pt>
                <c:pt idx="79">
                  <c:v>109.82187578049034</c:v>
                </c:pt>
                <c:pt idx="80">
                  <c:v>108.45672131480293</c:v>
                </c:pt>
                <c:pt idx="81">
                  <c:v>107.12453659724756</c:v>
                </c:pt>
                <c:pt idx="82">
                  <c:v>105.8241413826872</c:v>
                </c:pt>
                <c:pt idx="83">
                  <c:v>104.55441109536281</c:v>
                </c:pt>
                <c:pt idx="84">
                  <c:v>103.31427358490478</c:v>
                </c:pt>
                <c:pt idx="85">
                  <c:v>102.10270610657264</c:v>
                </c:pt>
                <c:pt idx="86">
                  <c:v>100.91873250784838</c:v>
                </c:pt>
                <c:pt idx="87">
                  <c:v>99.761420605115319</c:v>
                </c:pt>
                <c:pt idx="88">
                  <c:v>98.629879735607716</c:v>
                </c:pt>
                <c:pt idx="89">
                  <c:v>97.523258471118524</c:v>
                </c:pt>
                <c:pt idx="90">
                  <c:v>96.440742481131764</c:v>
                </c:pt>
                <c:pt idx="91">
                  <c:v>95.381552534108607</c:v>
                </c:pt>
                <c:pt idx="92">
                  <c:v>94.344942626617708</c:v>
                </c:pt>
                <c:pt idx="93">
                  <c:v>93.330198230869854</c:v>
                </c:pt>
                <c:pt idx="94">
                  <c:v>92.336634652006325</c:v>
                </c:pt>
                <c:pt idx="95">
                  <c:v>91.363595487203753</c:v>
                </c:pt>
                <c:pt idx="96">
                  <c:v>90.410451179308851</c:v>
                </c:pt>
                <c:pt idx="97">
                  <c:v>89.476597658305579</c:v>
                </c:pt>
                <c:pt idx="98">
                  <c:v>88.56145506445435</c:v>
                </c:pt>
                <c:pt idx="99">
                  <c:v>87.664466547432042</c:v>
                </c:pt>
                <c:pt idx="100">
                  <c:v>86.785097136246634</c:v>
                </c:pt>
              </c:numCache>
            </c:numRef>
          </c:val>
          <c:smooth val="0"/>
          <c:extLst>
            <c:ext xmlns:c16="http://schemas.microsoft.com/office/drawing/2014/chart" uri="{C3380CC4-5D6E-409C-BE32-E72D297353CC}">
              <c16:uniqueId val="{00000006-14B5-4C6D-ADBB-33FE896DCEBE}"/>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349.86288604773813</c:v>
                </c:pt>
                <c:pt idx="61">
                  <c:v>344.52168384421304</c:v>
                </c:pt>
                <c:pt idx="62">
                  <c:v>339.34108994554043</c:v>
                </c:pt>
                <c:pt idx="63">
                  <c:v>334.31396765403355</c:v>
                </c:pt>
                <c:pt idx="64">
                  <c:v>329.43346017311495</c:v>
                </c:pt>
                <c:pt idx="65">
                  <c:v>324.69263270636736</c:v>
                </c:pt>
                <c:pt idx="66">
                  <c:v>320.08626446695831</c:v>
                </c:pt>
                <c:pt idx="67">
                  <c:v>315.60871506164466</c:v>
                </c:pt>
                <c:pt idx="68">
                  <c:v>311.25465522314454</c:v>
                </c:pt>
                <c:pt idx="69">
                  <c:v>307.01904564967822</c:v>
                </c:pt>
                <c:pt idx="70">
                  <c:v>302.8971175483436</c:v>
                </c:pt>
                <c:pt idx="71">
                  <c:v>298.88435472438755</c:v>
                </c:pt>
                <c:pt idx="72">
                  <c:v>294.97647707495042</c:v>
                </c:pt>
                <c:pt idx="73">
                  <c:v>291.16942536045076</c:v>
                </c:pt>
                <c:pt idx="74">
                  <c:v>287.45934713970553</c:v>
                </c:pt>
                <c:pt idx="75">
                  <c:v>283.84258376634034</c:v>
                </c:pt>
                <c:pt idx="76">
                  <c:v>280.31565835421753</c:v>
                </c:pt>
                <c:pt idx="77">
                  <c:v>276.87526462867402</c:v>
                </c:pt>
                <c:pt idx="78">
                  <c:v>273.51825658842256</c:v>
                </c:pt>
                <c:pt idx="79">
                  <c:v>270.24163891016781</c:v>
                </c:pt>
                <c:pt idx="80">
                  <c:v>267.04255803442459</c:v>
                </c:pt>
                <c:pt idx="81">
                  <c:v>263.91829387677535</c:v>
                </c:pt>
                <c:pt idx="82">
                  <c:v>260.86625211396534</c:v>
                </c:pt>
                <c:pt idx="83">
                  <c:v>257.88395699885399</c:v>
                </c:pt>
                <c:pt idx="84">
                  <c:v>254.96904466240133</c:v>
                </c:pt>
                <c:pt idx="85">
                  <c:v>252.11925686460367</c:v>
                </c:pt>
                <c:pt idx="86">
                  <c:v>249.33243515965921</c:v>
                </c:pt>
                <c:pt idx="87">
                  <c:v>246.60651544367877</c:v>
                </c:pt>
                <c:pt idx="88">
                  <c:v>243.93952285599892</c:v>
                </c:pt>
                <c:pt idx="89">
                  <c:v>241.32956700762691</c:v>
                </c:pt>
                <c:pt idx="90">
                  <c:v>238.77483751259095</c:v>
                </c:pt>
                <c:pt idx="91">
                  <c:v>236.27359979999756</c:v>
                </c:pt>
                <c:pt idx="92">
                  <c:v>233.82419118643423</c:v>
                </c:pt>
                <c:pt idx="93">
                  <c:v>231.4250171900338</c:v>
                </c:pt>
                <c:pt idx="94">
                  <c:v>229.07454806902365</c:v>
                </c:pt>
                <c:pt idx="95">
                  <c:v>226.77131556897467</c:v>
                </c:pt>
                <c:pt idx="96">
                  <c:v>224.51390986421256</c:v>
                </c:pt>
                <c:pt idx="97">
                  <c:v>222.30097668000428</c:v>
                </c:pt>
                <c:pt idx="98">
                  <c:v>220.13121458317571</c:v>
                </c:pt>
                <c:pt idx="99">
                  <c:v>218.00337242977082</c:v>
                </c:pt>
                <c:pt idx="100">
                  <c:v>215.91624695923517</c:v>
                </c:pt>
              </c:numCache>
            </c:numRef>
          </c:val>
          <c:smooth val="0"/>
          <c:extLst>
            <c:ext xmlns:c16="http://schemas.microsoft.com/office/drawing/2014/chart" uri="{C3380CC4-5D6E-409C-BE32-E72D297353CC}">
              <c16:uniqueId val="{00000007-14B5-4C6D-ADBB-33FE896DCEBE}"/>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349.95866578286689</c:v>
                </c:pt>
                <c:pt idx="82">
                  <c:v>345.98907874618919</c:v>
                </c:pt>
                <c:pt idx="83">
                  <c:v>342.10858700313742</c:v>
                </c:pt>
                <c:pt idx="84">
                  <c:v>338.31422398906062</c:v>
                </c:pt>
                <c:pt idx="85">
                  <c:v>334.60315340076636</c:v>
                </c:pt>
                <c:pt idx="86">
                  <c:v>330.97288265021632</c:v>
                </c:pt>
                <c:pt idx="87">
                  <c:v>327.42304683347294</c:v>
                </c:pt>
                <c:pt idx="88">
                  <c:v>323.94866926022524</c:v>
                </c:pt>
                <c:pt idx="89">
                  <c:v>320.54736920440024</c:v>
                </c:pt>
                <c:pt idx="90">
                  <c:v>317.21686504762022</c:v>
                </c:pt>
                <c:pt idx="91">
                  <c:v>313.95496917510638</c:v>
                </c:pt>
                <c:pt idx="92">
                  <c:v>310.75958318380293</c:v>
                </c:pt>
                <c:pt idx="93">
                  <c:v>307.6286933806644</c:v>
                </c:pt>
                <c:pt idx="94">
                  <c:v>304.56036655081243</c:v>
                </c:pt>
                <c:pt idx="95">
                  <c:v>301.55274597687458</c:v>
                </c:pt>
                <c:pt idx="96">
                  <c:v>298.60404769228091</c:v>
                </c:pt>
                <c:pt idx="97">
                  <c:v>295.71255695263335</c:v>
                </c:pt>
                <c:pt idx="98">
                  <c:v>292.87662491047882</c:v>
                </c:pt>
                <c:pt idx="99">
                  <c:v>290.09466547994089</c:v>
                </c:pt>
                <c:pt idx="100">
                  <c:v>287.36515237868002</c:v>
                </c:pt>
              </c:numCache>
            </c:numRef>
          </c:val>
          <c:smooth val="0"/>
          <c:extLst>
            <c:ext xmlns:c16="http://schemas.microsoft.com/office/drawing/2014/chart" uri="{C3380CC4-5D6E-409C-BE32-E72D297353CC}">
              <c16:uniqueId val="{00000008-14B5-4C6D-ADBB-33FE896DCEBE}"/>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14B5-4C6D-ADBB-33FE896DCEBE}"/>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14B5-4C6D-ADBB-33FE896DCEBE}"/>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14B5-4C6D-ADBB-33FE896DCEBE}"/>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347.78362894374703</c:v>
                </c:pt>
                <c:pt idx="25">
                  <c:v>334.7711064029632</c:v>
                </c:pt>
                <c:pt idx="26">
                  <c:v>322.68272887954049</c:v>
                </c:pt>
                <c:pt idx="27">
                  <c:v>311.41618065562244</c:v>
                </c:pt>
                <c:pt idx="28">
                  <c:v>300.90566782326096</c:v>
                </c:pt>
                <c:pt idx="29">
                  <c:v>291.07755990826632</c:v>
                </c:pt>
                <c:pt idx="30">
                  <c:v>281.86748699432445</c:v>
                </c:pt>
                <c:pt idx="31">
                  <c:v>273.21892822060551</c:v>
                </c:pt>
                <c:pt idx="32">
                  <c:v>265.08205081298991</c:v>
                </c:pt>
                <c:pt idx="33">
                  <c:v>257.41274925986704</c:v>
                </c:pt>
                <c:pt idx="34">
                  <c:v>250.17184550236544</c:v>
                </c:pt>
                <c:pt idx="35">
                  <c:v>243.32441951451295</c:v>
                </c:pt>
                <c:pt idx="36">
                  <c:v>236.83924612954232</c:v>
                </c:pt>
                <c:pt idx="37">
                  <c:v>230.68831894614939</c:v>
                </c:pt>
                <c:pt idx="38">
                  <c:v>224.8464460006366</c:v>
                </c:pt>
                <c:pt idx="39">
                  <c:v>219.29090489334567</c:v>
                </c:pt>
                <c:pt idx="40">
                  <c:v>214.00114741385082</c:v>
                </c:pt>
                <c:pt idx="41">
                  <c:v>208.9585455700572</c:v>
                </c:pt>
                <c:pt idx="42">
                  <c:v>204.14617240473316</c:v>
                </c:pt>
                <c:pt idx="43">
                  <c:v>199.54861216441293</c:v>
                </c:pt>
                <c:pt idx="44">
                  <c:v>195.15179533488296</c:v>
                </c:pt>
                <c:pt idx="45">
                  <c:v>190.94285482419971</c:v>
                </c:pt>
                <c:pt idx="46">
                  <c:v>186.91000019657395</c:v>
                </c:pt>
                <c:pt idx="47">
                  <c:v>183.04240736806608</c:v>
                </c:pt>
                <c:pt idx="48">
                  <c:v>179.33012159091351</c:v>
                </c:pt>
                <c:pt idx="49">
                  <c:v>175.76397189552216</c:v>
                </c:pt>
                <c:pt idx="50">
                  <c:v>172.33549544190518</c:v>
                </c:pt>
                <c:pt idx="51">
                  <c:v>169.03687046691317</c:v>
                </c:pt>
                <c:pt idx="52">
                  <c:v>165.86085670892578</c:v>
                </c:pt>
                <c:pt idx="53">
                  <c:v>162.80074235492296</c:v>
                </c:pt>
                <c:pt idx="54">
                  <c:v>159.85029669177268</c:v>
                </c:pt>
                <c:pt idx="55">
                  <c:v>157.00372775879961</c:v>
                </c:pt>
                <c:pt idx="56">
                  <c:v>154.25564439598401</c:v>
                </c:pt>
                <c:pt idx="57">
                  <c:v>151.60102216453612</c:v>
                </c:pt>
                <c:pt idx="58">
                  <c:v>149.03517268658783</c:v>
                </c:pt>
                <c:pt idx="59">
                  <c:v>146.55371601037854</c:v>
                </c:pt>
                <c:pt idx="60">
                  <c:v>144.15255565826249</c:v>
                </c:pt>
                <c:pt idx="61">
                  <c:v>141.82785605851711</c:v>
                </c:pt>
                <c:pt idx="62">
                  <c:v>139.57602209942164</c:v>
                </c:pt>
                <c:pt idx="63">
                  <c:v>137.39368057636216</c:v>
                </c:pt>
                <c:pt idx="64">
                  <c:v>135.27766333059014</c:v>
                </c:pt>
                <c:pt idx="65">
                  <c:v>133.22499190237491</c:v>
                </c:pt>
                <c:pt idx="66">
                  <c:v>131.23286354220627</c:v>
                </c:pt>
                <c:pt idx="67">
                  <c:v>129.29863844188105</c:v>
                </c:pt>
                <c:pt idx="68">
                  <c:v>127.41982806314212</c:v>
                </c:pt>
                <c:pt idx="69">
                  <c:v>125.59408445536226</c:v>
                </c:pt>
                <c:pt idx="70">
                  <c:v>123.81919046585134</c:v>
                </c:pt>
                <c:pt idx="71">
                  <c:v>122.09305075696309</c:v>
                </c:pt>
                <c:pt idx="72">
                  <c:v>120.41368355348025</c:v>
                </c:pt>
                <c:pt idx="73">
                  <c:v>118.77921305193911</c:v>
                </c:pt>
                <c:pt idx="74">
                  <c:v>117.18786243076858</c:v>
                </c:pt>
                <c:pt idx="75">
                  <c:v>115.63794740648386</c:v>
                </c:pt>
                <c:pt idx="76">
                  <c:v>114.12787028680728</c:v>
                </c:pt>
                <c:pt idx="77">
                  <c:v>112.65611447657444</c:v>
                </c:pt>
                <c:pt idx="78">
                  <c:v>111.22123939671036</c:v>
                </c:pt>
                <c:pt idx="79">
                  <c:v>109.82187578049034</c:v>
                </c:pt>
                <c:pt idx="80">
                  <c:v>108.45672131480293</c:v>
                </c:pt>
                <c:pt idx="81">
                  <c:v>107.12453659724756</c:v>
                </c:pt>
                <c:pt idx="82">
                  <c:v>105.8241413826872</c:v>
                </c:pt>
                <c:pt idx="83">
                  <c:v>104.55441109536281</c:v>
                </c:pt>
                <c:pt idx="84">
                  <c:v>103.31427358490478</c:v>
                </c:pt>
                <c:pt idx="85">
                  <c:v>102.10270610657264</c:v>
                </c:pt>
                <c:pt idx="86">
                  <c:v>100.91873250784838</c:v>
                </c:pt>
                <c:pt idx="87">
                  <c:v>99.761420605115319</c:v>
                </c:pt>
                <c:pt idx="88">
                  <c:v>98.629879735607716</c:v>
                </c:pt>
                <c:pt idx="89">
                  <c:v>97.523258471118524</c:v>
                </c:pt>
                <c:pt idx="90">
                  <c:v>96.440742481131764</c:v>
                </c:pt>
                <c:pt idx="91">
                  <c:v>95.381552534108607</c:v>
                </c:pt>
                <c:pt idx="92">
                  <c:v>94.344942626617708</c:v>
                </c:pt>
                <c:pt idx="93">
                  <c:v>93.330198230869854</c:v>
                </c:pt>
                <c:pt idx="94">
                  <c:v>92.336634652006325</c:v>
                </c:pt>
                <c:pt idx="95">
                  <c:v>91.363595487203753</c:v>
                </c:pt>
                <c:pt idx="96">
                  <c:v>90.410451179308851</c:v>
                </c:pt>
                <c:pt idx="97">
                  <c:v>89.476597658305579</c:v>
                </c:pt>
                <c:pt idx="98">
                  <c:v>88.56145506445435</c:v>
                </c:pt>
                <c:pt idx="99">
                  <c:v>87.664466547432042</c:v>
                </c:pt>
                <c:pt idx="100">
                  <c:v>86.785097136246634</c:v>
                </c:pt>
              </c:numCache>
            </c:numRef>
          </c:val>
          <c:smooth val="0"/>
          <c:extLst>
            <c:ext xmlns:c16="http://schemas.microsoft.com/office/drawing/2014/chart" uri="{C3380CC4-5D6E-409C-BE32-E72D297353CC}">
              <c16:uniqueId val="{00000000-DE77-4B43-A489-D4421C0BE99A}"/>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349.86288604773813</c:v>
                </c:pt>
                <c:pt idx="61">
                  <c:v>344.52168384421304</c:v>
                </c:pt>
                <c:pt idx="62">
                  <c:v>339.34108994554043</c:v>
                </c:pt>
                <c:pt idx="63">
                  <c:v>334.31396765403355</c:v>
                </c:pt>
                <c:pt idx="64">
                  <c:v>329.43346017311495</c:v>
                </c:pt>
                <c:pt idx="65">
                  <c:v>324.69263270636736</c:v>
                </c:pt>
                <c:pt idx="66">
                  <c:v>320.08626446695831</c:v>
                </c:pt>
                <c:pt idx="67">
                  <c:v>315.60871506164466</c:v>
                </c:pt>
                <c:pt idx="68">
                  <c:v>311.25465522314454</c:v>
                </c:pt>
                <c:pt idx="69">
                  <c:v>307.01904564967822</c:v>
                </c:pt>
                <c:pt idx="70">
                  <c:v>302.8971175483436</c:v>
                </c:pt>
                <c:pt idx="71">
                  <c:v>298.88435472438755</c:v>
                </c:pt>
                <c:pt idx="72">
                  <c:v>294.97647707495042</c:v>
                </c:pt>
                <c:pt idx="73">
                  <c:v>291.16942536045076</c:v>
                </c:pt>
                <c:pt idx="74">
                  <c:v>287.45934713970553</c:v>
                </c:pt>
                <c:pt idx="75">
                  <c:v>283.84258376634034</c:v>
                </c:pt>
                <c:pt idx="76">
                  <c:v>280.31565835421753</c:v>
                </c:pt>
                <c:pt idx="77">
                  <c:v>276.87526462867402</c:v>
                </c:pt>
                <c:pt idx="78">
                  <c:v>273.51825658842256</c:v>
                </c:pt>
                <c:pt idx="79">
                  <c:v>270.24163891016781</c:v>
                </c:pt>
                <c:pt idx="80">
                  <c:v>267.04255803442459</c:v>
                </c:pt>
                <c:pt idx="81">
                  <c:v>263.91829387677535</c:v>
                </c:pt>
                <c:pt idx="82">
                  <c:v>260.86625211396534</c:v>
                </c:pt>
                <c:pt idx="83">
                  <c:v>257.88395699885399</c:v>
                </c:pt>
                <c:pt idx="84">
                  <c:v>254.96904466240133</c:v>
                </c:pt>
                <c:pt idx="85">
                  <c:v>252.11925686460367</c:v>
                </c:pt>
                <c:pt idx="86">
                  <c:v>249.33243515965921</c:v>
                </c:pt>
                <c:pt idx="87">
                  <c:v>246.60651544367877</c:v>
                </c:pt>
                <c:pt idx="88">
                  <c:v>243.93952285599892</c:v>
                </c:pt>
                <c:pt idx="89">
                  <c:v>241.32956700762691</c:v>
                </c:pt>
                <c:pt idx="90">
                  <c:v>238.77483751259095</c:v>
                </c:pt>
                <c:pt idx="91">
                  <c:v>236.27359979999756</c:v>
                </c:pt>
                <c:pt idx="92">
                  <c:v>233.82419118643423</c:v>
                </c:pt>
                <c:pt idx="93">
                  <c:v>231.4250171900338</c:v>
                </c:pt>
                <c:pt idx="94">
                  <c:v>229.07454806902365</c:v>
                </c:pt>
                <c:pt idx="95">
                  <c:v>226.77131556897467</c:v>
                </c:pt>
                <c:pt idx="96">
                  <c:v>224.51390986421256</c:v>
                </c:pt>
                <c:pt idx="97">
                  <c:v>222.30097668000428</c:v>
                </c:pt>
                <c:pt idx="98">
                  <c:v>220.13121458317571</c:v>
                </c:pt>
                <c:pt idx="99">
                  <c:v>218.00337242977082</c:v>
                </c:pt>
                <c:pt idx="100">
                  <c:v>215.91624695923517</c:v>
                </c:pt>
              </c:numCache>
            </c:numRef>
          </c:val>
          <c:smooth val="0"/>
          <c:extLst>
            <c:ext xmlns:c16="http://schemas.microsoft.com/office/drawing/2014/chart" uri="{C3380CC4-5D6E-409C-BE32-E72D297353CC}">
              <c16:uniqueId val="{00000001-DE77-4B43-A489-D4421C0BE99A}"/>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349.95866578286689</c:v>
                </c:pt>
                <c:pt idx="82">
                  <c:v>345.98907874618919</c:v>
                </c:pt>
                <c:pt idx="83">
                  <c:v>342.10858700313742</c:v>
                </c:pt>
                <c:pt idx="84">
                  <c:v>338.31422398906062</c:v>
                </c:pt>
                <c:pt idx="85">
                  <c:v>334.60315340076636</c:v>
                </c:pt>
                <c:pt idx="86">
                  <c:v>330.97288265021632</c:v>
                </c:pt>
                <c:pt idx="87">
                  <c:v>327.42304683347294</c:v>
                </c:pt>
                <c:pt idx="88">
                  <c:v>323.94866926022524</c:v>
                </c:pt>
                <c:pt idx="89">
                  <c:v>320.54736920440024</c:v>
                </c:pt>
                <c:pt idx="90">
                  <c:v>317.21686504762022</c:v>
                </c:pt>
                <c:pt idx="91">
                  <c:v>313.95496917510638</c:v>
                </c:pt>
                <c:pt idx="92">
                  <c:v>310.75958318380293</c:v>
                </c:pt>
                <c:pt idx="93">
                  <c:v>307.6286933806644</c:v>
                </c:pt>
                <c:pt idx="94">
                  <c:v>304.56036655081243</c:v>
                </c:pt>
                <c:pt idx="95">
                  <c:v>301.55274597687458</c:v>
                </c:pt>
                <c:pt idx="96">
                  <c:v>298.60404769228091</c:v>
                </c:pt>
                <c:pt idx="97">
                  <c:v>295.71255695263335</c:v>
                </c:pt>
                <c:pt idx="98">
                  <c:v>292.87662491047882</c:v>
                </c:pt>
                <c:pt idx="99">
                  <c:v>290.09466547994089</c:v>
                </c:pt>
                <c:pt idx="100">
                  <c:v>287.36515237868002</c:v>
                </c:pt>
              </c:numCache>
            </c:numRef>
          </c:val>
          <c:smooth val="0"/>
          <c:extLst>
            <c:ext xmlns:c16="http://schemas.microsoft.com/office/drawing/2014/chart" uri="{C3380CC4-5D6E-409C-BE32-E72D297353CC}">
              <c16:uniqueId val="{00000002-DE77-4B43-A489-D4421C0BE99A}"/>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E77-4B43-A489-D4421C0BE99A}"/>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E77-4B43-A489-D4421C0BE99A}"/>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E77-4B43-A489-D4421C0BE99A}"/>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6.6666729551211308E-3</c:v>
                </c:pt>
                <c:pt idx="1">
                  <c:v>1.0719895980979079E-2</c:v>
                </c:pt>
                <c:pt idx="2">
                  <c:v>2.1439791961958159E-2</c:v>
                </c:pt>
                <c:pt idx="3">
                  <c:v>3.2159687942937228E-2</c:v>
                </c:pt>
                <c:pt idx="4">
                  <c:v>4.2879583923916317E-2</c:v>
                </c:pt>
                <c:pt idx="5">
                  <c:v>5.3599479904895386E-2</c:v>
                </c:pt>
                <c:pt idx="6">
                  <c:v>6.4319375885874455E-2</c:v>
                </c:pt>
                <c:pt idx="7">
                  <c:v>7.5039271866853552E-2</c:v>
                </c:pt>
                <c:pt idx="8">
                  <c:v>8.5759167847832635E-2</c:v>
                </c:pt>
                <c:pt idx="9">
                  <c:v>9.6479063828811662E-2</c:v>
                </c:pt>
                <c:pt idx="10">
                  <c:v>0.10719895980979077</c:v>
                </c:pt>
                <c:pt idx="11">
                  <c:v>0.11791885579076984</c:v>
                </c:pt>
                <c:pt idx="12">
                  <c:v>0.12863875177174891</c:v>
                </c:pt>
                <c:pt idx="13">
                  <c:v>0.13935864775272799</c:v>
                </c:pt>
                <c:pt idx="14">
                  <c:v>0.1500785437337071</c:v>
                </c:pt>
                <c:pt idx="15">
                  <c:v>0.16079843971468613</c:v>
                </c:pt>
                <c:pt idx="16">
                  <c:v>0.17151833569566527</c:v>
                </c:pt>
                <c:pt idx="17">
                  <c:v>0.18223823167664432</c:v>
                </c:pt>
                <c:pt idx="18">
                  <c:v>0.19295812765762332</c:v>
                </c:pt>
                <c:pt idx="19">
                  <c:v>0.20367802363860249</c:v>
                </c:pt>
                <c:pt idx="20">
                  <c:v>0.21439791961958155</c:v>
                </c:pt>
                <c:pt idx="21">
                  <c:v>0.22902349657250204</c:v>
                </c:pt>
                <c:pt idx="22">
                  <c:v>0.24342379488550633</c:v>
                </c:pt>
                <c:pt idx="23">
                  <c:v>0.24890517528594497</c:v>
                </c:pt>
                <c:pt idx="24">
                  <c:v>0.2542690828384529</c:v>
                </c:pt>
                <c:pt idx="25">
                  <c:v>0.25952278794917977</c:v>
                </c:pt>
                <c:pt idx="26">
                  <c:v>0.26467284065998603</c:v>
                </c:pt>
                <c:pt idx="27">
                  <c:v>0.26972516678139552</c:v>
                </c:pt>
                <c:pt idx="28">
                  <c:v>0.27468514813427447</c:v>
                </c:pt>
                <c:pt idx="29">
                  <c:v>0.2795576899976287</c:v>
                </c:pt>
                <c:pt idx="30">
                  <c:v>0.28434727817073902</c:v>
                </c:pt>
                <c:pt idx="31">
                  <c:v>0.2890580275397962</c:v>
                </c:pt>
                <c:pt idx="32">
                  <c:v>0.2936937236456108</c:v>
                </c:pt>
                <c:pt idx="33">
                  <c:v>0.29825785844704034</c:v>
                </c:pt>
                <c:pt idx="34">
                  <c:v>0.30275366124101211</c:v>
                </c:pt>
                <c:pt idx="35">
                  <c:v>0.30718412551750363</c:v>
                </c:pt>
                <c:pt idx="36">
                  <c:v>0.3115520323841936</c:v>
                </c:pt>
                <c:pt idx="37">
                  <c:v>0.31585997108159869</c:v>
                </c:pt>
                <c:pt idx="38">
                  <c:v>0.32011035701855822</c:v>
                </c:pt>
                <c:pt idx="39">
                  <c:v>0.32430544768483638</c:v>
                </c:pt>
                <c:pt idx="40">
                  <c:v>0.32844735673848058</c:v>
                </c:pt>
                <c:pt idx="41">
                  <c:v>0.33253806651748818</c:v>
                </c:pt>
                <c:pt idx="42">
                  <c:v>0.33657943918597627</c:v>
                </c:pt>
                <c:pt idx="43">
                  <c:v>0.34057322669270246</c:v>
                </c:pt>
                <c:pt idx="44">
                  <c:v>0.3445210796930353</c:v>
                </c:pt>
                <c:pt idx="45">
                  <c:v>0.34842455556326918</c:v>
                </c:pt>
                <c:pt idx="46">
                  <c:v>0.35228512561765274</c:v>
                </c:pt>
                <c:pt idx="47">
                  <c:v>0.35610418162298185</c:v>
                </c:pt>
                <c:pt idx="48">
                  <c:v>0.35988304169255442</c:v>
                </c:pt>
                <c:pt idx="49">
                  <c:v>0.36362295563025787</c:v>
                </c:pt>
                <c:pt idx="50">
                  <c:v>0.36732510978622007</c:v>
                </c:pt>
                <c:pt idx="51">
                  <c:v>0.37099063147750072</c:v>
                </c:pt>
                <c:pt idx="52">
                  <c:v>0.37462059302051787</c:v>
                </c:pt>
                <c:pt idx="53">
                  <c:v>0.37821601541609245</c:v>
                </c:pt>
                <c:pt idx="54">
                  <c:v>0.38177787172300143</c:v>
                </c:pt>
                <c:pt idx="55">
                  <c:v>0.38530709015162884</c:v>
                </c:pt>
                <c:pt idx="56">
                  <c:v>0.38880455690558502</c:v>
                </c:pt>
                <c:pt idx="57">
                  <c:v>0.39227111879594556</c:v>
                </c:pt>
                <c:pt idx="58">
                  <c:v>0.39570758564995867</c:v>
                </c:pt>
                <c:pt idx="59">
                  <c:v>0.39911473253363267</c:v>
                </c:pt>
                <c:pt idx="60">
                  <c:v>0.40233562338442924</c:v>
                </c:pt>
                <c:pt idx="61">
                  <c:v>0.39949159996140238</c:v>
                </c:pt>
                <c:pt idx="62">
                  <c:v>0.39670672512210892</c:v>
                </c:pt>
                <c:pt idx="63">
                  <c:v>0.39397899661486452</c:v>
                </c:pt>
                <c:pt idx="64">
                  <c:v>0.39130786123662342</c:v>
                </c:pt>
                <c:pt idx="65">
                  <c:v>0.38869752040588396</c:v>
                </c:pt>
                <c:pt idx="66">
                  <c:v>0.38613880086708502</c:v>
                </c:pt>
                <c:pt idx="67">
                  <c:v>0.38363004048370541</c:v>
                </c:pt>
                <c:pt idx="68">
                  <c:v>0.38116965032724714</c:v>
                </c:pt>
                <c:pt idx="69">
                  <c:v>0.37875611063335485</c:v>
                </c:pt>
                <c:pt idx="70">
                  <c:v>0.39214999780806281</c:v>
                </c:pt>
                <c:pt idx="71">
                  <c:v>0.39250356800354624</c:v>
                </c:pt>
                <c:pt idx="72">
                  <c:v>0.3928484130359704</c:v>
                </c:pt>
                <c:pt idx="73">
                  <c:v>0.39318487060933022</c:v>
                </c:pt>
                <c:pt idx="74">
                  <c:v>0.39351326122325569</c:v>
                </c:pt>
                <c:pt idx="75">
                  <c:v>0.39383388925483159</c:v>
                </c:pt>
                <c:pt idx="76">
                  <c:v>0.39414704395979988</c:v>
                </c:pt>
                <c:pt idx="77">
                  <c:v>0.39445300040006886</c:v>
                </c:pt>
                <c:pt idx="78">
                  <c:v>0.39475202030378015</c:v>
                </c:pt>
                <c:pt idx="79">
                  <c:v>0.39504435286358575</c:v>
                </c:pt>
                <c:pt idx="80">
                  <c:v>0.39533023547825369</c:v>
                </c:pt>
                <c:pt idx="81">
                  <c:v>0.39560989444224115</c:v>
                </c:pt>
                <c:pt idx="82">
                  <c:v>0.39588354558744349</c:v>
                </c:pt>
                <c:pt idx="83">
                  <c:v>0.39615139488094736</c:v>
                </c:pt>
                <c:pt idx="84">
                  <c:v>0.39641363898226373</c:v>
                </c:pt>
                <c:pt idx="85">
                  <c:v>0.39667046576321258</c:v>
                </c:pt>
                <c:pt idx="86">
                  <c:v>0.39692205479334536</c:v>
                </c:pt>
                <c:pt idx="87">
                  <c:v>0.39716857779354153</c:v>
                </c:pt>
                <c:pt idx="88">
                  <c:v>0.39741019906018948</c:v>
                </c:pt>
                <c:pt idx="89">
                  <c:v>0.39764707586214948</c:v>
                </c:pt>
                <c:pt idx="90">
                  <c:v>0.39787935881251851</c:v>
                </c:pt>
                <c:pt idx="91">
                  <c:v>0.39810719221704255</c:v>
                </c:pt>
                <c:pt idx="92">
                  <c:v>0.39833071440086693</c:v>
                </c:pt>
                <c:pt idx="93">
                  <c:v>0.398550058015185</c:v>
                </c:pt>
                <c:pt idx="94">
                  <c:v>0.39876535032520916</c:v>
                </c:pt>
                <c:pt idx="95">
                  <c:v>0.39897671348078001</c:v>
                </c:pt>
                <c:pt idx="96">
                  <c:v>0.39918426477082242</c:v>
                </c:pt>
                <c:pt idx="97">
                  <c:v>0.39938811686276193</c:v>
                </c:pt>
                <c:pt idx="98">
                  <c:v>0.39958837802792863</c:v>
                </c:pt>
                <c:pt idx="99">
                  <c:v>0.39978515235389656</c:v>
                </c:pt>
                <c:pt idx="100">
                  <c:v>0.39997853994463312</c:v>
                </c:pt>
              </c:numCache>
            </c:numRef>
          </c:val>
          <c:smooth val="0"/>
          <c:extLst>
            <c:ext xmlns:c16="http://schemas.microsoft.com/office/drawing/2014/chart" uri="{C3380CC4-5D6E-409C-BE32-E72D297353CC}">
              <c16:uniqueId val="{00000006-DE77-4B43-A489-D4421C0BE99A}"/>
            </c:ext>
          </c:extLst>
        </c:ser>
        <c:ser>
          <c:idx val="16"/>
          <c:order val="16"/>
          <c:spPr>
            <a:ln w="25400">
              <a:solidFill>
                <a:srgbClr val="00B050"/>
              </a:solidFill>
              <a:prstDash val="dash"/>
            </a:ln>
          </c:spPr>
          <c:marker>
            <c:symbol val="none"/>
          </c:marker>
          <c:val>
            <c:numRef>
              <c:f>'Calculations - Dual'!$AU$110:$AU$210</c:f>
              <c:numCache>
                <c:formatCode>0.000</c:formatCode>
                <c:ptCount val="101"/>
                <c:pt idx="0">
                  <c:v>1.6007552455829924E-2</c:v>
                </c:pt>
                <c:pt idx="1">
                  <c:v>2.5795273338807052E-2</c:v>
                </c:pt>
                <c:pt idx="2">
                  <c:v>7.738582001642115E-2</c:v>
                </c:pt>
                <c:pt idx="3">
                  <c:v>7.738582001642115E-2</c:v>
                </c:pt>
                <c:pt idx="4">
                  <c:v>0.10318109335522821</c:v>
                </c:pt>
                <c:pt idx="5">
                  <c:v>0.12897636669403525</c:v>
                </c:pt>
                <c:pt idx="6">
                  <c:v>0.1547716400328423</c:v>
                </c:pt>
                <c:pt idx="7">
                  <c:v>0.1805669133716494</c:v>
                </c:pt>
                <c:pt idx="8">
                  <c:v>0.20636218671045642</c:v>
                </c:pt>
                <c:pt idx="9">
                  <c:v>0.23215746004926338</c:v>
                </c:pt>
                <c:pt idx="10">
                  <c:v>0.25795273338807051</c:v>
                </c:pt>
                <c:pt idx="11">
                  <c:v>0.28374800672687756</c:v>
                </c:pt>
                <c:pt idx="12">
                  <c:v>0.3095432800656846</c:v>
                </c:pt>
                <c:pt idx="13">
                  <c:v>0.33533855340449165</c:v>
                </c:pt>
                <c:pt idx="14">
                  <c:v>0.3611338267432988</c:v>
                </c:pt>
                <c:pt idx="15">
                  <c:v>0.38692910008210574</c:v>
                </c:pt>
                <c:pt idx="16">
                  <c:v>0.41272437342091284</c:v>
                </c:pt>
                <c:pt idx="17">
                  <c:v>0.43851964675971988</c:v>
                </c:pt>
                <c:pt idx="18">
                  <c:v>0.46431492009852676</c:v>
                </c:pt>
                <c:pt idx="19">
                  <c:v>0.49011019343733403</c:v>
                </c:pt>
                <c:pt idx="20">
                  <c:v>0.51590546677614102</c:v>
                </c:pt>
                <c:pt idx="21">
                  <c:v>0.55109897573441402</c:v>
                </c:pt>
                <c:pt idx="22">
                  <c:v>0.58575629897598225</c:v>
                </c:pt>
                <c:pt idx="23">
                  <c:v>0.59898180642203436</c:v>
                </c:pt>
                <c:pt idx="24">
                  <c:v>0.60805038334111861</c:v>
                </c:pt>
                <c:pt idx="25">
                  <c:v>0.59006051482295963</c:v>
                </c:pt>
                <c:pt idx="26">
                  <c:v>0.59162619899447821</c:v>
                </c:pt>
                <c:pt idx="27">
                  <c:v>0.59310347454198331</c:v>
                </c:pt>
                <c:pt idx="28">
                  <c:v>0.59448535847669604</c:v>
                </c:pt>
                <c:pt idx="29">
                  <c:v>0.59578114143534611</c:v>
                </c:pt>
                <c:pt idx="30">
                  <c:v>0.59699894556464217</c:v>
                </c:pt>
                <c:pt idx="31">
                  <c:v>0.59814590262354805</c:v>
                </c:pt>
                <c:pt idx="32">
                  <c:v>0.59922830047342568</c:v>
                </c:pt>
                <c:pt idx="33">
                  <c:v>0.60025170431408803</c:v>
                </c:pt>
                <c:pt idx="34">
                  <c:v>0.6012210576031769</c:v>
                </c:pt>
                <c:pt idx="35">
                  <c:v>0.60214076652303972</c:v>
                </c:pt>
                <c:pt idx="36">
                  <c:v>0.60301477104155032</c:v>
                </c:pt>
                <c:pt idx="37">
                  <c:v>0.603846604985249</c:v>
                </c:pt>
                <c:pt idx="38">
                  <c:v>0.60463944705711825</c:v>
                </c:pt>
                <c:pt idx="39">
                  <c:v>0.60539616435246169</c:v>
                </c:pt>
                <c:pt idx="40">
                  <c:v>0.60611934962906933</c:v>
                </c:pt>
                <c:pt idx="41">
                  <c:v>0.60681135335306968</c:v>
                </c:pt>
                <c:pt idx="42">
                  <c:v>0.60747431135532826</c:v>
                </c:pt>
                <c:pt idx="43">
                  <c:v>0.60811016878419066</c:v>
                </c:pt>
                <c:pt idx="44">
                  <c:v>0.60872070092057529</c:v>
                </c:pt>
                <c:pt idx="45">
                  <c:v>0.60930753132469051</c:v>
                </c:pt>
                <c:pt idx="46">
                  <c:v>0.60987214770510356</c:v>
                </c:pt>
                <c:pt idx="47">
                  <c:v>0.61041591583685473</c:v>
                </c:pt>
                <c:pt idx="48">
                  <c:v>0.61094009180281839</c:v>
                </c:pt>
                <c:pt idx="49">
                  <c:v>0.61144583278934617</c:v>
                </c:pt>
                <c:pt idx="50">
                  <c:v>0.61193420663154463</c:v>
                </c:pt>
                <c:pt idx="51">
                  <c:v>0.61240620027394144</c:v>
                </c:pt>
                <c:pt idx="52">
                  <c:v>0.61286272728765112</c:v>
                </c:pt>
                <c:pt idx="53">
                  <c:v>0.61330463456455431</c:v>
                </c:pt>
                <c:pt idx="54">
                  <c:v>0.61373270829171878</c:v>
                </c:pt>
                <c:pt idx="55">
                  <c:v>0.6141476792947681</c:v>
                </c:pt>
                <c:pt idx="56">
                  <c:v>0.61455022782660906</c:v>
                </c:pt>
                <c:pt idx="57">
                  <c:v>0.61494098786754858</c:v>
                </c:pt>
                <c:pt idx="58">
                  <c:v>0.6153205509939853</c:v>
                </c:pt>
                <c:pt idx="59">
                  <c:v>0.615689469865352</c:v>
                </c:pt>
                <c:pt idx="60">
                  <c:v>0.61604826137253621</c:v>
                </c:pt>
                <c:pt idx="61">
                  <c:v>0.61639740948551824</c:v>
                </c:pt>
                <c:pt idx="62">
                  <c:v>0.61673736783322219</c:v>
                </c:pt>
                <c:pt idx="63">
                  <c:v>0.61706856204450489</c:v>
                </c:pt>
                <c:pt idx="64">
                  <c:v>0.61739139187569503</c:v>
                </c:pt>
                <c:pt idx="65">
                  <c:v>0.61770623314704554</c:v>
                </c:pt>
                <c:pt idx="66">
                  <c:v>0.61801343950783094</c:v>
                </c:pt>
                <c:pt idx="67">
                  <c:v>0.61831334404751681</c:v>
                </c:pt>
                <c:pt idx="68">
                  <c:v>0.61860626076844472</c:v>
                </c:pt>
                <c:pt idx="69">
                  <c:v>0.6188924859337176</c:v>
                </c:pt>
                <c:pt idx="70">
                  <c:v>0.61917229930245665</c:v>
                </c:pt>
                <c:pt idx="71">
                  <c:v>0.61944596526325513</c:v>
                </c:pt>
                <c:pt idx="72">
                  <c:v>0.61971373387548623</c:v>
                </c:pt>
                <c:pt idx="73">
                  <c:v>0.6199758418270902</c:v>
                </c:pt>
                <c:pt idx="74">
                  <c:v>0.62023251331654849</c:v>
                </c:pt>
                <c:pt idx="75">
                  <c:v>0.62048396086595892</c:v>
                </c:pt>
                <c:pt idx="76">
                  <c:v>0.62073038607140729</c:v>
                </c:pt>
                <c:pt idx="77">
                  <c:v>0.62097198029620893</c:v>
                </c:pt>
                <c:pt idx="78">
                  <c:v>0.62120892531202809</c:v>
                </c:pt>
                <c:pt idx="79">
                  <c:v>0.62144139389239139</c:v>
                </c:pt>
                <c:pt idx="80">
                  <c:v>0.62166955036267113</c:v>
                </c:pt>
                <c:pt idx="81">
                  <c:v>0.62189355111021449</c:v>
                </c:pt>
                <c:pt idx="82">
                  <c:v>0.62211354505795113</c:v>
                </c:pt>
                <c:pt idx="83">
                  <c:v>0.62232967410449147</c:v>
                </c:pt>
                <c:pt idx="84">
                  <c:v>0.62254207353345159</c:v>
                </c:pt>
                <c:pt idx="85">
                  <c:v>0.6227508723944829</c:v>
                </c:pt>
                <c:pt idx="86">
                  <c:v>0.62295619385826728</c:v>
                </c:pt>
                <c:pt idx="87">
                  <c:v>0.62315815554752363</c:v>
                </c:pt>
                <c:pt idx="88">
                  <c:v>0.62335686984590288</c:v>
                </c:pt>
                <c:pt idx="89">
                  <c:v>0.62355244418646982</c:v>
                </c:pt>
                <c:pt idx="90">
                  <c:v>0.62374498132133072</c:v>
                </c:pt>
                <c:pt idx="91">
                  <c:v>0.62393457957383081</c:v>
                </c:pt>
                <c:pt idx="92">
                  <c:v>0.62412133307461859</c:v>
                </c:pt>
                <c:pt idx="93">
                  <c:v>0.62430533198276983</c:v>
                </c:pt>
                <c:pt idx="94">
                  <c:v>0.62448666269306485</c:v>
                </c:pt>
                <c:pt idx="95">
                  <c:v>0.6246654080304167</c:v>
                </c:pt>
                <c:pt idx="96">
                  <c:v>0.6248416474323728</c:v>
                </c:pt>
                <c:pt idx="97">
                  <c:v>0.62501545712053352</c:v>
                </c:pt>
                <c:pt idx="98">
                  <c:v>0.62518691026166495</c:v>
                </c:pt>
                <c:pt idx="99">
                  <c:v>0.62535607711922314</c:v>
                </c:pt>
                <c:pt idx="100">
                  <c:v>0.62552302519594716</c:v>
                </c:pt>
              </c:numCache>
            </c:numRef>
          </c:val>
          <c:smooth val="0"/>
          <c:extLst>
            <c:ext xmlns:c16="http://schemas.microsoft.com/office/drawing/2014/chart" uri="{C3380CC4-5D6E-409C-BE32-E72D297353CC}">
              <c16:uniqueId val="{00000007-DE77-4B43-A489-D4421C0BE99A}"/>
            </c:ext>
          </c:extLst>
        </c:ser>
        <c:ser>
          <c:idx val="17"/>
          <c:order val="17"/>
          <c:spPr>
            <a:ln w="25400">
              <a:solidFill>
                <a:srgbClr val="FF0000"/>
              </a:solidFill>
            </a:ln>
          </c:spPr>
          <c:marker>
            <c:symbol val="none"/>
          </c:marker>
          <c:val>
            <c:numRef>
              <c:f>'Calculations - Dual'!$AU$216:$AU$316</c:f>
              <c:numCache>
                <c:formatCode>0.000</c:formatCode>
                <c:ptCount val="101"/>
                <c:pt idx="0">
                  <c:v>4.4450096305018857E-3</c:v>
                </c:pt>
                <c:pt idx="1">
                  <c:v>7.1418986430508997E-3</c:v>
                </c:pt>
                <c:pt idx="2">
                  <c:v>1.4283797286101799E-2</c:v>
                </c:pt>
                <c:pt idx="3">
                  <c:v>2.1425695929152697E-2</c:v>
                </c:pt>
                <c:pt idx="4">
                  <c:v>2.8567594572203599E-2</c:v>
                </c:pt>
                <c:pt idx="5">
                  <c:v>3.5709493215254504E-2</c:v>
                </c:pt>
                <c:pt idx="6">
                  <c:v>4.2851391858305395E-2</c:v>
                </c:pt>
                <c:pt idx="7">
                  <c:v>4.9993290501356306E-2</c:v>
                </c:pt>
                <c:pt idx="8">
                  <c:v>5.7135189144407197E-2</c:v>
                </c:pt>
                <c:pt idx="9">
                  <c:v>6.4277087787458109E-2</c:v>
                </c:pt>
                <c:pt idx="10">
                  <c:v>7.1418986430509007E-2</c:v>
                </c:pt>
                <c:pt idx="11">
                  <c:v>7.8560885073559877E-2</c:v>
                </c:pt>
                <c:pt idx="12">
                  <c:v>8.5702783716610789E-2</c:v>
                </c:pt>
                <c:pt idx="13">
                  <c:v>9.2844682359661687E-2</c:v>
                </c:pt>
                <c:pt idx="14">
                  <c:v>9.9986581002712613E-2</c:v>
                </c:pt>
                <c:pt idx="15">
                  <c:v>0.10712847964576347</c:v>
                </c:pt>
                <c:pt idx="16">
                  <c:v>0.11427037828881439</c:v>
                </c:pt>
                <c:pt idx="17">
                  <c:v>0.12141227693186532</c:v>
                </c:pt>
                <c:pt idx="18">
                  <c:v>0.12855417557491622</c:v>
                </c:pt>
                <c:pt idx="19">
                  <c:v>0.13569607421796709</c:v>
                </c:pt>
                <c:pt idx="20">
                  <c:v>0.14283797286101801</c:v>
                </c:pt>
                <c:pt idx="21">
                  <c:v>0.15258194690509816</c:v>
                </c:pt>
                <c:pt idx="22">
                  <c:v>0.16217768230456678</c:v>
                </c:pt>
                <c:pt idx="23">
                  <c:v>0.1658271624504731</c:v>
                </c:pt>
                <c:pt idx="24">
                  <c:v>0.16939832686988923</c:v>
                </c:pt>
                <c:pt idx="25">
                  <c:v>0.17289602251059821</c:v>
                </c:pt>
                <c:pt idx="26">
                  <c:v>0.17632461607689578</c:v>
                </c:pt>
                <c:pt idx="27">
                  <c:v>0.17968805811828659</c:v>
                </c:pt>
                <c:pt idx="28">
                  <c:v>0.18298993652398965</c:v>
                </c:pt>
                <c:pt idx="29">
                  <c:v>0.18623352148818292</c:v>
                </c:pt>
                <c:pt idx="30">
                  <c:v>0.18942180355146779</c:v>
                </c:pt>
                <c:pt idx="31">
                  <c:v>0.19255752597866119</c:v>
                </c:pt>
                <c:pt idx="32">
                  <c:v>0.19564321247063418</c:v>
                </c:pt>
                <c:pt idx="33">
                  <c:v>0.19868119100662518</c:v>
                </c:pt>
                <c:pt idx="34">
                  <c:v>0.20167361445761348</c:v>
                </c:pt>
                <c:pt idx="35">
                  <c:v>0.20462247848966245</c:v>
                </c:pt>
                <c:pt idx="36">
                  <c:v>0.2075296371803737</c:v>
                </c:pt>
                <c:pt idx="37">
                  <c:v>0.21039681669566335</c:v>
                </c:pt>
                <c:pt idx="38">
                  <c:v>0.21322562731343511</c:v>
                </c:pt>
                <c:pt idx="39">
                  <c:v>0.21601757403199673</c:v>
                </c:pt>
                <c:pt idx="40">
                  <c:v>0.21877406596164642</c:v>
                </c:pt>
                <c:pt idx="41">
                  <c:v>0.22149642466579553</c:v>
                </c:pt>
                <c:pt idx="42">
                  <c:v>0.22418589159176103</c:v>
                </c:pt>
                <c:pt idx="43">
                  <c:v>0.22684363470978888</c:v>
                </c:pt>
                <c:pt idx="44">
                  <c:v>0.22947075446104456</c:v>
                </c:pt>
                <c:pt idx="45">
                  <c:v>0.23206828910049793</c:v>
                </c:pt>
                <c:pt idx="46">
                  <c:v>0.23463721950828426</c:v>
                </c:pt>
                <c:pt idx="47">
                  <c:v>0.23717847353277338</c:v>
                </c:pt>
                <c:pt idx="48">
                  <c:v>0.23969292991987989</c:v>
                </c:pt>
                <c:pt idx="49">
                  <c:v>0.24218142187579447</c:v>
                </c:pt>
                <c:pt idx="50">
                  <c:v>0.24464474030409109</c:v>
                </c:pt>
                <c:pt idx="51">
                  <c:v>0.2470836367528593</c:v>
                </c:pt>
                <c:pt idx="52">
                  <c:v>0.2494988261029944</c:v>
                </c:pt>
                <c:pt idx="53">
                  <c:v>0.25189098902489843</c:v>
                </c:pt>
                <c:pt idx="54">
                  <c:v>0.25426077422752008</c:v>
                </c:pt>
                <c:pt idx="55">
                  <c:v>0.25660880052079288</c:v>
                </c:pt>
                <c:pt idx="56">
                  <c:v>0.2589356587100522</c:v>
                </c:pt>
                <c:pt idx="57">
                  <c:v>0.26124191333886471</c:v>
                </c:pt>
                <c:pt idx="58">
                  <c:v>0.2635281042948367</c:v>
                </c:pt>
                <c:pt idx="59">
                  <c:v>0.26579474829134264</c:v>
                </c:pt>
                <c:pt idx="60">
                  <c:v>0.26804234023669399</c:v>
                </c:pt>
                <c:pt idx="61">
                  <c:v>0.27027135450102663</c:v>
                </c:pt>
                <c:pt idx="62">
                  <c:v>0.27248224609009269</c:v>
                </c:pt>
                <c:pt idx="63">
                  <c:v>0.27467545173418523</c:v>
                </c:pt>
                <c:pt idx="64">
                  <c:v>0.27685139089957445</c:v>
                </c:pt>
                <c:pt idx="65">
                  <c:v>0.27901046672909402</c:v>
                </c:pt>
                <c:pt idx="66">
                  <c:v>0.28115306691784592</c:v>
                </c:pt>
                <c:pt idx="67">
                  <c:v>0.28327956452941633</c:v>
                </c:pt>
                <c:pt idx="68">
                  <c:v>0.28539031875746429</c:v>
                </c:pt>
                <c:pt idx="69">
                  <c:v>0.28748567563708904</c:v>
                </c:pt>
                <c:pt idx="70">
                  <c:v>0.28956596870996409</c:v>
                </c:pt>
                <c:pt idx="71">
                  <c:v>0.29163151964685874</c:v>
                </c:pt>
                <c:pt idx="72">
                  <c:v>0.29368263883083701</c:v>
                </c:pt>
                <c:pt idx="73">
                  <c:v>0.2957196259041277</c:v>
                </c:pt>
                <c:pt idx="74">
                  <c:v>0.29774277028139401</c:v>
                </c:pt>
                <c:pt idx="75">
                  <c:v>0.29975235163189162</c:v>
                </c:pt>
                <c:pt idx="76">
                  <c:v>0.30174864033279025</c:v>
                </c:pt>
                <c:pt idx="77">
                  <c:v>0.30373189789573779</c:v>
                </c:pt>
                <c:pt idx="78">
                  <c:v>0.30570237736857431</c:v>
                </c:pt>
                <c:pt idx="79">
                  <c:v>0.30766032371393975</c:v>
                </c:pt>
                <c:pt idx="80">
                  <c:v>0.3096059741663833</c:v>
                </c:pt>
                <c:pt idx="81">
                  <c:v>0.31150276644441621</c:v>
                </c:pt>
                <c:pt idx="82">
                  <c:v>0.30986910372494375</c:v>
                </c:pt>
                <c:pt idx="83">
                  <c:v>0.30826076762056787</c:v>
                </c:pt>
                <c:pt idx="84">
                  <c:v>0.30119084103988875</c:v>
                </c:pt>
                <c:pt idx="85">
                  <c:v>0.30143624064220892</c:v>
                </c:pt>
                <c:pt idx="86">
                  <c:v>0.30167685294035984</c:v>
                </c:pt>
                <c:pt idx="87">
                  <c:v>0.30191739610512575</c:v>
                </c:pt>
                <c:pt idx="88">
                  <c:v>0.30215308059904328</c:v>
                </c:pt>
                <c:pt idx="89">
                  <c:v>0.30238405972241611</c:v>
                </c:pt>
                <c:pt idx="90">
                  <c:v>0.30261048039378124</c:v>
                </c:pt>
                <c:pt idx="91">
                  <c:v>0.30283248347857261</c:v>
                </c:pt>
                <c:pt idx="92">
                  <c:v>0.3030502040976813</c:v>
                </c:pt>
                <c:pt idx="93">
                  <c:v>0.30326377191733067</c:v>
                </c:pt>
                <c:pt idx="94">
                  <c:v>0.30347331142157419</c:v>
                </c:pt>
                <c:pt idx="95">
                  <c:v>0.30367894216861924</c:v>
                </c:pt>
                <c:pt idx="96">
                  <c:v>0.3038807790320856</c:v>
                </c:pt>
                <c:pt idx="97">
                  <c:v>0.30407893242822237</c:v>
                </c:pt>
                <c:pt idx="98">
                  <c:v>0.30427350853002622</c:v>
                </c:pt>
                <c:pt idx="99">
                  <c:v>0.30446460946913478</c:v>
                </c:pt>
                <c:pt idx="100">
                  <c:v>0.30465233352630228</c:v>
                </c:pt>
              </c:numCache>
            </c:numRef>
          </c:val>
          <c:smooth val="0"/>
          <c:extLst>
            <c:ext xmlns:c16="http://schemas.microsoft.com/office/drawing/2014/chart" uri="{C3380CC4-5D6E-409C-BE32-E72D297353CC}">
              <c16:uniqueId val="{00000008-DE77-4B43-A489-D4421C0BE99A}"/>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347.78362894374703</c:v>
                </c:pt>
                <c:pt idx="25">
                  <c:v>334.7711064029632</c:v>
                </c:pt>
                <c:pt idx="26">
                  <c:v>322.68272887954049</c:v>
                </c:pt>
                <c:pt idx="27">
                  <c:v>311.41618065562244</c:v>
                </c:pt>
                <c:pt idx="28">
                  <c:v>300.90566782326096</c:v>
                </c:pt>
                <c:pt idx="29">
                  <c:v>291.07755990826632</c:v>
                </c:pt>
                <c:pt idx="30">
                  <c:v>281.86748699432445</c:v>
                </c:pt>
                <c:pt idx="31">
                  <c:v>273.21892822060551</c:v>
                </c:pt>
                <c:pt idx="32">
                  <c:v>265.08205081298991</c:v>
                </c:pt>
                <c:pt idx="33">
                  <c:v>257.41274925986704</c:v>
                </c:pt>
                <c:pt idx="34">
                  <c:v>250.17184550236544</c:v>
                </c:pt>
                <c:pt idx="35">
                  <c:v>243.32441951451295</c:v>
                </c:pt>
                <c:pt idx="36">
                  <c:v>236.83924612954232</c:v>
                </c:pt>
                <c:pt idx="37">
                  <c:v>230.68831894614939</c:v>
                </c:pt>
                <c:pt idx="38">
                  <c:v>224.8464460006366</c:v>
                </c:pt>
                <c:pt idx="39">
                  <c:v>219.29090489334567</c:v>
                </c:pt>
                <c:pt idx="40">
                  <c:v>214.00114741385082</c:v>
                </c:pt>
                <c:pt idx="41">
                  <c:v>208.9585455700572</c:v>
                </c:pt>
                <c:pt idx="42">
                  <c:v>204.14617240473316</c:v>
                </c:pt>
                <c:pt idx="43">
                  <c:v>199.54861216441293</c:v>
                </c:pt>
                <c:pt idx="44">
                  <c:v>195.15179533488296</c:v>
                </c:pt>
                <c:pt idx="45">
                  <c:v>190.94285482419971</c:v>
                </c:pt>
                <c:pt idx="46">
                  <c:v>186.91000019657395</c:v>
                </c:pt>
                <c:pt idx="47">
                  <c:v>183.04240736806608</c:v>
                </c:pt>
                <c:pt idx="48">
                  <c:v>179.33012159091351</c:v>
                </c:pt>
                <c:pt idx="49">
                  <c:v>175.76397189552216</c:v>
                </c:pt>
                <c:pt idx="50">
                  <c:v>172.33549544190518</c:v>
                </c:pt>
                <c:pt idx="51">
                  <c:v>169.03687046691317</c:v>
                </c:pt>
                <c:pt idx="52">
                  <c:v>165.86085670892578</c:v>
                </c:pt>
                <c:pt idx="53">
                  <c:v>162.80074235492296</c:v>
                </c:pt>
                <c:pt idx="54">
                  <c:v>159.85029669177268</c:v>
                </c:pt>
                <c:pt idx="55">
                  <c:v>157.00372775879961</c:v>
                </c:pt>
                <c:pt idx="56">
                  <c:v>154.25564439598401</c:v>
                </c:pt>
                <c:pt idx="57">
                  <c:v>151.60102216453612</c:v>
                </c:pt>
                <c:pt idx="58">
                  <c:v>149.03517268658783</c:v>
                </c:pt>
                <c:pt idx="59">
                  <c:v>146.55371601037854</c:v>
                </c:pt>
                <c:pt idx="60">
                  <c:v>144.15255565826249</c:v>
                </c:pt>
                <c:pt idx="61">
                  <c:v>141.82785605851711</c:v>
                </c:pt>
                <c:pt idx="62">
                  <c:v>139.57602209942164</c:v>
                </c:pt>
                <c:pt idx="63">
                  <c:v>137.39368057636216</c:v>
                </c:pt>
                <c:pt idx="64">
                  <c:v>135.27766333059014</c:v>
                </c:pt>
                <c:pt idx="65">
                  <c:v>133.22499190237491</c:v>
                </c:pt>
                <c:pt idx="66">
                  <c:v>131.23286354220627</c:v>
                </c:pt>
                <c:pt idx="67">
                  <c:v>129.29863844188105</c:v>
                </c:pt>
                <c:pt idx="68">
                  <c:v>127.41982806314212</c:v>
                </c:pt>
                <c:pt idx="69">
                  <c:v>125.59408445536226</c:v>
                </c:pt>
                <c:pt idx="70">
                  <c:v>123.81919046585134</c:v>
                </c:pt>
                <c:pt idx="71">
                  <c:v>122.09305075696309</c:v>
                </c:pt>
                <c:pt idx="72">
                  <c:v>120.41368355348025</c:v>
                </c:pt>
                <c:pt idx="73">
                  <c:v>118.77921305193911</c:v>
                </c:pt>
                <c:pt idx="74">
                  <c:v>117.18786243076858</c:v>
                </c:pt>
                <c:pt idx="75">
                  <c:v>115.63794740648386</c:v>
                </c:pt>
                <c:pt idx="76">
                  <c:v>114.12787028680728</c:v>
                </c:pt>
                <c:pt idx="77">
                  <c:v>112.65611447657444</c:v>
                </c:pt>
                <c:pt idx="78">
                  <c:v>111.22123939671036</c:v>
                </c:pt>
                <c:pt idx="79">
                  <c:v>109.82187578049034</c:v>
                </c:pt>
                <c:pt idx="80">
                  <c:v>108.45672131480293</c:v>
                </c:pt>
                <c:pt idx="81">
                  <c:v>107.12453659724756</c:v>
                </c:pt>
                <c:pt idx="82">
                  <c:v>105.8241413826872</c:v>
                </c:pt>
                <c:pt idx="83">
                  <c:v>104.55441109536281</c:v>
                </c:pt>
                <c:pt idx="84">
                  <c:v>103.31427358490478</c:v>
                </c:pt>
                <c:pt idx="85">
                  <c:v>102.10270610657264</c:v>
                </c:pt>
                <c:pt idx="86">
                  <c:v>100.91873250784838</c:v>
                </c:pt>
                <c:pt idx="87">
                  <c:v>99.761420605115319</c:v>
                </c:pt>
                <c:pt idx="88">
                  <c:v>98.629879735607716</c:v>
                </c:pt>
                <c:pt idx="89">
                  <c:v>97.523258471118524</c:v>
                </c:pt>
                <c:pt idx="90">
                  <c:v>96.440742481131764</c:v>
                </c:pt>
                <c:pt idx="91">
                  <c:v>95.381552534108607</c:v>
                </c:pt>
                <c:pt idx="92">
                  <c:v>94.344942626617708</c:v>
                </c:pt>
                <c:pt idx="93">
                  <c:v>93.330198230869854</c:v>
                </c:pt>
                <c:pt idx="94">
                  <c:v>92.336634652006325</c:v>
                </c:pt>
                <c:pt idx="95">
                  <c:v>91.363595487203753</c:v>
                </c:pt>
                <c:pt idx="96">
                  <c:v>90.410451179308851</c:v>
                </c:pt>
                <c:pt idx="97">
                  <c:v>89.476597658305579</c:v>
                </c:pt>
                <c:pt idx="98">
                  <c:v>88.56145506445435</c:v>
                </c:pt>
                <c:pt idx="99">
                  <c:v>87.664466547432042</c:v>
                </c:pt>
                <c:pt idx="100">
                  <c:v>86.785097136246634</c:v>
                </c:pt>
              </c:numCache>
            </c:numRef>
          </c:val>
          <c:smooth val="0"/>
          <c:extLst>
            <c:ext xmlns:c16="http://schemas.microsoft.com/office/drawing/2014/chart" uri="{C3380CC4-5D6E-409C-BE32-E72D297353CC}">
              <c16:uniqueId val="{00000009-DE77-4B43-A489-D4421C0BE99A}"/>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349.86288604773813</c:v>
                </c:pt>
                <c:pt idx="61">
                  <c:v>344.52168384421304</c:v>
                </c:pt>
                <c:pt idx="62">
                  <c:v>339.34108994554043</c:v>
                </c:pt>
                <c:pt idx="63">
                  <c:v>334.31396765403355</c:v>
                </c:pt>
                <c:pt idx="64">
                  <c:v>329.43346017311495</c:v>
                </c:pt>
                <c:pt idx="65">
                  <c:v>324.69263270636736</c:v>
                </c:pt>
                <c:pt idx="66">
                  <c:v>320.08626446695831</c:v>
                </c:pt>
                <c:pt idx="67">
                  <c:v>315.60871506164466</c:v>
                </c:pt>
                <c:pt idx="68">
                  <c:v>311.25465522314454</c:v>
                </c:pt>
                <c:pt idx="69">
                  <c:v>307.01904564967822</c:v>
                </c:pt>
                <c:pt idx="70">
                  <c:v>302.8971175483436</c:v>
                </c:pt>
                <c:pt idx="71">
                  <c:v>298.88435472438755</c:v>
                </c:pt>
                <c:pt idx="72">
                  <c:v>294.97647707495042</c:v>
                </c:pt>
                <c:pt idx="73">
                  <c:v>291.16942536045076</c:v>
                </c:pt>
                <c:pt idx="74">
                  <c:v>287.45934713970553</c:v>
                </c:pt>
                <c:pt idx="75">
                  <c:v>283.84258376634034</c:v>
                </c:pt>
                <c:pt idx="76">
                  <c:v>280.31565835421753</c:v>
                </c:pt>
                <c:pt idx="77">
                  <c:v>276.87526462867402</c:v>
                </c:pt>
                <c:pt idx="78">
                  <c:v>273.51825658842256</c:v>
                </c:pt>
                <c:pt idx="79">
                  <c:v>270.24163891016781</c:v>
                </c:pt>
                <c:pt idx="80">
                  <c:v>267.04255803442459</c:v>
                </c:pt>
                <c:pt idx="81">
                  <c:v>263.91829387677535</c:v>
                </c:pt>
                <c:pt idx="82">
                  <c:v>260.86625211396534</c:v>
                </c:pt>
                <c:pt idx="83">
                  <c:v>257.88395699885399</c:v>
                </c:pt>
                <c:pt idx="84">
                  <c:v>254.96904466240133</c:v>
                </c:pt>
                <c:pt idx="85">
                  <c:v>252.11925686460367</c:v>
                </c:pt>
                <c:pt idx="86">
                  <c:v>249.33243515965921</c:v>
                </c:pt>
                <c:pt idx="87">
                  <c:v>246.60651544367877</c:v>
                </c:pt>
                <c:pt idx="88">
                  <c:v>243.93952285599892</c:v>
                </c:pt>
                <c:pt idx="89">
                  <c:v>241.32956700762691</c:v>
                </c:pt>
                <c:pt idx="90">
                  <c:v>238.77483751259095</c:v>
                </c:pt>
                <c:pt idx="91">
                  <c:v>236.27359979999756</c:v>
                </c:pt>
                <c:pt idx="92">
                  <c:v>233.82419118643423</c:v>
                </c:pt>
                <c:pt idx="93">
                  <c:v>231.4250171900338</c:v>
                </c:pt>
                <c:pt idx="94">
                  <c:v>229.07454806902365</c:v>
                </c:pt>
                <c:pt idx="95">
                  <c:v>226.77131556897467</c:v>
                </c:pt>
                <c:pt idx="96">
                  <c:v>224.51390986421256</c:v>
                </c:pt>
                <c:pt idx="97">
                  <c:v>222.30097668000428</c:v>
                </c:pt>
                <c:pt idx="98">
                  <c:v>220.13121458317571</c:v>
                </c:pt>
                <c:pt idx="99">
                  <c:v>218.00337242977082</c:v>
                </c:pt>
                <c:pt idx="100">
                  <c:v>215.91624695923517</c:v>
                </c:pt>
              </c:numCache>
            </c:numRef>
          </c:val>
          <c:smooth val="0"/>
          <c:extLst>
            <c:ext xmlns:c16="http://schemas.microsoft.com/office/drawing/2014/chart" uri="{C3380CC4-5D6E-409C-BE32-E72D297353CC}">
              <c16:uniqueId val="{0000000A-DE77-4B43-A489-D4421C0BE99A}"/>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349.95866578286689</c:v>
                </c:pt>
                <c:pt idx="82">
                  <c:v>345.98907874618919</c:v>
                </c:pt>
                <c:pt idx="83">
                  <c:v>342.10858700313742</c:v>
                </c:pt>
                <c:pt idx="84">
                  <c:v>338.31422398906062</c:v>
                </c:pt>
                <c:pt idx="85">
                  <c:v>334.60315340076636</c:v>
                </c:pt>
                <c:pt idx="86">
                  <c:v>330.97288265021632</c:v>
                </c:pt>
                <c:pt idx="87">
                  <c:v>327.42304683347294</c:v>
                </c:pt>
                <c:pt idx="88">
                  <c:v>323.94866926022524</c:v>
                </c:pt>
                <c:pt idx="89">
                  <c:v>320.54736920440024</c:v>
                </c:pt>
                <c:pt idx="90">
                  <c:v>317.21686504762022</c:v>
                </c:pt>
                <c:pt idx="91">
                  <c:v>313.95496917510638</c:v>
                </c:pt>
                <c:pt idx="92">
                  <c:v>310.75958318380293</c:v>
                </c:pt>
                <c:pt idx="93">
                  <c:v>307.6286933806644</c:v>
                </c:pt>
                <c:pt idx="94">
                  <c:v>304.56036655081243</c:v>
                </c:pt>
                <c:pt idx="95">
                  <c:v>301.55274597687458</c:v>
                </c:pt>
                <c:pt idx="96">
                  <c:v>298.60404769228091</c:v>
                </c:pt>
                <c:pt idx="97">
                  <c:v>295.71255695263335</c:v>
                </c:pt>
                <c:pt idx="98">
                  <c:v>292.87662491047882</c:v>
                </c:pt>
                <c:pt idx="99">
                  <c:v>290.09466547994089</c:v>
                </c:pt>
                <c:pt idx="100">
                  <c:v>287.36515237868002</c:v>
                </c:pt>
              </c:numCache>
            </c:numRef>
          </c:val>
          <c:smooth val="0"/>
          <c:extLst>
            <c:ext xmlns:c16="http://schemas.microsoft.com/office/drawing/2014/chart" uri="{C3380CC4-5D6E-409C-BE32-E72D297353CC}">
              <c16:uniqueId val="{0000000B-DE77-4B43-A489-D4421C0BE99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DE77-4B43-A489-D4421C0BE99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DE77-4B43-A489-D4421C0BE99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DE77-4B43-A489-D4421C0BE99A}"/>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6.6666729551211308E-3</c:v>
                </c:pt>
                <c:pt idx="1">
                  <c:v>1.0719895980979079E-2</c:v>
                </c:pt>
                <c:pt idx="2">
                  <c:v>2.1439791961958159E-2</c:v>
                </c:pt>
                <c:pt idx="3">
                  <c:v>3.2159687942937228E-2</c:v>
                </c:pt>
                <c:pt idx="4">
                  <c:v>4.2879583923916317E-2</c:v>
                </c:pt>
                <c:pt idx="5">
                  <c:v>5.3599479904895386E-2</c:v>
                </c:pt>
                <c:pt idx="6">
                  <c:v>6.4319375885874455E-2</c:v>
                </c:pt>
                <c:pt idx="7">
                  <c:v>7.5039271866853552E-2</c:v>
                </c:pt>
                <c:pt idx="8">
                  <c:v>8.5759167847832635E-2</c:v>
                </c:pt>
                <c:pt idx="9">
                  <c:v>9.6479063828811662E-2</c:v>
                </c:pt>
                <c:pt idx="10">
                  <c:v>0.10719895980979077</c:v>
                </c:pt>
                <c:pt idx="11">
                  <c:v>0.11791885579076984</c:v>
                </c:pt>
                <c:pt idx="12">
                  <c:v>0.12863875177174891</c:v>
                </c:pt>
                <c:pt idx="13">
                  <c:v>0.13935864775272799</c:v>
                </c:pt>
                <c:pt idx="14">
                  <c:v>0.1500785437337071</c:v>
                </c:pt>
                <c:pt idx="15">
                  <c:v>0.16079843971468613</c:v>
                </c:pt>
                <c:pt idx="16">
                  <c:v>0.17151833569566527</c:v>
                </c:pt>
                <c:pt idx="17">
                  <c:v>0.18223823167664432</c:v>
                </c:pt>
                <c:pt idx="18">
                  <c:v>0.19295812765762332</c:v>
                </c:pt>
                <c:pt idx="19">
                  <c:v>0.20367802363860249</c:v>
                </c:pt>
                <c:pt idx="20">
                  <c:v>0.21439791961958155</c:v>
                </c:pt>
                <c:pt idx="21">
                  <c:v>0.22902349657250204</c:v>
                </c:pt>
                <c:pt idx="22">
                  <c:v>0.24342379488550633</c:v>
                </c:pt>
                <c:pt idx="23">
                  <c:v>0.24890517528594497</c:v>
                </c:pt>
                <c:pt idx="24">
                  <c:v>0.2542690828384529</c:v>
                </c:pt>
                <c:pt idx="25">
                  <c:v>0.25952278794917977</c:v>
                </c:pt>
                <c:pt idx="26">
                  <c:v>0.26467284065998603</c:v>
                </c:pt>
                <c:pt idx="27">
                  <c:v>0.26972516678139552</c:v>
                </c:pt>
                <c:pt idx="28">
                  <c:v>0.27468514813427447</c:v>
                </c:pt>
                <c:pt idx="29">
                  <c:v>0.2795576899976287</c:v>
                </c:pt>
                <c:pt idx="30">
                  <c:v>0.28434727817073902</c:v>
                </c:pt>
                <c:pt idx="31">
                  <c:v>0.2890580275397962</c:v>
                </c:pt>
                <c:pt idx="32">
                  <c:v>0.2936937236456108</c:v>
                </c:pt>
                <c:pt idx="33">
                  <c:v>0.29825785844704034</c:v>
                </c:pt>
                <c:pt idx="34">
                  <c:v>0.30275366124101211</c:v>
                </c:pt>
                <c:pt idx="35">
                  <c:v>0.30718412551750363</c:v>
                </c:pt>
                <c:pt idx="36">
                  <c:v>0.3115520323841936</c:v>
                </c:pt>
                <c:pt idx="37">
                  <c:v>0.31585997108159869</c:v>
                </c:pt>
                <c:pt idx="38">
                  <c:v>0.32011035701855822</c:v>
                </c:pt>
                <c:pt idx="39">
                  <c:v>0.32430544768483638</c:v>
                </c:pt>
                <c:pt idx="40">
                  <c:v>0.32844735673848058</c:v>
                </c:pt>
                <c:pt idx="41">
                  <c:v>0.33253806651748818</c:v>
                </c:pt>
                <c:pt idx="42">
                  <c:v>0.33657943918597627</c:v>
                </c:pt>
                <c:pt idx="43">
                  <c:v>0.34057322669270246</c:v>
                </c:pt>
                <c:pt idx="44">
                  <c:v>0.3445210796930353</c:v>
                </c:pt>
                <c:pt idx="45">
                  <c:v>0.34842455556326918</c:v>
                </c:pt>
                <c:pt idx="46">
                  <c:v>0.35228512561765274</c:v>
                </c:pt>
                <c:pt idx="47">
                  <c:v>0.35610418162298185</c:v>
                </c:pt>
                <c:pt idx="48">
                  <c:v>0.35988304169255442</c:v>
                </c:pt>
                <c:pt idx="49">
                  <c:v>0.36362295563025787</c:v>
                </c:pt>
                <c:pt idx="50">
                  <c:v>0.36732510978622007</c:v>
                </c:pt>
                <c:pt idx="51">
                  <c:v>0.37099063147750072</c:v>
                </c:pt>
                <c:pt idx="52">
                  <c:v>0.37462059302051787</c:v>
                </c:pt>
                <c:pt idx="53">
                  <c:v>0.37821601541609245</c:v>
                </c:pt>
                <c:pt idx="54">
                  <c:v>0.38177787172300143</c:v>
                </c:pt>
                <c:pt idx="55">
                  <c:v>0.38530709015162884</c:v>
                </c:pt>
                <c:pt idx="56">
                  <c:v>0.38880455690558502</c:v>
                </c:pt>
                <c:pt idx="57">
                  <c:v>0.39227111879594556</c:v>
                </c:pt>
                <c:pt idx="58">
                  <c:v>0.39570758564995867</c:v>
                </c:pt>
                <c:pt idx="59">
                  <c:v>0.39911473253363267</c:v>
                </c:pt>
                <c:pt idx="60">
                  <c:v>0.40233562338442924</c:v>
                </c:pt>
                <c:pt idx="61">
                  <c:v>0.39949159996140238</c:v>
                </c:pt>
                <c:pt idx="62">
                  <c:v>0.39670672512210892</c:v>
                </c:pt>
                <c:pt idx="63">
                  <c:v>0.39397899661486452</c:v>
                </c:pt>
                <c:pt idx="64">
                  <c:v>0.39130786123662342</c:v>
                </c:pt>
                <c:pt idx="65">
                  <c:v>0.38869752040588396</c:v>
                </c:pt>
                <c:pt idx="66">
                  <c:v>0.38613880086708502</c:v>
                </c:pt>
                <c:pt idx="67">
                  <c:v>0.38363004048370541</c:v>
                </c:pt>
                <c:pt idx="68">
                  <c:v>0.38116965032724714</c:v>
                </c:pt>
                <c:pt idx="69">
                  <c:v>0.37875611063335485</c:v>
                </c:pt>
                <c:pt idx="70">
                  <c:v>0.39214999780806281</c:v>
                </c:pt>
                <c:pt idx="71">
                  <c:v>0.39250356800354624</c:v>
                </c:pt>
                <c:pt idx="72">
                  <c:v>0.3928484130359704</c:v>
                </c:pt>
                <c:pt idx="73">
                  <c:v>0.39318487060933022</c:v>
                </c:pt>
                <c:pt idx="74">
                  <c:v>0.39351326122325569</c:v>
                </c:pt>
                <c:pt idx="75">
                  <c:v>0.39383388925483159</c:v>
                </c:pt>
                <c:pt idx="76">
                  <c:v>0.39414704395979988</c:v>
                </c:pt>
                <c:pt idx="77">
                  <c:v>0.39445300040006886</c:v>
                </c:pt>
                <c:pt idx="78">
                  <c:v>0.39475202030378015</c:v>
                </c:pt>
                <c:pt idx="79">
                  <c:v>0.39504435286358575</c:v>
                </c:pt>
                <c:pt idx="80">
                  <c:v>0.39533023547825369</c:v>
                </c:pt>
                <c:pt idx="81">
                  <c:v>0.39560989444224115</c:v>
                </c:pt>
                <c:pt idx="82">
                  <c:v>0.39588354558744349</c:v>
                </c:pt>
                <c:pt idx="83">
                  <c:v>0.39615139488094736</c:v>
                </c:pt>
                <c:pt idx="84">
                  <c:v>0.39641363898226373</c:v>
                </c:pt>
                <c:pt idx="85">
                  <c:v>0.39667046576321258</c:v>
                </c:pt>
                <c:pt idx="86">
                  <c:v>0.39692205479334536</c:v>
                </c:pt>
                <c:pt idx="87">
                  <c:v>0.39716857779354153</c:v>
                </c:pt>
                <c:pt idx="88">
                  <c:v>0.39741019906018948</c:v>
                </c:pt>
                <c:pt idx="89">
                  <c:v>0.39764707586214948</c:v>
                </c:pt>
                <c:pt idx="90">
                  <c:v>0.39787935881251851</c:v>
                </c:pt>
                <c:pt idx="91">
                  <c:v>0.39810719221704255</c:v>
                </c:pt>
                <c:pt idx="92">
                  <c:v>0.39833071440086693</c:v>
                </c:pt>
                <c:pt idx="93">
                  <c:v>0.398550058015185</c:v>
                </c:pt>
                <c:pt idx="94">
                  <c:v>0.39876535032520916</c:v>
                </c:pt>
                <c:pt idx="95">
                  <c:v>0.39897671348078001</c:v>
                </c:pt>
                <c:pt idx="96">
                  <c:v>0.39918426477082242</c:v>
                </c:pt>
                <c:pt idx="97">
                  <c:v>0.39938811686276193</c:v>
                </c:pt>
                <c:pt idx="98">
                  <c:v>0.39958837802792863</c:v>
                </c:pt>
                <c:pt idx="99">
                  <c:v>0.39978515235389656</c:v>
                </c:pt>
                <c:pt idx="100">
                  <c:v>0.39997853994463312</c:v>
                </c:pt>
              </c:numCache>
            </c:numRef>
          </c:val>
          <c:smooth val="0"/>
          <c:extLst>
            <c:ext xmlns:c16="http://schemas.microsoft.com/office/drawing/2014/chart" uri="{C3380CC4-5D6E-409C-BE32-E72D297353CC}">
              <c16:uniqueId val="{0000000F-DE77-4B43-A489-D4421C0BE99A}"/>
            </c:ext>
          </c:extLst>
        </c:ser>
        <c:ser>
          <c:idx val="7"/>
          <c:order val="7"/>
          <c:spPr>
            <a:ln w="25400">
              <a:solidFill>
                <a:srgbClr val="00B050"/>
              </a:solidFill>
              <a:prstDash val="dash"/>
            </a:ln>
          </c:spPr>
          <c:marker>
            <c:symbol val="none"/>
          </c:marker>
          <c:val>
            <c:numRef>
              <c:f>'Calculations - Dual'!$AU$110:$AU$210</c:f>
              <c:numCache>
                <c:formatCode>0.000</c:formatCode>
                <c:ptCount val="101"/>
                <c:pt idx="0">
                  <c:v>1.6007552455829924E-2</c:v>
                </c:pt>
                <c:pt idx="1">
                  <c:v>2.5795273338807052E-2</c:v>
                </c:pt>
                <c:pt idx="2">
                  <c:v>7.738582001642115E-2</c:v>
                </c:pt>
                <c:pt idx="3">
                  <c:v>7.738582001642115E-2</c:v>
                </c:pt>
                <c:pt idx="4">
                  <c:v>0.10318109335522821</c:v>
                </c:pt>
                <c:pt idx="5">
                  <c:v>0.12897636669403525</c:v>
                </c:pt>
                <c:pt idx="6">
                  <c:v>0.1547716400328423</c:v>
                </c:pt>
                <c:pt idx="7">
                  <c:v>0.1805669133716494</c:v>
                </c:pt>
                <c:pt idx="8">
                  <c:v>0.20636218671045642</c:v>
                </c:pt>
                <c:pt idx="9">
                  <c:v>0.23215746004926338</c:v>
                </c:pt>
                <c:pt idx="10">
                  <c:v>0.25795273338807051</c:v>
                </c:pt>
                <c:pt idx="11">
                  <c:v>0.28374800672687756</c:v>
                </c:pt>
                <c:pt idx="12">
                  <c:v>0.3095432800656846</c:v>
                </c:pt>
                <c:pt idx="13">
                  <c:v>0.33533855340449165</c:v>
                </c:pt>
                <c:pt idx="14">
                  <c:v>0.3611338267432988</c:v>
                </c:pt>
                <c:pt idx="15">
                  <c:v>0.38692910008210574</c:v>
                </c:pt>
                <c:pt idx="16">
                  <c:v>0.41272437342091284</c:v>
                </c:pt>
                <c:pt idx="17">
                  <c:v>0.43851964675971988</c:v>
                </c:pt>
                <c:pt idx="18">
                  <c:v>0.46431492009852676</c:v>
                </c:pt>
                <c:pt idx="19">
                  <c:v>0.49011019343733403</c:v>
                </c:pt>
                <c:pt idx="20">
                  <c:v>0.51590546677614102</c:v>
                </c:pt>
                <c:pt idx="21">
                  <c:v>0.55109897573441402</c:v>
                </c:pt>
                <c:pt idx="22">
                  <c:v>0.58575629897598225</c:v>
                </c:pt>
                <c:pt idx="23">
                  <c:v>0.59898180642203436</c:v>
                </c:pt>
                <c:pt idx="24">
                  <c:v>0.60805038334111861</c:v>
                </c:pt>
                <c:pt idx="25">
                  <c:v>0.59006051482295963</c:v>
                </c:pt>
                <c:pt idx="26">
                  <c:v>0.59162619899447821</c:v>
                </c:pt>
                <c:pt idx="27">
                  <c:v>0.59310347454198331</c:v>
                </c:pt>
                <c:pt idx="28">
                  <c:v>0.59448535847669604</c:v>
                </c:pt>
                <c:pt idx="29">
                  <c:v>0.59578114143534611</c:v>
                </c:pt>
                <c:pt idx="30">
                  <c:v>0.59699894556464217</c:v>
                </c:pt>
                <c:pt idx="31">
                  <c:v>0.59814590262354805</c:v>
                </c:pt>
                <c:pt idx="32">
                  <c:v>0.59922830047342568</c:v>
                </c:pt>
                <c:pt idx="33">
                  <c:v>0.60025170431408803</c:v>
                </c:pt>
                <c:pt idx="34">
                  <c:v>0.6012210576031769</c:v>
                </c:pt>
                <c:pt idx="35">
                  <c:v>0.60214076652303972</c:v>
                </c:pt>
                <c:pt idx="36">
                  <c:v>0.60301477104155032</c:v>
                </c:pt>
                <c:pt idx="37">
                  <c:v>0.603846604985249</c:v>
                </c:pt>
                <c:pt idx="38">
                  <c:v>0.60463944705711825</c:v>
                </c:pt>
                <c:pt idx="39">
                  <c:v>0.60539616435246169</c:v>
                </c:pt>
                <c:pt idx="40">
                  <c:v>0.60611934962906933</c:v>
                </c:pt>
                <c:pt idx="41">
                  <c:v>0.60681135335306968</c:v>
                </c:pt>
                <c:pt idx="42">
                  <c:v>0.60747431135532826</c:v>
                </c:pt>
                <c:pt idx="43">
                  <c:v>0.60811016878419066</c:v>
                </c:pt>
                <c:pt idx="44">
                  <c:v>0.60872070092057529</c:v>
                </c:pt>
                <c:pt idx="45">
                  <c:v>0.60930753132469051</c:v>
                </c:pt>
                <c:pt idx="46">
                  <c:v>0.60987214770510356</c:v>
                </c:pt>
                <c:pt idx="47">
                  <c:v>0.61041591583685473</c:v>
                </c:pt>
                <c:pt idx="48">
                  <c:v>0.61094009180281839</c:v>
                </c:pt>
                <c:pt idx="49">
                  <c:v>0.61144583278934617</c:v>
                </c:pt>
                <c:pt idx="50">
                  <c:v>0.61193420663154463</c:v>
                </c:pt>
                <c:pt idx="51">
                  <c:v>0.61240620027394144</c:v>
                </c:pt>
                <c:pt idx="52">
                  <c:v>0.61286272728765112</c:v>
                </c:pt>
                <c:pt idx="53">
                  <c:v>0.61330463456455431</c:v>
                </c:pt>
                <c:pt idx="54">
                  <c:v>0.61373270829171878</c:v>
                </c:pt>
                <c:pt idx="55">
                  <c:v>0.6141476792947681</c:v>
                </c:pt>
                <c:pt idx="56">
                  <c:v>0.61455022782660906</c:v>
                </c:pt>
                <c:pt idx="57">
                  <c:v>0.61494098786754858</c:v>
                </c:pt>
                <c:pt idx="58">
                  <c:v>0.6153205509939853</c:v>
                </c:pt>
                <c:pt idx="59">
                  <c:v>0.615689469865352</c:v>
                </c:pt>
                <c:pt idx="60">
                  <c:v>0.61604826137253621</c:v>
                </c:pt>
                <c:pt idx="61">
                  <c:v>0.61639740948551824</c:v>
                </c:pt>
                <c:pt idx="62">
                  <c:v>0.61673736783322219</c:v>
                </c:pt>
                <c:pt idx="63">
                  <c:v>0.61706856204450489</c:v>
                </c:pt>
                <c:pt idx="64">
                  <c:v>0.61739139187569503</c:v>
                </c:pt>
                <c:pt idx="65">
                  <c:v>0.61770623314704554</c:v>
                </c:pt>
                <c:pt idx="66">
                  <c:v>0.61801343950783094</c:v>
                </c:pt>
                <c:pt idx="67">
                  <c:v>0.61831334404751681</c:v>
                </c:pt>
                <c:pt idx="68">
                  <c:v>0.61860626076844472</c:v>
                </c:pt>
                <c:pt idx="69">
                  <c:v>0.6188924859337176</c:v>
                </c:pt>
                <c:pt idx="70">
                  <c:v>0.61917229930245665</c:v>
                </c:pt>
                <c:pt idx="71">
                  <c:v>0.61944596526325513</c:v>
                </c:pt>
                <c:pt idx="72">
                  <c:v>0.61971373387548623</c:v>
                </c:pt>
                <c:pt idx="73">
                  <c:v>0.6199758418270902</c:v>
                </c:pt>
                <c:pt idx="74">
                  <c:v>0.62023251331654849</c:v>
                </c:pt>
                <c:pt idx="75">
                  <c:v>0.62048396086595892</c:v>
                </c:pt>
                <c:pt idx="76">
                  <c:v>0.62073038607140729</c:v>
                </c:pt>
                <c:pt idx="77">
                  <c:v>0.62097198029620893</c:v>
                </c:pt>
                <c:pt idx="78">
                  <c:v>0.62120892531202809</c:v>
                </c:pt>
                <c:pt idx="79">
                  <c:v>0.62144139389239139</c:v>
                </c:pt>
                <c:pt idx="80">
                  <c:v>0.62166955036267113</c:v>
                </c:pt>
                <c:pt idx="81">
                  <c:v>0.62189355111021449</c:v>
                </c:pt>
                <c:pt idx="82">
                  <c:v>0.62211354505795113</c:v>
                </c:pt>
                <c:pt idx="83">
                  <c:v>0.62232967410449147</c:v>
                </c:pt>
                <c:pt idx="84">
                  <c:v>0.62254207353345159</c:v>
                </c:pt>
                <c:pt idx="85">
                  <c:v>0.6227508723944829</c:v>
                </c:pt>
                <c:pt idx="86">
                  <c:v>0.62295619385826728</c:v>
                </c:pt>
                <c:pt idx="87">
                  <c:v>0.62315815554752363</c:v>
                </c:pt>
                <c:pt idx="88">
                  <c:v>0.62335686984590288</c:v>
                </c:pt>
                <c:pt idx="89">
                  <c:v>0.62355244418646982</c:v>
                </c:pt>
                <c:pt idx="90">
                  <c:v>0.62374498132133072</c:v>
                </c:pt>
                <c:pt idx="91">
                  <c:v>0.62393457957383081</c:v>
                </c:pt>
                <c:pt idx="92">
                  <c:v>0.62412133307461859</c:v>
                </c:pt>
                <c:pt idx="93">
                  <c:v>0.62430533198276983</c:v>
                </c:pt>
                <c:pt idx="94">
                  <c:v>0.62448666269306485</c:v>
                </c:pt>
                <c:pt idx="95">
                  <c:v>0.6246654080304167</c:v>
                </c:pt>
                <c:pt idx="96">
                  <c:v>0.6248416474323728</c:v>
                </c:pt>
                <c:pt idx="97">
                  <c:v>0.62501545712053352</c:v>
                </c:pt>
                <c:pt idx="98">
                  <c:v>0.62518691026166495</c:v>
                </c:pt>
                <c:pt idx="99">
                  <c:v>0.62535607711922314</c:v>
                </c:pt>
                <c:pt idx="100">
                  <c:v>0.62552302519594716</c:v>
                </c:pt>
              </c:numCache>
            </c:numRef>
          </c:val>
          <c:smooth val="0"/>
          <c:extLst>
            <c:ext xmlns:c16="http://schemas.microsoft.com/office/drawing/2014/chart" uri="{C3380CC4-5D6E-409C-BE32-E72D297353CC}">
              <c16:uniqueId val="{00000010-DE77-4B43-A489-D4421C0BE99A}"/>
            </c:ext>
          </c:extLst>
        </c:ser>
        <c:ser>
          <c:idx val="8"/>
          <c:order val="8"/>
          <c:spPr>
            <a:ln w="25400">
              <a:solidFill>
                <a:srgbClr val="FF0000"/>
              </a:solidFill>
            </a:ln>
          </c:spPr>
          <c:marker>
            <c:symbol val="none"/>
          </c:marker>
          <c:val>
            <c:numRef>
              <c:f>'Calculations - Dual'!$AU$216:$AU$316</c:f>
              <c:numCache>
                <c:formatCode>0.000</c:formatCode>
                <c:ptCount val="101"/>
                <c:pt idx="0">
                  <c:v>4.4450096305018857E-3</c:v>
                </c:pt>
                <c:pt idx="1">
                  <c:v>7.1418986430508997E-3</c:v>
                </c:pt>
                <c:pt idx="2">
                  <c:v>1.4283797286101799E-2</c:v>
                </c:pt>
                <c:pt idx="3">
                  <c:v>2.1425695929152697E-2</c:v>
                </c:pt>
                <c:pt idx="4">
                  <c:v>2.8567594572203599E-2</c:v>
                </c:pt>
                <c:pt idx="5">
                  <c:v>3.5709493215254504E-2</c:v>
                </c:pt>
                <c:pt idx="6">
                  <c:v>4.2851391858305395E-2</c:v>
                </c:pt>
                <c:pt idx="7">
                  <c:v>4.9993290501356306E-2</c:v>
                </c:pt>
                <c:pt idx="8">
                  <c:v>5.7135189144407197E-2</c:v>
                </c:pt>
                <c:pt idx="9">
                  <c:v>6.4277087787458109E-2</c:v>
                </c:pt>
                <c:pt idx="10">
                  <c:v>7.1418986430509007E-2</c:v>
                </c:pt>
                <c:pt idx="11">
                  <c:v>7.8560885073559877E-2</c:v>
                </c:pt>
                <c:pt idx="12">
                  <c:v>8.5702783716610789E-2</c:v>
                </c:pt>
                <c:pt idx="13">
                  <c:v>9.2844682359661687E-2</c:v>
                </c:pt>
                <c:pt idx="14">
                  <c:v>9.9986581002712613E-2</c:v>
                </c:pt>
                <c:pt idx="15">
                  <c:v>0.10712847964576347</c:v>
                </c:pt>
                <c:pt idx="16">
                  <c:v>0.11427037828881439</c:v>
                </c:pt>
                <c:pt idx="17">
                  <c:v>0.12141227693186532</c:v>
                </c:pt>
                <c:pt idx="18">
                  <c:v>0.12855417557491622</c:v>
                </c:pt>
                <c:pt idx="19">
                  <c:v>0.13569607421796709</c:v>
                </c:pt>
                <c:pt idx="20">
                  <c:v>0.14283797286101801</c:v>
                </c:pt>
                <c:pt idx="21">
                  <c:v>0.15258194690509816</c:v>
                </c:pt>
                <c:pt idx="22">
                  <c:v>0.16217768230456678</c:v>
                </c:pt>
                <c:pt idx="23">
                  <c:v>0.1658271624504731</c:v>
                </c:pt>
                <c:pt idx="24">
                  <c:v>0.16939832686988923</c:v>
                </c:pt>
                <c:pt idx="25">
                  <c:v>0.17289602251059821</c:v>
                </c:pt>
                <c:pt idx="26">
                  <c:v>0.17632461607689578</c:v>
                </c:pt>
                <c:pt idx="27">
                  <c:v>0.17968805811828659</c:v>
                </c:pt>
                <c:pt idx="28">
                  <c:v>0.18298993652398965</c:v>
                </c:pt>
                <c:pt idx="29">
                  <c:v>0.18623352148818292</c:v>
                </c:pt>
                <c:pt idx="30">
                  <c:v>0.18942180355146779</c:v>
                </c:pt>
                <c:pt idx="31">
                  <c:v>0.19255752597866119</c:v>
                </c:pt>
                <c:pt idx="32">
                  <c:v>0.19564321247063418</c:v>
                </c:pt>
                <c:pt idx="33">
                  <c:v>0.19868119100662518</c:v>
                </c:pt>
                <c:pt idx="34">
                  <c:v>0.20167361445761348</c:v>
                </c:pt>
                <c:pt idx="35">
                  <c:v>0.20462247848966245</c:v>
                </c:pt>
                <c:pt idx="36">
                  <c:v>0.2075296371803737</c:v>
                </c:pt>
                <c:pt idx="37">
                  <c:v>0.21039681669566335</c:v>
                </c:pt>
                <c:pt idx="38">
                  <c:v>0.21322562731343511</c:v>
                </c:pt>
                <c:pt idx="39">
                  <c:v>0.21601757403199673</c:v>
                </c:pt>
                <c:pt idx="40">
                  <c:v>0.21877406596164642</c:v>
                </c:pt>
                <c:pt idx="41">
                  <c:v>0.22149642466579553</c:v>
                </c:pt>
                <c:pt idx="42">
                  <c:v>0.22418589159176103</c:v>
                </c:pt>
                <c:pt idx="43">
                  <c:v>0.22684363470978888</c:v>
                </c:pt>
                <c:pt idx="44">
                  <c:v>0.22947075446104456</c:v>
                </c:pt>
                <c:pt idx="45">
                  <c:v>0.23206828910049793</c:v>
                </c:pt>
                <c:pt idx="46">
                  <c:v>0.23463721950828426</c:v>
                </c:pt>
                <c:pt idx="47">
                  <c:v>0.23717847353277338</c:v>
                </c:pt>
                <c:pt idx="48">
                  <c:v>0.23969292991987989</c:v>
                </c:pt>
                <c:pt idx="49">
                  <c:v>0.24218142187579447</c:v>
                </c:pt>
                <c:pt idx="50">
                  <c:v>0.24464474030409109</c:v>
                </c:pt>
                <c:pt idx="51">
                  <c:v>0.2470836367528593</c:v>
                </c:pt>
                <c:pt idx="52">
                  <c:v>0.2494988261029944</c:v>
                </c:pt>
                <c:pt idx="53">
                  <c:v>0.25189098902489843</c:v>
                </c:pt>
                <c:pt idx="54">
                  <c:v>0.25426077422752008</c:v>
                </c:pt>
                <c:pt idx="55">
                  <c:v>0.25660880052079288</c:v>
                </c:pt>
                <c:pt idx="56">
                  <c:v>0.2589356587100522</c:v>
                </c:pt>
                <c:pt idx="57">
                  <c:v>0.26124191333886471</c:v>
                </c:pt>
                <c:pt idx="58">
                  <c:v>0.2635281042948367</c:v>
                </c:pt>
                <c:pt idx="59">
                  <c:v>0.26579474829134264</c:v>
                </c:pt>
                <c:pt idx="60">
                  <c:v>0.26804234023669399</c:v>
                </c:pt>
                <c:pt idx="61">
                  <c:v>0.27027135450102663</c:v>
                </c:pt>
                <c:pt idx="62">
                  <c:v>0.27248224609009269</c:v>
                </c:pt>
                <c:pt idx="63">
                  <c:v>0.27467545173418523</c:v>
                </c:pt>
                <c:pt idx="64">
                  <c:v>0.27685139089957445</c:v>
                </c:pt>
                <c:pt idx="65">
                  <c:v>0.27901046672909402</c:v>
                </c:pt>
                <c:pt idx="66">
                  <c:v>0.28115306691784592</c:v>
                </c:pt>
                <c:pt idx="67">
                  <c:v>0.28327956452941633</c:v>
                </c:pt>
                <c:pt idx="68">
                  <c:v>0.28539031875746429</c:v>
                </c:pt>
                <c:pt idx="69">
                  <c:v>0.28748567563708904</c:v>
                </c:pt>
                <c:pt idx="70">
                  <c:v>0.28956596870996409</c:v>
                </c:pt>
                <c:pt idx="71">
                  <c:v>0.29163151964685874</c:v>
                </c:pt>
                <c:pt idx="72">
                  <c:v>0.29368263883083701</c:v>
                </c:pt>
                <c:pt idx="73">
                  <c:v>0.2957196259041277</c:v>
                </c:pt>
                <c:pt idx="74">
                  <c:v>0.29774277028139401</c:v>
                </c:pt>
                <c:pt idx="75">
                  <c:v>0.29975235163189162</c:v>
                </c:pt>
                <c:pt idx="76">
                  <c:v>0.30174864033279025</c:v>
                </c:pt>
                <c:pt idx="77">
                  <c:v>0.30373189789573779</c:v>
                </c:pt>
                <c:pt idx="78">
                  <c:v>0.30570237736857431</c:v>
                </c:pt>
                <c:pt idx="79">
                  <c:v>0.30766032371393975</c:v>
                </c:pt>
                <c:pt idx="80">
                  <c:v>0.3096059741663833</c:v>
                </c:pt>
                <c:pt idx="81">
                  <c:v>0.31150276644441621</c:v>
                </c:pt>
                <c:pt idx="82">
                  <c:v>0.30986910372494375</c:v>
                </c:pt>
                <c:pt idx="83">
                  <c:v>0.30826076762056787</c:v>
                </c:pt>
                <c:pt idx="84">
                  <c:v>0.30119084103988875</c:v>
                </c:pt>
                <c:pt idx="85">
                  <c:v>0.30143624064220892</c:v>
                </c:pt>
                <c:pt idx="86">
                  <c:v>0.30167685294035984</c:v>
                </c:pt>
                <c:pt idx="87">
                  <c:v>0.30191739610512575</c:v>
                </c:pt>
                <c:pt idx="88">
                  <c:v>0.30215308059904328</c:v>
                </c:pt>
                <c:pt idx="89">
                  <c:v>0.30238405972241611</c:v>
                </c:pt>
                <c:pt idx="90">
                  <c:v>0.30261048039378124</c:v>
                </c:pt>
                <c:pt idx="91">
                  <c:v>0.30283248347857261</c:v>
                </c:pt>
                <c:pt idx="92">
                  <c:v>0.3030502040976813</c:v>
                </c:pt>
                <c:pt idx="93">
                  <c:v>0.30326377191733067</c:v>
                </c:pt>
                <c:pt idx="94">
                  <c:v>0.30347331142157419</c:v>
                </c:pt>
                <c:pt idx="95">
                  <c:v>0.30367894216861924</c:v>
                </c:pt>
                <c:pt idx="96">
                  <c:v>0.3038807790320856</c:v>
                </c:pt>
                <c:pt idx="97">
                  <c:v>0.30407893242822237</c:v>
                </c:pt>
                <c:pt idx="98">
                  <c:v>0.30427350853002622</c:v>
                </c:pt>
                <c:pt idx="99">
                  <c:v>0.30446460946913478</c:v>
                </c:pt>
                <c:pt idx="100">
                  <c:v>0.30465233352630228</c:v>
                </c:pt>
              </c:numCache>
            </c:numRef>
          </c:val>
          <c:smooth val="0"/>
          <c:extLst>
            <c:ext xmlns:c16="http://schemas.microsoft.com/office/drawing/2014/chart" uri="{C3380CC4-5D6E-409C-BE32-E72D297353CC}">
              <c16:uniqueId val="{00000011-DE77-4B43-A489-D4421C0BE99A}"/>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1.3564659966250534</c:v>
                </c:pt>
                <c:pt idx="22">
                  <c:v>1.3883872109822417</c:v>
                </c:pt>
                <c:pt idx="23">
                  <c:v>1.4195908196512457</c:v>
                </c:pt>
                <c:pt idx="24">
                  <c:v>1.450123147479945</c:v>
                </c:pt>
                <c:pt idx="25">
                  <c:v>1.4617758513432355</c:v>
                </c:pt>
                <c:pt idx="26">
                  <c:v>1.5203567708152046</c:v>
                </c:pt>
                <c:pt idx="27">
                  <c:v>1.5789937880031371</c:v>
                </c:pt>
                <c:pt idx="28">
                  <c:v>1.6376428652031318</c:v>
                </c:pt>
                <c:pt idx="29">
                  <c:v>1.6963040108194807</c:v>
                </c:pt>
                <c:pt idx="30">
                  <c:v>1.7549772332625844</c:v>
                </c:pt>
                <c:pt idx="31">
                  <c:v>1.8136625409489615</c:v>
                </c:pt>
                <c:pt idx="32">
                  <c:v>1.8723599423012514</c:v>
                </c:pt>
                <c:pt idx="33">
                  <c:v>1.9310694457482236</c:v>
                </c:pt>
                <c:pt idx="34">
                  <c:v>1.9897910597247785</c:v>
                </c:pt>
                <c:pt idx="35">
                  <c:v>2.0485247926719596</c:v>
                </c:pt>
                <c:pt idx="36">
                  <c:v>2.1072706530369554</c:v>
                </c:pt>
                <c:pt idx="37">
                  <c:v>2.1660286492731067</c:v>
                </c:pt>
                <c:pt idx="38">
                  <c:v>2.2247987898399093</c:v>
                </c:pt>
                <c:pt idx="39">
                  <c:v>2.283581083203027</c:v>
                </c:pt>
                <c:pt idx="40">
                  <c:v>2.3423755378342901</c:v>
                </c:pt>
                <c:pt idx="41">
                  <c:v>2.4011821622117067</c:v>
                </c:pt>
                <c:pt idx="42">
                  <c:v>2.4600009648194643</c:v>
                </c:pt>
                <c:pt idx="43">
                  <c:v>2.5188319541479411</c:v>
                </c:pt>
                <c:pt idx="44">
                  <c:v>2.5776751386937065</c:v>
                </c:pt>
                <c:pt idx="45">
                  <c:v>2.6365305269595298</c:v>
                </c:pt>
                <c:pt idx="46">
                  <c:v>2.6953981274543874</c:v>
                </c:pt>
                <c:pt idx="47">
                  <c:v>2.7542779486934652</c:v>
                </c:pt>
                <c:pt idx="48">
                  <c:v>2.8131699991981676</c:v>
                </c:pt>
                <c:pt idx="49">
                  <c:v>2.8720742874961238</c:v>
                </c:pt>
                <c:pt idx="50">
                  <c:v>2.9309908221211907</c:v>
                </c:pt>
                <c:pt idx="51">
                  <c:v>2.989919611613463</c:v>
                </c:pt>
                <c:pt idx="52">
                  <c:v>3.0488606645192755</c:v>
                </c:pt>
                <c:pt idx="53">
                  <c:v>3.1078139893912118</c:v>
                </c:pt>
                <c:pt idx="54">
                  <c:v>3.1667795947881081</c:v>
                </c:pt>
                <c:pt idx="55">
                  <c:v>3.2257574892750616</c:v>
                </c:pt>
                <c:pt idx="56">
                  <c:v>3.2847476814234349</c:v>
                </c:pt>
                <c:pt idx="57">
                  <c:v>3.343750179810864</c:v>
                </c:pt>
                <c:pt idx="58">
                  <c:v>3.4027649930212607</c:v>
                </c:pt>
                <c:pt idx="59">
                  <c:v>3.4617921296448224</c:v>
                </c:pt>
                <c:pt idx="60">
                  <c:v>3.5208315982780367</c:v>
                </c:pt>
                <c:pt idx="61">
                  <c:v>3.5798834075236892</c:v>
                </c:pt>
                <c:pt idx="62">
                  <c:v>3.6389475659908639</c:v>
                </c:pt>
                <c:pt idx="63">
                  <c:v>3.6980240822949559</c:v>
                </c:pt>
                <c:pt idx="64">
                  <c:v>3.7571129650576762</c:v>
                </c:pt>
                <c:pt idx="65">
                  <c:v>3.8162142229070559</c:v>
                </c:pt>
                <c:pt idx="66">
                  <c:v>3.8753278644774531</c:v>
                </c:pt>
                <c:pt idx="67">
                  <c:v>3.9344538984095552</c:v>
                </c:pt>
                <c:pt idx="68">
                  <c:v>3.9935923333503967</c:v>
                </c:pt>
                <c:pt idx="69">
                  <c:v>4.0527431779533512</c:v>
                </c:pt>
                <c:pt idx="70">
                  <c:v>4.1119064408781467</c:v>
                </c:pt>
                <c:pt idx="71">
                  <c:v>4.1710821307908672</c:v>
                </c:pt>
                <c:pt idx="72">
                  <c:v>4.2302702563639629</c:v>
                </c:pt>
                <c:pt idx="73">
                  <c:v>4.2894708262762533</c:v>
                </c:pt>
                <c:pt idx="74">
                  <c:v>4.348683849212934</c:v>
                </c:pt>
                <c:pt idx="75">
                  <c:v>4.4079093338655815</c:v>
                </c:pt>
                <c:pt idx="76">
                  <c:v>4.4671472889321642</c:v>
                </c:pt>
                <c:pt idx="77">
                  <c:v>4.5263977231170465</c:v>
                </c:pt>
                <c:pt idx="78">
                  <c:v>4.5856606451309867</c:v>
                </c:pt>
                <c:pt idx="79">
                  <c:v>4.6449360636911585</c:v>
                </c:pt>
                <c:pt idx="80">
                  <c:v>4.7042239875211456</c:v>
                </c:pt>
                <c:pt idx="81">
                  <c:v>4.7635244253509521</c:v>
                </c:pt>
                <c:pt idx="82">
                  <c:v>4.8228373859170093</c:v>
                </c:pt>
                <c:pt idx="83">
                  <c:v>4.8821628779621795</c:v>
                </c:pt>
                <c:pt idx="84">
                  <c:v>4.9415009102357619</c:v>
                </c:pt>
                <c:pt idx="85">
                  <c:v>5.000851491493508</c:v>
                </c:pt>
                <c:pt idx="86">
                  <c:v>5.0602146304976134</c:v>
                </c:pt>
                <c:pt idx="87">
                  <c:v>5.1195903360167305</c:v>
                </c:pt>
                <c:pt idx="88">
                  <c:v>5.1789786168259813</c:v>
                </c:pt>
                <c:pt idx="89">
                  <c:v>5.2383794817069553</c:v>
                </c:pt>
                <c:pt idx="90">
                  <c:v>5.2977929394477181</c:v>
                </c:pt>
                <c:pt idx="91">
                  <c:v>5.3572189988428169</c:v>
                </c:pt>
                <c:pt idx="92">
                  <c:v>5.416657668693289</c:v>
                </c:pt>
                <c:pt idx="93">
                  <c:v>5.4761089578066686</c:v>
                </c:pt>
                <c:pt idx="94">
                  <c:v>5.5355728749969897</c:v>
                </c:pt>
                <c:pt idx="95">
                  <c:v>5.5950494290847947</c:v>
                </c:pt>
                <c:pt idx="96">
                  <c:v>5.6545386288971429</c:v>
                </c:pt>
                <c:pt idx="97">
                  <c:v>5.7140404832676106</c:v>
                </c:pt>
                <c:pt idx="98">
                  <c:v>5.7735550010363035</c:v>
                </c:pt>
                <c:pt idx="99">
                  <c:v>5.8330821910498578</c:v>
                </c:pt>
                <c:pt idx="100">
                  <c:v>5.8926220621614558</c:v>
                </c:pt>
              </c:numCache>
            </c:numRef>
          </c:val>
          <c:smooth val="0"/>
          <c:extLst>
            <c:ext xmlns:c16="http://schemas.microsoft.com/office/drawing/2014/chart" uri="{C3380CC4-5D6E-409C-BE32-E72D297353CC}">
              <c16:uniqueId val="{00000000-FDDF-4115-9ADD-DED190BC6BDF}"/>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Dual'!$AI$5:$AI$105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1.3564659966250534</c:v>
                </c:pt>
                <c:pt idx="22">
                  <c:v>1.3883872109822417</c:v>
                </c:pt>
                <c:pt idx="23">
                  <c:v>1.4195908196512457</c:v>
                </c:pt>
                <c:pt idx="24">
                  <c:v>1.450123147479945</c:v>
                </c:pt>
                <c:pt idx="25">
                  <c:v>1.4800257398019097</c:v>
                </c:pt>
                <c:pt idx="26">
                  <c:v>1.5093360255739068</c:v>
                </c:pt>
                <c:pt idx="27">
                  <c:v>1.5380878667079738</c:v>
                </c:pt>
                <c:pt idx="28">
                  <c:v>1.5663120165960973</c:v>
                </c:pt>
                <c:pt idx="29">
                  <c:v>1.5940365055268906</c:v>
                </c:pt>
                <c:pt idx="30">
                  <c:v>1.6212869667555549</c:v>
                </c:pt>
                <c:pt idx="31">
                  <c:v>1.6480869140280423</c:v>
                </c:pt>
                <c:pt idx="32">
                  <c:v>1.6744579791113072</c:v>
                </c:pt>
                <c:pt idx="33">
                  <c:v>1.7004201161561725</c:v>
                </c:pt>
                <c:pt idx="34">
                  <c:v>1.7259917783835526</c:v>
                </c:pt>
                <c:pt idx="35">
                  <c:v>1.7511900715418263</c:v>
                </c:pt>
                <c:pt idx="36">
                  <c:v>1.7760308877622915</c:v>
                </c:pt>
                <c:pt idx="37">
                  <c:v>1.8005290227887918</c:v>
                </c:pt>
                <c:pt idx="38">
                  <c:v>1.8246982790378821</c:v>
                </c:pt>
                <c:pt idx="39">
                  <c:v>1.8485515565282071</c:v>
                </c:pt>
                <c:pt idx="40">
                  <c:v>1.872100933379903</c:v>
                </c:pt>
                <c:pt idx="41">
                  <c:v>1.8953577373100183</c:v>
                </c:pt>
                <c:pt idx="42">
                  <c:v>1.9183326093250876</c:v>
                </c:pt>
                <c:pt idx="43">
                  <c:v>1.9410355606271223</c:v>
                </c:pt>
                <c:pt idx="44">
                  <c:v>1.9634760235964419</c:v>
                </c:pt>
                <c:pt idx="45">
                  <c:v>1.9856628975878918</c:v>
                </c:pt>
                <c:pt idx="46">
                  <c:v>2.0076045901711299</c:v>
                </c:pt>
                <c:pt idx="47">
                  <c:v>2.0293090543569843</c:v>
                </c:pt>
                <c:pt idx="48">
                  <c:v>2.0507838222772983</c:v>
                </c:pt>
                <c:pt idx="49">
                  <c:v>2.0720360357226735</c:v>
                </c:pt>
                <c:pt idx="50">
                  <c:v>2.0930724738891344</c:v>
                </c:pt>
                <c:pt idx="51">
                  <c:v>2.1138995786393044</c:v>
                </c:pt>
                <c:pt idx="52">
                  <c:v>2.1345234775449238</c:v>
                </c:pt>
                <c:pt idx="53">
                  <c:v>2.15495000494432</c:v>
                </c:pt>
                <c:pt idx="54">
                  <c:v>2.1751847212199178</c:v>
                </c:pt>
                <c:pt idx="55">
                  <c:v>2.1952329304763127</c:v>
                </c:pt>
                <c:pt idx="56">
                  <c:v>2.2150996967781529</c:v>
                </c:pt>
                <c:pt idx="57">
                  <c:v>2.2347898590887048</c:v>
                </c:pt>
                <c:pt idx="58">
                  <c:v>2.2543080450339437</c:v>
                </c:pt>
                <c:pt idx="59">
                  <c:v>2.2736586836031059</c:v>
                </c:pt>
                <c:pt idx="60">
                  <c:v>2.2928460168844431</c:v>
                </c:pt>
                <c:pt idx="61">
                  <c:v>2.3118741109242746</c:v>
                </c:pt>
                <c:pt idx="62">
                  <c:v>2.3307468657880785</c:v>
                </c:pt>
                <c:pt idx="63">
                  <c:v>2.3494680248941462</c:v>
                </c:pt>
                <c:pt idx="64">
                  <c:v>2.3680411836830553</c:v>
                </c:pt>
                <c:pt idx="65">
                  <c:v>2.3864697976798483</c:v>
                </c:pt>
                <c:pt idx="66">
                  <c:v>2.404757190000093</c:v>
                </c:pt>
                <c:pt idx="67">
                  <c:v>2.422906558346027</c:v>
                </c:pt>
                <c:pt idx="68">
                  <c:v>2.4409209815344775</c:v>
                </c:pt>
                <c:pt idx="69">
                  <c:v>2.4588034255943039</c:v>
                </c:pt>
                <c:pt idx="70">
                  <c:v>2.5802677262911553</c:v>
                </c:pt>
                <c:pt idx="71">
                  <c:v>2.6171362611823068</c:v>
                </c:pt>
                <c:pt idx="72">
                  <c:v>2.6540050177834109</c:v>
                </c:pt>
                <c:pt idx="73">
                  <c:v>2.6908739964510611</c:v>
                </c:pt>
                <c:pt idx="74">
                  <c:v>2.7277431975418831</c:v>
                </c:pt>
                <c:pt idx="75">
                  <c:v>2.7646126214125317</c:v>
                </c:pt>
                <c:pt idx="76">
                  <c:v>2.8014822684196941</c:v>
                </c:pt>
                <c:pt idx="77">
                  <c:v>2.838352138920091</c:v>
                </c:pt>
                <c:pt idx="78">
                  <c:v>2.8752222332704731</c:v>
                </c:pt>
                <c:pt idx="79">
                  <c:v>2.9120925518276226</c:v>
                </c:pt>
                <c:pt idx="80">
                  <c:v>2.9489630949483518</c:v>
                </c:pt>
                <c:pt idx="81">
                  <c:v>2.9858338629895087</c:v>
                </c:pt>
                <c:pt idx="82">
                  <c:v>3.022704856307969</c:v>
                </c:pt>
                <c:pt idx="83">
                  <c:v>3.0595760752606425</c:v>
                </c:pt>
                <c:pt idx="84">
                  <c:v>3.0964475202044688</c:v>
                </c:pt>
                <c:pt idx="85">
                  <c:v>3.1333191914964202</c:v>
                </c:pt>
                <c:pt idx="86">
                  <c:v>3.170191089493501</c:v>
                </c:pt>
                <c:pt idx="87">
                  <c:v>3.2070632145527469</c:v>
                </c:pt>
                <c:pt idx="88">
                  <c:v>3.2439355670312251</c:v>
                </c:pt>
                <c:pt idx="89">
                  <c:v>3.2808081472860326</c:v>
                </c:pt>
                <c:pt idx="90">
                  <c:v>3.3176809556743025</c:v>
                </c:pt>
                <c:pt idx="91">
                  <c:v>3.3545539925531966</c:v>
                </c:pt>
                <c:pt idx="92">
                  <c:v>3.3914272582799101</c:v>
                </c:pt>
                <c:pt idx="93">
                  <c:v>3.4283007532116661</c:v>
                </c:pt>
                <c:pt idx="94">
                  <c:v>3.4651744777057241</c:v>
                </c:pt>
                <c:pt idx="95">
                  <c:v>3.5020484321193734</c:v>
                </c:pt>
                <c:pt idx="96">
                  <c:v>3.5389226168099368</c:v>
                </c:pt>
                <c:pt idx="97">
                  <c:v>3.5757970321347665</c:v>
                </c:pt>
                <c:pt idx="98">
                  <c:v>3.6126716784512465</c:v>
                </c:pt>
                <c:pt idx="99">
                  <c:v>3.6495465561167948</c:v>
                </c:pt>
                <c:pt idx="100">
                  <c:v>3.6864216654888606</c:v>
                </c:pt>
              </c:numCache>
            </c:numRef>
          </c:val>
          <c:smooth val="0"/>
          <c:extLst>
            <c:ext xmlns:c16="http://schemas.microsoft.com/office/drawing/2014/chart" uri="{C3380CC4-5D6E-409C-BE32-E72D297353CC}">
              <c16:uniqueId val="{00000001-FDDF-4115-9ADD-DED190BC6BDF}"/>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1.3564659966250534</c:v>
                </c:pt>
                <c:pt idx="22">
                  <c:v>1.3883872109822417</c:v>
                </c:pt>
                <c:pt idx="23">
                  <c:v>1.4195908196512457</c:v>
                </c:pt>
                <c:pt idx="24">
                  <c:v>1.450123147479945</c:v>
                </c:pt>
                <c:pt idx="25">
                  <c:v>1.4800257398019097</c:v>
                </c:pt>
                <c:pt idx="26">
                  <c:v>1.5093360255739068</c:v>
                </c:pt>
                <c:pt idx="27">
                  <c:v>1.5380878667079738</c:v>
                </c:pt>
                <c:pt idx="28">
                  <c:v>1.5663120165960973</c:v>
                </c:pt>
                <c:pt idx="29">
                  <c:v>1.5940365055268906</c:v>
                </c:pt>
                <c:pt idx="30">
                  <c:v>1.6212869667555549</c:v>
                </c:pt>
                <c:pt idx="31">
                  <c:v>1.6480869140280423</c:v>
                </c:pt>
                <c:pt idx="32">
                  <c:v>1.6744579791113072</c:v>
                </c:pt>
                <c:pt idx="33">
                  <c:v>1.7004201161561725</c:v>
                </c:pt>
                <c:pt idx="34">
                  <c:v>1.7259917783835526</c:v>
                </c:pt>
                <c:pt idx="35">
                  <c:v>1.7511900715418263</c:v>
                </c:pt>
                <c:pt idx="36">
                  <c:v>1.7760308877622915</c:v>
                </c:pt>
                <c:pt idx="37">
                  <c:v>1.8005290227887918</c:v>
                </c:pt>
                <c:pt idx="38">
                  <c:v>1.8246982790378821</c:v>
                </c:pt>
                <c:pt idx="39">
                  <c:v>1.8485515565282071</c:v>
                </c:pt>
                <c:pt idx="40">
                  <c:v>1.872100933379903</c:v>
                </c:pt>
                <c:pt idx="41">
                  <c:v>1.8953577373100183</c:v>
                </c:pt>
                <c:pt idx="42">
                  <c:v>1.9183326093250876</c:v>
                </c:pt>
                <c:pt idx="43">
                  <c:v>1.9410355606271223</c:v>
                </c:pt>
                <c:pt idx="44">
                  <c:v>1.9634760235964419</c:v>
                </c:pt>
                <c:pt idx="45">
                  <c:v>1.9856628975878918</c:v>
                </c:pt>
                <c:pt idx="46">
                  <c:v>2.0076045901711299</c:v>
                </c:pt>
                <c:pt idx="47">
                  <c:v>2.0293090543569843</c:v>
                </c:pt>
                <c:pt idx="48">
                  <c:v>2.0507838222772983</c:v>
                </c:pt>
                <c:pt idx="49">
                  <c:v>2.0720360357226735</c:v>
                </c:pt>
                <c:pt idx="50">
                  <c:v>2.0930724738891344</c:v>
                </c:pt>
                <c:pt idx="51">
                  <c:v>2.1138995786393044</c:v>
                </c:pt>
                <c:pt idx="52">
                  <c:v>2.1345234775449238</c:v>
                </c:pt>
                <c:pt idx="53">
                  <c:v>2.15495000494432</c:v>
                </c:pt>
                <c:pt idx="54">
                  <c:v>2.1751847212199178</c:v>
                </c:pt>
                <c:pt idx="55">
                  <c:v>2.1952329304763127</c:v>
                </c:pt>
                <c:pt idx="56">
                  <c:v>2.2150996967781529</c:v>
                </c:pt>
                <c:pt idx="57">
                  <c:v>2.2347898590887048</c:v>
                </c:pt>
                <c:pt idx="58">
                  <c:v>2.2543080450339437</c:v>
                </c:pt>
                <c:pt idx="59">
                  <c:v>2.2736586836031059</c:v>
                </c:pt>
                <c:pt idx="60">
                  <c:v>2.2928460168844431</c:v>
                </c:pt>
                <c:pt idx="61">
                  <c:v>2.3118741109242746</c:v>
                </c:pt>
                <c:pt idx="62">
                  <c:v>2.3307468657880785</c:v>
                </c:pt>
                <c:pt idx="63">
                  <c:v>2.3494680248941462</c:v>
                </c:pt>
                <c:pt idx="64">
                  <c:v>2.3680411836830553</c:v>
                </c:pt>
                <c:pt idx="65">
                  <c:v>2.3864697976798483</c:v>
                </c:pt>
                <c:pt idx="66">
                  <c:v>2.404757190000093</c:v>
                </c:pt>
                <c:pt idx="67">
                  <c:v>2.422906558346027</c:v>
                </c:pt>
                <c:pt idx="68">
                  <c:v>2.4409209815344775</c:v>
                </c:pt>
                <c:pt idx="69">
                  <c:v>2.4588034255943039</c:v>
                </c:pt>
                <c:pt idx="70">
                  <c:v>2.4765567494675613</c:v>
                </c:pt>
                <c:pt idx="71">
                  <c:v>2.4941837103454065</c:v>
                </c:pt>
                <c:pt idx="72">
                  <c:v>2.511686968666961</c:v>
                </c:pt>
                <c:pt idx="73">
                  <c:v>2.5290690928067732</c:v>
                </c:pt>
                <c:pt idx="74">
                  <c:v>2.546332563474285</c:v>
                </c:pt>
                <c:pt idx="75">
                  <c:v>2.5634797778466227</c:v>
                </c:pt>
                <c:pt idx="76">
                  <c:v>2.5805130534542191</c:v>
                </c:pt>
                <c:pt idx="77">
                  <c:v>2.5974346318370873</c:v>
                </c:pt>
                <c:pt idx="78">
                  <c:v>2.6142466819880856</c:v>
                </c:pt>
                <c:pt idx="79">
                  <c:v>2.6309513035981418</c:v>
                </c:pt>
                <c:pt idx="80">
                  <c:v>2.6475505301171891</c:v>
                </c:pt>
                <c:pt idx="81">
                  <c:v>2.6640463316434375</c:v>
                </c:pt>
                <c:pt idx="82">
                  <c:v>2.6804406176526099</c:v>
                </c:pt>
                <c:pt idx="83">
                  <c:v>2.6967352395778401</c:v>
                </c:pt>
                <c:pt idx="84">
                  <c:v>2.664399212021344</c:v>
                </c:pt>
                <c:pt idx="85">
                  <c:v>2.6961064038631934</c:v>
                </c:pt>
                <c:pt idx="86">
                  <c:v>2.72781241508451</c:v>
                </c:pt>
                <c:pt idx="87">
                  <c:v>2.7595071201148778</c:v>
                </c:pt>
                <c:pt idx="88">
                  <c:v>2.7912012764871394</c:v>
                </c:pt>
                <c:pt idx="89">
                  <c:v>2.8228948843401991</c:v>
                </c:pt>
                <c:pt idx="90">
                  <c:v>2.8545879438129607</c:v>
                </c:pt>
                <c:pt idx="91">
                  <c:v>2.886280455044322</c:v>
                </c:pt>
                <c:pt idx="92">
                  <c:v>2.9179724181731785</c:v>
                </c:pt>
                <c:pt idx="93">
                  <c:v>2.9496638333384197</c:v>
                </c:pt>
                <c:pt idx="94">
                  <c:v>2.981354700678934</c:v>
                </c:pt>
                <c:pt idx="95">
                  <c:v>3.0130450203336037</c:v>
                </c:pt>
                <c:pt idx="96">
                  <c:v>3.0447347924413095</c:v>
                </c:pt>
                <c:pt idx="97">
                  <c:v>3.0764240171409249</c:v>
                </c:pt>
                <c:pt idx="98">
                  <c:v>3.1081126945713238</c:v>
                </c:pt>
                <c:pt idx="99">
                  <c:v>3.1398008248713722</c:v>
                </c:pt>
                <c:pt idx="100">
                  <c:v>3.1714884081799366</c:v>
                </c:pt>
              </c:numCache>
            </c:numRef>
          </c:val>
          <c:smooth val="0"/>
          <c:extLst>
            <c:ext xmlns:c16="http://schemas.microsoft.com/office/drawing/2014/chart" uri="{C3380CC4-5D6E-409C-BE32-E72D297353CC}">
              <c16:uniqueId val="{00000002-FDDF-4115-9ADD-DED190BC6BDF}"/>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1.0091713341705955</c:v>
                </c:pt>
                <c:pt idx="2">
                  <c:v>1.0275140025117862</c:v>
                </c:pt>
                <c:pt idx="3">
                  <c:v>1.0275140025117862</c:v>
                </c:pt>
                <c:pt idx="4">
                  <c:v>1.0366853366823814</c:v>
                </c:pt>
                <c:pt idx="5">
                  <c:v>1.0458566708529768</c:v>
                </c:pt>
                <c:pt idx="6">
                  <c:v>1.0550280050235721</c:v>
                </c:pt>
                <c:pt idx="7">
                  <c:v>1.0641993391941675</c:v>
                </c:pt>
                <c:pt idx="8">
                  <c:v>1.0733706733647628</c:v>
                </c:pt>
                <c:pt idx="9">
                  <c:v>1.0825420075353582</c:v>
                </c:pt>
                <c:pt idx="10">
                  <c:v>1.0917133417059535</c:v>
                </c:pt>
                <c:pt idx="11">
                  <c:v>1.1008846758765489</c:v>
                </c:pt>
                <c:pt idx="12">
                  <c:v>1.1100560100471442</c:v>
                </c:pt>
                <c:pt idx="13">
                  <c:v>1.1192273442177396</c:v>
                </c:pt>
                <c:pt idx="14">
                  <c:v>1.1283986783883351</c:v>
                </c:pt>
                <c:pt idx="15">
                  <c:v>1.1375700125589303</c:v>
                </c:pt>
                <c:pt idx="16">
                  <c:v>1.1467413467295258</c:v>
                </c:pt>
                <c:pt idx="17">
                  <c:v>1.155912680900121</c:v>
                </c:pt>
                <c:pt idx="18">
                  <c:v>1.1650840150707165</c:v>
                </c:pt>
                <c:pt idx="19">
                  <c:v>1.1742553492413117</c:v>
                </c:pt>
                <c:pt idx="20">
                  <c:v>1.1834266834119072</c:v>
                </c:pt>
                <c:pt idx="21">
                  <c:v>1.1925980175825024</c:v>
                </c:pt>
                <c:pt idx="22">
                  <c:v>1.2407806501103023</c:v>
                </c:pt>
                <c:pt idx="23">
                  <c:v>1.2638944343095646</c:v>
                </c:pt>
                <c:pt idx="24">
                  <c:v>1.2865109734419344</c:v>
                </c:pt>
                <c:pt idx="25">
                  <c:v>1.2951426059332607</c:v>
                </c:pt>
                <c:pt idx="26">
                  <c:v>1.3385358796162008</c:v>
                </c:pt>
                <c:pt idx="27">
                  <c:v>1.3819707071628173</c:v>
                </c:pt>
                <c:pt idx="28">
                  <c:v>1.4254144680517025</c:v>
                </c:pt>
                <c:pt idx="29">
                  <c:v>1.468867168508257</c:v>
                </c:pt>
                <c:pt idx="30">
                  <c:v>1.5123288147624081</c:v>
                </c:pt>
                <c:pt idx="31">
                  <c:v>1.5557994130486132</c:v>
                </c:pt>
                <c:pt idx="32">
                  <c:v>1.5992789696058651</c:v>
                </c:pt>
                <c:pt idx="33">
                  <c:v>1.6427674906776963</c:v>
                </c:pt>
                <c:pt idx="34">
                  <c:v>1.6862649825121814</c:v>
                </c:pt>
                <c:pt idx="35">
                  <c:v>1.7297714513619451</c:v>
                </c:pt>
                <c:pt idx="36">
                  <c:v>1.7732869034841643</c:v>
                </c:pt>
                <c:pt idx="37">
                  <c:v>1.8168113451405727</c:v>
                </c:pt>
                <c:pt idx="38">
                  <c:v>1.8603447825974635</c:v>
                </c:pt>
                <c:pt idx="39">
                  <c:v>1.9038872221256988</c:v>
                </c:pt>
                <c:pt idx="40">
                  <c:v>1.9474386700007085</c:v>
                </c:pt>
                <c:pt idx="41">
                  <c:v>1.9909991325024987</c:v>
                </c:pt>
                <c:pt idx="42">
                  <c:v>2.0345686159156524</c:v>
                </c:pt>
                <c:pt idx="43">
                  <c:v>2.078147126529339</c:v>
                </c:pt>
                <c:pt idx="44">
                  <c:v>2.1217346706373132</c:v>
                </c:pt>
                <c:pt idx="45">
                  <c:v>2.1653312545379233</c:v>
                </c:pt>
                <c:pt idx="46">
                  <c:v>2.208936884534114</c:v>
                </c:pt>
                <c:pt idx="47">
                  <c:v>2.2525515669334308</c:v>
                </c:pt>
                <c:pt idx="48">
                  <c:v>2.2961753080480252</c:v>
                </c:pt>
                <c:pt idx="49">
                  <c:v>2.3398081141946596</c:v>
                </c:pt>
                <c:pt idx="50">
                  <c:v>2.3834499916947092</c:v>
                </c:pt>
                <c:pt idx="51">
                  <c:v>2.42710094687417</c:v>
                </c:pt>
                <c:pt idx="52">
                  <c:v>2.4707609860636608</c:v>
                </c:pt>
                <c:pt idx="53">
                  <c:v>2.5144301155984286</c:v>
                </c:pt>
                <c:pt idx="54">
                  <c:v>2.5581083418183512</c:v>
                </c:pt>
                <c:pt idx="55">
                  <c:v>2.6017956710679471</c:v>
                </c:pt>
                <c:pt idx="56">
                  <c:v>2.6454921096963711</c:v>
                </c:pt>
                <c:pt idx="57">
                  <c:v>2.68919766405743</c:v>
                </c:pt>
                <c:pt idx="58">
                  <c:v>2.7329123405095759</c:v>
                </c:pt>
                <c:pt idx="59">
                  <c:v>2.7766361454159174</c:v>
                </c:pt>
                <c:pt idx="60">
                  <c:v>2.8203690851442245</c:v>
                </c:pt>
                <c:pt idx="61">
                  <c:v>2.8641111660669303</c:v>
                </c:pt>
                <c:pt idx="62">
                  <c:v>2.9078623945611337</c:v>
                </c:pt>
                <c:pt idx="63">
                  <c:v>2.951622777008609</c:v>
                </c:pt>
                <c:pt idx="64">
                  <c:v>2.9953923197958092</c:v>
                </c:pt>
                <c:pt idx="65">
                  <c:v>3.0391710293138683</c:v>
                </c:pt>
                <c:pt idx="66">
                  <c:v>3.0829589119586069</c:v>
                </c:pt>
                <c:pt idx="67">
                  <c:v>3.1267559741305346</c:v>
                </c:pt>
                <c:pt idx="68">
                  <c:v>3.1705622222348619</c:v>
                </c:pt>
                <c:pt idx="69">
                  <c:v>3.2143776626814944</c:v>
                </c:pt>
                <c:pt idx="70">
                  <c:v>3.2582023018850466</c:v>
                </c:pt>
                <c:pt idx="71">
                  <c:v>3.3020361462648395</c:v>
                </c:pt>
                <c:pt idx="72">
                  <c:v>3.3458792022449106</c:v>
                </c:pt>
                <c:pt idx="73">
                  <c:v>3.3897314762540143</c:v>
                </c:pt>
                <c:pt idx="74">
                  <c:v>3.43359297472563</c:v>
                </c:pt>
                <c:pt idx="75">
                  <c:v>3.4774637040979615</c:v>
                </c:pt>
                <c:pt idx="76">
                  <c:v>3.5213436708139483</c:v>
                </c:pt>
                <c:pt idx="77">
                  <c:v>3.5652328813212684</c:v>
                </c:pt>
                <c:pt idx="78">
                  <c:v>3.6091313420723354</c:v>
                </c:pt>
                <c:pt idx="79">
                  <c:v>3.653039059524315</c:v>
                </c:pt>
                <c:pt idx="80">
                  <c:v>3.6969560401391197</c:v>
                </c:pt>
                <c:pt idx="81">
                  <c:v>3.7408822903834213</c:v>
                </c:pt>
                <c:pt idx="82">
                  <c:v>3.7848178167286486</c:v>
                </c:pt>
                <c:pt idx="83">
                  <c:v>3.828762625650997</c:v>
                </c:pt>
                <c:pt idx="84">
                  <c:v>3.8727167236314282</c:v>
                </c:pt>
                <c:pt idx="85">
                  <c:v>3.9166801171556846</c:v>
                </c:pt>
                <c:pt idx="86">
                  <c:v>3.9606528127142813</c:v>
                </c:pt>
                <c:pt idx="87">
                  <c:v>4.0046348168025165</c:v>
                </c:pt>
                <c:pt idx="88">
                  <c:v>4.0486261359204798</c:v>
                </c:pt>
                <c:pt idx="89">
                  <c:v>4.0926267765730531</c:v>
                </c:pt>
                <c:pt idx="90">
                  <c:v>4.1366367452699144</c:v>
                </c:pt>
                <c:pt idx="91">
                  <c:v>4.1806560485255435</c:v>
                </c:pt>
                <c:pt idx="92">
                  <c:v>4.2246846928592268</c:v>
                </c:pt>
                <c:pt idx="93">
                  <c:v>4.2687226847950637</c:v>
                </c:pt>
                <c:pt idx="94">
                  <c:v>4.3127700308619676</c:v>
                </c:pt>
                <c:pt idx="95">
                  <c:v>4.3568267375936758</c:v>
                </c:pt>
                <c:pt idx="96">
                  <c:v>4.400892811528748</c:v>
                </c:pt>
                <c:pt idx="97">
                  <c:v>4.4449682592105759</c:v>
                </c:pt>
                <c:pt idx="98">
                  <c:v>4.4890530871873855</c:v>
                </c:pt>
                <c:pt idx="99">
                  <c:v>4.5331473020122397</c:v>
                </c:pt>
                <c:pt idx="100">
                  <c:v>4.5772509102430536</c:v>
                </c:pt>
              </c:numCache>
            </c:numRef>
          </c:val>
          <c:smooth val="0"/>
          <c:extLst>
            <c:ext xmlns:c16="http://schemas.microsoft.com/office/drawing/2014/chart" uri="{C3380CC4-5D6E-409C-BE32-E72D297353CC}">
              <c16:uniqueId val="{00000000-3C9D-44D2-AF55-BD525814CC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Dual'!$AJ$5:$AJ$105</c:f>
              <c:numCache>
                <c:formatCode>0.000</c:formatCode>
                <c:ptCount val="101"/>
                <c:pt idx="0">
                  <c:v>1.0057142857142858</c:v>
                </c:pt>
                <c:pt idx="1">
                  <c:v>1.0091713341705955</c:v>
                </c:pt>
                <c:pt idx="2">
                  <c:v>1.0183426683411907</c:v>
                </c:pt>
                <c:pt idx="3">
                  <c:v>1.0275140025117862</c:v>
                </c:pt>
                <c:pt idx="4">
                  <c:v>1.0366853366823814</c:v>
                </c:pt>
                <c:pt idx="5">
                  <c:v>1.0458566708529768</c:v>
                </c:pt>
                <c:pt idx="6">
                  <c:v>1.0550280050235721</c:v>
                </c:pt>
                <c:pt idx="7">
                  <c:v>1.0641993391941675</c:v>
                </c:pt>
                <c:pt idx="8">
                  <c:v>1.0733706733647628</c:v>
                </c:pt>
                <c:pt idx="9">
                  <c:v>1.0825420075353582</c:v>
                </c:pt>
                <c:pt idx="10">
                  <c:v>1.0917133417059535</c:v>
                </c:pt>
                <c:pt idx="11">
                  <c:v>1.1008846758765489</c:v>
                </c:pt>
                <c:pt idx="12">
                  <c:v>1.1100560100471442</c:v>
                </c:pt>
                <c:pt idx="13">
                  <c:v>1.1192273442177396</c:v>
                </c:pt>
                <c:pt idx="14">
                  <c:v>1.1283986783883351</c:v>
                </c:pt>
                <c:pt idx="15">
                  <c:v>1.1375700125589303</c:v>
                </c:pt>
                <c:pt idx="16">
                  <c:v>1.1467413467295258</c:v>
                </c:pt>
                <c:pt idx="17">
                  <c:v>1.155912680900121</c:v>
                </c:pt>
                <c:pt idx="18">
                  <c:v>1.1650840150707165</c:v>
                </c:pt>
                <c:pt idx="19">
                  <c:v>1.1742553492413117</c:v>
                </c:pt>
                <c:pt idx="20">
                  <c:v>1.1834266834119072</c:v>
                </c:pt>
                <c:pt idx="21">
                  <c:v>1.1925980175825024</c:v>
                </c:pt>
                <c:pt idx="22">
                  <c:v>1.2407806501103023</c:v>
                </c:pt>
                <c:pt idx="23">
                  <c:v>1.2638944343095646</c:v>
                </c:pt>
                <c:pt idx="24">
                  <c:v>1.2865109734419344</c:v>
                </c:pt>
                <c:pt idx="25">
                  <c:v>1.3086610418285749</c:v>
                </c:pt>
                <c:pt idx="26">
                  <c:v>1.3303723646226469</c:v>
                </c:pt>
                <c:pt idx="27">
                  <c:v>1.3516700247219557</c:v>
                </c:pt>
                <c:pt idx="28">
                  <c:v>1.3725768024168621</c:v>
                </c:pt>
                <c:pt idx="29">
                  <c:v>1.3931134608841163</c:v>
                </c:pt>
                <c:pt idx="30">
                  <c:v>1.413298987720164</c:v>
                </c:pt>
                <c:pt idx="31">
                  <c:v>1.433150800514599</c:v>
                </c:pt>
                <c:pt idx="32">
                  <c:v>1.452684922798499</c:v>
                </c:pt>
                <c:pt idx="33">
                  <c:v>1.4719161354243251</c:v>
                </c:pt>
                <c:pt idx="34">
                  <c:v>1.4908581074446068</c:v>
                </c:pt>
                <c:pt idx="35">
                  <c:v>1.5095235097840687</c:v>
                </c:pt>
                <c:pt idx="36">
                  <c:v>1.5279241143918207</c:v>
                </c:pt>
                <c:pt idx="37">
                  <c:v>1.5460708810781172</c:v>
                </c:pt>
                <c:pt idx="38">
                  <c:v>1.563974033855221</c:v>
                </c:pt>
                <c:pt idx="39">
                  <c:v>1.581643128292499</c:v>
                </c:pt>
                <c:pt idx="40">
                  <c:v>1.5990871111456071</c:v>
                </c:pt>
                <c:pt idx="41">
                  <c:v>1.6163143733160628</c:v>
                </c:pt>
                <c:pt idx="42">
                  <c:v>1.633332797030929</c:v>
                </c:pt>
                <c:pt idx="43">
                  <c:v>1.6501497979953992</c:v>
                </c:pt>
                <c:pt idx="44">
                  <c:v>1.6667723631578582</c:v>
                </c:pt>
                <c:pt idx="45">
                  <c:v>1.6832070846330063</c:v>
                </c:pt>
                <c:pt idx="46">
                  <c:v>1.6994601902502195</c:v>
                </c:pt>
                <c:pt idx="47">
                  <c:v>1.71553757112863</c:v>
                </c:pt>
                <c:pt idx="48">
                  <c:v>1.7314448066251589</c:v>
                </c:pt>
                <c:pt idx="49">
                  <c:v>1.7471871869550666</c:v>
                </c:pt>
                <c:pt idx="50">
                  <c:v>1.7627697337450376</c:v>
                </c:pt>
                <c:pt idx="51">
                  <c:v>1.7781972187451636</c:v>
                </c:pt>
                <c:pt idx="52">
                  <c:v>1.7934741808974741</c:v>
                </c:pt>
                <c:pt idx="53">
                  <c:v>1.808604941934064</c:v>
                </c:pt>
                <c:pt idx="54">
                  <c:v>1.8235936206567291</c:v>
                </c:pt>
                <c:pt idx="55">
                  <c:v>1.8384441460318364</c:v>
                </c:pt>
                <c:pt idx="56">
                  <c:v>1.8531602692183846</c:v>
                </c:pt>
                <c:pt idx="57">
                  <c:v>1.8677455746336082</c:v>
                </c:pt>
                <c:pt idx="58">
                  <c:v>1.8822034901486</c:v>
                </c:pt>
                <c:pt idx="59">
                  <c:v>1.8965372964961276</c:v>
                </c:pt>
                <c:pt idx="60">
                  <c:v>1.9107501359637848</c:v>
                </c:pt>
                <c:pt idx="61">
                  <c:v>1.9248450204377341</c:v>
                </c:pt>
                <c:pt idx="62">
                  <c:v>1.9388248388553666</c:v>
                </c:pt>
                <c:pt idx="63">
                  <c:v>1.9526923641191205</c:v>
                </c:pt>
                <c:pt idx="64">
                  <c:v>1.9664502595183124</c:v>
                </c:pt>
                <c:pt idx="65">
                  <c:v>1.980101084701122</c:v>
                </c:pt>
                <c:pt idx="66">
                  <c:v>1.9936473012346365</c:v>
                </c:pt>
                <c:pt idx="67">
                  <c:v>2.0070912777871803</c:v>
                </c:pt>
                <c:pt idx="68">
                  <c:v>2.0204352949638102</c:v>
                </c:pt>
                <c:pt idx="69">
                  <c:v>2.033681549822941</c:v>
                </c:pt>
                <c:pt idx="70">
                  <c:v>2.1236551058946826</c:v>
                </c:pt>
                <c:pt idx="71">
                  <c:v>2.1509651317399801</c:v>
                </c:pt>
                <c:pt idx="72">
                  <c:v>2.1782753218148723</c:v>
                </c:pt>
                <c:pt idx="73">
                  <c:v>2.2055856763835018</c:v>
                </c:pt>
                <c:pt idx="74">
                  <c:v>2.2328961957100368</c:v>
                </c:pt>
                <c:pt idx="75">
                  <c:v>2.2602068800586652</c:v>
                </c:pt>
                <c:pt idx="76">
                  <c:v>2.2875177296936005</c:v>
                </c:pt>
                <c:pt idx="77">
                  <c:v>2.3148287448790796</c:v>
                </c:pt>
                <c:pt idx="78">
                  <c:v>2.3421399258793625</c:v>
                </c:pt>
                <c:pt idx="79">
                  <c:v>2.3694512729587327</c:v>
                </c:pt>
                <c:pt idx="80">
                  <c:v>2.3967627863814949</c:v>
                </c:pt>
                <c:pt idx="81">
                  <c:v>2.424074466411982</c:v>
                </c:pt>
                <c:pt idx="82">
                  <c:v>2.4513863133145448</c:v>
                </c:pt>
                <c:pt idx="83">
                  <c:v>2.4786983273535625</c:v>
                </c:pt>
                <c:pt idx="84">
                  <c:v>2.5060105087934339</c:v>
                </c:pt>
                <c:pt idx="85">
                  <c:v>2.5333228578985825</c:v>
                </c:pt>
                <c:pt idx="86">
                  <c:v>2.5606353749334572</c:v>
                </c:pt>
                <c:pt idx="87">
                  <c:v>2.5879480601625282</c:v>
                </c:pt>
                <c:pt idx="88">
                  <c:v>2.6152609138502898</c:v>
                </c:pt>
                <c:pt idx="89">
                  <c:v>2.6425739362612584</c:v>
                </c:pt>
                <c:pt idx="90">
                  <c:v>2.6698871276599769</c:v>
                </c:pt>
                <c:pt idx="91">
                  <c:v>2.6972004883110099</c:v>
                </c:pt>
                <c:pt idx="92">
                  <c:v>2.7245140184789456</c:v>
                </c:pt>
                <c:pt idx="93">
                  <c:v>2.7518277184283946</c:v>
                </c:pt>
                <c:pt idx="94">
                  <c:v>2.7791415884239932</c:v>
                </c:pt>
                <c:pt idx="95">
                  <c:v>2.8064556287303999</c:v>
                </c:pt>
                <c:pt idx="96">
                  <c:v>2.833769839612299</c:v>
                </c:pt>
                <c:pt idx="97">
                  <c:v>2.8610842213343948</c:v>
                </c:pt>
                <c:pt idx="98">
                  <c:v>2.8883987741614172</c:v>
                </c:pt>
                <c:pt idx="99">
                  <c:v>2.9157134983581194</c:v>
                </c:pt>
                <c:pt idx="100">
                  <c:v>2.9430283941892794</c:v>
                </c:pt>
              </c:numCache>
            </c:numRef>
          </c:val>
          <c:smooth val="0"/>
          <c:extLst>
            <c:ext xmlns:c16="http://schemas.microsoft.com/office/drawing/2014/chart" uri="{C3380CC4-5D6E-409C-BE32-E72D297353CC}">
              <c16:uniqueId val="{00000001-3C9D-44D2-AF55-BD525814CC37}"/>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1.0091712069817571</c:v>
                </c:pt>
                <c:pt idx="2">
                  <c:v>1.0183424139635142</c:v>
                </c:pt>
                <c:pt idx="3">
                  <c:v>1.0275136209452713</c:v>
                </c:pt>
                <c:pt idx="4">
                  <c:v>1.0366848279270284</c:v>
                </c:pt>
                <c:pt idx="5">
                  <c:v>1.0458560349087855</c:v>
                </c:pt>
                <c:pt idx="6">
                  <c:v>1.0550272418905426</c:v>
                </c:pt>
                <c:pt idx="7">
                  <c:v>1.0641984488722998</c:v>
                </c:pt>
                <c:pt idx="8">
                  <c:v>1.0733696558540569</c:v>
                </c:pt>
                <c:pt idx="9">
                  <c:v>1.082540862835814</c:v>
                </c:pt>
                <c:pt idx="10">
                  <c:v>1.0917120698175711</c:v>
                </c:pt>
                <c:pt idx="11">
                  <c:v>1.1008832767993282</c:v>
                </c:pt>
                <c:pt idx="12">
                  <c:v>1.1100544837810853</c:v>
                </c:pt>
                <c:pt idx="13">
                  <c:v>1.1192256907628424</c:v>
                </c:pt>
                <c:pt idx="14">
                  <c:v>1.1283968977445995</c:v>
                </c:pt>
                <c:pt idx="15">
                  <c:v>1.1375681047263566</c:v>
                </c:pt>
                <c:pt idx="16">
                  <c:v>1.1467393117081137</c:v>
                </c:pt>
                <c:pt idx="17">
                  <c:v>1.1559105186898708</c:v>
                </c:pt>
                <c:pt idx="18">
                  <c:v>1.1650817256716279</c:v>
                </c:pt>
                <c:pt idx="19">
                  <c:v>1.174252932653385</c:v>
                </c:pt>
                <c:pt idx="20">
                  <c:v>1.1834241396351421</c:v>
                </c:pt>
                <c:pt idx="21">
                  <c:v>1.1925953466168993</c:v>
                </c:pt>
                <c:pt idx="22">
                  <c:v>1.2407806501103023</c:v>
                </c:pt>
                <c:pt idx="23">
                  <c:v>1.2638944343095646</c:v>
                </c:pt>
                <c:pt idx="24">
                  <c:v>1.2865109734419344</c:v>
                </c:pt>
                <c:pt idx="25">
                  <c:v>1.3086610418285749</c:v>
                </c:pt>
                <c:pt idx="26">
                  <c:v>1.3303723646226469</c:v>
                </c:pt>
                <c:pt idx="27">
                  <c:v>1.3516700247219557</c:v>
                </c:pt>
                <c:pt idx="28">
                  <c:v>1.3725768024168621</c:v>
                </c:pt>
                <c:pt idx="29">
                  <c:v>1.3931134608841163</c:v>
                </c:pt>
                <c:pt idx="30">
                  <c:v>1.413298987720164</c:v>
                </c:pt>
                <c:pt idx="31">
                  <c:v>1.433150800514599</c:v>
                </c:pt>
                <c:pt idx="32">
                  <c:v>1.452684922798499</c:v>
                </c:pt>
                <c:pt idx="33">
                  <c:v>1.4719161354243251</c:v>
                </c:pt>
                <c:pt idx="34">
                  <c:v>1.4908581074446068</c:v>
                </c:pt>
                <c:pt idx="35">
                  <c:v>1.5095235097840687</c:v>
                </c:pt>
                <c:pt idx="36">
                  <c:v>1.5279241143918207</c:v>
                </c:pt>
                <c:pt idx="37">
                  <c:v>1.5460708810781172</c:v>
                </c:pt>
                <c:pt idx="38">
                  <c:v>1.563974033855221</c:v>
                </c:pt>
                <c:pt idx="39">
                  <c:v>1.581643128292499</c:v>
                </c:pt>
                <c:pt idx="40">
                  <c:v>1.5990871111456071</c:v>
                </c:pt>
                <c:pt idx="41">
                  <c:v>1.6163143733160628</c:v>
                </c:pt>
                <c:pt idx="42">
                  <c:v>1.633332797030929</c:v>
                </c:pt>
                <c:pt idx="43">
                  <c:v>1.6501497979953992</c:v>
                </c:pt>
                <c:pt idx="44">
                  <c:v>1.6667723631578582</c:v>
                </c:pt>
                <c:pt idx="45">
                  <c:v>1.6832070846330063</c:v>
                </c:pt>
                <c:pt idx="46">
                  <c:v>1.6994601902502195</c:v>
                </c:pt>
                <c:pt idx="47">
                  <c:v>1.71553757112863</c:v>
                </c:pt>
                <c:pt idx="48">
                  <c:v>1.7314448066251589</c:v>
                </c:pt>
                <c:pt idx="49">
                  <c:v>1.7471871869550666</c:v>
                </c:pt>
                <c:pt idx="50">
                  <c:v>1.7627697337450376</c:v>
                </c:pt>
                <c:pt idx="51">
                  <c:v>1.7781972187451636</c:v>
                </c:pt>
                <c:pt idx="52">
                  <c:v>1.7934741808974741</c:v>
                </c:pt>
                <c:pt idx="53">
                  <c:v>1.808604941934064</c:v>
                </c:pt>
                <c:pt idx="54">
                  <c:v>1.8235936206567291</c:v>
                </c:pt>
                <c:pt idx="55">
                  <c:v>1.8384441460318364</c:v>
                </c:pt>
                <c:pt idx="56">
                  <c:v>1.8531602692183846</c:v>
                </c:pt>
                <c:pt idx="57">
                  <c:v>1.8677455746336082</c:v>
                </c:pt>
                <c:pt idx="58">
                  <c:v>1.8822034901486</c:v>
                </c:pt>
                <c:pt idx="59">
                  <c:v>1.8965372964961276</c:v>
                </c:pt>
                <c:pt idx="60">
                  <c:v>1.9107501359637848</c:v>
                </c:pt>
                <c:pt idx="61">
                  <c:v>1.9248450204377341</c:v>
                </c:pt>
                <c:pt idx="62">
                  <c:v>1.9388248388553666</c:v>
                </c:pt>
                <c:pt idx="63">
                  <c:v>1.9526923641191205</c:v>
                </c:pt>
                <c:pt idx="64">
                  <c:v>1.9664502595183124</c:v>
                </c:pt>
                <c:pt idx="65">
                  <c:v>1.980101084701122</c:v>
                </c:pt>
                <c:pt idx="66">
                  <c:v>1.9936473012346365</c:v>
                </c:pt>
                <c:pt idx="67">
                  <c:v>2.0070912777871803</c:v>
                </c:pt>
                <c:pt idx="68">
                  <c:v>2.0204352949638102</c:v>
                </c:pt>
                <c:pt idx="69">
                  <c:v>2.033681549822941</c:v>
                </c:pt>
                <c:pt idx="70">
                  <c:v>2.0468321600994281</c:v>
                </c:pt>
                <c:pt idx="71">
                  <c:v>2.059889168157091</c:v>
                </c:pt>
                <c:pt idx="72">
                  <c:v>2.0728545446915758</c:v>
                </c:pt>
                <c:pt idx="73">
                  <c:v>2.085730192202548</c:v>
                </c:pt>
                <c:pt idx="74">
                  <c:v>2.0985179482525567</c:v>
                </c:pt>
                <c:pt idx="75">
                  <c:v>2.1112195885283622</c:v>
                </c:pt>
                <c:pt idx="76">
                  <c:v>2.1238368297191745</c:v>
                </c:pt>
                <c:pt idx="77">
                  <c:v>2.1363713322250026</c:v>
                </c:pt>
                <c:pt idx="78">
                  <c:v>2.1488247027072238</c:v>
                </c:pt>
                <c:pt idx="79">
                  <c:v>2.1611984964924504</c:v>
                </c:pt>
                <c:pt idx="80">
                  <c:v>2.1734942198398928</c:v>
                </c:pt>
                <c:pt idx="81">
                  <c:v>2.1857133320815585</c:v>
                </c:pt>
                <c:pt idx="82">
                  <c:v>2.1978572476439084</c:v>
                </c:pt>
                <c:pt idx="83">
                  <c:v>2.2099273379588937</c:v>
                </c:pt>
                <c:pt idx="84">
                  <c:v>2.185974724954082</c:v>
                </c:pt>
                <c:pt idx="85">
                  <c:v>2.2094615337258219</c:v>
                </c:pt>
                <c:pt idx="86">
                  <c:v>2.2329474679638341</c:v>
                </c:pt>
                <c:pt idx="87">
                  <c:v>2.2564250272455881</c:v>
                </c:pt>
                <c:pt idx="88">
                  <c:v>2.2799021801139303</c:v>
                </c:pt>
                <c:pt idx="89">
                  <c:v>2.3033789266717521</c:v>
                </c:pt>
                <c:pt idx="90">
                  <c:v>2.326855267021946</c:v>
                </c:pt>
                <c:pt idx="91">
                  <c:v>2.3503312012673989</c:v>
                </c:pt>
                <c:pt idx="92">
                  <c:v>2.3738067295109961</c:v>
                </c:pt>
                <c:pt idx="93">
                  <c:v>2.3972818518556194</c:v>
                </c:pt>
                <c:pt idx="94">
                  <c:v>2.4207565684041485</c:v>
                </c:pt>
                <c:pt idx="95">
                  <c:v>2.4442308792594591</c:v>
                </c:pt>
                <c:pt idx="96">
                  <c:v>2.4677047845244267</c:v>
                </c:pt>
                <c:pt idx="97">
                  <c:v>2.4911782843019195</c:v>
                </c:pt>
                <c:pt idx="98">
                  <c:v>2.5146513786948077</c:v>
                </c:pt>
                <c:pt idx="99">
                  <c:v>2.5381240678059545</c:v>
                </c:pt>
                <c:pt idx="100">
                  <c:v>2.5615963517382245</c:v>
                </c:pt>
              </c:numCache>
            </c:numRef>
          </c:val>
          <c:smooth val="0"/>
          <c:extLst>
            <c:ext xmlns:c16="http://schemas.microsoft.com/office/drawing/2014/chart" uri="{C3380CC4-5D6E-409C-BE32-E72D297353CC}">
              <c16:uniqueId val="{00000002-3C9D-44D2-AF55-BD525814CC37}"/>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Calculations'!$AD$13:$AD$613</c:f>
              <c:numCache>
                <c:formatCode>0.00</c:formatCode>
                <c:ptCount val="601"/>
                <c:pt idx="0">
                  <c:v>72.74846127931653</c:v>
                </c:pt>
                <c:pt idx="1">
                  <c:v>71.948715704027791</c:v>
                </c:pt>
                <c:pt idx="2">
                  <c:v>71.148987643310818</c:v>
                </c:pt>
                <c:pt idx="3">
                  <c:v>70.349256859839201</c:v>
                </c:pt>
                <c:pt idx="4">
                  <c:v>69.550029341634712</c:v>
                </c:pt>
                <c:pt idx="5">
                  <c:v>68.749961471360237</c:v>
                </c:pt>
                <c:pt idx="6">
                  <c:v>67.950178091016525</c:v>
                </c:pt>
                <c:pt idx="7">
                  <c:v>67.150142879727568</c:v>
                </c:pt>
                <c:pt idx="8">
                  <c:v>66.350431605479557</c:v>
                </c:pt>
                <c:pt idx="9">
                  <c:v>65.550432929574811</c:v>
                </c:pt>
                <c:pt idx="10">
                  <c:v>64.750602278482063</c:v>
                </c:pt>
                <c:pt idx="11">
                  <c:v>63.950822285146714</c:v>
                </c:pt>
                <c:pt idx="12">
                  <c:v>63.150667264907405</c:v>
                </c:pt>
                <c:pt idx="13">
                  <c:v>62.350904152227038</c:v>
                </c:pt>
                <c:pt idx="14">
                  <c:v>61.550893452192895</c:v>
                </c:pt>
                <c:pt idx="15">
                  <c:v>60.750942344668417</c:v>
                </c:pt>
                <c:pt idx="16">
                  <c:v>59.950986258894396</c:v>
                </c:pt>
                <c:pt idx="17">
                  <c:v>59.151139205605723</c:v>
                </c:pt>
                <c:pt idx="18">
                  <c:v>58.351169410510025</c:v>
                </c:pt>
                <c:pt idx="19">
                  <c:v>57.551292482810453</c:v>
                </c:pt>
                <c:pt idx="20">
                  <c:v>56.751349731155116</c:v>
                </c:pt>
                <c:pt idx="21">
                  <c:v>55.95150535091777</c:v>
                </c:pt>
                <c:pt idx="22">
                  <c:v>55.151589942118804</c:v>
                </c:pt>
                <c:pt idx="23">
                  <c:v>54.351803515142848</c:v>
                </c:pt>
                <c:pt idx="24">
                  <c:v>53.551945450532216</c:v>
                </c:pt>
                <c:pt idx="25">
                  <c:v>52.752143546593906</c:v>
                </c:pt>
                <c:pt idx="26">
                  <c:v>51.952216751847146</c:v>
                </c:pt>
                <c:pt idx="27">
                  <c:v>51.15242658109571</c:v>
                </c:pt>
                <c:pt idx="28">
                  <c:v>50.352750653509936</c:v>
                </c:pt>
                <c:pt idx="29">
                  <c:v>49.553696648844188</c:v>
                </c:pt>
                <c:pt idx="30">
                  <c:v>48.753927192641285</c:v>
                </c:pt>
                <c:pt idx="31">
                  <c:v>47.954576946586833</c:v>
                </c:pt>
                <c:pt idx="32">
                  <c:v>47.155124562706156</c:v>
                </c:pt>
                <c:pt idx="33">
                  <c:v>46.35616511678591</c:v>
                </c:pt>
                <c:pt idx="34">
                  <c:v>45.557113319267835</c:v>
                </c:pt>
                <c:pt idx="35">
                  <c:v>44.758456163741599</c:v>
                </c:pt>
                <c:pt idx="36">
                  <c:v>43.960116070992612</c:v>
                </c:pt>
                <c:pt idx="37">
                  <c:v>43.161717005191107</c:v>
                </c:pt>
                <c:pt idx="38">
                  <c:v>42.364083495762529</c:v>
                </c:pt>
                <c:pt idx="39">
                  <c:v>41.566649513280979</c:v>
                </c:pt>
                <c:pt idx="40">
                  <c:v>40.769808185878482</c:v>
                </c:pt>
                <c:pt idx="41">
                  <c:v>39.973599676044692</c:v>
                </c:pt>
                <c:pt idx="42">
                  <c:v>39.178262975486327</c:v>
                </c:pt>
                <c:pt idx="43">
                  <c:v>38.383718458860024</c:v>
                </c:pt>
                <c:pt idx="44">
                  <c:v>37.590361058833118</c:v>
                </c:pt>
                <c:pt idx="45">
                  <c:v>36.798249648339763</c:v>
                </c:pt>
                <c:pt idx="46">
                  <c:v>36.007805210526847</c:v>
                </c:pt>
                <c:pt idx="47">
                  <c:v>35.219168693688999</c:v>
                </c:pt>
                <c:pt idx="48">
                  <c:v>34.432904359821116</c:v>
                </c:pt>
                <c:pt idx="49">
                  <c:v>33.649251321998563</c:v>
                </c:pt>
                <c:pt idx="50">
                  <c:v>32.868852502005879</c:v>
                </c:pt>
                <c:pt idx="51">
                  <c:v>32.092143873465567</c:v>
                </c:pt>
                <c:pt idx="52">
                  <c:v>31.320100593682941</c:v>
                </c:pt>
                <c:pt idx="53">
                  <c:v>30.55354524210529</c:v>
                </c:pt>
                <c:pt idx="54">
                  <c:v>29.793944009897942</c:v>
                </c:pt>
                <c:pt idx="55">
                  <c:v>29.041174010977763</c:v>
                </c:pt>
                <c:pt idx="56">
                  <c:v>28.297630225875395</c:v>
                </c:pt>
                <c:pt idx="57">
                  <c:v>27.564336130725216</c:v>
                </c:pt>
                <c:pt idx="58">
                  <c:v>26.843543168903111</c:v>
                </c:pt>
                <c:pt idx="59">
                  <c:v>26.136632850629468</c:v>
                </c:pt>
                <c:pt idx="60">
                  <c:v>25.446145878212356</c:v>
                </c:pt>
                <c:pt idx="61">
                  <c:v>24.774293328440578</c:v>
                </c:pt>
                <c:pt idx="62">
                  <c:v>24.123200660239775</c:v>
                </c:pt>
                <c:pt idx="63">
                  <c:v>23.49606069360744</c:v>
                </c:pt>
                <c:pt idx="64">
                  <c:v>22.894963201777649</c:v>
                </c:pt>
                <c:pt idx="65">
                  <c:v>22.322682553695525</c:v>
                </c:pt>
                <c:pt idx="66">
                  <c:v>21.78153486846146</c:v>
                </c:pt>
                <c:pt idx="67">
                  <c:v>21.273672192752542</c:v>
                </c:pt>
                <c:pt idx="68">
                  <c:v>20.800632708670381</c:v>
                </c:pt>
                <c:pt idx="69">
                  <c:v>20.363733258876053</c:v>
                </c:pt>
                <c:pt idx="70">
                  <c:v>19.963500780967514</c:v>
                </c:pt>
                <c:pt idx="71">
                  <c:v>19.600018093123609</c:v>
                </c:pt>
                <c:pt idx="72">
                  <c:v>19.27259648169095</c:v>
                </c:pt>
                <c:pt idx="73">
                  <c:v>18.980131521036284</c:v>
                </c:pt>
                <c:pt idx="74">
                  <c:v>18.72086560102148</c:v>
                </c:pt>
                <c:pt idx="75">
                  <c:v>18.492762516222733</c:v>
                </c:pt>
                <c:pt idx="76">
                  <c:v>18.293410092880627</c:v>
                </c:pt>
                <c:pt idx="77">
                  <c:v>18.120337819749587</c:v>
                </c:pt>
                <c:pt idx="78">
                  <c:v>17.970929337955202</c:v>
                </c:pt>
                <c:pt idx="79">
                  <c:v>17.842677392846113</c:v>
                </c:pt>
                <c:pt idx="80">
                  <c:v>17.732896257180506</c:v>
                </c:pt>
                <c:pt idx="81">
                  <c:v>17.639427321827526</c:v>
                </c:pt>
                <c:pt idx="82">
                  <c:v>17.560057411005438</c:v>
                </c:pt>
                <c:pt idx="83">
                  <c:v>17.492895097299083</c:v>
                </c:pt>
                <c:pt idx="84">
                  <c:v>17.43614720644937</c:v>
                </c:pt>
                <c:pt idx="85">
                  <c:v>17.388309681933961</c:v>
                </c:pt>
                <c:pt idx="86">
                  <c:v>17.34802434483678</c:v>
                </c:pt>
                <c:pt idx="87">
                  <c:v>17.314101966098335</c:v>
                </c:pt>
                <c:pt idx="88">
                  <c:v>17.285562017934627</c:v>
                </c:pt>
                <c:pt idx="89">
                  <c:v>17.261508193660152</c:v>
                </c:pt>
                <c:pt idx="90">
                  <c:v>17.241202792750908</c:v>
                </c:pt>
                <c:pt idx="91">
                  <c:v>17.22400186871732</c:v>
                </c:pt>
                <c:pt idx="92">
                  <c:v>17.209356453336117</c:v>
                </c:pt>
                <c:pt idx="93">
                  <c:v>17.196788047302189</c:v>
                </c:pt>
                <c:pt idx="94">
                  <c:v>17.193922662312918</c:v>
                </c:pt>
                <c:pt idx="95">
                  <c:v>17.192518548119835</c:v>
                </c:pt>
                <c:pt idx="96">
                  <c:v>17.191154194268996</c:v>
                </c:pt>
                <c:pt idx="97">
                  <c:v>17.189797440074372</c:v>
                </c:pt>
                <c:pt idx="98">
                  <c:v>17.188478508055642</c:v>
                </c:pt>
                <c:pt idx="99">
                  <c:v>17.187165983600707</c:v>
                </c:pt>
                <c:pt idx="100">
                  <c:v>17.185889437373941</c:v>
                </c:pt>
                <c:pt idx="101">
                  <c:v>17.184619120239745</c:v>
                </c:pt>
                <c:pt idx="102">
                  <c:v>17.18338297285894</c:v>
                </c:pt>
                <c:pt idx="103">
                  <c:v>17.182151024604334</c:v>
                </c:pt>
                <c:pt idx="104">
                  <c:v>17.180951570665762</c:v>
                </c:pt>
                <c:pt idx="105">
                  <c:v>17.179756169499399</c:v>
                </c:pt>
                <c:pt idx="106">
                  <c:v>17.178591614211744</c:v>
                </c:pt>
                <c:pt idx="107">
                  <c:v>17.177430885426091</c:v>
                </c:pt>
                <c:pt idx="108">
                  <c:v>17.176299386403933</c:v>
                </c:pt>
                <c:pt idx="109">
                  <c:v>17.175170660052736</c:v>
                </c:pt>
                <c:pt idx="110">
                  <c:v>17.174069620758857</c:v>
                </c:pt>
                <c:pt idx="111">
                  <c:v>17.172969626715712</c:v>
                </c:pt>
                <c:pt idx="112">
                  <c:v>17.171895877820955</c:v>
                </c:pt>
                <c:pt idx="113">
                  <c:v>17.170822964965733</c:v>
                </c:pt>
                <c:pt idx="114">
                  <c:v>17.169774877994342</c:v>
                </c:pt>
                <c:pt idx="115">
                  <c:v>17.168726692484512</c:v>
                </c:pt>
                <c:pt idx="116">
                  <c:v>17.167701969606036</c:v>
                </c:pt>
                <c:pt idx="117">
                  <c:v>17.166676240388668</c:v>
                </c:pt>
                <c:pt idx="118">
                  <c:v>17.165672661830037</c:v>
                </c:pt>
                <c:pt idx="119">
                  <c:v>17.164667792927062</c:v>
                </c:pt>
                <c:pt idx="120">
                  <c:v>17.163683785104226</c:v>
                </c:pt>
                <c:pt idx="121">
                  <c:v>17.162697567750584</c:v>
                </c:pt>
                <c:pt idx="122">
                  <c:v>17.161730970360392</c:v>
                </c:pt>
                <c:pt idx="123">
                  <c:v>17.160760705241003</c:v>
                </c:pt>
                <c:pt idx="124">
                  <c:v>17.159808884141398</c:v>
                </c:pt>
                <c:pt idx="125">
                  <c:v>17.158853082219917</c:v>
                </c:pt>
                <c:pt idx="126">
                  <c:v>17.157914565481928</c:v>
                </c:pt>
                <c:pt idx="127">
                  <c:v>17.156971184560604</c:v>
                </c:pt>
                <c:pt idx="128">
                  <c:v>17.15604396764482</c:v>
                </c:pt>
                <c:pt idx="129">
                  <c:v>17.155111007692049</c:v>
                </c:pt>
                <c:pt idx="130">
                  <c:v>17.154193125179283</c:v>
                </c:pt>
                <c:pt idx="131">
                  <c:v>17.15326862176466</c:v>
                </c:pt>
                <c:pt idx="132">
                  <c:v>17.152811680823948</c:v>
                </c:pt>
                <c:pt idx="133">
                  <c:v>17.15235814105651</c:v>
                </c:pt>
                <c:pt idx="134">
                  <c:v>17.151897237981999</c:v>
                </c:pt>
                <c:pt idx="135">
                  <c:v>17.151439688898019</c:v>
                </c:pt>
                <c:pt idx="136">
                  <c:v>17.150985391658743</c:v>
                </c:pt>
                <c:pt idx="137">
                  <c:v>17.150534247008071</c:v>
                </c:pt>
                <c:pt idx="138">
                  <c:v>17.150076019903409</c:v>
                </c:pt>
                <c:pt idx="139">
                  <c:v>17.149620889015843</c:v>
                </c:pt>
                <c:pt idx="140">
                  <c:v>17.149168756932095</c:v>
                </c:pt>
                <c:pt idx="141">
                  <c:v>17.148719528994569</c:v>
                </c:pt>
                <c:pt idx="142">
                  <c:v>17.148262560559573</c:v>
                </c:pt>
                <c:pt idx="143">
                  <c:v>17.147808443337141</c:v>
                </c:pt>
                <c:pt idx="144">
                  <c:v>17.147357084155253</c:v>
                </c:pt>
                <c:pt idx="145">
                  <c:v>17.146908392480064</c:v>
                </c:pt>
                <c:pt idx="146">
                  <c:v>17.146451976411576</c:v>
                </c:pt>
                <c:pt idx="147">
                  <c:v>17.145998169191458</c:v>
                </c:pt>
                <c:pt idx="148">
                  <c:v>17.145546881855417</c:v>
                </c:pt>
                <c:pt idx="149">
                  <c:v>17.145098027959289</c:v>
                </c:pt>
                <c:pt idx="150">
                  <c:v>17.144641226824774</c:v>
                </c:pt>
                <c:pt idx="151">
                  <c:v>17.144186797608196</c:v>
                </c:pt>
                <c:pt idx="152">
                  <c:v>17.14373465537798</c:v>
                </c:pt>
                <c:pt idx="153">
                  <c:v>17.14328471760949</c:v>
                </c:pt>
                <c:pt idx="154">
                  <c:v>17.142826387308713</c:v>
                </c:pt>
                <c:pt idx="155">
                  <c:v>17.142370198911006</c:v>
                </c:pt>
                <c:pt idx="156">
                  <c:v>17.141916071240836</c:v>
                </c:pt>
                <c:pt idx="157">
                  <c:v>17.141463925425246</c:v>
                </c:pt>
                <c:pt idx="158">
                  <c:v>17.141003144858157</c:v>
                </c:pt>
                <c:pt idx="159">
                  <c:v>17.140544280105662</c:v>
                </c:pt>
                <c:pt idx="160">
                  <c:v>17.140087253608719</c:v>
                </c:pt>
                <c:pt idx="161">
                  <c:v>17.139631990010237</c:v>
                </c:pt>
                <c:pt idx="162">
                  <c:v>17.139168038796917</c:v>
                </c:pt>
                <c:pt idx="163">
                  <c:v>17.138705779452021</c:v>
                </c:pt>
                <c:pt idx="164">
                  <c:v>17.138245137994762</c:v>
                </c:pt>
                <c:pt idx="165">
                  <c:v>17.137786042545592</c:v>
                </c:pt>
                <c:pt idx="166">
                  <c:v>17.137317583222803</c:v>
                </c:pt>
                <c:pt idx="167">
                  <c:v>17.136850598134405</c:v>
                </c:pt>
                <c:pt idx="168">
                  <c:v>17.136385016552389</c:v>
                </c:pt>
                <c:pt idx="169">
                  <c:v>17.135920769760173</c:v>
                </c:pt>
                <c:pt idx="170">
                  <c:v>17.135447869232749</c:v>
                </c:pt>
                <c:pt idx="171">
                  <c:v>17.134976222592929</c:v>
                </c:pt>
                <c:pt idx="172">
                  <c:v>17.134505762674561</c:v>
                </c:pt>
                <c:pt idx="173">
                  <c:v>17.134036424220142</c:v>
                </c:pt>
                <c:pt idx="174">
                  <c:v>17.133556351559946</c:v>
                </c:pt>
                <c:pt idx="175">
                  <c:v>17.133077324591653</c:v>
                </c:pt>
                <c:pt idx="176">
                  <c:v>17.132599278831073</c:v>
                </c:pt>
                <c:pt idx="177">
                  <c:v>17.13212215163184</c:v>
                </c:pt>
                <c:pt idx="178">
                  <c:v>17.131634180876524</c:v>
                </c:pt>
                <c:pt idx="179">
                  <c:v>17.131147046915547</c:v>
                </c:pt>
                <c:pt idx="180">
                  <c:v>17.130660687971737</c:v>
                </c:pt>
                <c:pt idx="181">
                  <c:v>17.130175044032914</c:v>
                </c:pt>
                <c:pt idx="182">
                  <c:v>17.129680363353973</c:v>
                </c:pt>
                <c:pt idx="183">
                  <c:v>17.129186305800033</c:v>
                </c:pt>
                <c:pt idx="184">
                  <c:v>17.128692812984873</c:v>
                </c:pt>
                <c:pt idx="185">
                  <c:v>17.128199828187345</c:v>
                </c:pt>
                <c:pt idx="186">
                  <c:v>17.127693781685135</c:v>
                </c:pt>
                <c:pt idx="187">
                  <c:v>17.127188155235636</c:v>
                </c:pt>
                <c:pt idx="188">
                  <c:v>17.126682892445693</c:v>
                </c:pt>
                <c:pt idx="189">
                  <c:v>17.126177938539303</c:v>
                </c:pt>
                <c:pt idx="190">
                  <c:v>17.12566361080269</c:v>
                </c:pt>
                <c:pt idx="191">
                  <c:v>17.125149493887125</c:v>
                </c:pt>
                <c:pt idx="192">
                  <c:v>17.12463553466031</c:v>
                </c:pt>
                <c:pt idx="193">
                  <c:v>17.124121681510061</c:v>
                </c:pt>
                <c:pt idx="194">
                  <c:v>17.123594414260825</c:v>
                </c:pt>
                <c:pt idx="195">
                  <c:v>17.123067153285408</c:v>
                </c:pt>
                <c:pt idx="196">
                  <c:v>17.122539847467408</c:v>
                </c:pt>
                <c:pt idx="197">
                  <c:v>17.122012447159868</c:v>
                </c:pt>
                <c:pt idx="198">
                  <c:v>17.121473350146093</c:v>
                </c:pt>
                <c:pt idx="199">
                  <c:v>17.120934054116983</c:v>
                </c:pt>
                <c:pt idx="200">
                  <c:v>17.120394510532872</c:v>
                </c:pt>
                <c:pt idx="201">
                  <c:v>17.119854672250696</c:v>
                </c:pt>
                <c:pt idx="202">
                  <c:v>17.119302914160876</c:v>
                </c:pt>
                <c:pt idx="203">
                  <c:v>17.118750753439166</c:v>
                </c:pt>
                <c:pt idx="204">
                  <c:v>17.118198144060777</c:v>
                </c:pt>
                <c:pt idx="205">
                  <c:v>17.117645041326185</c:v>
                </c:pt>
                <c:pt idx="206">
                  <c:v>17.117077844110142</c:v>
                </c:pt>
                <c:pt idx="207">
                  <c:v>17.11651003818849</c:v>
                </c:pt>
                <c:pt idx="208">
                  <c:v>17.115941579539804</c:v>
                </c:pt>
                <c:pt idx="209">
                  <c:v>17.115372425415408</c:v>
                </c:pt>
                <c:pt idx="210">
                  <c:v>17.11478696340852</c:v>
                </c:pt>
                <c:pt idx="211">
                  <c:v>17.114200679910702</c:v>
                </c:pt>
                <c:pt idx="212">
                  <c:v>17.113613532493417</c:v>
                </c:pt>
                <c:pt idx="213">
                  <c:v>17.113025479963625</c:v>
                </c:pt>
                <c:pt idx="214">
                  <c:v>17.112424731630004</c:v>
                </c:pt>
                <c:pt idx="215">
                  <c:v>17.111822958930873</c:v>
                </c:pt>
                <c:pt idx="216">
                  <c:v>17.111220121868939</c:v>
                </c:pt>
                <c:pt idx="217">
                  <c:v>17.11061618161218</c:v>
                </c:pt>
                <c:pt idx="218">
                  <c:v>17.109997290222385</c:v>
                </c:pt>
                <c:pt idx="219">
                  <c:v>17.109377166148072</c:v>
                </c:pt>
                <c:pt idx="220">
                  <c:v>17.108755771372984</c:v>
                </c:pt>
                <c:pt idx="221">
                  <c:v>17.108133068992718</c:v>
                </c:pt>
                <c:pt idx="222">
                  <c:v>17.107495095750387</c:v>
                </c:pt>
                <c:pt idx="223">
                  <c:v>17.106855681352553</c:v>
                </c:pt>
                <c:pt idx="224">
                  <c:v>17.106214789736683</c:v>
                </c:pt>
                <c:pt idx="225">
                  <c:v>17.105572385899141</c:v>
                </c:pt>
                <c:pt idx="226">
                  <c:v>17.104912367226664</c:v>
                </c:pt>
                <c:pt idx="227">
                  <c:v>17.104250688820354</c:v>
                </c:pt>
                <c:pt idx="228">
                  <c:v>17.103587316228079</c:v>
                </c:pt>
                <c:pt idx="229">
                  <c:v>17.102922216016708</c:v>
                </c:pt>
                <c:pt idx="230">
                  <c:v>17.101554139653768</c:v>
                </c:pt>
                <c:pt idx="231">
                  <c:v>17.100867247838682</c:v>
                </c:pt>
                <c:pt idx="232">
                  <c:v>17.100178410811314</c:v>
                </c:pt>
                <c:pt idx="233">
                  <c:v>17.099471174284297</c:v>
                </c:pt>
                <c:pt idx="234">
                  <c:v>17.09876183454687</c:v>
                </c:pt>
                <c:pt idx="235">
                  <c:v>17.098050360404308</c:v>
                </c:pt>
                <c:pt idx="236">
                  <c:v>17.097336721598747</c:v>
                </c:pt>
                <c:pt idx="237">
                  <c:v>17.096606341723877</c:v>
                </c:pt>
                <c:pt idx="238">
                  <c:v>17.09587364766411</c:v>
                </c:pt>
                <c:pt idx="239">
                  <c:v>17.095138610098971</c:v>
                </c:pt>
                <c:pt idx="240">
                  <c:v>17.094401200593556</c:v>
                </c:pt>
                <c:pt idx="241">
                  <c:v>17.093642444298748</c:v>
                </c:pt>
                <c:pt idx="242">
                  <c:v>17.092881135371986</c:v>
                </c:pt>
                <c:pt idx="243">
                  <c:v>17.092117245852535</c:v>
                </c:pt>
                <c:pt idx="244">
                  <c:v>17.091350748634412</c:v>
                </c:pt>
                <c:pt idx="245">
                  <c:v>17.090564542950975</c:v>
                </c:pt>
                <c:pt idx="246">
                  <c:v>17.089775558053212</c:v>
                </c:pt>
                <c:pt idx="247">
                  <c:v>17.088983767579574</c:v>
                </c:pt>
                <c:pt idx="248">
                  <c:v>17.088189145982643</c:v>
                </c:pt>
                <c:pt idx="249">
                  <c:v>17.087372181950514</c:v>
                </c:pt>
                <c:pt idx="250">
                  <c:v>17.08655219523833</c:v>
                </c:pt>
                <c:pt idx="251">
                  <c:v>17.085729160866389</c:v>
                </c:pt>
                <c:pt idx="252">
                  <c:v>17.08490305463739</c:v>
                </c:pt>
                <c:pt idx="253">
                  <c:v>17.084056270257349</c:v>
                </c:pt>
                <c:pt idx="254">
                  <c:v>17.083206234003143</c:v>
                </c:pt>
                <c:pt idx="255">
                  <c:v>17.082352922468701</c:v>
                </c:pt>
                <c:pt idx="256">
                  <c:v>17.081496312990627</c:v>
                </c:pt>
                <c:pt idx="257">
                  <c:v>17.080614061350637</c:v>
                </c:pt>
                <c:pt idx="258">
                  <c:v>17.079728292645196</c:v>
                </c:pt>
                <c:pt idx="259">
                  <c:v>17.078838984681038</c:v>
                </c:pt>
                <c:pt idx="260">
                  <c:v>17.077946115983245</c:v>
                </c:pt>
                <c:pt idx="261">
                  <c:v>17.077029250120109</c:v>
                </c:pt>
                <c:pt idx="262">
                  <c:v>17.076108616596098</c:v>
                </c:pt>
                <c:pt idx="263">
                  <c:v>17.075184194617808</c:v>
                </c:pt>
                <c:pt idx="264">
                  <c:v>17.074255964078187</c:v>
                </c:pt>
                <c:pt idx="265">
                  <c:v>17.073303149498017</c:v>
                </c:pt>
                <c:pt idx="266">
                  <c:v>17.072346314815871</c:v>
                </c:pt>
                <c:pt idx="267">
                  <c:v>17.071385440633247</c:v>
                </c:pt>
                <c:pt idx="268">
                  <c:v>17.070420508206428</c:v>
                </c:pt>
                <c:pt idx="269">
                  <c:v>17.069428042847893</c:v>
                </c:pt>
                <c:pt idx="270">
                  <c:v>17.068431283044241</c:v>
                </c:pt>
                <c:pt idx="271">
                  <c:v>17.067430210657385</c:v>
                </c:pt>
                <c:pt idx="272">
                  <c:v>17.066424808178919</c:v>
                </c:pt>
                <c:pt idx="273">
                  <c:v>17.065391191258719</c:v>
                </c:pt>
                <c:pt idx="274">
                  <c:v>17.064353002400281</c:v>
                </c:pt>
                <c:pt idx="275">
                  <c:v>17.063310224743823</c:v>
                </c:pt>
                <c:pt idx="276">
                  <c:v>17.062262842033885</c:v>
                </c:pt>
                <c:pt idx="277">
                  <c:v>17.061188973847173</c:v>
                </c:pt>
                <c:pt idx="278">
                  <c:v>17.060110275249194</c:v>
                </c:pt>
                <c:pt idx="279">
                  <c:v>17.05902673077458</c:v>
                </c:pt>
                <c:pt idx="280">
                  <c:v>17.057938325531943</c:v>
                </c:pt>
                <c:pt idx="281">
                  <c:v>17.056815362419652</c:v>
                </c:pt>
                <c:pt idx="282">
                  <c:v>17.055687241571377</c:v>
                </c:pt>
                <c:pt idx="283">
                  <c:v>17.054553948621944</c:v>
                </c:pt>
                <c:pt idx="284">
                  <c:v>17.053415469765273</c:v>
                </c:pt>
                <c:pt idx="285">
                  <c:v>17.052249117008508</c:v>
                </c:pt>
                <c:pt idx="286">
                  <c:v>17.0510773438576</c:v>
                </c:pt>
                <c:pt idx="287">
                  <c:v>17.049900137352207</c:v>
                </c:pt>
                <c:pt idx="288">
                  <c:v>17.048717485061562</c:v>
                </c:pt>
                <c:pt idx="289">
                  <c:v>17.047498575582402</c:v>
                </c:pt>
                <c:pt idx="290">
                  <c:v>17.046273910131521</c:v>
                </c:pt>
                <c:pt idx="291">
                  <c:v>17.045043476915225</c:v>
                </c:pt>
                <c:pt idx="292">
                  <c:v>17.043807264653822</c:v>
                </c:pt>
                <c:pt idx="293">
                  <c:v>17.042536492307871</c:v>
                </c:pt>
                <c:pt idx="294">
                  <c:v>17.041259648421804</c:v>
                </c:pt>
                <c:pt idx="295">
                  <c:v>17.039976722480318</c:v>
                </c:pt>
                <c:pt idx="296">
                  <c:v>17.038687704462035</c:v>
                </c:pt>
                <c:pt idx="297">
                  <c:v>17.037363261070478</c:v>
                </c:pt>
                <c:pt idx="298">
                  <c:v>17.036032427605448</c:v>
                </c:pt>
                <c:pt idx="299">
                  <c:v>17.034695194852322</c:v>
                </c:pt>
                <c:pt idx="300">
                  <c:v>17.033351554070485</c:v>
                </c:pt>
                <c:pt idx="301">
                  <c:v>17.031971603951526</c:v>
                </c:pt>
                <c:pt idx="302">
                  <c:v>17.030584942578866</c:v>
                </c:pt>
                <c:pt idx="303">
                  <c:v>17.029191562058873</c:v>
                </c:pt>
                <c:pt idx="304">
                  <c:v>17.027791454952407</c:v>
                </c:pt>
                <c:pt idx="305">
                  <c:v>17.026348594918264</c:v>
                </c:pt>
                <c:pt idx="306">
                  <c:v>17.024898645869481</c:v>
                </c:pt>
                <c:pt idx="307">
                  <c:v>17.023441601179098</c:v>
                </c:pt>
                <c:pt idx="308">
                  <c:v>17.02197745466227</c:v>
                </c:pt>
                <c:pt idx="309">
                  <c:v>17.020475120617618</c:v>
                </c:pt>
                <c:pt idx="310">
                  <c:v>17.018965370599808</c:v>
                </c:pt>
                <c:pt idx="311">
                  <c:v>17.017448199363482</c:v>
                </c:pt>
                <c:pt idx="312">
                  <c:v>17.015923602086328</c:v>
                </c:pt>
                <c:pt idx="313">
                  <c:v>17.014354114965887</c:v>
                </c:pt>
                <c:pt idx="314">
                  <c:v>17.012776826201467</c:v>
                </c:pt>
                <c:pt idx="315">
                  <c:v>17.011191731905765</c:v>
                </c:pt>
                <c:pt idx="316">
                  <c:v>17.009598828602094</c:v>
                </c:pt>
                <c:pt idx="317">
                  <c:v>17.007959905702297</c:v>
                </c:pt>
                <c:pt idx="318">
                  <c:v>17.00631279139958</c:v>
                </c:pt>
                <c:pt idx="319">
                  <c:v>17.004657483219578</c:v>
                </c:pt>
                <c:pt idx="320">
                  <c:v>17.002993979086014</c:v>
                </c:pt>
                <c:pt idx="321">
                  <c:v>17.001283302973548</c:v>
                </c:pt>
                <c:pt idx="322">
                  <c:v>16.999564042093944</c:v>
                </c:pt>
                <c:pt idx="323">
                  <c:v>16.997836195439444</c:v>
                </c:pt>
                <c:pt idx="324">
                  <c:v>16.996099762387949</c:v>
                </c:pt>
                <c:pt idx="325">
                  <c:v>16.994314983359878</c:v>
                </c:pt>
                <c:pt idx="326">
                  <c:v>16.992521223077873</c:v>
                </c:pt>
                <c:pt idx="327">
                  <c:v>16.990718482053854</c:v>
                </c:pt>
                <c:pt idx="328">
                  <c:v>16.988906761173098</c:v>
                </c:pt>
                <c:pt idx="329">
                  <c:v>16.987042379392673</c:v>
                </c:pt>
                <c:pt idx="330">
                  <c:v>16.985168585837872</c:v>
                </c:pt>
                <c:pt idx="331">
                  <c:v>16.983285382604553</c:v>
                </c:pt>
                <c:pt idx="332">
                  <c:v>16.981392772152297</c:v>
                </c:pt>
                <c:pt idx="333">
                  <c:v>16.979449373930255</c:v>
                </c:pt>
                <c:pt idx="334">
                  <c:v>16.977496162038118</c:v>
                </c:pt>
                <c:pt idx="335">
                  <c:v>16.975533140207464</c:v>
                </c:pt>
                <c:pt idx="336">
                  <c:v>16.973560312521755</c:v>
                </c:pt>
                <c:pt idx="337">
                  <c:v>16.971528966535296</c:v>
                </c:pt>
                <c:pt idx="338">
                  <c:v>16.969487337889724</c:v>
                </c:pt>
                <c:pt idx="339">
                  <c:v>16.967435432059681</c:v>
                </c:pt>
                <c:pt idx="340">
                  <c:v>16.965373254864545</c:v>
                </c:pt>
                <c:pt idx="341">
                  <c:v>16.963251106822465</c:v>
                </c:pt>
                <c:pt idx="342">
                  <c:v>16.961118203497417</c:v>
                </c:pt>
                <c:pt idx="343">
                  <c:v>16.958974552196846</c:v>
                </c:pt>
                <c:pt idx="344">
                  <c:v>16.956820160565723</c:v>
                </c:pt>
                <c:pt idx="345">
                  <c:v>16.954607702525664</c:v>
                </c:pt>
                <c:pt idx="346">
                  <c:v>16.952384047797693</c:v>
                </c:pt>
                <c:pt idx="347">
                  <c:v>16.950149205569598</c:v>
                </c:pt>
                <c:pt idx="348">
                  <c:v>16.947903185357561</c:v>
                </c:pt>
                <c:pt idx="349">
                  <c:v>16.945590804188562</c:v>
                </c:pt>
                <c:pt idx="350">
                  <c:v>16.943266714351726</c:v>
                </c:pt>
                <c:pt idx="351">
                  <c:v>16.940930927090303</c:v>
                </c:pt>
                <c:pt idx="352">
                  <c:v>16.938583453970907</c:v>
                </c:pt>
                <c:pt idx="353">
                  <c:v>16.936167994520517</c:v>
                </c:pt>
                <c:pt idx="354">
                  <c:v>16.93374031165559</c:v>
                </c:pt>
                <c:pt idx="355">
                  <c:v>16.931300418785739</c:v>
                </c:pt>
                <c:pt idx="356">
                  <c:v>16.928848329638868</c:v>
                </c:pt>
                <c:pt idx="357">
                  <c:v>16.9263301958167</c:v>
                </c:pt>
                <c:pt idx="358">
                  <c:v>16.923799358064372</c:v>
                </c:pt>
                <c:pt idx="359">
                  <c:v>16.92125583200286</c:v>
                </c:pt>
                <c:pt idx="360">
                  <c:v>16.918699633564543</c:v>
                </c:pt>
                <c:pt idx="361">
                  <c:v>16.916068502157419</c:v>
                </c:pt>
                <c:pt idx="362">
                  <c:v>16.913424112868981</c:v>
                </c:pt>
                <c:pt idx="363">
                  <c:v>16.910766483778769</c:v>
                </c:pt>
                <c:pt idx="364">
                  <c:v>16.908095633274428</c:v>
                </c:pt>
                <c:pt idx="365">
                  <c:v>16.905351784604292</c:v>
                </c:pt>
                <c:pt idx="366">
                  <c:v>16.902594160178573</c:v>
                </c:pt>
                <c:pt idx="367">
                  <c:v>16.89982278058563</c:v>
                </c:pt>
                <c:pt idx="368">
                  <c:v>16.897037666716916</c:v>
                </c:pt>
                <c:pt idx="369">
                  <c:v>16.894170218579589</c:v>
                </c:pt>
                <c:pt idx="370">
                  <c:v>16.891288401496421</c:v>
                </c:pt>
                <c:pt idx="371">
                  <c:v>16.888392238869351</c:v>
                </c:pt>
                <c:pt idx="372">
                  <c:v>16.885481754401564</c:v>
                </c:pt>
                <c:pt idx="373">
                  <c:v>16.882490864093654</c:v>
                </c:pt>
                <c:pt idx="374">
                  <c:v>16.879485049910951</c:v>
                </c:pt>
                <c:pt idx="375">
                  <c:v>16.876464338125157</c:v>
                </c:pt>
                <c:pt idx="376">
                  <c:v>16.873428755305618</c:v>
                </c:pt>
                <c:pt idx="377">
                  <c:v>16.870302968480768</c:v>
                </c:pt>
                <c:pt idx="378">
                  <c:v>16.867161626051839</c:v>
                </c:pt>
                <c:pt idx="379">
                  <c:v>16.86400475752626</c:v>
                </c:pt>
                <c:pt idx="380">
                  <c:v>16.860832392708367</c:v>
                </c:pt>
                <c:pt idx="381">
                  <c:v>16.857575793031948</c:v>
                </c:pt>
                <c:pt idx="382">
                  <c:v>16.854303086745873</c:v>
                </c:pt>
                <c:pt idx="383">
                  <c:v>16.851014306533699</c:v>
                </c:pt>
                <c:pt idx="384">
                  <c:v>16.847709485371904</c:v>
                </c:pt>
                <c:pt idx="385">
                  <c:v>16.844306152942202</c:v>
                </c:pt>
                <c:pt idx="386">
                  <c:v>16.840886045653718</c:v>
                </c:pt>
                <c:pt idx="387">
                  <c:v>16.837449199907695</c:v>
                </c:pt>
                <c:pt idx="388">
                  <c:v>16.833995652398343</c:v>
                </c:pt>
                <c:pt idx="389">
                  <c:v>16.830445517805288</c:v>
                </c:pt>
                <c:pt idx="390">
                  <c:v>16.826877983790308</c:v>
                </c:pt>
                <c:pt idx="391">
                  <c:v>16.823293090541704</c:v>
                </c:pt>
                <c:pt idx="392">
                  <c:v>16.819690878538854</c:v>
                </c:pt>
                <c:pt idx="393">
                  <c:v>16.815989901702583</c:v>
                </c:pt>
                <c:pt idx="394">
                  <c:v>16.812270905953582</c:v>
                </c:pt>
                <c:pt idx="395">
                  <c:v>16.808533935459405</c:v>
                </c:pt>
                <c:pt idx="396">
                  <c:v>16.804779034676255</c:v>
                </c:pt>
                <c:pt idx="397">
                  <c:v>16.800914432683832</c:v>
                </c:pt>
                <c:pt idx="398">
                  <c:v>16.797031114543675</c:v>
                </c:pt>
                <c:pt idx="399">
                  <c:v>16.793129128926299</c:v>
                </c:pt>
                <c:pt idx="400">
                  <c:v>16.789208524790439</c:v>
                </c:pt>
                <c:pt idx="401">
                  <c:v>16.785180217051202</c:v>
                </c:pt>
                <c:pt idx="402">
                  <c:v>16.78113254517752</c:v>
                </c:pt>
                <c:pt idx="403">
                  <c:v>16.777065562409362</c:v>
                </c:pt>
                <c:pt idx="404">
                  <c:v>16.772979322272359</c:v>
                </c:pt>
                <c:pt idx="405">
                  <c:v>16.768778491995171</c:v>
                </c:pt>
                <c:pt idx="406">
                  <c:v>16.764557615533452</c:v>
                </c:pt>
                <c:pt idx="407">
                  <c:v>16.76031675110541</c:v>
                </c:pt>
                <c:pt idx="408">
                  <c:v>16.75605595721262</c:v>
                </c:pt>
                <c:pt idx="409">
                  <c:v>16.751673460985057</c:v>
                </c:pt>
                <c:pt idx="410">
                  <c:v>16.747270203074358</c:v>
                </c:pt>
                <c:pt idx="411">
                  <c:v>16.74284624712428</c:v>
                </c:pt>
                <c:pt idx="412">
                  <c:v>16.73840165705969</c:v>
                </c:pt>
                <c:pt idx="413">
                  <c:v>16.733832740972719</c:v>
                </c:pt>
                <c:pt idx="414">
                  <c:v>16.7292423592578</c:v>
                </c:pt>
                <c:pt idx="415">
                  <c:v>16.724630581256967</c:v>
                </c:pt>
                <c:pt idx="416">
                  <c:v>16.719997476589665</c:v>
                </c:pt>
                <c:pt idx="417">
                  <c:v>16.715232610511176</c:v>
                </c:pt>
                <c:pt idx="418">
                  <c:v>16.710445543975041</c:v>
                </c:pt>
                <c:pt idx="419">
                  <c:v>16.705636352522053</c:v>
                </c:pt>
                <c:pt idx="420">
                  <c:v>16.700805111966222</c:v>
                </c:pt>
                <c:pt idx="421">
                  <c:v>16.695844235234862</c:v>
                </c:pt>
                <c:pt idx="422">
                  <c:v>16.690860483591528</c:v>
                </c:pt>
                <c:pt idx="423">
                  <c:v>16.685853938832913</c:v>
                </c:pt>
                <c:pt idx="424">
                  <c:v>16.680824683021804</c:v>
                </c:pt>
                <c:pt idx="425">
                  <c:v>16.675648205743457</c:v>
                </c:pt>
                <c:pt idx="426">
                  <c:v>16.670448061236868</c:v>
                </c:pt>
                <c:pt idx="427">
                  <c:v>16.665224338591798</c:v>
                </c:pt>
                <c:pt idx="428">
                  <c:v>16.659977127157855</c:v>
                </c:pt>
                <c:pt idx="429">
                  <c:v>16.654584728663824</c:v>
                </c:pt>
                <c:pt idx="430">
                  <c:v>16.649167935827734</c:v>
                </c:pt>
                <c:pt idx="431">
                  <c:v>16.64372684511476</c:v>
                </c:pt>
                <c:pt idx="432">
                  <c:v>16.638261553240095</c:v>
                </c:pt>
                <c:pt idx="433">
                  <c:v>16.632648175497515</c:v>
                </c:pt>
                <c:pt idx="434">
                  <c:v>16.627009698836087</c:v>
                </c:pt>
                <c:pt idx="435">
                  <c:v>16.621346227414783</c:v>
                </c:pt>
                <c:pt idx="436">
                  <c:v>16.615657865629895</c:v>
                </c:pt>
                <c:pt idx="437">
                  <c:v>16.609808013972184</c:v>
                </c:pt>
                <c:pt idx="438">
                  <c:v>16.603932291461696</c:v>
                </c:pt>
                <c:pt idx="439">
                  <c:v>16.598030810868913</c:v>
                </c:pt>
                <c:pt idx="440">
                  <c:v>16.592103685187418</c:v>
                </c:pt>
                <c:pt idx="441">
                  <c:v>16.586011917549776</c:v>
                </c:pt>
                <c:pt idx="442">
                  <c:v>16.579893534959776</c:v>
                </c:pt>
                <c:pt idx="443">
                  <c:v>16.573748659167599</c:v>
                </c:pt>
                <c:pt idx="444">
                  <c:v>16.567577412128529</c:v>
                </c:pt>
                <c:pt idx="445">
                  <c:v>16.56123838854624</c:v>
                </c:pt>
                <c:pt idx="446">
                  <c:v>16.554872036855116</c:v>
                </c:pt>
                <c:pt idx="447">
                  <c:v>16.548478488142468</c:v>
                </c:pt>
                <c:pt idx="448">
                  <c:v>16.542057873678548</c:v>
                </c:pt>
                <c:pt idx="449">
                  <c:v>16.53545529815343</c:v>
                </c:pt>
                <c:pt idx="450">
                  <c:v>16.528824621647974</c:v>
                </c:pt>
                <c:pt idx="451">
                  <c:v>16.522165985640225</c:v>
                </c:pt>
                <c:pt idx="452">
                  <c:v>16.515479531765457</c:v>
                </c:pt>
                <c:pt idx="453">
                  <c:v>16.508613383180112</c:v>
                </c:pt>
                <c:pt idx="454">
                  <c:v>16.501718445504537</c:v>
                </c:pt>
                <c:pt idx="455">
                  <c:v>16.494794870633612</c:v>
                </c:pt>
                <c:pt idx="456">
                  <c:v>16.487842810587871</c:v>
                </c:pt>
                <c:pt idx="457">
                  <c:v>16.480696418767366</c:v>
                </c:pt>
                <c:pt idx="458">
                  <c:v>16.473520496511689</c:v>
                </c:pt>
                <c:pt idx="459">
                  <c:v>16.466315207259129</c:v>
                </c:pt>
                <c:pt idx="460">
                  <c:v>16.459080714536999</c:v>
                </c:pt>
                <c:pt idx="461">
                  <c:v>16.451648459610045</c:v>
                </c:pt>
                <c:pt idx="462">
                  <c:v>16.444185978158544</c:v>
                </c:pt>
                <c:pt idx="463">
                  <c:v>16.436693445559513</c:v>
                </c:pt>
                <c:pt idx="464">
                  <c:v>16.429171037235669</c:v>
                </c:pt>
                <c:pt idx="465">
                  <c:v>16.421441571309636</c:v>
                </c:pt>
                <c:pt idx="466">
                  <c:v>16.413681184705773</c:v>
                </c:pt>
                <c:pt idx="467">
                  <c:v>16.405890065538955</c:v>
                </c:pt>
                <c:pt idx="468">
                  <c:v>16.398068401919307</c:v>
                </c:pt>
                <c:pt idx="469">
                  <c:v>16.390036210620586</c:v>
                </c:pt>
                <c:pt idx="470">
                  <c:v>16.381972457951267</c:v>
                </c:pt>
                <c:pt idx="471">
                  <c:v>16.373877345140791</c:v>
                </c:pt>
                <c:pt idx="472">
                  <c:v>16.365751073355348</c:v>
                </c:pt>
                <c:pt idx="473">
                  <c:v>16.357398667353376</c:v>
                </c:pt>
                <c:pt idx="474">
                  <c:v>16.349014022967065</c:v>
                </c:pt>
                <c:pt idx="475">
                  <c:v>16.340597355823196</c:v>
                </c:pt>
                <c:pt idx="476">
                  <c:v>16.332148881417538</c:v>
                </c:pt>
                <c:pt idx="477">
                  <c:v>16.323470654017211</c:v>
                </c:pt>
                <c:pt idx="478">
                  <c:v>16.314759574441041</c:v>
                </c:pt>
                <c:pt idx="479">
                  <c:v>16.306015873094207</c:v>
                </c:pt>
                <c:pt idx="480">
                  <c:v>16.297239780173264</c:v>
                </c:pt>
                <c:pt idx="481">
                  <c:v>16.288230394650888</c:v>
                </c:pt>
                <c:pt idx="482">
                  <c:v>16.279187610560456</c:v>
                </c:pt>
                <c:pt idx="483">
                  <c:v>16.270111673420203</c:v>
                </c:pt>
                <c:pt idx="484">
                  <c:v>16.261002828451787</c:v>
                </c:pt>
                <c:pt idx="485">
                  <c:v>16.251650862138323</c:v>
                </c:pt>
                <c:pt idx="486">
                  <c:v>16.242264976260671</c:v>
                </c:pt>
                <c:pt idx="487">
                  <c:v>16.232845432266792</c:v>
                </c:pt>
                <c:pt idx="488">
                  <c:v>16.223392491208116</c:v>
                </c:pt>
                <c:pt idx="489">
                  <c:v>16.213679998971099</c:v>
                </c:pt>
                <c:pt idx="490">
                  <c:v>16.203933051741622</c:v>
                </c:pt>
                <c:pt idx="491">
                  <c:v>16.194151928273499</c:v>
                </c:pt>
                <c:pt idx="492">
                  <c:v>16.184336906809531</c:v>
                </c:pt>
                <c:pt idx="493">
                  <c:v>16.174258676526794</c:v>
                </c:pt>
                <c:pt idx="494">
                  <c:v>16.164145539941728</c:v>
                </c:pt>
                <c:pt idx="495">
                  <c:v>16.153997793397846</c:v>
                </c:pt>
                <c:pt idx="496">
                  <c:v>16.143815732599649</c:v>
                </c:pt>
                <c:pt idx="497">
                  <c:v>16.13336027514698</c:v>
                </c:pt>
                <c:pt idx="498">
                  <c:v>16.122869503832927</c:v>
                </c:pt>
                <c:pt idx="499">
                  <c:v>16.11234373340038</c:v>
                </c:pt>
                <c:pt idx="500">
                  <c:v>16.101783277809353</c:v>
                </c:pt>
                <c:pt idx="501">
                  <c:v>16.090939145169926</c:v>
                </c:pt>
                <c:pt idx="502">
                  <c:v>16.080059341476726</c:v>
                </c:pt>
                <c:pt idx="503">
                  <c:v>16.069144200664841</c:v>
                </c:pt>
                <c:pt idx="504">
                  <c:v>16.058194055725345</c:v>
                </c:pt>
                <c:pt idx="505">
                  <c:v>16.046956701365154</c:v>
                </c:pt>
                <c:pt idx="506">
                  <c:v>16.035683419338692</c:v>
                </c:pt>
                <c:pt idx="507">
                  <c:v>16.024374562898636</c:v>
                </c:pt>
                <c:pt idx="508">
                  <c:v>16.013030484176593</c:v>
                </c:pt>
                <c:pt idx="509">
                  <c:v>16.001388906306641</c:v>
                </c:pt>
                <c:pt idx="510">
                  <c:v>15.989711206013768</c:v>
                </c:pt>
                <c:pt idx="511">
                  <c:v>15.97799775656144</c:v>
                </c:pt>
                <c:pt idx="512">
                  <c:v>15.966248929895867</c:v>
                </c:pt>
                <c:pt idx="513">
                  <c:v>15.954185271515602</c:v>
                </c:pt>
                <c:pt idx="514">
                  <c:v>15.942085322903308</c:v>
                </c:pt>
                <c:pt idx="515">
                  <c:v>15.929949478667691</c:v>
                </c:pt>
                <c:pt idx="516">
                  <c:v>15.91777813187996</c:v>
                </c:pt>
                <c:pt idx="517">
                  <c:v>15.905288540634871</c:v>
                </c:pt>
                <c:pt idx="518">
                  <c:v>15.892762610694655</c:v>
                </c:pt>
                <c:pt idx="519">
                  <c:v>15.880200757944259</c:v>
                </c:pt>
                <c:pt idx="520">
                  <c:v>15.867603396492282</c:v>
                </c:pt>
                <c:pt idx="521">
                  <c:v>15.854677412260953</c:v>
                </c:pt>
                <c:pt idx="522">
                  <c:v>15.841715123752465</c:v>
                </c:pt>
                <c:pt idx="523">
                  <c:v>15.828716968662253</c:v>
                </c:pt>
                <c:pt idx="524">
                  <c:v>15.815683382647725</c:v>
                </c:pt>
                <c:pt idx="525">
                  <c:v>15.802310802483943</c:v>
                </c:pt>
                <c:pt idx="526">
                  <c:v>15.7889020423865</c:v>
                </c:pt>
                <c:pt idx="527">
                  <c:v>15.775457562322115</c:v>
                </c:pt>
                <c:pt idx="528">
                  <c:v>15.761977819933911</c:v>
                </c:pt>
                <c:pt idx="529">
                  <c:v>15.748148738282257</c:v>
                </c:pt>
                <c:pt idx="530">
                  <c:v>15.734283697962887</c:v>
                </c:pt>
                <c:pt idx="531">
                  <c:v>15.720383181590201</c:v>
                </c:pt>
                <c:pt idx="532">
                  <c:v>15.706447669144634</c:v>
                </c:pt>
                <c:pt idx="533">
                  <c:v>15.692145129156001</c:v>
                </c:pt>
                <c:pt idx="534">
                  <c:v>15.677806919039345</c:v>
                </c:pt>
                <c:pt idx="535">
                  <c:v>15.663433545118872</c:v>
                </c:pt>
                <c:pt idx="536">
                  <c:v>15.649025510742751</c:v>
                </c:pt>
                <c:pt idx="537">
                  <c:v>15.63425503061649</c:v>
                </c:pt>
                <c:pt idx="538">
                  <c:v>15.619449353592248</c:v>
                </c:pt>
                <c:pt idx="539">
                  <c:v>15.604609008309861</c:v>
                </c:pt>
                <c:pt idx="540">
                  <c:v>15.589734520077236</c:v>
                </c:pt>
                <c:pt idx="541">
                  <c:v>15.574472484751938</c:v>
                </c:pt>
                <c:pt idx="542">
                  <c:v>15.559175771304323</c:v>
                </c:pt>
                <c:pt idx="543">
                  <c:v>15.543844932348589</c:v>
                </c:pt>
                <c:pt idx="544">
                  <c:v>15.528480516771193</c:v>
                </c:pt>
                <c:pt idx="545">
                  <c:v>15.512726014300446</c:v>
                </c:pt>
                <c:pt idx="546">
                  <c:v>15.496937512164477</c:v>
                </c:pt>
                <c:pt idx="547">
                  <c:v>15.481115586074768</c:v>
                </c:pt>
                <c:pt idx="548">
                  <c:v>15.465260807599428</c:v>
                </c:pt>
                <c:pt idx="549">
                  <c:v>15.449006035839014</c:v>
                </c:pt>
                <c:pt idx="550">
                  <c:v>15.432718072057314</c:v>
                </c:pt>
                <c:pt idx="551">
                  <c:v>15.416397514853319</c:v>
                </c:pt>
                <c:pt idx="552">
                  <c:v>15.400044958240729</c:v>
                </c:pt>
                <c:pt idx="553">
                  <c:v>15.383274931398589</c:v>
                </c:pt>
                <c:pt idx="554">
                  <c:v>15.36647262537106</c:v>
                </c:pt>
                <c:pt idx="555">
                  <c:v>15.349638662142839</c:v>
                </c:pt>
                <c:pt idx="556">
                  <c:v>15.332773658636302</c:v>
                </c:pt>
                <c:pt idx="557">
                  <c:v>15.298158149700221</c:v>
                </c:pt>
                <c:pt idx="558">
                  <c:v>15.263420325088743</c:v>
                </c:pt>
                <c:pt idx="559">
                  <c:v>15.227765017754562</c:v>
                </c:pt>
                <c:pt idx="560">
                  <c:v>15.191992405209543</c:v>
                </c:pt>
                <c:pt idx="561">
                  <c:v>15.155255032368252</c:v>
                </c:pt>
                <c:pt idx="562">
                  <c:v>15.11840576513876</c:v>
                </c:pt>
                <c:pt idx="563">
                  <c:v>15.080655862788701</c:v>
                </c:pt>
                <c:pt idx="564">
                  <c:v>15.042800546427767</c:v>
                </c:pt>
                <c:pt idx="565">
                  <c:v>15.00388727653695</c:v>
                </c:pt>
                <c:pt idx="566">
                  <c:v>14.964874912939909</c:v>
                </c:pt>
                <c:pt idx="567">
                  <c:v>14.924806449124652</c:v>
                </c:pt>
                <c:pt idx="568">
                  <c:v>14.884646017044236</c:v>
                </c:pt>
                <c:pt idx="569">
                  <c:v>14.8435937489485</c:v>
                </c:pt>
                <c:pt idx="570">
                  <c:v>14.802458052557308</c:v>
                </c:pt>
                <c:pt idx="571">
                  <c:v>14.760112523138318</c:v>
                </c:pt>
                <c:pt idx="572">
                  <c:v>14.717691548795564</c:v>
                </c:pt>
                <c:pt idx="573">
                  <c:v>14.674389777393717</c:v>
                </c:pt>
                <c:pt idx="574">
                  <c:v>14.631022414386033</c:v>
                </c:pt>
                <c:pt idx="575">
                  <c:v>14.586456380097319</c:v>
                </c:pt>
                <c:pt idx="576">
                  <c:v>14.541834306943509</c:v>
                </c:pt>
                <c:pt idx="577">
                  <c:v>14.352445168435635</c:v>
                </c:pt>
                <c:pt idx="578">
                  <c:v>14.162607823916096</c:v>
                </c:pt>
                <c:pt idx="579">
                  <c:v>13.746893565721162</c:v>
                </c:pt>
                <c:pt idx="580">
                  <c:v>13.294239166872632</c:v>
                </c:pt>
                <c:pt idx="581">
                  <c:v>12.806112181397644</c:v>
                </c:pt>
                <c:pt idx="582">
                  <c:v>12.283600727357129</c:v>
                </c:pt>
                <c:pt idx="583">
                  <c:v>11.728953974164892</c:v>
                </c:pt>
                <c:pt idx="584">
                  <c:v>11.143968500043824</c:v>
                </c:pt>
                <c:pt idx="585">
                  <c:v>10.531422396276277</c:v>
                </c:pt>
                <c:pt idx="586">
                  <c:v>9.8938106385591293</c:v>
                </c:pt>
                <c:pt idx="587">
                  <c:v>9.2333762170078266</c:v>
                </c:pt>
                <c:pt idx="588">
                  <c:v>8.5532887167767786</c:v>
                </c:pt>
                <c:pt idx="589">
                  <c:v>7.8554229407040719</c:v>
                </c:pt>
                <c:pt idx="590">
                  <c:v>7.1422866182233848</c:v>
                </c:pt>
                <c:pt idx="591">
                  <c:v>6.4158763896829623</c:v>
                </c:pt>
                <c:pt idx="592">
                  <c:v>5.6781451392669302</c:v>
                </c:pt>
                <c:pt idx="593">
                  <c:v>4.9305197390262947</c:v>
                </c:pt>
                <c:pt idx="594">
                  <c:v>4.1746429728864189</c:v>
                </c:pt>
                <c:pt idx="595">
                  <c:v>3.4116208714927243</c:v>
                </c:pt>
                <c:pt idx="596">
                  <c:v>2.6426950239260489</c:v>
                </c:pt>
                <c:pt idx="597">
                  <c:v>1.8686337313743342</c:v>
                </c:pt>
                <c:pt idx="598">
                  <c:v>1.0904251540737433</c:v>
                </c:pt>
                <c:pt idx="599">
                  <c:v>0.30854871138875534</c:v>
                </c:pt>
                <c:pt idx="600">
                  <c:v>-0.47630113840098554</c:v>
                </c:pt>
              </c:numCache>
            </c:numRef>
          </c:yVal>
          <c:smooth val="0"/>
          <c:extLst>
            <c:ext xmlns:c16="http://schemas.microsoft.com/office/drawing/2014/chart" uri="{C3380CC4-5D6E-409C-BE32-E72D297353CC}">
              <c16:uniqueId val="{00000000-C943-44AE-BE69-B37F145E1EAF}"/>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Calculations'!$AE$13:$AE$613</c:f>
              <c:numCache>
                <c:formatCode>0.00</c:formatCode>
                <c:ptCount val="601"/>
                <c:pt idx="0">
                  <c:v>-88.524007401194396</c:v>
                </c:pt>
                <c:pt idx="1">
                  <c:v>-88.636408624586394</c:v>
                </c:pt>
                <c:pt idx="2">
                  <c:v>-88.737232609762756</c:v>
                </c:pt>
                <c:pt idx="3">
                  <c:v>-88.827339230992592</c:v>
                </c:pt>
                <c:pt idx="4">
                  <c:v>-88.907446339460904</c:v>
                </c:pt>
                <c:pt idx="5">
                  <c:v>-88.978363439171886</c:v>
                </c:pt>
                <c:pt idx="6">
                  <c:v>-89.040583391168525</c:v>
                </c:pt>
                <c:pt idx="7">
                  <c:v>-89.094677271101318</c:v>
                </c:pt>
                <c:pt idx="8">
                  <c:v>-89.141066523392141</c:v>
                </c:pt>
                <c:pt idx="9">
                  <c:v>-89.180181278622797</c:v>
                </c:pt>
                <c:pt idx="10">
                  <c:v>-89.212329746513802</c:v>
                </c:pt>
                <c:pt idx="11">
                  <c:v>-89.237792455690339</c:v>
                </c:pt>
                <c:pt idx="12">
                  <c:v>-89.256795236271856</c:v>
                </c:pt>
                <c:pt idx="13">
                  <c:v>-89.269481373363433</c:v>
                </c:pt>
                <c:pt idx="14">
                  <c:v>-89.275970483026214</c:v>
                </c:pt>
                <c:pt idx="15">
                  <c:v>-89.276312986195506</c:v>
                </c:pt>
                <c:pt idx="16">
                  <c:v>-89.270512449492017</c:v>
                </c:pt>
                <c:pt idx="17">
                  <c:v>-89.258521652731943</c:v>
                </c:pt>
                <c:pt idx="18">
                  <c:v>-89.240235126075234</c:v>
                </c:pt>
                <c:pt idx="19">
                  <c:v>-89.215502180483497</c:v>
                </c:pt>
                <c:pt idx="20">
                  <c:v>-89.184108182705856</c:v>
                </c:pt>
                <c:pt idx="21">
                  <c:v>-89.145793417938251</c:v>
                </c:pt>
                <c:pt idx="22">
                  <c:v>-89.100224705956805</c:v>
                </c:pt>
                <c:pt idx="23">
                  <c:v>-89.047027300292612</c:v>
                </c:pt>
                <c:pt idx="24">
                  <c:v>-88.985736824525475</c:v>
                </c:pt>
                <c:pt idx="25">
                  <c:v>-88.915842272651275</c:v>
                </c:pt>
                <c:pt idx="26">
                  <c:v>-88.836732778057637</c:v>
                </c:pt>
                <c:pt idx="27">
                  <c:v>-88.74776227883828</c:v>
                </c:pt>
                <c:pt idx="28">
                  <c:v>-88.648176985026112</c:v>
                </c:pt>
                <c:pt idx="29">
                  <c:v>-88.537209657882926</c:v>
                </c:pt>
                <c:pt idx="30">
                  <c:v>-88.413728852060586</c:v>
                </c:pt>
                <c:pt idx="31">
                  <c:v>-88.27685371971215</c:v>
                </c:pt>
                <c:pt idx="32">
                  <c:v>-88.125338767231639</c:v>
                </c:pt>
                <c:pt idx="33">
                  <c:v>-87.958019669593412</c:v>
                </c:pt>
                <c:pt idx="34">
                  <c:v>-87.773362101927006</c:v>
                </c:pt>
                <c:pt idx="35">
                  <c:v>-87.569917578738881</c:v>
                </c:pt>
                <c:pt idx="36">
                  <c:v>-87.345960131609388</c:v>
                </c:pt>
                <c:pt idx="37">
                  <c:v>-87.099485718140258</c:v>
                </c:pt>
                <c:pt idx="38">
                  <c:v>-86.828679124600953</c:v>
                </c:pt>
                <c:pt idx="39">
                  <c:v>-86.531082269848525</c:v>
                </c:pt>
                <c:pt idx="40">
                  <c:v>-86.204341368719113</c:v>
                </c:pt>
                <c:pt idx="41">
                  <c:v>-85.845747892022956</c:v>
                </c:pt>
                <c:pt idx="42">
                  <c:v>-85.452432278035346</c:v>
                </c:pt>
                <c:pt idx="43">
                  <c:v>-85.021093622005026</c:v>
                </c:pt>
                <c:pt idx="44">
                  <c:v>-84.548386134472935</c:v>
                </c:pt>
                <c:pt idx="45">
                  <c:v>-84.03046898966808</c:v>
                </c:pt>
                <c:pt idx="46">
                  <c:v>-83.463401536537489</c:v>
                </c:pt>
                <c:pt idx="47">
                  <c:v>-82.842705528538602</c:v>
                </c:pt>
                <c:pt idx="48">
                  <c:v>-82.163867464172952</c:v>
                </c:pt>
                <c:pt idx="49">
                  <c:v>-81.42173582359159</c:v>
                </c:pt>
                <c:pt idx="50">
                  <c:v>-80.611139357263184</c:v>
                </c:pt>
                <c:pt idx="51">
                  <c:v>-79.726319440658827</c:v>
                </c:pt>
                <c:pt idx="52">
                  <c:v>-78.761765464232525</c:v>
                </c:pt>
                <c:pt idx="53">
                  <c:v>-77.711513766981398</c:v>
                </c:pt>
                <c:pt idx="54">
                  <c:v>-76.570297987539973</c:v>
                </c:pt>
                <c:pt idx="55">
                  <c:v>-75.330167246536391</c:v>
                </c:pt>
                <c:pt idx="56">
                  <c:v>-73.986994805610976</c:v>
                </c:pt>
                <c:pt idx="57">
                  <c:v>-72.534525012999751</c:v>
                </c:pt>
                <c:pt idx="58">
                  <c:v>-70.96912288944182</c:v>
                </c:pt>
                <c:pt idx="59">
                  <c:v>-69.285867485924101</c:v>
                </c:pt>
                <c:pt idx="60">
                  <c:v>-67.4832712567447</c:v>
                </c:pt>
                <c:pt idx="61">
                  <c:v>-65.56039286501067</c:v>
                </c:pt>
                <c:pt idx="62">
                  <c:v>-63.517501896069071</c:v>
                </c:pt>
                <c:pt idx="63">
                  <c:v>-61.360401513615393</c:v>
                </c:pt>
                <c:pt idx="64">
                  <c:v>-59.094048615019112</c:v>
                </c:pt>
                <c:pt idx="65">
                  <c:v>-56.728964461563486</c:v>
                </c:pt>
                <c:pt idx="66">
                  <c:v>-54.277778195558831</c:v>
                </c:pt>
                <c:pt idx="67">
                  <c:v>-51.756669197250567</c:v>
                </c:pt>
                <c:pt idx="68">
                  <c:v>-49.183394600917012</c:v>
                </c:pt>
                <c:pt idx="69">
                  <c:v>-46.579248966368631</c:v>
                </c:pt>
                <c:pt idx="70">
                  <c:v>-43.965691356001123</c:v>
                </c:pt>
                <c:pt idx="71">
                  <c:v>-41.365716379578416</c:v>
                </c:pt>
                <c:pt idx="72">
                  <c:v>-38.800793094424563</c:v>
                </c:pt>
                <c:pt idx="73">
                  <c:v>-36.292253916819703</c:v>
                </c:pt>
                <c:pt idx="74">
                  <c:v>-33.858089880242261</c:v>
                </c:pt>
                <c:pt idx="75">
                  <c:v>-31.514688971464238</c:v>
                </c:pt>
                <c:pt idx="76">
                  <c:v>-29.274570201674035</c:v>
                </c:pt>
                <c:pt idx="77">
                  <c:v>-27.148422595455216</c:v>
                </c:pt>
                <c:pt idx="78">
                  <c:v>-25.143094498909214</c:v>
                </c:pt>
                <c:pt idx="79">
                  <c:v>-23.263885162573263</c:v>
                </c:pt>
                <c:pt idx="80">
                  <c:v>-21.509440078802729</c:v>
                </c:pt>
                <c:pt idx="81">
                  <c:v>-19.882046603891581</c:v>
                </c:pt>
                <c:pt idx="82">
                  <c:v>-18.378656851428307</c:v>
                </c:pt>
                <c:pt idx="83">
                  <c:v>-16.997137509293015</c:v>
                </c:pt>
                <c:pt idx="84">
                  <c:v>-15.73232460044116</c:v>
                </c:pt>
                <c:pt idx="85">
                  <c:v>-14.580272703740201</c:v>
                </c:pt>
                <c:pt idx="86">
                  <c:v>-13.535740910202604</c:v>
                </c:pt>
                <c:pt idx="87">
                  <c:v>-12.593085029869536</c:v>
                </c:pt>
                <c:pt idx="88">
                  <c:v>-11.748097889054769</c:v>
                </c:pt>
                <c:pt idx="89">
                  <c:v>-10.995141743418378</c:v>
                </c:pt>
                <c:pt idx="90">
                  <c:v>-10.329874061926704</c:v>
                </c:pt>
                <c:pt idx="91">
                  <c:v>-9.747911381061714</c:v>
                </c:pt>
                <c:pt idx="92">
                  <c:v>-9.245396043186437</c:v>
                </c:pt>
                <c:pt idx="93">
                  <c:v>-8.8186907403619568</c:v>
                </c:pt>
                <c:pt idx="94">
                  <c:v>-8.7235449949892061</c:v>
                </c:pt>
                <c:pt idx="95">
                  <c:v>-8.6773834293905594</c:v>
                </c:pt>
                <c:pt idx="96">
                  <c:v>-8.6328657556529613</c:v>
                </c:pt>
                <c:pt idx="97">
                  <c:v>-8.5889605813430201</c:v>
                </c:pt>
                <c:pt idx="98">
                  <c:v>-8.5466631904487684</c:v>
                </c:pt>
                <c:pt idx="99">
                  <c:v>-8.504983380095366</c:v>
                </c:pt>
                <c:pt idx="100">
                  <c:v>-8.4648767374850298</c:v>
                </c:pt>
                <c:pt idx="101">
                  <c:v>-8.4254246243994544</c:v>
                </c:pt>
                <c:pt idx="102">
                  <c:v>-8.3875101259089586</c:v>
                </c:pt>
                <c:pt idx="103">
                  <c:v>-8.3502298407731761</c:v>
                </c:pt>
                <c:pt idx="104">
                  <c:v>-8.3144552135814749</c:v>
                </c:pt>
                <c:pt idx="105">
                  <c:v>-8.2793525353785</c:v>
                </c:pt>
                <c:pt idx="106">
                  <c:v>-8.2457225152247311</c:v>
                </c:pt>
                <c:pt idx="107">
                  <c:v>-8.2127981455634558</c:v>
                </c:pt>
                <c:pt idx="108">
                  <c:v>-8.1813126137967309</c:v>
                </c:pt>
                <c:pt idx="109">
                  <c:v>-8.1505422523610811</c:v>
                </c:pt>
                <c:pt idx="110">
                  <c:v>-8.1211781739084188</c:v>
                </c:pt>
                <c:pt idx="111">
                  <c:v>-8.0925223636096142</c:v>
                </c:pt>
                <c:pt idx="112">
                  <c:v>-8.0652432144462001</c:v>
                </c:pt>
                <c:pt idx="113">
                  <c:v>-8.0387063057363513</c:v>
                </c:pt>
                <c:pt idx="114">
                  <c:v>-8.0135155153898925</c:v>
                </c:pt>
                <c:pt idx="115">
                  <c:v>-7.9890821831951646</c:v>
                </c:pt>
                <c:pt idx="116">
                  <c:v>-7.9659653505399861</c:v>
                </c:pt>
                <c:pt idx="117">
                  <c:v>-7.9436226986184684</c:v>
                </c:pt>
                <c:pt idx="118">
                  <c:v>-7.922567760095971</c:v>
                </c:pt>
                <c:pt idx="119">
                  <c:v>-7.9023169392502579</c:v>
                </c:pt>
                <c:pt idx="120">
                  <c:v>-7.8833242975258404</c:v>
                </c:pt>
                <c:pt idx="121">
                  <c:v>-7.8651519998114825</c:v>
                </c:pt>
                <c:pt idx="122">
                  <c:v>-7.8482092124610334</c:v>
                </c:pt>
                <c:pt idx="123">
                  <c:v>-7.8320952287599965</c:v>
                </c:pt>
                <c:pt idx="124">
                  <c:v>-7.8171842438583372</c:v>
                </c:pt>
                <c:pt idx="125">
                  <c:v>-7.8031308837911668</c:v>
                </c:pt>
                <c:pt idx="126">
                  <c:v>-7.7902532547753003</c:v>
                </c:pt>
                <c:pt idx="127">
                  <c:v>-7.7782525922104515</c:v>
                </c:pt>
                <c:pt idx="128">
                  <c:v>-7.7674010594752509</c:v>
                </c:pt>
                <c:pt idx="129">
                  <c:v>-7.7574466322770803</c:v>
                </c:pt>
                <c:pt idx="130">
                  <c:v>-7.7486153469610235</c:v>
                </c:pt>
                <c:pt idx="131">
                  <c:v>-7.7407019889791986</c:v>
                </c:pt>
                <c:pt idx="132">
                  <c:v>-7.7371593042574913</c:v>
                </c:pt>
                <c:pt idx="133">
                  <c:v>-7.7338863515081275</c:v>
                </c:pt>
                <c:pt idx="134">
                  <c:v>-7.7308102534839245</c:v>
                </c:pt>
                <c:pt idx="135">
                  <c:v>-7.7280072884926598</c:v>
                </c:pt>
                <c:pt idx="136">
                  <c:v>-7.7254727755887256</c:v>
                </c:pt>
                <c:pt idx="137">
                  <c:v>-7.7232021393898727</c:v>
                </c:pt>
                <c:pt idx="138">
                  <c:v>-7.7211482216361436</c:v>
                </c:pt>
                <c:pt idx="139">
                  <c:v>-7.7193609443238742</c:v>
                </c:pt>
                <c:pt idx="140">
                  <c:v>-7.7178357369625363</c:v>
                </c:pt>
                <c:pt idx="141">
                  <c:v>-7.7165681321034301</c:v>
                </c:pt>
                <c:pt idx="142">
                  <c:v>-7.7155327468629338</c:v>
                </c:pt>
                <c:pt idx="143">
                  <c:v>-7.7147581700376247</c:v>
                </c:pt>
                <c:pt idx="144">
                  <c:v>-7.7142399257822394</c:v>
                </c:pt>
                <c:pt idx="145">
                  <c:v>-7.713973639225463</c:v>
                </c:pt>
                <c:pt idx="146">
                  <c:v>-7.7139575041637887</c:v>
                </c:pt>
                <c:pt idx="147">
                  <c:v>-7.7141961804618395</c:v>
                </c:pt>
                <c:pt idx="148">
                  <c:v>-7.7146852921896736</c:v>
                </c:pt>
                <c:pt idx="149">
                  <c:v>-7.7154205621464973</c:v>
                </c:pt>
                <c:pt idx="150">
                  <c:v>-7.7164232337126348</c:v>
                </c:pt>
                <c:pt idx="151">
                  <c:v>-7.7176748246968208</c:v>
                </c:pt>
                <c:pt idx="152">
                  <c:v>-7.7191710574167391</c:v>
                </c:pt>
                <c:pt idx="153">
                  <c:v>-7.7209077507050985</c:v>
                </c:pt>
                <c:pt idx="154">
                  <c:v>-7.7229300791668463</c:v>
                </c:pt>
                <c:pt idx="155">
                  <c:v>-7.7251957569246583</c:v>
                </c:pt>
                <c:pt idx="156">
                  <c:v>-7.7277005972625377</c:v>
                </c:pt>
                <c:pt idx="157">
                  <c:v>-7.7304405079651275</c:v>
                </c:pt>
                <c:pt idx="158">
                  <c:v>-7.733483927167744</c:v>
                </c:pt>
                <c:pt idx="159">
                  <c:v>-7.7367651935221309</c:v>
                </c:pt>
                <c:pt idx="160">
                  <c:v>-7.7402802104585104</c:v>
                </c:pt>
                <c:pt idx="161">
                  <c:v>-7.7440249738998999</c:v>
                </c:pt>
                <c:pt idx="162">
                  <c:v>-7.7480891981714093</c:v>
                </c:pt>
                <c:pt idx="163">
                  <c:v>-7.7523856315530271</c:v>
                </c:pt>
                <c:pt idx="164">
                  <c:v>-7.7569102720259222</c:v>
                </c:pt>
                <c:pt idx="165">
                  <c:v>-7.7616592079062388</c:v>
                </c:pt>
                <c:pt idx="166">
                  <c:v>-7.7667491653412331</c:v>
                </c:pt>
                <c:pt idx="167">
                  <c:v>-7.7720661705572027</c:v>
                </c:pt>
                <c:pt idx="168">
                  <c:v>-7.7776063046824584</c:v>
                </c:pt>
                <c:pt idx="169">
                  <c:v>-7.7833657373468377</c:v>
                </c:pt>
                <c:pt idx="170">
                  <c:v>-7.7894712780578859</c:v>
                </c:pt>
                <c:pt idx="171">
                  <c:v>-7.7957978232029266</c:v>
                </c:pt>
                <c:pt idx="172">
                  <c:v>-7.8023415606417075</c:v>
                </c:pt>
                <c:pt idx="173">
                  <c:v>-7.8090987641776399</c:v>
                </c:pt>
                <c:pt idx="174">
                  <c:v>-7.8162441107518754</c:v>
                </c:pt>
                <c:pt idx="175">
                  <c:v>-7.8236061572134341</c:v>
                </c:pt>
                <c:pt idx="176">
                  <c:v>-7.8311811541219054</c:v>
                </c:pt>
                <c:pt idx="177">
                  <c:v>-7.8389654367256947</c:v>
                </c:pt>
                <c:pt idx="178">
                  <c:v>-7.8471544590334643</c:v>
                </c:pt>
                <c:pt idx="179">
                  <c:v>-7.8555556596844749</c:v>
                </c:pt>
                <c:pt idx="180">
                  <c:v>-7.8641653581444988</c:v>
                </c:pt>
                <c:pt idx="181">
                  <c:v>-7.8729799571123067</c:v>
                </c:pt>
                <c:pt idx="182">
                  <c:v>-7.882178290213667</c:v>
                </c:pt>
                <c:pt idx="183">
                  <c:v>-7.8915824962043697</c:v>
                </c:pt>
                <c:pt idx="184">
                  <c:v>-7.9011890103735682</c:v>
                </c:pt>
                <c:pt idx="185">
                  <c:v>-7.9109943483630492</c:v>
                </c:pt>
                <c:pt idx="186">
                  <c:v>-7.9212723583732023</c:v>
                </c:pt>
                <c:pt idx="187">
                  <c:v>-7.93175305126847</c:v>
                </c:pt>
                <c:pt idx="188">
                  <c:v>-7.9424328981269952</c:v>
                </c:pt>
                <c:pt idx="189">
                  <c:v>-7.953308449884414</c:v>
                </c:pt>
                <c:pt idx="190">
                  <c:v>-7.9645894028410629</c:v>
                </c:pt>
                <c:pt idx="191">
                  <c:v>-7.9760666128891797</c:v>
                </c:pt>
                <c:pt idx="192">
                  <c:v>-7.9877366714534723</c:v>
                </c:pt>
                <c:pt idx="193">
                  <c:v>-7.9995962467682578</c:v>
                </c:pt>
                <c:pt idx="194">
                  <c:v>-8.0119603666528683</c:v>
                </c:pt>
                <c:pt idx="195">
                  <c:v>-8.0245172003170282</c:v>
                </c:pt>
                <c:pt idx="196">
                  <c:v>-8.0372633853058648</c:v>
                </c:pt>
                <c:pt idx="197">
                  <c:v>-8.0501956351365358</c:v>
                </c:pt>
                <c:pt idx="198">
                  <c:v>-8.0635999512289622</c:v>
                </c:pt>
                <c:pt idx="199">
                  <c:v>-8.0771918646316081</c:v>
                </c:pt>
                <c:pt idx="200">
                  <c:v>-8.0909681004130967</c:v>
                </c:pt>
                <c:pt idx="201">
                  <c:v>-8.1049254575203609</c:v>
                </c:pt>
                <c:pt idx="202">
                  <c:v>-8.1193656322775514</c:v>
                </c:pt>
                <c:pt idx="203">
                  <c:v>-8.1339882497163654</c:v>
                </c:pt>
                <c:pt idx="204">
                  <c:v>-8.1487901240289702</c:v>
                </c:pt>
                <c:pt idx="205">
                  <c:v>-8.1637681411292924</c:v>
                </c:pt>
                <c:pt idx="206">
                  <c:v>-8.1792922329992965</c:v>
                </c:pt>
                <c:pt idx="207">
                  <c:v>-8.1949948009023412</c:v>
                </c:pt>
                <c:pt idx="208">
                  <c:v>-8.2108727176422871</c:v>
                </c:pt>
                <c:pt idx="209">
                  <c:v>-8.2269229264865</c:v>
                </c:pt>
                <c:pt idx="210">
                  <c:v>-8.2435876393540024</c:v>
                </c:pt>
                <c:pt idx="211">
                  <c:v>-8.2604278612308253</c:v>
                </c:pt>
                <c:pt idx="212">
                  <c:v>-8.2774404974927638</c:v>
                </c:pt>
                <c:pt idx="213">
                  <c:v>-8.2946225234886892</c:v>
                </c:pt>
                <c:pt idx="214">
                  <c:v>-8.3123184709973508</c:v>
                </c:pt>
                <c:pt idx="215">
                  <c:v>-8.3301844869362345</c:v>
                </c:pt>
                <c:pt idx="216">
                  <c:v>-8.348217574566549</c:v>
                </c:pt>
                <c:pt idx="217">
                  <c:v>-8.3664148046595148</c:v>
                </c:pt>
                <c:pt idx="218">
                  <c:v>-8.3851937699930232</c:v>
                </c:pt>
                <c:pt idx="219">
                  <c:v>-8.4041384579956784</c:v>
                </c:pt>
                <c:pt idx="220">
                  <c:v>-8.4232459414558107</c:v>
                </c:pt>
                <c:pt idx="221">
                  <c:v>-8.4425133590442893</c:v>
                </c:pt>
                <c:pt idx="222">
                  <c:v>-8.4623727143752703</c:v>
                </c:pt>
                <c:pt idx="223">
                  <c:v>-8.4823933695978582</c:v>
                </c:pt>
                <c:pt idx="224">
                  <c:v>-8.5025724693777232</c:v>
                </c:pt>
                <c:pt idx="225">
                  <c:v>-8.5229072225512272</c:v>
                </c:pt>
                <c:pt idx="226">
                  <c:v>-8.543907426618464</c:v>
                </c:pt>
                <c:pt idx="227">
                  <c:v>-8.5650654010511573</c:v>
                </c:pt>
                <c:pt idx="228">
                  <c:v>-8.586378338945984</c:v>
                </c:pt>
                <c:pt idx="229">
                  <c:v>-8.6078434965449766</c:v>
                </c:pt>
                <c:pt idx="230">
                  <c:v>-8.6522818175168013</c:v>
                </c:pt>
                <c:pt idx="231">
                  <c:v>-8.6747293442593598</c:v>
                </c:pt>
                <c:pt idx="232">
                  <c:v>-8.6973255048672229</c:v>
                </c:pt>
                <c:pt idx="233">
                  <c:v>-8.7206092935187627</c:v>
                </c:pt>
                <c:pt idx="234">
                  <c:v>-8.7440433379981588</c:v>
                </c:pt>
                <c:pt idx="235">
                  <c:v>-8.7676249403755193</c:v>
                </c:pt>
                <c:pt idx="236">
                  <c:v>-8.7913514634140082</c:v>
                </c:pt>
                <c:pt idx="237">
                  <c:v>-8.8157060803616893</c:v>
                </c:pt>
                <c:pt idx="238">
                  <c:v>-8.8402061978148918</c:v>
                </c:pt>
                <c:pt idx="239">
                  <c:v>-8.8648491992108802</c:v>
                </c:pt>
                <c:pt idx="240">
                  <c:v>-8.8896325266308853</c:v>
                </c:pt>
                <c:pt idx="241">
                  <c:v>-8.9151926529611263</c:v>
                </c:pt>
                <c:pt idx="242">
                  <c:v>-8.940895105411613</c:v>
                </c:pt>
                <c:pt idx="243">
                  <c:v>-8.9667373063142843</c:v>
                </c:pt>
                <c:pt idx="244">
                  <c:v>-8.9927167358488873</c:v>
                </c:pt>
                <c:pt idx="245">
                  <c:v>-9.0194111461653765</c:v>
                </c:pt>
                <c:pt idx="246">
                  <c:v>-9.0462437888048637</c:v>
                </c:pt>
                <c:pt idx="247">
                  <c:v>-9.0732121496481266</c:v>
                </c:pt>
                <c:pt idx="248">
                  <c:v>-9.1003137708797919</c:v>
                </c:pt>
                <c:pt idx="249">
                  <c:v>-9.1282120710209167</c:v>
                </c:pt>
                <c:pt idx="250">
                  <c:v>-9.1562451643997544</c:v>
                </c:pt>
                <c:pt idx="251">
                  <c:v>-9.1844105825017373</c:v>
                </c:pt>
                <c:pt idx="252">
                  <c:v>-9.2127059120930692</c:v>
                </c:pt>
                <c:pt idx="253">
                  <c:v>-9.2417316975618586</c:v>
                </c:pt>
                <c:pt idx="254">
                  <c:v>-9.2708880350157354</c:v>
                </c:pt>
                <c:pt idx="255">
                  <c:v>-9.3001725232713692</c:v>
                </c:pt>
                <c:pt idx="256">
                  <c:v>-9.3295828147443594</c:v>
                </c:pt>
                <c:pt idx="257">
                  <c:v>-9.3598833593049449</c:v>
                </c:pt>
                <c:pt idx="258">
                  <c:v>-9.3903114708735078</c:v>
                </c:pt>
                <c:pt idx="259">
                  <c:v>-9.4208647807302555</c:v>
                </c:pt>
                <c:pt idx="260">
                  <c:v>-9.4515409730942643</c:v>
                </c:pt>
                <c:pt idx="261">
                  <c:v>-9.4830390955082091</c:v>
                </c:pt>
                <c:pt idx="262">
                  <c:v>-9.5146610130609055</c:v>
                </c:pt>
                <c:pt idx="263">
                  <c:v>-9.5464044107164678</c:v>
                </c:pt>
                <c:pt idx="264">
                  <c:v>-9.5782670250750979</c:v>
                </c:pt>
                <c:pt idx="265">
                  <c:v>-9.610958613358271</c:v>
                </c:pt>
                <c:pt idx="266">
                  <c:v>-9.643770151837165</c:v>
                </c:pt>
                <c:pt idx="267">
                  <c:v>-9.6766993808364496</c:v>
                </c:pt>
                <c:pt idx="268">
                  <c:v>-9.709744090951844</c:v>
                </c:pt>
                <c:pt idx="269">
                  <c:v>-9.7437044241834165</c:v>
                </c:pt>
                <c:pt idx="270">
                  <c:v>-9.7777813494101729</c:v>
                </c:pt>
                <c:pt idx="271">
                  <c:v>-9.8119726480716789</c:v>
                </c:pt>
                <c:pt idx="272">
                  <c:v>-9.8462761509216143</c:v>
                </c:pt>
                <c:pt idx="273">
                  <c:v>-9.8815026895903291</c:v>
                </c:pt>
                <c:pt idx="274">
                  <c:v>-9.916842340683564</c:v>
                </c:pt>
                <c:pt idx="275">
                  <c:v>-9.9522929294187481</c:v>
                </c:pt>
                <c:pt idx="276">
                  <c:v>-9.9878523292791321</c:v>
                </c:pt>
                <c:pt idx="277">
                  <c:v>-10.024259195922202</c:v>
                </c:pt>
                <c:pt idx="278">
                  <c:v>-10.060775104078427</c:v>
                </c:pt>
                <c:pt idx="279">
                  <c:v>-10.097397939113801</c:v>
                </c:pt>
                <c:pt idx="280">
                  <c:v>-10.134125633117046</c:v>
                </c:pt>
                <c:pt idx="281">
                  <c:v>-10.171955242178049</c:v>
                </c:pt>
                <c:pt idx="282">
                  <c:v>-10.209891191752206</c:v>
                </c:pt>
                <c:pt idx="283">
                  <c:v>-10.247931386658522</c:v>
                </c:pt>
                <c:pt idx="284">
                  <c:v>-10.286073778078956</c:v>
                </c:pt>
                <c:pt idx="285">
                  <c:v>-10.325073806107467</c:v>
                </c:pt>
                <c:pt idx="286">
                  <c:v>-10.364175951760265</c:v>
                </c:pt>
                <c:pt idx="287">
                  <c:v>-10.403378182901411</c:v>
                </c:pt>
                <c:pt idx="288">
                  <c:v>-10.442678512106303</c:v>
                </c:pt>
                <c:pt idx="289">
                  <c:v>-10.483095128374218</c:v>
                </c:pt>
                <c:pt idx="290">
                  <c:v>-10.523610884174081</c:v>
                </c:pt>
                <c:pt idx="291">
                  <c:v>-10.564223772398678</c:v>
                </c:pt>
                <c:pt idx="292">
                  <c:v>-10.604931830100723</c:v>
                </c:pt>
                <c:pt idx="293">
                  <c:v>-10.646677111905953</c:v>
                </c:pt>
                <c:pt idx="294">
                  <c:v>-10.688517991905153</c:v>
                </c:pt>
                <c:pt idx="295">
                  <c:v>-10.730452503432238</c:v>
                </c:pt>
                <c:pt idx="296">
                  <c:v>-10.772478722966349</c:v>
                </c:pt>
                <c:pt idx="297">
                  <c:v>-10.815547078347034</c:v>
                </c:pt>
                <c:pt idx="298">
                  <c:v>-10.858707396067366</c:v>
                </c:pt>
                <c:pt idx="299">
                  <c:v>-10.901957751490567</c:v>
                </c:pt>
                <c:pt idx="300">
                  <c:v>-10.945296262051597</c:v>
                </c:pt>
                <c:pt idx="301">
                  <c:v>-10.989681229468051</c:v>
                </c:pt>
                <c:pt idx="302">
                  <c:v>-11.034154442117819</c:v>
                </c:pt>
                <c:pt idx="303">
                  <c:v>-11.078714018604384</c:v>
                </c:pt>
                <c:pt idx="304">
                  <c:v>-11.123358118482908</c:v>
                </c:pt>
                <c:pt idx="305">
                  <c:v>-11.169228344161507</c:v>
                </c:pt>
                <c:pt idx="306">
                  <c:v>-11.215183672333444</c:v>
                </c:pt>
                <c:pt idx="307">
                  <c:v>-11.261222244663031</c:v>
                </c:pt>
                <c:pt idx="308">
                  <c:v>-11.307342243217471</c:v>
                </c:pt>
                <c:pt idx="309">
                  <c:v>-11.354516289292391</c:v>
                </c:pt>
                <c:pt idx="310">
                  <c:v>-11.401771522780116</c:v>
                </c:pt>
                <c:pt idx="311">
                  <c:v>-11.449106131543175</c:v>
                </c:pt>
                <c:pt idx="312">
                  <c:v>-11.496518342618025</c:v>
                </c:pt>
                <c:pt idx="313">
                  <c:v>-11.545165600324205</c:v>
                </c:pt>
                <c:pt idx="314">
                  <c:v>-11.59389064690288</c:v>
                </c:pt>
                <c:pt idx="315">
                  <c:v>-11.64269169726292</c:v>
                </c:pt>
                <c:pt idx="316">
                  <c:v>-11.691567004797253</c:v>
                </c:pt>
                <c:pt idx="317">
                  <c:v>-11.741681155837956</c:v>
                </c:pt>
                <c:pt idx="318">
                  <c:v>-11.791869556049059</c:v>
                </c:pt>
                <c:pt idx="319">
                  <c:v>-11.842130449500097</c:v>
                </c:pt>
                <c:pt idx="320">
                  <c:v>-11.892462117981564</c:v>
                </c:pt>
                <c:pt idx="321">
                  <c:v>-11.94403579951082</c:v>
                </c:pt>
                <c:pt idx="322">
                  <c:v>-11.995680062692701</c:v>
                </c:pt>
                <c:pt idx="323">
                  <c:v>-12.047393182497249</c:v>
                </c:pt>
                <c:pt idx="324">
                  <c:v>-12.099173470790584</c:v>
                </c:pt>
                <c:pt idx="325">
                  <c:v>-12.152198337723407</c:v>
                </c:pt>
                <c:pt idx="326">
                  <c:v>-12.205290003064823</c:v>
                </c:pt>
                <c:pt idx="327">
                  <c:v>-12.258446774078871</c:v>
                </c:pt>
                <c:pt idx="328">
                  <c:v>-12.311666994050009</c:v>
                </c:pt>
                <c:pt idx="329">
                  <c:v>-12.366224911519522</c:v>
                </c:pt>
                <c:pt idx="330">
                  <c:v>-12.420845947076899</c:v>
                </c:pt>
                <c:pt idx="331">
                  <c:v>-12.47552843310703</c:v>
                </c:pt>
                <c:pt idx="332">
                  <c:v>-12.530270737331238</c:v>
                </c:pt>
                <c:pt idx="333">
                  <c:v>-12.586261222462609</c:v>
                </c:pt>
                <c:pt idx="334">
                  <c:v>-12.642310814246738</c:v>
                </c:pt>
                <c:pt idx="335">
                  <c:v>-12.698417879795668</c:v>
                </c:pt>
                <c:pt idx="336">
                  <c:v>-12.754580820593137</c:v>
                </c:pt>
                <c:pt idx="337">
                  <c:v>-12.812176614161521</c:v>
                </c:pt>
                <c:pt idx="338">
                  <c:v>-12.869827765230854</c:v>
                </c:pt>
                <c:pt idx="339">
                  <c:v>-12.927532660910762</c:v>
                </c:pt>
                <c:pt idx="340">
                  <c:v>-12.985289722120182</c:v>
                </c:pt>
                <c:pt idx="341">
                  <c:v>-13.044480968914097</c:v>
                </c:pt>
                <c:pt idx="342">
                  <c:v>-13.10372366095117</c:v>
                </c:pt>
                <c:pt idx="343">
                  <c:v>-13.16301620721406</c:v>
                </c:pt>
                <c:pt idx="344">
                  <c:v>-13.222357049868695</c:v>
                </c:pt>
                <c:pt idx="345">
                  <c:v>-13.283040230140058</c:v>
                </c:pt>
                <c:pt idx="346">
                  <c:v>-13.343770649690642</c:v>
                </c:pt>
                <c:pt idx="347">
                  <c:v>-13.404546748007471</c:v>
                </c:pt>
                <c:pt idx="348">
                  <c:v>-13.46536699688701</c:v>
                </c:pt>
                <c:pt idx="349">
                  <c:v>-13.527714881013111</c:v>
                </c:pt>
                <c:pt idx="350">
                  <c:v>-13.590105949315262</c:v>
                </c:pt>
                <c:pt idx="351">
                  <c:v>-13.652538658715962</c:v>
                </c:pt>
                <c:pt idx="352">
                  <c:v>-13.715011497924667</c:v>
                </c:pt>
                <c:pt idx="353">
                  <c:v>-13.779011814418128</c:v>
                </c:pt>
                <c:pt idx="354">
                  <c:v>-13.843051086788259</c:v>
                </c:pt>
                <c:pt idx="355">
                  <c:v>-13.907127791102013</c:v>
                </c:pt>
                <c:pt idx="356">
                  <c:v>-13.971240434634826</c:v>
                </c:pt>
                <c:pt idx="357">
                  <c:v>-14.036786484634577</c:v>
                </c:pt>
                <c:pt idx="358">
                  <c:v>-14.102367003020172</c:v>
                </c:pt>
                <c:pt idx="359">
                  <c:v>-14.167980492762037</c:v>
                </c:pt>
                <c:pt idx="360">
                  <c:v>-14.233625487243078</c:v>
                </c:pt>
                <c:pt idx="361">
                  <c:v>-14.300889069337844</c:v>
                </c:pt>
                <c:pt idx="362">
                  <c:v>-14.368182678472403</c:v>
                </c:pt>
                <c:pt idx="363">
                  <c:v>-14.435504832858371</c:v>
                </c:pt>
                <c:pt idx="364">
                  <c:v>-14.502854080633311</c:v>
                </c:pt>
                <c:pt idx="365">
                  <c:v>-14.571726500288735</c:v>
                </c:pt>
                <c:pt idx="366">
                  <c:v>-14.640624255119283</c:v>
                </c:pt>
                <c:pt idx="367">
                  <c:v>-14.709545886023658</c:v>
                </c:pt>
                <c:pt idx="368">
                  <c:v>-14.778489963135097</c:v>
                </c:pt>
                <c:pt idx="369">
                  <c:v>-14.849141983991903</c:v>
                </c:pt>
                <c:pt idx="370">
                  <c:v>-14.919814615010417</c:v>
                </c:pt>
                <c:pt idx="371">
                  <c:v>-14.990506409137755</c:v>
                </c:pt>
                <c:pt idx="372">
                  <c:v>-15.061215948143799</c:v>
                </c:pt>
                <c:pt idx="373">
                  <c:v>-15.133536635361546</c:v>
                </c:pt>
                <c:pt idx="374">
                  <c:v>-15.205872966298434</c:v>
                </c:pt>
                <c:pt idx="375">
                  <c:v>-15.278223513093623</c:v>
                </c:pt>
                <c:pt idx="376">
                  <c:v>-15.350586876105309</c:v>
                </c:pt>
                <c:pt idx="377">
                  <c:v>-15.424745371669399</c:v>
                </c:pt>
                <c:pt idx="378">
                  <c:v>-15.498914435304041</c:v>
                </c:pt>
                <c:pt idx="379">
                  <c:v>-15.57309264859197</c:v>
                </c:pt>
                <c:pt idx="380">
                  <c:v>-15.647278620985949</c:v>
                </c:pt>
                <c:pt idx="381">
                  <c:v>-15.72306759403347</c:v>
                </c:pt>
                <c:pt idx="382">
                  <c:v>-15.79886181615365</c:v>
                </c:pt>
                <c:pt idx="383">
                  <c:v>-15.874659890383784</c:v>
                </c:pt>
                <c:pt idx="384">
                  <c:v>-15.950460446970057</c:v>
                </c:pt>
                <c:pt idx="385">
                  <c:v>-16.028140750361967</c:v>
                </c:pt>
                <c:pt idx="386">
                  <c:v>-16.105820832550087</c:v>
                </c:pt>
                <c:pt idx="387">
                  <c:v>-16.183499303637905</c:v>
                </c:pt>
                <c:pt idx="388">
                  <c:v>-16.261174800652199</c:v>
                </c:pt>
                <c:pt idx="389">
                  <c:v>-16.340630390709336</c:v>
                </c:pt>
                <c:pt idx="390">
                  <c:v>-16.420080066263033</c:v>
                </c:pt>
                <c:pt idx="391">
                  <c:v>-16.499522451095157</c:v>
                </c:pt>
                <c:pt idx="392">
                  <c:v>-16.578956195459284</c:v>
                </c:pt>
                <c:pt idx="393">
                  <c:v>-16.660163600069534</c:v>
                </c:pt>
                <c:pt idx="394">
                  <c:v>-16.741359199662266</c:v>
                </c:pt>
                <c:pt idx="395">
                  <c:v>-16.822541632864965</c:v>
                </c:pt>
                <c:pt idx="396">
                  <c:v>-16.903709564303362</c:v>
                </c:pt>
                <c:pt idx="397">
                  <c:v>-16.986831643558709</c:v>
                </c:pt>
                <c:pt idx="398">
                  <c:v>-17.069935753047961</c:v>
                </c:pt>
                <c:pt idx="399">
                  <c:v>-17.153020538209887</c:v>
                </c:pt>
                <c:pt idx="400">
                  <c:v>-17.236084670221562</c:v>
                </c:pt>
                <c:pt idx="401">
                  <c:v>-17.321001123114563</c:v>
                </c:pt>
                <c:pt idx="402">
                  <c:v>-17.405893249085455</c:v>
                </c:pt>
                <c:pt idx="403">
                  <c:v>-17.490759706497897</c:v>
                </c:pt>
                <c:pt idx="404">
                  <c:v>-17.575599179052176</c:v>
                </c:pt>
                <c:pt idx="405">
                  <c:v>-17.662375852074206</c:v>
                </c:pt>
                <c:pt idx="406">
                  <c:v>-17.749121565236038</c:v>
                </c:pt>
                <c:pt idx="407">
                  <c:v>-17.835834986758289</c:v>
                </c:pt>
                <c:pt idx="408">
                  <c:v>-17.922514809889524</c:v>
                </c:pt>
                <c:pt idx="409">
                  <c:v>-18.011215616708622</c:v>
                </c:pt>
                <c:pt idx="410">
                  <c:v>-18.099878517581182</c:v>
                </c:pt>
                <c:pt idx="411">
                  <c:v>-18.188502187919308</c:v>
                </c:pt>
                <c:pt idx="412">
                  <c:v>-18.277085327939748</c:v>
                </c:pt>
                <c:pt idx="413">
                  <c:v>-18.36767874768697</c:v>
                </c:pt>
                <c:pt idx="414">
                  <c:v>-18.458227059984626</c:v>
                </c:pt>
                <c:pt idx="415">
                  <c:v>-18.548728949178656</c:v>
                </c:pt>
                <c:pt idx="416">
                  <c:v>-18.639183124175574</c:v>
                </c:pt>
                <c:pt idx="417">
                  <c:v>-18.731729134418895</c:v>
                </c:pt>
                <c:pt idx="418">
                  <c:v>-18.824222481520941</c:v>
                </c:pt>
                <c:pt idx="419">
                  <c:v>-18.916661856514803</c:v>
                </c:pt>
                <c:pt idx="420">
                  <c:v>-19.00904597483224</c:v>
                </c:pt>
                <c:pt idx="421">
                  <c:v>-19.10341639496874</c:v>
                </c:pt>
                <c:pt idx="422">
                  <c:v>-19.197726447011746</c:v>
                </c:pt>
                <c:pt idx="423">
                  <c:v>-19.291974834411612</c:v>
                </c:pt>
                <c:pt idx="424">
                  <c:v>-19.38616028474469</c:v>
                </c:pt>
                <c:pt idx="425">
                  <c:v>-19.482596705529257</c:v>
                </c:pt>
                <c:pt idx="426">
                  <c:v>-19.578964424510126</c:v>
                </c:pt>
                <c:pt idx="427">
                  <c:v>-19.675262148065439</c:v>
                </c:pt>
                <c:pt idx="428">
                  <c:v>-19.771488606697151</c:v>
                </c:pt>
                <c:pt idx="429">
                  <c:v>-19.869858495269678</c:v>
                </c:pt>
                <c:pt idx="430">
                  <c:v>-19.968151181860534</c:v>
                </c:pt>
                <c:pt idx="431">
                  <c:v>-20.066365381839304</c:v>
                </c:pt>
                <c:pt idx="432">
                  <c:v>-20.164499834587684</c:v>
                </c:pt>
                <c:pt idx="433">
                  <c:v>-20.264762016025266</c:v>
                </c:pt>
                <c:pt idx="434">
                  <c:v>-20.364938224086004</c:v>
                </c:pt>
                <c:pt idx="435">
                  <c:v>-20.465027185286324</c:v>
                </c:pt>
                <c:pt idx="436">
                  <c:v>-20.565027650035287</c:v>
                </c:pt>
                <c:pt idx="437">
                  <c:v>-20.667322665911176</c:v>
                </c:pt>
                <c:pt idx="438">
                  <c:v>-20.769522332346451</c:v>
                </c:pt>
                <c:pt idx="439">
                  <c:v>-20.871625382421609</c:v>
                </c:pt>
                <c:pt idx="440">
                  <c:v>-20.973630573156409</c:v>
                </c:pt>
                <c:pt idx="441">
                  <c:v>-21.077911779195048</c:v>
                </c:pt>
                <c:pt idx="442">
                  <c:v>-21.182087949707743</c:v>
                </c:pt>
                <c:pt idx="443">
                  <c:v>-21.286157827112138</c:v>
                </c:pt>
                <c:pt idx="444">
                  <c:v>-21.390120177800828</c:v>
                </c:pt>
                <c:pt idx="445">
                  <c:v>-21.496339030415726</c:v>
                </c:pt>
                <c:pt idx="446">
                  <c:v>-21.602442864223697</c:v>
                </c:pt>
                <c:pt idx="447">
                  <c:v>-21.708430433786624</c:v>
                </c:pt>
                <c:pt idx="448">
                  <c:v>-21.814300517670695</c:v>
                </c:pt>
                <c:pt idx="449">
                  <c:v>-21.922587758845975</c:v>
                </c:pt>
                <c:pt idx="450">
                  <c:v>-22.030749291685378</c:v>
                </c:pt>
                <c:pt idx="451">
                  <c:v>-22.138783879613808</c:v>
                </c:pt>
                <c:pt idx="452">
                  <c:v>-22.246690310246784</c:v>
                </c:pt>
                <c:pt idx="453">
                  <c:v>-22.356901022292348</c:v>
                </c:pt>
                <c:pt idx="454">
                  <c:v>-22.466975231421006</c:v>
                </c:pt>
                <c:pt idx="455">
                  <c:v>-22.57691171639048</c:v>
                </c:pt>
                <c:pt idx="456">
                  <c:v>-22.686709280248234</c:v>
                </c:pt>
                <c:pt idx="457">
                  <c:v>-22.798967384420241</c:v>
                </c:pt>
                <c:pt idx="458">
                  <c:v>-22.911077432790275</c:v>
                </c:pt>
                <c:pt idx="459">
                  <c:v>-23.023038217013291</c:v>
                </c:pt>
                <c:pt idx="460">
                  <c:v>-23.134848553286396</c:v>
                </c:pt>
                <c:pt idx="461">
                  <c:v>-23.249093886511556</c:v>
                </c:pt>
                <c:pt idx="462">
                  <c:v>-23.363179284903023</c:v>
                </c:pt>
                <c:pt idx="463">
                  <c:v>-23.477103556982254</c:v>
                </c:pt>
                <c:pt idx="464">
                  <c:v>-23.590865536058296</c:v>
                </c:pt>
                <c:pt idx="465">
                  <c:v>-23.707124576359647</c:v>
                </c:pt>
                <c:pt idx="466">
                  <c:v>-23.823211231752957</c:v>
                </c:pt>
                <c:pt idx="467">
                  <c:v>-23.939124329051825</c:v>
                </c:pt>
                <c:pt idx="468">
                  <c:v>-24.054862720173691</c:v>
                </c:pt>
                <c:pt idx="469">
                  <c:v>-24.173069684372887</c:v>
                </c:pt>
                <c:pt idx="470">
                  <c:v>-24.291091497238668</c:v>
                </c:pt>
                <c:pt idx="471">
                  <c:v>-24.408927008377216</c:v>
                </c:pt>
                <c:pt idx="472">
                  <c:v>-24.5265750928078</c:v>
                </c:pt>
                <c:pt idx="473">
                  <c:v>-24.646837341097427</c:v>
                </c:pt>
                <c:pt idx="474">
                  <c:v>-24.766900796751788</c:v>
                </c:pt>
                <c:pt idx="475">
                  <c:v>-24.886764331934014</c:v>
                </c:pt>
                <c:pt idx="476">
                  <c:v>-25.006426844672099</c:v>
                </c:pt>
                <c:pt idx="477">
                  <c:v>-25.128671086767174</c:v>
                </c:pt>
                <c:pt idx="478">
                  <c:v>-25.250702565934951</c:v>
                </c:pt>
                <c:pt idx="479">
                  <c:v>-25.372520182284951</c:v>
                </c:pt>
                <c:pt idx="480">
                  <c:v>-25.494122862231606</c:v>
                </c:pt>
                <c:pt idx="481">
                  <c:v>-25.618273680806258</c:v>
                </c:pt>
                <c:pt idx="482">
                  <c:v>-25.742197464058524</c:v>
                </c:pt>
                <c:pt idx="483">
                  <c:v>-25.86589314559307</c:v>
                </c:pt>
                <c:pt idx="484">
                  <c:v>-25.989359685746862</c:v>
                </c:pt>
                <c:pt idx="485">
                  <c:v>-26.115425391844212</c:v>
                </c:pt>
                <c:pt idx="486">
                  <c:v>-26.241249186569451</c:v>
                </c:pt>
                <c:pt idx="487">
                  <c:v>-26.366830040649766</c:v>
                </c:pt>
                <c:pt idx="488">
                  <c:v>-26.492166952031557</c:v>
                </c:pt>
                <c:pt idx="489">
                  <c:v>-26.620236358625537</c:v>
                </c:pt>
                <c:pt idx="490">
                  <c:v>-26.748048019384076</c:v>
                </c:pt>
                <c:pt idx="491">
                  <c:v>-26.875600944450643</c:v>
                </c:pt>
                <c:pt idx="492">
                  <c:v>-27.002894171802403</c:v>
                </c:pt>
                <c:pt idx="493">
                  <c:v>-27.132879866874291</c:v>
                </c:pt>
                <c:pt idx="494">
                  <c:v>-27.262591685668475</c:v>
                </c:pt>
                <c:pt idx="495">
                  <c:v>-27.392028684766583</c:v>
                </c:pt>
                <c:pt idx="496">
                  <c:v>-27.521189949172868</c:v>
                </c:pt>
                <c:pt idx="497">
                  <c:v>-27.653086119243603</c:v>
                </c:pt>
                <c:pt idx="498">
                  <c:v>-27.784691653900058</c:v>
                </c:pt>
                <c:pt idx="499">
                  <c:v>-27.916005661677506</c:v>
                </c:pt>
                <c:pt idx="500">
                  <c:v>-28.047027280165988</c:v>
                </c:pt>
                <c:pt idx="501">
                  <c:v>-28.180823223560537</c:v>
                </c:pt>
                <c:pt idx="502">
                  <c:v>-28.314311141678033</c:v>
                </c:pt>
                <c:pt idx="503">
                  <c:v>-28.447490201180031</c:v>
                </c:pt>
                <c:pt idx="504">
                  <c:v>-28.580359598451373</c:v>
                </c:pt>
                <c:pt idx="505">
                  <c:v>-28.715957515066478</c:v>
                </c:pt>
                <c:pt idx="506">
                  <c:v>-28.851229782910384</c:v>
                </c:pt>
                <c:pt idx="507">
                  <c:v>-28.986175634978803</c:v>
                </c:pt>
                <c:pt idx="508">
                  <c:v>-29.1207943346148</c:v>
                </c:pt>
                <c:pt idx="509">
                  <c:v>-29.258175939133942</c:v>
                </c:pt>
                <c:pt idx="510">
                  <c:v>-29.395213674747104</c:v>
                </c:pt>
                <c:pt idx="511">
                  <c:v>-29.531906847899425</c:v>
                </c:pt>
                <c:pt idx="512">
                  <c:v>-29.668254796028567</c:v>
                </c:pt>
                <c:pt idx="513">
                  <c:v>-29.80747739329226</c:v>
                </c:pt>
                <c:pt idx="514">
                  <c:v>-29.94633689239604</c:v>
                </c:pt>
                <c:pt idx="515">
                  <c:v>-30.084832679964951</c:v>
                </c:pt>
                <c:pt idx="516">
                  <c:v>-30.222964174346018</c:v>
                </c:pt>
                <c:pt idx="517">
                  <c:v>-30.363917387225499</c:v>
                </c:pt>
                <c:pt idx="518">
                  <c:v>-30.504488103686075</c:v>
                </c:pt>
                <c:pt idx="519">
                  <c:v>-30.644675800235063</c:v>
                </c:pt>
                <c:pt idx="520">
                  <c:v>-30.784479985757724</c:v>
                </c:pt>
                <c:pt idx="521">
                  <c:v>-30.92713063027459</c:v>
                </c:pt>
                <c:pt idx="522">
                  <c:v>-31.069378821020702</c:v>
                </c:pt>
                <c:pt idx="523">
                  <c:v>-31.211224133443455</c:v>
                </c:pt>
                <c:pt idx="524">
                  <c:v>-31.35266617601237</c:v>
                </c:pt>
                <c:pt idx="525">
                  <c:v>-31.496976124695664</c:v>
                </c:pt>
                <c:pt idx="526">
                  <c:v>-31.640863123861173</c:v>
                </c:pt>
                <c:pt idx="527">
                  <c:v>-31.784326857571962</c:v>
                </c:pt>
                <c:pt idx="528">
                  <c:v>-31.927367043532701</c:v>
                </c:pt>
                <c:pt idx="529">
                  <c:v>-32.073293258403616</c:v>
                </c:pt>
                <c:pt idx="530">
                  <c:v>-32.21877551466882</c:v>
                </c:pt>
                <c:pt idx="531">
                  <c:v>-32.36381361527522</c:v>
                </c:pt>
                <c:pt idx="532">
                  <c:v>-32.508407397391579</c:v>
                </c:pt>
                <c:pt idx="533">
                  <c:v>-32.655978010495694</c:v>
                </c:pt>
                <c:pt idx="534">
                  <c:v>-32.803082691283066</c:v>
                </c:pt>
                <c:pt idx="535">
                  <c:v>-32.949721372334842</c:v>
                </c:pt>
                <c:pt idx="536">
                  <c:v>-33.095894021050796</c:v>
                </c:pt>
                <c:pt idx="537">
                  <c:v>-33.24490332532794</c:v>
                </c:pt>
                <c:pt idx="538">
                  <c:v>-33.393425235248344</c:v>
                </c:pt>
                <c:pt idx="539">
                  <c:v>-33.541459824599428</c:v>
                </c:pt>
                <c:pt idx="540">
                  <c:v>-33.689007202368771</c:v>
                </c:pt>
                <c:pt idx="541">
                  <c:v>-33.839548904463804</c:v>
                </c:pt>
                <c:pt idx="542">
                  <c:v>-33.989580355255342</c:v>
                </c:pt>
                <c:pt idx="543">
                  <c:v>-34.139101781763216</c:v>
                </c:pt>
                <c:pt idx="544">
                  <c:v>-34.288113446641759</c:v>
                </c:pt>
                <c:pt idx="545">
                  <c:v>-34.440049535543935</c:v>
                </c:pt>
                <c:pt idx="546">
                  <c:v>-34.591452640318401</c:v>
                </c:pt>
                <c:pt idx="547">
                  <c:v>-34.742323153379346</c:v>
                </c:pt>
                <c:pt idx="548">
                  <c:v>-34.892661503030112</c:v>
                </c:pt>
                <c:pt idx="549">
                  <c:v>-35.045925605222791</c:v>
                </c:pt>
                <c:pt idx="550">
                  <c:v>-35.198633669590379</c:v>
                </c:pt>
                <c:pt idx="551">
                  <c:v>-35.350786266511236</c:v>
                </c:pt>
                <c:pt idx="552">
                  <c:v>-35.502384002380076</c:v>
                </c:pt>
                <c:pt idx="553">
                  <c:v>-35.656976485706494</c:v>
                </c:pt>
                <c:pt idx="554">
                  <c:v>-35.810989074753607</c:v>
                </c:pt>
                <c:pt idx="555">
                  <c:v>-35.964422531774645</c:v>
                </c:pt>
                <c:pt idx="556">
                  <c:v>-36.117277655084557</c:v>
                </c:pt>
                <c:pt idx="557">
                  <c:v>-36.428359647956043</c:v>
                </c:pt>
                <c:pt idx="558">
                  <c:v>-36.737029618851508</c:v>
                </c:pt>
                <c:pt idx="559">
                  <c:v>-37.050287654336621</c:v>
                </c:pt>
                <c:pt idx="560">
                  <c:v>-37.361039709853905</c:v>
                </c:pt>
                <c:pt idx="561">
                  <c:v>-37.676579090265705</c:v>
                </c:pt>
                <c:pt idx="562">
                  <c:v>-37.98951375874497</c:v>
                </c:pt>
                <c:pt idx="563">
                  <c:v>-38.306486852697411</c:v>
                </c:pt>
                <c:pt idx="564">
                  <c:v>-38.620767647487789</c:v>
                </c:pt>
                <c:pt idx="565">
                  <c:v>-38.940190829977375</c:v>
                </c:pt>
                <c:pt idx="566">
                  <c:v>-39.256813902178742</c:v>
                </c:pt>
                <c:pt idx="567">
                  <c:v>-39.578335090487506</c:v>
                </c:pt>
                <c:pt idx="568">
                  <c:v>-39.896950928003314</c:v>
                </c:pt>
                <c:pt idx="569">
                  <c:v>-40.218964734882732</c:v>
                </c:pt>
                <c:pt idx="570">
                  <c:v>-40.537994313443647</c:v>
                </c:pt>
                <c:pt idx="571">
                  <c:v>-40.862694546882445</c:v>
                </c:pt>
                <c:pt idx="572">
                  <c:v>-41.184288147544066</c:v>
                </c:pt>
                <c:pt idx="573">
                  <c:v>-41.50884655424327</c:v>
                </c:pt>
                <c:pt idx="574">
                  <c:v>-41.830226977252799</c:v>
                </c:pt>
                <c:pt idx="575">
                  <c:v>-42.156755325717896</c:v>
                </c:pt>
                <c:pt idx="576">
                  <c:v>-42.479990744601842</c:v>
                </c:pt>
                <c:pt idx="577">
                  <c:v>-43.812600189818063</c:v>
                </c:pt>
                <c:pt idx="578">
                  <c:v>-45.088870958542842</c:v>
                </c:pt>
                <c:pt idx="579">
                  <c:v>-47.699639771280204</c:v>
                </c:pt>
                <c:pt idx="580">
                  <c:v>-50.294340718351286</c:v>
                </c:pt>
                <c:pt idx="581">
                  <c:v>-52.847835813753591</c:v>
                </c:pt>
                <c:pt idx="582">
                  <c:v>-55.342067000612886</c:v>
                </c:pt>
                <c:pt idx="583">
                  <c:v>-57.757868045725864</c:v>
                </c:pt>
                <c:pt idx="584">
                  <c:v>-60.082549166088938</c:v>
                </c:pt>
                <c:pt idx="585">
                  <c:v>-62.303308477556243</c:v>
                </c:pt>
                <c:pt idx="586">
                  <c:v>-64.412162967527749</c:v>
                </c:pt>
                <c:pt idx="587">
                  <c:v>-66.40476540934219</c:v>
                </c:pt>
                <c:pt idx="588">
                  <c:v>-68.276484663006812</c:v>
                </c:pt>
                <c:pt idx="589">
                  <c:v>-70.028439239231986</c:v>
                </c:pt>
                <c:pt idx="590">
                  <c:v>-71.661424245070435</c:v>
                </c:pt>
                <c:pt idx="591">
                  <c:v>-73.178620636744697</c:v>
                </c:pt>
                <c:pt idx="592">
                  <c:v>-74.584028543060484</c:v>
                </c:pt>
                <c:pt idx="593">
                  <c:v>-75.883076334588665</c:v>
                </c:pt>
                <c:pt idx="594">
                  <c:v>-77.080980089112671</c:v>
                </c:pt>
                <c:pt idx="595">
                  <c:v>-78.183872676086352</c:v>
                </c:pt>
                <c:pt idx="596">
                  <c:v>-79.197554689489934</c:v>
                </c:pt>
                <c:pt idx="597">
                  <c:v>-80.128255947965911</c:v>
                </c:pt>
                <c:pt idx="598">
                  <c:v>-80.981643169604041</c:v>
                </c:pt>
                <c:pt idx="599">
                  <c:v>-81.763633332676108</c:v>
                </c:pt>
                <c:pt idx="600">
                  <c:v>-82.479544013301364</c:v>
                </c:pt>
              </c:numCache>
            </c:numRef>
          </c:yVal>
          <c:smooth val="0"/>
          <c:extLst>
            <c:ext xmlns:c16="http://schemas.microsoft.com/office/drawing/2014/chart" uri="{C3380CC4-5D6E-409C-BE32-E72D297353CC}">
              <c16:uniqueId val="{00000001-C943-44AE-BE69-B37F145E1EAF}"/>
            </c:ext>
          </c:extLst>
        </c:ser>
        <c:ser>
          <c:idx val="2"/>
          <c:order val="2"/>
          <c:tx>
            <c:v>pwr plant</c:v>
          </c:tx>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Calculations'!$AG$13:$AG$613</c:f>
              <c:numCache>
                <c:formatCode>0.00</c:formatCode>
                <c:ptCount val="601"/>
                <c:pt idx="0">
                  <c:v>43.840891806048383</c:v>
                </c:pt>
                <c:pt idx="1">
                  <c:v>43.840832375267944</c:v>
                </c:pt>
                <c:pt idx="2">
                  <c:v>43.840760930642162</c:v>
                </c:pt>
                <c:pt idx="3">
                  <c:v>43.840675041796906</c:v>
                </c:pt>
                <c:pt idx="4">
                  <c:v>43.84057186029662</c:v>
                </c:pt>
                <c:pt idx="5">
                  <c:v>43.840447691104636</c:v>
                </c:pt>
                <c:pt idx="6">
                  <c:v>43.840298467004487</c:v>
                </c:pt>
                <c:pt idx="7">
                  <c:v>43.8401190135123</c:v>
                </c:pt>
                <c:pt idx="8">
                  <c:v>43.839903365871749</c:v>
                </c:pt>
                <c:pt idx="9">
                  <c:v>43.839644028633423</c:v>
                </c:pt>
                <c:pt idx="10">
                  <c:v>43.839332327316939</c:v>
                </c:pt>
                <c:pt idx="11">
                  <c:v>43.838957647708632</c:v>
                </c:pt>
                <c:pt idx="12">
                  <c:v>43.83850701462309</c:v>
                </c:pt>
                <c:pt idx="13">
                  <c:v>43.837965562516352</c:v>
                </c:pt>
                <c:pt idx="14">
                  <c:v>43.837314490886115</c:v>
                </c:pt>
                <c:pt idx="15">
                  <c:v>43.836531911196971</c:v>
                </c:pt>
                <c:pt idx="16">
                  <c:v>43.835591219102426</c:v>
                </c:pt>
                <c:pt idx="17">
                  <c:v>43.834460686322878</c:v>
                </c:pt>
                <c:pt idx="18">
                  <c:v>43.833101664307101</c:v>
                </c:pt>
                <c:pt idx="19">
                  <c:v>43.83146849636092</c:v>
                </c:pt>
                <c:pt idx="20">
                  <c:v>43.829505621901077</c:v>
                </c:pt>
                <c:pt idx="21">
                  <c:v>43.827147154528149</c:v>
                </c:pt>
                <c:pt idx="22">
                  <c:v>43.824313035477331</c:v>
                </c:pt>
                <c:pt idx="23">
                  <c:v>43.820908589184384</c:v>
                </c:pt>
                <c:pt idx="24">
                  <c:v>43.816818586319599</c:v>
                </c:pt>
                <c:pt idx="25">
                  <c:v>43.81190653683727</c:v>
                </c:pt>
                <c:pt idx="26">
                  <c:v>43.806006960293644</c:v>
                </c:pt>
                <c:pt idx="27">
                  <c:v>43.798925278092142</c:v>
                </c:pt>
                <c:pt idx="28">
                  <c:v>43.790426970005129</c:v>
                </c:pt>
                <c:pt idx="29">
                  <c:v>43.780239351697787</c:v>
                </c:pt>
                <c:pt idx="30">
                  <c:v>43.768010795385884</c:v>
                </c:pt>
                <c:pt idx="31">
                  <c:v>43.753359706082392</c:v>
                </c:pt>
                <c:pt idx="32">
                  <c:v>43.735805187984383</c:v>
                </c:pt>
                <c:pt idx="33">
                  <c:v>43.714802568532072</c:v>
                </c:pt>
                <c:pt idx="34">
                  <c:v>43.689677295623625</c:v>
                </c:pt>
                <c:pt idx="35">
                  <c:v>43.659667980491761</c:v>
                </c:pt>
                <c:pt idx="36">
                  <c:v>43.623864865806034</c:v>
                </c:pt>
                <c:pt idx="37">
                  <c:v>43.581187215185402</c:v>
                </c:pt>
                <c:pt idx="38">
                  <c:v>43.530451283396694</c:v>
                </c:pt>
                <c:pt idx="39">
                  <c:v>43.470210019926448</c:v>
                </c:pt>
                <c:pt idx="40">
                  <c:v>43.398877851459417</c:v>
                </c:pt>
                <c:pt idx="41">
                  <c:v>43.314639474503252</c:v>
                </c:pt>
                <c:pt idx="42">
                  <c:v>43.215493001477697</c:v>
                </c:pt>
                <c:pt idx="43">
                  <c:v>43.099195802862063</c:v>
                </c:pt>
                <c:pt idx="44">
                  <c:v>42.963391568754183</c:v>
                </c:pt>
                <c:pt idx="45">
                  <c:v>42.805534023342304</c:v>
                </c:pt>
                <c:pt idx="46">
                  <c:v>42.623062910146473</c:v>
                </c:pt>
                <c:pt idx="47">
                  <c:v>42.413351345504189</c:v>
                </c:pt>
                <c:pt idx="48">
                  <c:v>42.173967463556814</c:v>
                </c:pt>
                <c:pt idx="49">
                  <c:v>41.902578529244096</c:v>
                </c:pt>
                <c:pt idx="50">
                  <c:v>41.597277853415008</c:v>
                </c:pt>
                <c:pt idx="51">
                  <c:v>41.256478298665726</c:v>
                </c:pt>
                <c:pt idx="52">
                  <c:v>40.879306217964711</c:v>
                </c:pt>
                <c:pt idx="53">
                  <c:v>40.465372517651033</c:v>
                </c:pt>
                <c:pt idx="54">
                  <c:v>40.0152096204015</c:v>
                </c:pt>
                <c:pt idx="55">
                  <c:v>39.528875407026646</c:v>
                </c:pt>
                <c:pt idx="56">
                  <c:v>39.008401302635136</c:v>
                </c:pt>
                <c:pt idx="57">
                  <c:v>38.455287872787252</c:v>
                </c:pt>
                <c:pt idx="58">
                  <c:v>37.872139144973971</c:v>
                </c:pt>
                <c:pt idx="59">
                  <c:v>37.260954325270546</c:v>
                </c:pt>
                <c:pt idx="60">
                  <c:v>36.624645648001525</c:v>
                </c:pt>
                <c:pt idx="61">
                  <c:v>35.965727581166206</c:v>
                </c:pt>
                <c:pt idx="62">
                  <c:v>35.286378757130358</c:v>
                </c:pt>
                <c:pt idx="63">
                  <c:v>34.589672407098156</c:v>
                </c:pt>
                <c:pt idx="64">
                  <c:v>33.877313392610546</c:v>
                </c:pt>
                <c:pt idx="65">
                  <c:v>33.151634637664785</c:v>
                </c:pt>
                <c:pt idx="66">
                  <c:v>32.414439063612086</c:v>
                </c:pt>
                <c:pt idx="67">
                  <c:v>31.667487555873478</c:v>
                </c:pt>
                <c:pt idx="68">
                  <c:v>30.912018080805055</c:v>
                </c:pt>
                <c:pt idx="69">
                  <c:v>30.149501437269272</c:v>
                </c:pt>
                <c:pt idx="70">
                  <c:v>29.38088320243352</c:v>
                </c:pt>
                <c:pt idx="71">
                  <c:v>28.607263585496518</c:v>
                </c:pt>
                <c:pt idx="72">
                  <c:v>27.829284279754102</c:v>
                </c:pt>
                <c:pt idx="73">
                  <c:v>27.047825281792566</c:v>
                </c:pt>
                <c:pt idx="74">
                  <c:v>26.263271642302726</c:v>
                </c:pt>
                <c:pt idx="75">
                  <c:v>25.476239241343084</c:v>
                </c:pt>
                <c:pt idx="76">
                  <c:v>24.686963159120875</c:v>
                </c:pt>
                <c:pt idx="77">
                  <c:v>23.896049157532083</c:v>
                </c:pt>
                <c:pt idx="78">
                  <c:v>23.103767642940824</c:v>
                </c:pt>
                <c:pt idx="79">
                  <c:v>22.310867698497741</c:v>
                </c:pt>
                <c:pt idx="80">
                  <c:v>21.516226462821347</c:v>
                </c:pt>
                <c:pt idx="81">
                  <c:v>20.721141544497712</c:v>
                </c:pt>
                <c:pt idx="82">
                  <c:v>19.925237513473807</c:v>
                </c:pt>
                <c:pt idx="83">
                  <c:v>19.129226155475877</c:v>
                </c:pt>
                <c:pt idx="84">
                  <c:v>18.332623785284177</c:v>
                </c:pt>
                <c:pt idx="85">
                  <c:v>17.535998514324071</c:v>
                </c:pt>
                <c:pt idx="86">
                  <c:v>16.739341900470126</c:v>
                </c:pt>
                <c:pt idx="87">
                  <c:v>15.942335633993272</c:v>
                </c:pt>
                <c:pt idx="88">
                  <c:v>15.145850164732341</c:v>
                </c:pt>
                <c:pt idx="89">
                  <c:v>14.349359530941602</c:v>
                </c:pt>
                <c:pt idx="90">
                  <c:v>13.553288661894992</c:v>
                </c:pt>
                <c:pt idx="91">
                  <c:v>12.757704306894396</c:v>
                </c:pt>
                <c:pt idx="92">
                  <c:v>11.962867108677063</c:v>
                </c:pt>
                <c:pt idx="93">
                  <c:v>11.168715312552191</c:v>
                </c:pt>
                <c:pt idx="94">
                  <c:v>10.970408217469846</c:v>
                </c:pt>
                <c:pt idx="95">
                  <c:v>10.870665668355734</c:v>
                </c:pt>
                <c:pt idx="96">
                  <c:v>10.772081872022472</c:v>
                </c:pt>
                <c:pt idx="97">
                  <c:v>10.672385012215535</c:v>
                </c:pt>
                <c:pt idx="98">
                  <c:v>10.57384714729584</c:v>
                </c:pt>
                <c:pt idx="99">
                  <c:v>10.474172748566877</c:v>
                </c:pt>
                <c:pt idx="100">
                  <c:v>10.375658181542462</c:v>
                </c:pt>
                <c:pt idx="101">
                  <c:v>10.276060432277404</c:v>
                </c:pt>
                <c:pt idx="102">
                  <c:v>10.177622157705638</c:v>
                </c:pt>
                <c:pt idx="103">
                  <c:v>10.078007335710788</c:v>
                </c:pt>
                <c:pt idx="104">
                  <c:v>9.9795538651835329</c:v>
                </c:pt>
                <c:pt idx="105">
                  <c:v>9.8799792571617076</c:v>
                </c:pt>
                <c:pt idx="106">
                  <c:v>9.7815666177215306</c:v>
                </c:pt>
                <c:pt idx="107">
                  <c:v>9.6820858271036983</c:v>
                </c:pt>
                <c:pt idx="108">
                  <c:v>9.5837664466965027</c:v>
                </c:pt>
                <c:pt idx="109">
                  <c:v>9.4843622924466757</c:v>
                </c:pt>
                <c:pt idx="110">
                  <c:v>9.3861194593413799</c:v>
                </c:pt>
                <c:pt idx="111">
                  <c:v>9.2867119564778786</c:v>
                </c:pt>
                <c:pt idx="112">
                  <c:v>9.1884676206973666</c:v>
                </c:pt>
                <c:pt idx="113">
                  <c:v>9.0891139624665218</c:v>
                </c:pt>
                <c:pt idx="114">
                  <c:v>8.9909240680249081</c:v>
                </c:pt>
                <c:pt idx="115">
                  <c:v>8.8916151066666878</c:v>
                </c:pt>
                <c:pt idx="116">
                  <c:v>8.7934708022248209</c:v>
                </c:pt>
                <c:pt idx="117">
                  <c:v>8.6941997450845321</c:v>
                </c:pt>
                <c:pt idx="118">
                  <c:v>8.596094484417609</c:v>
                </c:pt>
                <c:pt idx="119">
                  <c:v>8.496916517853851</c:v>
                </c:pt>
                <c:pt idx="120">
                  <c:v>8.3989042892843706</c:v>
                </c:pt>
                <c:pt idx="121">
                  <c:v>8.2998126516849933</c:v>
                </c:pt>
                <c:pt idx="122">
                  <c:v>8.201886944539055</c:v>
                </c:pt>
                <c:pt idx="123">
                  <c:v>8.1028199253489674</c:v>
                </c:pt>
                <c:pt idx="124">
                  <c:v>8.0049205729980084</c:v>
                </c:pt>
                <c:pt idx="125">
                  <c:v>7.9059351097364869</c:v>
                </c:pt>
                <c:pt idx="126">
                  <c:v>7.8081178206101773</c:v>
                </c:pt>
                <c:pt idx="127">
                  <c:v>7.7092128548430807</c:v>
                </c:pt>
                <c:pt idx="128">
                  <c:v>7.6114767028777326</c:v>
                </c:pt>
                <c:pt idx="129">
                  <c:v>7.5126528384870532</c:v>
                </c:pt>
                <c:pt idx="130">
                  <c:v>7.4149985260137363</c:v>
                </c:pt>
                <c:pt idx="131">
                  <c:v>7.3162579059959398</c:v>
                </c:pt>
                <c:pt idx="132">
                  <c:v>7.2673281278391402</c:v>
                </c:pt>
                <c:pt idx="133">
                  <c:v>7.2186876434284084</c:v>
                </c:pt>
                <c:pt idx="134">
                  <c:v>7.1691872109587464</c:v>
                </c:pt>
                <c:pt idx="135">
                  <c:v>7.119983207226487</c:v>
                </c:pt>
                <c:pt idx="136">
                  <c:v>7.0710722887276045</c:v>
                </c:pt>
                <c:pt idx="137">
                  <c:v>7.0224511691148965</c:v>
                </c:pt>
                <c:pt idx="138">
                  <c:v>6.9730225410232407</c:v>
                </c:pt>
                <c:pt idx="139">
                  <c:v>6.9238902451570192</c:v>
                </c:pt>
                <c:pt idx="140">
                  <c:v>6.8750509433750366</c:v>
                </c:pt>
                <c:pt idx="141">
                  <c:v>6.8265013545657123</c:v>
                </c:pt>
                <c:pt idx="142">
                  <c:v>6.7770972214063363</c:v>
                </c:pt>
                <c:pt idx="143">
                  <c:v>6.7279899231859961</c:v>
                </c:pt>
                <c:pt idx="144">
                  <c:v>6.6791761171779704</c:v>
                </c:pt>
                <c:pt idx="145">
                  <c:v>6.6306525177831546</c:v>
                </c:pt>
                <c:pt idx="146">
                  <c:v>6.5813019116038163</c:v>
                </c:pt>
                <c:pt idx="147">
                  <c:v>6.5322483312744044</c:v>
                </c:pt>
                <c:pt idx="148">
                  <c:v>6.4834884348939168</c:v>
                </c:pt>
                <c:pt idx="149">
                  <c:v>6.4350189376632825</c:v>
                </c:pt>
                <c:pt idx="150">
                  <c:v>6.3857259395666155</c:v>
                </c:pt>
                <c:pt idx="151">
                  <c:v>6.336730145808172</c:v>
                </c:pt>
                <c:pt idx="152">
                  <c:v>6.2880282156799661</c:v>
                </c:pt>
                <c:pt idx="153">
                  <c:v>6.2396168655414694</c:v>
                </c:pt>
                <c:pt idx="154">
                  <c:v>6.1903634409781585</c:v>
                </c:pt>
                <c:pt idx="155">
                  <c:v>6.1414076547164553</c:v>
                </c:pt>
                <c:pt idx="156">
                  <c:v>6.0927461631119995</c:v>
                </c:pt>
                <c:pt idx="157">
                  <c:v>6.0443756796461345</c:v>
                </c:pt>
                <c:pt idx="158">
                  <c:v>5.9951684273226622</c:v>
                </c:pt>
                <c:pt idx="159">
                  <c:v>5.9462592087650581</c:v>
                </c:pt>
                <c:pt idx="160">
                  <c:v>5.8976446782134717</c:v>
                </c:pt>
                <c:pt idx="161">
                  <c:v>5.8493215470726012</c:v>
                </c:pt>
                <c:pt idx="162">
                  <c:v>5.8001889095194041</c:v>
                </c:pt>
                <c:pt idx="163">
                  <c:v>5.7513543995518557</c:v>
                </c:pt>
                <c:pt idx="164">
                  <c:v>5.7028146745314467</c:v>
                </c:pt>
                <c:pt idx="165">
                  <c:v>5.6545664489029948</c:v>
                </c:pt>
                <c:pt idx="166">
                  <c:v>5.6054720776412159</c:v>
                </c:pt>
                <c:pt idx="167">
                  <c:v>5.5566764114111278</c:v>
                </c:pt>
                <c:pt idx="168">
                  <c:v>5.5081761027615457</c:v>
                </c:pt>
                <c:pt idx="169">
                  <c:v>5.4599678614227809</c:v>
                </c:pt>
                <c:pt idx="170">
                  <c:v>5.4110232815131827</c:v>
                </c:pt>
                <c:pt idx="171">
                  <c:v>5.3623766757212614</c:v>
                </c:pt>
                <c:pt idx="172">
                  <c:v>5.3140247138654582</c:v>
                </c:pt>
                <c:pt idx="173">
                  <c:v>5.2659641225417131</c:v>
                </c:pt>
                <c:pt idx="174">
                  <c:v>5.2169910326729738</c:v>
                </c:pt>
                <c:pt idx="175">
                  <c:v>5.1683173991996618</c:v>
                </c:pt>
                <c:pt idx="176">
                  <c:v>5.1199398723622744</c:v>
                </c:pt>
                <c:pt idx="177">
                  <c:v>5.0718551596096439</c:v>
                </c:pt>
                <c:pt idx="178">
                  <c:v>5.0228883548527659</c:v>
                </c:pt>
                <c:pt idx="179">
                  <c:v>4.9742221225462986</c:v>
                </c:pt>
                <c:pt idx="180">
                  <c:v>4.9258530996850451</c:v>
                </c:pt>
                <c:pt idx="181">
                  <c:v>4.8777779807582053</c:v>
                </c:pt>
                <c:pt idx="182">
                  <c:v>4.8290407698028357</c:v>
                </c:pt>
                <c:pt idx="183">
                  <c:v>4.7806025667377812</c:v>
                </c:pt>
                <c:pt idx="184">
                  <c:v>4.732460040285579</c:v>
                </c:pt>
                <c:pt idx="185">
                  <c:v>4.6846099159273962</c:v>
                </c:pt>
                <c:pt idx="186">
                  <c:v>4.6357474279997266</c:v>
                </c:pt>
                <c:pt idx="187">
                  <c:v>4.5871867861285507</c:v>
                </c:pt>
                <c:pt idx="188">
                  <c:v>4.5389246174610358</c:v>
                </c:pt>
                <c:pt idx="189">
                  <c:v>4.4909576068287365</c:v>
                </c:pt>
                <c:pt idx="190">
                  <c:v>4.442375482463663</c:v>
                </c:pt>
                <c:pt idx="191">
                  <c:v>4.3940931149257532</c:v>
                </c:pt>
                <c:pt idx="192">
                  <c:v>4.3461071721808535</c:v>
                </c:pt>
                <c:pt idx="193">
                  <c:v>4.2984143789339164</c:v>
                </c:pt>
                <c:pt idx="194">
                  <c:v>4.2497726149748143</c:v>
                </c:pt>
                <c:pt idx="195">
                  <c:v>4.2014327620549237</c:v>
                </c:pt>
                <c:pt idx="196">
                  <c:v>4.1533914584531049</c:v>
                </c:pt>
                <c:pt idx="197">
                  <c:v>4.1056453998396325</c:v>
                </c:pt>
                <c:pt idx="198">
                  <c:v>4.0571554408031449</c:v>
                </c:pt>
                <c:pt idx="199">
                  <c:v>4.0089669997069182</c:v>
                </c:pt>
                <c:pt idx="200">
                  <c:v>3.9610767277482068</c:v>
                </c:pt>
                <c:pt idx="201">
                  <c:v>3.9134813331999689</c:v>
                </c:pt>
                <c:pt idx="202">
                  <c:v>3.865167096394905</c:v>
                </c:pt>
                <c:pt idx="203">
                  <c:v>3.8171537443441546</c:v>
                </c:pt>
                <c:pt idx="204">
                  <c:v>3.7694379452832361</c:v>
                </c:pt>
                <c:pt idx="205">
                  <c:v>3.7220164241131055</c:v>
                </c:pt>
                <c:pt idx="206">
                  <c:v>3.6737360405031754</c:v>
                </c:pt>
                <c:pt idx="207">
                  <c:v>3.6257577342015206</c:v>
                </c:pt>
                <c:pt idx="208">
                  <c:v>3.5780781604099769</c:v>
                </c:pt>
                <c:pt idx="209">
                  <c:v>3.5306940312642037</c:v>
                </c:pt>
                <c:pt idx="210">
                  <c:v>3.482320396348225</c:v>
                </c:pt>
                <c:pt idx="211">
                  <c:v>3.4342517044346224</c:v>
                </c:pt>
                <c:pt idx="212">
                  <c:v>3.3864845701814477</c:v>
                </c:pt>
                <c:pt idx="213">
                  <c:v>3.3390156660704644</c:v>
                </c:pt>
                <c:pt idx="214">
                  <c:v>3.2909043529626181</c:v>
                </c:pt>
                <c:pt idx="215">
                  <c:v>3.243096464168473</c:v>
                </c:pt>
                <c:pt idx="216">
                  <c:v>3.1955886467010703</c:v>
                </c:pt>
                <c:pt idx="217">
                  <c:v>3.1483776046321132</c:v>
                </c:pt>
                <c:pt idx="218">
                  <c:v>3.1003937151574275</c:v>
                </c:pt>
                <c:pt idx="219">
                  <c:v>3.0527134917862995</c:v>
                </c:pt>
                <c:pt idx="220">
                  <c:v>3.0053335848686435</c:v>
                </c:pt>
                <c:pt idx="221">
                  <c:v>2.9582507017035335</c:v>
                </c:pt>
                <c:pt idx="222">
                  <c:v>2.9104218593649742</c:v>
                </c:pt>
                <c:pt idx="223">
                  <c:v>2.862896649081347</c:v>
                </c:pt>
                <c:pt idx="224">
                  <c:v>2.8156717292638422</c:v>
                </c:pt>
                <c:pt idx="225">
                  <c:v>2.7687438150540187</c:v>
                </c:pt>
                <c:pt idx="226">
                  <c:v>2.7209511800413306</c:v>
                </c:pt>
                <c:pt idx="227">
                  <c:v>2.6734637291038164</c:v>
                </c:pt>
                <c:pt idx="228">
                  <c:v>2.6262781027943856</c:v>
                </c:pt>
                <c:pt idx="229">
                  <c:v>2.5793909987596781</c:v>
                </c:pt>
                <c:pt idx="230">
                  <c:v>2.4842551593854503</c:v>
                </c:pt>
                <c:pt idx="231">
                  <c:v>2.4371434393309159</c:v>
                </c:pt>
                <c:pt idx="232">
                  <c:v>2.3903314147143115</c:v>
                </c:pt>
                <c:pt idx="233">
                  <c:v>2.3427151757630416</c:v>
                </c:pt>
                <c:pt idx="234">
                  <c:v>2.2954061797811005</c:v>
                </c:pt>
                <c:pt idx="235">
                  <c:v>2.2484010494775242</c:v>
                </c:pt>
                <c:pt idx="236">
                  <c:v>2.2016964649681152</c:v>
                </c:pt>
                <c:pt idx="237">
                  <c:v>2.1543506196643478</c:v>
                </c:pt>
                <c:pt idx="238">
                  <c:v>2.1073108348785365</c:v>
                </c:pt>
                <c:pt idx="239">
                  <c:v>2.0605737609769696</c:v>
                </c:pt>
                <c:pt idx="240">
                  <c:v>2.014136105058673</c:v>
                </c:pt>
                <c:pt idx="241">
                  <c:v>1.9668187309520295</c:v>
                </c:pt>
                <c:pt idx="242">
                  <c:v>1.9198094438416669</c:v>
                </c:pt>
                <c:pt idx="243">
                  <c:v>1.8731048693081114</c:v>
                </c:pt>
                <c:pt idx="244">
                  <c:v>1.8267016901690134</c:v>
                </c:pt>
                <c:pt idx="245">
                  <c:v>1.7795782787807584</c:v>
                </c:pt>
                <c:pt idx="246">
                  <c:v>1.7327629379872822</c:v>
                </c:pt>
                <c:pt idx="247">
                  <c:v>1.6862523022188065</c:v>
                </c:pt>
                <c:pt idx="248">
                  <c:v>1.6400430628850042</c:v>
                </c:pt>
                <c:pt idx="249">
                  <c:v>1.5930158817602802</c:v>
                </c:pt>
                <c:pt idx="250">
                  <c:v>1.5462981277792409</c:v>
                </c:pt>
                <c:pt idx="251">
                  <c:v>1.4998864219309609</c:v>
                </c:pt>
                <c:pt idx="252">
                  <c:v>1.4537774424237935</c:v>
                </c:pt>
                <c:pt idx="253">
                  <c:v>1.4070016222400794</c:v>
                </c:pt>
                <c:pt idx="254">
                  <c:v>1.3605346535865757</c:v>
                </c:pt>
                <c:pt idx="255">
                  <c:v>1.3143731756809049</c:v>
                </c:pt>
                <c:pt idx="256">
                  <c:v>1.2685138844828696</c:v>
                </c:pt>
                <c:pt idx="257">
                  <c:v>1.2217771551686498</c:v>
                </c:pt>
                <c:pt idx="258">
                  <c:v>1.1753516054868602</c:v>
                </c:pt>
                <c:pt idx="259">
                  <c:v>1.1292338457033779</c:v>
                </c:pt>
                <c:pt idx="260">
                  <c:v>1.0834205434042261</c:v>
                </c:pt>
                <c:pt idx="261">
                  <c:v>1.0368775307493816</c:v>
                </c:pt>
                <c:pt idx="262">
                  <c:v>0.99064609933373826</c:v>
                </c:pt>
                <c:pt idx="263">
                  <c:v>0.9447228619943866</c:v>
                </c:pt>
                <c:pt idx="264">
                  <c:v>0.8991044887528965</c:v>
                </c:pt>
                <c:pt idx="265">
                  <c:v>0.85278406660513217</c:v>
                </c:pt>
                <c:pt idx="266">
                  <c:v>0.80677534933347328</c:v>
                </c:pt>
                <c:pt idx="267">
                  <c:v>0.76107495693437044</c:v>
                </c:pt>
                <c:pt idx="268">
                  <c:v>0.71567956634486807</c:v>
                </c:pt>
                <c:pt idx="269">
                  <c:v>0.66950039663537197</c:v>
                </c:pt>
                <c:pt idx="270">
                  <c:v>0.62363426330813554</c:v>
                </c:pt>
                <c:pt idx="271">
                  <c:v>0.57807777399730365</c:v>
                </c:pt>
                <c:pt idx="272">
                  <c:v>0.53282759346577613</c:v>
                </c:pt>
                <c:pt idx="273">
                  <c:v>0.48682399936312953</c:v>
                </c:pt>
                <c:pt idx="274">
                  <c:v>0.44113443949910564</c:v>
                </c:pt>
                <c:pt idx="275">
                  <c:v>0.39575551463952063</c:v>
                </c:pt>
                <c:pt idx="276">
                  <c:v>0.35068388273754364</c:v>
                </c:pt>
                <c:pt idx="277">
                  <c:v>0.30499109112434519</c:v>
                </c:pt>
                <c:pt idx="278">
                  <c:v>0.25961160963475133</c:v>
                </c:pt>
                <c:pt idx="279">
                  <c:v>0.21454206002307241</c:v>
                </c:pt>
                <c:pt idx="280">
                  <c:v>0.16977912066146233</c:v>
                </c:pt>
                <c:pt idx="281">
                  <c:v>0.12411939160188014</c:v>
                </c:pt>
                <c:pt idx="282">
                  <c:v>7.8776183722436166E-2</c:v>
                </c:pt>
                <c:pt idx="283">
                  <c:v>3.3746076224292917E-2</c:v>
                </c:pt>
                <c:pt idx="284">
                  <c:v>-1.0974294232283783E-2</c:v>
                </c:pt>
                <c:pt idx="285">
                  <c:v>-5.62636839445671E-2</c:v>
                </c:pt>
                <c:pt idx="286">
                  <c:v>-0.10123784980123804</c:v>
                </c:pt>
                <c:pt idx="287">
                  <c:v>-0.14590018238944841</c:v>
                </c:pt>
                <c:pt idx="288">
                  <c:v>-0.1902540156252239</c:v>
                </c:pt>
                <c:pt idx="289">
                  <c:v>-0.23543779639696047</c:v>
                </c:pt>
                <c:pt idx="290">
                  <c:v>-0.28030384501474903</c:v>
                </c:pt>
                <c:pt idx="291">
                  <c:v>-0.32485558324451552</c:v>
                </c:pt>
                <c:pt idx="292">
                  <c:v>-0.36909637560968905</c:v>
                </c:pt>
                <c:pt idx="293">
                  <c:v>-0.41404118194728357</c:v>
                </c:pt>
                <c:pt idx="294">
                  <c:v>-0.45866745204066406</c:v>
                </c:pt>
                <c:pt idx="295">
                  <c:v>-0.50297861143739886</c:v>
                </c:pt>
                <c:pt idx="296">
                  <c:v>-0.54697802848832899</c:v>
                </c:pt>
                <c:pt idx="297">
                  <c:v>-0.59165233922180294</c:v>
                </c:pt>
                <c:pt idx="298">
                  <c:v>-0.63600761226357272</c:v>
                </c:pt>
                <c:pt idx="299">
                  <c:v>-0.68004727219595806</c:v>
                </c:pt>
                <c:pt idx="300">
                  <c:v>-0.72377468656310462</c:v>
                </c:pt>
                <c:pt idx="301">
                  <c:v>-0.76814874750996132</c:v>
                </c:pt>
                <c:pt idx="302">
                  <c:v>-0.81220355341112271</c:v>
                </c:pt>
                <c:pt idx="303">
                  <c:v>-0.85594252350187228</c:v>
                </c:pt>
                <c:pt idx="304">
                  <c:v>-0.89936902024189092</c:v>
                </c:pt>
                <c:pt idx="305">
                  <c:v>-0.9435835590227013</c:v>
                </c:pt>
                <c:pt idx="306">
                  <c:v>-0.98747644476498886</c:v>
                </c:pt>
                <c:pt idx="307">
                  <c:v>-1.0310511264971853</c:v>
                </c:pt>
                <c:pt idx="308">
                  <c:v>-1.074310995966882</c:v>
                </c:pt>
                <c:pt idx="309">
                  <c:v>-1.118161104582875</c:v>
                </c:pt>
                <c:pt idx="310">
                  <c:v>-1.1616899630973652</c:v>
                </c:pt>
                <c:pt idx="311">
                  <c:v>-1.2049010056683174</c:v>
                </c:pt>
                <c:pt idx="312">
                  <c:v>-1.2477976096611412</c:v>
                </c:pt>
                <c:pt idx="313">
                  <c:v>-1.2914179083658666</c:v>
                </c:pt>
                <c:pt idx="314">
                  <c:v>-1.3347152404903639</c:v>
                </c:pt>
                <c:pt idx="315">
                  <c:v>-1.3776930595328665</c:v>
                </c:pt>
                <c:pt idx="316">
                  <c:v>-1.4203547619423049</c:v>
                </c:pt>
                <c:pt idx="317">
                  <c:v>-1.4637082111326329</c:v>
                </c:pt>
                <c:pt idx="318">
                  <c:v>-1.5067373386197458</c:v>
                </c:pt>
                <c:pt idx="319">
                  <c:v>-1.5494456117651143</c:v>
                </c:pt>
                <c:pt idx="320">
                  <c:v>-1.5918364407538854</c:v>
                </c:pt>
                <c:pt idx="321">
                  <c:v>-1.6348879981477542</c:v>
                </c:pt>
                <c:pt idx="322">
                  <c:v>-1.6776142213841572</c:v>
                </c:pt>
                <c:pt idx="323">
                  <c:v>-1.7200185865692899</c:v>
                </c:pt>
                <c:pt idx="324">
                  <c:v>-1.7621045126269597</c:v>
                </c:pt>
                <c:pt idx="325">
                  <c:v>-1.8048210643363307</c:v>
                </c:pt>
                <c:pt idx="326">
                  <c:v>-1.8472115938414126</c:v>
                </c:pt>
                <c:pt idx="327">
                  <c:v>-1.8892795812319918</c:v>
                </c:pt>
                <c:pt idx="328">
                  <c:v>-1.9310284495216423</c:v>
                </c:pt>
                <c:pt idx="329">
                  <c:v>-1.9734492865418143</c:v>
                </c:pt>
                <c:pt idx="330">
                  <c:v>-2.0155426332892459</c:v>
                </c:pt>
                <c:pt idx="331">
                  <c:v>-2.057311986769931</c:v>
                </c:pt>
                <c:pt idx="332">
                  <c:v>-2.0987607867462508</c:v>
                </c:pt>
                <c:pt idx="333">
                  <c:v>-2.1407815986764129</c:v>
                </c:pt>
                <c:pt idx="334">
                  <c:v>-2.1824748743394999</c:v>
                </c:pt>
                <c:pt idx="335">
                  <c:v>-2.2238441054850298</c:v>
                </c:pt>
                <c:pt idx="336">
                  <c:v>-2.26489272694125</c:v>
                </c:pt>
                <c:pt idx="337">
                  <c:v>-2.3066184816704913</c:v>
                </c:pt>
                <c:pt idx="338">
                  <c:v>-2.3480148391854492</c:v>
                </c:pt>
                <c:pt idx="339">
                  <c:v>-2.389085315533563</c:v>
                </c:pt>
                <c:pt idx="340">
                  <c:v>-2.4298333695298675</c:v>
                </c:pt>
                <c:pt idx="341">
                  <c:v>-2.4712257262886577</c:v>
                </c:pt>
                <c:pt idx="342">
                  <c:v>-2.5122872102510172</c:v>
                </c:pt>
                <c:pt idx="343">
                  <c:v>-2.5530213562607598</c:v>
                </c:pt>
                <c:pt idx="344">
                  <c:v>-2.5934316417458554</c:v>
                </c:pt>
                <c:pt idx="345">
                  <c:v>-2.6343921767184364</c:v>
                </c:pt>
                <c:pt idx="346">
                  <c:v>-2.6750217352212928</c:v>
                </c:pt>
                <c:pt idx="347">
                  <c:v>-2.7153238496842809</c:v>
                </c:pt>
                <c:pt idx="348">
                  <c:v>-2.7553019954024465</c:v>
                </c:pt>
                <c:pt idx="349">
                  <c:v>-2.7959228742605218</c:v>
                </c:pt>
                <c:pt idx="350">
                  <c:v>-2.8362109927356087</c:v>
                </c:pt>
                <c:pt idx="351">
                  <c:v>-2.8761699084561183</c:v>
                </c:pt>
                <c:pt idx="352">
                  <c:v>-2.9158031216082145</c:v>
                </c:pt>
                <c:pt idx="353">
                  <c:v>-2.9560461515543142</c:v>
                </c:pt>
                <c:pt idx="354">
                  <c:v>-2.9959550307358662</c:v>
                </c:pt>
                <c:pt idx="355">
                  <c:v>-3.0355333365325805</c:v>
                </c:pt>
                <c:pt idx="356">
                  <c:v>-3.0747845886982104</c:v>
                </c:pt>
                <c:pt idx="357">
                  <c:v>-3.1145573854789941</c:v>
                </c:pt>
                <c:pt idx="358">
                  <c:v>-3.153995963515885</c:v>
                </c:pt>
                <c:pt idx="359">
                  <c:v>-3.1931038996544987</c:v>
                </c:pt>
                <c:pt idx="360">
                  <c:v>-3.2318847133691362</c:v>
                </c:pt>
                <c:pt idx="361">
                  <c:v>-3.271267862493807</c:v>
                </c:pt>
                <c:pt idx="362">
                  <c:v>-3.3103151707232188</c:v>
                </c:pt>
                <c:pt idx="363">
                  <c:v>-3.3490302402131173</c:v>
                </c:pt>
                <c:pt idx="364">
                  <c:v>-3.38741661545424</c:v>
                </c:pt>
                <c:pt idx="365">
                  <c:v>-3.4263199210007143</c:v>
                </c:pt>
                <c:pt idx="366">
                  <c:v>-3.4648870723187408</c:v>
                </c:pt>
                <c:pt idx="367">
                  <c:v>-3.5031216768902067</c:v>
                </c:pt>
                <c:pt idx="368">
                  <c:v>-3.5410272846662103</c:v>
                </c:pt>
                <c:pt idx="369">
                  <c:v>-3.5795224194904089</c:v>
                </c:pt>
                <c:pt idx="370">
                  <c:v>-3.6176796314330906</c:v>
                </c:pt>
                <c:pt idx="371">
                  <c:v>-3.6555025577513884</c:v>
                </c:pt>
                <c:pt idx="372">
                  <c:v>-3.6929947777882584</c:v>
                </c:pt>
                <c:pt idx="373">
                  <c:v>-3.7309940082250188</c:v>
                </c:pt>
                <c:pt idx="374">
                  <c:v>-3.7686548414470886</c:v>
                </c:pt>
                <c:pt idx="375">
                  <c:v>-3.805980924789595</c:v>
                </c:pt>
                <c:pt idx="376">
                  <c:v>-3.8429758477073324</c:v>
                </c:pt>
                <c:pt idx="377">
                  <c:v>-3.8805426403038745</c:v>
                </c:pt>
                <c:pt idx="378">
                  <c:v>-3.9177691987104852</c:v>
                </c:pt>
                <c:pt idx="379">
                  <c:v>-3.9546592035191948</c:v>
                </c:pt>
                <c:pt idx="380">
                  <c:v>-3.9912162769845949</c:v>
                </c:pt>
                <c:pt idx="381">
                  <c:v>-4.0282199739038997</c:v>
                </c:pt>
                <c:pt idx="382">
                  <c:v>-4.0648837169425303</c:v>
                </c:pt>
                <c:pt idx="383">
                  <c:v>-4.1012111869277099</c:v>
                </c:pt>
                <c:pt idx="384">
                  <c:v>-4.1372060065841971</c:v>
                </c:pt>
                <c:pt idx="385">
                  <c:v>-4.1737515022471054</c:v>
                </c:pt>
                <c:pt idx="386">
                  <c:v>-4.209955176702918</c:v>
                </c:pt>
                <c:pt idx="387">
                  <c:v>-4.2458207470910816</c:v>
                </c:pt>
                <c:pt idx="388">
                  <c:v>-4.28135187191985</c:v>
                </c:pt>
                <c:pt idx="389">
                  <c:v>-4.3173570053317949</c:v>
                </c:pt>
                <c:pt idx="390">
                  <c:v>-4.3530197118235794</c:v>
                </c:pt>
                <c:pt idx="391">
                  <c:v>-4.3883437256902296</c:v>
                </c:pt>
                <c:pt idx="392">
                  <c:v>-4.4233327224615797</c:v>
                </c:pt>
                <c:pt idx="393">
                  <c:v>-4.4587649050191427</c:v>
                </c:pt>
                <c:pt idx="394">
                  <c:v>-4.4938544421653726</c:v>
                </c:pt>
                <c:pt idx="395">
                  <c:v>-4.5286050803365807</c:v>
                </c:pt>
                <c:pt idx="396">
                  <c:v>-4.5630205071644436</c:v>
                </c:pt>
                <c:pt idx="397">
                  <c:v>-4.5979277292400269</c:v>
                </c:pt>
                <c:pt idx="398">
                  <c:v>-4.6324909142528501</c:v>
                </c:pt>
                <c:pt idx="399">
                  <c:v>-4.6667138413507079</c:v>
                </c:pt>
                <c:pt idx="400">
                  <c:v>-4.7006002303957768</c:v>
                </c:pt>
                <c:pt idx="401">
                  <c:v>-4.7349073451663486</c:v>
                </c:pt>
                <c:pt idx="402">
                  <c:v>-4.7688702397423874</c:v>
                </c:pt>
                <c:pt idx="403">
                  <c:v>-4.8024927075308419</c:v>
                </c:pt>
                <c:pt idx="404">
                  <c:v>-4.8357784825423424</c:v>
                </c:pt>
                <c:pt idx="405">
                  <c:v>-4.869491126445344</c:v>
                </c:pt>
                <c:pt idx="406">
                  <c:v>-4.9028590122966618</c:v>
                </c:pt>
                <c:pt idx="407">
                  <c:v>-4.9358859549603249</c:v>
                </c:pt>
                <c:pt idx="408">
                  <c:v>-4.9685757096259584</c:v>
                </c:pt>
                <c:pt idx="409">
                  <c:v>-5.0016958458849423</c:v>
                </c:pt>
                <c:pt idx="410">
                  <c:v>-5.0344703779776854</c:v>
                </c:pt>
                <c:pt idx="411">
                  <c:v>-5.0669031487321101</c:v>
                </c:pt>
                <c:pt idx="412">
                  <c:v>-5.0989979408682675</c:v>
                </c:pt>
                <c:pt idx="413">
                  <c:v>-5.1314908257156819</c:v>
                </c:pt>
                <c:pt idx="414">
                  <c:v>-5.1636377049272362</c:v>
                </c:pt>
                <c:pt idx="415">
                  <c:v>-5.1954424432917703</c:v>
                </c:pt>
                <c:pt idx="416">
                  <c:v>-5.2269088451588761</c:v>
                </c:pt>
                <c:pt idx="417">
                  <c:v>-5.258774046133925</c:v>
                </c:pt>
                <c:pt idx="418">
                  <c:v>-5.2902925717877958</c:v>
                </c:pt>
                <c:pt idx="419">
                  <c:v>-5.3214683147134201</c:v>
                </c:pt>
                <c:pt idx="420">
                  <c:v>-5.3523051065856357</c:v>
                </c:pt>
                <c:pt idx="421">
                  <c:v>-5.383478042546356</c:v>
                </c:pt>
                <c:pt idx="422">
                  <c:v>-5.4143047632384604</c:v>
                </c:pt>
                <c:pt idx="423">
                  <c:v>-5.4447891713483099</c:v>
                </c:pt>
                <c:pt idx="424">
                  <c:v>-5.4749351085048676</c:v>
                </c:pt>
                <c:pt idx="425">
                  <c:v>-5.5054757137920838</c:v>
                </c:pt>
                <c:pt idx="426">
                  <c:v>-5.535668960386646</c:v>
                </c:pt>
                <c:pt idx="427">
                  <c:v>-5.5655187893722138</c:v>
                </c:pt>
                <c:pt idx="428">
                  <c:v>-5.5950290800145011</c:v>
                </c:pt>
                <c:pt idx="429">
                  <c:v>-5.6248723344645937</c:v>
                </c:pt>
                <c:pt idx="430">
                  <c:v>-5.6543682355711544</c:v>
                </c:pt>
                <c:pt idx="431">
                  <c:v>-5.6835207445821778</c:v>
                </c:pt>
                <c:pt idx="432">
                  <c:v>-5.7123337605115072</c:v>
                </c:pt>
                <c:pt idx="433">
                  <c:v>-5.7414490269799394</c:v>
                </c:pt>
                <c:pt idx="434">
                  <c:v>-5.7702173785549826</c:v>
                </c:pt>
                <c:pt idx="435">
                  <c:v>-5.7986427902767979</c:v>
                </c:pt>
                <c:pt idx="436">
                  <c:v>-5.826729174630608</c:v>
                </c:pt>
                <c:pt idx="437">
                  <c:v>-5.8551388807866678</c:v>
                </c:pt>
                <c:pt idx="438">
                  <c:v>-5.8832012832917089</c:v>
                </c:pt>
                <c:pt idx="439">
                  <c:v>-5.9109203861180406</c:v>
                </c:pt>
                <c:pt idx="440">
                  <c:v>-5.9383001300032454</c:v>
                </c:pt>
                <c:pt idx="441">
                  <c:v>-5.9659710505277097</c:v>
                </c:pt>
                <c:pt idx="442">
                  <c:v>-5.9932947533033669</c:v>
                </c:pt>
                <c:pt idx="443">
                  <c:v>-6.0202752639465711</c:v>
                </c:pt>
                <c:pt idx="444">
                  <c:v>-6.0469165442667627</c:v>
                </c:pt>
                <c:pt idx="445">
                  <c:v>-6.073818050614058</c:v>
                </c:pt>
                <c:pt idx="446">
                  <c:v>-6.1003728749315878</c:v>
                </c:pt>
                <c:pt idx="447">
                  <c:v>-6.1265850573431413</c:v>
                </c:pt>
                <c:pt idx="448">
                  <c:v>-6.1524585736958954</c:v>
                </c:pt>
                <c:pt idx="449">
                  <c:v>-6.178606011909241</c:v>
                </c:pt>
                <c:pt idx="450">
                  <c:v>-6.2044065747282211</c:v>
                </c:pt>
                <c:pt idx="451">
                  <c:v>-6.2298643300339691</c:v>
                </c:pt>
                <c:pt idx="452">
                  <c:v>-6.2549832806284762</c:v>
                </c:pt>
                <c:pt idx="453">
                  <c:v>-6.2803235025314876</c:v>
                </c:pt>
                <c:pt idx="454">
                  <c:v>-6.3053177001421474</c:v>
                </c:pt>
                <c:pt idx="455">
                  <c:v>-6.329969951121738</c:v>
                </c:pt>
                <c:pt idx="456">
                  <c:v>-6.3542842675771514</c:v>
                </c:pt>
                <c:pt idx="457">
                  <c:v>-6.3788296635753303</c:v>
                </c:pt>
                <c:pt idx="458">
                  <c:v>-6.4030291998517725</c:v>
                </c:pt>
                <c:pt idx="459">
                  <c:v>-6.426886976038535</c:v>
                </c:pt>
                <c:pt idx="460">
                  <c:v>-6.450407025418917</c:v>
                </c:pt>
                <c:pt idx="461">
                  <c:v>-6.4741268813871011</c:v>
                </c:pt>
                <c:pt idx="462">
                  <c:v>-6.4975015068538706</c:v>
                </c:pt>
                <c:pt idx="463">
                  <c:v>-6.5205350150774315</c:v>
                </c:pt>
                <c:pt idx="464">
                  <c:v>-6.5432314522891879</c:v>
                </c:pt>
                <c:pt idx="465">
                  <c:v>-6.5661149768932567</c:v>
                </c:pt>
                <c:pt idx="466">
                  <c:v>-6.5886538114274114</c:v>
                </c:pt>
                <c:pt idx="467">
                  <c:v>-6.6108520839471705</c:v>
                </c:pt>
                <c:pt idx="468">
                  <c:v>-6.6327138547111968</c:v>
                </c:pt>
                <c:pt idx="469">
                  <c:v>-6.6547322907102249</c:v>
                </c:pt>
                <c:pt idx="470">
                  <c:v>-6.6764070188139213</c:v>
                </c:pt>
                <c:pt idx="471">
                  <c:v>-6.697742173229341</c:v>
                </c:pt>
                <c:pt idx="472">
                  <c:v>-6.7187418197159845</c:v>
                </c:pt>
                <c:pt idx="473">
                  <c:v>-6.7398995041290259</c:v>
                </c:pt>
                <c:pt idx="474">
                  <c:v>-6.7607138773261486</c:v>
                </c:pt>
                <c:pt idx="475">
                  <c:v>-6.7811890891494775</c:v>
                </c:pt>
                <c:pt idx="476">
                  <c:v>-6.8013292200579114</c:v>
                </c:pt>
                <c:pt idx="477">
                  <c:v>-6.8215963824415313</c:v>
                </c:pt>
                <c:pt idx="478">
                  <c:v>-6.8415210801388815</c:v>
                </c:pt>
                <c:pt idx="479">
                  <c:v>-6.8611074690981759</c:v>
                </c:pt>
                <c:pt idx="480">
                  <c:v>-6.8803596350790661</c:v>
                </c:pt>
                <c:pt idx="481">
                  <c:v>-6.8997090471616467</c:v>
                </c:pt>
                <c:pt idx="482">
                  <c:v>-6.9187172542889783</c:v>
                </c:pt>
                <c:pt idx="483">
                  <c:v>-6.9373884091368945</c:v>
                </c:pt>
                <c:pt idx="484">
                  <c:v>-6.9557265935149051</c:v>
                </c:pt>
                <c:pt idx="485">
                  <c:v>-6.9741458455430472</c:v>
                </c:pt>
                <c:pt idx="486">
                  <c:v>-6.9922250678678832</c:v>
                </c:pt>
                <c:pt idx="487">
                  <c:v>-7.0099684090797387</c:v>
                </c:pt>
                <c:pt idx="488">
                  <c:v>-7.0273799461545208</c:v>
                </c:pt>
                <c:pt idx="489">
                  <c:v>-7.044866752967045</c:v>
                </c:pt>
                <c:pt idx="490">
                  <c:v>-7.0620141813739421</c:v>
                </c:pt>
                <c:pt idx="491">
                  <c:v>-7.0788263826253237</c:v>
                </c:pt>
                <c:pt idx="492">
                  <c:v>-7.0953074353557524</c:v>
                </c:pt>
                <c:pt idx="493">
                  <c:v>-7.1118334058463164</c:v>
                </c:pt>
                <c:pt idx="494">
                  <c:v>-7.1280210500224612</c:v>
                </c:pt>
                <c:pt idx="495">
                  <c:v>-7.1438745110948565</c:v>
                </c:pt>
                <c:pt idx="496">
                  <c:v>-7.1593978587967788</c:v>
                </c:pt>
                <c:pt idx="497">
                  <c:v>-7.1749467100476298</c:v>
                </c:pt>
                <c:pt idx="498">
                  <c:v>-7.190158218349044</c:v>
                </c:pt>
                <c:pt idx="499">
                  <c:v>-7.2050365161197973</c:v>
                </c:pt>
                <c:pt idx="500">
                  <c:v>-7.2195856613879741</c:v>
                </c:pt>
                <c:pt idx="501">
                  <c:v>-7.2341399125748946</c:v>
                </c:pt>
                <c:pt idx="502">
                  <c:v>-7.248357733997576</c:v>
                </c:pt>
                <c:pt idx="503">
                  <c:v>-7.2622432438631881</c:v>
                </c:pt>
                <c:pt idx="504">
                  <c:v>-7.2758004850274229</c:v>
                </c:pt>
                <c:pt idx="505">
                  <c:v>-7.2893333840076497</c:v>
                </c:pt>
                <c:pt idx="506">
                  <c:v>-7.3025310951497406</c:v>
                </c:pt>
                <c:pt idx="507">
                  <c:v>-7.3153977109632917</c:v>
                </c:pt>
                <c:pt idx="508">
                  <c:v>-7.3279372477842415</c:v>
                </c:pt>
                <c:pt idx="509">
                  <c:v>-7.340431387133842</c:v>
                </c:pt>
                <c:pt idx="510">
                  <c:v>-7.3525914655424796</c:v>
                </c:pt>
                <c:pt idx="511">
                  <c:v>-7.3644215456214859</c:v>
                </c:pt>
                <c:pt idx="512">
                  <c:v>-7.3759256129343846</c:v>
                </c:pt>
                <c:pt idx="513">
                  <c:v>-7.3873688324065103</c:v>
                </c:pt>
                <c:pt idx="514">
                  <c:v>-7.3984786075931037</c:v>
                </c:pt>
                <c:pt idx="515">
                  <c:v>-7.409258973199341</c:v>
                </c:pt>
                <c:pt idx="516">
                  <c:v>-7.4197138857783154</c:v>
                </c:pt>
                <c:pt idx="517">
                  <c:v>-7.4300781493571044</c:v>
                </c:pt>
                <c:pt idx="518">
                  <c:v>-7.4401098451931622</c:v>
                </c:pt>
                <c:pt idx="519">
                  <c:v>-7.4498129670106428</c:v>
                </c:pt>
                <c:pt idx="520">
                  <c:v>-7.4591914294075696</c:v>
                </c:pt>
                <c:pt idx="521">
                  <c:v>-7.4684554571960859</c:v>
                </c:pt>
                <c:pt idx="522">
                  <c:v>-7.4773876292705346</c:v>
                </c:pt>
                <c:pt idx="523">
                  <c:v>-7.4859918917996415</c:v>
                </c:pt>
                <c:pt idx="524">
                  <c:v>-7.4942721107921333</c:v>
                </c:pt>
                <c:pt idx="525">
                  <c:v>-7.5024132079788854</c:v>
                </c:pt>
                <c:pt idx="526">
                  <c:v>-7.5102229707238424</c:v>
                </c:pt>
                <c:pt idx="527">
                  <c:v>-7.5177052901492942</c:v>
                </c:pt>
                <c:pt idx="528">
                  <c:v>-7.5248639761145899</c:v>
                </c:pt>
                <c:pt idx="529">
                  <c:v>-7.5318579394965637</c:v>
                </c:pt>
                <c:pt idx="530">
                  <c:v>-7.5385208668785051</c:v>
                </c:pt>
                <c:pt idx="531">
                  <c:v>-7.54485658583559</c:v>
                </c:pt>
                <c:pt idx="532">
                  <c:v>-7.5508688414952116</c:v>
                </c:pt>
                <c:pt idx="533">
                  <c:v>-7.5566927561169841</c:v>
                </c:pt>
                <c:pt idx="534">
                  <c:v>-7.5621853319147991</c:v>
                </c:pt>
                <c:pt idx="535">
                  <c:v>-7.5673503290420188</c:v>
                </c:pt>
                <c:pt idx="536">
                  <c:v>-7.5721914237483769</c:v>
                </c:pt>
                <c:pt idx="537">
                  <c:v>-7.5768111580435491</c:v>
                </c:pt>
                <c:pt idx="538">
                  <c:v>-7.5810996308500052</c:v>
                </c:pt>
                <c:pt idx="539">
                  <c:v>-7.5850605123216468</c:v>
                </c:pt>
                <c:pt idx="540">
                  <c:v>-7.5886973874751593</c:v>
                </c:pt>
                <c:pt idx="541">
                  <c:v>-7.5920885381469834</c:v>
                </c:pt>
                <c:pt idx="542">
                  <c:v>-7.5951474702598096</c:v>
                </c:pt>
                <c:pt idx="543">
                  <c:v>-7.5978777627655152</c:v>
                </c:pt>
                <c:pt idx="544">
                  <c:v>-7.6002829077463954</c:v>
                </c:pt>
                <c:pt idx="545">
                  <c:v>-7.6024107861734445</c:v>
                </c:pt>
                <c:pt idx="546">
                  <c:v>-7.6042054034271498</c:v>
                </c:pt>
                <c:pt idx="547">
                  <c:v>-7.6056702275468213</c:v>
                </c:pt>
                <c:pt idx="548">
                  <c:v>-7.6068086379484061</c:v>
                </c:pt>
                <c:pt idx="549">
                  <c:v>-7.607638981440136</c:v>
                </c:pt>
                <c:pt idx="550">
                  <c:v>-7.6081345217265293</c:v>
                </c:pt>
                <c:pt idx="551">
                  <c:v>-7.60829859992847</c:v>
                </c:pt>
                <c:pt idx="552">
                  <c:v>-7.6081344665449464</c:v>
                </c:pt>
                <c:pt idx="553">
                  <c:v>-7.6076298765057535</c:v>
                </c:pt>
                <c:pt idx="554">
                  <c:v>-7.6067880469558293</c:v>
                </c:pt>
                <c:pt idx="555">
                  <c:v>-7.6056121781343702</c:v>
                </c:pt>
                <c:pt idx="556">
                  <c:v>-7.6041053771816909</c:v>
                </c:pt>
                <c:pt idx="557">
                  <c:v>-7.60000168743389</c:v>
                </c:pt>
                <c:pt idx="558">
                  <c:v>-7.5945486606866464</c:v>
                </c:pt>
                <c:pt idx="559">
                  <c:v>-7.5875986920384175</c:v>
                </c:pt>
                <c:pt idx="560">
                  <c:v>-7.5792842168344441</c:v>
                </c:pt>
                <c:pt idx="561">
                  <c:v>-7.5693815488412266</c:v>
                </c:pt>
                <c:pt idx="562">
                  <c:v>-7.5580929554293599</c:v>
                </c:pt>
                <c:pt idx="563">
                  <c:v>-7.5451518709018774</c:v>
                </c:pt>
                <c:pt idx="564">
                  <c:v>-7.530804819161343</c:v>
                </c:pt>
                <c:pt idx="565">
                  <c:v>-7.514654990903602</c:v>
                </c:pt>
                <c:pt idx="566">
                  <c:v>-7.4970631983129294</c:v>
                </c:pt>
                <c:pt idx="567">
                  <c:v>-7.4775593139248429</c:v>
                </c:pt>
                <c:pt idx="568">
                  <c:v>-7.4565724247602008</c:v>
                </c:pt>
                <c:pt idx="569">
                  <c:v>-7.4336511180267113</c:v>
                </c:pt>
                <c:pt idx="570">
                  <c:v>-7.4092114159625124</c:v>
                </c:pt>
                <c:pt idx="571">
                  <c:v>-7.3825290954286071</c:v>
                </c:pt>
                <c:pt idx="572">
                  <c:v>-7.354261527020034</c:v>
                </c:pt>
                <c:pt idx="573">
                  <c:v>-7.3238293445107061</c:v>
                </c:pt>
                <c:pt idx="574">
                  <c:v>-7.2917600906333204</c:v>
                </c:pt>
                <c:pt idx="575">
                  <c:v>-7.2571491249968512</c:v>
                </c:pt>
                <c:pt idx="576">
                  <c:v>-7.2208136340403168</c:v>
                </c:pt>
                <c:pt idx="577">
                  <c:v>-7.0477286471073501</c:v>
                </c:pt>
                <c:pt idx="578">
                  <c:v>-6.8426970374341671</c:v>
                </c:pt>
                <c:pt idx="579">
                  <c:v>-6.2710143363062816</c:v>
                </c:pt>
                <c:pt idx="580">
                  <c:v>-5.4061409965401719</c:v>
                </c:pt>
                <c:pt idx="581">
                  <c:v>-4.0421115914563268</c:v>
                </c:pt>
                <c:pt idx="582">
                  <c:v>-1.6826340132028084</c:v>
                </c:pt>
                <c:pt idx="583">
                  <c:v>3.1879001122397179</c:v>
                </c:pt>
                <c:pt idx="584">
                  <c:v>27.008069947937837</c:v>
                </c:pt>
                <c:pt idx="585">
                  <c:v>4.6120970341934351</c:v>
                </c:pt>
                <c:pt idx="586">
                  <c:v>-0.17578154483570532</c:v>
                </c:pt>
                <c:pt idx="587">
                  <c:v>-1.6701700842728864</c:v>
                </c:pt>
                <c:pt idx="588">
                  <c:v>-1.7764901905668793</c:v>
                </c:pt>
                <c:pt idx="589">
                  <c:v>-0.97009902491106614</c:v>
                </c:pt>
                <c:pt idx="590">
                  <c:v>1.1280201943034935</c:v>
                </c:pt>
                <c:pt idx="591">
                  <c:v>7.7902195542481607</c:v>
                </c:pt>
                <c:pt idx="592">
                  <c:v>11.265381735963151</c:v>
                </c:pt>
                <c:pt idx="593">
                  <c:v>3.8053548759654872</c:v>
                </c:pt>
                <c:pt idx="594">
                  <c:v>3.4697070969324169</c:v>
                </c:pt>
                <c:pt idx="595">
                  <c:v>6.0977152726230157</c:v>
                </c:pt>
                <c:pt idx="596">
                  <c:v>48.884998382168526</c:v>
                </c:pt>
                <c:pt idx="597">
                  <c:v>7.9287516778088438</c:v>
                </c:pt>
                <c:pt idx="598">
                  <c:v>8.2474386849311134</c:v>
                </c:pt>
                <c:pt idx="599">
                  <c:v>23.747968767625025</c:v>
                </c:pt>
                <c:pt idx="600">
                  <c:v>11.128104415097832</c:v>
                </c:pt>
              </c:numCache>
            </c:numRef>
          </c:yVal>
          <c:smooth val="0"/>
          <c:extLst>
            <c:ext xmlns:c16="http://schemas.microsoft.com/office/drawing/2014/chart" uri="{C3380CC4-5D6E-409C-BE32-E72D297353CC}">
              <c16:uniqueId val="{00000002-C943-44AE-BE69-B37F145E1EAF}"/>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7.0760867315253356E-5</c:v>
                </c:pt>
                <c:pt idx="1">
                  <c:v>78.89653095820826</c:v>
                </c:pt>
                <c:pt idx="2">
                  <c:v>82.784968430880141</c:v>
                </c:pt>
                <c:pt idx="3">
                  <c:v>84.095815264828673</c:v>
                </c:pt>
                <c:pt idx="4">
                  <c:v>84.699763125016588</c:v>
                </c:pt>
                <c:pt idx="5">
                  <c:v>85.003774247528526</c:v>
                </c:pt>
                <c:pt idx="6">
                  <c:v>85.149180611651275</c:v>
                </c:pt>
                <c:pt idx="7">
                  <c:v>85.198365424406703</c:v>
                </c:pt>
                <c:pt idx="8">
                  <c:v>85.183344363151804</c:v>
                </c:pt>
                <c:pt idx="9">
                  <c:v>85.122372500510906</c:v>
                </c:pt>
                <c:pt idx="10">
                  <c:v>85.026710058553235</c:v>
                </c:pt>
                <c:pt idx="11">
                  <c:v>84.90374329815738</c:v>
                </c:pt>
                <c:pt idx="12">
                  <c:v>84.75856480579148</c:v>
                </c:pt>
                <c:pt idx="13">
                  <c:v>84.594834218663863</c:v>
                </c:pt>
                <c:pt idx="14">
                  <c:v>84.415275413845535</c:v>
                </c:pt>
                <c:pt idx="15">
                  <c:v>84.221977977357014</c:v>
                </c:pt>
                <c:pt idx="16">
                  <c:v>84.016587606769647</c:v>
                </c:pt>
                <c:pt idx="17">
                  <c:v>83.800430626384511</c:v>
                </c:pt>
                <c:pt idx="18">
                  <c:v>83.574597903886726</c:v>
                </c:pt>
                <c:pt idx="19">
                  <c:v>83.340002914656139</c:v>
                </c:pt>
                <c:pt idx="20">
                  <c:v>83.097422863054675</c:v>
                </c:pt>
                <c:pt idx="21">
                  <c:v>82.555179567393438</c:v>
                </c:pt>
                <c:pt idx="22">
                  <c:v>82.028993223834277</c:v>
                </c:pt>
                <c:pt idx="23">
                  <c:v>82.158265948089209</c:v>
                </c:pt>
                <c:pt idx="24">
                  <c:v>82.277257858822651</c:v>
                </c:pt>
                <c:pt idx="25">
                  <c:v>82.387075243760648</c:v>
                </c:pt>
                <c:pt idx="26">
                  <c:v>82.488669512442286</c:v>
                </c:pt>
                <c:pt idx="27">
                  <c:v>82.582863671192598</c:v>
                </c:pt>
                <c:pt idx="28">
                  <c:v>82.670373502957432</c:v>
                </c:pt>
                <c:pt idx="29">
                  <c:v>82.751824655172953</c:v>
                </c:pt>
                <c:pt idx="30">
                  <c:v>82.827766534786775</c:v>
                </c:pt>
                <c:pt idx="31">
                  <c:v>82.898683689596382</c:v>
                </c:pt>
                <c:pt idx="32">
                  <c:v>82.96500519407428</c:v>
                </c:pt>
                <c:pt idx="33">
                  <c:v>83.027112438704847</c:v>
                </c:pt>
                <c:pt idx="34">
                  <c:v>83.085345632785035</c:v>
                </c:pt>
                <c:pt idx="35">
                  <c:v>83.140009263408402</c:v>
                </c:pt>
                <c:pt idx="36">
                  <c:v>83.191376702154145</c:v>
                </c:pt>
                <c:pt idx="37">
                  <c:v>83.239694111683946</c:v>
                </c:pt>
                <c:pt idx="38">
                  <c:v>83.285183774018961</c:v>
                </c:pt>
                <c:pt idx="39">
                  <c:v>83.328046938539643</c:v>
                </c:pt>
                <c:pt idx="40">
                  <c:v>83.36846626911985</c:v>
                </c:pt>
                <c:pt idx="41">
                  <c:v>83.406607955079409</c:v>
                </c:pt>
                <c:pt idx="42">
                  <c:v>83.442623538926981</c:v>
                </c:pt>
                <c:pt idx="43">
                  <c:v>83.476651504493461</c:v>
                </c:pt>
                <c:pt idx="44">
                  <c:v>83.508818661516543</c:v>
                </c:pt>
                <c:pt idx="45">
                  <c:v>83.539241356638414</c:v>
                </c:pt>
                <c:pt idx="46">
                  <c:v>83.568026535819854</c:v>
                </c:pt>
                <c:pt idx="47">
                  <c:v>83.595272679123909</c:v>
                </c:pt>
                <c:pt idx="48">
                  <c:v>83.621070625497069</c:v>
                </c:pt>
                <c:pt idx="49">
                  <c:v>83.645504302435995</c:v>
                </c:pt>
                <c:pt idx="50">
                  <c:v>83.668651373158639</c:v>
                </c:pt>
                <c:pt idx="51">
                  <c:v>83.690583812013287</c:v>
                </c:pt>
                <c:pt idx="52">
                  <c:v>83.711368417285271</c:v>
                </c:pt>
                <c:pt idx="53">
                  <c:v>83.731067269243582</c:v>
                </c:pt>
                <c:pt idx="54">
                  <c:v>83.749738140162037</c:v>
                </c:pt>
                <c:pt idx="55">
                  <c:v>83.767434862115735</c:v>
                </c:pt>
                <c:pt idx="56">
                  <c:v>83.784207657562916</c:v>
                </c:pt>
                <c:pt idx="57">
                  <c:v>83.800103437052115</c:v>
                </c:pt>
                <c:pt idx="58">
                  <c:v>83.815166067822915</c:v>
                </c:pt>
                <c:pt idx="59">
                  <c:v>83.829436616581205</c:v>
                </c:pt>
                <c:pt idx="60">
                  <c:v>83.850432066703689</c:v>
                </c:pt>
                <c:pt idx="61">
                  <c:v>84.153428989641313</c:v>
                </c:pt>
                <c:pt idx="62">
                  <c:v>84.444887030692243</c:v>
                </c:pt>
                <c:pt idx="63">
                  <c:v>84.72536438249179</c:v>
                </c:pt>
                <c:pt idx="64">
                  <c:v>84.995399765292774</c:v>
                </c:pt>
                <c:pt idx="65">
                  <c:v>85.255542996263671</c:v>
                </c:pt>
                <c:pt idx="66">
                  <c:v>85.506195238699533</c:v>
                </c:pt>
                <c:pt idx="67">
                  <c:v>85.747799440162169</c:v>
                </c:pt>
                <c:pt idx="68">
                  <c:v>85.980774071841623</c:v>
                </c:pt>
                <c:pt idx="69">
                  <c:v>86.205514645481259</c:v>
                </c:pt>
                <c:pt idx="70">
                  <c:v>85.740311406468265</c:v>
                </c:pt>
                <c:pt idx="71">
                  <c:v>85.842746448502155</c:v>
                </c:pt>
                <c:pt idx="72">
                  <c:v>85.94253078669351</c:v>
                </c:pt>
                <c:pt idx="73">
                  <c:v>86.039755770100712</c:v>
                </c:pt>
                <c:pt idx="74">
                  <c:v>86.13450856945812</c:v>
                </c:pt>
                <c:pt idx="75">
                  <c:v>86.226872414377837</c:v>
                </c:pt>
                <c:pt idx="76">
                  <c:v>86.316926814480681</c:v>
                </c:pt>
                <c:pt idx="77">
                  <c:v>86.404747765720558</c:v>
                </c:pt>
                <c:pt idx="78">
                  <c:v>86.490407943053299</c:v>
                </c:pt>
                <c:pt idx="79">
                  <c:v>86.573976880499202</c:v>
                </c:pt>
                <c:pt idx="80">
                  <c:v>86.655521139557109</c:v>
                </c:pt>
                <c:pt idx="81">
                  <c:v>86.735104466844035</c:v>
                </c:pt>
                <c:pt idx="82">
                  <c:v>86.812787941761144</c:v>
                </c:pt>
                <c:pt idx="83">
                  <c:v>86.888630114917859</c:v>
                </c:pt>
                <c:pt idx="84">
                  <c:v>86.962687137985867</c:v>
                </c:pt>
                <c:pt idx="85">
                  <c:v>87.035012885598235</c:v>
                </c:pt>
                <c:pt idx="86">
                  <c:v>87.10565906985957</c:v>
                </c:pt>
                <c:pt idx="87">
                  <c:v>87.174675347986749</c:v>
                </c:pt>
                <c:pt idx="88">
                  <c:v>87.24210942355829</c:v>
                </c:pt>
                <c:pt idx="89">
                  <c:v>87.308007141812823</c:v>
                </c:pt>
                <c:pt idx="90">
                  <c:v>87.37241257940245</c:v>
                </c:pt>
                <c:pt idx="91">
                  <c:v>87.435368128975213</c:v>
                </c:pt>
                <c:pt idx="92">
                  <c:v>87.49691457893249</c:v>
                </c:pt>
                <c:pt idx="93">
                  <c:v>87.557091188680332</c:v>
                </c:pt>
                <c:pt idx="94">
                  <c:v>87.615935759670521</c:v>
                </c:pt>
                <c:pt idx="95">
                  <c:v>87.673484702504169</c:v>
                </c:pt>
                <c:pt idx="96">
                  <c:v>87.729773100351309</c:v>
                </c:pt>
                <c:pt idx="97">
                  <c:v>87.784834768920987</c:v>
                </c:pt>
                <c:pt idx="98">
                  <c:v>87.838702313199647</c:v>
                </c:pt>
                <c:pt idx="99">
                  <c:v>87.891407181159423</c:v>
                </c:pt>
                <c:pt idx="100">
                  <c:v>87.359896221666105</c:v>
                </c:pt>
              </c:numCache>
            </c:numRef>
          </c:val>
          <c:smooth val="0"/>
          <c:extLst>
            <c:ext xmlns:c16="http://schemas.microsoft.com/office/drawing/2014/chart" uri="{C3380CC4-5D6E-409C-BE32-E72D297353CC}">
              <c16:uniqueId val="{00000000-9FB2-40F7-8293-C6828AB4E751}"/>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1.065E-6</c:v>
                </c:pt>
                <c:pt idx="1">
                  <c:v>7.3218749999999995</c:v>
                </c:pt>
                <c:pt idx="2">
                  <c:v>14.643749999999999</c:v>
                </c:pt>
                <c:pt idx="3">
                  <c:v>21.965624999999999</c:v>
                </c:pt>
                <c:pt idx="4">
                  <c:v>29.287499999999998</c:v>
                </c:pt>
                <c:pt idx="5">
                  <c:v>36.609375</c:v>
                </c:pt>
                <c:pt idx="6">
                  <c:v>43.931249999999999</c:v>
                </c:pt>
                <c:pt idx="7">
                  <c:v>51.253124999999997</c:v>
                </c:pt>
                <c:pt idx="8">
                  <c:v>58.574999999999996</c:v>
                </c:pt>
                <c:pt idx="9">
                  <c:v>65.896874999999994</c:v>
                </c:pt>
                <c:pt idx="10">
                  <c:v>73.21875</c:v>
                </c:pt>
                <c:pt idx="11">
                  <c:v>80.540624999999991</c:v>
                </c:pt>
                <c:pt idx="12">
                  <c:v>87.862499999999997</c:v>
                </c:pt>
                <c:pt idx="13">
                  <c:v>95.184374999999989</c:v>
                </c:pt>
                <c:pt idx="14">
                  <c:v>102.50624999999999</c:v>
                </c:pt>
                <c:pt idx="15">
                  <c:v>109.828125</c:v>
                </c:pt>
                <c:pt idx="16">
                  <c:v>117.14999999999999</c:v>
                </c:pt>
                <c:pt idx="17">
                  <c:v>124.47187499999998</c:v>
                </c:pt>
                <c:pt idx="18">
                  <c:v>131.79374999999999</c:v>
                </c:pt>
                <c:pt idx="19">
                  <c:v>139.11562499999997</c:v>
                </c:pt>
                <c:pt idx="20">
                  <c:v>146.4375</c:v>
                </c:pt>
                <c:pt idx="21">
                  <c:v>153.75937499999998</c:v>
                </c:pt>
                <c:pt idx="22">
                  <c:v>161.08124999999998</c:v>
                </c:pt>
                <c:pt idx="23">
                  <c:v>168.40312499999999</c:v>
                </c:pt>
                <c:pt idx="24">
                  <c:v>175.72499999999999</c:v>
                </c:pt>
                <c:pt idx="25">
                  <c:v>183.046875</c:v>
                </c:pt>
                <c:pt idx="26">
                  <c:v>190.36874999999998</c:v>
                </c:pt>
                <c:pt idx="27">
                  <c:v>197.69062499999998</c:v>
                </c:pt>
                <c:pt idx="28">
                  <c:v>205.01249999999999</c:v>
                </c:pt>
                <c:pt idx="29">
                  <c:v>212.33437499999997</c:v>
                </c:pt>
                <c:pt idx="30">
                  <c:v>219.65625</c:v>
                </c:pt>
                <c:pt idx="31">
                  <c:v>226.97812500000001</c:v>
                </c:pt>
                <c:pt idx="32">
                  <c:v>234.29999999999998</c:v>
                </c:pt>
                <c:pt idx="33">
                  <c:v>241.62187499999999</c:v>
                </c:pt>
                <c:pt idx="34">
                  <c:v>248.94374999999997</c:v>
                </c:pt>
                <c:pt idx="35">
                  <c:v>256.26562499999994</c:v>
                </c:pt>
                <c:pt idx="36">
                  <c:v>263.58749999999998</c:v>
                </c:pt>
                <c:pt idx="37">
                  <c:v>270.90937500000001</c:v>
                </c:pt>
                <c:pt idx="38">
                  <c:v>278.23124999999993</c:v>
                </c:pt>
                <c:pt idx="39">
                  <c:v>285.55312499999997</c:v>
                </c:pt>
                <c:pt idx="40">
                  <c:v>292.875</c:v>
                </c:pt>
                <c:pt idx="41">
                  <c:v>300.19687499999992</c:v>
                </c:pt>
                <c:pt idx="42">
                  <c:v>307.51874999999995</c:v>
                </c:pt>
                <c:pt idx="43">
                  <c:v>314.84062499999999</c:v>
                </c:pt>
                <c:pt idx="44">
                  <c:v>322.16249999999997</c:v>
                </c:pt>
                <c:pt idx="45">
                  <c:v>329.484375</c:v>
                </c:pt>
                <c:pt idx="46">
                  <c:v>336.80624999999998</c:v>
                </c:pt>
                <c:pt idx="47">
                  <c:v>344.12812499999995</c:v>
                </c:pt>
                <c:pt idx="48">
                  <c:v>351.45</c:v>
                </c:pt>
                <c:pt idx="49">
                  <c:v>358.77187499999997</c:v>
                </c:pt>
                <c:pt idx="50">
                  <c:v>366.09375</c:v>
                </c:pt>
                <c:pt idx="51">
                  <c:v>373.41562499999998</c:v>
                </c:pt>
                <c:pt idx="52">
                  <c:v>380.73749999999995</c:v>
                </c:pt>
                <c:pt idx="53">
                  <c:v>388.05937499999999</c:v>
                </c:pt>
                <c:pt idx="54">
                  <c:v>395.38124999999997</c:v>
                </c:pt>
                <c:pt idx="55">
                  <c:v>402.703125</c:v>
                </c:pt>
                <c:pt idx="56">
                  <c:v>410.02499999999998</c:v>
                </c:pt>
                <c:pt idx="57">
                  <c:v>417.34687499999995</c:v>
                </c:pt>
                <c:pt idx="58">
                  <c:v>424.66874999999993</c:v>
                </c:pt>
                <c:pt idx="59">
                  <c:v>431.99062499999997</c:v>
                </c:pt>
                <c:pt idx="60">
                  <c:v>439.3125</c:v>
                </c:pt>
                <c:pt idx="61">
                  <c:v>446.63437499999998</c:v>
                </c:pt>
                <c:pt idx="62">
                  <c:v>453.95625000000001</c:v>
                </c:pt>
                <c:pt idx="63">
                  <c:v>461.27812499999993</c:v>
                </c:pt>
                <c:pt idx="64">
                  <c:v>468.59999999999997</c:v>
                </c:pt>
                <c:pt idx="65">
                  <c:v>475.92187499999994</c:v>
                </c:pt>
                <c:pt idx="66">
                  <c:v>483.24374999999998</c:v>
                </c:pt>
                <c:pt idx="67">
                  <c:v>490.5656249999999</c:v>
                </c:pt>
                <c:pt idx="68">
                  <c:v>497.88749999999993</c:v>
                </c:pt>
                <c:pt idx="69">
                  <c:v>505.20937499999985</c:v>
                </c:pt>
                <c:pt idx="70">
                  <c:v>512.53124999999989</c:v>
                </c:pt>
                <c:pt idx="71">
                  <c:v>519.85312499999986</c:v>
                </c:pt>
                <c:pt idx="72">
                  <c:v>527.17499999999995</c:v>
                </c:pt>
                <c:pt idx="73">
                  <c:v>534.49687499999993</c:v>
                </c:pt>
                <c:pt idx="74">
                  <c:v>541.81875000000002</c:v>
                </c:pt>
                <c:pt idx="75">
                  <c:v>549.14062499999989</c:v>
                </c:pt>
                <c:pt idx="76">
                  <c:v>556.46249999999986</c:v>
                </c:pt>
                <c:pt idx="77">
                  <c:v>563.78437499999984</c:v>
                </c:pt>
                <c:pt idx="78">
                  <c:v>571.10624999999993</c:v>
                </c:pt>
                <c:pt idx="79">
                  <c:v>578.42812499999991</c:v>
                </c:pt>
                <c:pt idx="80">
                  <c:v>585.75</c:v>
                </c:pt>
                <c:pt idx="81">
                  <c:v>593.07187499999986</c:v>
                </c:pt>
                <c:pt idx="82">
                  <c:v>600.39374999999984</c:v>
                </c:pt>
                <c:pt idx="83">
                  <c:v>607.71562499999993</c:v>
                </c:pt>
                <c:pt idx="84">
                  <c:v>615.03749999999991</c:v>
                </c:pt>
                <c:pt idx="85">
                  <c:v>622.35937499999989</c:v>
                </c:pt>
                <c:pt idx="86">
                  <c:v>629.68124999999998</c:v>
                </c:pt>
                <c:pt idx="87">
                  <c:v>637.00312499999995</c:v>
                </c:pt>
                <c:pt idx="88">
                  <c:v>644.32499999999993</c:v>
                </c:pt>
                <c:pt idx="89">
                  <c:v>651.64687499999991</c:v>
                </c:pt>
                <c:pt idx="90">
                  <c:v>658.96875</c:v>
                </c:pt>
                <c:pt idx="91">
                  <c:v>666.29062499999986</c:v>
                </c:pt>
                <c:pt idx="92">
                  <c:v>673.61249999999995</c:v>
                </c:pt>
                <c:pt idx="93">
                  <c:v>680.93437499999993</c:v>
                </c:pt>
                <c:pt idx="94">
                  <c:v>688.25624999999991</c:v>
                </c:pt>
                <c:pt idx="95">
                  <c:v>695.57812499999977</c:v>
                </c:pt>
                <c:pt idx="96">
                  <c:v>702.9</c:v>
                </c:pt>
                <c:pt idx="97">
                  <c:v>710.22187499999984</c:v>
                </c:pt>
                <c:pt idx="98">
                  <c:v>717.54374999999993</c:v>
                </c:pt>
                <c:pt idx="99">
                  <c:v>724.8656249999998</c:v>
                </c:pt>
                <c:pt idx="100">
                  <c:v>732.1875</c:v>
                </c:pt>
              </c:numCache>
            </c:numRef>
          </c:val>
          <c:smooth val="0"/>
          <c:extLst>
            <c:ext xmlns:c16="http://schemas.microsoft.com/office/drawing/2014/chart" uri="{C3380CC4-5D6E-409C-BE32-E72D297353CC}">
              <c16:uniqueId val="{00000001-9FB2-40F7-8293-C6828AB4E751}"/>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12.064777386240944</c:v>
                </c:pt>
                <c:pt idx="1">
                  <c:v>19.350987333745479</c:v>
                </c:pt>
                <c:pt idx="2">
                  <c:v>38.703143043328836</c:v>
                </c:pt>
                <c:pt idx="3">
                  <c:v>58.056467234569737</c:v>
                </c:pt>
                <c:pt idx="4">
                  <c:v>77.410960013300624</c:v>
                </c:pt>
                <c:pt idx="5">
                  <c:v>96.766621485366727</c:v>
                </c:pt>
                <c:pt idx="6">
                  <c:v>116.12345175662604</c:v>
                </c:pt>
                <c:pt idx="7">
                  <c:v>135.4814509329494</c:v>
                </c:pt>
                <c:pt idx="8">
                  <c:v>154.84061912022025</c:v>
                </c:pt>
                <c:pt idx="9">
                  <c:v>174.20095642433512</c:v>
                </c:pt>
                <c:pt idx="10">
                  <c:v>193.56246295120312</c:v>
                </c:pt>
                <c:pt idx="11">
                  <c:v>212.92513880674619</c:v>
                </c:pt>
                <c:pt idx="12">
                  <c:v>232.28898409689896</c:v>
                </c:pt>
                <c:pt idx="13">
                  <c:v>251.65399892760919</c:v>
                </c:pt>
                <c:pt idx="14">
                  <c:v>271.02018340483716</c:v>
                </c:pt>
                <c:pt idx="15">
                  <c:v>290.38753763455571</c:v>
                </c:pt>
                <c:pt idx="16">
                  <c:v>309.75606172275127</c:v>
                </c:pt>
                <c:pt idx="17">
                  <c:v>329.12575577542225</c:v>
                </c:pt>
                <c:pt idx="18">
                  <c:v>348.49661989858026</c:v>
                </c:pt>
                <c:pt idx="19">
                  <c:v>367.86865419824994</c:v>
                </c:pt>
                <c:pt idx="20">
                  <c:v>387.24185878046796</c:v>
                </c:pt>
                <c:pt idx="21">
                  <c:v>412.81821154666045</c:v>
                </c:pt>
                <c:pt idx="22">
                  <c:v>437.59402804331972</c:v>
                </c:pt>
                <c:pt idx="23">
                  <c:v>446.30169360491698</c:v>
                </c:pt>
                <c:pt idx="24">
                  <c:v>454.83563833173804</c:v>
                </c:pt>
                <c:pt idx="25">
                  <c:v>463.20693964444189</c:v>
                </c:pt>
                <c:pt idx="26">
                  <c:v>471.42557268339937</c:v>
                </c:pt>
                <c:pt idx="27">
                  <c:v>479.50055769057445</c:v>
                </c:pt>
                <c:pt idx="28">
                  <c:v>487.4400830025541</c:v>
                </c:pt>
                <c:pt idx="29">
                  <c:v>495.25160841159959</c:v>
                </c:pt>
                <c:pt idx="30">
                  <c:v>502.9419525927018</c:v>
                </c:pt>
                <c:pt idx="31">
                  <c:v>510.51736749870827</c:v>
                </c:pt>
                <c:pt idx="32">
                  <c:v>517.98360202099752</c:v>
                </c:pt>
                <c:pt idx="33">
                  <c:v>525.34595674941397</c:v>
                </c:pt>
                <c:pt idx="34">
                  <c:v>532.60933130616149</c:v>
                </c:pt>
                <c:pt idx="35">
                  <c:v>539.77826544808022</c:v>
                </c:pt>
                <c:pt idx="36">
                  <c:v>546.85697491117151</c:v>
                </c:pt>
                <c:pt idx="37">
                  <c:v>553.84938279635924</c:v>
                </c:pt>
                <c:pt idx="38">
                  <c:v>560.75914715586828</c:v>
                </c:pt>
                <c:pt idx="39">
                  <c:v>567.58968532740209</c:v>
                </c:pt>
                <c:pt idx="40">
                  <c:v>574.34419547254925</c:v>
                </c:pt>
                <c:pt idx="41">
                  <c:v>581.02567570206077</c:v>
                </c:pt>
                <c:pt idx="42">
                  <c:v>587.6369411102454</c:v>
                </c:pt>
                <c:pt idx="43">
                  <c:v>594.18063899111007</c:v>
                </c:pt>
                <c:pt idx="44">
                  <c:v>600.65926246782726</c:v>
                </c:pt>
                <c:pt idx="45">
                  <c:v>607.07516273306146</c:v>
                </c:pt>
                <c:pt idx="46">
                  <c:v>613.43056006927191</c:v>
                </c:pt>
                <c:pt idx="47">
                  <c:v>619.72755379430851</c:v>
                </c:pt>
                <c:pt idx="48">
                  <c:v>625.96813125760639</c:v>
                </c:pt>
                <c:pt idx="49">
                  <c:v>632.15417599537113</c:v>
                </c:pt>
                <c:pt idx="50">
                  <c:v>638.28747513884332</c:v>
                </c:pt>
                <c:pt idx="51">
                  <c:v>644.36972615751472</c:v>
                </c:pt>
                <c:pt idx="52">
                  <c:v>650.40254300880554</c:v>
                </c:pt>
                <c:pt idx="53">
                  <c:v>656.38746175677306</c:v>
                </c:pt>
                <c:pt idx="54">
                  <c:v>662.32594571479444</c:v>
                </c:pt>
                <c:pt idx="55">
                  <c:v>668.21939016057036</c:v>
                </c:pt>
                <c:pt idx="56">
                  <c:v>674.06912666609162</c:v>
                </c:pt>
                <c:pt idx="57">
                  <c:v>679.87642708029489</c:v>
                </c:pt>
                <c:pt idx="58">
                  <c:v>685.64250719782012</c:v>
                </c:pt>
                <c:pt idx="59">
                  <c:v>691.36853014357462</c:v>
                </c:pt>
                <c:pt idx="60">
                  <c:v>696.78161709484573</c:v>
                </c:pt>
                <c:pt idx="61">
                  <c:v>691.66851700552093</c:v>
                </c:pt>
                <c:pt idx="62">
                  <c:v>686.67216225826508</c:v>
                </c:pt>
                <c:pt idx="63">
                  <c:v>681.78830153537785</c:v>
                </c:pt>
                <c:pt idx="64">
                  <c:v>677.01179401469619</c:v>
                </c:pt>
                <c:pt idx="65">
                  <c:v>672.33392165874068</c:v>
                </c:pt>
                <c:pt idx="66">
                  <c:v>667.75706856382601</c:v>
                </c:pt>
                <c:pt idx="67">
                  <c:v>663.27775214954647</c:v>
                </c:pt>
                <c:pt idx="68">
                  <c:v>658.89265392334971</c:v>
                </c:pt>
                <c:pt idx="69">
                  <c:v>654.59860974483786</c:v>
                </c:pt>
                <c:pt idx="70">
                  <c:v>677.5568476701726</c:v>
                </c:pt>
                <c:pt idx="71">
                  <c:v>678.12369687389128</c:v>
                </c:pt>
                <c:pt idx="72">
                  <c:v>678.70591959758872</c:v>
                </c:pt>
                <c:pt idx="73">
                  <c:v>679.30336073558078</c:v>
                </c:pt>
                <c:pt idx="74">
                  <c:v>679.91587371943695</c:v>
                </c:pt>
                <c:pt idx="75">
                  <c:v>680.54331998948783</c:v>
                </c:pt>
                <c:pt idx="76">
                  <c:v>681.18556850573941</c:v>
                </c:pt>
                <c:pt idx="77">
                  <c:v>681.84249529481588</c:v>
                </c:pt>
                <c:pt idx="78">
                  <c:v>682.51398302986945</c:v>
                </c:pt>
                <c:pt idx="79">
                  <c:v>683.19992064069606</c:v>
                </c:pt>
                <c:pt idx="80">
                  <c:v>683.90020295155909</c:v>
                </c:pt>
                <c:pt idx="81">
                  <c:v>684.61473034444657</c:v>
                </c:pt>
                <c:pt idx="82">
                  <c:v>685.34340844571057</c:v>
                </c:pt>
                <c:pt idx="83">
                  <c:v>686.0861478342166</c:v>
                </c:pt>
                <c:pt idx="84">
                  <c:v>686.84286376929936</c:v>
                </c:pt>
                <c:pt idx="85">
                  <c:v>687.61347593698247</c:v>
                </c:pt>
                <c:pt idx="86">
                  <c:v>688.3979082130453</c:v>
                </c:pt>
                <c:pt idx="87">
                  <c:v>689.1960884416485</c:v>
                </c:pt>
                <c:pt idx="88">
                  <c:v>690.00794822834564</c:v>
                </c:pt>
                <c:pt idx="89">
                  <c:v>690.83342274639961</c:v>
                </c:pt>
                <c:pt idx="90">
                  <c:v>691.67245055542105</c:v>
                </c:pt>
                <c:pt idx="91">
                  <c:v>692.52497343142841</c:v>
                </c:pt>
                <c:pt idx="92">
                  <c:v>693.39093620749213</c:v>
                </c:pt>
                <c:pt idx="93">
                  <c:v>694.27028662421947</c:v>
                </c:pt>
                <c:pt idx="94">
                  <c:v>695.16297518936426</c:v>
                </c:pt>
                <c:pt idx="95">
                  <c:v>696.06895504593194</c:v>
                </c:pt>
                <c:pt idx="96">
                  <c:v>696.98818184818367</c:v>
                </c:pt>
                <c:pt idx="97">
                  <c:v>697.92061364499364</c:v>
                </c:pt>
                <c:pt idx="98">
                  <c:v>698.86621077006225</c:v>
                </c:pt>
                <c:pt idx="99">
                  <c:v>699.82493573851912</c:v>
                </c:pt>
                <c:pt idx="100">
                  <c:v>700.79675314948952</c:v>
                </c:pt>
              </c:numCache>
            </c:numRef>
          </c:val>
          <c:smooth val="0"/>
          <c:extLst>
            <c:ext xmlns:c16="http://schemas.microsoft.com/office/drawing/2014/chart" uri="{C3380CC4-5D6E-409C-BE32-E72D297353CC}">
              <c16:uniqueId val="{00000002-9FB2-40F7-8293-C6828AB4E751}"/>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22.417533114616116</c:v>
                </c:pt>
                <c:pt idx="1">
                  <c:v>22.543982266767252</c:v>
                </c:pt>
                <c:pt idx="2">
                  <c:v>23.178250802386543</c:v>
                </c:pt>
                <c:pt idx="3">
                  <c:v>24.372043741971076</c:v>
                </c:pt>
                <c:pt idx="4">
                  <c:v>26.253202712917687</c:v>
                </c:pt>
                <c:pt idx="5">
                  <c:v>28.928887202487754</c:v>
                </c:pt>
                <c:pt idx="6">
                  <c:v>32.49330031414862</c:v>
                </c:pt>
                <c:pt idx="7">
                  <c:v>37.031516742612141</c:v>
                </c:pt>
                <c:pt idx="8">
                  <c:v>42.621723161859258</c:v>
                </c:pt>
                <c:pt idx="9">
                  <c:v>49.336666410015845</c:v>
                </c:pt>
                <c:pt idx="10">
                  <c:v>57.244654606053992</c:v>
                </c:pt>
                <c:pt idx="11">
                  <c:v>66.410283792589581</c:v>
                </c:pt>
                <c:pt idx="12">
                  <c:v>76.894985317988031</c:v>
                </c:pt>
                <c:pt idx="13">
                  <c:v>88.757450442788965</c:v>
                </c:pt>
                <c:pt idx="14">
                  <c:v>102.0539676199427</c:v>
                </c:pt>
                <c:pt idx="15">
                  <c:v>116.83869572072172</c:v>
                </c:pt>
                <c:pt idx="16">
                  <c:v>133.16388905776193</c:v>
                </c:pt>
                <c:pt idx="17">
                  <c:v>151.08008534021681</c:v>
                </c:pt>
                <c:pt idx="18">
                  <c:v>170.63626459016541</c:v>
                </c:pt>
                <c:pt idx="19">
                  <c:v>191.879984941576</c:v>
                </c:pt>
                <c:pt idx="20">
                  <c:v>214.85749977490951</c:v>
                </c:pt>
                <c:pt idx="21">
                  <c:v>249.9282523942463</c:v>
                </c:pt>
                <c:pt idx="22">
                  <c:v>288.16524712823212</c:v>
                </c:pt>
                <c:pt idx="23">
                  <c:v>304.32892238706347</c:v>
                </c:pt>
                <c:pt idx="24">
                  <c:v>320.65761239958363</c:v>
                </c:pt>
                <c:pt idx="25">
                  <c:v>337.14623492627942</c:v>
                </c:pt>
                <c:pt idx="26">
                  <c:v>353.79006663494039</c:v>
                </c:pt>
                <c:pt idx="27">
                  <c:v>370.58470488377293</c:v>
                </c:pt>
                <c:pt idx="28">
                  <c:v>387.52603484618942</c:v>
                </c:pt>
                <c:pt idx="29">
                  <c:v>404.61020106544868</c:v>
                </c:pt>
                <c:pt idx="30">
                  <c:v>421.83358270922201</c:v>
                </c:pt>
                <c:pt idx="31">
                  <c:v>439.19277193490359</c:v>
                </c:pt>
                <c:pt idx="32">
                  <c:v>456.68455488637585</c:v>
                </c:pt>
                <c:pt idx="33">
                  <c:v>474.30589492954488</c:v>
                </c:pt>
                <c:pt idx="34">
                  <c:v>492.05391780273521</c:v>
                </c:pt>
                <c:pt idx="35">
                  <c:v>509.92589841309768</c:v>
                </c:pt>
                <c:pt idx="36">
                  <c:v>527.9192490545588</c:v>
                </c:pt>
                <c:pt idx="37">
                  <c:v>546.0315088588784</c:v>
                </c:pt>
                <c:pt idx="38">
                  <c:v>564.26033432078179</c:v>
                </c:pt>
                <c:pt idx="39">
                  <c:v>582.60349076232433</c:v>
                </c:pt>
                <c:pt idx="40">
                  <c:v>601.05884462159236</c:v>
                </c:pt>
                <c:pt idx="41">
                  <c:v>619.62435646745212</c:v>
                </c:pt>
                <c:pt idx="42">
                  <c:v>638.29807465587555</c:v>
                </c:pt>
                <c:pt idx="43">
                  <c:v>657.07812955500663</c:v>
                </c:pt>
                <c:pt idx="44">
                  <c:v>675.96272827588814</c:v>
                </c:pt>
                <c:pt idx="45">
                  <c:v>694.95014985405658</c:v>
                </c:pt>
                <c:pt idx="46">
                  <c:v>714.03874083423932</c:v>
                </c:pt>
                <c:pt idx="47">
                  <c:v>733.22691121636933</c:v>
                </c:pt>
                <c:pt idx="48">
                  <c:v>752.51313072628</c:v>
                </c:pt>
                <c:pt idx="49">
                  <c:v>771.8959253788305</c:v>
                </c:pt>
                <c:pt idx="50">
                  <c:v>791.37387430502179</c:v>
                </c:pt>
                <c:pt idx="51">
                  <c:v>810.94560681793041</c:v>
                </c:pt>
                <c:pt idx="52">
                  <c:v>830.60979969515961</c:v>
                </c:pt>
                <c:pt idx="53">
                  <c:v>850.36517465794702</c:v>
                </c:pt>
                <c:pt idx="54">
                  <c:v>870.21049602925711</c:v>
                </c:pt>
                <c:pt idx="55">
                  <c:v>890.14456855506569</c:v>
                </c:pt>
                <c:pt idx="56">
                  <c:v>910.16623537469411</c:v>
                </c:pt>
                <c:pt idx="57">
                  <c:v>930.2743761275151</c:v>
                </c:pt>
                <c:pt idx="58">
                  <c:v>950.46790518462626</c:v>
                </c:pt>
                <c:pt idx="59">
                  <c:v>970.74576999523742</c:v>
                </c:pt>
                <c:pt idx="60">
                  <c:v>990.20655410216318</c:v>
                </c:pt>
                <c:pt idx="61">
                  <c:v>975.24037243067301</c:v>
                </c:pt>
                <c:pt idx="62">
                  <c:v>960.77446710571735</c:v>
                </c:pt>
                <c:pt idx="63">
                  <c:v>946.78679945729436</c:v>
                </c:pt>
                <c:pt idx="64">
                  <c:v>933.255684129266</c:v>
                </c:pt>
                <c:pt idx="65">
                  <c:v>920.15758230964707</c:v>
                </c:pt>
                <c:pt idx="66">
                  <c:v>907.47885685471852</c:v>
                </c:pt>
                <c:pt idx="67">
                  <c:v>895.20195869363351</c:v>
                </c:pt>
                <c:pt idx="68">
                  <c:v>883.31028148671192</c:v>
                </c:pt>
                <c:pt idx="69">
                  <c:v>871.78810027604277</c:v>
                </c:pt>
                <c:pt idx="70">
                  <c:v>952.01736091616976</c:v>
                </c:pt>
                <c:pt idx="71">
                  <c:v>956.54837738358094</c:v>
                </c:pt>
                <c:pt idx="72">
                  <c:v>961.07123358148385</c:v>
                </c:pt>
                <c:pt idx="73">
                  <c:v>965.58763929566521</c:v>
                </c:pt>
                <c:pt idx="74">
                  <c:v>970.09922375665872</c:v>
                </c:pt>
                <c:pt idx="75">
                  <c:v>974.60754047894454</c:v>
                </c:pt>
                <c:pt idx="76">
                  <c:v>979.11407175852457</c:v>
                </c:pt>
                <c:pt idx="77">
                  <c:v>983.62023285671182</c:v>
                </c:pt>
                <c:pt idx="78">
                  <c:v>988.12737589526512</c:v>
                </c:pt>
                <c:pt idx="79">
                  <c:v>992.63679348584571</c:v>
                </c:pt>
                <c:pt idx="80">
                  <c:v>997.14972211462521</c:v>
                </c:pt>
                <c:pt idx="81">
                  <c:v>1001.6673453011135</c:v>
                </c:pt>
                <c:pt idx="82">
                  <c:v>1006.1907965485115</c:v>
                </c:pt>
                <c:pt idx="83">
                  <c:v>1010.7211621014986</c:v>
                </c:pt>
                <c:pt idx="84">
                  <c:v>1015.2594835258735</c:v>
                </c:pt>
                <c:pt idx="85">
                  <c:v>1019.8067601233922</c:v>
                </c:pt>
                <c:pt idx="86">
                  <c:v>1024.3639511938893</c:v>
                </c:pt>
                <c:pt idx="87">
                  <c:v>1028.9319781558384</c:v>
                </c:pt>
                <c:pt idx="88">
                  <c:v>1033.5117265355807</c:v>
                </c:pt>
                <c:pt idx="89">
                  <c:v>1038.1040478345944</c:v>
                </c:pt>
                <c:pt idx="90">
                  <c:v>1042.7097612834477</c:v>
                </c:pt>
                <c:pt idx="91">
                  <c:v>1047.3296554903707</c:v>
                </c:pt>
                <c:pt idx="92">
                  <c:v>1051.9644899917319</c:v>
                </c:pt>
                <c:pt idx="93">
                  <c:v>1056.6149967112292</c:v>
                </c:pt>
                <c:pt idx="94">
                  <c:v>1061.2818813339131</c:v>
                </c:pt>
                <c:pt idx="95">
                  <c:v>1065.9658246008594</c:v>
                </c:pt>
                <c:pt idx="96">
                  <c:v>1070.667483529762</c:v>
                </c:pt>
                <c:pt idx="97">
                  <c:v>1075.3874925663356</c:v>
                </c:pt>
                <c:pt idx="98">
                  <c:v>1080.1264646710797</c:v>
                </c:pt>
                <c:pt idx="99">
                  <c:v>1084.884992345603</c:v>
                </c:pt>
                <c:pt idx="100">
                  <c:v>1089.6636486023847</c:v>
                </c:pt>
              </c:numCache>
            </c:numRef>
          </c:val>
          <c:smooth val="0"/>
          <c:extLst>
            <c:ext xmlns:c16="http://schemas.microsoft.com/office/drawing/2014/chart" uri="{C3380CC4-5D6E-409C-BE32-E72D297353CC}">
              <c16:uniqueId val="{00000003-9FB2-40F7-8293-C6828AB4E751}"/>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347.78362894374703</c:v>
                </c:pt>
                <c:pt idx="25">
                  <c:v>334.7711064029632</c:v>
                </c:pt>
                <c:pt idx="26">
                  <c:v>322.68272887954049</c:v>
                </c:pt>
                <c:pt idx="27">
                  <c:v>311.41618065562244</c:v>
                </c:pt>
                <c:pt idx="28">
                  <c:v>300.90566782326096</c:v>
                </c:pt>
                <c:pt idx="29">
                  <c:v>291.07755990826632</c:v>
                </c:pt>
                <c:pt idx="30">
                  <c:v>281.86748699432445</c:v>
                </c:pt>
                <c:pt idx="31">
                  <c:v>273.21892822060551</c:v>
                </c:pt>
                <c:pt idx="32">
                  <c:v>265.08205081298991</c:v>
                </c:pt>
                <c:pt idx="33">
                  <c:v>257.41274925986704</c:v>
                </c:pt>
                <c:pt idx="34">
                  <c:v>250.17184550236544</c:v>
                </c:pt>
                <c:pt idx="35">
                  <c:v>243.32441951451295</c:v>
                </c:pt>
                <c:pt idx="36">
                  <c:v>236.83924612954232</c:v>
                </c:pt>
                <c:pt idx="37">
                  <c:v>230.68831894614939</c:v>
                </c:pt>
                <c:pt idx="38">
                  <c:v>224.8464460006366</c:v>
                </c:pt>
                <c:pt idx="39">
                  <c:v>219.29090489334567</c:v>
                </c:pt>
                <c:pt idx="40">
                  <c:v>214.00114741385082</c:v>
                </c:pt>
                <c:pt idx="41">
                  <c:v>208.9585455700572</c:v>
                </c:pt>
                <c:pt idx="42">
                  <c:v>204.14617240473316</c:v>
                </c:pt>
                <c:pt idx="43">
                  <c:v>199.54861216441293</c:v>
                </c:pt>
                <c:pt idx="44">
                  <c:v>195.15179533488296</c:v>
                </c:pt>
                <c:pt idx="45">
                  <c:v>190.94285482419971</c:v>
                </c:pt>
                <c:pt idx="46">
                  <c:v>186.91000019657395</c:v>
                </c:pt>
                <c:pt idx="47">
                  <c:v>183.04240736806608</c:v>
                </c:pt>
                <c:pt idx="48">
                  <c:v>179.33012159091351</c:v>
                </c:pt>
                <c:pt idx="49">
                  <c:v>175.76397189552216</c:v>
                </c:pt>
                <c:pt idx="50">
                  <c:v>172.33549544190518</c:v>
                </c:pt>
                <c:pt idx="51">
                  <c:v>169.03687046691317</c:v>
                </c:pt>
                <c:pt idx="52">
                  <c:v>165.86085670892578</c:v>
                </c:pt>
                <c:pt idx="53">
                  <c:v>162.80074235492296</c:v>
                </c:pt>
                <c:pt idx="54">
                  <c:v>159.85029669177268</c:v>
                </c:pt>
                <c:pt idx="55">
                  <c:v>157.00372775879961</c:v>
                </c:pt>
                <c:pt idx="56">
                  <c:v>154.25564439598401</c:v>
                </c:pt>
                <c:pt idx="57">
                  <c:v>151.60102216453612</c:v>
                </c:pt>
                <c:pt idx="58">
                  <c:v>149.03517268658783</c:v>
                </c:pt>
                <c:pt idx="59">
                  <c:v>146.55371601037854</c:v>
                </c:pt>
                <c:pt idx="60">
                  <c:v>144.15255565826249</c:v>
                </c:pt>
                <c:pt idx="61">
                  <c:v>141.82785605851711</c:v>
                </c:pt>
                <c:pt idx="62">
                  <c:v>139.57602209942164</c:v>
                </c:pt>
                <c:pt idx="63">
                  <c:v>137.39368057636216</c:v>
                </c:pt>
                <c:pt idx="64">
                  <c:v>135.27766333059014</c:v>
                </c:pt>
                <c:pt idx="65">
                  <c:v>133.22499190237491</c:v>
                </c:pt>
                <c:pt idx="66">
                  <c:v>131.23286354220627</c:v>
                </c:pt>
                <c:pt idx="67">
                  <c:v>129.29863844188105</c:v>
                </c:pt>
                <c:pt idx="68">
                  <c:v>127.41982806314212</c:v>
                </c:pt>
                <c:pt idx="69">
                  <c:v>125.59408445536226</c:v>
                </c:pt>
                <c:pt idx="70">
                  <c:v>123.81919046585134</c:v>
                </c:pt>
                <c:pt idx="71">
                  <c:v>122.09305075696309</c:v>
                </c:pt>
                <c:pt idx="72">
                  <c:v>120.41368355348025</c:v>
                </c:pt>
                <c:pt idx="73">
                  <c:v>118.77921305193911</c:v>
                </c:pt>
                <c:pt idx="74">
                  <c:v>117.18786243076858</c:v>
                </c:pt>
                <c:pt idx="75">
                  <c:v>115.63794740648386</c:v>
                </c:pt>
                <c:pt idx="76">
                  <c:v>114.12787028680728</c:v>
                </c:pt>
                <c:pt idx="77">
                  <c:v>112.65611447657444</c:v>
                </c:pt>
                <c:pt idx="78">
                  <c:v>111.22123939671036</c:v>
                </c:pt>
                <c:pt idx="79">
                  <c:v>109.82187578049034</c:v>
                </c:pt>
                <c:pt idx="80">
                  <c:v>108.45672131480293</c:v>
                </c:pt>
                <c:pt idx="81">
                  <c:v>107.12453659724756</c:v>
                </c:pt>
                <c:pt idx="82">
                  <c:v>105.8241413826872</c:v>
                </c:pt>
                <c:pt idx="83">
                  <c:v>104.55441109536281</c:v>
                </c:pt>
                <c:pt idx="84">
                  <c:v>103.31427358490478</c:v>
                </c:pt>
                <c:pt idx="85">
                  <c:v>102.10270610657264</c:v>
                </c:pt>
                <c:pt idx="86">
                  <c:v>100.91873250784838</c:v>
                </c:pt>
                <c:pt idx="87">
                  <c:v>99.761420605115319</c:v>
                </c:pt>
                <c:pt idx="88">
                  <c:v>98.629879735607716</c:v>
                </c:pt>
                <c:pt idx="89">
                  <c:v>97.523258471118524</c:v>
                </c:pt>
                <c:pt idx="90">
                  <c:v>96.440742481131764</c:v>
                </c:pt>
                <c:pt idx="91">
                  <c:v>95.381552534108607</c:v>
                </c:pt>
                <c:pt idx="92">
                  <c:v>94.344942626617708</c:v>
                </c:pt>
                <c:pt idx="93">
                  <c:v>93.330198230869854</c:v>
                </c:pt>
                <c:pt idx="94">
                  <c:v>92.336634652006325</c:v>
                </c:pt>
                <c:pt idx="95">
                  <c:v>91.363595487203753</c:v>
                </c:pt>
                <c:pt idx="96">
                  <c:v>90.410451179308851</c:v>
                </c:pt>
                <c:pt idx="97">
                  <c:v>89.476597658305579</c:v>
                </c:pt>
                <c:pt idx="98">
                  <c:v>88.56145506445435</c:v>
                </c:pt>
                <c:pt idx="99">
                  <c:v>87.664466547432042</c:v>
                </c:pt>
                <c:pt idx="100">
                  <c:v>86.785097136246634</c:v>
                </c:pt>
              </c:numCache>
            </c:numRef>
          </c:val>
          <c:smooth val="0"/>
          <c:extLst>
            <c:ext xmlns:c16="http://schemas.microsoft.com/office/drawing/2014/chart" uri="{C3380CC4-5D6E-409C-BE32-E72D297353CC}">
              <c16:uniqueId val="{00000000-8D54-466C-9E56-3B54C69CECB8}"/>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349.86288604773813</c:v>
                </c:pt>
                <c:pt idx="61">
                  <c:v>344.52168384421304</c:v>
                </c:pt>
                <c:pt idx="62">
                  <c:v>339.34108994554043</c:v>
                </c:pt>
                <c:pt idx="63">
                  <c:v>334.31396765403355</c:v>
                </c:pt>
                <c:pt idx="64">
                  <c:v>329.43346017311495</c:v>
                </c:pt>
                <c:pt idx="65">
                  <c:v>324.69263270636736</c:v>
                </c:pt>
                <c:pt idx="66">
                  <c:v>320.08626446695831</c:v>
                </c:pt>
                <c:pt idx="67">
                  <c:v>315.60871506164466</c:v>
                </c:pt>
                <c:pt idx="68">
                  <c:v>311.25465522314454</c:v>
                </c:pt>
                <c:pt idx="69">
                  <c:v>307.01904564967822</c:v>
                </c:pt>
                <c:pt idx="70">
                  <c:v>302.8971175483436</c:v>
                </c:pt>
                <c:pt idx="71">
                  <c:v>298.88435472438755</c:v>
                </c:pt>
                <c:pt idx="72">
                  <c:v>294.97647707495042</c:v>
                </c:pt>
                <c:pt idx="73">
                  <c:v>291.16942536045076</c:v>
                </c:pt>
                <c:pt idx="74">
                  <c:v>287.45934713970553</c:v>
                </c:pt>
                <c:pt idx="75">
                  <c:v>283.84258376634034</c:v>
                </c:pt>
                <c:pt idx="76">
                  <c:v>280.31565835421753</c:v>
                </c:pt>
                <c:pt idx="77">
                  <c:v>276.87526462867402</c:v>
                </c:pt>
                <c:pt idx="78">
                  <c:v>273.51825658842256</c:v>
                </c:pt>
                <c:pt idx="79">
                  <c:v>270.24163891016781</c:v>
                </c:pt>
                <c:pt idx="80">
                  <c:v>267.04255803442459</c:v>
                </c:pt>
                <c:pt idx="81">
                  <c:v>263.91829387677535</c:v>
                </c:pt>
                <c:pt idx="82">
                  <c:v>260.86625211396534</c:v>
                </c:pt>
                <c:pt idx="83">
                  <c:v>257.88395699885399</c:v>
                </c:pt>
                <c:pt idx="84">
                  <c:v>254.96904466240133</c:v>
                </c:pt>
                <c:pt idx="85">
                  <c:v>252.11925686460367</c:v>
                </c:pt>
                <c:pt idx="86">
                  <c:v>249.33243515965921</c:v>
                </c:pt>
                <c:pt idx="87">
                  <c:v>246.60651544367877</c:v>
                </c:pt>
                <c:pt idx="88">
                  <c:v>243.93952285599892</c:v>
                </c:pt>
                <c:pt idx="89">
                  <c:v>241.32956700762691</c:v>
                </c:pt>
                <c:pt idx="90">
                  <c:v>238.77483751259095</c:v>
                </c:pt>
                <c:pt idx="91">
                  <c:v>236.27359979999756</c:v>
                </c:pt>
                <c:pt idx="92">
                  <c:v>233.82419118643423</c:v>
                </c:pt>
                <c:pt idx="93">
                  <c:v>231.4250171900338</c:v>
                </c:pt>
                <c:pt idx="94">
                  <c:v>229.07454806902365</c:v>
                </c:pt>
                <c:pt idx="95">
                  <c:v>226.77131556897467</c:v>
                </c:pt>
                <c:pt idx="96">
                  <c:v>224.51390986421256</c:v>
                </c:pt>
                <c:pt idx="97">
                  <c:v>222.30097668000428</c:v>
                </c:pt>
                <c:pt idx="98">
                  <c:v>220.13121458317571</c:v>
                </c:pt>
                <c:pt idx="99">
                  <c:v>218.00337242977082</c:v>
                </c:pt>
                <c:pt idx="100">
                  <c:v>215.91624695923517</c:v>
                </c:pt>
              </c:numCache>
            </c:numRef>
          </c:val>
          <c:smooth val="0"/>
          <c:extLst>
            <c:ext xmlns:c16="http://schemas.microsoft.com/office/drawing/2014/chart" uri="{C3380CC4-5D6E-409C-BE32-E72D297353CC}">
              <c16:uniqueId val="{00000001-8D54-466C-9E56-3B54C69CECB8}"/>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349.95866578286689</c:v>
                </c:pt>
                <c:pt idx="82">
                  <c:v>345.98907874618919</c:v>
                </c:pt>
                <c:pt idx="83">
                  <c:v>342.10858700313742</c:v>
                </c:pt>
                <c:pt idx="84">
                  <c:v>338.31422398906062</c:v>
                </c:pt>
                <c:pt idx="85">
                  <c:v>334.60315340076636</c:v>
                </c:pt>
                <c:pt idx="86">
                  <c:v>330.97288265021632</c:v>
                </c:pt>
                <c:pt idx="87">
                  <c:v>327.42304683347294</c:v>
                </c:pt>
                <c:pt idx="88">
                  <c:v>323.94866926022524</c:v>
                </c:pt>
                <c:pt idx="89">
                  <c:v>320.54736920440024</c:v>
                </c:pt>
                <c:pt idx="90">
                  <c:v>317.21686504762022</c:v>
                </c:pt>
                <c:pt idx="91">
                  <c:v>313.95496917510638</c:v>
                </c:pt>
                <c:pt idx="92">
                  <c:v>310.75958318380293</c:v>
                </c:pt>
                <c:pt idx="93">
                  <c:v>307.6286933806644</c:v>
                </c:pt>
                <c:pt idx="94">
                  <c:v>304.56036655081243</c:v>
                </c:pt>
                <c:pt idx="95">
                  <c:v>301.55274597687458</c:v>
                </c:pt>
                <c:pt idx="96">
                  <c:v>298.60404769228091</c:v>
                </c:pt>
                <c:pt idx="97">
                  <c:v>295.71255695263335</c:v>
                </c:pt>
                <c:pt idx="98">
                  <c:v>292.87662491047882</c:v>
                </c:pt>
                <c:pt idx="99">
                  <c:v>290.09466547994089</c:v>
                </c:pt>
                <c:pt idx="100">
                  <c:v>287.36515237868002</c:v>
                </c:pt>
              </c:numCache>
            </c:numRef>
          </c:val>
          <c:smooth val="0"/>
          <c:extLst>
            <c:ext xmlns:c16="http://schemas.microsoft.com/office/drawing/2014/chart" uri="{C3380CC4-5D6E-409C-BE32-E72D297353CC}">
              <c16:uniqueId val="{00000002-8D54-466C-9E56-3B54C69CECB8}"/>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8D54-466C-9E56-3B54C69CECB8}"/>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8D54-466C-9E56-3B54C69CECB8}"/>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8D54-466C-9E56-3B54C69CECB8}"/>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347.78362894374703</c:v>
                </c:pt>
                <c:pt idx="25">
                  <c:v>334.7711064029632</c:v>
                </c:pt>
                <c:pt idx="26">
                  <c:v>322.68272887954049</c:v>
                </c:pt>
                <c:pt idx="27">
                  <c:v>311.41618065562244</c:v>
                </c:pt>
                <c:pt idx="28">
                  <c:v>300.90566782326096</c:v>
                </c:pt>
                <c:pt idx="29">
                  <c:v>291.07755990826632</c:v>
                </c:pt>
                <c:pt idx="30">
                  <c:v>281.86748699432445</c:v>
                </c:pt>
                <c:pt idx="31">
                  <c:v>273.21892822060551</c:v>
                </c:pt>
                <c:pt idx="32">
                  <c:v>265.08205081298991</c:v>
                </c:pt>
                <c:pt idx="33">
                  <c:v>257.41274925986704</c:v>
                </c:pt>
                <c:pt idx="34">
                  <c:v>250.17184550236544</c:v>
                </c:pt>
                <c:pt idx="35">
                  <c:v>243.32441951451295</c:v>
                </c:pt>
                <c:pt idx="36">
                  <c:v>236.83924612954232</c:v>
                </c:pt>
                <c:pt idx="37">
                  <c:v>230.68831894614939</c:v>
                </c:pt>
                <c:pt idx="38">
                  <c:v>224.8464460006366</c:v>
                </c:pt>
                <c:pt idx="39">
                  <c:v>219.29090489334567</c:v>
                </c:pt>
                <c:pt idx="40">
                  <c:v>214.00114741385082</c:v>
                </c:pt>
                <c:pt idx="41">
                  <c:v>208.9585455700572</c:v>
                </c:pt>
                <c:pt idx="42">
                  <c:v>204.14617240473316</c:v>
                </c:pt>
                <c:pt idx="43">
                  <c:v>199.54861216441293</c:v>
                </c:pt>
                <c:pt idx="44">
                  <c:v>195.15179533488296</c:v>
                </c:pt>
                <c:pt idx="45">
                  <c:v>190.94285482419971</c:v>
                </c:pt>
                <c:pt idx="46">
                  <c:v>186.91000019657395</c:v>
                </c:pt>
                <c:pt idx="47">
                  <c:v>183.04240736806608</c:v>
                </c:pt>
                <c:pt idx="48">
                  <c:v>179.33012159091351</c:v>
                </c:pt>
                <c:pt idx="49">
                  <c:v>175.76397189552216</c:v>
                </c:pt>
                <c:pt idx="50">
                  <c:v>172.33549544190518</c:v>
                </c:pt>
                <c:pt idx="51">
                  <c:v>169.03687046691317</c:v>
                </c:pt>
                <c:pt idx="52">
                  <c:v>165.86085670892578</c:v>
                </c:pt>
                <c:pt idx="53">
                  <c:v>162.80074235492296</c:v>
                </c:pt>
                <c:pt idx="54">
                  <c:v>159.85029669177268</c:v>
                </c:pt>
                <c:pt idx="55">
                  <c:v>157.00372775879961</c:v>
                </c:pt>
                <c:pt idx="56">
                  <c:v>154.25564439598401</c:v>
                </c:pt>
                <c:pt idx="57">
                  <c:v>151.60102216453612</c:v>
                </c:pt>
                <c:pt idx="58">
                  <c:v>149.03517268658783</c:v>
                </c:pt>
                <c:pt idx="59">
                  <c:v>146.55371601037854</c:v>
                </c:pt>
                <c:pt idx="60">
                  <c:v>144.15255565826249</c:v>
                </c:pt>
                <c:pt idx="61">
                  <c:v>141.82785605851711</c:v>
                </c:pt>
                <c:pt idx="62">
                  <c:v>139.57602209942164</c:v>
                </c:pt>
                <c:pt idx="63">
                  <c:v>137.39368057636216</c:v>
                </c:pt>
                <c:pt idx="64">
                  <c:v>135.27766333059014</c:v>
                </c:pt>
                <c:pt idx="65">
                  <c:v>133.22499190237491</c:v>
                </c:pt>
                <c:pt idx="66">
                  <c:v>131.23286354220627</c:v>
                </c:pt>
                <c:pt idx="67">
                  <c:v>129.29863844188105</c:v>
                </c:pt>
                <c:pt idx="68">
                  <c:v>127.41982806314212</c:v>
                </c:pt>
                <c:pt idx="69">
                  <c:v>125.59408445536226</c:v>
                </c:pt>
                <c:pt idx="70">
                  <c:v>123.81919046585134</c:v>
                </c:pt>
                <c:pt idx="71">
                  <c:v>122.09305075696309</c:v>
                </c:pt>
                <c:pt idx="72">
                  <c:v>120.41368355348025</c:v>
                </c:pt>
                <c:pt idx="73">
                  <c:v>118.77921305193911</c:v>
                </c:pt>
                <c:pt idx="74">
                  <c:v>117.18786243076858</c:v>
                </c:pt>
                <c:pt idx="75">
                  <c:v>115.63794740648386</c:v>
                </c:pt>
                <c:pt idx="76">
                  <c:v>114.12787028680728</c:v>
                </c:pt>
                <c:pt idx="77">
                  <c:v>112.65611447657444</c:v>
                </c:pt>
                <c:pt idx="78">
                  <c:v>111.22123939671036</c:v>
                </c:pt>
                <c:pt idx="79">
                  <c:v>109.82187578049034</c:v>
                </c:pt>
                <c:pt idx="80">
                  <c:v>108.45672131480293</c:v>
                </c:pt>
                <c:pt idx="81">
                  <c:v>107.12453659724756</c:v>
                </c:pt>
                <c:pt idx="82">
                  <c:v>105.8241413826872</c:v>
                </c:pt>
                <c:pt idx="83">
                  <c:v>104.55441109536281</c:v>
                </c:pt>
                <c:pt idx="84">
                  <c:v>103.31427358490478</c:v>
                </c:pt>
                <c:pt idx="85">
                  <c:v>102.10270610657264</c:v>
                </c:pt>
                <c:pt idx="86">
                  <c:v>100.91873250784838</c:v>
                </c:pt>
                <c:pt idx="87">
                  <c:v>99.761420605115319</c:v>
                </c:pt>
                <c:pt idx="88">
                  <c:v>98.629879735607716</c:v>
                </c:pt>
                <c:pt idx="89">
                  <c:v>97.523258471118524</c:v>
                </c:pt>
                <c:pt idx="90">
                  <c:v>96.440742481131764</c:v>
                </c:pt>
                <c:pt idx="91">
                  <c:v>95.381552534108607</c:v>
                </c:pt>
                <c:pt idx="92">
                  <c:v>94.344942626617708</c:v>
                </c:pt>
                <c:pt idx="93">
                  <c:v>93.330198230869854</c:v>
                </c:pt>
                <c:pt idx="94">
                  <c:v>92.336634652006325</c:v>
                </c:pt>
                <c:pt idx="95">
                  <c:v>91.363595487203753</c:v>
                </c:pt>
                <c:pt idx="96">
                  <c:v>90.410451179308851</c:v>
                </c:pt>
                <c:pt idx="97">
                  <c:v>89.476597658305579</c:v>
                </c:pt>
                <c:pt idx="98">
                  <c:v>88.56145506445435</c:v>
                </c:pt>
                <c:pt idx="99">
                  <c:v>87.664466547432042</c:v>
                </c:pt>
                <c:pt idx="100">
                  <c:v>86.785097136246634</c:v>
                </c:pt>
              </c:numCache>
            </c:numRef>
          </c:val>
          <c:smooth val="0"/>
          <c:extLst>
            <c:ext xmlns:c16="http://schemas.microsoft.com/office/drawing/2014/chart" uri="{C3380CC4-5D6E-409C-BE32-E72D297353CC}">
              <c16:uniqueId val="{00000006-8D54-466C-9E56-3B54C69CECB8}"/>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349.86288604773813</c:v>
                </c:pt>
                <c:pt idx="61">
                  <c:v>344.52168384421304</c:v>
                </c:pt>
                <c:pt idx="62">
                  <c:v>339.34108994554043</c:v>
                </c:pt>
                <c:pt idx="63">
                  <c:v>334.31396765403355</c:v>
                </c:pt>
                <c:pt idx="64">
                  <c:v>329.43346017311495</c:v>
                </c:pt>
                <c:pt idx="65">
                  <c:v>324.69263270636736</c:v>
                </c:pt>
                <c:pt idx="66">
                  <c:v>320.08626446695831</c:v>
                </c:pt>
                <c:pt idx="67">
                  <c:v>315.60871506164466</c:v>
                </c:pt>
                <c:pt idx="68">
                  <c:v>311.25465522314454</c:v>
                </c:pt>
                <c:pt idx="69">
                  <c:v>307.01904564967822</c:v>
                </c:pt>
                <c:pt idx="70">
                  <c:v>302.8971175483436</c:v>
                </c:pt>
                <c:pt idx="71">
                  <c:v>298.88435472438755</c:v>
                </c:pt>
                <c:pt idx="72">
                  <c:v>294.97647707495042</c:v>
                </c:pt>
                <c:pt idx="73">
                  <c:v>291.16942536045076</c:v>
                </c:pt>
                <c:pt idx="74">
                  <c:v>287.45934713970553</c:v>
                </c:pt>
                <c:pt idx="75">
                  <c:v>283.84258376634034</c:v>
                </c:pt>
                <c:pt idx="76">
                  <c:v>280.31565835421753</c:v>
                </c:pt>
                <c:pt idx="77">
                  <c:v>276.87526462867402</c:v>
                </c:pt>
                <c:pt idx="78">
                  <c:v>273.51825658842256</c:v>
                </c:pt>
                <c:pt idx="79">
                  <c:v>270.24163891016781</c:v>
                </c:pt>
                <c:pt idx="80">
                  <c:v>267.04255803442459</c:v>
                </c:pt>
                <c:pt idx="81">
                  <c:v>263.91829387677535</c:v>
                </c:pt>
                <c:pt idx="82">
                  <c:v>260.86625211396534</c:v>
                </c:pt>
                <c:pt idx="83">
                  <c:v>257.88395699885399</c:v>
                </c:pt>
                <c:pt idx="84">
                  <c:v>254.96904466240133</c:v>
                </c:pt>
                <c:pt idx="85">
                  <c:v>252.11925686460367</c:v>
                </c:pt>
                <c:pt idx="86">
                  <c:v>249.33243515965921</c:v>
                </c:pt>
                <c:pt idx="87">
                  <c:v>246.60651544367877</c:v>
                </c:pt>
                <c:pt idx="88">
                  <c:v>243.93952285599892</c:v>
                </c:pt>
                <c:pt idx="89">
                  <c:v>241.32956700762691</c:v>
                </c:pt>
                <c:pt idx="90">
                  <c:v>238.77483751259095</c:v>
                </c:pt>
                <c:pt idx="91">
                  <c:v>236.27359979999756</c:v>
                </c:pt>
                <c:pt idx="92">
                  <c:v>233.82419118643423</c:v>
                </c:pt>
                <c:pt idx="93">
                  <c:v>231.4250171900338</c:v>
                </c:pt>
                <c:pt idx="94">
                  <c:v>229.07454806902365</c:v>
                </c:pt>
                <c:pt idx="95">
                  <c:v>226.77131556897467</c:v>
                </c:pt>
                <c:pt idx="96">
                  <c:v>224.51390986421256</c:v>
                </c:pt>
                <c:pt idx="97">
                  <c:v>222.30097668000428</c:v>
                </c:pt>
                <c:pt idx="98">
                  <c:v>220.13121458317571</c:v>
                </c:pt>
                <c:pt idx="99">
                  <c:v>218.00337242977082</c:v>
                </c:pt>
                <c:pt idx="100">
                  <c:v>215.91624695923517</c:v>
                </c:pt>
              </c:numCache>
            </c:numRef>
          </c:val>
          <c:smooth val="0"/>
          <c:extLst>
            <c:ext xmlns:c16="http://schemas.microsoft.com/office/drawing/2014/chart" uri="{C3380CC4-5D6E-409C-BE32-E72D297353CC}">
              <c16:uniqueId val="{00000007-8D54-466C-9E56-3B54C69CECB8}"/>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349.95866578286689</c:v>
                </c:pt>
                <c:pt idx="82">
                  <c:v>345.98907874618919</c:v>
                </c:pt>
                <c:pt idx="83">
                  <c:v>342.10858700313742</c:v>
                </c:pt>
                <c:pt idx="84">
                  <c:v>338.31422398906062</c:v>
                </c:pt>
                <c:pt idx="85">
                  <c:v>334.60315340076636</c:v>
                </c:pt>
                <c:pt idx="86">
                  <c:v>330.97288265021632</c:v>
                </c:pt>
                <c:pt idx="87">
                  <c:v>327.42304683347294</c:v>
                </c:pt>
                <c:pt idx="88">
                  <c:v>323.94866926022524</c:v>
                </c:pt>
                <c:pt idx="89">
                  <c:v>320.54736920440024</c:v>
                </c:pt>
                <c:pt idx="90">
                  <c:v>317.21686504762022</c:v>
                </c:pt>
                <c:pt idx="91">
                  <c:v>313.95496917510638</c:v>
                </c:pt>
                <c:pt idx="92">
                  <c:v>310.75958318380293</c:v>
                </c:pt>
                <c:pt idx="93">
                  <c:v>307.6286933806644</c:v>
                </c:pt>
                <c:pt idx="94">
                  <c:v>304.56036655081243</c:v>
                </c:pt>
                <c:pt idx="95">
                  <c:v>301.55274597687458</c:v>
                </c:pt>
                <c:pt idx="96">
                  <c:v>298.60404769228091</c:v>
                </c:pt>
                <c:pt idx="97">
                  <c:v>295.71255695263335</c:v>
                </c:pt>
                <c:pt idx="98">
                  <c:v>292.87662491047882</c:v>
                </c:pt>
                <c:pt idx="99">
                  <c:v>290.09466547994089</c:v>
                </c:pt>
                <c:pt idx="100">
                  <c:v>287.36515237868002</c:v>
                </c:pt>
              </c:numCache>
            </c:numRef>
          </c:val>
          <c:smooth val="0"/>
          <c:extLst>
            <c:ext xmlns:c16="http://schemas.microsoft.com/office/drawing/2014/chart" uri="{C3380CC4-5D6E-409C-BE32-E72D297353CC}">
              <c16:uniqueId val="{00000008-8D54-466C-9E56-3B54C69CECB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8D54-466C-9E56-3B54C69CECB8}"/>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8D54-466C-9E56-3B54C69CECB8}"/>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8D54-466C-9E56-3B54C69CECB8}"/>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10</c:v>
                </c:pt>
                <c:pt idx="1">
                  <c:v>10.26</c:v>
                </c:pt>
                <c:pt idx="2">
                  <c:v>10.52</c:v>
                </c:pt>
                <c:pt idx="3">
                  <c:v>10.78</c:v>
                </c:pt>
                <c:pt idx="4">
                  <c:v>11.04</c:v>
                </c:pt>
                <c:pt idx="5">
                  <c:v>11.3</c:v>
                </c:pt>
                <c:pt idx="6">
                  <c:v>11.56</c:v>
                </c:pt>
                <c:pt idx="7">
                  <c:v>11.82</c:v>
                </c:pt>
                <c:pt idx="8">
                  <c:v>12.08</c:v>
                </c:pt>
                <c:pt idx="9">
                  <c:v>12.34</c:v>
                </c:pt>
                <c:pt idx="10">
                  <c:v>12.6</c:v>
                </c:pt>
                <c:pt idx="11">
                  <c:v>12.86</c:v>
                </c:pt>
                <c:pt idx="12">
                  <c:v>13.120000000000001</c:v>
                </c:pt>
                <c:pt idx="13">
                  <c:v>13.379999999999999</c:v>
                </c:pt>
                <c:pt idx="14">
                  <c:v>13.64</c:v>
                </c:pt>
                <c:pt idx="15">
                  <c:v>13.9</c:v>
                </c:pt>
                <c:pt idx="16">
                  <c:v>14.16</c:v>
                </c:pt>
                <c:pt idx="17">
                  <c:v>14.42</c:v>
                </c:pt>
                <c:pt idx="18">
                  <c:v>14.68</c:v>
                </c:pt>
                <c:pt idx="19">
                  <c:v>14.940000000000001</c:v>
                </c:pt>
                <c:pt idx="20">
                  <c:v>15.2</c:v>
                </c:pt>
                <c:pt idx="21">
                  <c:v>15.46</c:v>
                </c:pt>
                <c:pt idx="22">
                  <c:v>15.719999999999999</c:v>
                </c:pt>
                <c:pt idx="23">
                  <c:v>15.98</c:v>
                </c:pt>
                <c:pt idx="24">
                  <c:v>16.240000000000002</c:v>
                </c:pt>
                <c:pt idx="25">
                  <c:v>16.5</c:v>
                </c:pt>
                <c:pt idx="26">
                  <c:v>16.759999999999998</c:v>
                </c:pt>
                <c:pt idx="27">
                  <c:v>17.02</c:v>
                </c:pt>
                <c:pt idx="28">
                  <c:v>17.28</c:v>
                </c:pt>
                <c:pt idx="29">
                  <c:v>17.54</c:v>
                </c:pt>
                <c:pt idx="30">
                  <c:v>17.8</c:v>
                </c:pt>
                <c:pt idx="31">
                  <c:v>18.060000000000002</c:v>
                </c:pt>
                <c:pt idx="32">
                  <c:v>18.32</c:v>
                </c:pt>
                <c:pt idx="33">
                  <c:v>18.579999999999998</c:v>
                </c:pt>
                <c:pt idx="34">
                  <c:v>18.84</c:v>
                </c:pt>
                <c:pt idx="35">
                  <c:v>19.100000000000001</c:v>
                </c:pt>
                <c:pt idx="36">
                  <c:v>19.36</c:v>
                </c:pt>
                <c:pt idx="37">
                  <c:v>19.619999999999997</c:v>
                </c:pt>
                <c:pt idx="38">
                  <c:v>19.880000000000003</c:v>
                </c:pt>
                <c:pt idx="39">
                  <c:v>20.14</c:v>
                </c:pt>
                <c:pt idx="40">
                  <c:v>20.399999999999999</c:v>
                </c:pt>
                <c:pt idx="41">
                  <c:v>20.66</c:v>
                </c:pt>
                <c:pt idx="42">
                  <c:v>20.92</c:v>
                </c:pt>
                <c:pt idx="43">
                  <c:v>21.18</c:v>
                </c:pt>
                <c:pt idx="44">
                  <c:v>21.439999999999998</c:v>
                </c:pt>
                <c:pt idx="45">
                  <c:v>21.700000000000003</c:v>
                </c:pt>
                <c:pt idx="46">
                  <c:v>21.96</c:v>
                </c:pt>
                <c:pt idx="47">
                  <c:v>22.22</c:v>
                </c:pt>
                <c:pt idx="48">
                  <c:v>22.48</c:v>
                </c:pt>
                <c:pt idx="49">
                  <c:v>22.740000000000002</c:v>
                </c:pt>
                <c:pt idx="50">
                  <c:v>23</c:v>
                </c:pt>
                <c:pt idx="51">
                  <c:v>23.259999999999998</c:v>
                </c:pt>
                <c:pt idx="52">
                  <c:v>23.52</c:v>
                </c:pt>
                <c:pt idx="53">
                  <c:v>23.78</c:v>
                </c:pt>
                <c:pt idx="54">
                  <c:v>24.04</c:v>
                </c:pt>
                <c:pt idx="55">
                  <c:v>24.3</c:v>
                </c:pt>
                <c:pt idx="56">
                  <c:v>24.560000000000002</c:v>
                </c:pt>
                <c:pt idx="57">
                  <c:v>24.82</c:v>
                </c:pt>
                <c:pt idx="58">
                  <c:v>25.08</c:v>
                </c:pt>
                <c:pt idx="59">
                  <c:v>25.34</c:v>
                </c:pt>
                <c:pt idx="60">
                  <c:v>25.6</c:v>
                </c:pt>
                <c:pt idx="61">
                  <c:v>25.86</c:v>
                </c:pt>
                <c:pt idx="62">
                  <c:v>26.12</c:v>
                </c:pt>
                <c:pt idx="63">
                  <c:v>26.38</c:v>
                </c:pt>
                <c:pt idx="64">
                  <c:v>26.64</c:v>
                </c:pt>
                <c:pt idx="65">
                  <c:v>26.900000000000002</c:v>
                </c:pt>
                <c:pt idx="66">
                  <c:v>27.16</c:v>
                </c:pt>
                <c:pt idx="67">
                  <c:v>27.42</c:v>
                </c:pt>
                <c:pt idx="68">
                  <c:v>27.68</c:v>
                </c:pt>
                <c:pt idx="69">
                  <c:v>27.939999999999998</c:v>
                </c:pt>
                <c:pt idx="70">
                  <c:v>28.2</c:v>
                </c:pt>
                <c:pt idx="71">
                  <c:v>28.46</c:v>
                </c:pt>
                <c:pt idx="72">
                  <c:v>28.72</c:v>
                </c:pt>
                <c:pt idx="73">
                  <c:v>28.98</c:v>
                </c:pt>
                <c:pt idx="74">
                  <c:v>29.24</c:v>
                </c:pt>
                <c:pt idx="75">
                  <c:v>29.5</c:v>
                </c:pt>
                <c:pt idx="76">
                  <c:v>29.76</c:v>
                </c:pt>
                <c:pt idx="77">
                  <c:v>30.02</c:v>
                </c:pt>
                <c:pt idx="78">
                  <c:v>30.28</c:v>
                </c:pt>
                <c:pt idx="79">
                  <c:v>30.54</c:v>
                </c:pt>
                <c:pt idx="80">
                  <c:v>30.8</c:v>
                </c:pt>
                <c:pt idx="81">
                  <c:v>31.060000000000002</c:v>
                </c:pt>
                <c:pt idx="82">
                  <c:v>31.32</c:v>
                </c:pt>
                <c:pt idx="83">
                  <c:v>31.58</c:v>
                </c:pt>
                <c:pt idx="84">
                  <c:v>31.84</c:v>
                </c:pt>
                <c:pt idx="85">
                  <c:v>32.099999999999994</c:v>
                </c:pt>
                <c:pt idx="86">
                  <c:v>32.36</c:v>
                </c:pt>
                <c:pt idx="87">
                  <c:v>32.620000000000005</c:v>
                </c:pt>
                <c:pt idx="88">
                  <c:v>32.879999999999995</c:v>
                </c:pt>
                <c:pt idx="89">
                  <c:v>33.14</c:v>
                </c:pt>
                <c:pt idx="90">
                  <c:v>33.400000000000006</c:v>
                </c:pt>
                <c:pt idx="91">
                  <c:v>33.659999999999997</c:v>
                </c:pt>
                <c:pt idx="92">
                  <c:v>33.92</c:v>
                </c:pt>
                <c:pt idx="93">
                  <c:v>34.18</c:v>
                </c:pt>
                <c:pt idx="94">
                  <c:v>34.44</c:v>
                </c:pt>
                <c:pt idx="95">
                  <c:v>34.700000000000003</c:v>
                </c:pt>
                <c:pt idx="96">
                  <c:v>34.96</c:v>
                </c:pt>
                <c:pt idx="97">
                  <c:v>35.22</c:v>
                </c:pt>
                <c:pt idx="98">
                  <c:v>35.480000000000004</c:v>
                </c:pt>
                <c:pt idx="99">
                  <c:v>35.739999999999995</c:v>
                </c:pt>
                <c:pt idx="100">
                  <c:v>36</c:v>
                </c:pt>
              </c:numCache>
            </c:numRef>
          </c:xVal>
          <c:yVal>
            <c:numRef>
              <c:f>'Fsw vs VIN'!$M$6:$M$106</c:f>
              <c:numCache>
                <c:formatCode>0.0</c:formatCode>
                <c:ptCount val="101"/>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A7ED-4BB2-BB4F-6969824E41D0}"/>
            </c:ext>
          </c:extLst>
        </c:ser>
        <c:dLbls>
          <c:showLegendKey val="0"/>
          <c:showVal val="0"/>
          <c:showCatName val="0"/>
          <c:showSerName val="0"/>
          <c:showPercent val="0"/>
          <c:showBubbleSize val="0"/>
        </c:dLbls>
        <c:axId val="447869696"/>
        <c:axId val="447871616"/>
      </c:scatterChart>
      <c:valAx>
        <c:axId val="447869696"/>
        <c:scaling>
          <c:orientation val="minMax"/>
        </c:scaling>
        <c:delete val="0"/>
        <c:axPos val="b"/>
        <c:majorGridlines/>
        <c:title>
          <c:tx>
            <c:rich>
              <a:bodyPr/>
              <a:lstStyle/>
              <a:p>
                <a:pPr>
                  <a:defRPr lang="ja-JP"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975" b="1" i="0" u="none" strike="noStrike" baseline="0">
                <a:solidFill>
                  <a:srgbClr val="000000"/>
                </a:solidFill>
                <a:latin typeface="Arial"/>
                <a:ea typeface="Arial"/>
                <a:cs typeface="Arial"/>
              </a:defRPr>
            </a:pPr>
            <a:endParaRPr lang="en-US"/>
          </a:p>
        </c:txPr>
        <c:crossAx val="447871616"/>
        <c:crosses val="autoZero"/>
        <c:crossBetween val="midCat"/>
      </c:valAx>
      <c:valAx>
        <c:axId val="447871616"/>
        <c:scaling>
          <c:orientation val="minMax"/>
        </c:scaling>
        <c:delete val="0"/>
        <c:axPos val="l"/>
        <c:majorGridlines>
          <c:spPr>
            <a:ln w="3175">
              <a:solidFill>
                <a:srgbClr val="000000"/>
              </a:solidFill>
              <a:prstDash val="solid"/>
            </a:ln>
          </c:spPr>
        </c:majorGridlines>
        <c:title>
          <c:tx>
            <c:rich>
              <a:bodyPr/>
              <a:lstStyle/>
              <a:p>
                <a:pPr>
                  <a:defRPr lang="ja-JP"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ja-JP" sz="1200" b="1" i="0" u="none" strike="noStrike" baseline="0">
                <a:solidFill>
                  <a:srgbClr val="000000"/>
                </a:solidFill>
                <a:latin typeface="Arial"/>
                <a:ea typeface="Arial"/>
                <a:cs typeface="Arial"/>
              </a:defRPr>
            </a:pPr>
            <a:endParaRPr lang="en-US"/>
          </a:p>
        </c:txPr>
        <c:crossAx val="44786969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lang="ja-JP"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Single'!$CB$5:$CB$105</c:f>
              <c:numCache>
                <c:formatCode>0.00</c:formatCode>
                <c:ptCount val="101"/>
                <c:pt idx="0">
                  <c:v>3.0069218587900618E-5</c:v>
                </c:pt>
                <c:pt idx="1">
                  <c:v>70.084436916868938</c:v>
                </c:pt>
                <c:pt idx="2">
                  <c:v>75.376827097846828</c:v>
                </c:pt>
                <c:pt idx="3">
                  <c:v>77.323030781987995</c:v>
                </c:pt>
                <c:pt idx="4">
                  <c:v>78.334208542735553</c:v>
                </c:pt>
                <c:pt idx="5">
                  <c:v>78.953625033579087</c:v>
                </c:pt>
                <c:pt idx="6">
                  <c:v>79.371968678206912</c:v>
                </c:pt>
                <c:pt idx="7">
                  <c:v>79.673448207635829</c:v>
                </c:pt>
                <c:pt idx="8">
                  <c:v>79.901010616144347</c:v>
                </c:pt>
                <c:pt idx="9">
                  <c:v>80.078855654193987</c:v>
                </c:pt>
                <c:pt idx="10">
                  <c:v>80.221658772854028</c:v>
                </c:pt>
                <c:pt idx="11">
                  <c:v>80.338836993928481</c:v>
                </c:pt>
                <c:pt idx="12">
                  <c:v>80.436710493553093</c:v>
                </c:pt>
                <c:pt idx="13">
                  <c:v>80.519678913845112</c:v>
                </c:pt>
                <c:pt idx="14">
                  <c:v>80.590899356096173</c:v>
                </c:pt>
                <c:pt idx="15">
                  <c:v>80.652696098607521</c:v>
                </c:pt>
                <c:pt idx="16">
                  <c:v>80.706818223306669</c:v>
                </c:pt>
                <c:pt idx="17">
                  <c:v>80.754607180827023</c:v>
                </c:pt>
                <c:pt idx="18">
                  <c:v>80.797109002955182</c:v>
                </c:pt>
                <c:pt idx="19">
                  <c:v>80.835151381664858</c:v>
                </c:pt>
                <c:pt idx="20">
                  <c:v>80.869397811799033</c:v>
                </c:pt>
                <c:pt idx="21">
                  <c:v>80.90038638383119</c:v>
                </c:pt>
                <c:pt idx="22">
                  <c:v>80.928558074769597</c:v>
                </c:pt>
                <c:pt idx="23">
                  <c:v>81.222050724210277</c:v>
                </c:pt>
                <c:pt idx="24">
                  <c:v>81.558738012876987</c:v>
                </c:pt>
                <c:pt idx="25">
                  <c:v>81.873487489855037</c:v>
                </c:pt>
                <c:pt idx="26">
                  <c:v>82.168482470940006</c:v>
                </c:pt>
                <c:pt idx="27">
                  <c:v>82.445619394833145</c:v>
                </c:pt>
                <c:pt idx="28">
                  <c:v>82.706554018671881</c:v>
                </c:pt>
                <c:pt idx="29">
                  <c:v>82.952738896957925</c:v>
                </c:pt>
                <c:pt idx="30">
                  <c:v>83.185454014306089</c:v>
                </c:pt>
                <c:pt idx="31">
                  <c:v>83.405831995636348</c:v>
                </c:pt>
                <c:pt idx="32">
                  <c:v>83.614878987567536</c:v>
                </c:pt>
                <c:pt idx="33">
                  <c:v>83.813492058723781</c:v>
                </c:pt>
                <c:pt idx="34">
                  <c:v>84.002473781364472</c:v>
                </c:pt>
                <c:pt idx="35">
                  <c:v>84.182544515939639</c:v>
                </c:pt>
                <c:pt idx="36">
                  <c:v>84.354352812264295</c:v>
                </c:pt>
                <c:pt idx="37">
                  <c:v>84.518484257654904</c:v>
                </c:pt>
                <c:pt idx="38">
                  <c:v>84.675469037504087</c:v>
                </c:pt>
                <c:pt idx="39">
                  <c:v>84.825788422934508</c:v>
                </c:pt>
                <c:pt idx="40">
                  <c:v>84.969880360064579</c:v>
                </c:pt>
                <c:pt idx="41">
                  <c:v>85.108144303575799</c:v>
                </c:pt>
                <c:pt idx="42">
                  <c:v>85.240945411839348</c:v>
                </c:pt>
                <c:pt idx="43">
                  <c:v>85.368618200430902</c:v>
                </c:pt>
                <c:pt idx="44">
                  <c:v>85.491469734365367</c:v>
                </c:pt>
                <c:pt idx="45">
                  <c:v>85.609782425992364</c:v>
                </c:pt>
                <c:pt idx="46">
                  <c:v>85.723816494569405</c:v>
                </c:pt>
                <c:pt idx="47">
                  <c:v>85.833812134578721</c:v>
                </c:pt>
                <c:pt idx="48">
                  <c:v>85.939991432484248</c:v>
                </c:pt>
                <c:pt idx="49">
                  <c:v>86.042560065533962</c:v>
                </c:pt>
                <c:pt idx="50">
                  <c:v>86.141708811156576</c:v>
                </c:pt>
                <c:pt idx="51">
                  <c:v>86.23761489128708</c:v>
                </c:pt>
                <c:pt idx="52">
                  <c:v>86.330443172432936</c:v>
                </c:pt>
                <c:pt idx="53">
                  <c:v>86.420347239332244</c:v>
                </c:pt>
                <c:pt idx="54">
                  <c:v>86.507470357565225</c:v>
                </c:pt>
                <c:pt idx="55">
                  <c:v>86.591946338372722</c:v>
                </c:pt>
                <c:pt idx="56">
                  <c:v>86.673900317150299</c:v>
                </c:pt>
                <c:pt idx="57">
                  <c:v>86.753449455568557</c:v>
                </c:pt>
                <c:pt idx="58">
                  <c:v>86.830703575973743</c:v>
                </c:pt>
                <c:pt idx="59">
                  <c:v>86.905765735615731</c:v>
                </c:pt>
                <c:pt idx="60">
                  <c:v>86.978732747299972</c:v>
                </c:pt>
                <c:pt idx="61">
                  <c:v>87.049695652241624</c:v>
                </c:pt>
                <c:pt idx="62">
                  <c:v>87.118740150197027</c:v>
                </c:pt>
                <c:pt idx="63">
                  <c:v>87.185946991336479</c:v>
                </c:pt>
                <c:pt idx="64">
                  <c:v>87.251392333796289</c:v>
                </c:pt>
                <c:pt idx="65">
                  <c:v>87.384484900600214</c:v>
                </c:pt>
                <c:pt idx="66">
                  <c:v>87.536634196060362</c:v>
                </c:pt>
                <c:pt idx="67">
                  <c:v>87.683465794241371</c:v>
                </c:pt>
                <c:pt idx="68">
                  <c:v>87.825252088385781</c:v>
                </c:pt>
                <c:pt idx="69">
                  <c:v>87.962226484320212</c:v>
                </c:pt>
                <c:pt idx="70">
                  <c:v>88.058639669758819</c:v>
                </c:pt>
                <c:pt idx="71">
                  <c:v>88.148212948927295</c:v>
                </c:pt>
                <c:pt idx="72">
                  <c:v>88.23476035547219</c:v>
                </c:pt>
                <c:pt idx="73">
                  <c:v>88.318391680411068</c:v>
                </c:pt>
                <c:pt idx="74">
                  <c:v>88.399231617323053</c:v>
                </c:pt>
                <c:pt idx="75">
                  <c:v>88.477398005516719</c:v>
                </c:pt>
                <c:pt idx="76">
                  <c:v>88.553002285052102</c:v>
                </c:pt>
                <c:pt idx="77">
                  <c:v>88.62614991659872</c:v>
                </c:pt>
                <c:pt idx="78">
                  <c:v>88.696940769212858</c:v>
                </c:pt>
                <c:pt idx="79">
                  <c:v>88.765469478816172</c:v>
                </c:pt>
                <c:pt idx="80">
                  <c:v>88.83182577988903</c:v>
                </c:pt>
                <c:pt idx="81">
                  <c:v>88.89609481265191</c:v>
                </c:pt>
                <c:pt idx="82">
                  <c:v>88.958357407793059</c:v>
                </c:pt>
                <c:pt idx="83">
                  <c:v>89.01869035060767</c:v>
                </c:pt>
                <c:pt idx="84">
                  <c:v>89.077166626241493</c:v>
                </c:pt>
                <c:pt idx="85">
                  <c:v>89.133855647576127</c:v>
                </c:pt>
                <c:pt idx="86">
                  <c:v>89.188823467153725</c:v>
                </c:pt>
                <c:pt idx="87">
                  <c:v>89.242132974413437</c:v>
                </c:pt>
                <c:pt idx="88">
                  <c:v>89.293844079398227</c:v>
                </c:pt>
                <c:pt idx="89">
                  <c:v>89.34401388398912</c:v>
                </c:pt>
                <c:pt idx="90">
                  <c:v>89.392696841631249</c:v>
                </c:pt>
                <c:pt idx="91">
                  <c:v>89.439944906432871</c:v>
                </c:pt>
                <c:pt idx="92">
                  <c:v>89.485807672443357</c:v>
                </c:pt>
                <c:pt idx="93">
                  <c:v>89.530332503847276</c:v>
                </c:pt>
                <c:pt idx="94">
                  <c:v>89.573564656750193</c:v>
                </c:pt>
                <c:pt idx="95">
                  <c:v>89.615547393175731</c:v>
                </c:pt>
                <c:pt idx="96">
                  <c:v>89.656322087841872</c:v>
                </c:pt>
                <c:pt idx="97">
                  <c:v>89.695928328238409</c:v>
                </c:pt>
                <c:pt idx="98">
                  <c:v>89.734404008485427</c:v>
                </c:pt>
                <c:pt idx="99">
                  <c:v>89.771785417413682</c:v>
                </c:pt>
                <c:pt idx="100">
                  <c:v>89.808107321273297</c:v>
                </c:pt>
              </c:numCache>
            </c:numRef>
          </c:val>
          <c:smooth val="0"/>
          <c:extLst>
            <c:ext xmlns:c16="http://schemas.microsoft.com/office/drawing/2014/chart" uri="{C3380CC4-5D6E-409C-BE32-E72D297353CC}">
              <c16:uniqueId val="{00000000-3B81-4204-928B-6CDC733DE792}"/>
            </c:ext>
          </c:extLst>
        </c:ser>
        <c:dLbls>
          <c:showLegendKey val="0"/>
          <c:showVal val="0"/>
          <c:showCatName val="0"/>
          <c:showSerName val="0"/>
          <c:showPercent val="0"/>
          <c:showBubbleSize val="0"/>
        </c:dLbls>
        <c:marker val="1"/>
        <c:smooth val="0"/>
        <c:axId val="451805952"/>
        <c:axId val="451807872"/>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6.2124999999999988E-7</c:v>
                </c:pt>
                <c:pt idx="1">
                  <c:v>6.2124999999999995</c:v>
                </c:pt>
                <c:pt idx="2">
                  <c:v>12.424999999999999</c:v>
                </c:pt>
                <c:pt idx="3">
                  <c:v>18.637499999999999</c:v>
                </c:pt>
                <c:pt idx="4">
                  <c:v>24.849999999999998</c:v>
                </c:pt>
                <c:pt idx="5">
                  <c:v>31.062499999999996</c:v>
                </c:pt>
                <c:pt idx="6">
                  <c:v>37.274999999999999</c:v>
                </c:pt>
                <c:pt idx="7">
                  <c:v>43.487499999999997</c:v>
                </c:pt>
                <c:pt idx="8">
                  <c:v>49.699999999999996</c:v>
                </c:pt>
                <c:pt idx="9">
                  <c:v>55.912499999999994</c:v>
                </c:pt>
                <c:pt idx="10">
                  <c:v>62.124999999999993</c:v>
                </c:pt>
                <c:pt idx="11">
                  <c:v>68.337499999999991</c:v>
                </c:pt>
                <c:pt idx="12">
                  <c:v>74.55</c:v>
                </c:pt>
                <c:pt idx="13">
                  <c:v>80.762499999999989</c:v>
                </c:pt>
                <c:pt idx="14">
                  <c:v>86.974999999999994</c:v>
                </c:pt>
                <c:pt idx="15">
                  <c:v>93.187499999999986</c:v>
                </c:pt>
                <c:pt idx="16">
                  <c:v>99.399999999999991</c:v>
                </c:pt>
                <c:pt idx="17">
                  <c:v>105.61249999999998</c:v>
                </c:pt>
                <c:pt idx="18">
                  <c:v>111.82499999999999</c:v>
                </c:pt>
                <c:pt idx="19">
                  <c:v>118.03749999999998</c:v>
                </c:pt>
                <c:pt idx="20">
                  <c:v>124.24999999999999</c:v>
                </c:pt>
                <c:pt idx="21">
                  <c:v>130.46249999999998</c:v>
                </c:pt>
                <c:pt idx="22">
                  <c:v>136.67499999999998</c:v>
                </c:pt>
                <c:pt idx="23">
                  <c:v>142.88749999999999</c:v>
                </c:pt>
                <c:pt idx="24">
                  <c:v>149.1</c:v>
                </c:pt>
                <c:pt idx="25">
                  <c:v>155.3125</c:v>
                </c:pt>
                <c:pt idx="26">
                  <c:v>161.52499999999998</c:v>
                </c:pt>
                <c:pt idx="27">
                  <c:v>167.73749999999998</c:v>
                </c:pt>
                <c:pt idx="28">
                  <c:v>173.95</c:v>
                </c:pt>
                <c:pt idx="29">
                  <c:v>180.16249999999997</c:v>
                </c:pt>
                <c:pt idx="30">
                  <c:v>186.37499999999997</c:v>
                </c:pt>
                <c:pt idx="31">
                  <c:v>192.58750000000001</c:v>
                </c:pt>
                <c:pt idx="32">
                  <c:v>198.79999999999998</c:v>
                </c:pt>
                <c:pt idx="33">
                  <c:v>205.01249999999999</c:v>
                </c:pt>
                <c:pt idx="34">
                  <c:v>211.22499999999997</c:v>
                </c:pt>
                <c:pt idx="35">
                  <c:v>217.43749999999994</c:v>
                </c:pt>
                <c:pt idx="36">
                  <c:v>223.64999999999998</c:v>
                </c:pt>
                <c:pt idx="37">
                  <c:v>229.86250000000001</c:v>
                </c:pt>
                <c:pt idx="38">
                  <c:v>236.07499999999996</c:v>
                </c:pt>
                <c:pt idx="39">
                  <c:v>242.28749999999997</c:v>
                </c:pt>
                <c:pt idx="40">
                  <c:v>248.49999999999997</c:v>
                </c:pt>
                <c:pt idx="41">
                  <c:v>254.71249999999995</c:v>
                </c:pt>
                <c:pt idx="42">
                  <c:v>260.92499999999995</c:v>
                </c:pt>
                <c:pt idx="43">
                  <c:v>267.13749999999999</c:v>
                </c:pt>
                <c:pt idx="44">
                  <c:v>273.34999999999997</c:v>
                </c:pt>
                <c:pt idx="45">
                  <c:v>279.5625</c:v>
                </c:pt>
                <c:pt idx="46">
                  <c:v>285.77499999999998</c:v>
                </c:pt>
                <c:pt idx="47">
                  <c:v>291.98749999999995</c:v>
                </c:pt>
                <c:pt idx="48">
                  <c:v>298.2</c:v>
                </c:pt>
                <c:pt idx="49">
                  <c:v>304.41249999999997</c:v>
                </c:pt>
                <c:pt idx="50">
                  <c:v>310.625</c:v>
                </c:pt>
                <c:pt idx="51">
                  <c:v>316.83749999999998</c:v>
                </c:pt>
                <c:pt idx="52">
                  <c:v>323.04999999999995</c:v>
                </c:pt>
                <c:pt idx="53">
                  <c:v>329.26249999999993</c:v>
                </c:pt>
                <c:pt idx="54">
                  <c:v>335.47499999999997</c:v>
                </c:pt>
                <c:pt idx="55">
                  <c:v>341.6875</c:v>
                </c:pt>
                <c:pt idx="56">
                  <c:v>347.9</c:v>
                </c:pt>
                <c:pt idx="57">
                  <c:v>354.11249999999995</c:v>
                </c:pt>
                <c:pt idx="58">
                  <c:v>360.32499999999993</c:v>
                </c:pt>
                <c:pt idx="59">
                  <c:v>366.53749999999997</c:v>
                </c:pt>
                <c:pt idx="60">
                  <c:v>372.74999999999994</c:v>
                </c:pt>
                <c:pt idx="61">
                  <c:v>378.96249999999998</c:v>
                </c:pt>
                <c:pt idx="62">
                  <c:v>385.17500000000001</c:v>
                </c:pt>
                <c:pt idx="63">
                  <c:v>391.38749999999993</c:v>
                </c:pt>
                <c:pt idx="64">
                  <c:v>397.59999999999997</c:v>
                </c:pt>
                <c:pt idx="65">
                  <c:v>403.81249999999994</c:v>
                </c:pt>
                <c:pt idx="66">
                  <c:v>410.02499999999998</c:v>
                </c:pt>
                <c:pt idx="67">
                  <c:v>416.23749999999995</c:v>
                </c:pt>
                <c:pt idx="68">
                  <c:v>422.44999999999993</c:v>
                </c:pt>
                <c:pt idx="69">
                  <c:v>428.66249999999991</c:v>
                </c:pt>
                <c:pt idx="70">
                  <c:v>434.87499999999989</c:v>
                </c:pt>
                <c:pt idx="71">
                  <c:v>441.08749999999992</c:v>
                </c:pt>
                <c:pt idx="72">
                  <c:v>447.29999999999995</c:v>
                </c:pt>
                <c:pt idx="73">
                  <c:v>453.51249999999999</c:v>
                </c:pt>
                <c:pt idx="74">
                  <c:v>459.72500000000002</c:v>
                </c:pt>
                <c:pt idx="75">
                  <c:v>465.93749999999989</c:v>
                </c:pt>
                <c:pt idx="76">
                  <c:v>472.14999999999992</c:v>
                </c:pt>
                <c:pt idx="77">
                  <c:v>478.3624999999999</c:v>
                </c:pt>
                <c:pt idx="78">
                  <c:v>484.57499999999993</c:v>
                </c:pt>
                <c:pt idx="79">
                  <c:v>490.78749999999991</c:v>
                </c:pt>
                <c:pt idx="80">
                  <c:v>496.99999999999994</c:v>
                </c:pt>
                <c:pt idx="81">
                  <c:v>503.21249999999998</c:v>
                </c:pt>
                <c:pt idx="82">
                  <c:v>509.4249999999999</c:v>
                </c:pt>
                <c:pt idx="83">
                  <c:v>515.63749999999993</c:v>
                </c:pt>
                <c:pt idx="84">
                  <c:v>521.84999999999991</c:v>
                </c:pt>
                <c:pt idx="85">
                  <c:v>528.0625</c:v>
                </c:pt>
                <c:pt idx="86">
                  <c:v>534.27499999999998</c:v>
                </c:pt>
                <c:pt idx="87">
                  <c:v>540.48749999999995</c:v>
                </c:pt>
                <c:pt idx="88">
                  <c:v>546.69999999999993</c:v>
                </c:pt>
                <c:pt idx="89">
                  <c:v>552.91249999999991</c:v>
                </c:pt>
                <c:pt idx="90">
                  <c:v>559.125</c:v>
                </c:pt>
                <c:pt idx="91">
                  <c:v>565.33749999999998</c:v>
                </c:pt>
                <c:pt idx="92">
                  <c:v>571.54999999999995</c:v>
                </c:pt>
                <c:pt idx="93">
                  <c:v>577.76249999999993</c:v>
                </c:pt>
                <c:pt idx="94">
                  <c:v>583.97499999999991</c:v>
                </c:pt>
                <c:pt idx="95">
                  <c:v>590.18749999999989</c:v>
                </c:pt>
                <c:pt idx="96">
                  <c:v>596.4</c:v>
                </c:pt>
                <c:pt idx="97">
                  <c:v>602.61249999999984</c:v>
                </c:pt>
                <c:pt idx="98">
                  <c:v>608.82499999999993</c:v>
                </c:pt>
                <c:pt idx="99">
                  <c:v>615.03749999999991</c:v>
                </c:pt>
                <c:pt idx="100">
                  <c:v>621.25</c:v>
                </c:pt>
              </c:numCache>
            </c:numRef>
          </c:val>
          <c:smooth val="0"/>
          <c:extLst>
            <c:ext xmlns:c16="http://schemas.microsoft.com/office/drawing/2014/chart" uri="{C3380CC4-5D6E-409C-BE32-E72D297353CC}">
              <c16:uniqueId val="{00000001-3B81-4204-928B-6CDC733DE792}"/>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14.358309187502581</c:v>
                </c:pt>
                <c:pt idx="1">
                  <c:v>18.878128207305469</c:v>
                </c:pt>
                <c:pt idx="2">
                  <c:v>37.757375706926524</c:v>
                </c:pt>
                <c:pt idx="3">
                  <c:v>56.637742598411094</c:v>
                </c:pt>
                <c:pt idx="4">
                  <c:v>75.519228981318918</c:v>
                </c:pt>
                <c:pt idx="5">
                  <c:v>94.401834955221545</c:v>
                </c:pt>
                <c:pt idx="6">
                  <c:v>113.28556061970234</c:v>
                </c:pt>
                <c:pt idx="7">
                  <c:v>132.17040607435646</c:v>
                </c:pt>
                <c:pt idx="8">
                  <c:v>151.05637141879089</c:v>
                </c:pt>
                <c:pt idx="9">
                  <c:v>169.94345675262431</c:v>
                </c:pt>
                <c:pt idx="10">
                  <c:v>188.83166217548754</c:v>
                </c:pt>
                <c:pt idx="11">
                  <c:v>207.72098778702286</c:v>
                </c:pt>
                <c:pt idx="12">
                  <c:v>226.61143368688448</c:v>
                </c:pt>
                <c:pt idx="13">
                  <c:v>245.50299997473857</c:v>
                </c:pt>
                <c:pt idx="14">
                  <c:v>264.395686750263</c:v>
                </c:pt>
                <c:pt idx="15">
                  <c:v>283.28949411314738</c:v>
                </c:pt>
                <c:pt idx="16">
                  <c:v>302.18442216309342</c:v>
                </c:pt>
                <c:pt idx="17">
                  <c:v>321.08047099981428</c:v>
                </c:pt>
                <c:pt idx="18">
                  <c:v>339.97764072303528</c:v>
                </c:pt>
                <c:pt idx="19">
                  <c:v>358.87593143249347</c:v>
                </c:pt>
                <c:pt idx="20">
                  <c:v>377.77534322793753</c:v>
                </c:pt>
                <c:pt idx="21">
                  <c:v>396.67587620912838</c:v>
                </c:pt>
                <c:pt idx="22">
                  <c:v>415.57753047583856</c:v>
                </c:pt>
                <c:pt idx="23">
                  <c:v>425.91542495761945</c:v>
                </c:pt>
                <c:pt idx="24">
                  <c:v>434.0157395643385</c:v>
                </c:pt>
                <c:pt idx="25">
                  <c:v>441.96114116467601</c:v>
                </c:pt>
                <c:pt idx="26">
                  <c:v>449.76110402121344</c:v>
                </c:pt>
                <c:pt idx="27">
                  <c:v>457.42419576180754</c:v>
                </c:pt>
                <c:pt idx="28">
                  <c:v>464.9581941369363</c:v>
                </c:pt>
                <c:pt idx="29">
                  <c:v>472.37018514207841</c:v>
                </c:pt>
                <c:pt idx="30">
                  <c:v>479.66664601511008</c:v>
                </c:pt>
                <c:pt idx="31">
                  <c:v>486.8535158632713</c:v>
                </c:pt>
                <c:pt idx="32">
                  <c:v>493.93625610042869</c:v>
                </c:pt>
                <c:pt idx="33">
                  <c:v>500.91990243517006</c:v>
                </c:pt>
                <c:pt idx="34">
                  <c:v>507.80910980952564</c:v>
                </c:pt>
                <c:pt idx="35">
                  <c:v>514.60819142207345</c:v>
                </c:pt>
                <c:pt idx="36">
                  <c:v>521.32115275984324</c:v>
                </c:pt>
                <c:pt idx="37">
                  <c:v>527.95172139744329</c:v>
                </c:pt>
                <c:pt idx="38">
                  <c:v>534.50337318932998</c:v>
                </c:pt>
                <c:pt idx="39">
                  <c:v>540.97935537462274</c:v>
                </c:pt>
                <c:pt idx="40">
                  <c:v>547.38270702774753</c:v>
                </c:pt>
                <c:pt idx="41">
                  <c:v>553.71627721813172</c:v>
                </c:pt>
                <c:pt idx="42">
                  <c:v>559.98274118486529</c:v>
                </c:pt>
                <c:pt idx="43">
                  <c:v>566.1846147851179</c:v>
                </c:pt>
                <c:pt idx="44">
                  <c:v>572.32426743616702</c:v>
                </c:pt>
                <c:pt idx="45">
                  <c:v>578.40393373854886</c:v>
                </c:pt>
                <c:pt idx="46">
                  <c:v>584.42572394088211</c:v>
                </c:pt>
                <c:pt idx="47">
                  <c:v>590.39163338432127</c:v>
                </c:pt>
                <c:pt idx="48">
                  <c:v>596.30355104559146</c:v>
                </c:pt>
                <c:pt idx="49">
                  <c:v>602.16326728151751</c:v>
                </c:pt>
                <c:pt idx="50">
                  <c:v>607.97248086435923</c:v>
                </c:pt>
                <c:pt idx="51">
                  <c:v>613.73280538569406</c:v>
                </c:pt>
                <c:pt idx="52">
                  <c:v>619.44577509672581</c:v>
                </c:pt>
                <c:pt idx="53">
                  <c:v>625.11285024443043</c:v>
                </c:pt>
                <c:pt idx="54">
                  <c:v>630.73542195570099</c:v>
                </c:pt>
                <c:pt idx="55">
                  <c:v>636.31481671538961</c:v>
                </c:pt>
                <c:pt idx="56">
                  <c:v>641.85230047873915</c:v>
                </c:pt>
                <c:pt idx="57">
                  <c:v>647.34908245401118</c:v>
                </c:pt>
                <c:pt idx="58">
                  <c:v>652.80631858705044</c:v>
                </c:pt>
                <c:pt idx="59">
                  <c:v>658.22511477597402</c:v>
                </c:pt>
                <c:pt idx="60">
                  <c:v>663.60652984108299</c:v>
                </c:pt>
                <c:pt idx="61">
                  <c:v>668.95157827237597</c:v>
                </c:pt>
                <c:pt idx="62">
                  <c:v>674.2612327746732</c:v>
                </c:pt>
                <c:pt idx="63">
                  <c:v>679.53642662826553</c:v>
                </c:pt>
                <c:pt idx="64">
                  <c:v>684.77805588115211</c:v>
                </c:pt>
                <c:pt idx="65">
                  <c:v>682.62488879395141</c:v>
                </c:pt>
                <c:pt idx="66">
                  <c:v>677.99879461742137</c:v>
                </c:pt>
                <c:pt idx="67">
                  <c:v>673.47973382802263</c:v>
                </c:pt>
                <c:pt idx="68">
                  <c:v>669.05527202436781</c:v>
                </c:pt>
                <c:pt idx="69">
                  <c:v>664.72225978281801</c:v>
                </c:pt>
                <c:pt idx="70">
                  <c:v>664.73835287613986</c:v>
                </c:pt>
                <c:pt idx="71">
                  <c:v>665.20863327900702</c:v>
                </c:pt>
                <c:pt idx="72">
                  <c:v>665.68458557758709</c:v>
                </c:pt>
                <c:pt idx="73">
                  <c:v>666.17425392570703</c:v>
                </c:pt>
                <c:pt idx="74">
                  <c:v>666.67748260671385</c:v>
                </c:pt>
                <c:pt idx="75">
                  <c:v>667.19412422940684</c:v>
                </c:pt>
                <c:pt idx="76">
                  <c:v>667.72403921908221</c:v>
                </c:pt>
                <c:pt idx="77">
                  <c:v>668.26709534590611</c:v>
                </c:pt>
                <c:pt idx="78">
                  <c:v>668.82316728746741</c:v>
                </c:pt>
                <c:pt idx="79">
                  <c:v>669.39213622264913</c:v>
                </c:pt>
                <c:pt idx="80">
                  <c:v>669.97388945424439</c:v>
                </c:pt>
                <c:pt idx="81">
                  <c:v>670.56832005796389</c:v>
                </c:pt>
                <c:pt idx="82">
                  <c:v>671.17532655571495</c:v>
                </c:pt>
                <c:pt idx="83">
                  <c:v>671.794812611216</c:v>
                </c:pt>
                <c:pt idx="84">
                  <c:v>672.42668674618233</c:v>
                </c:pt>
                <c:pt idx="85">
                  <c:v>673.07086207548957</c:v>
                </c:pt>
                <c:pt idx="86">
                  <c:v>673.72725605984374</c:v>
                </c:pt>
                <c:pt idx="87">
                  <c:v>674.39579027463049</c:v>
                </c:pt>
                <c:pt idx="88">
                  <c:v>675.07639019372039</c:v>
                </c:pt>
                <c:pt idx="89">
                  <c:v>675.76898498711341</c:v>
                </c:pt>
                <c:pt idx="90">
                  <c:v>676.47350733140854</c:v>
                </c:pt>
                <c:pt idx="91">
                  <c:v>677.18989323215192</c:v>
                </c:pt>
                <c:pt idx="92">
                  <c:v>677.91808185721254</c:v>
                </c:pt>
                <c:pt idx="93">
                  <c:v>678.65801538039784</c:v>
                </c:pt>
                <c:pt idx="94">
                  <c:v>679.40963883457414</c:v>
                </c:pt>
                <c:pt idx="95">
                  <c:v>680.17289997363764</c:v>
                </c:pt>
                <c:pt idx="96">
                  <c:v>680.94774914271534</c:v>
                </c:pt>
                <c:pt idx="97">
                  <c:v>681.73413915603078</c:v>
                </c:pt>
                <c:pt idx="98">
                  <c:v>682.53202518191586</c:v>
                </c:pt>
                <c:pt idx="99">
                  <c:v>683.34136463448442</c:v>
                </c:pt>
                <c:pt idx="100">
                  <c:v>684.16211707152263</c:v>
                </c:pt>
              </c:numCache>
            </c:numRef>
          </c:val>
          <c:smooth val="0"/>
          <c:extLst>
            <c:ext xmlns:c16="http://schemas.microsoft.com/office/drawing/2014/chart" uri="{C3380CC4-5D6E-409C-BE32-E72D297353CC}">
              <c16:uniqueId val="{00000002-3B81-4204-928B-6CDC733DE792}"/>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22.182508109385214</c:v>
                </c:pt>
                <c:pt idx="1">
                  <c:v>24.679509516589878</c:v>
                </c:pt>
                <c:pt idx="2">
                  <c:v>27.2831778368116</c:v>
                </c:pt>
                <c:pt idx="3">
                  <c:v>29.8868461570333</c:v>
                </c:pt>
                <c:pt idx="4">
                  <c:v>32.490514477255026</c:v>
                </c:pt>
                <c:pt idx="5">
                  <c:v>35.094182797476734</c:v>
                </c:pt>
                <c:pt idx="6">
                  <c:v>37.697851117698463</c:v>
                </c:pt>
                <c:pt idx="7">
                  <c:v>40.301519437920163</c:v>
                </c:pt>
                <c:pt idx="8">
                  <c:v>42.905187758141864</c:v>
                </c:pt>
                <c:pt idx="9">
                  <c:v>45.508856078363578</c:v>
                </c:pt>
                <c:pt idx="10">
                  <c:v>48.1125243985853</c:v>
                </c:pt>
                <c:pt idx="11">
                  <c:v>50.716192718807015</c:v>
                </c:pt>
                <c:pt idx="12">
                  <c:v>53.319861039028723</c:v>
                </c:pt>
                <c:pt idx="13">
                  <c:v>55.923529359250438</c:v>
                </c:pt>
                <c:pt idx="14">
                  <c:v>58.527197679472145</c:v>
                </c:pt>
                <c:pt idx="15">
                  <c:v>61.130865999693853</c:v>
                </c:pt>
                <c:pt idx="16">
                  <c:v>63.734534319915575</c:v>
                </c:pt>
                <c:pt idx="17">
                  <c:v>66.338202640137283</c:v>
                </c:pt>
                <c:pt idx="18">
                  <c:v>68.941870960358983</c:v>
                </c:pt>
                <c:pt idx="19">
                  <c:v>71.545539280580698</c:v>
                </c:pt>
                <c:pt idx="20">
                  <c:v>74.149207600802427</c:v>
                </c:pt>
                <c:pt idx="21">
                  <c:v>76.752875921024128</c:v>
                </c:pt>
                <c:pt idx="22">
                  <c:v>79.356544241245857</c:v>
                </c:pt>
                <c:pt idx="23">
                  <c:v>82.764379095154808</c:v>
                </c:pt>
                <c:pt idx="24">
                  <c:v>86.368860279702616</c:v>
                </c:pt>
                <c:pt idx="25">
                  <c:v>89.973829920939295</c:v>
                </c:pt>
                <c:pt idx="26">
                  <c:v>93.579287257571821</c:v>
                </c:pt>
                <c:pt idx="27">
                  <c:v>97.185231578767002</c:v>
                </c:pt>
                <c:pt idx="28">
                  <c:v>100.79166221941405</c:v>
                </c:pt>
                <c:pt idx="29">
                  <c:v>104.39857855598645</c:v>
                </c:pt>
                <c:pt idx="30">
                  <c:v>108.00598000290927</c:v>
                </c:pt>
                <c:pt idx="31">
                  <c:v>111.61386600935485</c:v>
                </c:pt>
                <c:pt idx="32">
                  <c:v>115.22223605640463</c:v>
                </c:pt>
                <c:pt idx="33">
                  <c:v>118.83108965452448</c:v>
                </c:pt>
                <c:pt idx="34">
                  <c:v>122.44042634131088</c:v>
                </c:pt>
                <c:pt idx="35">
                  <c:v>126.05024567947149</c:v>
                </c:pt>
                <c:pt idx="36">
                  <c:v>129.66054725500965</c:v>
                </c:pt>
                <c:pt idx="37">
                  <c:v>133.27133067558714</c:v>
                </c:pt>
                <c:pt idx="38">
                  <c:v>136.88259556904362</c:v>
                </c:pt>
                <c:pt idx="39">
                  <c:v>140.49434158205352</c:v>
                </c:pt>
                <c:pt idx="40">
                  <c:v>144.10656837890451</c:v>
                </c:pt>
                <c:pt idx="41">
                  <c:v>147.71927564038438</c:v>
                </c:pt>
                <c:pt idx="42">
                  <c:v>151.33246306276317</c:v>
                </c:pt>
                <c:pt idx="43">
                  <c:v>154.94613035686149</c:v>
                </c:pt>
                <c:pt idx="44">
                  <c:v>158.56027724719516</c:v>
                </c:pt>
                <c:pt idx="45">
                  <c:v>162.17490347118812</c:v>
                </c:pt>
                <c:pt idx="46">
                  <c:v>165.79000877844791</c:v>
                </c:pt>
                <c:pt idx="47">
                  <c:v>169.40559293009613</c:v>
                </c:pt>
                <c:pt idx="48">
                  <c:v>173.02165569814943</c:v>
                </c:pt>
                <c:pt idx="49">
                  <c:v>176.63819686494588</c:v>
                </c:pt>
                <c:pt idx="50">
                  <c:v>180.25521622261306</c:v>
                </c:pt>
                <c:pt idx="51">
                  <c:v>183.87271357257339</c:v>
                </c:pt>
                <c:pt idx="52">
                  <c:v>187.49068872508343</c:v>
                </c:pt>
                <c:pt idx="53">
                  <c:v>191.1091414988054</c:v>
                </c:pt>
                <c:pt idx="54">
                  <c:v>194.72807172040598</c:v>
                </c:pt>
                <c:pt idx="55">
                  <c:v>198.34747922418256</c:v>
                </c:pt>
                <c:pt idx="56">
                  <c:v>201.96736385171258</c:v>
                </c:pt>
                <c:pt idx="57">
                  <c:v>205.58772545152522</c:v>
                </c:pt>
                <c:pt idx="58">
                  <c:v>209.20856387879377</c:v>
                </c:pt>
                <c:pt idx="59">
                  <c:v>212.8298789950465</c:v>
                </c:pt>
                <c:pt idx="60">
                  <c:v>216.45167066789435</c:v>
                </c:pt>
                <c:pt idx="61">
                  <c:v>220.07393877077544</c:v>
                </c:pt>
                <c:pt idx="62">
                  <c:v>223.69668318271388</c:v>
                </c:pt>
                <c:pt idx="63">
                  <c:v>227.31990378809257</c:v>
                </c:pt>
                <c:pt idx="64">
                  <c:v>230.94360047643821</c:v>
                </c:pt>
                <c:pt idx="65">
                  <c:v>234.47079981944387</c:v>
                </c:pt>
                <c:pt idx="66">
                  <c:v>237.96479941853585</c:v>
                </c:pt>
                <c:pt idx="67">
                  <c:v>241.4606831902525</c:v>
                </c:pt>
                <c:pt idx="68">
                  <c:v>244.95687550061683</c:v>
                </c:pt>
                <c:pt idx="69">
                  <c:v>248.45338807608169</c:v>
                </c:pt>
                <c:pt idx="70">
                  <c:v>253.00366627680333</c:v>
                </c:pt>
                <c:pt idx="71">
                  <c:v>257.69216339212079</c:v>
                </c:pt>
                <c:pt idx="72">
                  <c:v>262.40919078464123</c:v>
                </c:pt>
                <c:pt idx="73">
                  <c:v>267.15710195664093</c:v>
                </c:pt>
                <c:pt idx="74">
                  <c:v>271.93593974365399</c:v>
                </c:pt>
                <c:pt idx="75">
                  <c:v>276.74574738804466</c:v>
                </c:pt>
                <c:pt idx="76">
                  <c:v>281.58656853848066</c:v>
                </c:pt>
                <c:pt idx="77">
                  <c:v>286.45844724954378</c:v>
                </c:pt>
                <c:pt idx="78">
                  <c:v>291.36142798146625</c:v>
                </c:pt>
                <c:pt idx="79">
                  <c:v>296.29555559998585</c:v>
                </c:pt>
                <c:pt idx="80">
                  <c:v>301.26087537630781</c:v>
                </c:pt>
                <c:pt idx="81">
                  <c:v>306.25743298716964</c:v>
                </c:pt>
                <c:pt idx="82">
                  <c:v>311.28527451499724</c:v>
                </c:pt>
                <c:pt idx="83">
                  <c:v>316.34444644815045</c:v>
                </c:pt>
                <c:pt idx="84">
                  <c:v>321.43499568124878</c:v>
                </c:pt>
                <c:pt idx="85">
                  <c:v>326.55696951557428</c:v>
                </c:pt>
                <c:pt idx="86">
                  <c:v>331.71041565954414</c:v>
                </c:pt>
                <c:pt idx="87">
                  <c:v>336.89538222925216</c:v>
                </c:pt>
                <c:pt idx="88">
                  <c:v>342.11191774907235</c:v>
                </c:pt>
                <c:pt idx="89">
                  <c:v>347.36007115232076</c:v>
                </c:pt>
                <c:pt idx="90">
                  <c:v>352.63989178197511</c:v>
                </c:pt>
                <c:pt idx="91">
                  <c:v>357.95142939144574</c:v>
                </c:pt>
                <c:pt idx="92">
                  <c:v>363.29473414539666</c:v>
                </c:pt>
                <c:pt idx="93">
                  <c:v>368.66985662061535</c:v>
                </c:pt>
                <c:pt idx="94">
                  <c:v>374.07684780692625</c:v>
                </c:pt>
                <c:pt idx="95">
                  <c:v>379.51575910814745</c:v>
                </c:pt>
                <c:pt idx="96">
                  <c:v>384.9866423430895</c:v>
                </c:pt>
                <c:pt idx="97">
                  <c:v>390.4895497465908</c:v>
                </c:pt>
                <c:pt idx="98">
                  <c:v>396.02453397059395</c:v>
                </c:pt>
                <c:pt idx="99">
                  <c:v>401.59164808525435</c:v>
                </c:pt>
                <c:pt idx="100">
                  <c:v>407.19094558008646</c:v>
                </c:pt>
              </c:numCache>
            </c:numRef>
          </c:val>
          <c:smooth val="0"/>
          <c:extLst>
            <c:ext xmlns:c16="http://schemas.microsoft.com/office/drawing/2014/chart" uri="{C3380CC4-5D6E-409C-BE32-E72D297353CC}">
              <c16:uniqueId val="{00000003-3B81-4204-928B-6CDC733DE792}"/>
            </c:ext>
          </c:extLst>
        </c:ser>
        <c:dLbls>
          <c:showLegendKey val="0"/>
          <c:showVal val="0"/>
          <c:showCatName val="0"/>
          <c:showSerName val="0"/>
          <c:showPercent val="0"/>
          <c:showBubbleSize val="0"/>
        </c:dLbls>
        <c:marker val="1"/>
        <c:smooth val="0"/>
        <c:axId val="451820160"/>
        <c:axId val="451818240"/>
      </c:lineChart>
      <c:catAx>
        <c:axId val="451805952"/>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807872"/>
        <c:crosses val="autoZero"/>
        <c:auto val="1"/>
        <c:lblAlgn val="ctr"/>
        <c:lblOffset val="100"/>
        <c:tickLblSkip val="20"/>
        <c:tickMarkSkip val="20"/>
        <c:noMultiLvlLbl val="0"/>
      </c:catAx>
      <c:valAx>
        <c:axId val="451807872"/>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05952"/>
        <c:crossesAt val="0"/>
        <c:crossBetween val="between"/>
        <c:majorUnit val="5"/>
        <c:minorUnit val="2.5"/>
      </c:valAx>
      <c:valAx>
        <c:axId val="45181824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820160"/>
        <c:crosses val="max"/>
        <c:crossBetween val="between"/>
      </c:valAx>
      <c:catAx>
        <c:axId val="451820160"/>
        <c:scaling>
          <c:orientation val="minMax"/>
        </c:scaling>
        <c:delete val="1"/>
        <c:axPos val="b"/>
        <c:numFmt formatCode="General" sourceLinked="1"/>
        <c:majorTickMark val="out"/>
        <c:minorTickMark val="none"/>
        <c:tickLblPos val="nextTo"/>
        <c:crossAx val="45181824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7.0760867315253356E-5</c:v>
                </c:pt>
                <c:pt idx="1">
                  <c:v>78.89653095820826</c:v>
                </c:pt>
                <c:pt idx="2">
                  <c:v>82.784968430880141</c:v>
                </c:pt>
                <c:pt idx="3">
                  <c:v>84.095815264828673</c:v>
                </c:pt>
                <c:pt idx="4">
                  <c:v>84.699763125016588</c:v>
                </c:pt>
                <c:pt idx="5">
                  <c:v>85.003774247528526</c:v>
                </c:pt>
                <c:pt idx="6">
                  <c:v>85.149180611651275</c:v>
                </c:pt>
                <c:pt idx="7">
                  <c:v>85.198365424406703</c:v>
                </c:pt>
                <c:pt idx="8">
                  <c:v>85.183344363151804</c:v>
                </c:pt>
                <c:pt idx="9">
                  <c:v>85.122372500510906</c:v>
                </c:pt>
                <c:pt idx="10">
                  <c:v>85.026710058553235</c:v>
                </c:pt>
                <c:pt idx="11">
                  <c:v>84.90374329815738</c:v>
                </c:pt>
                <c:pt idx="12">
                  <c:v>84.75856480579148</c:v>
                </c:pt>
                <c:pt idx="13">
                  <c:v>84.594834218663863</c:v>
                </c:pt>
                <c:pt idx="14">
                  <c:v>84.415275413845535</c:v>
                </c:pt>
                <c:pt idx="15">
                  <c:v>84.221977977357014</c:v>
                </c:pt>
                <c:pt idx="16">
                  <c:v>84.016587606769647</c:v>
                </c:pt>
                <c:pt idx="17">
                  <c:v>83.800430626384511</c:v>
                </c:pt>
                <c:pt idx="18">
                  <c:v>83.574597903886726</c:v>
                </c:pt>
                <c:pt idx="19">
                  <c:v>83.340002914656139</c:v>
                </c:pt>
                <c:pt idx="20">
                  <c:v>83.097422863054675</c:v>
                </c:pt>
                <c:pt idx="21">
                  <c:v>82.555179567393438</c:v>
                </c:pt>
                <c:pt idx="22">
                  <c:v>82.028993223834277</c:v>
                </c:pt>
                <c:pt idx="23">
                  <c:v>82.158265948089209</c:v>
                </c:pt>
                <c:pt idx="24">
                  <c:v>82.277257858822651</c:v>
                </c:pt>
                <c:pt idx="25">
                  <c:v>82.387075243760648</c:v>
                </c:pt>
                <c:pt idx="26">
                  <c:v>82.488669512442286</c:v>
                </c:pt>
                <c:pt idx="27">
                  <c:v>82.582863671192598</c:v>
                </c:pt>
                <c:pt idx="28">
                  <c:v>82.670373502957432</c:v>
                </c:pt>
                <c:pt idx="29">
                  <c:v>82.751824655172953</c:v>
                </c:pt>
                <c:pt idx="30">
                  <c:v>82.827766534786775</c:v>
                </c:pt>
                <c:pt idx="31">
                  <c:v>82.898683689596382</c:v>
                </c:pt>
                <c:pt idx="32">
                  <c:v>82.96500519407428</c:v>
                </c:pt>
                <c:pt idx="33">
                  <c:v>83.027112438704847</c:v>
                </c:pt>
                <c:pt idx="34">
                  <c:v>83.085345632785035</c:v>
                </c:pt>
                <c:pt idx="35">
                  <c:v>83.140009263408402</c:v>
                </c:pt>
                <c:pt idx="36">
                  <c:v>83.191376702154145</c:v>
                </c:pt>
                <c:pt idx="37">
                  <c:v>83.239694111683946</c:v>
                </c:pt>
                <c:pt idx="38">
                  <c:v>83.285183774018961</c:v>
                </c:pt>
                <c:pt idx="39">
                  <c:v>83.328046938539643</c:v>
                </c:pt>
                <c:pt idx="40">
                  <c:v>83.36846626911985</c:v>
                </c:pt>
                <c:pt idx="41">
                  <c:v>83.406607955079409</c:v>
                </c:pt>
                <c:pt idx="42">
                  <c:v>83.442623538926981</c:v>
                </c:pt>
                <c:pt idx="43">
                  <c:v>83.476651504493461</c:v>
                </c:pt>
                <c:pt idx="44">
                  <c:v>83.508818661516543</c:v>
                </c:pt>
                <c:pt idx="45">
                  <c:v>83.539241356638414</c:v>
                </c:pt>
                <c:pt idx="46">
                  <c:v>83.568026535819854</c:v>
                </c:pt>
                <c:pt idx="47">
                  <c:v>83.595272679123909</c:v>
                </c:pt>
                <c:pt idx="48">
                  <c:v>83.621070625497069</c:v>
                </c:pt>
                <c:pt idx="49">
                  <c:v>83.645504302435995</c:v>
                </c:pt>
                <c:pt idx="50">
                  <c:v>83.668651373158639</c:v>
                </c:pt>
                <c:pt idx="51">
                  <c:v>83.690583812013287</c:v>
                </c:pt>
                <c:pt idx="52">
                  <c:v>83.711368417285271</c:v>
                </c:pt>
                <c:pt idx="53">
                  <c:v>83.731067269243582</c:v>
                </c:pt>
                <c:pt idx="54">
                  <c:v>83.749738140162037</c:v>
                </c:pt>
                <c:pt idx="55">
                  <c:v>83.767434862115735</c:v>
                </c:pt>
                <c:pt idx="56">
                  <c:v>83.784207657562916</c:v>
                </c:pt>
                <c:pt idx="57">
                  <c:v>83.800103437052115</c:v>
                </c:pt>
                <c:pt idx="58">
                  <c:v>83.815166067822915</c:v>
                </c:pt>
                <c:pt idx="59">
                  <c:v>83.829436616581205</c:v>
                </c:pt>
                <c:pt idx="60">
                  <c:v>83.850432066703689</c:v>
                </c:pt>
                <c:pt idx="61">
                  <c:v>84.153428989641313</c:v>
                </c:pt>
                <c:pt idx="62">
                  <c:v>84.444887030692243</c:v>
                </c:pt>
                <c:pt idx="63">
                  <c:v>84.72536438249179</c:v>
                </c:pt>
                <c:pt idx="64">
                  <c:v>84.995399765292774</c:v>
                </c:pt>
                <c:pt idx="65">
                  <c:v>85.255542996263671</c:v>
                </c:pt>
                <c:pt idx="66">
                  <c:v>85.506195238699533</c:v>
                </c:pt>
                <c:pt idx="67">
                  <c:v>85.747799440162169</c:v>
                </c:pt>
                <c:pt idx="68">
                  <c:v>85.980774071841623</c:v>
                </c:pt>
                <c:pt idx="69">
                  <c:v>86.205514645481259</c:v>
                </c:pt>
                <c:pt idx="70">
                  <c:v>85.740311406468265</c:v>
                </c:pt>
                <c:pt idx="71">
                  <c:v>85.842746448502155</c:v>
                </c:pt>
                <c:pt idx="72">
                  <c:v>85.94253078669351</c:v>
                </c:pt>
                <c:pt idx="73">
                  <c:v>86.039755770100712</c:v>
                </c:pt>
                <c:pt idx="74">
                  <c:v>86.13450856945812</c:v>
                </c:pt>
                <c:pt idx="75">
                  <c:v>86.226872414377837</c:v>
                </c:pt>
                <c:pt idx="76">
                  <c:v>86.316926814480681</c:v>
                </c:pt>
                <c:pt idx="77">
                  <c:v>86.404747765720558</c:v>
                </c:pt>
                <c:pt idx="78">
                  <c:v>86.490407943053299</c:v>
                </c:pt>
                <c:pt idx="79">
                  <c:v>86.573976880499202</c:v>
                </c:pt>
                <c:pt idx="80">
                  <c:v>86.655521139557109</c:v>
                </c:pt>
                <c:pt idx="81">
                  <c:v>86.735104466844035</c:v>
                </c:pt>
                <c:pt idx="82">
                  <c:v>86.812787941761144</c:v>
                </c:pt>
                <c:pt idx="83">
                  <c:v>86.888630114917859</c:v>
                </c:pt>
                <c:pt idx="84">
                  <c:v>86.962687137985867</c:v>
                </c:pt>
                <c:pt idx="85">
                  <c:v>87.035012885598235</c:v>
                </c:pt>
                <c:pt idx="86">
                  <c:v>87.10565906985957</c:v>
                </c:pt>
                <c:pt idx="87">
                  <c:v>87.174675347986749</c:v>
                </c:pt>
                <c:pt idx="88">
                  <c:v>87.24210942355829</c:v>
                </c:pt>
                <c:pt idx="89">
                  <c:v>87.308007141812823</c:v>
                </c:pt>
                <c:pt idx="90">
                  <c:v>87.37241257940245</c:v>
                </c:pt>
                <c:pt idx="91">
                  <c:v>87.435368128975213</c:v>
                </c:pt>
                <c:pt idx="92">
                  <c:v>87.49691457893249</c:v>
                </c:pt>
                <c:pt idx="93">
                  <c:v>87.557091188680332</c:v>
                </c:pt>
                <c:pt idx="94">
                  <c:v>87.615935759670521</c:v>
                </c:pt>
                <c:pt idx="95">
                  <c:v>87.673484702504169</c:v>
                </c:pt>
                <c:pt idx="96">
                  <c:v>87.729773100351309</c:v>
                </c:pt>
                <c:pt idx="97">
                  <c:v>87.784834768920987</c:v>
                </c:pt>
                <c:pt idx="98">
                  <c:v>87.838702313199647</c:v>
                </c:pt>
                <c:pt idx="99">
                  <c:v>87.891407181159423</c:v>
                </c:pt>
                <c:pt idx="100">
                  <c:v>87.359896221666105</c:v>
                </c:pt>
              </c:numCache>
            </c:numRef>
          </c:val>
          <c:smooth val="0"/>
          <c:extLst>
            <c:ext xmlns:c16="http://schemas.microsoft.com/office/drawing/2014/chart" uri="{C3380CC4-5D6E-409C-BE32-E72D297353CC}">
              <c16:uniqueId val="{00000000-F0EA-4A0C-859E-C3182CAF915C}"/>
            </c:ext>
          </c:extLst>
        </c:ser>
        <c:dLbls>
          <c:showLegendKey val="0"/>
          <c:showVal val="0"/>
          <c:showCatName val="0"/>
          <c:showSerName val="0"/>
          <c:showPercent val="0"/>
          <c:showBubbleSize val="0"/>
        </c:dLbls>
        <c:marker val="1"/>
        <c:smooth val="0"/>
        <c:axId val="451868928"/>
        <c:axId val="451223936"/>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1.065E-6</c:v>
                </c:pt>
                <c:pt idx="1">
                  <c:v>7.3218749999999995</c:v>
                </c:pt>
                <c:pt idx="2">
                  <c:v>14.643749999999999</c:v>
                </c:pt>
                <c:pt idx="3">
                  <c:v>21.965624999999999</c:v>
                </c:pt>
                <c:pt idx="4">
                  <c:v>29.287499999999998</c:v>
                </c:pt>
                <c:pt idx="5">
                  <c:v>36.609375</c:v>
                </c:pt>
                <c:pt idx="6">
                  <c:v>43.931249999999999</c:v>
                </c:pt>
                <c:pt idx="7">
                  <c:v>51.253124999999997</c:v>
                </c:pt>
                <c:pt idx="8">
                  <c:v>58.574999999999996</c:v>
                </c:pt>
                <c:pt idx="9">
                  <c:v>65.896874999999994</c:v>
                </c:pt>
                <c:pt idx="10">
                  <c:v>73.21875</c:v>
                </c:pt>
                <c:pt idx="11">
                  <c:v>80.540624999999991</c:v>
                </c:pt>
                <c:pt idx="12">
                  <c:v>87.862499999999997</c:v>
                </c:pt>
                <c:pt idx="13">
                  <c:v>95.184374999999989</c:v>
                </c:pt>
                <c:pt idx="14">
                  <c:v>102.50624999999999</c:v>
                </c:pt>
                <c:pt idx="15">
                  <c:v>109.828125</c:v>
                </c:pt>
                <c:pt idx="16">
                  <c:v>117.14999999999999</c:v>
                </c:pt>
                <c:pt idx="17">
                  <c:v>124.47187499999998</c:v>
                </c:pt>
                <c:pt idx="18">
                  <c:v>131.79374999999999</c:v>
                </c:pt>
                <c:pt idx="19">
                  <c:v>139.11562499999997</c:v>
                </c:pt>
                <c:pt idx="20">
                  <c:v>146.4375</c:v>
                </c:pt>
                <c:pt idx="21">
                  <c:v>153.75937499999998</c:v>
                </c:pt>
                <c:pt idx="22">
                  <c:v>161.08124999999998</c:v>
                </c:pt>
                <c:pt idx="23">
                  <c:v>168.40312499999999</c:v>
                </c:pt>
                <c:pt idx="24">
                  <c:v>175.72499999999999</c:v>
                </c:pt>
                <c:pt idx="25">
                  <c:v>183.046875</c:v>
                </c:pt>
                <c:pt idx="26">
                  <c:v>190.36874999999998</c:v>
                </c:pt>
                <c:pt idx="27">
                  <c:v>197.69062499999998</c:v>
                </c:pt>
                <c:pt idx="28">
                  <c:v>205.01249999999999</c:v>
                </c:pt>
                <c:pt idx="29">
                  <c:v>212.33437499999997</c:v>
                </c:pt>
                <c:pt idx="30">
                  <c:v>219.65625</c:v>
                </c:pt>
                <c:pt idx="31">
                  <c:v>226.97812500000001</c:v>
                </c:pt>
                <c:pt idx="32">
                  <c:v>234.29999999999998</c:v>
                </c:pt>
                <c:pt idx="33">
                  <c:v>241.62187499999999</c:v>
                </c:pt>
                <c:pt idx="34">
                  <c:v>248.94374999999997</c:v>
                </c:pt>
                <c:pt idx="35">
                  <c:v>256.26562499999994</c:v>
                </c:pt>
                <c:pt idx="36">
                  <c:v>263.58749999999998</c:v>
                </c:pt>
                <c:pt idx="37">
                  <c:v>270.90937500000001</c:v>
                </c:pt>
                <c:pt idx="38">
                  <c:v>278.23124999999993</c:v>
                </c:pt>
                <c:pt idx="39">
                  <c:v>285.55312499999997</c:v>
                </c:pt>
                <c:pt idx="40">
                  <c:v>292.875</c:v>
                </c:pt>
                <c:pt idx="41">
                  <c:v>300.19687499999992</c:v>
                </c:pt>
                <c:pt idx="42">
                  <c:v>307.51874999999995</c:v>
                </c:pt>
                <c:pt idx="43">
                  <c:v>314.84062499999999</c:v>
                </c:pt>
                <c:pt idx="44">
                  <c:v>322.16249999999997</c:v>
                </c:pt>
                <c:pt idx="45">
                  <c:v>329.484375</c:v>
                </c:pt>
                <c:pt idx="46">
                  <c:v>336.80624999999998</c:v>
                </c:pt>
                <c:pt idx="47">
                  <c:v>344.12812499999995</c:v>
                </c:pt>
                <c:pt idx="48">
                  <c:v>351.45</c:v>
                </c:pt>
                <c:pt idx="49">
                  <c:v>358.77187499999997</c:v>
                </c:pt>
                <c:pt idx="50">
                  <c:v>366.09375</c:v>
                </c:pt>
                <c:pt idx="51">
                  <c:v>373.41562499999998</c:v>
                </c:pt>
                <c:pt idx="52">
                  <c:v>380.73749999999995</c:v>
                </c:pt>
                <c:pt idx="53">
                  <c:v>388.05937499999999</c:v>
                </c:pt>
                <c:pt idx="54">
                  <c:v>395.38124999999997</c:v>
                </c:pt>
                <c:pt idx="55">
                  <c:v>402.703125</c:v>
                </c:pt>
                <c:pt idx="56">
                  <c:v>410.02499999999998</c:v>
                </c:pt>
                <c:pt idx="57">
                  <c:v>417.34687499999995</c:v>
                </c:pt>
                <c:pt idx="58">
                  <c:v>424.66874999999993</c:v>
                </c:pt>
                <c:pt idx="59">
                  <c:v>431.99062499999997</c:v>
                </c:pt>
                <c:pt idx="60">
                  <c:v>439.3125</c:v>
                </c:pt>
                <c:pt idx="61">
                  <c:v>446.63437499999998</c:v>
                </c:pt>
                <c:pt idx="62">
                  <c:v>453.95625000000001</c:v>
                </c:pt>
                <c:pt idx="63">
                  <c:v>461.27812499999993</c:v>
                </c:pt>
                <c:pt idx="64">
                  <c:v>468.59999999999997</c:v>
                </c:pt>
                <c:pt idx="65">
                  <c:v>475.92187499999994</c:v>
                </c:pt>
                <c:pt idx="66">
                  <c:v>483.24374999999998</c:v>
                </c:pt>
                <c:pt idx="67">
                  <c:v>490.5656249999999</c:v>
                </c:pt>
                <c:pt idx="68">
                  <c:v>497.88749999999993</c:v>
                </c:pt>
                <c:pt idx="69">
                  <c:v>505.20937499999985</c:v>
                </c:pt>
                <c:pt idx="70">
                  <c:v>512.53124999999989</c:v>
                </c:pt>
                <c:pt idx="71">
                  <c:v>519.85312499999986</c:v>
                </c:pt>
                <c:pt idx="72">
                  <c:v>527.17499999999995</c:v>
                </c:pt>
                <c:pt idx="73">
                  <c:v>534.49687499999993</c:v>
                </c:pt>
                <c:pt idx="74">
                  <c:v>541.81875000000002</c:v>
                </c:pt>
                <c:pt idx="75">
                  <c:v>549.14062499999989</c:v>
                </c:pt>
                <c:pt idx="76">
                  <c:v>556.46249999999986</c:v>
                </c:pt>
                <c:pt idx="77">
                  <c:v>563.78437499999984</c:v>
                </c:pt>
                <c:pt idx="78">
                  <c:v>571.10624999999993</c:v>
                </c:pt>
                <c:pt idx="79">
                  <c:v>578.42812499999991</c:v>
                </c:pt>
                <c:pt idx="80">
                  <c:v>585.75</c:v>
                </c:pt>
                <c:pt idx="81">
                  <c:v>593.07187499999986</c:v>
                </c:pt>
                <c:pt idx="82">
                  <c:v>600.39374999999984</c:v>
                </c:pt>
                <c:pt idx="83">
                  <c:v>607.71562499999993</c:v>
                </c:pt>
                <c:pt idx="84">
                  <c:v>615.03749999999991</c:v>
                </c:pt>
                <c:pt idx="85">
                  <c:v>622.35937499999989</c:v>
                </c:pt>
                <c:pt idx="86">
                  <c:v>629.68124999999998</c:v>
                </c:pt>
                <c:pt idx="87">
                  <c:v>637.00312499999995</c:v>
                </c:pt>
                <c:pt idx="88">
                  <c:v>644.32499999999993</c:v>
                </c:pt>
                <c:pt idx="89">
                  <c:v>651.64687499999991</c:v>
                </c:pt>
                <c:pt idx="90">
                  <c:v>658.96875</c:v>
                </c:pt>
                <c:pt idx="91">
                  <c:v>666.29062499999986</c:v>
                </c:pt>
                <c:pt idx="92">
                  <c:v>673.61249999999995</c:v>
                </c:pt>
                <c:pt idx="93">
                  <c:v>680.93437499999993</c:v>
                </c:pt>
                <c:pt idx="94">
                  <c:v>688.25624999999991</c:v>
                </c:pt>
                <c:pt idx="95">
                  <c:v>695.57812499999977</c:v>
                </c:pt>
                <c:pt idx="96">
                  <c:v>702.9</c:v>
                </c:pt>
                <c:pt idx="97">
                  <c:v>710.22187499999984</c:v>
                </c:pt>
                <c:pt idx="98">
                  <c:v>717.54374999999993</c:v>
                </c:pt>
                <c:pt idx="99">
                  <c:v>724.8656249999998</c:v>
                </c:pt>
                <c:pt idx="100">
                  <c:v>732.1875</c:v>
                </c:pt>
              </c:numCache>
            </c:numRef>
          </c:val>
          <c:smooth val="0"/>
          <c:extLst>
            <c:ext xmlns:c16="http://schemas.microsoft.com/office/drawing/2014/chart" uri="{C3380CC4-5D6E-409C-BE32-E72D297353CC}">
              <c16:uniqueId val="{00000001-F0EA-4A0C-859E-C3182CAF915C}"/>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12.064777386240944</c:v>
                </c:pt>
                <c:pt idx="1">
                  <c:v>19.350987333745479</c:v>
                </c:pt>
                <c:pt idx="2">
                  <c:v>38.703143043328836</c:v>
                </c:pt>
                <c:pt idx="3">
                  <c:v>58.056467234569737</c:v>
                </c:pt>
                <c:pt idx="4">
                  <c:v>77.410960013300624</c:v>
                </c:pt>
                <c:pt idx="5">
                  <c:v>96.766621485366727</c:v>
                </c:pt>
                <c:pt idx="6">
                  <c:v>116.12345175662604</c:v>
                </c:pt>
                <c:pt idx="7">
                  <c:v>135.4814509329494</c:v>
                </c:pt>
                <c:pt idx="8">
                  <c:v>154.84061912022025</c:v>
                </c:pt>
                <c:pt idx="9">
                  <c:v>174.20095642433512</c:v>
                </c:pt>
                <c:pt idx="10">
                  <c:v>193.56246295120312</c:v>
                </c:pt>
                <c:pt idx="11">
                  <c:v>212.92513880674619</c:v>
                </c:pt>
                <c:pt idx="12">
                  <c:v>232.28898409689896</c:v>
                </c:pt>
                <c:pt idx="13">
                  <c:v>251.65399892760919</c:v>
                </c:pt>
                <c:pt idx="14">
                  <c:v>271.02018340483716</c:v>
                </c:pt>
                <c:pt idx="15">
                  <c:v>290.38753763455571</c:v>
                </c:pt>
                <c:pt idx="16">
                  <c:v>309.75606172275127</c:v>
                </c:pt>
                <c:pt idx="17">
                  <c:v>329.12575577542225</c:v>
                </c:pt>
                <c:pt idx="18">
                  <c:v>348.49661989858026</c:v>
                </c:pt>
                <c:pt idx="19">
                  <c:v>367.86865419824994</c:v>
                </c:pt>
                <c:pt idx="20">
                  <c:v>387.24185878046796</c:v>
                </c:pt>
                <c:pt idx="21">
                  <c:v>412.81821154666045</c:v>
                </c:pt>
                <c:pt idx="22">
                  <c:v>437.59402804331972</c:v>
                </c:pt>
                <c:pt idx="23">
                  <c:v>446.30169360491698</c:v>
                </c:pt>
                <c:pt idx="24">
                  <c:v>454.83563833173804</c:v>
                </c:pt>
                <c:pt idx="25">
                  <c:v>463.20693964444189</c:v>
                </c:pt>
                <c:pt idx="26">
                  <c:v>471.42557268339937</c:v>
                </c:pt>
                <c:pt idx="27">
                  <c:v>479.50055769057445</c:v>
                </c:pt>
                <c:pt idx="28">
                  <c:v>487.4400830025541</c:v>
                </c:pt>
                <c:pt idx="29">
                  <c:v>495.25160841159959</c:v>
                </c:pt>
                <c:pt idx="30">
                  <c:v>502.9419525927018</c:v>
                </c:pt>
                <c:pt idx="31">
                  <c:v>510.51736749870827</c:v>
                </c:pt>
                <c:pt idx="32">
                  <c:v>517.98360202099752</c:v>
                </c:pt>
                <c:pt idx="33">
                  <c:v>525.34595674941397</c:v>
                </c:pt>
                <c:pt idx="34">
                  <c:v>532.60933130616149</c:v>
                </c:pt>
                <c:pt idx="35">
                  <c:v>539.77826544808022</c:v>
                </c:pt>
                <c:pt idx="36">
                  <c:v>546.85697491117151</c:v>
                </c:pt>
                <c:pt idx="37">
                  <c:v>553.84938279635924</c:v>
                </c:pt>
                <c:pt idx="38">
                  <c:v>560.75914715586828</c:v>
                </c:pt>
                <c:pt idx="39">
                  <c:v>567.58968532740209</c:v>
                </c:pt>
                <c:pt idx="40">
                  <c:v>574.34419547254925</c:v>
                </c:pt>
                <c:pt idx="41">
                  <c:v>581.02567570206077</c:v>
                </c:pt>
                <c:pt idx="42">
                  <c:v>587.6369411102454</c:v>
                </c:pt>
                <c:pt idx="43">
                  <c:v>594.18063899111007</c:v>
                </c:pt>
                <c:pt idx="44">
                  <c:v>600.65926246782726</c:v>
                </c:pt>
                <c:pt idx="45">
                  <c:v>607.07516273306146</c:v>
                </c:pt>
                <c:pt idx="46">
                  <c:v>613.43056006927191</c:v>
                </c:pt>
                <c:pt idx="47">
                  <c:v>619.72755379430851</c:v>
                </c:pt>
                <c:pt idx="48">
                  <c:v>625.96813125760639</c:v>
                </c:pt>
                <c:pt idx="49">
                  <c:v>632.15417599537113</c:v>
                </c:pt>
                <c:pt idx="50">
                  <c:v>638.28747513884332</c:v>
                </c:pt>
                <c:pt idx="51">
                  <c:v>644.36972615751472</c:v>
                </c:pt>
                <c:pt idx="52">
                  <c:v>650.40254300880554</c:v>
                </c:pt>
                <c:pt idx="53">
                  <c:v>656.38746175677306</c:v>
                </c:pt>
                <c:pt idx="54">
                  <c:v>662.32594571479444</c:v>
                </c:pt>
                <c:pt idx="55">
                  <c:v>668.21939016057036</c:v>
                </c:pt>
                <c:pt idx="56">
                  <c:v>674.06912666609162</c:v>
                </c:pt>
                <c:pt idx="57">
                  <c:v>679.87642708029489</c:v>
                </c:pt>
                <c:pt idx="58">
                  <c:v>685.64250719782012</c:v>
                </c:pt>
                <c:pt idx="59">
                  <c:v>691.36853014357462</c:v>
                </c:pt>
                <c:pt idx="60">
                  <c:v>696.78161709484573</c:v>
                </c:pt>
                <c:pt idx="61">
                  <c:v>691.66851700552093</c:v>
                </c:pt>
                <c:pt idx="62">
                  <c:v>686.67216225826508</c:v>
                </c:pt>
                <c:pt idx="63">
                  <c:v>681.78830153537785</c:v>
                </c:pt>
                <c:pt idx="64">
                  <c:v>677.01179401469619</c:v>
                </c:pt>
                <c:pt idx="65">
                  <c:v>672.33392165874068</c:v>
                </c:pt>
                <c:pt idx="66">
                  <c:v>667.75706856382601</c:v>
                </c:pt>
                <c:pt idx="67">
                  <c:v>663.27775214954647</c:v>
                </c:pt>
                <c:pt idx="68">
                  <c:v>658.89265392334971</c:v>
                </c:pt>
                <c:pt idx="69">
                  <c:v>654.59860974483786</c:v>
                </c:pt>
                <c:pt idx="70">
                  <c:v>677.5568476701726</c:v>
                </c:pt>
                <c:pt idx="71">
                  <c:v>678.12369687389128</c:v>
                </c:pt>
                <c:pt idx="72">
                  <c:v>678.70591959758872</c:v>
                </c:pt>
                <c:pt idx="73">
                  <c:v>679.30336073558078</c:v>
                </c:pt>
                <c:pt idx="74">
                  <c:v>679.91587371943695</c:v>
                </c:pt>
                <c:pt idx="75">
                  <c:v>680.54331998948783</c:v>
                </c:pt>
                <c:pt idx="76">
                  <c:v>681.18556850573941</c:v>
                </c:pt>
                <c:pt idx="77">
                  <c:v>681.84249529481588</c:v>
                </c:pt>
                <c:pt idx="78">
                  <c:v>682.51398302986945</c:v>
                </c:pt>
                <c:pt idx="79">
                  <c:v>683.19992064069606</c:v>
                </c:pt>
                <c:pt idx="80">
                  <c:v>683.90020295155909</c:v>
                </c:pt>
                <c:pt idx="81">
                  <c:v>684.61473034444657</c:v>
                </c:pt>
                <c:pt idx="82">
                  <c:v>685.34340844571057</c:v>
                </c:pt>
                <c:pt idx="83">
                  <c:v>686.0861478342166</c:v>
                </c:pt>
                <c:pt idx="84">
                  <c:v>686.84286376929936</c:v>
                </c:pt>
                <c:pt idx="85">
                  <c:v>687.61347593698247</c:v>
                </c:pt>
                <c:pt idx="86">
                  <c:v>688.3979082130453</c:v>
                </c:pt>
                <c:pt idx="87">
                  <c:v>689.1960884416485</c:v>
                </c:pt>
                <c:pt idx="88">
                  <c:v>690.00794822834564</c:v>
                </c:pt>
                <c:pt idx="89">
                  <c:v>690.83342274639961</c:v>
                </c:pt>
                <c:pt idx="90">
                  <c:v>691.67245055542105</c:v>
                </c:pt>
                <c:pt idx="91">
                  <c:v>692.52497343142841</c:v>
                </c:pt>
                <c:pt idx="92">
                  <c:v>693.39093620749213</c:v>
                </c:pt>
                <c:pt idx="93">
                  <c:v>694.27028662421947</c:v>
                </c:pt>
                <c:pt idx="94">
                  <c:v>695.16297518936426</c:v>
                </c:pt>
                <c:pt idx="95">
                  <c:v>696.06895504593194</c:v>
                </c:pt>
                <c:pt idx="96">
                  <c:v>696.98818184818367</c:v>
                </c:pt>
                <c:pt idx="97">
                  <c:v>697.92061364499364</c:v>
                </c:pt>
                <c:pt idx="98">
                  <c:v>698.86621077006225</c:v>
                </c:pt>
                <c:pt idx="99">
                  <c:v>699.82493573851912</c:v>
                </c:pt>
                <c:pt idx="100">
                  <c:v>700.79675314948952</c:v>
                </c:pt>
              </c:numCache>
            </c:numRef>
          </c:val>
          <c:smooth val="0"/>
          <c:extLst>
            <c:ext xmlns:c16="http://schemas.microsoft.com/office/drawing/2014/chart" uri="{C3380CC4-5D6E-409C-BE32-E72D297353CC}">
              <c16:uniqueId val="{00000002-F0EA-4A0C-859E-C3182CAF915C}"/>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22.417533114616116</c:v>
                </c:pt>
                <c:pt idx="1">
                  <c:v>22.543982266767252</c:v>
                </c:pt>
                <c:pt idx="2">
                  <c:v>23.178250802386543</c:v>
                </c:pt>
                <c:pt idx="3">
                  <c:v>24.372043741971076</c:v>
                </c:pt>
                <c:pt idx="4">
                  <c:v>26.253202712917687</c:v>
                </c:pt>
                <c:pt idx="5">
                  <c:v>28.928887202487754</c:v>
                </c:pt>
                <c:pt idx="6">
                  <c:v>32.49330031414862</c:v>
                </c:pt>
                <c:pt idx="7">
                  <c:v>37.031516742612141</c:v>
                </c:pt>
                <c:pt idx="8">
                  <c:v>42.621723161859258</c:v>
                </c:pt>
                <c:pt idx="9">
                  <c:v>49.336666410015845</c:v>
                </c:pt>
                <c:pt idx="10">
                  <c:v>57.244654606053992</c:v>
                </c:pt>
                <c:pt idx="11">
                  <c:v>66.410283792589581</c:v>
                </c:pt>
                <c:pt idx="12">
                  <c:v>76.894985317988031</c:v>
                </c:pt>
                <c:pt idx="13">
                  <c:v>88.757450442788965</c:v>
                </c:pt>
                <c:pt idx="14">
                  <c:v>102.0539676199427</c:v>
                </c:pt>
                <c:pt idx="15">
                  <c:v>116.83869572072172</c:v>
                </c:pt>
                <c:pt idx="16">
                  <c:v>133.16388905776193</c:v>
                </c:pt>
                <c:pt idx="17">
                  <c:v>151.08008534021681</c:v>
                </c:pt>
                <c:pt idx="18">
                  <c:v>170.63626459016541</c:v>
                </c:pt>
                <c:pt idx="19">
                  <c:v>191.879984941576</c:v>
                </c:pt>
                <c:pt idx="20">
                  <c:v>214.85749977490951</c:v>
                </c:pt>
                <c:pt idx="21">
                  <c:v>249.9282523942463</c:v>
                </c:pt>
                <c:pt idx="22">
                  <c:v>288.16524712823212</c:v>
                </c:pt>
                <c:pt idx="23">
                  <c:v>304.32892238706347</c:v>
                </c:pt>
                <c:pt idx="24">
                  <c:v>320.65761239958363</c:v>
                </c:pt>
                <c:pt idx="25">
                  <c:v>337.14623492627942</c:v>
                </c:pt>
                <c:pt idx="26">
                  <c:v>353.79006663494039</c:v>
                </c:pt>
                <c:pt idx="27">
                  <c:v>370.58470488377293</c:v>
                </c:pt>
                <c:pt idx="28">
                  <c:v>387.52603484618942</c:v>
                </c:pt>
                <c:pt idx="29">
                  <c:v>404.61020106544868</c:v>
                </c:pt>
                <c:pt idx="30">
                  <c:v>421.83358270922201</c:v>
                </c:pt>
                <c:pt idx="31">
                  <c:v>439.19277193490359</c:v>
                </c:pt>
                <c:pt idx="32">
                  <c:v>456.68455488637585</c:v>
                </c:pt>
                <c:pt idx="33">
                  <c:v>474.30589492954488</c:v>
                </c:pt>
                <c:pt idx="34">
                  <c:v>492.05391780273521</c:v>
                </c:pt>
                <c:pt idx="35">
                  <c:v>509.92589841309768</c:v>
                </c:pt>
                <c:pt idx="36">
                  <c:v>527.9192490545588</c:v>
                </c:pt>
                <c:pt idx="37">
                  <c:v>546.0315088588784</c:v>
                </c:pt>
                <c:pt idx="38">
                  <c:v>564.26033432078179</c:v>
                </c:pt>
                <c:pt idx="39">
                  <c:v>582.60349076232433</c:v>
                </c:pt>
                <c:pt idx="40">
                  <c:v>601.05884462159236</c:v>
                </c:pt>
                <c:pt idx="41">
                  <c:v>619.62435646745212</c:v>
                </c:pt>
                <c:pt idx="42">
                  <c:v>638.29807465587555</c:v>
                </c:pt>
                <c:pt idx="43">
                  <c:v>657.07812955500663</c:v>
                </c:pt>
                <c:pt idx="44">
                  <c:v>675.96272827588814</c:v>
                </c:pt>
                <c:pt idx="45">
                  <c:v>694.95014985405658</c:v>
                </c:pt>
                <c:pt idx="46">
                  <c:v>714.03874083423932</c:v>
                </c:pt>
                <c:pt idx="47">
                  <c:v>733.22691121636933</c:v>
                </c:pt>
                <c:pt idx="48">
                  <c:v>752.51313072628</c:v>
                </c:pt>
                <c:pt idx="49">
                  <c:v>771.8959253788305</c:v>
                </c:pt>
                <c:pt idx="50">
                  <c:v>791.37387430502179</c:v>
                </c:pt>
                <c:pt idx="51">
                  <c:v>810.94560681793041</c:v>
                </c:pt>
                <c:pt idx="52">
                  <c:v>830.60979969515961</c:v>
                </c:pt>
                <c:pt idx="53">
                  <c:v>850.36517465794702</c:v>
                </c:pt>
                <c:pt idx="54">
                  <c:v>870.21049602925711</c:v>
                </c:pt>
                <c:pt idx="55">
                  <c:v>890.14456855506569</c:v>
                </c:pt>
                <c:pt idx="56">
                  <c:v>910.16623537469411</c:v>
                </c:pt>
                <c:pt idx="57">
                  <c:v>930.2743761275151</c:v>
                </c:pt>
                <c:pt idx="58">
                  <c:v>950.46790518462626</c:v>
                </c:pt>
                <c:pt idx="59">
                  <c:v>970.74576999523742</c:v>
                </c:pt>
                <c:pt idx="60">
                  <c:v>990.20655410216318</c:v>
                </c:pt>
                <c:pt idx="61">
                  <c:v>975.24037243067301</c:v>
                </c:pt>
                <c:pt idx="62">
                  <c:v>960.77446710571735</c:v>
                </c:pt>
                <c:pt idx="63">
                  <c:v>946.78679945729436</c:v>
                </c:pt>
                <c:pt idx="64">
                  <c:v>933.255684129266</c:v>
                </c:pt>
                <c:pt idx="65">
                  <c:v>920.15758230964707</c:v>
                </c:pt>
                <c:pt idx="66">
                  <c:v>907.47885685471852</c:v>
                </c:pt>
                <c:pt idx="67">
                  <c:v>895.20195869363351</c:v>
                </c:pt>
                <c:pt idx="68">
                  <c:v>883.31028148671192</c:v>
                </c:pt>
                <c:pt idx="69">
                  <c:v>871.78810027604277</c:v>
                </c:pt>
                <c:pt idx="70">
                  <c:v>952.01736091616976</c:v>
                </c:pt>
                <c:pt idx="71">
                  <c:v>956.54837738358094</c:v>
                </c:pt>
                <c:pt idx="72">
                  <c:v>961.07123358148385</c:v>
                </c:pt>
                <c:pt idx="73">
                  <c:v>965.58763929566521</c:v>
                </c:pt>
                <c:pt idx="74">
                  <c:v>970.09922375665872</c:v>
                </c:pt>
                <c:pt idx="75">
                  <c:v>974.60754047894454</c:v>
                </c:pt>
                <c:pt idx="76">
                  <c:v>979.11407175852457</c:v>
                </c:pt>
                <c:pt idx="77">
                  <c:v>983.62023285671182</c:v>
                </c:pt>
                <c:pt idx="78">
                  <c:v>988.12737589526512</c:v>
                </c:pt>
                <c:pt idx="79">
                  <c:v>992.63679348584571</c:v>
                </c:pt>
                <c:pt idx="80">
                  <c:v>997.14972211462521</c:v>
                </c:pt>
                <c:pt idx="81">
                  <c:v>1001.6673453011135</c:v>
                </c:pt>
                <c:pt idx="82">
                  <c:v>1006.1907965485115</c:v>
                </c:pt>
                <c:pt idx="83">
                  <c:v>1010.7211621014986</c:v>
                </c:pt>
                <c:pt idx="84">
                  <c:v>1015.2594835258735</c:v>
                </c:pt>
                <c:pt idx="85">
                  <c:v>1019.8067601233922</c:v>
                </c:pt>
                <c:pt idx="86">
                  <c:v>1024.3639511938893</c:v>
                </c:pt>
                <c:pt idx="87">
                  <c:v>1028.9319781558384</c:v>
                </c:pt>
                <c:pt idx="88">
                  <c:v>1033.5117265355807</c:v>
                </c:pt>
                <c:pt idx="89">
                  <c:v>1038.1040478345944</c:v>
                </c:pt>
                <c:pt idx="90">
                  <c:v>1042.7097612834477</c:v>
                </c:pt>
                <c:pt idx="91">
                  <c:v>1047.3296554903707</c:v>
                </c:pt>
                <c:pt idx="92">
                  <c:v>1051.9644899917319</c:v>
                </c:pt>
                <c:pt idx="93">
                  <c:v>1056.6149967112292</c:v>
                </c:pt>
                <c:pt idx="94">
                  <c:v>1061.2818813339131</c:v>
                </c:pt>
                <c:pt idx="95">
                  <c:v>1065.9658246008594</c:v>
                </c:pt>
                <c:pt idx="96">
                  <c:v>1070.667483529762</c:v>
                </c:pt>
                <c:pt idx="97">
                  <c:v>1075.3874925663356</c:v>
                </c:pt>
                <c:pt idx="98">
                  <c:v>1080.1264646710797</c:v>
                </c:pt>
                <c:pt idx="99">
                  <c:v>1084.884992345603</c:v>
                </c:pt>
                <c:pt idx="100">
                  <c:v>1089.6636486023847</c:v>
                </c:pt>
              </c:numCache>
            </c:numRef>
          </c:val>
          <c:smooth val="0"/>
          <c:extLst>
            <c:ext xmlns:c16="http://schemas.microsoft.com/office/drawing/2014/chart" uri="{C3380CC4-5D6E-409C-BE32-E72D297353CC}">
              <c16:uniqueId val="{00000003-F0EA-4A0C-859E-C3182CAF915C}"/>
            </c:ext>
          </c:extLst>
        </c:ser>
        <c:dLbls>
          <c:showLegendKey val="0"/>
          <c:showVal val="0"/>
          <c:showCatName val="0"/>
          <c:showSerName val="0"/>
          <c:showPercent val="0"/>
          <c:showBubbleSize val="0"/>
        </c:dLbls>
        <c:marker val="1"/>
        <c:smooth val="0"/>
        <c:axId val="451236224"/>
        <c:axId val="451225856"/>
      </c:lineChart>
      <c:catAx>
        <c:axId val="45186892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223936"/>
        <c:crosses val="autoZero"/>
        <c:auto val="1"/>
        <c:lblAlgn val="ctr"/>
        <c:lblOffset val="100"/>
        <c:tickLblSkip val="20"/>
        <c:tickMarkSkip val="20"/>
        <c:noMultiLvlLbl val="0"/>
      </c:catAx>
      <c:valAx>
        <c:axId val="451223936"/>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68928"/>
        <c:crossesAt val="0"/>
        <c:crossBetween val="between"/>
        <c:majorUnit val="5"/>
        <c:minorUnit val="2.5"/>
      </c:valAx>
      <c:valAx>
        <c:axId val="45122585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236224"/>
        <c:crosses val="max"/>
        <c:crossBetween val="between"/>
      </c:valAx>
      <c:catAx>
        <c:axId val="451236224"/>
        <c:scaling>
          <c:orientation val="minMax"/>
        </c:scaling>
        <c:delete val="1"/>
        <c:axPos val="b"/>
        <c:numFmt formatCode="General" sourceLinked="1"/>
        <c:majorTickMark val="out"/>
        <c:minorTickMark val="none"/>
        <c:tickLblPos val="nextTo"/>
        <c:crossAx val="45122585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347.14788855013677</c:v>
                </c:pt>
                <c:pt idx="27">
                  <c:v>335.1003438852216</c:v>
                </c:pt>
                <c:pt idx="28">
                  <c:v>323.86334662373991</c:v>
                </c:pt>
                <c:pt idx="29">
                  <c:v>313.29961134764125</c:v>
                </c:pt>
                <c:pt idx="30">
                  <c:v>303.43859780800199</c:v>
                </c:pt>
                <c:pt idx="31">
                  <c:v>294.1761303112994</c:v>
                </c:pt>
                <c:pt idx="32">
                  <c:v>285.45931792670194</c:v>
                </c:pt>
                <c:pt idx="33">
                  <c:v>277.24132307532017</c:v>
                </c:pt>
                <c:pt idx="34">
                  <c:v>269.48051961440848</c:v>
                </c:pt>
                <c:pt idx="35">
                  <c:v>262.1397876336228</c:v>
                </c:pt>
                <c:pt idx="36">
                  <c:v>255.18591974629152</c:v>
                </c:pt>
                <c:pt idx="37">
                  <c:v>248.5891188380339</c:v>
                </c:pt>
                <c:pt idx="38">
                  <c:v>242.32257124761821</c:v>
                </c:pt>
                <c:pt idx="39">
                  <c:v>236.36208248562281</c:v>
                </c:pt>
                <c:pt idx="40">
                  <c:v>230.68576505548404</c:v>
                </c:pt>
                <c:pt idx="41">
                  <c:v>225.27376988524802</c:v>
                </c:pt>
                <c:pt idx="42">
                  <c:v>220.10805442404748</c:v>
                </c:pt>
                <c:pt idx="43">
                  <c:v>215.17218169354268</c:v>
                </c:pt>
                <c:pt idx="44">
                  <c:v>210.45114557864835</c:v>
                </c:pt>
                <c:pt idx="45">
                  <c:v>205.93121844539596</c:v>
                </c:pt>
                <c:pt idx="46">
                  <c:v>201.59981782648484</c:v>
                </c:pt>
                <c:pt idx="47">
                  <c:v>197.44538944777864</c:v>
                </c:pt>
                <c:pt idx="48">
                  <c:v>193.45730430571598</c:v>
                </c:pt>
                <c:pt idx="49">
                  <c:v>189.62576786518207</c:v>
                </c:pt>
                <c:pt idx="50">
                  <c:v>185.94173974466503</c:v>
                </c:pt>
                <c:pt idx="51">
                  <c:v>182.39686250227214</c:v>
                </c:pt>
                <c:pt idx="52">
                  <c:v>178.98339834176863</c:v>
                </c:pt>
                <c:pt idx="53">
                  <c:v>175.69417272971563</c:v>
                </c:pt>
                <c:pt idx="54">
                  <c:v>172.52252405904528</c:v>
                </c:pt>
                <c:pt idx="55">
                  <c:v>169.46225861587561</c:v>
                </c:pt>
                <c:pt idx="56">
                  <c:v>166.50761020896243</c:v>
                </c:pt>
                <c:pt idx="57">
                  <c:v>163.65320390812656</c:v>
                </c:pt>
                <c:pt idx="58">
                  <c:v>160.89402341187102</c:v>
                </c:pt>
                <c:pt idx="59">
                  <c:v>158.22538162738496</c:v>
                </c:pt>
                <c:pt idx="60">
                  <c:v>155.64289409994927</c:v>
                </c:pt>
                <c:pt idx="61">
                  <c:v>153.14245497489114</c:v>
                </c:pt>
                <c:pt idx="62">
                  <c:v>150.72021521487466</c:v>
                </c:pt>
                <c:pt idx="63">
                  <c:v>148.37256282945648</c:v>
                </c:pt>
                <c:pt idx="64">
                  <c:v>146.0961049033213</c:v>
                </c:pt>
                <c:pt idx="65">
                  <c:v>143.88765123513599</c:v>
                </c:pt>
                <c:pt idx="66">
                  <c:v>141.74419942110052</c:v>
                </c:pt>
                <c:pt idx="67">
                  <c:v>139.6629212365246</c:v>
                </c:pt>
                <c:pt idx="68">
                  <c:v>137.64115018553619</c:v>
                </c:pt>
                <c:pt idx="69">
                  <c:v>135.67637010367076</c:v>
                </c:pt>
                <c:pt idx="70">
                  <c:v>133.76620471090754</c:v>
                </c:pt>
                <c:pt idx="71">
                  <c:v>131.90840802395132</c:v>
                </c:pt>
                <c:pt idx="72">
                  <c:v>130.10085554642345</c:v>
                </c:pt>
                <c:pt idx="73">
                  <c:v>128.3415361643107</c:v>
                </c:pt>
                <c:pt idx="74">
                  <c:v>126.62854468166898</c:v>
                </c:pt>
                <c:pt idx="75">
                  <c:v>124.96007493834024</c:v>
                </c:pt>
                <c:pt idx="76">
                  <c:v>123.33441345741669</c:v>
                </c:pt>
                <c:pt idx="77">
                  <c:v>121.74993357548257</c:v>
                </c:pt>
                <c:pt idx="78">
                  <c:v>120.20509001336437</c:v>
                </c:pt>
                <c:pt idx="79">
                  <c:v>118.698413849297</c:v>
                </c:pt>
                <c:pt idx="80">
                  <c:v>117.22850786013221</c:v>
                </c:pt>
                <c:pt idx="81">
                  <c:v>115.79404219953101</c:v>
                </c:pt>
                <c:pt idx="82">
                  <c:v>114.39375038504146</c:v>
                </c:pt>
                <c:pt idx="83">
                  <c:v>113.02642556860812</c:v>
                </c:pt>
                <c:pt idx="84">
                  <c:v>111.69091706743147</c:v>
                </c:pt>
                <c:pt idx="85">
                  <c:v>110.38612713421597</c:v>
                </c:pt>
                <c:pt idx="86">
                  <c:v>109.11100794775406</c:v>
                </c:pt>
                <c:pt idx="87">
                  <c:v>107.86455880650688</c:v>
                </c:pt>
                <c:pt idx="88">
                  <c:v>106.64582350938406</c:v>
                </c:pt>
                <c:pt idx="89">
                  <c:v>105.45388790931433</c:v>
                </c:pt>
                <c:pt idx="90">
                  <c:v>104.28787762645337</c:v>
                </c:pt>
                <c:pt idx="91">
                  <c:v>103.1469559090059</c:v>
                </c:pt>
                <c:pt idx="92">
                  <c:v>102.03032163066443</c:v>
                </c:pt>
                <c:pt idx="93">
                  <c:v>100.93720741459215</c:v>
                </c:pt>
                <c:pt idx="94">
                  <c:v>99.86687787471817</c:v>
                </c:pt>
                <c:pt idx="95">
                  <c:v>98.818627965875251</c:v>
                </c:pt>
                <c:pt idx="96">
                  <c:v>97.791781435000829</c:v>
                </c:pt>
                <c:pt idx="97">
                  <c:v>96.785689366252996</c:v>
                </c:pt>
                <c:pt idx="98">
                  <c:v>95.799728813462337</c:v>
                </c:pt>
                <c:pt idx="99">
                  <c:v>94.833301513865763</c:v>
                </c:pt>
                <c:pt idx="100">
                  <c:v>93.88583267753917</c:v>
                </c:pt>
              </c:numCache>
            </c:numRef>
          </c:val>
          <c:smooth val="0"/>
          <c:extLst>
            <c:ext xmlns:c16="http://schemas.microsoft.com/office/drawing/2014/chart" uri="{C3380CC4-5D6E-409C-BE32-E72D297353CC}">
              <c16:uniqueId val="{00000000-35C4-40D8-9B41-933331EBB298}"/>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346.27774466560868</c:v>
                </c:pt>
                <c:pt idx="66">
                  <c:v>341.38499735288116</c:v>
                </c:pt>
                <c:pt idx="67">
                  <c:v>336.62578565172737</c:v>
                </c:pt>
                <c:pt idx="68">
                  <c:v>331.99721342237262</c:v>
                </c:pt>
                <c:pt idx="69">
                  <c:v>327.49397254915118</c:v>
                </c:pt>
                <c:pt idx="70">
                  <c:v>323.11434725595433</c:v>
                </c:pt>
                <c:pt idx="71">
                  <c:v>318.84265711211765</c:v>
                </c:pt>
                <c:pt idx="72">
                  <c:v>314.68591287330526</c:v>
                </c:pt>
                <c:pt idx="73">
                  <c:v>310.63596348533287</c:v>
                </c:pt>
                <c:pt idx="74">
                  <c:v>306.68874546416623</c:v>
                </c:pt>
                <c:pt idx="75">
                  <c:v>302.84039889491436</c:v>
                </c:pt>
                <c:pt idx="76">
                  <c:v>299.08725484170844</c:v>
                </c:pt>
                <c:pt idx="77">
                  <c:v>295.42582368055702</c:v>
                </c:pt>
                <c:pt idx="78">
                  <c:v>291.85278427718907</c:v>
                </c:pt>
                <c:pt idx="79">
                  <c:v>288.36497393933831</c:v>
                </c:pt>
                <c:pt idx="80">
                  <c:v>284.95937907957722</c:v>
                </c:pt>
                <c:pt idx="81">
                  <c:v>281.6331265307569</c:v>
                </c:pt>
                <c:pt idx="82">
                  <c:v>278.38347546145405</c:v>
                </c:pt>
                <c:pt idx="83">
                  <c:v>275.20780984361085</c:v>
                </c:pt>
                <c:pt idx="84">
                  <c:v>272.10363142886132</c:v>
                </c:pt>
                <c:pt idx="85">
                  <c:v>269.06855319391104</c:v>
                </c:pt>
                <c:pt idx="86">
                  <c:v>266.10029321883007</c:v>
                </c:pt>
                <c:pt idx="87">
                  <c:v>263.19666896525888</c:v>
                </c:pt>
                <c:pt idx="88">
                  <c:v>260.35559192438257</c:v>
                </c:pt>
                <c:pt idx="89">
                  <c:v>257.57506260708681</c:v>
                </c:pt>
                <c:pt idx="90">
                  <c:v>254.85316585104383</c:v>
                </c:pt>
                <c:pt idx="91">
                  <c:v>252.18806642157949</c:v>
                </c:pt>
                <c:pt idx="92">
                  <c:v>249.5780048850886</c:v>
                </c:pt>
                <c:pt idx="93">
                  <c:v>247.021293735499</c:v>
                </c:pt>
                <c:pt idx="94">
                  <c:v>244.51631375586331</c:v>
                </c:pt>
                <c:pt idx="95">
                  <c:v>242.06151059859508</c:v>
                </c:pt>
                <c:pt idx="96">
                  <c:v>239.65539156917188</c:v>
                </c:pt>
                <c:pt idx="97">
                  <c:v>237.29652259932067</c:v>
                </c:pt>
                <c:pt idx="98">
                  <c:v>234.98352539678808</c:v>
                </c:pt>
                <c:pt idx="99">
                  <c:v>232.71507475979374</c:v>
                </c:pt>
                <c:pt idx="100">
                  <c:v>230.48989604516913</c:v>
                </c:pt>
              </c:numCache>
            </c:numRef>
          </c:val>
          <c:smooth val="0"/>
          <c:extLst>
            <c:ext xmlns:c16="http://schemas.microsoft.com/office/drawing/2014/chart" uri="{C3380CC4-5D6E-409C-BE32-E72D297353CC}">
              <c16:uniqueId val="{00000001-35C4-40D8-9B41-933331EBB298}"/>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347.90107027032275</c:v>
                </c:pt>
                <c:pt idx="88">
                  <c:v>344.21921921050699</c:v>
                </c:pt>
                <c:pt idx="89">
                  <c:v>340.61527769948367</c:v>
                </c:pt>
                <c:pt idx="90">
                  <c:v>337.08635455483557</c:v>
                </c:pt>
                <c:pt idx="91">
                  <c:v>333.62983017151669</c:v>
                </c:pt>
                <c:pt idx="92">
                  <c:v>330.24349954135721</c:v>
                </c:pt>
                <c:pt idx="93">
                  <c:v>326.92368883183286</c:v>
                </c:pt>
                <c:pt idx="94">
                  <c:v>323.67180816550479</c:v>
                </c:pt>
                <c:pt idx="95">
                  <c:v>320.48176521469077</c:v>
                </c:pt>
                <c:pt idx="96">
                  <c:v>317.35413438818784</c:v>
                </c:pt>
                <c:pt idx="97">
                  <c:v>314.28703680257962</c:v>
                </c:pt>
                <c:pt idx="98">
                  <c:v>311.27863445097097</c:v>
                </c:pt>
                <c:pt idx="99">
                  <c:v>308.32725840833513</c:v>
                </c:pt>
                <c:pt idx="100">
                  <c:v>305.4313024273003</c:v>
                </c:pt>
              </c:numCache>
            </c:numRef>
          </c:val>
          <c:smooth val="0"/>
          <c:extLst>
            <c:ext xmlns:c16="http://schemas.microsoft.com/office/drawing/2014/chart" uri="{C3380CC4-5D6E-409C-BE32-E72D297353CC}">
              <c16:uniqueId val="{00000002-35C4-40D8-9B41-933331EBB29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5C4-40D8-9B41-933331EBB298}"/>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5C4-40D8-9B41-933331EBB298}"/>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5C4-40D8-9B41-933331EBB298}"/>
            </c:ext>
          </c:extLst>
        </c:ser>
        <c:dLbls>
          <c:showLegendKey val="0"/>
          <c:showVal val="0"/>
          <c:showCatName val="0"/>
          <c:showSerName val="0"/>
          <c:showPercent val="0"/>
          <c:showBubbleSize val="0"/>
        </c:dLbls>
        <c:smooth val="0"/>
        <c:axId val="451999616"/>
        <c:axId val="452288896"/>
      </c:lineChart>
      <c:catAx>
        <c:axId val="451999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288896"/>
        <c:crosses val="autoZero"/>
        <c:auto val="1"/>
        <c:lblAlgn val="ctr"/>
        <c:lblOffset val="100"/>
        <c:tickLblSkip val="20"/>
        <c:tickMarkSkip val="10"/>
        <c:noMultiLvlLbl val="0"/>
      </c:catAx>
      <c:valAx>
        <c:axId val="45228889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199961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347.78362894374703</c:v>
                </c:pt>
                <c:pt idx="25">
                  <c:v>334.7711064029632</c:v>
                </c:pt>
                <c:pt idx="26">
                  <c:v>322.68272887954049</c:v>
                </c:pt>
                <c:pt idx="27">
                  <c:v>311.41618065562244</c:v>
                </c:pt>
                <c:pt idx="28">
                  <c:v>300.90566782326096</c:v>
                </c:pt>
                <c:pt idx="29">
                  <c:v>291.07755990826632</c:v>
                </c:pt>
                <c:pt idx="30">
                  <c:v>281.86748699432445</c:v>
                </c:pt>
                <c:pt idx="31">
                  <c:v>273.21892822060551</c:v>
                </c:pt>
                <c:pt idx="32">
                  <c:v>265.08205081298991</c:v>
                </c:pt>
                <c:pt idx="33">
                  <c:v>257.41274925986704</c:v>
                </c:pt>
                <c:pt idx="34">
                  <c:v>250.17184550236544</c:v>
                </c:pt>
                <c:pt idx="35">
                  <c:v>243.32441951451295</c:v>
                </c:pt>
                <c:pt idx="36">
                  <c:v>236.83924612954232</c:v>
                </c:pt>
                <c:pt idx="37">
                  <c:v>230.68831894614939</c:v>
                </c:pt>
                <c:pt idx="38">
                  <c:v>224.8464460006366</c:v>
                </c:pt>
                <c:pt idx="39">
                  <c:v>219.29090489334567</c:v>
                </c:pt>
                <c:pt idx="40">
                  <c:v>214.00114741385082</c:v>
                </c:pt>
                <c:pt idx="41">
                  <c:v>208.9585455700572</c:v>
                </c:pt>
                <c:pt idx="42">
                  <c:v>204.14617240473316</c:v>
                </c:pt>
                <c:pt idx="43">
                  <c:v>199.54861216441293</c:v>
                </c:pt>
                <c:pt idx="44">
                  <c:v>195.15179533488296</c:v>
                </c:pt>
                <c:pt idx="45">
                  <c:v>190.94285482419971</c:v>
                </c:pt>
                <c:pt idx="46">
                  <c:v>186.91000019657395</c:v>
                </c:pt>
                <c:pt idx="47">
                  <c:v>183.04240736806608</c:v>
                </c:pt>
                <c:pt idx="48">
                  <c:v>179.33012159091351</c:v>
                </c:pt>
                <c:pt idx="49">
                  <c:v>175.76397189552216</c:v>
                </c:pt>
                <c:pt idx="50">
                  <c:v>172.33549544190518</c:v>
                </c:pt>
                <c:pt idx="51">
                  <c:v>169.03687046691317</c:v>
                </c:pt>
                <c:pt idx="52">
                  <c:v>165.86085670892578</c:v>
                </c:pt>
                <c:pt idx="53">
                  <c:v>162.80074235492296</c:v>
                </c:pt>
                <c:pt idx="54">
                  <c:v>159.85029669177268</c:v>
                </c:pt>
                <c:pt idx="55">
                  <c:v>157.00372775879961</c:v>
                </c:pt>
                <c:pt idx="56">
                  <c:v>154.25564439598401</c:v>
                </c:pt>
                <c:pt idx="57">
                  <c:v>151.60102216453612</c:v>
                </c:pt>
                <c:pt idx="58">
                  <c:v>149.03517268658783</c:v>
                </c:pt>
                <c:pt idx="59">
                  <c:v>146.55371601037854</c:v>
                </c:pt>
                <c:pt idx="60">
                  <c:v>144.15255565826249</c:v>
                </c:pt>
                <c:pt idx="61">
                  <c:v>141.82785605851711</c:v>
                </c:pt>
                <c:pt idx="62">
                  <c:v>139.57602209942164</c:v>
                </c:pt>
                <c:pt idx="63">
                  <c:v>137.39368057636216</c:v>
                </c:pt>
                <c:pt idx="64">
                  <c:v>135.27766333059014</c:v>
                </c:pt>
                <c:pt idx="65">
                  <c:v>133.22499190237491</c:v>
                </c:pt>
                <c:pt idx="66">
                  <c:v>131.23286354220627</c:v>
                </c:pt>
                <c:pt idx="67">
                  <c:v>129.29863844188105</c:v>
                </c:pt>
                <c:pt idx="68">
                  <c:v>127.41982806314212</c:v>
                </c:pt>
                <c:pt idx="69">
                  <c:v>125.59408445536226</c:v>
                </c:pt>
                <c:pt idx="70">
                  <c:v>123.81919046585134</c:v>
                </c:pt>
                <c:pt idx="71">
                  <c:v>122.09305075696309</c:v>
                </c:pt>
                <c:pt idx="72">
                  <c:v>120.41368355348025</c:v>
                </c:pt>
                <c:pt idx="73">
                  <c:v>118.77921305193911</c:v>
                </c:pt>
                <c:pt idx="74">
                  <c:v>117.18786243076858</c:v>
                </c:pt>
                <c:pt idx="75">
                  <c:v>115.63794740648386</c:v>
                </c:pt>
                <c:pt idx="76">
                  <c:v>114.12787028680728</c:v>
                </c:pt>
                <c:pt idx="77">
                  <c:v>112.65611447657444</c:v>
                </c:pt>
                <c:pt idx="78">
                  <c:v>111.22123939671036</c:v>
                </c:pt>
                <c:pt idx="79">
                  <c:v>109.82187578049034</c:v>
                </c:pt>
                <c:pt idx="80">
                  <c:v>108.45672131480293</c:v>
                </c:pt>
                <c:pt idx="81">
                  <c:v>107.12453659724756</c:v>
                </c:pt>
                <c:pt idx="82">
                  <c:v>105.8241413826872</c:v>
                </c:pt>
                <c:pt idx="83">
                  <c:v>104.55441109536281</c:v>
                </c:pt>
                <c:pt idx="84">
                  <c:v>103.31427358490478</c:v>
                </c:pt>
                <c:pt idx="85">
                  <c:v>102.10270610657264</c:v>
                </c:pt>
                <c:pt idx="86">
                  <c:v>100.91873250784838</c:v>
                </c:pt>
                <c:pt idx="87">
                  <c:v>99.761420605115319</c:v>
                </c:pt>
                <c:pt idx="88">
                  <c:v>98.629879735607716</c:v>
                </c:pt>
                <c:pt idx="89">
                  <c:v>97.523258471118524</c:v>
                </c:pt>
                <c:pt idx="90">
                  <c:v>96.440742481131764</c:v>
                </c:pt>
                <c:pt idx="91">
                  <c:v>95.381552534108607</c:v>
                </c:pt>
                <c:pt idx="92">
                  <c:v>94.344942626617708</c:v>
                </c:pt>
                <c:pt idx="93">
                  <c:v>93.330198230869854</c:v>
                </c:pt>
                <c:pt idx="94">
                  <c:v>92.336634652006325</c:v>
                </c:pt>
                <c:pt idx="95">
                  <c:v>91.363595487203753</c:v>
                </c:pt>
                <c:pt idx="96">
                  <c:v>90.410451179308851</c:v>
                </c:pt>
                <c:pt idx="97">
                  <c:v>89.476597658305579</c:v>
                </c:pt>
                <c:pt idx="98">
                  <c:v>88.56145506445435</c:v>
                </c:pt>
                <c:pt idx="99">
                  <c:v>87.664466547432042</c:v>
                </c:pt>
                <c:pt idx="100">
                  <c:v>86.785097136246634</c:v>
                </c:pt>
              </c:numCache>
            </c:numRef>
          </c:val>
          <c:smooth val="0"/>
          <c:extLst>
            <c:ext xmlns:c16="http://schemas.microsoft.com/office/drawing/2014/chart" uri="{C3380CC4-5D6E-409C-BE32-E72D297353CC}">
              <c16:uniqueId val="{00000000-44F7-4870-98EC-5ED7AF60689B}"/>
            </c:ext>
          </c:extLst>
        </c:ser>
        <c:ser>
          <c:idx val="0"/>
          <c:order val="1"/>
          <c:tx>
            <c:v>VIN-nom</c:v>
          </c:tx>
          <c:spPr>
            <a:ln w="28575">
              <a:solidFill>
                <a:srgbClr val="FF0000"/>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349.86288604773813</c:v>
                </c:pt>
                <c:pt idx="61">
                  <c:v>344.52168384421304</c:v>
                </c:pt>
                <c:pt idx="62">
                  <c:v>339.34108994554043</c:v>
                </c:pt>
                <c:pt idx="63">
                  <c:v>334.31396765403355</c:v>
                </c:pt>
                <c:pt idx="64">
                  <c:v>329.43346017311495</c:v>
                </c:pt>
                <c:pt idx="65">
                  <c:v>324.69263270636736</c:v>
                </c:pt>
                <c:pt idx="66">
                  <c:v>320.08626446695831</c:v>
                </c:pt>
                <c:pt idx="67">
                  <c:v>315.60871506164466</c:v>
                </c:pt>
                <c:pt idx="68">
                  <c:v>311.25465522314454</c:v>
                </c:pt>
                <c:pt idx="69">
                  <c:v>307.01904564967822</c:v>
                </c:pt>
                <c:pt idx="70">
                  <c:v>302.8971175483436</c:v>
                </c:pt>
                <c:pt idx="71">
                  <c:v>298.88435472438755</c:v>
                </c:pt>
                <c:pt idx="72">
                  <c:v>294.97647707495042</c:v>
                </c:pt>
                <c:pt idx="73">
                  <c:v>291.16942536045076</c:v>
                </c:pt>
                <c:pt idx="74">
                  <c:v>287.45934713970553</c:v>
                </c:pt>
                <c:pt idx="75">
                  <c:v>283.84258376634034</c:v>
                </c:pt>
                <c:pt idx="76">
                  <c:v>280.31565835421753</c:v>
                </c:pt>
                <c:pt idx="77">
                  <c:v>276.87526462867402</c:v>
                </c:pt>
                <c:pt idx="78">
                  <c:v>273.51825658842256</c:v>
                </c:pt>
                <c:pt idx="79">
                  <c:v>270.24163891016781</c:v>
                </c:pt>
                <c:pt idx="80">
                  <c:v>267.04255803442459</c:v>
                </c:pt>
                <c:pt idx="81">
                  <c:v>263.91829387677535</c:v>
                </c:pt>
                <c:pt idx="82">
                  <c:v>260.86625211396534</c:v>
                </c:pt>
                <c:pt idx="83">
                  <c:v>257.88395699885399</c:v>
                </c:pt>
                <c:pt idx="84">
                  <c:v>254.96904466240133</c:v>
                </c:pt>
                <c:pt idx="85">
                  <c:v>252.11925686460367</c:v>
                </c:pt>
                <c:pt idx="86">
                  <c:v>249.33243515965921</c:v>
                </c:pt>
                <c:pt idx="87">
                  <c:v>246.60651544367877</c:v>
                </c:pt>
                <c:pt idx="88">
                  <c:v>243.93952285599892</c:v>
                </c:pt>
                <c:pt idx="89">
                  <c:v>241.32956700762691</c:v>
                </c:pt>
                <c:pt idx="90">
                  <c:v>238.77483751259095</c:v>
                </c:pt>
                <c:pt idx="91">
                  <c:v>236.27359979999756</c:v>
                </c:pt>
                <c:pt idx="92">
                  <c:v>233.82419118643423</c:v>
                </c:pt>
                <c:pt idx="93">
                  <c:v>231.4250171900338</c:v>
                </c:pt>
                <c:pt idx="94">
                  <c:v>229.07454806902365</c:v>
                </c:pt>
                <c:pt idx="95">
                  <c:v>226.77131556897467</c:v>
                </c:pt>
                <c:pt idx="96">
                  <c:v>224.51390986421256</c:v>
                </c:pt>
                <c:pt idx="97">
                  <c:v>222.30097668000428</c:v>
                </c:pt>
                <c:pt idx="98">
                  <c:v>220.13121458317571</c:v>
                </c:pt>
                <c:pt idx="99">
                  <c:v>218.00337242977082</c:v>
                </c:pt>
                <c:pt idx="100">
                  <c:v>215.91624695923517</c:v>
                </c:pt>
              </c:numCache>
            </c:numRef>
          </c:val>
          <c:smooth val="0"/>
          <c:extLst>
            <c:ext xmlns:c16="http://schemas.microsoft.com/office/drawing/2014/chart" uri="{C3380CC4-5D6E-409C-BE32-E72D297353CC}">
              <c16:uniqueId val="{00000001-44F7-4870-98EC-5ED7AF60689B}"/>
            </c:ext>
          </c:extLst>
        </c:ser>
        <c:ser>
          <c:idx val="2"/>
          <c:order val="2"/>
          <c:tx>
            <c:v>VIN-max</c:v>
          </c:tx>
          <c:spPr>
            <a:ln>
              <a:solidFill>
                <a:srgbClr val="0000FF"/>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349.95866578286689</c:v>
                </c:pt>
                <c:pt idx="82">
                  <c:v>345.98907874618919</c:v>
                </c:pt>
                <c:pt idx="83">
                  <c:v>342.10858700313742</c:v>
                </c:pt>
                <c:pt idx="84">
                  <c:v>338.31422398906062</c:v>
                </c:pt>
                <c:pt idx="85">
                  <c:v>334.60315340076636</c:v>
                </c:pt>
                <c:pt idx="86">
                  <c:v>330.97288265021632</c:v>
                </c:pt>
                <c:pt idx="87">
                  <c:v>327.42304683347294</c:v>
                </c:pt>
                <c:pt idx="88">
                  <c:v>323.94866926022524</c:v>
                </c:pt>
                <c:pt idx="89">
                  <c:v>320.54736920440024</c:v>
                </c:pt>
                <c:pt idx="90">
                  <c:v>317.21686504762022</c:v>
                </c:pt>
                <c:pt idx="91">
                  <c:v>313.95496917510638</c:v>
                </c:pt>
                <c:pt idx="92">
                  <c:v>310.75958318380293</c:v>
                </c:pt>
                <c:pt idx="93">
                  <c:v>307.6286933806644</c:v>
                </c:pt>
                <c:pt idx="94">
                  <c:v>304.56036655081243</c:v>
                </c:pt>
                <c:pt idx="95">
                  <c:v>301.55274597687458</c:v>
                </c:pt>
                <c:pt idx="96">
                  <c:v>298.60404769228091</c:v>
                </c:pt>
                <c:pt idx="97">
                  <c:v>295.71255695263335</c:v>
                </c:pt>
                <c:pt idx="98">
                  <c:v>292.87662491047882</c:v>
                </c:pt>
                <c:pt idx="99">
                  <c:v>290.09466547994089</c:v>
                </c:pt>
                <c:pt idx="100">
                  <c:v>287.36515237868002</c:v>
                </c:pt>
              </c:numCache>
            </c:numRef>
          </c:val>
          <c:smooth val="0"/>
          <c:extLst>
            <c:ext xmlns:c16="http://schemas.microsoft.com/office/drawing/2014/chart" uri="{C3380CC4-5D6E-409C-BE32-E72D297353CC}">
              <c16:uniqueId val="{00000002-44F7-4870-98EC-5ED7AF60689B}"/>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44F7-4870-98EC-5ED7AF60689B}"/>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44F7-4870-98EC-5ED7AF60689B}"/>
              </c:ext>
            </c:extLst>
          </c:dPt>
          <c:dPt>
            <c:idx val="92"/>
            <c:bubble3D val="0"/>
            <c:extLst>
              <c:ext xmlns:c16="http://schemas.microsoft.com/office/drawing/2014/chart" uri="{C3380CC4-5D6E-409C-BE32-E72D297353CC}">
                <c16:uniqueId val="{00000005-44F7-4870-98EC-5ED7AF60689B}"/>
              </c:ext>
            </c:extLst>
          </c:dPt>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44F7-4870-98EC-5ED7AF60689B}"/>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44F7-4870-98EC-5ED7AF60689B}"/>
            </c:ext>
          </c:extLst>
        </c:ser>
        <c:dLbls>
          <c:showLegendKey val="0"/>
          <c:showVal val="0"/>
          <c:showCatName val="0"/>
          <c:showSerName val="0"/>
          <c:showPercent val="0"/>
          <c:showBubbleSize val="0"/>
        </c:dLbls>
        <c:smooth val="0"/>
        <c:axId val="452326144"/>
        <c:axId val="452328448"/>
      </c:lineChart>
      <c:catAx>
        <c:axId val="452326144"/>
        <c:scaling>
          <c:orientation val="minMax"/>
        </c:scaling>
        <c:delete val="0"/>
        <c:axPos val="b"/>
        <c:majorGridlines>
          <c:spPr>
            <a:ln w="15875">
              <a:solidFill>
                <a:srgbClr val="969696"/>
              </a:solidFill>
              <a:prstDash val="sysDash"/>
            </a:ln>
          </c:spPr>
        </c:majorGridlines>
        <c:title>
          <c:tx>
            <c:rich>
              <a:bodyPr/>
              <a:lstStyle/>
              <a:p>
                <a:pPr>
                  <a:defRPr lang="ja-JP"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8448"/>
        <c:crosses val="autoZero"/>
        <c:auto val="1"/>
        <c:lblAlgn val="ctr"/>
        <c:lblOffset val="100"/>
        <c:tickLblSkip val="20"/>
        <c:tickMarkSkip val="10"/>
        <c:noMultiLvlLbl val="0"/>
      </c:catAx>
      <c:valAx>
        <c:axId val="452328448"/>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6144"/>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BE97-48FA-B330-74E933417AF3}"/>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BE97-48FA-B330-74E933417AF3}"/>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BE97-48FA-B330-74E933417AF3}"/>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BE97-48FA-B330-74E933417AF3}"/>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BE97-48FA-B330-74E933417AF3}"/>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BE97-48FA-B330-74E933417AF3}"/>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BE97-48FA-B330-74E933417AF3}"/>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BE97-48FA-B330-74E933417AF3}"/>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BE97-48FA-B330-74E933417AF3}"/>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BE97-48FA-B330-74E933417AF3}"/>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BE97-48FA-B330-74E933417AF3}"/>
            </c:ext>
          </c:extLst>
        </c:ser>
        <c:dLbls>
          <c:showLegendKey val="0"/>
          <c:showVal val="0"/>
          <c:showCatName val="0"/>
          <c:showSerName val="0"/>
          <c:showPercent val="0"/>
          <c:showBubbleSize val="0"/>
        </c:dLbls>
        <c:axId val="447280256"/>
        <c:axId val="447282176"/>
      </c:areaChart>
      <c:catAx>
        <c:axId val="44728025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282176"/>
        <c:crosses val="autoZero"/>
        <c:auto val="1"/>
        <c:lblAlgn val="ctr"/>
        <c:lblOffset val="100"/>
        <c:tickMarkSkip val="1"/>
        <c:noMultiLvlLbl val="0"/>
      </c:catAx>
      <c:valAx>
        <c:axId val="447282176"/>
        <c:scaling>
          <c:orientation val="minMax"/>
          <c:max val="0.2"/>
          <c:min val="0"/>
        </c:scaling>
        <c:delete val="0"/>
        <c:axPos val="l"/>
        <c:majorGridlines>
          <c:spPr>
            <a:ln w="3175">
              <a:solidFill>
                <a:srgbClr val="000000"/>
              </a:solidFill>
              <a:prstDash val="solid"/>
            </a:ln>
          </c:spPr>
        </c:majorGridlines>
        <c:min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280256"/>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6E96-4528-9036-34F1ACDA388E}"/>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E96-4528-9036-34F1ACDA388E}"/>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6E96-4528-9036-34F1ACDA388E}"/>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E96-4528-9036-34F1ACDA388E}"/>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6E96-4528-9036-34F1ACDA388E}"/>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6E96-4528-9036-34F1ACDA388E}"/>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6E96-4528-9036-34F1ACDA388E}"/>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6E96-4528-9036-34F1ACDA388E}"/>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6E96-4528-9036-34F1ACDA388E}"/>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6E96-4528-9036-34F1ACDA388E}"/>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6E96-4528-9036-34F1ACDA388E}"/>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6E96-4528-9036-34F1ACDA388E}"/>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6E96-4528-9036-34F1ACDA388E}"/>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6E96-4528-9036-34F1ACDA388E}"/>
            </c:ext>
          </c:extLst>
        </c:ser>
        <c:dLbls>
          <c:showLegendKey val="0"/>
          <c:showVal val="0"/>
          <c:showCatName val="0"/>
          <c:showSerName val="0"/>
          <c:showPercent val="0"/>
          <c:showBubbleSize val="0"/>
        </c:dLbls>
        <c:gapWidth val="101"/>
        <c:overlap val="-70"/>
        <c:axId val="447021056"/>
        <c:axId val="447022592"/>
      </c:barChart>
      <c:catAx>
        <c:axId val="447021056"/>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022592"/>
        <c:crossesAt val="0"/>
        <c:auto val="1"/>
        <c:lblAlgn val="ctr"/>
        <c:lblOffset val="100"/>
        <c:noMultiLvlLbl val="0"/>
      </c:catAx>
      <c:valAx>
        <c:axId val="447022592"/>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021056"/>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7A9A-4B30-813C-2F4CDFF889B0}"/>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7A9A-4B30-813C-2F4CDFF889B0}"/>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7A9A-4B30-813C-2F4CDFF889B0}"/>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7A9A-4B30-813C-2F4CDFF889B0}"/>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7A9A-4B30-813C-2F4CDFF889B0}"/>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7A9A-4B30-813C-2F4CDFF889B0}"/>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7A9A-4B30-813C-2F4CDFF889B0}"/>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7A9A-4B30-813C-2F4CDFF889B0}"/>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7A9A-4B30-813C-2F4CDFF889B0}"/>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7A9A-4B30-813C-2F4CDFF889B0}"/>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7A9A-4B30-813C-2F4CDFF889B0}"/>
            </c:ext>
          </c:extLst>
        </c:ser>
        <c:dLbls>
          <c:showLegendKey val="0"/>
          <c:showVal val="0"/>
          <c:showCatName val="0"/>
          <c:showSerName val="0"/>
          <c:showPercent val="0"/>
          <c:showBubbleSize val="0"/>
        </c:dLbls>
        <c:axId val="447100416"/>
        <c:axId val="447102336"/>
      </c:areaChart>
      <c:catAx>
        <c:axId val="44710041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102336"/>
        <c:crosses val="autoZero"/>
        <c:auto val="1"/>
        <c:lblAlgn val="ctr"/>
        <c:lblOffset val="100"/>
        <c:tickMarkSkip val="1"/>
        <c:noMultiLvlLbl val="0"/>
      </c:catAx>
      <c:valAx>
        <c:axId val="447102336"/>
        <c:scaling>
          <c:orientation val="minMax"/>
          <c:max val="0.2"/>
          <c:min val="0"/>
        </c:scaling>
        <c:delete val="0"/>
        <c:axPos val="l"/>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100416"/>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Parameters!$BZ$6:$BZ$106</c:f>
              <c:numCache>
                <c:formatCode>0.00</c:formatCode>
                <c:ptCount val="101"/>
                <c:pt idx="0">
                  <c:v>100</c:v>
                </c:pt>
                <c:pt idx="1">
                  <c:v>100</c:v>
                </c:pt>
                <c:pt idx="2">
                  <c:v>100</c:v>
                </c:pt>
                <c:pt idx="3">
                  <c:v>100</c:v>
                </c:pt>
                <c:pt idx="100">
                  <c:v>100</c:v>
                </c:pt>
              </c:numCache>
            </c:numRef>
          </c:val>
          <c:smooth val="1"/>
          <c:extLst>
            <c:ext xmlns:c16="http://schemas.microsoft.com/office/drawing/2014/chart" uri="{C3380CC4-5D6E-409C-BE32-E72D297353CC}">
              <c16:uniqueId val="{00000000-D674-43A0-9F82-F4A92FBE8268}"/>
            </c:ext>
          </c:extLst>
        </c:ser>
        <c:dLbls>
          <c:showLegendKey val="0"/>
          <c:showVal val="0"/>
          <c:showCatName val="0"/>
          <c:showSerName val="0"/>
          <c:showPercent val="0"/>
          <c:showBubbleSize val="0"/>
        </c:dLbls>
        <c:marker val="1"/>
        <c:smooth val="0"/>
        <c:axId val="447149952"/>
        <c:axId val="447291392"/>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D674-43A0-9F82-F4A92FBE8268}"/>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D674-43A0-9F82-F4A92FBE8268}"/>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D674-43A0-9F82-F4A92FBE8268}"/>
            </c:ext>
          </c:extLst>
        </c:ser>
        <c:dLbls>
          <c:showLegendKey val="0"/>
          <c:showVal val="0"/>
          <c:showCatName val="0"/>
          <c:showSerName val="0"/>
          <c:showPercent val="0"/>
          <c:showBubbleSize val="0"/>
        </c:dLbls>
        <c:marker val="1"/>
        <c:smooth val="0"/>
        <c:axId val="447303680"/>
        <c:axId val="447293312"/>
      </c:lineChart>
      <c:catAx>
        <c:axId val="447149952"/>
        <c:scaling>
          <c:orientation val="minMax"/>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291392"/>
        <c:crosses val="autoZero"/>
        <c:auto val="1"/>
        <c:lblAlgn val="ctr"/>
        <c:lblOffset val="100"/>
        <c:tickLblSkip val="20"/>
        <c:tickMarkSkip val="20"/>
        <c:noMultiLvlLbl val="0"/>
      </c:catAx>
      <c:valAx>
        <c:axId val="447291392"/>
        <c:scaling>
          <c:orientation val="minMax"/>
          <c:max val="95"/>
          <c:min val="65"/>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149952"/>
        <c:crossesAt val="0"/>
        <c:crossBetween val="between"/>
        <c:majorUnit val="5"/>
        <c:minorUnit val="2.5"/>
      </c:valAx>
      <c:valAx>
        <c:axId val="447293312"/>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303680"/>
        <c:crosses val="max"/>
        <c:crossBetween val="between"/>
      </c:valAx>
      <c:catAx>
        <c:axId val="447303680"/>
        <c:scaling>
          <c:orientation val="minMax"/>
        </c:scaling>
        <c:delete val="1"/>
        <c:axPos val="b"/>
        <c:numFmt formatCode="0.000" sourceLinked="1"/>
        <c:majorTickMark val="out"/>
        <c:minorTickMark val="none"/>
        <c:tickLblPos val="nextTo"/>
        <c:crossAx val="4472933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Parameters!$BZ$6:$BZ$106</c:f>
              <c:numCache>
                <c:formatCode>0.00</c:formatCode>
                <c:ptCount val="101"/>
                <c:pt idx="0">
                  <c:v>100</c:v>
                </c:pt>
                <c:pt idx="1">
                  <c:v>100</c:v>
                </c:pt>
                <c:pt idx="2">
                  <c:v>100</c:v>
                </c:pt>
                <c:pt idx="3">
                  <c:v>100</c:v>
                </c:pt>
                <c:pt idx="100">
                  <c:v>100</c:v>
                </c:pt>
              </c:numCache>
            </c:numRef>
          </c:yVal>
          <c:smooth val="1"/>
          <c:extLst>
            <c:ext xmlns:c16="http://schemas.microsoft.com/office/drawing/2014/chart" uri="{C3380CC4-5D6E-409C-BE32-E72D297353CC}">
              <c16:uniqueId val="{00000000-5AFA-4F10-B325-54957BB039CB}"/>
            </c:ext>
          </c:extLst>
        </c:ser>
        <c:dLbls>
          <c:showLegendKey val="0"/>
          <c:showVal val="0"/>
          <c:showCatName val="0"/>
          <c:showSerName val="0"/>
          <c:showPercent val="0"/>
          <c:showBubbleSize val="0"/>
        </c:dLbls>
        <c:axId val="447422464"/>
        <c:axId val="44742438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5AFA-4F10-B325-54957BB039CB}"/>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5AFA-4F10-B325-54957BB039CB}"/>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5AFA-4F10-B325-54957BB039CB}"/>
            </c:ext>
          </c:extLst>
        </c:ser>
        <c:dLbls>
          <c:showLegendKey val="0"/>
          <c:showVal val="0"/>
          <c:showCatName val="0"/>
          <c:showSerName val="0"/>
          <c:showPercent val="0"/>
          <c:showBubbleSize val="0"/>
        </c:dLbls>
        <c:axId val="447432576"/>
        <c:axId val="447430656"/>
      </c:scatterChart>
      <c:valAx>
        <c:axId val="447422464"/>
        <c:scaling>
          <c:logBase val="10"/>
          <c:orientation val="minMax"/>
          <c:min val="0.1"/>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424384"/>
        <c:crosses val="autoZero"/>
        <c:crossBetween val="midCat"/>
      </c:valAx>
      <c:valAx>
        <c:axId val="447424384"/>
        <c:scaling>
          <c:orientation val="minMax"/>
          <c:max val="95"/>
          <c:min val="60"/>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422464"/>
        <c:crossesAt val="0"/>
        <c:crossBetween val="midCat"/>
        <c:majorUnit val="5"/>
        <c:minorUnit val="2.5"/>
      </c:valAx>
      <c:valAx>
        <c:axId val="447430656"/>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432576"/>
        <c:crosses val="max"/>
        <c:crossBetween val="midCat"/>
      </c:valAx>
      <c:valAx>
        <c:axId val="447432576"/>
        <c:scaling>
          <c:logBase val="10"/>
          <c:orientation val="minMax"/>
        </c:scaling>
        <c:delete val="1"/>
        <c:axPos val="b"/>
        <c:numFmt formatCode="0.000" sourceLinked="1"/>
        <c:majorTickMark val="out"/>
        <c:minorTickMark val="none"/>
        <c:tickLblPos val="nextTo"/>
        <c:crossAx val="447430656"/>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EB60-43FD-9662-DE13960A76D7}"/>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EB60-43FD-9662-DE13960A76D7}"/>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EB60-43FD-9662-DE13960A76D7}"/>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B60-43FD-9662-DE13960A76D7}"/>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EB60-43FD-9662-DE13960A76D7}"/>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EB60-43FD-9662-DE13960A76D7}"/>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EB60-43FD-9662-DE13960A76D7}"/>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EB60-43FD-9662-DE13960A76D7}"/>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EB60-43FD-9662-DE13960A76D7}"/>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EB60-43FD-9662-DE13960A76D7}"/>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EB60-43FD-9662-DE13960A76D7}"/>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EB60-43FD-9662-DE13960A76D7}"/>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B60-43FD-9662-DE13960A76D7}"/>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EB60-43FD-9662-DE13960A76D7}"/>
            </c:ext>
          </c:extLst>
        </c:ser>
        <c:dLbls>
          <c:showLegendKey val="0"/>
          <c:showVal val="0"/>
          <c:showCatName val="0"/>
          <c:showSerName val="0"/>
          <c:showPercent val="0"/>
          <c:showBubbleSize val="0"/>
        </c:dLbls>
        <c:gapWidth val="101"/>
        <c:overlap val="-70"/>
        <c:axId val="447632128"/>
        <c:axId val="447633664"/>
      </c:barChart>
      <c:catAx>
        <c:axId val="44763212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633664"/>
        <c:crossesAt val="0"/>
        <c:auto val="1"/>
        <c:lblAlgn val="ctr"/>
        <c:lblOffset val="100"/>
        <c:noMultiLvlLbl val="0"/>
      </c:catAx>
      <c:valAx>
        <c:axId val="447633664"/>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63212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16" fmlaLink="'BOM &amp; Schematic'!$Q$31" fmlaRange="'Variable Mgmt'!$R$79:$R$83" noThreeD="1" sel="1" val="0"/>
</file>

<file path=xl/ctrlProps/ctrlProp11.xml><?xml version="1.0" encoding="utf-8"?>
<formControlPr xmlns="http://schemas.microsoft.com/office/spreadsheetml/2009/9/main" objectType="Drop" dropStyle="combo" dx="16" fmlaLink="$Q$32" fmlaRange="'Variable Mgmt'!$R$79:$R$83" noThreeD="1" sel="5" val="0"/>
</file>

<file path=xl/ctrlProps/ctrlProp12.xml><?xml version="1.0" encoding="utf-8"?>
<formControlPr xmlns="http://schemas.microsoft.com/office/spreadsheetml/2009/9/main" objectType="Drop" dropStyle="combo" dx="16" fmlaLink="$Q$40" fmlaRange="'Variable Mgmt'!$W$88:$W$91" noThreeD="1" sel="3" val="0"/>
</file>

<file path=xl/ctrlProps/ctrlProp13.xml><?xml version="1.0" encoding="utf-8"?>
<formControlPr xmlns="http://schemas.microsoft.com/office/spreadsheetml/2009/9/main" objectType="Drop" dropStyle="combo" dx="16" fmlaLink="$Q$47" fmlaRange="'Variable Mgmt'!$R$79:$R$81" noThreeD="1" sel="3" val="0"/>
</file>

<file path=xl/ctrlProps/ctrlProp14.xml><?xml version="1.0" encoding="utf-8"?>
<formControlPr xmlns="http://schemas.microsoft.com/office/spreadsheetml/2009/9/main" objectType="Drop" dropStyle="combo" dx="16" fmlaLink="$Q$42" fmlaRange="'Variable Mgmt'!$W$88:$W$91" noThreeD="1" sel="4" val="0"/>
</file>

<file path=xl/ctrlProps/ctrlProp15.xml><?xml version="1.0" encoding="utf-8"?>
<formControlPr xmlns="http://schemas.microsoft.com/office/spreadsheetml/2009/9/main" objectType="Drop" dropStyle="combo" dx="16" fmlaLink="$Q$41" fmlaRange="'Variable Mgmt'!$W$88:$W$91" noThreeD="1" sel="1" val="0"/>
</file>

<file path=xl/ctrlProps/ctrlProp16.xml><?xml version="1.0" encoding="utf-8"?>
<formControlPr xmlns="http://schemas.microsoft.com/office/spreadsheetml/2009/9/main" objectType="Drop" dropStyle="combo" dx="16" fmlaLink="$Q$46" fmlaRange="'Variable Mgmt'!$R$79:$R$81" noThreeD="1" sel="2" val="0"/>
</file>

<file path=xl/ctrlProps/ctrlProp17.xml><?xml version="1.0" encoding="utf-8"?>
<formControlPr xmlns="http://schemas.microsoft.com/office/spreadsheetml/2009/9/main" objectType="Drop" dropStyle="combo" dx="16" fmlaLink="$Q$48" fmlaRange="'Variable Mgmt'!$R$79:$R$81" noThreeD="1" sel="1" val="0"/>
</file>

<file path=xl/ctrlProps/ctrlProp18.xml><?xml version="1.0" encoding="utf-8"?>
<formControlPr xmlns="http://schemas.microsoft.com/office/spreadsheetml/2009/9/main" objectType="Drop" dropStyle="combo" dx="16" fmlaLink="$Q$49" fmlaRange="'Variable Mgmt'!$R$79:$R$81" noThreeD="1" sel="1" val="0"/>
</file>

<file path=xl/ctrlProps/ctrlProp19.xml><?xml version="1.0" encoding="utf-8"?>
<formControlPr xmlns="http://schemas.microsoft.com/office/spreadsheetml/2009/9/main" objectType="Drop" dropStyle="combo" dx="16" fmlaLink="$Q$50" fmlaRange="'Variable Mgmt'!$R$79:$R$81" noThreeD="1" sel="1" val="0"/>
</file>

<file path=xl/ctrlProps/ctrlProp2.xml><?xml version="1.0" encoding="utf-8"?>
<formControlPr xmlns="http://schemas.microsoft.com/office/spreadsheetml/2009/9/main" objectType="Drop" dropStyle="combo" dx="16" fmlaLink="'Variable Mgmt'!$J$78" fmlaRange="'Variable Mgmt'!$I$76:$I$77" noThreeD="1" sel="2" val="0"/>
</file>

<file path=xl/ctrlProps/ctrlProp20.xml><?xml version="1.0" encoding="utf-8"?>
<formControlPr xmlns="http://schemas.microsoft.com/office/spreadsheetml/2009/9/main" objectType="Drop" dropStyle="combo" dx="16" fmlaLink="$Q$39" fmlaRange="'Variable Mgmt'!$W$88:$W$91" noThreeD="1" sel="3" val="0"/>
</file>

<file path=xl/ctrlProps/ctrlProp21.xml><?xml version="1.0" encoding="utf-8"?>
<formControlPr xmlns="http://schemas.microsoft.com/office/spreadsheetml/2009/9/main" objectType="Drop" dropStyle="combo" dx="16" fmlaLink="$Q$54" fmlaRange="'Variable Mgmt'!$R$89:$R$96" noThreeD="1" sel="8" val="0"/>
</file>

<file path=xl/ctrlProps/ctrlProp22.xml><?xml version="1.0" encoding="utf-8"?>
<formControlPr xmlns="http://schemas.microsoft.com/office/spreadsheetml/2009/9/main" objectType="Drop" dropStyle="combo" dx="16" fmlaLink="$Q$33" fmlaRange="'Variable Mgmt'!$R$79:$R$83" noThreeD="1" sel="5" val="0"/>
</file>

<file path=xl/ctrlProps/ctrlProp23.xml><?xml version="1.0" encoding="utf-8"?>
<formControlPr xmlns="http://schemas.microsoft.com/office/spreadsheetml/2009/9/main" objectType="Drop" dropStyle="combo" dx="16" fmlaLink="$Q$43" fmlaRange="'Variable Mgmt'!$W$88:$W$91" noThreeD="1" sel="3" val="0"/>
</file>

<file path=xl/ctrlProps/ctrlProp24.xml><?xml version="1.0" encoding="utf-8"?>
<formControlPr xmlns="http://schemas.microsoft.com/office/spreadsheetml/2009/9/main" objectType="Drop" dropStyle="combo" dx="16" fmlaLink="$Q$52" fmlaRange="'Variable Mgmt'!$R$79:$R$81" noThreeD="1" sel="2" val="0"/>
</file>

<file path=xl/ctrlProps/ctrlProp25.xml><?xml version="1.0" encoding="utf-8"?>
<formControlPr xmlns="http://schemas.microsoft.com/office/spreadsheetml/2009/9/main" objectType="Drop" dropStyle="combo" dx="16" fmlaLink="$Q$53" fmlaRange="'Variable Mgmt'!$R$79:$R$81" noThreeD="1" sel="1" val="0"/>
</file>

<file path=xl/ctrlProps/ctrlProp26.xml><?xml version="1.0" encoding="utf-8"?>
<formControlPr xmlns="http://schemas.microsoft.com/office/spreadsheetml/2009/9/main" objectType="Drop" dropStyle="combo" dx="16" fmlaLink="'BOM &amp; Schematic'!$Q$35" fmlaRange="'Variable Mgmt'!$R$79:$R$83" noThreeD="1" sel="3" val="0"/>
</file>

<file path=xl/ctrlProps/ctrlProp27.xml><?xml version="1.0" encoding="utf-8"?>
<formControlPr xmlns="http://schemas.microsoft.com/office/spreadsheetml/2009/9/main" objectType="Drop" dropStyle="combo" dx="16" fmlaLink="$Q$44" fmlaRange="'Variable Mgmt'!$W$88:$W$91" noThreeD="1" sel="3" val="0"/>
</file>

<file path=xl/ctrlProps/ctrlProp28.xml><?xml version="1.0" encoding="utf-8"?>
<formControlPr xmlns="http://schemas.microsoft.com/office/spreadsheetml/2009/9/main" objectType="Drop" dropStyle="combo" dx="16" fmlaLink="'BOM &amp; Schematic'!$Q$36" fmlaRange="'Variable Mgmt'!$R$79:$R$83" noThreeD="1" sel="4" val="0"/>
</file>

<file path=xl/ctrlProps/ctrlProp29.xml><?xml version="1.0" encoding="utf-8"?>
<formControlPr xmlns="http://schemas.microsoft.com/office/spreadsheetml/2009/9/main" objectType="Drop" dropStyle="combo" dx="16" fmlaLink="'BOM &amp; Schematic'!$Q$37" fmlaRange="'Variable Mgmt'!$R$79:$R$83" noThreeD="1" sel="2" val="0"/>
</file>

<file path=xl/ctrlProps/ctrlProp3.xml><?xml version="1.0" encoding="utf-8"?>
<formControlPr xmlns="http://schemas.microsoft.com/office/spreadsheetml/2009/9/main" objectType="Drop" dropLines="2" dropStyle="combo" dx="16" fmlaLink="'Variable Mgmt'!$G$78" fmlaRange="'Variable Mgmt'!$F$76:$F$77" noThreeD="1" sel="1" val="0"/>
</file>

<file path=xl/ctrlProps/ctrlProp30.xml><?xml version="1.0" encoding="utf-8"?>
<formControlPr xmlns="http://schemas.microsoft.com/office/spreadsheetml/2009/9/main" objectType="Drop" dropStyle="combo" dx="16" fmlaLink="'BOM &amp; Schematic'!$Q$38" fmlaRange="'Variable Mgmt'!$R$79:$R$83" noThreeD="1" sel="1" val="0"/>
</file>

<file path=xl/ctrlProps/ctrlProp31.xml><?xml version="1.0" encoding="utf-8"?>
<formControlPr xmlns="http://schemas.microsoft.com/office/spreadsheetml/2009/9/main" objectType="Drop" dropStyle="combo" dx="16" fmlaLink="$Q$51" fmlaRange="'Variable Mgmt'!$R$79:$R$84" noThreeD="1" sel="6" val="0"/>
</file>

<file path=xl/ctrlProps/ctrlProp4.xml><?xml version="1.0" encoding="utf-8"?>
<formControlPr xmlns="http://schemas.microsoft.com/office/spreadsheetml/2009/9/main" objectType="Drop" dropLines="10" dropStyle="combo" dx="16" fmlaLink="'Variable Mgmt'!$S$61" fmlaRange="'Variable Mgmt'!$R$28:$R$60" noThreeD="1" sel="14" val="13"/>
</file>

<file path=xl/ctrlProps/ctrlProp5.xml><?xml version="1.0" encoding="utf-8"?>
<formControlPr xmlns="http://schemas.microsoft.com/office/spreadsheetml/2009/9/main" objectType="Drop" dropStyle="combo" dx="16" fmlaLink="'Variable Mgmt'!$G$72" fmlaRange="'Variable Mgmt'!$F$70:$F$71" noThreeD="1" sel="2" val="0"/>
</file>

<file path=xl/ctrlProps/ctrlProp6.xml><?xml version="1.0" encoding="utf-8"?>
<formControlPr xmlns="http://schemas.microsoft.com/office/spreadsheetml/2009/9/main" objectType="Drop" dropLines="10" dropStyle="combo" dx="16" fmlaLink="'Variable Mgmt'!$C$73" fmlaRange="'Variable Mgmt'!$B$70:$B$71" noThreeD="1" sel="1" val="0"/>
</file>

<file path=xl/ctrlProps/ctrlProp7.xml><?xml version="1.0" encoding="utf-8"?>
<formControlPr xmlns="http://schemas.microsoft.com/office/spreadsheetml/2009/9/main" objectType="Spin" dx="16" fmlaLink="$E$7" max="95" min="3" page="10" val="24"/>
</file>

<file path=xl/ctrlProps/ctrlProp8.xml><?xml version="1.0" encoding="utf-8"?>
<formControlPr xmlns="http://schemas.microsoft.com/office/spreadsheetml/2009/9/main" objectType="Spin" dx="16" fmlaLink="$E$7" max="65" min="3" page="10" val="24"/>
</file>

<file path=xl/ctrlProps/ctrlProp9.xml><?xml version="1.0" encoding="utf-8"?>
<formControlPr xmlns="http://schemas.microsoft.com/office/spreadsheetml/2009/9/main" objectType="Drop" dropLines="2" dropStyle="combo" dx="16" fmlaLink="'Variable Mgmt'!$Q$20" fmlaRange="'Variable Mgmt'!$P$18:$P$19" noThreeD="1" sel="2" val="0"/>
</file>

<file path=xl/drawings/_rels/drawing1.xml.rels><?xml version="1.0" encoding="UTF-8" standalone="yes"?>
<Relationships xmlns="http://schemas.openxmlformats.org/package/2006/relationships"><Relationship Id="rId8" Type="http://schemas.openxmlformats.org/officeDocument/2006/relationships/hyperlink" Target="http://www.ti.com/automotive" TargetMode="External"/><Relationship Id="rId3" Type="http://schemas.openxmlformats.org/officeDocument/2006/relationships/image" Target="../media/image2.emf"/><Relationship Id="rId7" Type="http://schemas.openxmlformats.org/officeDocument/2006/relationships/image" Target="../media/image4.jpg"/><Relationship Id="rId2" Type="http://schemas.openxmlformats.org/officeDocument/2006/relationships/image" Target="../media/image1.emf"/><Relationship Id="rId1" Type="http://schemas.openxmlformats.org/officeDocument/2006/relationships/chart" Target="../charts/chart1.xml"/><Relationship Id="rId6" Type="http://schemas.openxmlformats.org/officeDocument/2006/relationships/hyperlink" Target="http://www.ti.com/industrial" TargetMode="External"/><Relationship Id="rId5" Type="http://schemas.openxmlformats.org/officeDocument/2006/relationships/image" Target="../media/image3.jpg"/><Relationship Id="rId10" Type="http://schemas.openxmlformats.org/officeDocument/2006/relationships/image" Target="../media/image6.emf"/><Relationship Id="rId4" Type="http://schemas.openxmlformats.org/officeDocument/2006/relationships/hyperlink" Target="http://www.ti.com/widevin" TargetMode="External"/><Relationship Id="rId9" Type="http://schemas.openxmlformats.org/officeDocument/2006/relationships/image" Target="../media/image5.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chart" Target="../charts/chart34.xml"/><Relationship Id="rId1"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1.png"/><Relationship Id="rId18" Type="http://schemas.openxmlformats.org/officeDocument/2006/relationships/image" Target="../media/image36.png"/><Relationship Id="rId3" Type="http://schemas.openxmlformats.org/officeDocument/2006/relationships/image" Target="../media/image21.png"/><Relationship Id="rId21" Type="http://schemas.openxmlformats.org/officeDocument/2006/relationships/image" Target="../media/image39.png"/><Relationship Id="rId7" Type="http://schemas.openxmlformats.org/officeDocument/2006/relationships/image" Target="../media/image25.png"/><Relationship Id="rId12" Type="http://schemas.openxmlformats.org/officeDocument/2006/relationships/image" Target="../media/image30.png"/><Relationship Id="rId17" Type="http://schemas.openxmlformats.org/officeDocument/2006/relationships/image" Target="../media/image35.png"/><Relationship Id="rId2" Type="http://schemas.openxmlformats.org/officeDocument/2006/relationships/image" Target="../media/image20.png"/><Relationship Id="rId16" Type="http://schemas.openxmlformats.org/officeDocument/2006/relationships/image" Target="../media/image34.png"/><Relationship Id="rId20" Type="http://schemas.openxmlformats.org/officeDocument/2006/relationships/image" Target="../media/image38.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24" Type="http://schemas.openxmlformats.org/officeDocument/2006/relationships/image" Target="../media/image42.png"/><Relationship Id="rId5" Type="http://schemas.openxmlformats.org/officeDocument/2006/relationships/image" Target="../media/image23.png"/><Relationship Id="rId15" Type="http://schemas.openxmlformats.org/officeDocument/2006/relationships/image" Target="../media/image33.png"/><Relationship Id="rId23" Type="http://schemas.openxmlformats.org/officeDocument/2006/relationships/image" Target="../media/image41.png"/><Relationship Id="rId10" Type="http://schemas.openxmlformats.org/officeDocument/2006/relationships/image" Target="../media/image28.png"/><Relationship Id="rId19" Type="http://schemas.openxmlformats.org/officeDocument/2006/relationships/image" Target="../media/image37.png"/><Relationship Id="rId4" Type="http://schemas.openxmlformats.org/officeDocument/2006/relationships/image" Target="../media/image22.png"/><Relationship Id="rId9" Type="http://schemas.openxmlformats.org/officeDocument/2006/relationships/image" Target="../media/image27.png"/><Relationship Id="rId14" Type="http://schemas.openxmlformats.org/officeDocument/2006/relationships/image" Target="../media/image32.png"/><Relationship Id="rId22" Type="http://schemas.openxmlformats.org/officeDocument/2006/relationships/image" Target="../media/image40.pn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image" Target="../media/image12.png"/><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304800</xdr:colOff>
          <xdr:row>0</xdr:row>
          <xdr:rowOff>412750</xdr:rowOff>
        </xdr:from>
        <xdr:to>
          <xdr:col>25</xdr:col>
          <xdr:colOff>222250</xdr:colOff>
          <xdr:row>1</xdr:row>
          <xdr:rowOff>63500</xdr:rowOff>
        </xdr:to>
        <xdr:sp macro="" textlink="">
          <xdr:nvSpPr>
            <xdr:cNvPr id="751583" name="Drop Down 6111" hidden="1">
              <a:extLst>
                <a:ext uri="{63B3BB69-23CF-44E3-9099-C40C66FF867C}">
                  <a14:compatExt spid="_x0000_s751583"/>
                </a:ext>
                <a:ext uri="{FF2B5EF4-FFF2-40B4-BE49-F238E27FC236}">
                  <a16:creationId xmlns:a16="http://schemas.microsoft.com/office/drawing/2014/main" id="{00000000-0008-0000-0000-0000DF77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160440</xdr:colOff>
      <xdr:row>61</xdr:row>
      <xdr:rowOff>65734</xdr:rowOff>
    </xdr:from>
    <xdr:to>
      <xdr:col>25</xdr:col>
      <xdr:colOff>1592036</xdr:colOff>
      <xdr:row>84</xdr:row>
      <xdr:rowOff>153307</xdr:rowOff>
    </xdr:to>
    <xdr:graphicFrame macro="">
      <xdr:nvGraphicFramePr>
        <xdr:cNvPr id="66" name="Chart 1029">
          <a:extLst>
            <a:ext uri="{FF2B5EF4-FFF2-40B4-BE49-F238E27FC236}">
              <a16:creationId xmlns:a16="http://schemas.microsoft.com/office/drawing/2014/main" id="{00000000-0008-0000-0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490417</xdr:colOff>
          <xdr:row>37</xdr:row>
          <xdr:rowOff>67110</xdr:rowOff>
        </xdr:from>
        <xdr:to>
          <xdr:col>25</xdr:col>
          <xdr:colOff>1815353</xdr:colOff>
          <xdr:row>60</xdr:row>
          <xdr:rowOff>161441</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89898"/>
                </a:ext>
              </a:extLst>
            </xdr:cNvPicPr>
          </xdr:nvPicPr>
          <xdr:blipFill rotWithShape="1">
            <a:blip xmlns:r="http://schemas.openxmlformats.org/officeDocument/2006/relationships" r:embed="rId2"/>
            <a:srcRect r="5287"/>
            <a:stretch>
              <a:fillRect/>
            </a:stretch>
          </xdr:blipFill>
          <xdr:spPr bwMode="auto">
            <a:xfrm>
              <a:off x="11061299" y="8187639"/>
              <a:ext cx="6591701" cy="4061214"/>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97117</xdr:colOff>
          <xdr:row>4</xdr:row>
          <xdr:rowOff>94701</xdr:rowOff>
        </xdr:from>
        <xdr:to>
          <xdr:col>25</xdr:col>
          <xdr:colOff>1785470</xdr:colOff>
          <xdr:row>27</xdr:row>
          <xdr:rowOff>239060</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89899"/>
                </a:ext>
              </a:extLst>
            </xdr:cNvPicPr>
          </xdr:nvPicPr>
          <xdr:blipFill rotWithShape="1">
            <a:blip xmlns:r="http://schemas.openxmlformats.org/officeDocument/2006/relationships" r:embed="rId3"/>
            <a:srcRect l="1933" r="3398" b="1428"/>
            <a:stretch>
              <a:fillRect/>
            </a:stretch>
          </xdr:blipFill>
          <xdr:spPr bwMode="auto">
            <a:xfrm>
              <a:off x="8411882" y="1252642"/>
              <a:ext cx="9211235" cy="5119771"/>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23</xdr:col>
      <xdr:colOff>200592</xdr:colOff>
      <xdr:row>11</xdr:row>
      <xdr:rowOff>161472</xdr:rowOff>
    </xdr:from>
    <xdr:to>
      <xdr:col>24</xdr:col>
      <xdr:colOff>79535</xdr:colOff>
      <xdr:row>12</xdr:row>
      <xdr:rowOff>161833</xdr:rowOff>
    </xdr:to>
    <xdr:sp macro="" textlink="'Variable Mgmt'!B245">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5213806" y="2746829"/>
          <a:ext cx="523015" cy="199933"/>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900" b="0" i="0" u="none" strike="noStrike" baseline="0">
              <a:solidFill>
                <a:srgbClr val="000000"/>
              </a:solidFill>
              <a:latin typeface="Arial" pitchFamily="34" charset="0"/>
              <a:cs typeface="Arial" pitchFamily="34" charset="0"/>
            </a:rPr>
            <a:pPr algn="l" rtl="0">
              <a:defRPr sz="1000"/>
            </a:pPr>
            <a:t>110µF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20</xdr:col>
      <xdr:colOff>38775</xdr:colOff>
      <xdr:row>9</xdr:row>
      <xdr:rowOff>126072</xdr:rowOff>
    </xdr:from>
    <xdr:to>
      <xdr:col>20</xdr:col>
      <xdr:colOff>522128</xdr:colOff>
      <xdr:row>10</xdr:row>
      <xdr:rowOff>174517</xdr:rowOff>
    </xdr:to>
    <xdr:sp macro="" textlink="'Variable Mgmt'!B231">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3119775" y="2312286"/>
          <a:ext cx="483353" cy="248017"/>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900" b="0" i="0" u="none" strike="noStrike" baseline="0">
              <a:solidFill>
                <a:srgbClr val="000000"/>
              </a:solidFill>
              <a:latin typeface="Arial" pitchFamily="34" charset="0"/>
              <a:cs typeface="Arial" pitchFamily="34" charset="0"/>
            </a:rPr>
            <a:pPr algn="ctr" rtl="0">
              <a:defRPr sz="1000"/>
            </a:pPr>
            <a:t>12µH</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14</xdr:col>
      <xdr:colOff>58386</xdr:colOff>
      <xdr:row>11</xdr:row>
      <xdr:rowOff>73571</xdr:rowOff>
    </xdr:from>
    <xdr:to>
      <xdr:col>14</xdr:col>
      <xdr:colOff>563514</xdr:colOff>
      <xdr:row>12</xdr:row>
      <xdr:rowOff>64813</xdr:rowOff>
    </xdr:to>
    <xdr:sp macro="" textlink="'Variable Mgmt'!B250">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9030029" y="2658928"/>
          <a:ext cx="505128" cy="190814"/>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900" b="0" i="0" u="none" strike="noStrike" baseline="0">
              <a:solidFill>
                <a:srgbClr val="000000"/>
              </a:solidFill>
              <a:latin typeface="Arial" pitchFamily="34" charset="0"/>
              <a:cs typeface="Arial" pitchFamily="34" charset="0"/>
            </a:rPr>
            <a:pPr algn="ctr" rtl="0">
              <a:defRPr sz="1000"/>
            </a:pPr>
            <a:t>22µF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16</xdr:col>
      <xdr:colOff>4505</xdr:colOff>
      <xdr:row>15</xdr:row>
      <xdr:rowOff>73956</xdr:rowOff>
    </xdr:from>
    <xdr:to>
      <xdr:col>16</xdr:col>
      <xdr:colOff>479770</xdr:colOff>
      <xdr:row>16</xdr:row>
      <xdr:rowOff>161173</xdr:rowOff>
    </xdr:to>
    <xdr:sp macro="" textlink="'Variable Mgmt'!D277">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10327791" y="3457599"/>
          <a:ext cx="475265" cy="286788"/>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1100" b="0" i="0" u="none" strike="noStrike">
              <a:solidFill>
                <a:srgbClr val="000000"/>
              </a:solidFill>
              <a:latin typeface="Arial"/>
              <a:cs typeface="Arial"/>
            </a:rPr>
            <a:pPr algn="ctr"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14</xdr:col>
      <xdr:colOff>118515</xdr:colOff>
      <xdr:row>5</xdr:row>
      <xdr:rowOff>122966</xdr:rowOff>
    </xdr:from>
    <xdr:to>
      <xdr:col>14</xdr:col>
      <xdr:colOff>612589</xdr:colOff>
      <xdr:row>8</xdr:row>
      <xdr:rowOff>13369</xdr:rowOff>
    </xdr:to>
    <xdr:sp macro="" textlink="'Variable Mgmt'!B237">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627515" y="1527437"/>
          <a:ext cx="494074" cy="45816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24V</a:t>
          </a:fld>
          <a:endParaRPr lang="en-US" sz="1400" b="1" i="0" strike="noStrike">
            <a:solidFill>
              <a:srgbClr val="FF0000"/>
            </a:solidFill>
            <a:latin typeface="Arial" pitchFamily="34" charset="0"/>
            <a:cs typeface="Arial" pitchFamily="34" charset="0"/>
          </a:endParaRPr>
        </a:p>
      </xdr:txBody>
    </xdr:sp>
    <xdr:clientData/>
  </xdr:twoCellAnchor>
  <xdr:twoCellAnchor>
    <xdr:from>
      <xdr:col>25</xdr:col>
      <xdr:colOff>1019168</xdr:colOff>
      <xdr:row>5</xdr:row>
      <xdr:rowOff>164211</xdr:rowOff>
    </xdr:from>
    <xdr:to>
      <xdr:col>25</xdr:col>
      <xdr:colOff>1685561</xdr:colOff>
      <xdr:row>7</xdr:row>
      <xdr:rowOff>133014</xdr:rowOff>
    </xdr:to>
    <xdr:sp macro="" textlink="'Variable Mgmt'!B240">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6535255" y="1561211"/>
          <a:ext cx="666393" cy="355325"/>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16.4V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25</xdr:col>
      <xdr:colOff>927554</xdr:colOff>
      <xdr:row>6</xdr:row>
      <xdr:rowOff>179163</xdr:rowOff>
    </xdr:from>
    <xdr:to>
      <xdr:col>25</xdr:col>
      <xdr:colOff>1476828</xdr:colOff>
      <xdr:row>8</xdr:row>
      <xdr:rowOff>112096</xdr:rowOff>
    </xdr:to>
    <xdr:sp macro="" textlink="'Variable Mgmt'!B295">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6443641" y="1780467"/>
          <a:ext cx="549274" cy="31945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350" b="1" i="0" u="none" strike="noStrike">
              <a:solidFill>
                <a:srgbClr val="FF0000"/>
              </a:solidFill>
              <a:latin typeface="Arial" pitchFamily="34" charset="0"/>
              <a:cs typeface="Arial" pitchFamily="34" charset="0"/>
            </a:rPr>
            <a:pPr algn="ctr" rtl="0">
              <a:defRPr sz="1000"/>
            </a:pPr>
            <a:t>1A</a:t>
          </a:fld>
          <a:endParaRPr lang="en-US" sz="135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127000</xdr:colOff>
          <xdr:row>6</xdr:row>
          <xdr:rowOff>12700</xdr:rowOff>
        </xdr:from>
        <xdr:to>
          <xdr:col>5</xdr:col>
          <xdr:colOff>304800</xdr:colOff>
          <xdr:row>7</xdr:row>
          <xdr:rowOff>31750</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214803</xdr:colOff>
      <xdr:row>11</xdr:row>
      <xdr:rowOff>121721</xdr:rowOff>
    </xdr:from>
    <xdr:to>
      <xdr:col>17</xdr:col>
      <xdr:colOff>63226</xdr:colOff>
      <xdr:row>12</xdr:row>
      <xdr:rowOff>163885</xdr:rowOff>
    </xdr:to>
    <xdr:sp macro="" textlink="'Variable Mgmt'!C269">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10538089" y="2707078"/>
          <a:ext cx="555994" cy="241736"/>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900" b="0" i="0" u="none" strike="noStrike">
              <a:solidFill>
                <a:srgbClr val="000000"/>
              </a:solidFill>
              <a:latin typeface="Arial"/>
              <a:cs typeface="Arial"/>
            </a:rPr>
            <a:pPr algn="l" rtl="0">
              <a:defRPr sz="1000"/>
            </a:pPr>
            <a:t>36.5kΩ</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228490</xdr:colOff>
      <xdr:row>15</xdr:row>
      <xdr:rowOff>49885</xdr:rowOff>
    </xdr:from>
    <xdr:to>
      <xdr:col>16</xdr:col>
      <xdr:colOff>76913</xdr:colOff>
      <xdr:row>16</xdr:row>
      <xdr:rowOff>157389</xdr:rowOff>
    </xdr:to>
    <xdr:sp macro="" textlink="'Variable Mgmt'!C270">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844204" y="3433528"/>
          <a:ext cx="555995" cy="307075"/>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900" b="0" i="0" u="none" strike="noStrike">
              <a:solidFill>
                <a:srgbClr val="000000"/>
              </a:solidFill>
              <a:latin typeface="Arial"/>
              <a:cs typeface="Arial"/>
            </a:rPr>
            <a:pPr algn="l" rtl="0">
              <a:defRPr sz="1000"/>
            </a:pPr>
            <a:t>6.81kΩ</a:t>
          </a:fld>
          <a:endParaRPr lang="el-GR" sz="900" b="0" i="0" strike="noStrike">
            <a:solidFill>
              <a:srgbClr val="000000"/>
            </a:solidFill>
            <a:latin typeface="Arial" pitchFamily="34" charset="0"/>
            <a:cs typeface="Arial" pitchFamily="34" charset="0"/>
          </a:endParaRPr>
        </a:p>
      </xdr:txBody>
    </xdr:sp>
    <xdr:clientData/>
  </xdr:twoCellAnchor>
  <xdr:twoCellAnchor>
    <xdr:from>
      <xdr:col>18</xdr:col>
      <xdr:colOff>676778</xdr:colOff>
      <xdr:row>16</xdr:row>
      <xdr:rowOff>6934</xdr:rowOff>
    </xdr:from>
    <xdr:to>
      <xdr:col>19</xdr:col>
      <xdr:colOff>538343</xdr:colOff>
      <xdr:row>17</xdr:row>
      <xdr:rowOff>35167</xdr:rowOff>
    </xdr:to>
    <xdr:sp macro="" textlink="'Variable Mgmt'!C259">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2415207" y="3590148"/>
          <a:ext cx="560065" cy="22780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900" b="0" i="0" u="none" strike="noStrike">
              <a:solidFill>
                <a:srgbClr val="000000"/>
              </a:solidFill>
              <a:latin typeface="Arial"/>
              <a:cs typeface="Arial"/>
            </a:rPr>
            <a:pPr algn="l" rtl="0">
              <a:defRPr sz="1000"/>
            </a:pPr>
            <a:t>168kΩ</a:t>
          </a:fld>
          <a:endParaRPr lang="el-GR" sz="1200" b="0" i="0" strike="noStrike">
            <a:solidFill>
              <a:srgbClr val="000000"/>
            </a:solidFill>
            <a:latin typeface="Arial" pitchFamily="34" charset="0"/>
            <a:cs typeface="Arial" pitchFamily="34" charset="0"/>
          </a:endParaRPr>
        </a:p>
      </xdr:txBody>
    </xdr:sp>
    <xdr:clientData/>
  </xdr:twoCellAnchor>
  <xdr:twoCellAnchor>
    <xdr:from>
      <xdr:col>15</xdr:col>
      <xdr:colOff>515590</xdr:colOff>
      <xdr:row>17</xdr:row>
      <xdr:rowOff>132012</xdr:rowOff>
    </xdr:from>
    <xdr:to>
      <xdr:col>16</xdr:col>
      <xdr:colOff>343366</xdr:colOff>
      <xdr:row>18</xdr:row>
      <xdr:rowOff>143932</xdr:rowOff>
    </xdr:to>
    <xdr:sp macro="" textlink="'Variable Mgmt'!C273">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0131304" y="3914798"/>
          <a:ext cx="535348" cy="211491"/>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900" b="0" i="0" u="none" strike="noStrike" baseline="0">
              <a:solidFill>
                <a:srgbClr val="000000"/>
              </a:solidFill>
              <a:latin typeface="Arial"/>
              <a:cs typeface="Arial"/>
            </a:rPr>
            <a:pPr algn="l" rtl="0">
              <a:defRPr sz="1000"/>
            </a:pPr>
            <a:t>10kΩ</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14</xdr:col>
      <xdr:colOff>105150</xdr:colOff>
      <xdr:row>7</xdr:row>
      <xdr:rowOff>58997</xdr:rowOff>
    </xdr:from>
    <xdr:to>
      <xdr:col>15</xdr:col>
      <xdr:colOff>312085</xdr:colOff>
      <xdr:row>8</xdr:row>
      <xdr:rowOff>144859</xdr:rowOff>
    </xdr:to>
    <xdr:sp macro="" textlink="'Variable Mgmt'!B238">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614150" y="1836997"/>
          <a:ext cx="849406" cy="280097"/>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200" b="1" i="0" u="none" strike="noStrike">
              <a:solidFill>
                <a:srgbClr val="000000"/>
              </a:solidFill>
              <a:latin typeface="Arial"/>
              <a:cs typeface="Arial"/>
            </a:rPr>
            <a:pPr algn="l" rtl="0">
              <a:defRPr sz="1000"/>
            </a:pPr>
            <a:t>10V...36V</a:t>
          </a:fld>
          <a:endParaRPr lang="en-US" sz="120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40</xdr:row>
          <xdr:rowOff>0</xdr:rowOff>
        </xdr:from>
        <xdr:to>
          <xdr:col>5</xdr:col>
          <xdr:colOff>279400</xdr:colOff>
          <xdr:row>41</xdr:row>
          <xdr:rowOff>31750</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132617</xdr:colOff>
      <xdr:row>19</xdr:row>
      <xdr:rowOff>226786</xdr:rowOff>
    </xdr:from>
    <xdr:to>
      <xdr:col>16</xdr:col>
      <xdr:colOff>679506</xdr:colOff>
      <xdr:row>20</xdr:row>
      <xdr:rowOff>138885</xdr:rowOff>
    </xdr:to>
    <xdr:sp macro="" textlink="'Variable Mgmt'!B265">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0455903" y="4454072"/>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900" b="0" i="0" u="none" strike="noStrike">
              <a:solidFill>
                <a:srgbClr val="000000"/>
              </a:solidFill>
              <a:latin typeface="Arial"/>
              <a:cs typeface="Arial"/>
            </a:rPr>
            <a:pPr algn="l" rtl="0">
              <a:defRPr sz="1000"/>
            </a:pPr>
            <a:t> </a:t>
          </a:fld>
          <a:endParaRPr lang="el-GR" sz="9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46</xdr:row>
          <xdr:rowOff>0</xdr:rowOff>
        </xdr:from>
        <xdr:to>
          <xdr:col>5</xdr:col>
          <xdr:colOff>260350</xdr:colOff>
          <xdr:row>46</xdr:row>
          <xdr:rowOff>203200</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78143</xdr:colOff>
      <xdr:row>0</xdr:row>
      <xdr:rowOff>32845</xdr:rowOff>
    </xdr:from>
    <xdr:to>
      <xdr:col>3</xdr:col>
      <xdr:colOff>357789</xdr:colOff>
      <xdr:row>0</xdr:row>
      <xdr:rowOff>571501</xdr:rowOff>
    </xdr:to>
    <xdr:pic macro="[0]!OpenLM27403ProductFolder">
      <xdr:nvPicPr>
        <xdr:cNvPr id="4" name="Picture 3">
          <a:hlinkClick xmlns:r="http://schemas.openxmlformats.org/officeDocument/2006/relationships" r:id="rId4"/>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6"/>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548543</xdr:colOff>
      <xdr:row>3</xdr:row>
      <xdr:rowOff>130483</xdr:rowOff>
    </xdr:to>
    <xdr:pic macro="[0]!OpenLM27403ProductFolder">
      <xdr:nvPicPr>
        <xdr:cNvPr id="54" name="Picture 53">
          <a:hlinkClick xmlns:r="http://schemas.openxmlformats.org/officeDocument/2006/relationships" r:id="rId8"/>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12</xdr:row>
          <xdr:rowOff>0</xdr:rowOff>
        </xdr:from>
        <xdr:to>
          <xdr:col>12</xdr:col>
          <xdr:colOff>69850</xdr:colOff>
          <xdr:row>13</xdr:row>
          <xdr:rowOff>6350</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12700</xdr:rowOff>
        </xdr:from>
        <xdr:to>
          <xdr:col>5</xdr:col>
          <xdr:colOff>266700</xdr:colOff>
          <xdr:row>44</xdr:row>
          <xdr:rowOff>12700</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20</xdr:col>
      <xdr:colOff>109162</xdr:colOff>
      <xdr:row>6</xdr:row>
      <xdr:rowOff>19381</xdr:rowOff>
    </xdr:from>
    <xdr:to>
      <xdr:col>21</xdr:col>
      <xdr:colOff>494998</xdr:colOff>
      <xdr:row>7</xdr:row>
      <xdr:rowOff>91622</xdr:rowOff>
    </xdr:to>
    <xdr:sp macro="" textlink="'Variable Mgmt'!B233">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3190162" y="1625024"/>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1000" b="0" i="0" u="none" strike="noStrike" baseline="0">
              <a:solidFill>
                <a:srgbClr val="000000"/>
              </a:solidFill>
              <a:latin typeface="Arial"/>
              <a:cs typeface="Arial"/>
            </a:rPr>
            <a:pPr algn="ctr" rtl="0">
              <a:defRPr sz="1000"/>
            </a:pPr>
            <a:t>1 : 1</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25</xdr:col>
      <xdr:colOff>750794</xdr:colOff>
      <xdr:row>41</xdr:row>
      <xdr:rowOff>69135</xdr:rowOff>
    </xdr:from>
    <xdr:to>
      <xdr:col>25</xdr:col>
      <xdr:colOff>1228557</xdr:colOff>
      <xdr:row>42</xdr:row>
      <xdr:rowOff>146830</xdr:rowOff>
    </xdr:to>
    <xdr:sp macro="" textlink="'Variable Mgmt'!$B$286">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588441" y="9003959"/>
          <a:ext cx="477763" cy="286871"/>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89.8%</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25</xdr:col>
      <xdr:colOff>1096216</xdr:colOff>
      <xdr:row>18</xdr:row>
      <xdr:rowOff>128280</xdr:rowOff>
    </xdr:from>
    <xdr:to>
      <xdr:col>25</xdr:col>
      <xdr:colOff>1759040</xdr:colOff>
      <xdr:row>19</xdr:row>
      <xdr:rowOff>0</xdr:rowOff>
    </xdr:to>
    <xdr:sp macro="" textlink="'Variable Mgmt'!B241">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6612303" y="3341932"/>
          <a:ext cx="662824" cy="349094"/>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869431</xdr:colOff>
      <xdr:row>18</xdr:row>
      <xdr:rowOff>185393</xdr:rowOff>
    </xdr:from>
    <xdr:to>
      <xdr:col>25</xdr:col>
      <xdr:colOff>1616761</xdr:colOff>
      <xdr:row>20</xdr:row>
      <xdr:rowOff>58673</xdr:rowOff>
    </xdr:to>
    <xdr:sp macro="" textlink="'Variable Mgmt'!B296">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6385518" y="3399045"/>
          <a:ext cx="747330" cy="61871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25</xdr:col>
      <xdr:colOff>1022875</xdr:colOff>
      <xdr:row>16</xdr:row>
      <xdr:rowOff>158113</xdr:rowOff>
    </xdr:from>
    <xdr:to>
      <xdr:col>25</xdr:col>
      <xdr:colOff>1685699</xdr:colOff>
      <xdr:row>19</xdr:row>
      <xdr:rowOff>102504</xdr:rowOff>
    </xdr:to>
    <xdr:sp macro="" textlink="'Variable Mgmt'!B242">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7324232" y="3741327"/>
          <a:ext cx="662824" cy="83339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772742</xdr:colOff>
      <xdr:row>19</xdr:row>
      <xdr:rowOff>0</xdr:rowOff>
    </xdr:from>
    <xdr:to>
      <xdr:col>25</xdr:col>
      <xdr:colOff>1516897</xdr:colOff>
      <xdr:row>19</xdr:row>
      <xdr:rowOff>208643</xdr:rowOff>
    </xdr:to>
    <xdr:sp macro="" textlink="'Variable Mgmt'!B297">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7074099" y="4227286"/>
          <a:ext cx="744155" cy="20864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23</xdr:col>
      <xdr:colOff>150700</xdr:colOff>
      <xdr:row>15</xdr:row>
      <xdr:rowOff>151932</xdr:rowOff>
    </xdr:from>
    <xdr:to>
      <xdr:col>24</xdr:col>
      <xdr:colOff>34178</xdr:colOff>
      <xdr:row>17</xdr:row>
      <xdr:rowOff>126999</xdr:rowOff>
    </xdr:to>
    <xdr:sp macro="" textlink="'Variable Mgmt'!D245">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5163914" y="3535575"/>
          <a:ext cx="527550" cy="374210"/>
        </a:xfrm>
        <a:prstGeom prst="rect">
          <a:avLst/>
        </a:prstGeom>
        <a:noFill/>
        <a:ln w="9525">
          <a:noFill/>
          <a:miter lim="800000"/>
          <a:headEnd/>
          <a:tailEnd/>
        </a:ln>
      </xdr:spPr>
      <xdr:txBody>
        <a:bodyPr vertOverflow="clip" wrap="square" lIns="27432" tIns="22860" rIns="0" bIns="0" anchor="ctr" upright="1"/>
        <a:lstStyle/>
        <a:p>
          <a:pPr algn="l" rtl="0">
            <a:defRPr sz="1000"/>
          </a:pPr>
          <a:fld id="{A5CD353A-83F6-408F-8104-9228EF111F31}" type="TxLink">
            <a:rPr lang="en-US" sz="1000" b="0" i="0" u="none" strike="noStrike" baseline="0">
              <a:solidFill>
                <a:srgbClr val="000000"/>
              </a:solidFill>
              <a:latin typeface="Arial"/>
              <a:cs typeface="Arial"/>
            </a:rPr>
            <a:pPr algn="l" rtl="0">
              <a:defRPr sz="1000"/>
            </a:pPr>
            <a:t> </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23</xdr:col>
      <xdr:colOff>159771</xdr:colOff>
      <xdr:row>19</xdr:row>
      <xdr:rowOff>90714</xdr:rowOff>
    </xdr:from>
    <xdr:to>
      <xdr:col>24</xdr:col>
      <xdr:colOff>43249</xdr:colOff>
      <xdr:row>20</xdr:row>
      <xdr:rowOff>0</xdr:rowOff>
    </xdr:to>
    <xdr:sp macro="" textlink="'Variable Mgmt'!C245">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5172985" y="4318000"/>
          <a:ext cx="527550" cy="154214"/>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900" b="0" i="0" u="none" strike="noStrike" baseline="0">
              <a:solidFill>
                <a:srgbClr val="000000"/>
              </a:solidFill>
              <a:latin typeface="Arial"/>
              <a:cs typeface="Arial"/>
            </a:rPr>
            <a:pPr algn="l" rtl="0">
              <a:defRPr sz="1000"/>
            </a:pPr>
            <a:t> </a:t>
          </a:fld>
          <a:endParaRPr lang="en-US" sz="9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14079</xdr:colOff>
          <xdr:row>37</xdr:row>
          <xdr:rowOff>17405</xdr:rowOff>
        </xdr:from>
        <xdr:to>
          <xdr:col>17</xdr:col>
          <xdr:colOff>298824</xdr:colOff>
          <xdr:row>60</xdr:row>
          <xdr:rowOff>124425</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89900"/>
                </a:ext>
              </a:extLst>
            </xdr:cNvPicPr>
          </xdr:nvPicPr>
          <xdr:blipFill rotWithShape="1">
            <a:blip xmlns:r="http://schemas.openxmlformats.org/officeDocument/2006/relationships" r:embed="rId10"/>
            <a:srcRect r="5700"/>
            <a:stretch>
              <a:fillRect/>
            </a:stretch>
          </xdr:blipFill>
          <xdr:spPr bwMode="auto">
            <a:xfrm>
              <a:off x="4249903" y="8137934"/>
              <a:ext cx="6619803" cy="4073903"/>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23</xdr:col>
          <xdr:colOff>127000</xdr:colOff>
          <xdr:row>62</xdr:row>
          <xdr:rowOff>12700</xdr:rowOff>
        </xdr:from>
        <xdr:to>
          <xdr:col>23</xdr:col>
          <xdr:colOff>304800</xdr:colOff>
          <xdr:row>63</xdr:row>
          <xdr:rowOff>31750</xdr:rowOff>
        </xdr:to>
        <xdr:sp macro="" textlink="">
          <xdr:nvSpPr>
            <xdr:cNvPr id="751280" name="Spinner 5808" hidden="1">
              <a:extLst>
                <a:ext uri="{63B3BB69-23CF-44E3-9099-C40C66FF867C}">
                  <a14:compatExt spid="_x0000_s751280"/>
                </a:ext>
                <a:ext uri="{FF2B5EF4-FFF2-40B4-BE49-F238E27FC236}">
                  <a16:creationId xmlns:a16="http://schemas.microsoft.com/office/drawing/2014/main" id="{00000000-0008-0000-0000-0000B0760B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60092</xdr:colOff>
      <xdr:row>21</xdr:row>
      <xdr:rowOff>200356</xdr:rowOff>
    </xdr:from>
    <xdr:to>
      <xdr:col>16</xdr:col>
      <xdr:colOff>606981</xdr:colOff>
      <xdr:row>22</xdr:row>
      <xdr:rowOff>185304</xdr:rowOff>
    </xdr:to>
    <xdr:sp macro="" textlink="'Variable Mgmt'!D309">
      <xdr:nvSpPr>
        <xdr:cNvPr id="40" name="Text Box 268">
          <a:extLst>
            <a:ext uri="{FF2B5EF4-FFF2-40B4-BE49-F238E27FC236}">
              <a16:creationId xmlns:a16="http://schemas.microsoft.com/office/drawing/2014/main" id="{00000000-0008-0000-0000-000028000000}"/>
            </a:ext>
          </a:extLst>
        </xdr:cNvPr>
        <xdr:cNvSpPr txBox="1">
          <a:spLocks noChangeArrowheads="1" noTextEdit="1"/>
        </xdr:cNvSpPr>
      </xdr:nvSpPr>
      <xdr:spPr bwMode="auto">
        <a:xfrm>
          <a:off x="10383378" y="4917499"/>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1000" b="0" i="0" u="none" strike="noStrike">
              <a:solidFill>
                <a:srgbClr val="000000"/>
              </a:solidFill>
              <a:latin typeface="Arial"/>
              <a:cs typeface="Arial"/>
            </a:rPr>
            <a:pPr algn="l" rtl="0">
              <a:defRPr sz="1000"/>
            </a:pPr>
            <a:t>12kΩ</a:t>
          </a:fld>
          <a:endParaRPr lang="el-GR" sz="900" b="0" i="0" strike="noStrike">
            <a:solidFill>
              <a:srgbClr val="000000"/>
            </a:solidFill>
            <a:latin typeface="Arial" pitchFamily="34" charset="0"/>
            <a:cs typeface="Arial" pitchFamily="34" charset="0"/>
          </a:endParaRPr>
        </a:p>
      </xdr:txBody>
    </xdr:sp>
    <xdr:clientData/>
  </xdr:twoCellAnchor>
  <xdr:twoCellAnchor>
    <xdr:from>
      <xdr:col>14</xdr:col>
      <xdr:colOff>622519</xdr:colOff>
      <xdr:row>24</xdr:row>
      <xdr:rowOff>55212</xdr:rowOff>
    </xdr:from>
    <xdr:to>
      <xdr:col>15</xdr:col>
      <xdr:colOff>525337</xdr:colOff>
      <xdr:row>25</xdr:row>
      <xdr:rowOff>40160</xdr:rowOff>
    </xdr:to>
    <xdr:sp macro="" textlink="'Variable Mgmt'!D310">
      <xdr:nvSpPr>
        <xdr:cNvPr id="41" name="Text Box 268">
          <a:extLst>
            <a:ext uri="{FF2B5EF4-FFF2-40B4-BE49-F238E27FC236}">
              <a16:creationId xmlns:a16="http://schemas.microsoft.com/office/drawing/2014/main" id="{00000000-0008-0000-0000-000029000000}"/>
            </a:ext>
          </a:extLst>
        </xdr:cNvPr>
        <xdr:cNvSpPr txBox="1">
          <a:spLocks noChangeArrowheads="1" noTextEdit="1"/>
        </xdr:cNvSpPr>
      </xdr:nvSpPr>
      <xdr:spPr bwMode="auto">
        <a:xfrm>
          <a:off x="9594162" y="5507141"/>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1000" b="0" i="0" u="none" strike="noStrike">
              <a:solidFill>
                <a:srgbClr val="000000"/>
              </a:solidFill>
              <a:latin typeface="Arial"/>
              <a:cs typeface="Arial"/>
            </a:rPr>
            <a:pPr algn="l" rtl="0">
              <a:defRPr sz="1000"/>
            </a:pPr>
            <a:t>22nF</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568093</xdr:colOff>
      <xdr:row>24</xdr:row>
      <xdr:rowOff>136854</xdr:rowOff>
    </xdr:from>
    <xdr:to>
      <xdr:col>16</xdr:col>
      <xdr:colOff>407410</xdr:colOff>
      <xdr:row>25</xdr:row>
      <xdr:rowOff>121802</xdr:rowOff>
    </xdr:to>
    <xdr:sp macro="" textlink="'Variable Mgmt'!D311">
      <xdr:nvSpPr>
        <xdr:cNvPr id="43" name="Text Box 268">
          <a:extLst>
            <a:ext uri="{FF2B5EF4-FFF2-40B4-BE49-F238E27FC236}">
              <a16:creationId xmlns:a16="http://schemas.microsoft.com/office/drawing/2014/main" id="{00000000-0008-0000-0000-00002B000000}"/>
            </a:ext>
          </a:extLst>
        </xdr:cNvPr>
        <xdr:cNvSpPr txBox="1">
          <a:spLocks noChangeArrowheads="1" noTextEdit="1"/>
        </xdr:cNvSpPr>
      </xdr:nvSpPr>
      <xdr:spPr bwMode="auto">
        <a:xfrm>
          <a:off x="10183807" y="5588783"/>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1000" b="0" i="0" u="none" strike="noStrike">
              <a:solidFill>
                <a:srgbClr val="000000"/>
              </a:solidFill>
              <a:latin typeface="Arial"/>
              <a:cs typeface="Arial"/>
            </a:rPr>
            <a:pPr algn="l" rtl="0">
              <a:defRPr sz="1000"/>
            </a:pPr>
            <a:t>100pF</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226786</xdr:colOff>
      <xdr:row>24</xdr:row>
      <xdr:rowOff>181428</xdr:rowOff>
    </xdr:from>
    <xdr:to>
      <xdr:col>20</xdr:col>
      <xdr:colOff>129604</xdr:colOff>
      <xdr:row>25</xdr:row>
      <xdr:rowOff>93527</xdr:rowOff>
    </xdr:to>
    <xdr:sp macro="" textlink="'Variable Mgmt'!D314">
      <xdr:nvSpPr>
        <xdr:cNvPr id="48" name="Text Box 268">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12663715"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1000" b="0" i="0" u="none" strike="noStrike">
              <a:solidFill>
                <a:srgbClr val="000000"/>
              </a:solidFill>
              <a:latin typeface="Arial"/>
              <a:cs typeface="Arial"/>
            </a:rPr>
            <a:pPr algn="l" rtl="0">
              <a:defRPr sz="1000"/>
            </a:pPr>
            <a:t>100pF</a:t>
          </a:fld>
          <a:endParaRPr lang="el-GR" sz="900" b="0" i="0" strike="noStrike">
            <a:solidFill>
              <a:srgbClr val="000000"/>
            </a:solidFill>
            <a:latin typeface="Arial" pitchFamily="34" charset="0"/>
            <a:cs typeface="Arial" pitchFamily="34" charset="0"/>
          </a:endParaRPr>
        </a:p>
      </xdr:txBody>
    </xdr:sp>
    <xdr:clientData/>
  </xdr:twoCellAnchor>
  <xdr:twoCellAnchor>
    <xdr:from>
      <xdr:col>20</xdr:col>
      <xdr:colOff>517071</xdr:colOff>
      <xdr:row>24</xdr:row>
      <xdr:rowOff>181428</xdr:rowOff>
    </xdr:from>
    <xdr:to>
      <xdr:col>21</xdr:col>
      <xdr:colOff>419889</xdr:colOff>
      <xdr:row>25</xdr:row>
      <xdr:rowOff>93527</xdr:rowOff>
    </xdr:to>
    <xdr:sp macro="" textlink="'Variable Mgmt'!D313">
      <xdr:nvSpPr>
        <xdr:cNvPr id="50" name="Text Box 268">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13598071"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1000" b="0" i="0" u="none" strike="noStrike">
              <a:solidFill>
                <a:srgbClr val="000000"/>
              </a:solidFill>
              <a:latin typeface="Arial"/>
              <a:cs typeface="Arial"/>
            </a:rPr>
            <a:pPr algn="l" rtl="0">
              <a:defRPr sz="1000"/>
            </a:pPr>
            <a:t>15mΩ</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553356</xdr:colOff>
      <xdr:row>21</xdr:row>
      <xdr:rowOff>154214</xdr:rowOff>
    </xdr:from>
    <xdr:to>
      <xdr:col>20</xdr:col>
      <xdr:colOff>456174</xdr:colOff>
      <xdr:row>22</xdr:row>
      <xdr:rowOff>66313</xdr:rowOff>
    </xdr:to>
    <xdr:sp macro="" textlink="'Variable Mgmt'!D315">
      <xdr:nvSpPr>
        <xdr:cNvPr id="52" name="Text Box 268">
          <a:extLst>
            <a:ext uri="{FF2B5EF4-FFF2-40B4-BE49-F238E27FC236}">
              <a16:creationId xmlns:a16="http://schemas.microsoft.com/office/drawing/2014/main" id="{00000000-0008-0000-0000-000034000000}"/>
            </a:ext>
          </a:extLst>
        </xdr:cNvPr>
        <xdr:cNvSpPr txBox="1">
          <a:spLocks noChangeArrowheads="1" noTextEdit="1"/>
        </xdr:cNvSpPr>
      </xdr:nvSpPr>
      <xdr:spPr bwMode="auto">
        <a:xfrm>
          <a:off x="12990285" y="4871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1000" b="0" i="0" u="none" strike="noStrike">
              <a:solidFill>
                <a:srgbClr val="000000"/>
              </a:solidFill>
              <a:latin typeface="Arial"/>
              <a:cs typeface="Arial"/>
            </a:rPr>
            <a:pPr algn="l" rtl="0">
              <a:defRPr sz="1000"/>
            </a:pPr>
            <a:t>100Ω</a:t>
          </a:fld>
          <a:endParaRPr lang="el-GR" sz="9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581025</xdr:colOff>
      <xdr:row>7</xdr:row>
      <xdr:rowOff>47625</xdr:rowOff>
    </xdr:from>
    <xdr:to>
      <xdr:col>10</xdr:col>
      <xdr:colOff>539612</xdr:colOff>
      <xdr:row>62</xdr:row>
      <xdr:rowOff>153585</xdr:rowOff>
    </xdr:to>
    <xdr:grpSp>
      <xdr:nvGrpSpPr>
        <xdr:cNvPr id="4" name="Group 3">
          <a:extLst>
            <a:ext uri="{FF2B5EF4-FFF2-40B4-BE49-F238E27FC236}">
              <a16:creationId xmlns:a16="http://schemas.microsoft.com/office/drawing/2014/main" id="{00000000-0008-0000-0800-000004000000}"/>
            </a:ext>
          </a:extLst>
        </xdr:cNvPr>
        <xdr:cNvGrpSpPr/>
      </xdr:nvGrpSpPr>
      <xdr:grpSpPr>
        <a:xfrm>
          <a:off x="581025" y="1692275"/>
          <a:ext cx="6372087" cy="8837210"/>
          <a:chOff x="563217" y="1684406"/>
          <a:chExt cx="6372087" cy="8837210"/>
        </a:xfrm>
      </xdr:grpSpPr>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87784" y="1684406"/>
            <a:ext cx="6343059" cy="4223855"/>
          </a:xfrm>
          <a:prstGeom prst="rect">
            <a:avLst/>
          </a:prstGeom>
        </xdr:spPr>
      </xdr:pic>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flipH="1">
            <a:off x="563217" y="6333434"/>
            <a:ext cx="6372087" cy="4188182"/>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86">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89.8%</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86">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89.8%</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84684"/>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85707"/>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4404300" y="65084325"/>
          <a:ext cx="0" cy="434022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-1</xdr:colOff>
      <xdr:row>6</xdr:row>
      <xdr:rowOff>20481</xdr:rowOff>
    </xdr:from>
    <xdr:to>
      <xdr:col>4</xdr:col>
      <xdr:colOff>8229599</xdr:colOff>
      <xdr:row>6</xdr:row>
      <xdr:rowOff>4460244</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0363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6</xdr:row>
      <xdr:rowOff>20481</xdr:rowOff>
    </xdr:from>
    <xdr:to>
      <xdr:col>7</xdr:col>
      <xdr:colOff>8229599</xdr:colOff>
      <xdr:row>6</xdr:row>
      <xdr:rowOff>4460244</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19888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8</xdr:row>
      <xdr:rowOff>23050</xdr:rowOff>
    </xdr:from>
    <xdr:to>
      <xdr:col>1</xdr:col>
      <xdr:colOff>8229599</xdr:colOff>
      <xdr:row>8</xdr:row>
      <xdr:rowOff>4457675</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847724" y="58142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10</xdr:row>
      <xdr:rowOff>23050</xdr:rowOff>
    </xdr:from>
    <xdr:to>
      <xdr:col>1</xdr:col>
      <xdr:colOff>8229599</xdr:colOff>
      <xdr:row>10</xdr:row>
      <xdr:rowOff>4457675</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847724" y="105005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12</xdr:row>
      <xdr:rowOff>21949</xdr:rowOff>
    </xdr:from>
    <xdr:to>
      <xdr:col>1</xdr:col>
      <xdr:colOff>8229599</xdr:colOff>
      <xdr:row>12</xdr:row>
      <xdr:rowOff>4458776</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843642" y="151857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14</xdr:row>
      <xdr:rowOff>21948</xdr:rowOff>
    </xdr:from>
    <xdr:to>
      <xdr:col>1</xdr:col>
      <xdr:colOff>8229599</xdr:colOff>
      <xdr:row>14</xdr:row>
      <xdr:rowOff>4458775</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843642" y="19872048"/>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6</xdr:row>
      <xdr:rowOff>21949</xdr:rowOff>
    </xdr:from>
    <xdr:to>
      <xdr:col>1</xdr:col>
      <xdr:colOff>8229599</xdr:colOff>
      <xdr:row>6</xdr:row>
      <xdr:rowOff>4458776</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843642" y="1050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16</xdr:row>
      <xdr:rowOff>21949</xdr:rowOff>
    </xdr:from>
    <xdr:to>
      <xdr:col>1</xdr:col>
      <xdr:colOff>8229599</xdr:colOff>
      <xdr:row>16</xdr:row>
      <xdr:rowOff>4458776</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843642" y="245583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18</xdr:row>
      <xdr:rowOff>21949</xdr:rowOff>
    </xdr:from>
    <xdr:to>
      <xdr:col>1</xdr:col>
      <xdr:colOff>8229599</xdr:colOff>
      <xdr:row>18</xdr:row>
      <xdr:rowOff>4458776</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843642" y="29244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20</xdr:row>
      <xdr:rowOff>21949</xdr:rowOff>
    </xdr:from>
    <xdr:to>
      <xdr:col>1</xdr:col>
      <xdr:colOff>8229599</xdr:colOff>
      <xdr:row>20</xdr:row>
      <xdr:rowOff>4458776</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843642" y="339690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8</xdr:row>
      <xdr:rowOff>21215</xdr:rowOff>
    </xdr:from>
    <xdr:to>
      <xdr:col>4</xdr:col>
      <xdr:colOff>8229598</xdr:colOff>
      <xdr:row>8</xdr:row>
      <xdr:rowOff>4459511</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0888434" y="5808786"/>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10</xdr:row>
      <xdr:rowOff>21215</xdr:rowOff>
    </xdr:from>
    <xdr:to>
      <xdr:col>4</xdr:col>
      <xdr:colOff>8229598</xdr:colOff>
      <xdr:row>10</xdr:row>
      <xdr:rowOff>4459511</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0877095" y="10498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12</xdr:row>
      <xdr:rowOff>21215</xdr:rowOff>
    </xdr:from>
    <xdr:to>
      <xdr:col>4</xdr:col>
      <xdr:colOff>8229598</xdr:colOff>
      <xdr:row>12</xdr:row>
      <xdr:rowOff>4459511</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0877095" y="15197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14</xdr:row>
      <xdr:rowOff>21215</xdr:rowOff>
    </xdr:from>
    <xdr:to>
      <xdr:col>4</xdr:col>
      <xdr:colOff>8229598</xdr:colOff>
      <xdr:row>14</xdr:row>
      <xdr:rowOff>4459511</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0877095" y="19896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16</xdr:row>
      <xdr:rowOff>21215</xdr:rowOff>
    </xdr:from>
    <xdr:to>
      <xdr:col>4</xdr:col>
      <xdr:colOff>8229599</xdr:colOff>
      <xdr:row>16</xdr:row>
      <xdr:rowOff>4459511</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0365920" y="245576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18</xdr:row>
      <xdr:rowOff>21215</xdr:rowOff>
    </xdr:from>
    <xdr:to>
      <xdr:col>4</xdr:col>
      <xdr:colOff>8229599</xdr:colOff>
      <xdr:row>18</xdr:row>
      <xdr:rowOff>4459511</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0365920" y="292439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20</xdr:row>
      <xdr:rowOff>21215</xdr:rowOff>
    </xdr:from>
    <xdr:to>
      <xdr:col>4</xdr:col>
      <xdr:colOff>8229599</xdr:colOff>
      <xdr:row>20</xdr:row>
      <xdr:rowOff>4459511</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0365920" y="339683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8</xdr:row>
      <xdr:rowOff>20481</xdr:rowOff>
    </xdr:from>
    <xdr:to>
      <xdr:col>7</xdr:col>
      <xdr:colOff>8229599</xdr:colOff>
      <xdr:row>8</xdr:row>
      <xdr:rowOff>4460244</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19888199" y="58116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10</xdr:row>
      <xdr:rowOff>20481</xdr:rowOff>
    </xdr:from>
    <xdr:to>
      <xdr:col>7</xdr:col>
      <xdr:colOff>8229599</xdr:colOff>
      <xdr:row>10</xdr:row>
      <xdr:rowOff>4460244</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19888199" y="104979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12</xdr:row>
      <xdr:rowOff>20481</xdr:rowOff>
    </xdr:from>
    <xdr:to>
      <xdr:col>7</xdr:col>
      <xdr:colOff>8229599</xdr:colOff>
      <xdr:row>12</xdr:row>
      <xdr:rowOff>4460244</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19888199" y="151842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14</xdr:row>
      <xdr:rowOff>20481</xdr:rowOff>
    </xdr:from>
    <xdr:to>
      <xdr:col>7</xdr:col>
      <xdr:colOff>8229599</xdr:colOff>
      <xdr:row>14</xdr:row>
      <xdr:rowOff>4460244</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19888199" y="19870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16</xdr:row>
      <xdr:rowOff>20481</xdr:rowOff>
    </xdr:from>
    <xdr:to>
      <xdr:col>7</xdr:col>
      <xdr:colOff>8229599</xdr:colOff>
      <xdr:row>16</xdr:row>
      <xdr:rowOff>4460244</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19888199" y="245568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18</xdr:row>
      <xdr:rowOff>20481</xdr:rowOff>
    </xdr:from>
    <xdr:to>
      <xdr:col>7</xdr:col>
      <xdr:colOff>8229599</xdr:colOff>
      <xdr:row>18</xdr:row>
      <xdr:rowOff>4460244</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19888199" y="29243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20</xdr:row>
      <xdr:rowOff>20481</xdr:rowOff>
    </xdr:from>
    <xdr:to>
      <xdr:col>7</xdr:col>
      <xdr:colOff>8229599</xdr:colOff>
      <xdr:row>20</xdr:row>
      <xdr:rowOff>4460244</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19888199" y="33967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229322</xdr:colOff>
      <xdr:row>33</xdr:row>
      <xdr:rowOff>37753</xdr:rowOff>
    </xdr:from>
    <xdr:to>
      <xdr:col>16</xdr:col>
      <xdr:colOff>381667</xdr:colOff>
      <xdr:row>61</xdr:row>
      <xdr:rowOff>144929</xdr:rowOff>
    </xdr:to>
    <xdr:graphicFrame macro="">
      <xdr:nvGraphicFramePr>
        <xdr:cNvPr id="2" name="Chart 1029">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127000</xdr:rowOff>
        </xdr:from>
        <xdr:to>
          <xdr:col>1</xdr:col>
          <xdr:colOff>107950</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1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18</xdr:col>
      <xdr:colOff>18143</xdr:colOff>
      <xdr:row>33</xdr:row>
      <xdr:rowOff>18142</xdr:rowOff>
    </xdr:from>
    <xdr:to>
      <xdr:col>26</xdr:col>
      <xdr:colOff>808663</xdr:colOff>
      <xdr:row>61</xdr:row>
      <xdr:rowOff>128493</xdr:rowOff>
    </xdr:to>
    <xdr:graphicFrame macro="">
      <xdr:nvGraphicFramePr>
        <xdr:cNvPr id="4" name="Chart 1029">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184150</xdr:colOff>
          <xdr:row>111</xdr:row>
          <xdr:rowOff>146050</xdr:rowOff>
        </xdr:from>
        <xdr:to>
          <xdr:col>36</xdr:col>
          <xdr:colOff>12700</xdr:colOff>
          <xdr:row>125</xdr:row>
          <xdr:rowOff>146050</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3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88">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80.2%</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88">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80.2%</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171450</xdr:colOff>
      <xdr:row>41</xdr:row>
      <xdr:rowOff>28575</xdr:rowOff>
    </xdr:from>
    <xdr:to>
      <xdr:col>46</xdr:col>
      <xdr:colOff>304800</xdr:colOff>
      <xdr:row>72</xdr:row>
      <xdr:rowOff>30307</xdr:rowOff>
    </xdr:to>
    <xdr:graphicFrame macro="">
      <xdr:nvGraphicFramePr>
        <xdr:cNvPr id="6" name="Chart 253">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90</xdr:col>
      <xdr:colOff>152400</xdr:colOff>
      <xdr:row>9</xdr:row>
      <xdr:rowOff>0</xdr:rowOff>
    </xdr:from>
    <xdr:to>
      <xdr:col>105</xdr:col>
      <xdr:colOff>38100</xdr:colOff>
      <xdr:row>40</xdr:row>
      <xdr:rowOff>1732</xdr:rowOff>
    </xdr:to>
    <xdr:graphicFrame macro="">
      <xdr:nvGraphicFramePr>
        <xdr:cNvPr id="10" name="Chart 253">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90</xdr:col>
      <xdr:colOff>142875</xdr:colOff>
      <xdr:row>40</xdr:row>
      <xdr:rowOff>123825</xdr:rowOff>
    </xdr:from>
    <xdr:to>
      <xdr:col>105</xdr:col>
      <xdr:colOff>19050</xdr:colOff>
      <xdr:row>71</xdr:row>
      <xdr:rowOff>125557</xdr:rowOff>
    </xdr:to>
    <xdr:graphicFrame macro="">
      <xdr:nvGraphicFramePr>
        <xdr:cNvPr id="11" name="Chart 253">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110</xdr:col>
      <xdr:colOff>171450</xdr:colOff>
      <xdr:row>41</xdr:row>
      <xdr:rowOff>28575</xdr:rowOff>
    </xdr:from>
    <xdr:to>
      <xdr:col>128</xdr:col>
      <xdr:colOff>304800</xdr:colOff>
      <xdr:row>72</xdr:row>
      <xdr:rowOff>30307</xdr:rowOff>
    </xdr:to>
    <xdr:graphicFrame macro="">
      <xdr:nvGraphicFramePr>
        <xdr:cNvPr id="12" name="Chart 253">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110</xdr:col>
      <xdr:colOff>228600</xdr:colOff>
      <xdr:row>9</xdr:row>
      <xdr:rowOff>28575</xdr:rowOff>
    </xdr:from>
    <xdr:to>
      <xdr:col>128</xdr:col>
      <xdr:colOff>361950</xdr:colOff>
      <xdr:row>40</xdr:row>
      <xdr:rowOff>30307</xdr:rowOff>
    </xdr:to>
    <xdr:graphicFrame macro="">
      <xdr:nvGraphicFramePr>
        <xdr:cNvPr id="13" name="Chart 253">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90</xdr:col>
      <xdr:colOff>159205</xdr:colOff>
      <xdr:row>72</xdr:row>
      <xdr:rowOff>141513</xdr:rowOff>
    </xdr:from>
    <xdr:to>
      <xdr:col>101</xdr:col>
      <xdr:colOff>371475</xdr:colOff>
      <xdr:row>101</xdr:row>
      <xdr:rowOff>123825</xdr:rowOff>
    </xdr:to>
    <xdr:graphicFrame macro="">
      <xdr:nvGraphicFramePr>
        <xdr:cNvPr id="14" name="Chart 25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104</xdr:col>
      <xdr:colOff>33619</xdr:colOff>
      <xdr:row>72</xdr:row>
      <xdr:rowOff>52297</xdr:rowOff>
    </xdr:from>
    <xdr:to>
      <xdr:col>116</xdr:col>
      <xdr:colOff>328705</xdr:colOff>
      <xdr:row>101</xdr:row>
      <xdr:rowOff>26147</xdr:rowOff>
    </xdr:to>
    <xdr:graphicFrame macro="">
      <xdr:nvGraphicFramePr>
        <xdr:cNvPr id="15" name="Chart 253">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72</xdr:col>
      <xdr:colOff>136071</xdr:colOff>
      <xdr:row>0</xdr:row>
      <xdr:rowOff>18143</xdr:rowOff>
    </xdr:from>
    <xdr:ext cx="2204357" cy="589643"/>
    <xdr:sp macro="" textlink="">
      <xdr:nvSpPr>
        <xdr:cNvPr id="2" name="TextBox 1">
          <a:extLst>
            <a:ext uri="{FF2B5EF4-FFF2-40B4-BE49-F238E27FC236}">
              <a16:creationId xmlns:a16="http://schemas.microsoft.com/office/drawing/2014/main" id="{00000000-0008-0000-0400-000002000000}"/>
            </a:ext>
          </a:extLst>
        </xdr:cNvPr>
        <xdr:cNvSpPr txBox="1"/>
      </xdr:nvSpPr>
      <xdr:spPr bwMode="auto">
        <a:xfrm>
          <a:off x="38898285" y="18143"/>
          <a:ext cx="2204357" cy="589643"/>
        </a:xfrm>
        <a:prstGeom prst="rect">
          <a:avLst/>
        </a:prstGeom>
        <a:solidFill>
          <a:srgbClr val="FFFF00"/>
        </a:solidFill>
        <a:ln w="9525">
          <a:noFill/>
          <a:miter lim="800000"/>
          <a:headEnd/>
          <a:tailEnd/>
        </a:ln>
      </xdr:spPr>
      <xdr:txBody>
        <a:bodyPr vertOverflow="clip" horzOverflow="clip" wrap="square" lIns="27432" tIns="27432" rIns="0" bIns="0" rtlCol="0" anchor="t" upright="1">
          <a:noAutofit/>
        </a:bodyPr>
        <a:lstStyle/>
        <a:p>
          <a:pPr algn="l" rtl="0"/>
          <a:r>
            <a:rPr lang="en-US" sz="1100" b="0" i="0" strike="noStrike" baseline="0">
              <a:solidFill>
                <a:srgbClr val="FF0000"/>
              </a:solidFill>
              <a:latin typeface="Calibri"/>
            </a:rPr>
            <a:t>30JUL2024 </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0">
              <a:solidFill>
                <a:srgbClr val="FF0000"/>
              </a:solidFill>
              <a:effectLst/>
              <a:latin typeface="+mn-lt"/>
              <a:ea typeface="+mn-ea"/>
              <a:cs typeface="+mn-cs"/>
            </a:rPr>
            <a:t>For this version, Core losses is</a:t>
          </a:r>
          <a:r>
            <a:rPr lang="en-US" sz="1100" b="0" i="0" baseline="0">
              <a:solidFill>
                <a:srgbClr val="FF0000"/>
              </a:solidFill>
              <a:effectLst/>
              <a:latin typeface="+mn-lt"/>
              <a:ea typeface="+mn-ea"/>
              <a:cs typeface="+mn-cs"/>
            </a:rPr>
            <a:t> assumd 1.5% of the total power.</a:t>
          </a:r>
          <a:endParaRPr lang="en-US">
            <a:solidFill>
              <a:srgbClr val="FF0000"/>
            </a:solidFill>
            <a:effectLst/>
          </a:endParaRPr>
        </a:p>
        <a:p>
          <a:pPr algn="l" rtl="0"/>
          <a:endParaRPr lang="en-US" sz="1100" b="0" i="0" strike="noStrike">
            <a:solidFill>
              <a:srgbClr val="FF0000"/>
            </a:solidFill>
            <a:latin typeface="Calibri"/>
          </a:endParaRPr>
        </a:p>
      </xdr:txBody>
    </xdr:sp>
    <xdr:clientData/>
  </xdr:oneCellAnchor>
  <xdr:oneCellAnchor>
    <xdr:from>
      <xdr:col>59</xdr:col>
      <xdr:colOff>235858</xdr:colOff>
      <xdr:row>0</xdr:row>
      <xdr:rowOff>36285</xdr:rowOff>
    </xdr:from>
    <xdr:ext cx="1741715" cy="553357"/>
    <xdr:sp macro="" textlink="">
      <xdr:nvSpPr>
        <xdr:cNvPr id="17" name="TextBox 16">
          <a:extLst>
            <a:ext uri="{FF2B5EF4-FFF2-40B4-BE49-F238E27FC236}">
              <a16:creationId xmlns:a16="http://schemas.microsoft.com/office/drawing/2014/main" id="{00000000-0008-0000-0400-000011000000}"/>
            </a:ext>
          </a:extLst>
        </xdr:cNvPr>
        <xdr:cNvSpPr txBox="1"/>
      </xdr:nvSpPr>
      <xdr:spPr bwMode="auto">
        <a:xfrm>
          <a:off x="30734001" y="36285"/>
          <a:ext cx="1741715" cy="553357"/>
        </a:xfrm>
        <a:prstGeom prst="rect">
          <a:avLst/>
        </a:prstGeom>
        <a:solidFill>
          <a:srgbClr val="FFFF66"/>
        </a:solidFill>
        <a:ln w="9525">
          <a:noFill/>
          <a:miter lim="800000"/>
          <a:headEnd/>
          <a:tailEnd/>
        </a:ln>
      </xdr:spPr>
      <xdr:txBody>
        <a:bodyPr vertOverflow="clip" horzOverflow="clip" wrap="square" lIns="27432" tIns="27432" rIns="0" bIns="0" rtlCol="0" anchor="t" upright="1">
          <a:spAutoFit/>
        </a:bodyPr>
        <a:lstStyle/>
        <a:p>
          <a:pPr algn="l" rtl="0"/>
          <a:r>
            <a:rPr lang="en-US" sz="1100" b="1" i="0" strike="noStrike">
              <a:solidFill>
                <a:srgbClr val="FF0000"/>
              </a:solidFill>
              <a:latin typeface="+mn-lt"/>
            </a:rPr>
            <a:t>31JUL2024</a:t>
          </a:r>
        </a:p>
        <a:p>
          <a:pPr algn="l" rtl="0"/>
          <a:r>
            <a:rPr lang="en-US" sz="1100" b="0" i="0" strike="noStrike">
              <a:solidFill>
                <a:srgbClr val="FF0000"/>
              </a:solidFill>
              <a:latin typeface="+mn-lt"/>
            </a:rPr>
            <a:t>FET Qg loss is using VIN instead of 5V VDD. </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329046</xdr:colOff>
      <xdr:row>72</xdr:row>
      <xdr:rowOff>84117</xdr:rowOff>
    </xdr:from>
    <xdr:to>
      <xdr:col>27</xdr:col>
      <xdr:colOff>673307</xdr:colOff>
      <xdr:row>103</xdr:row>
      <xdr:rowOff>85849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92</xdr:col>
      <xdr:colOff>342900</xdr:colOff>
      <xdr:row>9</xdr:row>
      <xdr:rowOff>19050</xdr:rowOff>
    </xdr:from>
    <xdr:to>
      <xdr:col>109</xdr:col>
      <xdr:colOff>47625</xdr:colOff>
      <xdr:row>40</xdr:row>
      <xdr:rowOff>20782</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92</xdr:col>
      <xdr:colOff>352425</xdr:colOff>
      <xdr:row>41</xdr:row>
      <xdr:rowOff>0</xdr:rowOff>
    </xdr:from>
    <xdr:to>
      <xdr:col>109</xdr:col>
      <xdr:colOff>57150</xdr:colOff>
      <xdr:row>72</xdr:row>
      <xdr:rowOff>1732</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109</xdr:col>
      <xdr:colOff>194582</xdr:colOff>
      <xdr:row>41</xdr:row>
      <xdr:rowOff>21771</xdr:rowOff>
    </xdr:from>
    <xdr:to>
      <xdr:col>129</xdr:col>
      <xdr:colOff>123825</xdr:colOff>
      <xdr:row>72</xdr:row>
      <xdr:rowOff>23503</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109</xdr:col>
      <xdr:colOff>228600</xdr:colOff>
      <xdr:row>9</xdr:row>
      <xdr:rowOff>28575</xdr:rowOff>
    </xdr:from>
    <xdr:to>
      <xdr:col>129</xdr:col>
      <xdr:colOff>19050</xdr:colOff>
      <xdr:row>40</xdr:row>
      <xdr:rowOff>30307</xdr:rowOff>
    </xdr:to>
    <xdr:graphicFrame macro="">
      <xdr:nvGraphicFramePr>
        <xdr:cNvPr id="10" name="Chart 253">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92</xdr:col>
      <xdr:colOff>329046</xdr:colOff>
      <xdr:row>72</xdr:row>
      <xdr:rowOff>138546</xdr:rowOff>
    </xdr:from>
    <xdr:to>
      <xdr:col>109</xdr:col>
      <xdr:colOff>33771</xdr:colOff>
      <xdr:row>103</xdr:row>
      <xdr:rowOff>140278</xdr:rowOff>
    </xdr:to>
    <xdr:graphicFrame macro="">
      <xdr:nvGraphicFramePr>
        <xdr:cNvPr id="11" name="Chart 253">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66</xdr:col>
      <xdr:colOff>544285</xdr:colOff>
      <xdr:row>7</xdr:row>
      <xdr:rowOff>90714</xdr:rowOff>
    </xdr:from>
    <xdr:ext cx="27765" cy="199927"/>
    <xdr:sp macro="" textlink="">
      <xdr:nvSpPr>
        <xdr:cNvPr id="12" name="TextBox 11">
          <a:extLst>
            <a:ext uri="{FF2B5EF4-FFF2-40B4-BE49-F238E27FC236}">
              <a16:creationId xmlns:a16="http://schemas.microsoft.com/office/drawing/2014/main" id="{00000000-0008-0000-0500-00000C000000}"/>
            </a:ext>
          </a:extLst>
        </xdr:cNvPr>
        <xdr:cNvSpPr txBox="1"/>
      </xdr:nvSpPr>
      <xdr:spPr bwMode="auto">
        <a:xfrm>
          <a:off x="34299071" y="1796143"/>
          <a:ext cx="27765" cy="199927"/>
        </a:xfrm>
        <a:prstGeom prst="rect">
          <a:avLst/>
        </a:prstGeom>
        <a:noFill/>
        <a:ln w="9525">
          <a:noFill/>
          <a:miter lim="800000"/>
          <a:headEnd/>
          <a:tailEnd/>
        </a:ln>
      </xdr:spPr>
      <xdr:txBody>
        <a:bodyPr vertOverflow="clip" horzOverflow="clip" wrap="none" lIns="27432" tIns="27432" rIns="0" bIns="0" rtlCol="0" anchor="t" upright="1">
          <a:spAutoFit/>
        </a:bodyPr>
        <a:lstStyle/>
        <a:p>
          <a:pPr algn="l" rtl="0"/>
          <a:endParaRPr lang="en-US" sz="1100" b="0" i="0" strike="noStrike">
            <a:solidFill>
              <a:srgbClr val="000000"/>
            </a:solidFill>
            <a:latin typeface="Calibri"/>
          </a:endParaRPr>
        </a:p>
      </xdr:txBody>
    </xdr:sp>
    <xdr:clientData/>
  </xdr:oneCellAnchor>
  <xdr:oneCellAnchor>
    <xdr:from>
      <xdr:col>58</xdr:col>
      <xdr:colOff>244929</xdr:colOff>
      <xdr:row>0</xdr:row>
      <xdr:rowOff>36286</xdr:rowOff>
    </xdr:from>
    <xdr:ext cx="2502480" cy="544380"/>
    <xdr:sp macro="" textlink="">
      <xdr:nvSpPr>
        <xdr:cNvPr id="13" name="TextBox 12">
          <a:extLst>
            <a:ext uri="{FF2B5EF4-FFF2-40B4-BE49-F238E27FC236}">
              <a16:creationId xmlns:a16="http://schemas.microsoft.com/office/drawing/2014/main" id="{00000000-0008-0000-0500-00000D000000}"/>
            </a:ext>
          </a:extLst>
        </xdr:cNvPr>
        <xdr:cNvSpPr txBox="1"/>
      </xdr:nvSpPr>
      <xdr:spPr bwMode="auto">
        <a:xfrm>
          <a:off x="29282572" y="36286"/>
          <a:ext cx="2502480" cy="544380"/>
        </a:xfrm>
        <a:prstGeom prst="rect">
          <a:avLst/>
        </a:prstGeom>
        <a:solidFill>
          <a:srgbClr val="FFFF66"/>
        </a:solidFill>
        <a:ln w="9525">
          <a:noFill/>
          <a:miter lim="800000"/>
          <a:headEnd/>
          <a:tailEnd/>
        </a:ln>
      </xdr:spPr>
      <xdr:txBody>
        <a:bodyPr vertOverflow="clip" horzOverflow="clip" wrap="none" lIns="27432" tIns="27432" rIns="0" bIns="0" rtlCol="0" anchor="t" upright="1">
          <a:spAutoFit/>
        </a:bodyPr>
        <a:lstStyle/>
        <a:p>
          <a:pPr rtl="0"/>
          <a:r>
            <a:rPr lang="en-US" sz="1100" b="1" i="0">
              <a:solidFill>
                <a:srgbClr val="FF0000"/>
              </a:solidFill>
              <a:effectLst/>
              <a:latin typeface="+mn-lt"/>
              <a:ea typeface="+mn-ea"/>
              <a:cs typeface="+mn-cs"/>
            </a:rPr>
            <a:t>31JUL2024</a:t>
          </a:r>
          <a:endParaRPr lang="en-US">
            <a:solidFill>
              <a:srgbClr val="FF0000"/>
            </a:solidFill>
            <a:effectLst/>
          </a:endParaRPr>
        </a:p>
        <a:p>
          <a:pPr rtl="0"/>
          <a:r>
            <a:rPr lang="en-US" sz="1100" b="0" i="0">
              <a:solidFill>
                <a:srgbClr val="FF0000"/>
              </a:solidFill>
              <a:effectLst/>
              <a:latin typeface="+mn-lt"/>
              <a:ea typeface="+mn-ea"/>
              <a:cs typeface="+mn-cs"/>
            </a:rPr>
            <a:t>FET Qg loss is using VIN instead of 5V VDD</a:t>
          </a:r>
          <a:r>
            <a:rPr lang="en-US" sz="1100" b="0" i="0">
              <a:effectLst/>
              <a:latin typeface="+mn-lt"/>
              <a:ea typeface="+mn-ea"/>
              <a:cs typeface="+mn-cs"/>
            </a:rPr>
            <a:t>. </a:t>
          </a:r>
          <a:endParaRPr lang="en-US">
            <a:effectLst/>
          </a:endParaRPr>
        </a:p>
        <a:p>
          <a:pPr algn="l" rtl="0"/>
          <a:endParaRPr lang="en-US" sz="1100" b="0" i="0" strike="noStrike">
            <a:solidFill>
              <a:srgbClr val="000000"/>
            </a:solidFill>
            <a:latin typeface="Calibri"/>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12700</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7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12700</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7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12700</xdr:rowOff>
        </xdr:from>
        <xdr:to>
          <xdr:col>6</xdr:col>
          <xdr:colOff>876300</xdr:colOff>
          <xdr:row>40</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7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46</xdr:row>
          <xdr:rowOff>12700</xdr:rowOff>
        </xdr:from>
        <xdr:to>
          <xdr:col>6</xdr:col>
          <xdr:colOff>876300</xdr:colOff>
          <xdr:row>47</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7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12700</xdr:rowOff>
        </xdr:from>
        <xdr:to>
          <xdr:col>6</xdr:col>
          <xdr:colOff>876300</xdr:colOff>
          <xdr:row>42</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7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12700</xdr:rowOff>
        </xdr:from>
        <xdr:to>
          <xdr:col>6</xdr:col>
          <xdr:colOff>876300</xdr:colOff>
          <xdr:row>41</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7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12700</xdr:rowOff>
        </xdr:from>
        <xdr:to>
          <xdr:col>6</xdr:col>
          <xdr:colOff>876300</xdr:colOff>
          <xdr:row>46</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7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12700</xdr:rowOff>
        </xdr:from>
        <xdr:to>
          <xdr:col>6</xdr:col>
          <xdr:colOff>876300</xdr:colOff>
          <xdr:row>48</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7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48</xdr:row>
          <xdr:rowOff>12700</xdr:rowOff>
        </xdr:from>
        <xdr:to>
          <xdr:col>6</xdr:col>
          <xdr:colOff>876300</xdr:colOff>
          <xdr:row>49</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7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49</xdr:row>
          <xdr:rowOff>12700</xdr:rowOff>
        </xdr:from>
        <xdr:to>
          <xdr:col>6</xdr:col>
          <xdr:colOff>876300</xdr:colOff>
          <xdr:row>50</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7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12700</xdr:rowOff>
        </xdr:from>
        <xdr:to>
          <xdr:col>6</xdr:col>
          <xdr:colOff>876300</xdr:colOff>
          <xdr:row>39</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7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12700</xdr:rowOff>
        </xdr:from>
        <xdr:to>
          <xdr:col>6</xdr:col>
          <xdr:colOff>876300</xdr:colOff>
          <xdr:row>54</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7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700-00004D000000}"/>
                </a:ext>
              </a:extLst>
            </xdr:cNvPr>
            <xdr:cNvPicPr>
              <a:picLocks noChangeAspect="1" noChangeArrowheads="1"/>
              <a:extLst>
                <a:ext uri="{84589F7E-364E-4C9E-8A38-B11213B215E9}">
                  <a14:cameraTool cellRange="PICTURE1" spid="_x0000_s764697"/>
                </a:ext>
              </a:extLst>
            </xdr:cNvPicPr>
          </xdr:nvPicPr>
          <xdr:blipFill>
            <a:blip xmlns:r="http://schemas.openxmlformats.org/officeDocument/2006/relationships" r:embed="rId1"/>
            <a:srcRect/>
            <a:stretch>
              <a:fillRect/>
            </a:stretch>
          </xdr:blipFill>
          <xdr:spPr bwMode="auto">
            <a:xfrm>
              <a:off x="370999" y="95250"/>
              <a:ext cx="7638131" cy="4153008"/>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5</xdr:col>
      <xdr:colOff>368904</xdr:colOff>
      <xdr:row>7</xdr:row>
      <xdr:rowOff>122225</xdr:rowOff>
    </xdr:from>
    <xdr:to>
      <xdr:col>5</xdr:col>
      <xdr:colOff>915363</xdr:colOff>
      <xdr:row>8</xdr:row>
      <xdr:rowOff>143465</xdr:rowOff>
    </xdr:to>
    <xdr:sp macro="" textlink="'Variable Mgmt'!B245">
      <xdr:nvSpPr>
        <xdr:cNvPr id="79" name="Text Box 267">
          <a:extLst>
            <a:ext uri="{FF2B5EF4-FFF2-40B4-BE49-F238E27FC236}">
              <a16:creationId xmlns:a16="http://schemas.microsoft.com/office/drawing/2014/main" id="{00000000-0008-0000-0700-00004F000000}"/>
            </a:ext>
          </a:extLst>
        </xdr:cNvPr>
        <xdr:cNvSpPr txBox="1">
          <a:spLocks noChangeArrowheads="1" noTextEdit="1"/>
        </xdr:cNvSpPr>
      </xdr:nvSpPr>
      <xdr:spPr bwMode="auto">
        <a:xfrm>
          <a:off x="5395173" y="1250571"/>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700" b="0" i="0" u="none" strike="noStrike" baseline="0">
              <a:solidFill>
                <a:srgbClr val="000000"/>
              </a:solidFill>
              <a:latin typeface="Arial" pitchFamily="34" charset="0"/>
              <a:cs typeface="Arial" pitchFamily="34" charset="0"/>
            </a:rPr>
            <a:pPr algn="l" rtl="0">
              <a:defRPr sz="1000"/>
            </a:pPr>
            <a:t>110µF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593597</xdr:colOff>
      <xdr:row>7</xdr:row>
      <xdr:rowOff>47526</xdr:rowOff>
    </xdr:from>
    <xdr:to>
      <xdr:col>1</xdr:col>
      <xdr:colOff>433231</xdr:colOff>
      <xdr:row>8</xdr:row>
      <xdr:rowOff>83672</xdr:rowOff>
    </xdr:to>
    <xdr:sp macro="" textlink="'Variable Mgmt'!B250">
      <xdr:nvSpPr>
        <xdr:cNvPr id="81" name="Text Box 276">
          <a:extLst>
            <a:ext uri="{FF2B5EF4-FFF2-40B4-BE49-F238E27FC236}">
              <a16:creationId xmlns:a16="http://schemas.microsoft.com/office/drawing/2014/main" id="{00000000-0008-0000-0700-000051000000}"/>
            </a:ext>
          </a:extLst>
        </xdr:cNvPr>
        <xdr:cNvSpPr txBox="1">
          <a:spLocks noChangeArrowheads="1" noTextEdit="1"/>
        </xdr:cNvSpPr>
      </xdr:nvSpPr>
      <xdr:spPr bwMode="auto">
        <a:xfrm>
          <a:off x="593597" y="1175872"/>
          <a:ext cx="508826" cy="197338"/>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700" b="0" i="0" u="none" strike="noStrike" baseline="0">
              <a:solidFill>
                <a:srgbClr val="000000"/>
              </a:solidFill>
              <a:latin typeface="Arial" pitchFamily="34" charset="0"/>
              <a:cs typeface="Arial" pitchFamily="34" charset="0"/>
            </a:rPr>
            <a:pPr algn="ctr" rtl="0">
              <a:defRPr sz="1000"/>
            </a:pPr>
            <a:t>22µF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198843</xdr:colOff>
      <xdr:row>21</xdr:row>
      <xdr:rowOff>104015</xdr:rowOff>
    </xdr:from>
    <xdr:to>
      <xdr:col>2</xdr:col>
      <xdr:colOff>642811</xdr:colOff>
      <xdr:row>23</xdr:row>
      <xdr:rowOff>62417</xdr:rowOff>
    </xdr:to>
    <xdr:sp macro="" textlink="'Variable Mgmt'!D277">
      <xdr:nvSpPr>
        <xdr:cNvPr id="82" name="Text Box 281">
          <a:extLst>
            <a:ext uri="{FF2B5EF4-FFF2-40B4-BE49-F238E27FC236}">
              <a16:creationId xmlns:a16="http://schemas.microsoft.com/office/drawing/2014/main" id="{00000000-0008-0000-0700-000052000000}"/>
            </a:ext>
          </a:extLst>
        </xdr:cNvPr>
        <xdr:cNvSpPr txBox="1">
          <a:spLocks noChangeArrowheads="1" noTextEdit="1"/>
        </xdr:cNvSpPr>
      </xdr:nvSpPr>
      <xdr:spPr bwMode="auto">
        <a:xfrm>
          <a:off x="1599018" y="3504440"/>
          <a:ext cx="443968" cy="282252"/>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0</xdr:col>
      <xdr:colOff>457270</xdr:colOff>
      <xdr:row>2</xdr:row>
      <xdr:rowOff>59911</xdr:rowOff>
    </xdr:from>
    <xdr:to>
      <xdr:col>1</xdr:col>
      <xdr:colOff>331622</xdr:colOff>
      <xdr:row>5</xdr:row>
      <xdr:rowOff>32971</xdr:rowOff>
    </xdr:to>
    <xdr:sp macro="" textlink="'Variable Mgmt'!B237">
      <xdr:nvSpPr>
        <xdr:cNvPr id="85" name="Text Box 283">
          <a:extLst>
            <a:ext uri="{FF2B5EF4-FFF2-40B4-BE49-F238E27FC236}">
              <a16:creationId xmlns:a16="http://schemas.microsoft.com/office/drawing/2014/main" id="{00000000-0008-0000-0700-000055000000}"/>
            </a:ext>
          </a:extLst>
        </xdr:cNvPr>
        <xdr:cNvSpPr txBox="1">
          <a:spLocks noChangeArrowheads="1" noTextEdit="1"/>
        </xdr:cNvSpPr>
      </xdr:nvSpPr>
      <xdr:spPr bwMode="auto">
        <a:xfrm>
          <a:off x="457270" y="382296"/>
          <a:ext cx="543544" cy="45663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000" b="1" i="0" u="none" strike="noStrike">
              <a:solidFill>
                <a:srgbClr val="FF0000"/>
              </a:solidFill>
              <a:latin typeface="Arial" pitchFamily="34" charset="0"/>
              <a:cs typeface="Arial" pitchFamily="34" charset="0"/>
            </a:rPr>
            <a:pPr algn="r" rtl="0">
              <a:defRPr sz="1000"/>
            </a:pPr>
            <a:t>24V</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132244</xdr:colOff>
      <xdr:row>3</xdr:row>
      <xdr:rowOff>3197</xdr:rowOff>
    </xdr:from>
    <xdr:to>
      <xdr:col>7</xdr:col>
      <xdr:colOff>798638</xdr:colOff>
      <xdr:row>5</xdr:row>
      <xdr:rowOff>25976</xdr:rowOff>
    </xdr:to>
    <xdr:sp macro="" textlink="'Variable Mgmt'!B240">
      <xdr:nvSpPr>
        <xdr:cNvPr id="87" name="Text Box 285">
          <a:extLst>
            <a:ext uri="{FF2B5EF4-FFF2-40B4-BE49-F238E27FC236}">
              <a16:creationId xmlns:a16="http://schemas.microsoft.com/office/drawing/2014/main" id="{00000000-0008-0000-0700-000057000000}"/>
            </a:ext>
          </a:extLst>
        </xdr:cNvPr>
        <xdr:cNvSpPr txBox="1">
          <a:spLocks noChangeArrowheads="1" noTextEdit="1"/>
        </xdr:cNvSpPr>
      </xdr:nvSpPr>
      <xdr:spPr bwMode="auto">
        <a:xfrm>
          <a:off x="7234475" y="486774"/>
          <a:ext cx="666394" cy="345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000" b="1" i="0" u="none" strike="noStrike" baseline="0">
              <a:solidFill>
                <a:srgbClr val="FF0000"/>
              </a:solidFill>
              <a:latin typeface="Arial" pitchFamily="34" charset="0"/>
              <a:cs typeface="Arial" pitchFamily="34" charset="0"/>
            </a:rPr>
            <a:pPr algn="l" rtl="0">
              <a:defRPr sz="1000"/>
            </a:pPr>
            <a:t>16.4V</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1117426</xdr:colOff>
      <xdr:row>4</xdr:row>
      <xdr:rowOff>112611</xdr:rowOff>
    </xdr:from>
    <xdr:to>
      <xdr:col>7</xdr:col>
      <xdr:colOff>541529</xdr:colOff>
      <xdr:row>6</xdr:row>
      <xdr:rowOff>93051</xdr:rowOff>
    </xdr:to>
    <xdr:sp macro="" textlink="'Variable Mgmt'!B295">
      <xdr:nvSpPr>
        <xdr:cNvPr id="88" name="Text Box 286">
          <a:extLst>
            <a:ext uri="{FF2B5EF4-FFF2-40B4-BE49-F238E27FC236}">
              <a16:creationId xmlns:a16="http://schemas.microsoft.com/office/drawing/2014/main" id="{00000000-0008-0000-0700-000058000000}"/>
            </a:ext>
          </a:extLst>
        </xdr:cNvPr>
        <xdr:cNvSpPr txBox="1">
          <a:spLocks noChangeArrowheads="1" noTextEdit="1"/>
        </xdr:cNvSpPr>
      </xdr:nvSpPr>
      <xdr:spPr bwMode="auto">
        <a:xfrm>
          <a:off x="7091311" y="757380"/>
          <a:ext cx="552449"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1A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217360</xdr:colOff>
      <xdr:row>7</xdr:row>
      <xdr:rowOff>99362</xdr:rowOff>
    </xdr:from>
    <xdr:to>
      <xdr:col>2</xdr:col>
      <xdr:colOff>742058</xdr:colOff>
      <xdr:row>9</xdr:row>
      <xdr:rowOff>29041</xdr:rowOff>
    </xdr:to>
    <xdr:sp macro="" textlink="'Variable Mgmt'!C269">
      <xdr:nvSpPr>
        <xdr:cNvPr id="92" name="Text Box 268">
          <a:extLst>
            <a:ext uri="{FF2B5EF4-FFF2-40B4-BE49-F238E27FC236}">
              <a16:creationId xmlns:a16="http://schemas.microsoft.com/office/drawing/2014/main" id="{00000000-0008-0000-0700-00005C000000}"/>
            </a:ext>
          </a:extLst>
        </xdr:cNvPr>
        <xdr:cNvSpPr txBox="1">
          <a:spLocks noChangeArrowheads="1" noTextEdit="1"/>
        </xdr:cNvSpPr>
      </xdr:nvSpPr>
      <xdr:spPr bwMode="auto">
        <a:xfrm>
          <a:off x="1617535" y="1232837"/>
          <a:ext cx="524698" cy="253529"/>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1000" b="0" i="0" u="none" strike="noStrike">
              <a:solidFill>
                <a:srgbClr val="000000"/>
              </a:solidFill>
              <a:latin typeface="Arial"/>
              <a:cs typeface="Arial"/>
            </a:rPr>
            <a:pPr algn="l" rtl="0">
              <a:defRPr sz="1000"/>
            </a:pPr>
            <a:t>36.5kΩ</a:t>
          </a:fld>
          <a:endParaRPr lang="el-GR" sz="1000" b="0" i="0" strike="noStrike">
            <a:solidFill>
              <a:srgbClr val="000000"/>
            </a:solidFill>
            <a:latin typeface="Arial" pitchFamily="34" charset="0"/>
            <a:cs typeface="Arial" pitchFamily="34" charset="0"/>
          </a:endParaRPr>
        </a:p>
      </xdr:txBody>
    </xdr:sp>
    <xdr:clientData/>
  </xdr:twoCellAnchor>
  <xdr:twoCellAnchor>
    <xdr:from>
      <xdr:col>2</xdr:col>
      <xdr:colOff>198310</xdr:colOff>
      <xdr:row>13</xdr:row>
      <xdr:rowOff>137646</xdr:rowOff>
    </xdr:from>
    <xdr:to>
      <xdr:col>2</xdr:col>
      <xdr:colOff>723008</xdr:colOff>
      <xdr:row>15</xdr:row>
      <xdr:rowOff>31908</xdr:rowOff>
    </xdr:to>
    <xdr:sp macro="" textlink="'Variable Mgmt'!C270">
      <xdr:nvSpPr>
        <xdr:cNvPr id="93" name="Text Box 268">
          <a:extLst>
            <a:ext uri="{FF2B5EF4-FFF2-40B4-BE49-F238E27FC236}">
              <a16:creationId xmlns:a16="http://schemas.microsoft.com/office/drawing/2014/main" id="{00000000-0008-0000-0700-00005D000000}"/>
            </a:ext>
          </a:extLst>
        </xdr:cNvPr>
        <xdr:cNvSpPr txBox="1">
          <a:spLocks noChangeArrowheads="1" noTextEdit="1"/>
        </xdr:cNvSpPr>
      </xdr:nvSpPr>
      <xdr:spPr bwMode="auto">
        <a:xfrm>
          <a:off x="1598485" y="2242671"/>
          <a:ext cx="524698" cy="218112"/>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1000" b="0" i="0" u="none" strike="noStrike">
              <a:solidFill>
                <a:srgbClr val="000000"/>
              </a:solidFill>
              <a:latin typeface="Arial"/>
              <a:cs typeface="Arial"/>
            </a:rPr>
            <a:pPr algn="l" rtl="0">
              <a:defRPr sz="1000"/>
            </a:pPr>
            <a:t>6.81kΩ</a:t>
          </a:fld>
          <a:endParaRPr lang="el-GR" sz="1000" b="0" i="0" strike="noStrike">
            <a:solidFill>
              <a:srgbClr val="000000"/>
            </a:solidFill>
            <a:latin typeface="Arial" pitchFamily="34" charset="0"/>
            <a:cs typeface="Arial" pitchFamily="34" charset="0"/>
          </a:endParaRPr>
        </a:p>
      </xdr:txBody>
    </xdr:sp>
    <xdr:clientData/>
  </xdr:twoCellAnchor>
  <xdr:twoCellAnchor>
    <xdr:from>
      <xdr:col>3</xdr:col>
      <xdr:colOff>874674</xdr:colOff>
      <xdr:row>11</xdr:row>
      <xdr:rowOff>122026</xdr:rowOff>
    </xdr:from>
    <xdr:to>
      <xdr:col>4</xdr:col>
      <xdr:colOff>38961</xdr:colOff>
      <xdr:row>13</xdr:row>
      <xdr:rowOff>43406</xdr:rowOff>
    </xdr:to>
    <xdr:sp macro="" textlink="'Variable Mgmt'!C259">
      <xdr:nvSpPr>
        <xdr:cNvPr id="94" name="Text Box 268">
          <a:extLst>
            <a:ext uri="{FF2B5EF4-FFF2-40B4-BE49-F238E27FC236}">
              <a16:creationId xmlns:a16="http://schemas.microsoft.com/office/drawing/2014/main" id="{00000000-0008-0000-0700-00005E000000}"/>
            </a:ext>
          </a:extLst>
        </xdr:cNvPr>
        <xdr:cNvSpPr txBox="1">
          <a:spLocks noChangeArrowheads="1" noTextEdit="1"/>
        </xdr:cNvSpPr>
      </xdr:nvSpPr>
      <xdr:spPr bwMode="auto">
        <a:xfrm>
          <a:off x="3282789" y="1895141"/>
          <a:ext cx="575941" cy="24376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700" b="0" i="0" u="none" strike="noStrike">
              <a:solidFill>
                <a:srgbClr val="000000"/>
              </a:solidFill>
              <a:latin typeface="Arial"/>
              <a:cs typeface="Arial"/>
            </a:rPr>
            <a:pPr algn="l" rtl="0">
              <a:defRPr sz="1000"/>
            </a:pPr>
            <a:t>168kΩ</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35816</xdr:colOff>
      <xdr:row>13</xdr:row>
      <xdr:rowOff>84072</xdr:rowOff>
    </xdr:from>
    <xdr:to>
      <xdr:col>2</xdr:col>
      <xdr:colOff>550300</xdr:colOff>
      <xdr:row>14</xdr:row>
      <xdr:rowOff>123568</xdr:rowOff>
    </xdr:to>
    <xdr:sp macro="" textlink="'Variable Mgmt'!C273">
      <xdr:nvSpPr>
        <xdr:cNvPr id="95" name="Text Box 265">
          <a:extLst>
            <a:ext uri="{FF2B5EF4-FFF2-40B4-BE49-F238E27FC236}">
              <a16:creationId xmlns:a16="http://schemas.microsoft.com/office/drawing/2014/main" id="{00000000-0008-0000-0700-00005F000000}"/>
            </a:ext>
          </a:extLst>
        </xdr:cNvPr>
        <xdr:cNvSpPr txBox="1">
          <a:spLocks noChangeArrowheads="1" noTextEdit="1"/>
        </xdr:cNvSpPr>
      </xdr:nvSpPr>
      <xdr:spPr bwMode="auto">
        <a:xfrm>
          <a:off x="1506085" y="2179572"/>
          <a:ext cx="514484" cy="200688"/>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700" b="0" i="0" u="none" strike="noStrike" baseline="0">
              <a:solidFill>
                <a:srgbClr val="000000"/>
              </a:solidFill>
              <a:latin typeface="Arial"/>
              <a:cs typeface="Arial"/>
            </a:rPr>
            <a:pPr algn="l" rtl="0">
              <a:defRPr sz="1000"/>
            </a:pPr>
            <a:t>10kΩ</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376115</xdr:colOff>
      <xdr:row>5</xdr:row>
      <xdr:rowOff>94589</xdr:rowOff>
    </xdr:from>
    <xdr:to>
      <xdr:col>1</xdr:col>
      <xdr:colOff>490993</xdr:colOff>
      <xdr:row>7</xdr:row>
      <xdr:rowOff>60080</xdr:rowOff>
    </xdr:to>
    <xdr:sp macro="" textlink="'Variable Mgmt'!B238">
      <xdr:nvSpPr>
        <xdr:cNvPr id="96" name="Text Box 283">
          <a:extLst>
            <a:ext uri="{FF2B5EF4-FFF2-40B4-BE49-F238E27FC236}">
              <a16:creationId xmlns:a16="http://schemas.microsoft.com/office/drawing/2014/main" id="{00000000-0008-0000-0700-000060000000}"/>
            </a:ext>
          </a:extLst>
        </xdr:cNvPr>
        <xdr:cNvSpPr txBox="1">
          <a:spLocks noChangeArrowheads="1" noTextEdit="1"/>
        </xdr:cNvSpPr>
      </xdr:nvSpPr>
      <xdr:spPr bwMode="auto">
        <a:xfrm>
          <a:off x="376115" y="900551"/>
          <a:ext cx="784070" cy="287875"/>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800" b="1" i="0" u="none" strike="noStrike">
              <a:solidFill>
                <a:srgbClr val="000000"/>
              </a:solidFill>
              <a:latin typeface="Arial"/>
              <a:cs typeface="Arial"/>
            </a:rPr>
            <a:pPr algn="ctr" rtl="0">
              <a:defRPr sz="1000"/>
            </a:pPr>
            <a:t>10V...36V</a:t>
          </a:fld>
          <a:endParaRPr lang="en-US" sz="800" b="1" i="0" strike="noStrike">
            <a:solidFill>
              <a:srgbClr val="000000"/>
            </a:solidFill>
            <a:latin typeface="Arial" pitchFamily="34" charset="0"/>
            <a:cs typeface="Arial" pitchFamily="34" charset="0"/>
          </a:endParaRPr>
        </a:p>
      </xdr:txBody>
    </xdr:sp>
    <xdr:clientData/>
  </xdr:twoCellAnchor>
  <xdr:twoCellAnchor>
    <xdr:from>
      <xdr:col>4</xdr:col>
      <xdr:colOff>679229</xdr:colOff>
      <xdr:row>18</xdr:row>
      <xdr:rowOff>149860</xdr:rowOff>
    </xdr:from>
    <xdr:to>
      <xdr:col>4</xdr:col>
      <xdr:colOff>1010101</xdr:colOff>
      <xdr:row>20</xdr:row>
      <xdr:rowOff>77900</xdr:rowOff>
    </xdr:to>
    <xdr:sp macro="" textlink="'Variable Mgmt'!C265">
      <xdr:nvSpPr>
        <xdr:cNvPr id="97" name="Text Box 225">
          <a:extLst>
            <a:ext uri="{FF2B5EF4-FFF2-40B4-BE49-F238E27FC236}">
              <a16:creationId xmlns:a16="http://schemas.microsoft.com/office/drawing/2014/main" id="{00000000-0008-0000-0700-000061000000}"/>
            </a:ext>
          </a:extLst>
        </xdr:cNvPr>
        <xdr:cNvSpPr txBox="1">
          <a:spLocks noChangeArrowheads="1"/>
        </xdr:cNvSpPr>
      </xdr:nvSpPr>
      <xdr:spPr bwMode="auto">
        <a:xfrm>
          <a:off x="4317779" y="3064510"/>
          <a:ext cx="330872" cy="251890"/>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 </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4</xdr:col>
      <xdr:colOff>631623</xdr:colOff>
      <xdr:row>20</xdr:row>
      <xdr:rowOff>71205</xdr:rowOff>
    </xdr:from>
    <xdr:to>
      <xdr:col>4</xdr:col>
      <xdr:colOff>1147003</xdr:colOff>
      <xdr:row>21</xdr:row>
      <xdr:rowOff>142012</xdr:rowOff>
    </xdr:to>
    <xdr:sp macro="" textlink="'Variable Mgmt'!B265">
      <xdr:nvSpPr>
        <xdr:cNvPr id="98" name="Text Box 268">
          <a:extLst>
            <a:ext uri="{FF2B5EF4-FFF2-40B4-BE49-F238E27FC236}">
              <a16:creationId xmlns:a16="http://schemas.microsoft.com/office/drawing/2014/main" id="{00000000-0008-0000-0700-000062000000}"/>
            </a:ext>
          </a:extLst>
        </xdr:cNvPr>
        <xdr:cNvSpPr txBox="1">
          <a:spLocks noChangeArrowheads="1" noTextEdit="1"/>
        </xdr:cNvSpPr>
      </xdr:nvSpPr>
      <xdr:spPr bwMode="auto">
        <a:xfrm>
          <a:off x="4270173" y="3309705"/>
          <a:ext cx="515380" cy="23273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1100" b="0" i="0" u="none" strike="noStrike">
              <a:solidFill>
                <a:srgbClr val="000000"/>
              </a:solidFill>
              <a:latin typeface="Arial"/>
              <a:cs typeface="Arial"/>
            </a:rPr>
            <a:pPr algn="l" rtl="0">
              <a:defRPr sz="1000"/>
            </a:pPr>
            <a:t> </a:t>
          </a:fld>
          <a:endParaRPr lang="el-GR" sz="1100" b="0" i="0" strike="noStrike">
            <a:solidFill>
              <a:srgbClr val="000000"/>
            </a:solidFill>
            <a:latin typeface="Arial" pitchFamily="34" charset="0"/>
            <a:cs typeface="Arial" pitchFamily="34" charset="0"/>
          </a:endParaRPr>
        </a:p>
      </xdr:txBody>
    </xdr:sp>
    <xdr:clientData/>
  </xdr:twoCellAnchor>
  <xdr:twoCellAnchor>
    <xdr:from>
      <xdr:col>2</xdr:col>
      <xdr:colOff>237557</xdr:colOff>
      <xdr:row>6</xdr:row>
      <xdr:rowOff>57806</xdr:rowOff>
    </xdr:from>
    <xdr:to>
      <xdr:col>2</xdr:col>
      <xdr:colOff>639607</xdr:colOff>
      <xdr:row>7</xdr:row>
      <xdr:rowOff>125922</xdr:rowOff>
    </xdr:to>
    <xdr:sp macro="" textlink="'Variable Mgmt'!C268">
      <xdr:nvSpPr>
        <xdr:cNvPr id="99" name="Text Box 264">
          <a:extLst>
            <a:ext uri="{FF2B5EF4-FFF2-40B4-BE49-F238E27FC236}">
              <a16:creationId xmlns:a16="http://schemas.microsoft.com/office/drawing/2014/main" id="{00000000-0008-0000-0700-000063000000}"/>
            </a:ext>
          </a:extLst>
        </xdr:cNvPr>
        <xdr:cNvSpPr txBox="1">
          <a:spLocks noChangeArrowheads="1" noTextEdit="1"/>
        </xdr:cNvSpPr>
      </xdr:nvSpPr>
      <xdr:spPr bwMode="auto">
        <a:xfrm>
          <a:off x="1637732" y="1029356"/>
          <a:ext cx="402050" cy="230041"/>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237557</xdr:colOff>
      <xdr:row>12</xdr:row>
      <xdr:rowOff>115234</xdr:rowOff>
    </xdr:from>
    <xdr:to>
      <xdr:col>2</xdr:col>
      <xdr:colOff>661587</xdr:colOff>
      <xdr:row>13</xdr:row>
      <xdr:rowOff>135750</xdr:rowOff>
    </xdr:to>
    <xdr:sp macro="" textlink="'Variable Mgmt'!D268">
      <xdr:nvSpPr>
        <xdr:cNvPr id="100" name="Text Box 264">
          <a:extLst>
            <a:ext uri="{FF2B5EF4-FFF2-40B4-BE49-F238E27FC236}">
              <a16:creationId xmlns:a16="http://schemas.microsoft.com/office/drawing/2014/main" id="{00000000-0008-0000-0700-000064000000}"/>
            </a:ext>
          </a:extLst>
        </xdr:cNvPr>
        <xdr:cNvSpPr txBox="1">
          <a:spLocks noChangeArrowheads="1" noTextEdit="1"/>
        </xdr:cNvSpPr>
      </xdr:nvSpPr>
      <xdr:spPr bwMode="auto">
        <a:xfrm>
          <a:off x="1637732" y="2058334"/>
          <a:ext cx="424030" cy="182441"/>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216427</xdr:colOff>
      <xdr:row>20</xdr:row>
      <xdr:rowOff>331</xdr:rowOff>
    </xdr:from>
    <xdr:to>
      <xdr:col>2</xdr:col>
      <xdr:colOff>660395</xdr:colOff>
      <xdr:row>22</xdr:row>
      <xdr:rowOff>12593</xdr:rowOff>
    </xdr:to>
    <xdr:sp macro="" textlink="'Variable Mgmt'!C278">
      <xdr:nvSpPr>
        <xdr:cNvPr id="101" name="Text Box 281">
          <a:extLst>
            <a:ext uri="{FF2B5EF4-FFF2-40B4-BE49-F238E27FC236}">
              <a16:creationId xmlns:a16="http://schemas.microsoft.com/office/drawing/2014/main" id="{00000000-0008-0000-0700-000065000000}"/>
            </a:ext>
          </a:extLst>
        </xdr:cNvPr>
        <xdr:cNvSpPr txBox="1">
          <a:spLocks noChangeArrowheads="1" noTextEdit="1"/>
        </xdr:cNvSpPr>
      </xdr:nvSpPr>
      <xdr:spPr bwMode="auto">
        <a:xfrm>
          <a:off x="1616602" y="3238831"/>
          <a:ext cx="443968" cy="336112"/>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7</xdr:col>
      <xdr:colOff>288063</xdr:colOff>
      <xdr:row>11</xdr:row>
      <xdr:rowOff>136547</xdr:rowOff>
    </xdr:from>
    <xdr:to>
      <xdr:col>7</xdr:col>
      <xdr:colOff>954457</xdr:colOff>
      <xdr:row>13</xdr:row>
      <xdr:rowOff>159326</xdr:rowOff>
    </xdr:to>
    <xdr:sp macro="" textlink="'Variable Mgmt'!B241">
      <xdr:nvSpPr>
        <xdr:cNvPr id="128" name="Text Box 285">
          <a:extLst>
            <a:ext uri="{FF2B5EF4-FFF2-40B4-BE49-F238E27FC236}">
              <a16:creationId xmlns:a16="http://schemas.microsoft.com/office/drawing/2014/main" id="{00000000-0008-0000-0700-000080000000}"/>
            </a:ext>
          </a:extLst>
        </xdr:cNvPr>
        <xdr:cNvSpPr txBox="1">
          <a:spLocks noChangeArrowheads="1" noTextEdit="1"/>
        </xdr:cNvSpPr>
      </xdr:nvSpPr>
      <xdr:spPr bwMode="auto">
        <a:xfrm>
          <a:off x="7060338" y="191772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7</xdr:col>
      <xdr:colOff>133350</xdr:colOff>
      <xdr:row>13</xdr:row>
      <xdr:rowOff>74511</xdr:rowOff>
    </xdr:from>
    <xdr:to>
      <xdr:col>7</xdr:col>
      <xdr:colOff>733425</xdr:colOff>
      <xdr:row>15</xdr:row>
      <xdr:rowOff>54951</xdr:rowOff>
    </xdr:to>
    <xdr:sp macro="" textlink="'Variable Mgmt'!B296">
      <xdr:nvSpPr>
        <xdr:cNvPr id="129" name="Text Box 286">
          <a:extLst>
            <a:ext uri="{FF2B5EF4-FFF2-40B4-BE49-F238E27FC236}">
              <a16:creationId xmlns:a16="http://schemas.microsoft.com/office/drawing/2014/main" id="{00000000-0008-0000-0700-000081000000}"/>
            </a:ext>
          </a:extLst>
        </xdr:cNvPr>
        <xdr:cNvSpPr txBox="1">
          <a:spLocks noChangeArrowheads="1" noTextEdit="1"/>
        </xdr:cNvSpPr>
      </xdr:nvSpPr>
      <xdr:spPr bwMode="auto">
        <a:xfrm>
          <a:off x="6905625" y="2179536"/>
          <a:ext cx="600075"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141769</xdr:colOff>
      <xdr:row>13</xdr:row>
      <xdr:rowOff>19072</xdr:rowOff>
    </xdr:from>
    <xdr:to>
      <xdr:col>7</xdr:col>
      <xdr:colOff>808163</xdr:colOff>
      <xdr:row>15</xdr:row>
      <xdr:rowOff>41118</xdr:rowOff>
    </xdr:to>
    <xdr:sp macro="" textlink="'Variable Mgmt'!B242">
      <xdr:nvSpPr>
        <xdr:cNvPr id="130" name="Text Box 285">
          <a:extLst>
            <a:ext uri="{FF2B5EF4-FFF2-40B4-BE49-F238E27FC236}">
              <a16:creationId xmlns:a16="http://schemas.microsoft.com/office/drawing/2014/main" id="{00000000-0008-0000-0700-000082000000}"/>
            </a:ext>
          </a:extLst>
        </xdr:cNvPr>
        <xdr:cNvSpPr txBox="1">
          <a:spLocks noChangeArrowheads="1" noTextEdit="1"/>
        </xdr:cNvSpPr>
      </xdr:nvSpPr>
      <xdr:spPr bwMode="auto">
        <a:xfrm>
          <a:off x="7244000" y="2114572"/>
          <a:ext cx="666394" cy="34443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1097443</xdr:colOff>
      <xdr:row>14</xdr:row>
      <xdr:rowOff>118229</xdr:rowOff>
    </xdr:from>
    <xdr:to>
      <xdr:col>7</xdr:col>
      <xdr:colOff>723171</xdr:colOff>
      <xdr:row>16</xdr:row>
      <xdr:rowOff>98669</xdr:rowOff>
    </xdr:to>
    <xdr:sp macro="" textlink="'Variable Mgmt'!B297">
      <xdr:nvSpPr>
        <xdr:cNvPr id="131" name="Text Box 286">
          <a:extLst>
            <a:ext uri="{FF2B5EF4-FFF2-40B4-BE49-F238E27FC236}">
              <a16:creationId xmlns:a16="http://schemas.microsoft.com/office/drawing/2014/main" id="{00000000-0008-0000-0700-000083000000}"/>
            </a:ext>
          </a:extLst>
        </xdr:cNvPr>
        <xdr:cNvSpPr txBox="1">
          <a:spLocks noChangeArrowheads="1" noTextEdit="1"/>
        </xdr:cNvSpPr>
      </xdr:nvSpPr>
      <xdr:spPr bwMode="auto">
        <a:xfrm>
          <a:off x="7071328" y="2374921"/>
          <a:ext cx="754074"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5</xdr:col>
      <xdr:colOff>417750</xdr:colOff>
      <xdr:row>12</xdr:row>
      <xdr:rowOff>106350</xdr:rowOff>
    </xdr:from>
    <xdr:to>
      <xdr:col>6</xdr:col>
      <xdr:colOff>16593</xdr:colOff>
      <xdr:row>13</xdr:row>
      <xdr:rowOff>127590</xdr:rowOff>
    </xdr:to>
    <xdr:sp macro="" textlink="'Variable Mgmt'!D245">
      <xdr:nvSpPr>
        <xdr:cNvPr id="132" name="Text Box 267">
          <a:extLst>
            <a:ext uri="{FF2B5EF4-FFF2-40B4-BE49-F238E27FC236}">
              <a16:creationId xmlns:a16="http://schemas.microsoft.com/office/drawing/2014/main" id="{00000000-0008-0000-0700-000084000000}"/>
            </a:ext>
          </a:extLst>
        </xdr:cNvPr>
        <xdr:cNvSpPr txBox="1">
          <a:spLocks noChangeArrowheads="1" noTextEdit="1"/>
        </xdr:cNvSpPr>
      </xdr:nvSpPr>
      <xdr:spPr bwMode="auto">
        <a:xfrm>
          <a:off x="5444019" y="2040658"/>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5</xdr:col>
      <xdr:colOff>398212</xdr:colOff>
      <xdr:row>15</xdr:row>
      <xdr:rowOff>113188</xdr:rowOff>
    </xdr:from>
    <xdr:to>
      <xdr:col>5</xdr:col>
      <xdr:colOff>944671</xdr:colOff>
      <xdr:row>16</xdr:row>
      <xdr:rowOff>134428</xdr:rowOff>
    </xdr:to>
    <xdr:sp macro="" textlink="'Variable Mgmt'!C245">
      <xdr:nvSpPr>
        <xdr:cNvPr id="133" name="Text Box 267">
          <a:extLst>
            <a:ext uri="{FF2B5EF4-FFF2-40B4-BE49-F238E27FC236}">
              <a16:creationId xmlns:a16="http://schemas.microsoft.com/office/drawing/2014/main" id="{00000000-0008-0000-0700-000085000000}"/>
            </a:ext>
          </a:extLst>
        </xdr:cNvPr>
        <xdr:cNvSpPr txBox="1">
          <a:spLocks noChangeArrowheads="1" noTextEdit="1"/>
        </xdr:cNvSpPr>
      </xdr:nvSpPr>
      <xdr:spPr bwMode="auto">
        <a:xfrm>
          <a:off x="5424481" y="2531073"/>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12700</xdr:rowOff>
        </xdr:from>
        <xdr:to>
          <xdr:col>6</xdr:col>
          <xdr:colOff>869950</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7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895527</xdr:colOff>
      <xdr:row>24</xdr:row>
      <xdr:rowOff>49871</xdr:rowOff>
    </xdr:from>
    <xdr:to>
      <xdr:col>3</xdr:col>
      <xdr:colOff>280521</xdr:colOff>
      <xdr:row>25</xdr:row>
      <xdr:rowOff>121252</xdr:rowOff>
    </xdr:to>
    <xdr:sp macro="" textlink="">
      <xdr:nvSpPr>
        <xdr:cNvPr id="47" name="Text Box 244">
          <a:extLst>
            <a:ext uri="{FF2B5EF4-FFF2-40B4-BE49-F238E27FC236}">
              <a16:creationId xmlns:a16="http://schemas.microsoft.com/office/drawing/2014/main" id="{00000000-0008-0000-0700-00002F000000}"/>
            </a:ext>
          </a:extLst>
        </xdr:cNvPr>
        <xdr:cNvSpPr txBox="1">
          <a:spLocks noChangeArrowheads="1"/>
        </xdr:cNvSpPr>
      </xdr:nvSpPr>
      <xdr:spPr bwMode="auto">
        <a:xfrm>
          <a:off x="2365796" y="3918486"/>
          <a:ext cx="322840" cy="23257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42</xdr:row>
          <xdr:rowOff>12700</xdr:rowOff>
        </xdr:from>
        <xdr:to>
          <xdr:col>6</xdr:col>
          <xdr:colOff>882650</xdr:colOff>
          <xdr:row>43</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7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1328384</xdr:colOff>
      <xdr:row>2</xdr:row>
      <xdr:rowOff>124558</xdr:rowOff>
    </xdr:from>
    <xdr:to>
      <xdr:col>4</xdr:col>
      <xdr:colOff>946637</xdr:colOff>
      <xdr:row>4</xdr:row>
      <xdr:rowOff>55843</xdr:rowOff>
    </xdr:to>
    <xdr:sp macro="" textlink="'Variable Mgmt'!B233">
      <xdr:nvSpPr>
        <xdr:cNvPr id="49" name="Text Box 265">
          <a:extLst>
            <a:ext uri="{FF2B5EF4-FFF2-40B4-BE49-F238E27FC236}">
              <a16:creationId xmlns:a16="http://schemas.microsoft.com/office/drawing/2014/main" id="{00000000-0008-0000-0700-000031000000}"/>
            </a:ext>
          </a:extLst>
        </xdr:cNvPr>
        <xdr:cNvSpPr txBox="1">
          <a:spLocks noChangeArrowheads="1" noTextEdit="1"/>
        </xdr:cNvSpPr>
      </xdr:nvSpPr>
      <xdr:spPr bwMode="auto">
        <a:xfrm>
          <a:off x="3736499" y="446943"/>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700" b="0" i="0" u="none" strike="noStrike" baseline="0">
              <a:solidFill>
                <a:srgbClr val="000000"/>
              </a:solidFill>
              <a:latin typeface="Arial"/>
              <a:cs typeface="Arial"/>
            </a:rPr>
            <a:pPr algn="ctr" rtl="0">
              <a:defRPr sz="1000"/>
            </a:pPr>
            <a:t>1 : 1</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212599</xdr:colOff>
      <xdr:row>18</xdr:row>
      <xdr:rowOff>21980</xdr:rowOff>
    </xdr:from>
    <xdr:to>
      <xdr:col>2</xdr:col>
      <xdr:colOff>759488</xdr:colOff>
      <xdr:row>19</xdr:row>
      <xdr:rowOff>90664</xdr:rowOff>
    </xdr:to>
    <xdr:sp macro="" textlink="'Variable Mgmt'!D309">
      <xdr:nvSpPr>
        <xdr:cNvPr id="50" name="Text Box 268">
          <a:extLst>
            <a:ext uri="{FF2B5EF4-FFF2-40B4-BE49-F238E27FC236}">
              <a16:creationId xmlns:a16="http://schemas.microsoft.com/office/drawing/2014/main" id="{00000000-0008-0000-0700-000032000000}"/>
            </a:ext>
          </a:extLst>
        </xdr:cNvPr>
        <xdr:cNvSpPr txBox="1">
          <a:spLocks noChangeArrowheads="1" noTextEdit="1"/>
        </xdr:cNvSpPr>
      </xdr:nvSpPr>
      <xdr:spPr bwMode="auto">
        <a:xfrm>
          <a:off x="1682868" y="2923442"/>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700" b="0" i="0" u="none" strike="noStrike">
              <a:solidFill>
                <a:srgbClr val="000000"/>
              </a:solidFill>
              <a:latin typeface="Arial"/>
              <a:cs typeface="Arial"/>
            </a:rPr>
            <a:pPr algn="l" rtl="0">
              <a:defRPr sz="1000"/>
            </a:pPr>
            <a:t>12kΩ</a:t>
          </a:fld>
          <a:endParaRPr lang="el-GR" sz="700" b="0" i="0" strike="noStrike">
            <a:solidFill>
              <a:srgbClr val="000000"/>
            </a:solidFill>
            <a:latin typeface="Arial" pitchFamily="34" charset="0"/>
            <a:cs typeface="Arial" pitchFamily="34" charset="0"/>
          </a:endParaRPr>
        </a:p>
      </xdr:txBody>
    </xdr:sp>
    <xdr:clientData/>
  </xdr:twoCellAnchor>
  <xdr:twoCellAnchor>
    <xdr:from>
      <xdr:col>1</xdr:col>
      <xdr:colOff>449152</xdr:colOff>
      <xdr:row>21</xdr:row>
      <xdr:rowOff>35238</xdr:rowOff>
    </xdr:from>
    <xdr:to>
      <xdr:col>2</xdr:col>
      <xdr:colOff>194965</xdr:colOff>
      <xdr:row>22</xdr:row>
      <xdr:rowOff>103921</xdr:rowOff>
    </xdr:to>
    <xdr:sp macro="" textlink="'Variable Mgmt'!D310">
      <xdr:nvSpPr>
        <xdr:cNvPr id="51" name="Text Box 268">
          <a:extLst>
            <a:ext uri="{FF2B5EF4-FFF2-40B4-BE49-F238E27FC236}">
              <a16:creationId xmlns:a16="http://schemas.microsoft.com/office/drawing/2014/main" id="{00000000-0008-0000-0700-000033000000}"/>
            </a:ext>
          </a:extLst>
        </xdr:cNvPr>
        <xdr:cNvSpPr txBox="1">
          <a:spLocks noChangeArrowheads="1" noTextEdit="1"/>
        </xdr:cNvSpPr>
      </xdr:nvSpPr>
      <xdr:spPr bwMode="auto">
        <a:xfrm>
          <a:off x="1118344" y="3420276"/>
          <a:ext cx="546890"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700" b="0" i="0" u="none" strike="noStrike">
              <a:solidFill>
                <a:srgbClr val="000000"/>
              </a:solidFill>
              <a:latin typeface="Arial"/>
              <a:cs typeface="Arial"/>
            </a:rPr>
            <a:pPr algn="l" rtl="0">
              <a:defRPr sz="1000"/>
            </a:pPr>
            <a:t>22nF</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164452</xdr:colOff>
      <xdr:row>21</xdr:row>
      <xdr:rowOff>126649</xdr:rowOff>
    </xdr:from>
    <xdr:to>
      <xdr:col>2</xdr:col>
      <xdr:colOff>711340</xdr:colOff>
      <xdr:row>23</xdr:row>
      <xdr:rowOff>34140</xdr:rowOff>
    </xdr:to>
    <xdr:sp macro="" textlink="'Variable Mgmt'!D311">
      <xdr:nvSpPr>
        <xdr:cNvPr id="52" name="Text Box 268">
          <a:extLst>
            <a:ext uri="{FF2B5EF4-FFF2-40B4-BE49-F238E27FC236}">
              <a16:creationId xmlns:a16="http://schemas.microsoft.com/office/drawing/2014/main" id="{00000000-0008-0000-0700-000034000000}"/>
            </a:ext>
          </a:extLst>
        </xdr:cNvPr>
        <xdr:cNvSpPr txBox="1">
          <a:spLocks noChangeArrowheads="1" noTextEdit="1"/>
        </xdr:cNvSpPr>
      </xdr:nvSpPr>
      <xdr:spPr bwMode="auto">
        <a:xfrm>
          <a:off x="1634721" y="3511687"/>
          <a:ext cx="546888"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700" b="0" i="0" u="none" strike="noStrike">
              <a:solidFill>
                <a:srgbClr val="000000"/>
              </a:solidFill>
              <a:latin typeface="Arial"/>
              <a:cs typeface="Arial"/>
            </a:rPr>
            <a:pPr algn="l" rtl="0">
              <a:defRPr sz="1000"/>
            </a:pPr>
            <a:t>100pF</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1093922</xdr:colOff>
      <xdr:row>21</xdr:row>
      <xdr:rowOff>148980</xdr:rowOff>
    </xdr:from>
    <xdr:to>
      <xdr:col>4</xdr:col>
      <xdr:colOff>229158</xdr:colOff>
      <xdr:row>22</xdr:row>
      <xdr:rowOff>144814</xdr:rowOff>
    </xdr:to>
    <xdr:sp macro="" textlink="'Variable Mgmt'!D314">
      <xdr:nvSpPr>
        <xdr:cNvPr id="53" name="Text Box 268">
          <a:extLst>
            <a:ext uri="{FF2B5EF4-FFF2-40B4-BE49-F238E27FC236}">
              <a16:creationId xmlns:a16="http://schemas.microsoft.com/office/drawing/2014/main" id="{00000000-0008-0000-0700-000035000000}"/>
            </a:ext>
          </a:extLst>
        </xdr:cNvPr>
        <xdr:cNvSpPr txBox="1">
          <a:spLocks noChangeArrowheads="1" noTextEdit="1"/>
        </xdr:cNvSpPr>
      </xdr:nvSpPr>
      <xdr:spPr bwMode="auto">
        <a:xfrm>
          <a:off x="3502037" y="3534018"/>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700" b="0" i="0" u="none" strike="noStrike">
              <a:solidFill>
                <a:srgbClr val="000000"/>
              </a:solidFill>
              <a:latin typeface="Arial"/>
              <a:cs typeface="Arial"/>
            </a:rPr>
            <a:pPr algn="l" rtl="0">
              <a:defRPr sz="1000"/>
            </a:pPr>
            <a:t>100pF</a:t>
          </a:fld>
          <a:endParaRPr lang="el-GR" sz="700" b="0" i="0" strike="noStrike">
            <a:solidFill>
              <a:srgbClr val="000000"/>
            </a:solidFill>
            <a:latin typeface="Arial" pitchFamily="34" charset="0"/>
            <a:cs typeface="Arial" pitchFamily="34" charset="0"/>
          </a:endParaRPr>
        </a:p>
      </xdr:txBody>
    </xdr:sp>
    <xdr:clientData/>
  </xdr:twoCellAnchor>
  <xdr:twoCellAnchor>
    <xdr:from>
      <xdr:col>4</xdr:col>
      <xdr:colOff>426125</xdr:colOff>
      <xdr:row>21</xdr:row>
      <xdr:rowOff>129442</xdr:rowOff>
    </xdr:from>
    <xdr:to>
      <xdr:col>4</xdr:col>
      <xdr:colOff>973014</xdr:colOff>
      <xdr:row>22</xdr:row>
      <xdr:rowOff>125276</xdr:rowOff>
    </xdr:to>
    <xdr:sp macro="" textlink="'Variable Mgmt'!D313">
      <xdr:nvSpPr>
        <xdr:cNvPr id="54" name="Text Box 268">
          <a:extLst>
            <a:ext uri="{FF2B5EF4-FFF2-40B4-BE49-F238E27FC236}">
              <a16:creationId xmlns:a16="http://schemas.microsoft.com/office/drawing/2014/main" id="{00000000-0008-0000-0700-000036000000}"/>
            </a:ext>
          </a:extLst>
        </xdr:cNvPr>
        <xdr:cNvSpPr txBox="1">
          <a:spLocks noChangeArrowheads="1" noTextEdit="1"/>
        </xdr:cNvSpPr>
      </xdr:nvSpPr>
      <xdr:spPr bwMode="auto">
        <a:xfrm>
          <a:off x="4245894" y="3514480"/>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700" b="0" i="0" u="none" strike="noStrike">
              <a:solidFill>
                <a:srgbClr val="000000"/>
              </a:solidFill>
              <a:latin typeface="Arial"/>
              <a:cs typeface="Arial"/>
            </a:rPr>
            <a:pPr algn="l" rtl="0">
              <a:defRPr sz="1000"/>
            </a:pPr>
            <a:t>15mΩ</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1332569</xdr:colOff>
      <xdr:row>18</xdr:row>
      <xdr:rowOff>12210</xdr:rowOff>
    </xdr:from>
    <xdr:to>
      <xdr:col>4</xdr:col>
      <xdr:colOff>467805</xdr:colOff>
      <xdr:row>19</xdr:row>
      <xdr:rowOff>8045</xdr:rowOff>
    </xdr:to>
    <xdr:sp macro="" textlink="'Variable Mgmt'!D315">
      <xdr:nvSpPr>
        <xdr:cNvPr id="55" name="Text Box 268">
          <a:extLst>
            <a:ext uri="{FF2B5EF4-FFF2-40B4-BE49-F238E27FC236}">
              <a16:creationId xmlns:a16="http://schemas.microsoft.com/office/drawing/2014/main" id="{00000000-0008-0000-0700-000037000000}"/>
            </a:ext>
          </a:extLst>
        </xdr:cNvPr>
        <xdr:cNvSpPr txBox="1">
          <a:spLocks noChangeArrowheads="1" noTextEdit="1"/>
        </xdr:cNvSpPr>
      </xdr:nvSpPr>
      <xdr:spPr bwMode="auto">
        <a:xfrm>
          <a:off x="3740684" y="2913672"/>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700" b="0" i="0" u="none" strike="noStrike">
              <a:solidFill>
                <a:srgbClr val="000000"/>
              </a:solidFill>
              <a:latin typeface="Arial"/>
              <a:cs typeface="Arial"/>
            </a:rPr>
            <a:pPr algn="l" rtl="0">
              <a:defRPr sz="1000"/>
            </a:pPr>
            <a:t>100Ω</a:t>
          </a:fld>
          <a:endParaRPr lang="el-GR" sz="7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51</xdr:row>
          <xdr:rowOff>12700</xdr:rowOff>
        </xdr:from>
        <xdr:to>
          <xdr:col>6</xdr:col>
          <xdr:colOff>876300</xdr:colOff>
          <xdr:row>51</xdr:row>
          <xdr:rowOff>215900</xdr:rowOff>
        </xdr:to>
        <xdr:sp macro="" textlink="">
          <xdr:nvSpPr>
            <xdr:cNvPr id="764426" name="Drop Down 2570" hidden="1">
              <a:extLst>
                <a:ext uri="{63B3BB69-23CF-44E3-9099-C40C66FF867C}">
                  <a14:compatExt spid="_x0000_s764426"/>
                </a:ext>
                <a:ext uri="{FF2B5EF4-FFF2-40B4-BE49-F238E27FC236}">
                  <a16:creationId xmlns:a16="http://schemas.microsoft.com/office/drawing/2014/main" id="{00000000-0008-0000-0700-00000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52</xdr:row>
          <xdr:rowOff>12700</xdr:rowOff>
        </xdr:from>
        <xdr:to>
          <xdr:col>6</xdr:col>
          <xdr:colOff>876300</xdr:colOff>
          <xdr:row>52</xdr:row>
          <xdr:rowOff>215900</xdr:rowOff>
        </xdr:to>
        <xdr:sp macro="" textlink="">
          <xdr:nvSpPr>
            <xdr:cNvPr id="764430" name="Drop Down 2574" hidden="1">
              <a:extLst>
                <a:ext uri="{63B3BB69-23CF-44E3-9099-C40C66FF867C}">
                  <a14:compatExt spid="_x0000_s764430"/>
                </a:ext>
                <a:ext uri="{FF2B5EF4-FFF2-40B4-BE49-F238E27FC236}">
                  <a16:creationId xmlns:a16="http://schemas.microsoft.com/office/drawing/2014/main" id="{00000000-0008-0000-0700-00000E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12700</xdr:rowOff>
        </xdr:from>
        <xdr:to>
          <xdr:col>6</xdr:col>
          <xdr:colOff>882650</xdr:colOff>
          <xdr:row>35</xdr:row>
          <xdr:rowOff>0</xdr:rowOff>
        </xdr:to>
        <xdr:sp macro="" textlink="">
          <xdr:nvSpPr>
            <xdr:cNvPr id="764447" name="Drop Down 2591" hidden="1">
              <a:extLst>
                <a:ext uri="{63B3BB69-23CF-44E3-9099-C40C66FF867C}">
                  <a14:compatExt spid="_x0000_s764447"/>
                </a:ext>
                <a:ext uri="{FF2B5EF4-FFF2-40B4-BE49-F238E27FC236}">
                  <a16:creationId xmlns:a16="http://schemas.microsoft.com/office/drawing/2014/main" id="{00000000-0008-0000-0700-00001F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12700</xdr:rowOff>
        </xdr:from>
        <xdr:to>
          <xdr:col>6</xdr:col>
          <xdr:colOff>876300</xdr:colOff>
          <xdr:row>44</xdr:row>
          <xdr:rowOff>0</xdr:rowOff>
        </xdr:to>
        <xdr:sp macro="" textlink="">
          <xdr:nvSpPr>
            <xdr:cNvPr id="764451" name="Drop Down 2595" hidden="1">
              <a:extLst>
                <a:ext uri="{63B3BB69-23CF-44E3-9099-C40C66FF867C}">
                  <a14:compatExt spid="_x0000_s764451"/>
                </a:ext>
                <a:ext uri="{FF2B5EF4-FFF2-40B4-BE49-F238E27FC236}">
                  <a16:creationId xmlns:a16="http://schemas.microsoft.com/office/drawing/2014/main" id="{00000000-0008-0000-0700-000023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12700</xdr:rowOff>
        </xdr:from>
        <xdr:to>
          <xdr:col>6</xdr:col>
          <xdr:colOff>876300</xdr:colOff>
          <xdr:row>36</xdr:row>
          <xdr:rowOff>0</xdr:rowOff>
        </xdr:to>
        <xdr:sp macro="" textlink="">
          <xdr:nvSpPr>
            <xdr:cNvPr id="764454" name="Drop Down 2598" hidden="1">
              <a:extLst>
                <a:ext uri="{63B3BB69-23CF-44E3-9099-C40C66FF867C}">
                  <a14:compatExt spid="_x0000_s764454"/>
                </a:ext>
                <a:ext uri="{FF2B5EF4-FFF2-40B4-BE49-F238E27FC236}">
                  <a16:creationId xmlns:a16="http://schemas.microsoft.com/office/drawing/2014/main" id="{00000000-0008-0000-0700-000026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12700</xdr:rowOff>
        </xdr:from>
        <xdr:to>
          <xdr:col>6</xdr:col>
          <xdr:colOff>876300</xdr:colOff>
          <xdr:row>37</xdr:row>
          <xdr:rowOff>0</xdr:rowOff>
        </xdr:to>
        <xdr:sp macro="" textlink="">
          <xdr:nvSpPr>
            <xdr:cNvPr id="764455" name="Drop Down 2599" hidden="1">
              <a:extLst>
                <a:ext uri="{63B3BB69-23CF-44E3-9099-C40C66FF867C}">
                  <a14:compatExt spid="_x0000_s764455"/>
                </a:ext>
                <a:ext uri="{FF2B5EF4-FFF2-40B4-BE49-F238E27FC236}">
                  <a16:creationId xmlns:a16="http://schemas.microsoft.com/office/drawing/2014/main" id="{00000000-0008-0000-0700-000027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12700</xdr:rowOff>
        </xdr:from>
        <xdr:to>
          <xdr:col>6</xdr:col>
          <xdr:colOff>876300</xdr:colOff>
          <xdr:row>38</xdr:row>
          <xdr:rowOff>0</xdr:rowOff>
        </xdr:to>
        <xdr:sp macro="" textlink="">
          <xdr:nvSpPr>
            <xdr:cNvPr id="764456" name="Drop Down 2600" hidden="1">
              <a:extLst>
                <a:ext uri="{63B3BB69-23CF-44E3-9099-C40C66FF867C}">
                  <a14:compatExt spid="_x0000_s764456"/>
                </a:ext>
                <a:ext uri="{FF2B5EF4-FFF2-40B4-BE49-F238E27FC236}">
                  <a16:creationId xmlns:a16="http://schemas.microsoft.com/office/drawing/2014/main" id="{00000000-0008-0000-0700-000028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50</xdr:row>
          <xdr:rowOff>12700</xdr:rowOff>
        </xdr:from>
        <xdr:to>
          <xdr:col>6</xdr:col>
          <xdr:colOff>876300</xdr:colOff>
          <xdr:row>51</xdr:row>
          <xdr:rowOff>0</xdr:rowOff>
        </xdr:to>
        <xdr:sp macro="" textlink="">
          <xdr:nvSpPr>
            <xdr:cNvPr id="764458" name="Drop Down 2602" hidden="1">
              <a:extLst>
                <a:ext uri="{63B3BB69-23CF-44E3-9099-C40C66FF867C}">
                  <a14:compatExt spid="_x0000_s764458"/>
                </a:ext>
                <a:ext uri="{FF2B5EF4-FFF2-40B4-BE49-F238E27FC236}">
                  <a16:creationId xmlns:a16="http://schemas.microsoft.com/office/drawing/2014/main" id="{00000000-0008-0000-0700-00002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Gpwr_@Fco" TargetMode="External"/><Relationship Id="rId5" Type="http://schemas.openxmlformats.org/officeDocument/2006/relationships/ctrlProp" Target="../ctrlProps/ctrlProp9.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18" Type="http://schemas.openxmlformats.org/officeDocument/2006/relationships/ctrlProp" Target="../ctrlProps/ctrlProp24.xml"/><Relationship Id="rId3" Type="http://schemas.openxmlformats.org/officeDocument/2006/relationships/vmlDrawing" Target="../drawings/vmlDrawing5.vml"/><Relationship Id="rId21" Type="http://schemas.openxmlformats.org/officeDocument/2006/relationships/ctrlProp" Target="../ctrlProps/ctrlProp27.x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2" Type="http://schemas.openxmlformats.org/officeDocument/2006/relationships/drawing" Target="../drawings/drawing9.xml"/><Relationship Id="rId16" Type="http://schemas.openxmlformats.org/officeDocument/2006/relationships/ctrlProp" Target="../ctrlProps/ctrlProp22.xml"/><Relationship Id="rId20" Type="http://schemas.openxmlformats.org/officeDocument/2006/relationships/ctrlProp" Target="../ctrlProps/ctrlProp26.xml"/><Relationship Id="rId1" Type="http://schemas.openxmlformats.org/officeDocument/2006/relationships/printerSettings" Target="../printerSettings/printerSettings7.bin"/><Relationship Id="rId6" Type="http://schemas.openxmlformats.org/officeDocument/2006/relationships/ctrlProp" Target="../ctrlProps/ctrlProp12.xml"/><Relationship Id="rId11" Type="http://schemas.openxmlformats.org/officeDocument/2006/relationships/ctrlProp" Target="../ctrlProps/ctrlProp17.xml"/><Relationship Id="rId24" Type="http://schemas.openxmlformats.org/officeDocument/2006/relationships/ctrlProp" Target="../ctrlProps/ctrlProp30.xml"/><Relationship Id="rId5" Type="http://schemas.openxmlformats.org/officeDocument/2006/relationships/ctrlProp" Target="../ctrlProps/ctrlProp11.xml"/><Relationship Id="rId15" Type="http://schemas.openxmlformats.org/officeDocument/2006/relationships/ctrlProp" Target="../ctrlProps/ctrlProp21.xml"/><Relationship Id="rId23" Type="http://schemas.openxmlformats.org/officeDocument/2006/relationships/ctrlProp" Target="../ctrlProps/ctrlProp29.xml"/><Relationship Id="rId10" Type="http://schemas.openxmlformats.org/officeDocument/2006/relationships/ctrlProp" Target="../ctrlProps/ctrlProp16.xml"/><Relationship Id="rId19" Type="http://schemas.openxmlformats.org/officeDocument/2006/relationships/ctrlProp" Target="../ctrlProps/ctrlProp25.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92"/>
  <sheetViews>
    <sheetView tabSelected="1" zoomScale="55" zoomScaleNormal="55" zoomScaleSheetLayoutView="70" zoomScalePageLayoutView="10" workbookViewId="0">
      <selection activeCell="E6" sqref="E6"/>
    </sheetView>
  </sheetViews>
  <sheetFormatPr defaultColWidth="9.1796875" defaultRowHeight="13"/>
  <cols>
    <col min="1" max="1" width="8.26953125" style="107" customWidth="1"/>
    <col min="2" max="2" width="8.26953125" style="46" customWidth="1"/>
    <col min="3" max="3" width="13.54296875" style="46" customWidth="1"/>
    <col min="4" max="4" width="9.81640625" style="46" customWidth="1"/>
    <col min="5" max="5" width="9.1796875" style="46" customWidth="1"/>
    <col min="6" max="6" width="8.7265625" style="46" customWidth="1"/>
    <col min="7" max="7" width="2.7265625" style="46" customWidth="1"/>
    <col min="8" max="9" width="8.26953125" style="46" customWidth="1"/>
    <col min="10" max="10" width="13.7265625" style="46" customWidth="1"/>
    <col min="11" max="11" width="10" style="46" customWidth="1"/>
    <col min="12" max="12" width="9.453125" style="46" customWidth="1"/>
    <col min="13" max="13" width="8.7265625" style="46" customWidth="1"/>
    <col min="14" max="14" width="2.7265625" style="46" customWidth="1"/>
    <col min="15" max="15" width="9.1796875" style="46"/>
    <col min="16" max="18" width="10.1796875" style="46" customWidth="1"/>
    <col min="19" max="19" width="10" style="46" bestFit="1" customWidth="1"/>
    <col min="20" max="25" width="9.1796875" style="46"/>
    <col min="26" max="26" width="29.6328125" style="46" customWidth="1"/>
    <col min="27" max="27" width="3.1796875" style="46" customWidth="1"/>
    <col min="28" max="16384" width="9.1796875" style="46"/>
  </cols>
  <sheetData>
    <row r="1" spans="1:27" ht="47.25" customHeight="1">
      <c r="A1" s="516" t="s">
        <v>831</v>
      </c>
      <c r="B1" s="514"/>
      <c r="C1" s="514"/>
      <c r="D1" s="514"/>
      <c r="E1" s="514"/>
      <c r="F1" s="514"/>
      <c r="G1" s="514"/>
      <c r="H1" s="514"/>
      <c r="I1" s="514"/>
      <c r="J1" s="514"/>
      <c r="K1" s="514"/>
      <c r="L1" s="514"/>
      <c r="M1" s="514"/>
      <c r="N1" s="514"/>
      <c r="O1" s="514"/>
      <c r="P1" s="514"/>
      <c r="Q1" s="514"/>
      <c r="R1" s="515"/>
      <c r="S1" s="515"/>
      <c r="T1" s="515"/>
      <c r="U1" s="515"/>
      <c r="V1" s="417"/>
      <c r="W1" s="417"/>
      <c r="X1" s="417"/>
      <c r="Y1" s="417"/>
      <c r="Z1" s="417"/>
      <c r="AA1" s="417"/>
    </row>
    <row r="2" spans="1:27" ht="14.15" customHeight="1">
      <c r="A2" s="398"/>
      <c r="B2" s="399"/>
      <c r="C2" s="399"/>
      <c r="D2" s="399"/>
      <c r="E2" s="399"/>
      <c r="F2" s="399"/>
      <c r="G2" s="399"/>
      <c r="H2" s="399"/>
      <c r="I2" s="399"/>
      <c r="J2" s="399"/>
      <c r="K2" s="399"/>
      <c r="L2" s="399"/>
      <c r="M2" s="399"/>
      <c r="N2" s="399"/>
      <c r="O2" s="412"/>
      <c r="P2" s="399"/>
      <c r="Q2" s="399"/>
      <c r="R2" s="407"/>
      <c r="S2" s="500"/>
      <c r="T2" s="500"/>
      <c r="U2" s="500"/>
      <c r="V2" s="500"/>
      <c r="W2" s="500"/>
      <c r="X2" s="500"/>
      <c r="Y2" s="500"/>
      <c r="Z2" s="500"/>
      <c r="AA2" s="500"/>
    </row>
    <row r="3" spans="1:27" ht="16" customHeight="1">
      <c r="A3" s="400" t="s">
        <v>105</v>
      </c>
      <c r="B3" s="401"/>
      <c r="C3" s="413" t="s">
        <v>106</v>
      </c>
      <c r="D3" s="402"/>
      <c r="E3" s="83"/>
      <c r="F3" s="404" t="s">
        <v>59</v>
      </c>
      <c r="G3" s="403"/>
      <c r="H3" s="399"/>
      <c r="I3" s="399"/>
      <c r="J3" s="403"/>
      <c r="K3" s="405"/>
      <c r="L3" s="406"/>
      <c r="M3" s="407"/>
      <c r="N3" s="407"/>
      <c r="O3" s="500"/>
      <c r="P3" s="1"/>
      <c r="Q3" s="407" t="s">
        <v>77</v>
      </c>
      <c r="R3" s="407"/>
      <c r="S3" s="500"/>
      <c r="T3" s="500"/>
      <c r="U3" s="517" t="s">
        <v>315</v>
      </c>
      <c r="V3" s="500"/>
      <c r="W3" s="500"/>
      <c r="X3" s="500"/>
      <c r="Y3" s="500"/>
      <c r="Z3" s="500"/>
      <c r="AA3" s="500"/>
    </row>
    <row r="4" spans="1:27" ht="14.15" customHeight="1" thickBot="1">
      <c r="A4" s="408"/>
      <c r="B4" s="409"/>
      <c r="C4" s="410"/>
      <c r="D4" s="410"/>
      <c r="E4" s="410"/>
      <c r="F4" s="410"/>
      <c r="G4" s="410"/>
      <c r="H4" s="410"/>
      <c r="I4" s="410"/>
      <c r="J4" s="410"/>
      <c r="K4" s="410"/>
      <c r="L4" s="410"/>
      <c r="M4" s="411"/>
      <c r="N4" s="411"/>
      <c r="O4" s="411"/>
      <c r="P4" s="411"/>
      <c r="Q4" s="411"/>
      <c r="R4" s="407"/>
      <c r="S4" s="500"/>
      <c r="T4" s="500"/>
      <c r="U4" s="500"/>
      <c r="V4" s="500"/>
      <c r="W4" s="500"/>
      <c r="X4" s="500"/>
      <c r="Y4" s="500"/>
      <c r="Z4" s="500"/>
      <c r="AA4" s="500"/>
    </row>
    <row r="5" spans="1:27" ht="19.5" customHeight="1" thickBot="1">
      <c r="A5" s="106" t="s">
        <v>101</v>
      </c>
      <c r="B5" s="81"/>
      <c r="C5" s="47"/>
      <c r="D5" s="47"/>
      <c r="E5" s="48"/>
      <c r="F5" s="47"/>
      <c r="G5" s="72"/>
      <c r="H5" s="583" t="s">
        <v>360</v>
      </c>
      <c r="I5" s="92"/>
      <c r="J5" s="93"/>
      <c r="K5" s="93"/>
      <c r="L5" s="94"/>
      <c r="M5" s="356"/>
      <c r="N5" s="49"/>
      <c r="O5" s="49"/>
      <c r="P5" s="49"/>
      <c r="Q5" s="49"/>
      <c r="R5" s="501"/>
      <c r="S5" s="501"/>
      <c r="T5" s="501"/>
      <c r="U5" s="501"/>
      <c r="V5" s="501"/>
      <c r="W5" s="501"/>
      <c r="X5" s="501"/>
      <c r="Y5" s="501"/>
      <c r="Z5" s="505"/>
      <c r="AA5" s="500"/>
    </row>
    <row r="6" spans="1:27" ht="15.75" customHeight="1">
      <c r="A6" s="454"/>
      <c r="B6" s="508"/>
      <c r="C6" s="206"/>
      <c r="D6" s="788" t="s">
        <v>367</v>
      </c>
      <c r="E6" s="728">
        <v>10</v>
      </c>
      <c r="F6" s="789" t="s">
        <v>0</v>
      </c>
      <c r="G6" s="90"/>
      <c r="H6" s="454"/>
      <c r="I6" s="508"/>
      <c r="J6" s="206"/>
      <c r="K6" s="509" t="s">
        <v>835</v>
      </c>
      <c r="L6" s="785">
        <f>Lmin</f>
        <v>11.81911216258405</v>
      </c>
      <c r="M6" s="624" t="s">
        <v>96</v>
      </c>
      <c r="N6" s="49"/>
      <c r="O6" s="49"/>
      <c r="P6" s="49"/>
      <c r="Q6" s="49"/>
      <c r="R6" s="82"/>
      <c r="S6" s="82"/>
      <c r="T6" s="75"/>
      <c r="U6" s="75"/>
      <c r="V6" s="75"/>
      <c r="W6" s="75"/>
      <c r="X6" s="75"/>
      <c r="Y6" s="75"/>
      <c r="Z6" s="506"/>
      <c r="AA6" s="500"/>
    </row>
    <row r="7" spans="1:27" ht="14.25" customHeight="1">
      <c r="A7" s="134"/>
      <c r="B7" s="133"/>
      <c r="C7" s="845"/>
      <c r="D7" s="846" t="s">
        <v>882</v>
      </c>
      <c r="E7" s="143">
        <v>24</v>
      </c>
      <c r="F7" s="427" t="s">
        <v>0</v>
      </c>
      <c r="G7" s="90"/>
      <c r="H7" s="88"/>
      <c r="I7" s="89"/>
      <c r="J7" s="87"/>
      <c r="K7" s="100" t="s">
        <v>836</v>
      </c>
      <c r="L7" s="143">
        <v>12</v>
      </c>
      <c r="M7" s="427" t="s">
        <v>96</v>
      </c>
      <c r="N7" s="49"/>
      <c r="O7" s="49"/>
      <c r="P7" s="49"/>
      <c r="Q7" s="49"/>
      <c r="R7" s="82"/>
      <c r="S7" s="82"/>
      <c r="T7" s="75"/>
      <c r="U7" s="75"/>
      <c r="V7" s="75"/>
      <c r="W7" s="75"/>
      <c r="X7" s="75"/>
      <c r="Y7" s="75"/>
      <c r="Z7" s="506"/>
      <c r="AA7" s="500"/>
    </row>
    <row r="8" spans="1:27" ht="15.75" customHeight="1">
      <c r="A8" s="134"/>
      <c r="B8" s="133"/>
      <c r="C8" s="135"/>
      <c r="D8" s="142" t="s">
        <v>368</v>
      </c>
      <c r="E8" s="143">
        <v>36</v>
      </c>
      <c r="F8" s="427" t="s">
        <v>0</v>
      </c>
      <c r="G8" s="90"/>
      <c r="H8" s="88"/>
      <c r="I8" s="89"/>
      <c r="J8" s="87"/>
      <c r="K8" s="100" t="s">
        <v>525</v>
      </c>
      <c r="L8" s="143">
        <v>30</v>
      </c>
      <c r="M8" s="427" t="s">
        <v>20</v>
      </c>
      <c r="N8" s="49"/>
      <c r="O8" s="49"/>
      <c r="P8" s="49"/>
      <c r="Q8" s="49"/>
      <c r="R8" s="82"/>
      <c r="S8" s="82"/>
      <c r="T8" s="75"/>
      <c r="U8" s="75"/>
      <c r="V8" s="75"/>
      <c r="W8" s="75"/>
      <c r="X8" s="75"/>
      <c r="Y8" s="75"/>
      <c r="Z8" s="506"/>
      <c r="AA8" s="500"/>
    </row>
    <row r="9" spans="1:27" ht="15.75" customHeight="1">
      <c r="A9" s="134"/>
      <c r="B9" s="133"/>
      <c r="C9" s="135"/>
      <c r="D9" s="142" t="s">
        <v>366</v>
      </c>
      <c r="E9" s="581">
        <v>32</v>
      </c>
      <c r="F9" s="144"/>
      <c r="G9" s="90"/>
      <c r="H9" s="88"/>
      <c r="I9" s="89"/>
      <c r="J9" s="87"/>
      <c r="K9" s="100" t="str">
        <f>CHOOSE(MODE, "Secondary Winding DCR", "Secondary Winding #1 DCR")</f>
        <v>Secondary Winding DCR</v>
      </c>
      <c r="L9" s="143">
        <v>30</v>
      </c>
      <c r="M9" s="427" t="s">
        <v>20</v>
      </c>
      <c r="N9" s="49"/>
      <c r="O9" s="49"/>
      <c r="P9" s="49"/>
      <c r="Q9" s="49"/>
      <c r="R9" s="82"/>
      <c r="S9" s="82"/>
      <c r="T9" s="75"/>
      <c r="U9" s="75"/>
      <c r="V9" s="75"/>
      <c r="W9" s="75"/>
      <c r="X9" s="75"/>
      <c r="Y9" s="75"/>
      <c r="Z9" s="506"/>
      <c r="AA9" s="500"/>
    </row>
    <row r="10" spans="1:27" ht="15.75" customHeight="1">
      <c r="A10" s="134"/>
      <c r="B10" s="133"/>
      <c r="C10" s="135"/>
      <c r="D10" s="142" t="str">
        <f>CHOOSE(MODE, "Output Voltage, VOUT ", "Output Voltage, VOUT1")</f>
        <v xml:space="preserve">Output Voltage, VOUT </v>
      </c>
      <c r="E10" s="143">
        <v>16.399999999999999</v>
      </c>
      <c r="F10" s="427" t="s">
        <v>0</v>
      </c>
      <c r="G10" s="90"/>
      <c r="H10" s="88"/>
      <c r="I10" s="89"/>
      <c r="J10" s="87"/>
      <c r="K10" s="100" t="str">
        <f>CHOOSE(MODE, "", "Secondary Winding #2 DCR")</f>
        <v/>
      </c>
      <c r="L10" s="143">
        <v>5</v>
      </c>
      <c r="M10" s="427" t="str">
        <f>CHOOSE(MODE, "", "mΩ")</f>
        <v/>
      </c>
      <c r="N10" s="49"/>
      <c r="O10" s="49"/>
      <c r="P10" s="49"/>
      <c r="Q10" s="49"/>
      <c r="R10" s="82"/>
      <c r="S10" s="82"/>
      <c r="T10" s="75"/>
      <c r="U10" s="75"/>
      <c r="V10" s="75"/>
      <c r="W10" s="75"/>
      <c r="X10" s="75"/>
      <c r="Y10" s="75"/>
      <c r="Z10" s="506"/>
      <c r="AA10" s="500"/>
    </row>
    <row r="11" spans="1:27" ht="15.75" customHeight="1" thickBot="1">
      <c r="A11" s="787"/>
      <c r="B11" s="151"/>
      <c r="C11" s="507"/>
      <c r="D11" s="510" t="str">
        <f>CHOOSE(MODE, "Rated Output Current, IOUT ", "Rated Output Current, IOUT1")</f>
        <v xml:space="preserve">Rated Output Current, IOUT </v>
      </c>
      <c r="E11" s="511">
        <v>1</v>
      </c>
      <c r="F11" s="730" t="s">
        <v>1</v>
      </c>
      <c r="G11" s="90"/>
      <c r="H11" s="88"/>
      <c r="I11" s="75"/>
      <c r="J11" s="75"/>
      <c r="K11" s="100" t="s">
        <v>663</v>
      </c>
      <c r="L11" s="143">
        <v>10</v>
      </c>
      <c r="M11" s="427" t="s">
        <v>662</v>
      </c>
      <c r="N11" s="49"/>
      <c r="O11" s="49"/>
      <c r="P11" s="49"/>
      <c r="Q11" s="49"/>
      <c r="R11" s="82"/>
      <c r="S11" s="82"/>
      <c r="T11" s="75"/>
      <c r="U11" s="75"/>
      <c r="V11" s="75"/>
      <c r="W11" s="75"/>
      <c r="X11" s="75"/>
      <c r="Y11" s="75"/>
      <c r="Z11" s="506"/>
      <c r="AA11" s="500"/>
    </row>
    <row r="12" spans="1:27" ht="15.75" customHeight="1">
      <c r="A12" s="425"/>
      <c r="B12" s="82"/>
      <c r="C12" s="82"/>
      <c r="D12" s="142" t="str">
        <f>CHOOSE(MODE, "", "Output Voltage, VOUT2")</f>
        <v/>
      </c>
      <c r="E12" s="143">
        <v>8</v>
      </c>
      <c r="F12" s="427" t="str">
        <f>CHOOSE(MODE, "", "V", "V")</f>
        <v/>
      </c>
      <c r="G12" s="90"/>
      <c r="H12" s="134"/>
      <c r="I12" s="133"/>
      <c r="J12" s="600"/>
      <c r="K12" s="135" t="s">
        <v>843</v>
      </c>
      <c r="L12" s="780" t="str">
        <f>"1 : "&amp;(ROUND(1/ktr_rcmd*100,0)/100)</f>
        <v>1 : 1.02</v>
      </c>
      <c r="M12" s="626"/>
      <c r="N12" s="49"/>
      <c r="O12" s="49"/>
      <c r="P12" s="49"/>
      <c r="Q12" s="49"/>
      <c r="R12" s="82"/>
      <c r="S12" s="82"/>
      <c r="T12" s="75"/>
      <c r="U12" s="75"/>
      <c r="V12" s="75"/>
      <c r="W12" s="75"/>
      <c r="X12" s="75"/>
      <c r="Y12" s="75"/>
      <c r="Z12" s="506"/>
      <c r="AA12" s="500"/>
    </row>
    <row r="13" spans="1:27" ht="15.75" customHeight="1" thickBot="1">
      <c r="A13" s="787"/>
      <c r="B13" s="151"/>
      <c r="C13" s="507"/>
      <c r="D13" s="510" t="str">
        <f>CHOOSE(MODE, "", "Rated Output Current, IOUT2")</f>
        <v/>
      </c>
      <c r="E13" s="511">
        <v>0.25</v>
      </c>
      <c r="F13" s="730" t="str">
        <f>CHOOSE(MODE, "", "A", "A")</f>
        <v/>
      </c>
      <c r="G13" s="90"/>
      <c r="H13" s="88"/>
      <c r="I13" s="89"/>
      <c r="J13" s="87"/>
      <c r="K13" s="86" t="str">
        <f>IF(MODE=1, "Transformer Turns Ratio, Pri : Sec", "Turns Ratio, PRI : SEC1")</f>
        <v>Transformer Turns Ratio, Pri : Sec</v>
      </c>
      <c r="L13" s="432"/>
      <c r="M13" s="453"/>
      <c r="N13" s="49"/>
      <c r="O13" s="49"/>
      <c r="P13" s="49"/>
      <c r="Q13" s="49"/>
      <c r="R13" s="82"/>
      <c r="S13" s="82"/>
      <c r="T13" s="75"/>
      <c r="U13" s="75"/>
      <c r="V13" s="75"/>
      <c r="W13" s="75"/>
      <c r="X13" s="75"/>
      <c r="Y13" s="75"/>
      <c r="Z13" s="506"/>
      <c r="AA13" s="500"/>
    </row>
    <row r="14" spans="1:27" ht="15.75" customHeight="1">
      <c r="A14" s="133"/>
      <c r="B14" s="133"/>
      <c r="C14" s="135"/>
      <c r="D14" s="142"/>
      <c r="E14" s="94"/>
      <c r="F14" s="757"/>
      <c r="G14" s="90"/>
      <c r="H14" s="134"/>
      <c r="I14" s="133"/>
      <c r="J14" s="135"/>
      <c r="K14" s="87" t="str">
        <f>CHOOSE(MODE, "Diode Max Rev Voltage (Spike Not Included)", "Turns Ratio, SEC2 : SEC1")</f>
        <v>Diode Max Rev Voltage (Spike Not Included)</v>
      </c>
      <c r="L14" s="622">
        <f>CHOOSE(MODE, ROUND(VRRM_DIODE,0), ROUND(Nsec1sec2,2))</f>
        <v>52</v>
      </c>
      <c r="M14" s="453" t="str">
        <f>CHOOSE(MODE, "V", "")</f>
        <v>V</v>
      </c>
      <c r="N14" s="49"/>
      <c r="O14" s="49"/>
      <c r="P14" s="49"/>
      <c r="Q14" s="49"/>
      <c r="R14" s="82"/>
      <c r="S14" s="82"/>
      <c r="T14" s="75"/>
      <c r="U14" s="75"/>
      <c r="V14" s="75"/>
      <c r="W14" s="75"/>
      <c r="X14" s="75"/>
      <c r="Y14" s="75"/>
      <c r="Z14" s="506"/>
      <c r="AA14" s="500"/>
    </row>
    <row r="15" spans="1:27" ht="15.75" customHeight="1" thickBot="1">
      <c r="A15" s="758" t="s">
        <v>873</v>
      </c>
      <c r="B15" s="49"/>
      <c r="C15" s="49"/>
      <c r="D15" s="87"/>
      <c r="E15" s="49"/>
      <c r="F15" s="89"/>
      <c r="G15" s="90"/>
      <c r="H15" s="134"/>
      <c r="I15" s="133"/>
      <c r="J15" s="600"/>
      <c r="K15" s="135" t="s">
        <v>658</v>
      </c>
      <c r="L15" s="780">
        <f>CHOOSE(MODE, 'Calculations - Single'!M212, 'Calculations - Dual'!N212)*100</f>
        <v>63.23746668382644</v>
      </c>
      <c r="M15" s="626" t="s">
        <v>659</v>
      </c>
      <c r="N15" s="49"/>
      <c r="O15" s="49"/>
      <c r="P15" s="49"/>
      <c r="Q15" s="49"/>
      <c r="R15" s="82"/>
      <c r="S15" s="82"/>
      <c r="T15" s="75"/>
      <c r="U15" s="75"/>
      <c r="V15" s="75"/>
      <c r="W15" s="75"/>
      <c r="X15" s="75"/>
      <c r="Y15" s="75"/>
      <c r="Z15" s="506"/>
      <c r="AA15" s="500"/>
    </row>
    <row r="16" spans="1:27" ht="15.75" customHeight="1" thickBot="1">
      <c r="A16" s="422"/>
      <c r="B16" s="584"/>
      <c r="C16" s="584"/>
      <c r="D16" s="509" t="s">
        <v>847</v>
      </c>
      <c r="E16" s="786">
        <f>RCSmin*1000</f>
        <v>15.926465234801602</v>
      </c>
      <c r="F16" s="729" t="s">
        <v>20</v>
      </c>
      <c r="G16" s="90"/>
      <c r="H16" s="601"/>
      <c r="I16" s="504"/>
      <c r="J16" s="104"/>
      <c r="K16" s="507" t="s">
        <v>605</v>
      </c>
      <c r="L16" s="628">
        <f>CHOOSE(MODE, 'Calculations - Single'!N212,'Calculations - Dual'!O212+'Calculations - Dual'!P212)</f>
        <v>20.790693749132117</v>
      </c>
      <c r="M16" s="627" t="s">
        <v>45</v>
      </c>
      <c r="N16" s="49"/>
      <c r="O16" s="49"/>
      <c r="P16" s="49"/>
      <c r="Q16" s="49"/>
      <c r="R16" s="82"/>
      <c r="S16" s="82"/>
      <c r="T16" s="75"/>
      <c r="U16" s="75"/>
      <c r="V16" s="75"/>
      <c r="W16" s="75"/>
      <c r="X16" s="75"/>
      <c r="Y16" s="75"/>
      <c r="Z16" s="506"/>
      <c r="AA16" s="500"/>
    </row>
    <row r="17" spans="1:27" ht="15.75" customHeight="1" thickBot="1">
      <c r="A17" s="88"/>
      <c r="B17" s="49"/>
      <c r="C17" s="49"/>
      <c r="D17" s="100" t="s">
        <v>772</v>
      </c>
      <c r="E17" s="150">
        <v>15</v>
      </c>
      <c r="F17" s="427" t="s">
        <v>20</v>
      </c>
      <c r="G17" s="91"/>
      <c r="H17" s="82"/>
      <c r="I17" s="82"/>
      <c r="J17" s="82"/>
      <c r="K17" s="82"/>
      <c r="L17" s="82"/>
      <c r="M17" s="82"/>
      <c r="N17" s="49"/>
      <c r="O17" s="49"/>
      <c r="P17" s="49"/>
      <c r="Q17" s="49"/>
      <c r="R17" s="82"/>
      <c r="S17" s="82"/>
      <c r="T17" s="75"/>
      <c r="U17" s="75"/>
      <c r="V17" s="75"/>
      <c r="W17" s="75"/>
      <c r="X17" s="75"/>
      <c r="Y17" s="75"/>
      <c r="Z17" s="506"/>
      <c r="AA17" s="500"/>
    </row>
    <row r="18" spans="1:27" ht="15.75" customHeight="1">
      <c r="A18" s="106"/>
      <c r="B18" s="92"/>
      <c r="C18" s="790"/>
      <c r="D18" s="87" t="s">
        <v>795</v>
      </c>
      <c r="E18" s="791">
        <f>Isw_max</f>
        <v>6.666666666666667</v>
      </c>
      <c r="F18" s="453" t="s">
        <v>1</v>
      </c>
      <c r="G18" s="586"/>
      <c r="H18" s="799"/>
      <c r="I18" s="584"/>
      <c r="J18" s="575"/>
      <c r="K18" s="509" t="s">
        <v>871</v>
      </c>
      <c r="L18" s="575">
        <v>100</v>
      </c>
      <c r="M18" s="815" t="s">
        <v>136</v>
      </c>
      <c r="N18" s="49"/>
      <c r="O18" s="49"/>
      <c r="P18" s="49"/>
      <c r="Q18" s="49"/>
      <c r="R18" s="82"/>
      <c r="S18" s="82"/>
      <c r="T18" s="75"/>
      <c r="U18" s="75"/>
      <c r="V18" s="75"/>
      <c r="W18" s="75"/>
      <c r="X18" s="75"/>
      <c r="Y18" s="75"/>
      <c r="Z18" s="506"/>
      <c r="AA18" s="500"/>
    </row>
    <row r="19" spans="1:27" ht="19.5" customHeight="1" thickBot="1">
      <c r="A19" s="753"/>
      <c r="B19" s="792"/>
      <c r="C19" s="793"/>
      <c r="D19" s="794" t="s">
        <v>844</v>
      </c>
      <c r="E19" s="795">
        <f>IF(MODE, RCS*'Calculations - Single'!BD210^2, RCS*'Calculations - Dual'!BA210^2)*1.21</f>
        <v>110.17667927642967</v>
      </c>
      <c r="F19" s="796" t="s">
        <v>293</v>
      </c>
      <c r="G19" s="587"/>
      <c r="H19" s="806"/>
      <c r="I19" s="503"/>
      <c r="J19" s="560"/>
      <c r="K19" s="208" t="s">
        <v>872</v>
      </c>
      <c r="L19" s="560">
        <v>100</v>
      </c>
      <c r="M19" s="816" t="s">
        <v>15</v>
      </c>
      <c r="N19" s="49"/>
      <c r="O19" s="49"/>
      <c r="P19" s="49"/>
      <c r="Q19" s="49"/>
      <c r="R19" s="82"/>
      <c r="S19" s="82"/>
      <c r="T19" s="75"/>
      <c r="U19" s="75"/>
      <c r="V19" s="75"/>
      <c r="W19" s="75"/>
      <c r="X19" s="75"/>
      <c r="Y19" s="75"/>
      <c r="Z19" s="506"/>
      <c r="AA19" s="500"/>
    </row>
    <row r="20" spans="1:27" ht="19.5" customHeight="1">
      <c r="A20" s="75"/>
      <c r="B20" s="92"/>
      <c r="C20" s="93"/>
      <c r="D20" s="93"/>
      <c r="E20" s="94"/>
      <c r="F20" s="93"/>
      <c r="G20" s="90"/>
      <c r="H20" s="82"/>
      <c r="I20" s="82"/>
      <c r="J20" s="82"/>
      <c r="K20" s="82"/>
      <c r="L20" s="82"/>
      <c r="M20" s="82"/>
      <c r="N20" s="49"/>
      <c r="O20" s="49"/>
      <c r="P20" s="49"/>
      <c r="Q20" s="49"/>
      <c r="R20" s="82"/>
      <c r="S20" s="82"/>
      <c r="T20" s="75"/>
      <c r="U20" s="75"/>
      <c r="V20" s="75"/>
      <c r="W20" s="75"/>
      <c r="X20" s="75"/>
      <c r="Y20" s="75"/>
      <c r="Z20" s="506"/>
      <c r="AA20" s="500"/>
    </row>
    <row r="21" spans="1:27" ht="19.5" customHeight="1" thickBot="1">
      <c r="A21" s="758" t="s">
        <v>860</v>
      </c>
      <c r="B21" s="92"/>
      <c r="C21" s="93"/>
      <c r="D21" s="93"/>
      <c r="E21" s="94"/>
      <c r="F21" s="93"/>
      <c r="G21" s="90"/>
      <c r="H21" s="82"/>
      <c r="I21" s="82"/>
      <c r="J21" s="82"/>
      <c r="K21" s="82"/>
      <c r="L21" s="82"/>
      <c r="M21" s="82"/>
      <c r="N21" s="49"/>
      <c r="O21" s="49"/>
      <c r="P21" s="49"/>
      <c r="Q21" s="49"/>
      <c r="R21" s="82"/>
      <c r="S21" s="82"/>
      <c r="T21" s="75"/>
      <c r="U21" s="75"/>
      <c r="V21" s="75"/>
      <c r="W21" s="75"/>
      <c r="X21" s="75"/>
      <c r="Y21" s="75"/>
      <c r="Z21" s="506"/>
      <c r="AA21" s="500"/>
    </row>
    <row r="22" spans="1:27" ht="19.5" customHeight="1">
      <c r="A22" s="799"/>
      <c r="B22" s="800"/>
      <c r="C22" s="801"/>
      <c r="D22" s="802" t="s">
        <v>855</v>
      </c>
      <c r="E22" s="803">
        <f>MAX(Vout_eff*Nps,Vout2_actual*Nps/Nsec1sec2)*1.2</f>
        <v>20.159999999999997</v>
      </c>
      <c r="F22" s="804" t="s">
        <v>0</v>
      </c>
      <c r="G22" s="90"/>
      <c r="H22" s="834"/>
      <c r="I22" s="584"/>
      <c r="J22" s="584"/>
      <c r="K22" s="850" t="s">
        <v>848</v>
      </c>
      <c r="L22" s="728">
        <v>20</v>
      </c>
      <c r="M22" s="729" t="s">
        <v>20</v>
      </c>
      <c r="N22" s="49"/>
      <c r="O22" s="49"/>
      <c r="P22" s="49"/>
      <c r="Q22" s="49"/>
      <c r="R22" s="82"/>
      <c r="S22" s="82"/>
      <c r="T22" s="75"/>
      <c r="U22" s="75"/>
      <c r="V22" s="75"/>
      <c r="W22" s="75"/>
      <c r="X22" s="75"/>
      <c r="Y22" s="75"/>
      <c r="Z22" s="506"/>
      <c r="AA22" s="500"/>
    </row>
    <row r="23" spans="1:27" ht="19.5" customHeight="1" thickBot="1">
      <c r="A23" s="805"/>
      <c r="B23" s="92"/>
      <c r="C23" s="93"/>
      <c r="D23" s="86" t="s">
        <v>856</v>
      </c>
      <c r="E23" s="817">
        <v>24</v>
      </c>
      <c r="F23" s="752" t="s">
        <v>0</v>
      </c>
      <c r="G23" s="90"/>
      <c r="H23" s="88"/>
      <c r="I23" s="49"/>
      <c r="J23" s="814"/>
      <c r="K23" s="835" t="s">
        <v>857</v>
      </c>
      <c r="L23" s="840">
        <f>0.00000005*1*1000000000</f>
        <v>50</v>
      </c>
      <c r="M23" s="851" t="s">
        <v>31</v>
      </c>
      <c r="N23" s="49"/>
      <c r="O23" s="49"/>
      <c r="P23" s="49"/>
      <c r="Q23" s="49"/>
      <c r="R23" s="82"/>
      <c r="S23" s="82"/>
      <c r="T23" s="75"/>
      <c r="U23" s="75"/>
      <c r="V23" s="75"/>
      <c r="W23" s="75"/>
      <c r="X23" s="75"/>
      <c r="Y23" s="75"/>
      <c r="Z23" s="506"/>
      <c r="AA23" s="500"/>
    </row>
    <row r="24" spans="1:27" ht="19.5" customHeight="1">
      <c r="A24" s="425"/>
      <c r="B24" s="92"/>
      <c r="C24" s="790"/>
      <c r="D24" s="87" t="s">
        <v>851</v>
      </c>
      <c r="E24" s="791">
        <f>E8+E23*1.25</f>
        <v>66</v>
      </c>
      <c r="F24" s="453" t="s">
        <v>0</v>
      </c>
      <c r="G24" s="832"/>
      <c r="H24" s="798"/>
      <c r="I24" s="49"/>
      <c r="J24" s="49"/>
      <c r="K24" s="100" t="s">
        <v>858</v>
      </c>
      <c r="L24" s="143">
        <v>25</v>
      </c>
      <c r="M24" s="852" t="s">
        <v>31</v>
      </c>
      <c r="N24" s="49"/>
      <c r="O24" s="49"/>
      <c r="P24" s="49"/>
      <c r="Q24" s="49"/>
      <c r="R24" s="82"/>
      <c r="S24" s="82"/>
      <c r="T24" s="75"/>
      <c r="U24" s="75"/>
      <c r="V24" s="75"/>
      <c r="W24" s="75"/>
      <c r="X24" s="75"/>
      <c r="Y24" s="75"/>
      <c r="Z24" s="506"/>
      <c r="AA24" s="500"/>
    </row>
    <row r="25" spans="1:27" ht="19.5" customHeight="1" thickBot="1">
      <c r="A25" s="425"/>
      <c r="B25" s="92"/>
      <c r="C25" s="93"/>
      <c r="D25" s="87" t="s">
        <v>852</v>
      </c>
      <c r="E25" s="807" t="s">
        <v>854</v>
      </c>
      <c r="F25" s="752"/>
      <c r="G25" s="833"/>
      <c r="H25" s="88"/>
      <c r="I25" s="49"/>
      <c r="J25" s="49"/>
      <c r="K25" s="149" t="s">
        <v>859</v>
      </c>
      <c r="L25" s="143">
        <v>150</v>
      </c>
      <c r="M25" s="852" t="s">
        <v>15</v>
      </c>
      <c r="N25" s="49"/>
      <c r="O25" s="49"/>
      <c r="P25" s="49"/>
      <c r="Q25" s="49"/>
      <c r="R25" s="82"/>
      <c r="S25" s="82"/>
      <c r="T25" s="75"/>
      <c r="U25" s="75"/>
      <c r="V25" s="75"/>
      <c r="W25" s="75"/>
      <c r="X25" s="75"/>
      <c r="Y25" s="75"/>
      <c r="Z25" s="506"/>
      <c r="AA25" s="500"/>
    </row>
    <row r="26" spans="1:27" ht="19.5" customHeight="1" thickBot="1">
      <c r="A26" s="806"/>
      <c r="B26" s="754"/>
      <c r="C26" s="755"/>
      <c r="D26" s="208" t="s">
        <v>853</v>
      </c>
      <c r="E26" s="808" t="str">
        <f>IF(VIN_min&lt;7, "No", "Yes")</f>
        <v>Yes</v>
      </c>
      <c r="F26" s="756"/>
      <c r="G26" s="90"/>
      <c r="H26" s="853"/>
      <c r="I26" s="504"/>
      <c r="J26" s="854"/>
      <c r="K26" s="855" t="s">
        <v>887</v>
      </c>
      <c r="L26" s="857">
        <f>'Variable Mgmt'!L112</f>
        <v>0.99884311444995588</v>
      </c>
      <c r="M26" s="856" t="s">
        <v>45</v>
      </c>
      <c r="N26" s="49"/>
      <c r="O26" s="49"/>
      <c r="P26" s="49"/>
      <c r="Q26" s="49"/>
      <c r="R26" s="82"/>
      <c r="S26" s="82"/>
      <c r="T26" s="75"/>
      <c r="U26" s="75"/>
      <c r="V26" s="75"/>
      <c r="W26" s="75"/>
      <c r="X26" s="75"/>
      <c r="Y26" s="75"/>
      <c r="Z26" s="506"/>
      <c r="AA26" s="500"/>
    </row>
    <row r="27" spans="1:27" ht="19.5" customHeight="1">
      <c r="A27" s="75"/>
      <c r="B27" s="92"/>
      <c r="C27" s="93"/>
      <c r="D27" s="87"/>
      <c r="E27" s="797"/>
      <c r="F27" s="93"/>
      <c r="G27" s="90"/>
      <c r="H27" s="82"/>
      <c r="I27" s="82"/>
      <c r="J27" s="82"/>
      <c r="K27" s="82"/>
      <c r="L27" s="82"/>
      <c r="M27" s="82"/>
      <c r="N27" s="49"/>
      <c r="O27" s="49"/>
      <c r="P27" s="49"/>
      <c r="Q27" s="49"/>
      <c r="R27" s="82"/>
      <c r="S27" s="82"/>
      <c r="T27" s="75"/>
      <c r="U27" s="75"/>
      <c r="V27" s="75"/>
      <c r="W27" s="75"/>
      <c r="X27" s="75"/>
      <c r="Y27" s="75"/>
      <c r="Z27" s="506"/>
      <c r="AA27" s="500"/>
    </row>
    <row r="28" spans="1:27" ht="19.5" customHeight="1" thickBot="1">
      <c r="A28" s="106" t="s">
        <v>861</v>
      </c>
      <c r="B28" s="92"/>
      <c r="C28" s="93"/>
      <c r="D28" s="93"/>
      <c r="E28" s="94"/>
      <c r="F28" s="93"/>
      <c r="G28" s="90"/>
      <c r="H28" s="831" t="s">
        <v>874</v>
      </c>
      <c r="I28" s="82"/>
      <c r="J28" s="82"/>
      <c r="K28" s="82"/>
      <c r="L28" s="82"/>
      <c r="M28" s="82"/>
      <c r="N28" s="49"/>
      <c r="O28" s="49"/>
      <c r="P28" s="49"/>
      <c r="Q28" s="49"/>
      <c r="R28" s="82"/>
      <c r="S28" s="82"/>
      <c r="T28" s="75"/>
      <c r="U28" s="75"/>
      <c r="V28" s="75"/>
      <c r="W28" s="75"/>
      <c r="X28" s="75"/>
      <c r="Y28" s="75"/>
      <c r="Z28" s="506"/>
      <c r="AA28" s="500"/>
    </row>
    <row r="29" spans="1:27" ht="15.75" customHeight="1" thickBot="1">
      <c r="A29" s="385"/>
      <c r="B29" s="574"/>
      <c r="C29" s="575"/>
      <c r="D29" s="206" t="s">
        <v>314</v>
      </c>
      <c r="E29" s="609">
        <f>'Variable Mgmt'!B151</f>
        <v>2.2000000000000002</v>
      </c>
      <c r="F29" s="428" t="s">
        <v>97</v>
      </c>
      <c r="G29" s="90"/>
      <c r="H29" s="566"/>
      <c r="I29" s="501"/>
      <c r="J29" s="501"/>
      <c r="K29" s="837" t="str">
        <f>CHOOSE(MODE, "Min Diode Voltage Rating","Min Diode Voltage Rating, Output #1")</f>
        <v>Min Diode Voltage Rating</v>
      </c>
      <c r="L29" s="859">
        <f>(VIN_max/Nps+Vout)*1.3</f>
        <v>68.12</v>
      </c>
      <c r="M29" s="860" t="s">
        <v>0</v>
      </c>
      <c r="N29" s="49"/>
      <c r="O29" s="566"/>
      <c r="P29" s="501"/>
      <c r="Q29" s="501"/>
      <c r="R29" s="837" t="s">
        <v>877</v>
      </c>
      <c r="S29" s="859">
        <f>(VIN_max/Npri_sec2+Vout2)*1.3</f>
        <v>33.663157894736848</v>
      </c>
      <c r="T29" s="860" t="s">
        <v>0</v>
      </c>
      <c r="U29" s="75"/>
      <c r="V29" s="75"/>
      <c r="W29" s="75"/>
      <c r="X29" s="75"/>
      <c r="Y29" s="75"/>
      <c r="Z29" s="506"/>
      <c r="AA29" s="500"/>
    </row>
    <row r="30" spans="1:27" ht="15.75" customHeight="1" thickBot="1">
      <c r="A30" s="97"/>
      <c r="B30" s="89"/>
      <c r="C30" s="96"/>
      <c r="D30" s="100" t="s">
        <v>141</v>
      </c>
      <c r="E30" s="98">
        <v>22</v>
      </c>
      <c r="F30" s="429" t="s">
        <v>97</v>
      </c>
      <c r="G30" s="90"/>
      <c r="H30" s="425"/>
      <c r="I30" s="82"/>
      <c r="J30" s="82"/>
      <c r="K30" s="836" t="str">
        <f>CHOOSE(MODE, "Min Diode DC Current Rating","Min Diode DC Current Rating, Output #1")</f>
        <v>Min Diode DC Current Rating</v>
      </c>
      <c r="L30" s="861">
        <f>MAX(E11*3,0.5)</f>
        <v>3</v>
      </c>
      <c r="M30" s="862" t="s">
        <v>1</v>
      </c>
      <c r="N30" s="841"/>
      <c r="O30" s="425"/>
      <c r="P30" s="82"/>
      <c r="Q30" s="82"/>
      <c r="R30" s="836" t="s">
        <v>878</v>
      </c>
      <c r="S30" s="861">
        <f>MAX(E13*3,0.5)</f>
        <v>0.75</v>
      </c>
      <c r="T30" s="862" t="s">
        <v>1</v>
      </c>
      <c r="U30" s="75"/>
      <c r="V30" s="75"/>
      <c r="W30" s="75"/>
      <c r="X30" s="75"/>
      <c r="Y30" s="75"/>
      <c r="Z30" s="506"/>
      <c r="AA30" s="500"/>
    </row>
    <row r="31" spans="1:27" ht="15.75" customHeight="1" thickBot="1">
      <c r="A31" s="97"/>
      <c r="B31" s="89"/>
      <c r="C31" s="148"/>
      <c r="D31" s="142" t="s">
        <v>104</v>
      </c>
      <c r="E31" s="147">
        <v>3</v>
      </c>
      <c r="F31" s="430" t="s">
        <v>20</v>
      </c>
      <c r="G31" s="90"/>
      <c r="H31" s="806"/>
      <c r="I31" s="503"/>
      <c r="J31" s="503"/>
      <c r="K31" s="839" t="str">
        <f>CHOOSE(MODE, "Select  Diode Forward Drop VF","Select  Diode Forward Drop VF, Output #1")</f>
        <v>Select  Diode Forward Drop VF</v>
      </c>
      <c r="L31" s="863">
        <v>0.7</v>
      </c>
      <c r="M31" s="864" t="s">
        <v>0</v>
      </c>
      <c r="N31" s="49"/>
      <c r="O31" s="806"/>
      <c r="P31" s="503"/>
      <c r="Q31" s="503"/>
      <c r="R31" s="839" t="s">
        <v>923</v>
      </c>
      <c r="S31" s="863">
        <v>0.5</v>
      </c>
      <c r="T31" s="864" t="s">
        <v>0</v>
      </c>
      <c r="U31" s="75"/>
      <c r="V31" s="75"/>
      <c r="W31" s="75"/>
      <c r="X31" s="75"/>
      <c r="Y31" s="75"/>
      <c r="Z31" s="506"/>
      <c r="AA31" s="500"/>
    </row>
    <row r="32" spans="1:27" ht="15.75" customHeight="1" thickBot="1">
      <c r="A32" s="101"/>
      <c r="B32" s="102"/>
      <c r="C32" s="108"/>
      <c r="D32" s="208" t="s">
        <v>496</v>
      </c>
      <c r="E32" s="209">
        <f>Vinripple2*1000</f>
        <v>91.846642149779058</v>
      </c>
      <c r="F32" s="105" t="s">
        <v>103</v>
      </c>
      <c r="G32" s="90"/>
      <c r="H32" s="902" t="s">
        <v>926</v>
      </c>
      <c r="I32" s="49"/>
      <c r="J32" s="49"/>
      <c r="K32" s="49"/>
      <c r="L32" s="49"/>
      <c r="M32" s="49"/>
      <c r="N32" s="49"/>
      <c r="O32" s="49"/>
      <c r="P32" s="49"/>
      <c r="Q32" s="49"/>
      <c r="R32" s="82"/>
      <c r="S32" s="82"/>
      <c r="T32" s="75"/>
      <c r="U32" s="75"/>
      <c r="V32" s="75"/>
      <c r="W32" s="75"/>
      <c r="X32" s="75"/>
      <c r="Y32" s="75"/>
      <c r="Z32" s="506"/>
      <c r="AA32" s="500"/>
    </row>
    <row r="33" spans="1:27" ht="15.75" customHeight="1" thickBot="1">
      <c r="A33" s="422"/>
      <c r="B33" s="423"/>
      <c r="C33" s="424"/>
      <c r="D33" s="424" t="str">
        <f>CHOOSE(MODE, "Minimum Output Capacitance", "Minimum Output Capacitance, Output #1")</f>
        <v>Minimum Output Capacitance</v>
      </c>
      <c r="E33" s="621">
        <f>'Variable Mgmt'!B126</f>
        <v>38.285714285714299</v>
      </c>
      <c r="F33" s="428" t="s">
        <v>97</v>
      </c>
      <c r="G33" s="585"/>
      <c r="H33" s="575"/>
      <c r="I33" s="584"/>
      <c r="J33" s="501"/>
      <c r="K33" s="424" t="str">
        <f>CHOOSE(MODE, "", "Minimum Output Capacitance, Output #2")</f>
        <v/>
      </c>
      <c r="L33" s="621">
        <f>'Variable Mgmt'!B136</f>
        <v>5.7889712095772259</v>
      </c>
      <c r="M33" s="428" t="s">
        <v>97</v>
      </c>
      <c r="N33" s="49"/>
      <c r="O33" s="49"/>
      <c r="P33" s="49"/>
      <c r="Q33" s="49"/>
      <c r="R33" s="82"/>
      <c r="S33" s="82"/>
      <c r="T33" s="75"/>
      <c r="U33" s="75"/>
      <c r="V33" s="75"/>
      <c r="W33" s="75"/>
      <c r="X33" s="75"/>
      <c r="Y33" s="75"/>
      <c r="Z33" s="506"/>
      <c r="AA33" s="500"/>
    </row>
    <row r="34" spans="1:27" ht="15.75" customHeight="1">
      <c r="A34" s="88"/>
      <c r="B34" s="89"/>
      <c r="C34" s="135"/>
      <c r="D34" s="149" t="s">
        <v>140</v>
      </c>
      <c r="E34" s="143">
        <v>110</v>
      </c>
      <c r="F34" s="427" t="s">
        <v>97</v>
      </c>
      <c r="G34" s="586"/>
      <c r="H34" s="89"/>
      <c r="I34" s="49"/>
      <c r="J34" s="75"/>
      <c r="K34" s="149" t="s">
        <v>532</v>
      </c>
      <c r="L34" s="143">
        <v>55</v>
      </c>
      <c r="M34" s="427" t="s">
        <v>97</v>
      </c>
      <c r="N34" s="49"/>
      <c r="O34" s="902" t="s">
        <v>922</v>
      </c>
      <c r="P34" s="49"/>
      <c r="Q34" s="49"/>
      <c r="R34" s="82"/>
      <c r="S34" s="82"/>
      <c r="T34" s="75"/>
      <c r="U34" s="75"/>
      <c r="V34" s="75"/>
      <c r="W34" s="75"/>
      <c r="X34" s="75"/>
      <c r="Y34" s="75"/>
      <c r="Z34" s="506"/>
      <c r="AA34" s="500"/>
    </row>
    <row r="35" spans="1:27" ht="16.5" customHeight="1" thickBot="1">
      <c r="A35" s="88"/>
      <c r="B35" s="89"/>
      <c r="C35" s="148"/>
      <c r="D35" s="142" t="s">
        <v>533</v>
      </c>
      <c r="E35" s="147">
        <v>2</v>
      </c>
      <c r="F35" s="430" t="s">
        <v>20</v>
      </c>
      <c r="G35" s="587"/>
      <c r="H35" s="89"/>
      <c r="I35" s="49"/>
      <c r="J35" s="75"/>
      <c r="K35" s="142" t="s">
        <v>533</v>
      </c>
      <c r="L35" s="147">
        <v>8</v>
      </c>
      <c r="M35" s="430" t="s">
        <v>20</v>
      </c>
      <c r="N35" s="49"/>
      <c r="O35" s="49"/>
      <c r="P35" s="49"/>
      <c r="Q35" s="49"/>
      <c r="R35" s="82"/>
      <c r="S35" s="82"/>
      <c r="T35" s="75"/>
      <c r="U35" s="75"/>
      <c r="V35" s="75"/>
      <c r="W35" s="75"/>
      <c r="X35" s="75"/>
      <c r="Y35" s="75"/>
      <c r="Z35" s="506"/>
      <c r="AA35" s="500"/>
    </row>
    <row r="36" spans="1:27" ht="15.75" customHeight="1" thickBot="1">
      <c r="A36" s="101"/>
      <c r="B36" s="104"/>
      <c r="C36" s="104"/>
      <c r="D36" s="208" t="str">
        <f>CHOOSE(MODE, "Resulting Output Voltage Ripple", "Resulting Output Voltage Ripple, Output #1")</f>
        <v>Resulting Output Voltage Ripple</v>
      </c>
      <c r="E36" s="209">
        <f>Vripple1_actual</f>
        <v>17.553312269701912</v>
      </c>
      <c r="F36" s="105" t="s">
        <v>103</v>
      </c>
      <c r="G36" s="585"/>
      <c r="H36" s="104"/>
      <c r="I36" s="504"/>
      <c r="J36" s="503"/>
      <c r="K36" s="208" t="str">
        <f>CHOOSE(MODE, "", "Resulting Output Voltage Ripple, Output #2")</f>
        <v/>
      </c>
      <c r="L36" s="209">
        <f>Vripple2_actual</f>
        <v>23.051933837626976</v>
      </c>
      <c r="M36" s="105" t="s">
        <v>103</v>
      </c>
      <c r="N36" s="49"/>
      <c r="O36" s="49"/>
      <c r="P36" s="49"/>
      <c r="Q36" s="49"/>
      <c r="R36" s="82"/>
      <c r="S36" s="82"/>
      <c r="T36" s="75"/>
      <c r="U36" s="75"/>
      <c r="V36" s="75"/>
      <c r="W36" s="75"/>
      <c r="X36" s="75"/>
      <c r="Y36" s="75"/>
      <c r="Z36" s="506"/>
      <c r="AA36" s="500"/>
    </row>
    <row r="37" spans="1:27" ht="13.5" customHeight="1">
      <c r="A37" s="425"/>
      <c r="B37" s="75"/>
      <c r="C37" s="75"/>
      <c r="D37" s="75"/>
      <c r="E37" s="75"/>
      <c r="F37" s="75"/>
      <c r="G37" s="75"/>
      <c r="H37" s="75"/>
      <c r="I37" s="75"/>
      <c r="J37" s="75"/>
      <c r="K37" s="75"/>
      <c r="L37" s="75"/>
      <c r="M37" s="75"/>
      <c r="N37" s="49"/>
      <c r="O37" s="49"/>
      <c r="P37" s="49"/>
      <c r="Q37" s="49"/>
      <c r="R37" s="82"/>
      <c r="S37" s="82"/>
      <c r="T37" s="75"/>
      <c r="U37" s="75"/>
      <c r="V37" s="75"/>
      <c r="W37" s="75"/>
      <c r="X37" s="75"/>
      <c r="Y37" s="75"/>
      <c r="Z37" s="506"/>
      <c r="AA37" s="500"/>
    </row>
    <row r="38" spans="1:27" ht="19.5" customHeight="1" thickBot="1">
      <c r="A38" s="106" t="s">
        <v>879</v>
      </c>
      <c r="B38" s="95"/>
      <c r="C38" s="89"/>
      <c r="D38" s="87"/>
      <c r="E38" s="89"/>
      <c r="F38" s="89"/>
      <c r="G38" s="89"/>
      <c r="H38" s="89"/>
      <c r="I38" s="49"/>
      <c r="J38" s="49"/>
      <c r="K38" s="49"/>
      <c r="L38" s="49"/>
      <c r="M38" s="49"/>
      <c r="N38" s="49"/>
      <c r="O38" s="49"/>
      <c r="P38" s="49"/>
      <c r="Q38" s="49"/>
      <c r="R38" s="82"/>
      <c r="S38" s="82"/>
      <c r="T38" s="75"/>
      <c r="U38" s="75"/>
      <c r="V38" s="75"/>
      <c r="W38" s="75"/>
      <c r="X38" s="75"/>
      <c r="Y38" s="75"/>
      <c r="Z38" s="506"/>
      <c r="AA38" s="500"/>
    </row>
    <row r="39" spans="1:27" ht="15.75" customHeight="1">
      <c r="A39" s="140"/>
      <c r="B39" s="141"/>
      <c r="C39" s="206"/>
      <c r="D39" s="206" t="s">
        <v>370</v>
      </c>
      <c r="E39" s="578">
        <f>Rfb_recommend</f>
        <v>167.99999999999997</v>
      </c>
      <c r="F39" s="513" t="s">
        <v>21</v>
      </c>
      <c r="G39" s="89"/>
      <c r="H39" s="89"/>
      <c r="I39" s="49"/>
      <c r="J39" s="49"/>
      <c r="K39" s="49"/>
      <c r="L39" s="49"/>
      <c r="M39" s="49"/>
      <c r="N39" s="49"/>
      <c r="O39" s="49"/>
      <c r="P39" s="49"/>
      <c r="Q39" s="49"/>
      <c r="R39" s="82"/>
      <c r="S39" s="82"/>
      <c r="T39" s="75"/>
      <c r="U39" s="75"/>
      <c r="V39" s="75"/>
      <c r="W39" s="75"/>
      <c r="X39" s="75"/>
      <c r="Y39" s="75"/>
      <c r="Z39" s="506"/>
      <c r="AA39" s="500"/>
    </row>
    <row r="40" spans="1:27" ht="15.75" customHeight="1" thickBot="1">
      <c r="A40" s="134"/>
      <c r="B40" s="133"/>
      <c r="C40" s="135"/>
      <c r="D40" s="149" t="s">
        <v>369</v>
      </c>
      <c r="E40" s="150">
        <v>168</v>
      </c>
      <c r="F40" s="144" t="str">
        <f>IF(Vout=Vref,"","kΩ")</f>
        <v>kΩ</v>
      </c>
      <c r="G40" s="89"/>
      <c r="H40" s="89"/>
      <c r="I40" s="49"/>
      <c r="J40" s="49"/>
      <c r="K40" s="49"/>
      <c r="L40" s="49"/>
      <c r="M40" s="49"/>
      <c r="N40" s="49"/>
      <c r="O40" s="49"/>
      <c r="P40" s="49"/>
      <c r="Q40" s="49"/>
      <c r="R40" s="82"/>
      <c r="S40" s="82"/>
      <c r="T40" s="75"/>
      <c r="U40" s="75"/>
      <c r="V40" s="75"/>
      <c r="W40" s="75"/>
      <c r="X40" s="75"/>
      <c r="Y40" s="75"/>
      <c r="Z40" s="506"/>
      <c r="AA40" s="500"/>
    </row>
    <row r="41" spans="1:27" ht="14.15" customHeight="1">
      <c r="A41" s="389"/>
      <c r="B41" s="390"/>
      <c r="C41" s="391"/>
      <c r="D41" s="392" t="s">
        <v>292</v>
      </c>
      <c r="E41" s="393" t="s">
        <v>682</v>
      </c>
      <c r="F41" s="394"/>
      <c r="G41" s="90"/>
      <c r="H41" s="89"/>
      <c r="I41" s="49"/>
      <c r="J41" s="49"/>
      <c r="K41" s="49"/>
      <c r="L41" s="49"/>
      <c r="M41" s="49"/>
      <c r="N41" s="49"/>
      <c r="O41" s="49"/>
      <c r="P41" s="49"/>
      <c r="Q41" s="49"/>
      <c r="R41" s="82"/>
      <c r="S41" s="82"/>
      <c r="T41" s="75"/>
      <c r="U41" s="75"/>
      <c r="V41" s="75"/>
      <c r="W41" s="75"/>
      <c r="X41" s="75"/>
      <c r="Y41" s="75"/>
      <c r="Z41" s="506"/>
      <c r="AA41" s="500"/>
    </row>
    <row r="42" spans="1:27" ht="16.5" customHeight="1">
      <c r="A42" s="134"/>
      <c r="B42" s="133"/>
      <c r="C42" s="133"/>
      <c r="D42" s="146" t="str">
        <f>CHOOSE(MODE_SS,"Soft-Start Time","*Leave SS Pin Open or Supply by Ext. Bias")</f>
        <v>*Leave SS Pin Open or Supply by Ext. Bias</v>
      </c>
      <c r="E42" s="147">
        <v>10</v>
      </c>
      <c r="F42" s="144" t="s">
        <v>63</v>
      </c>
      <c r="G42" s="90"/>
      <c r="H42" s="89"/>
      <c r="I42" s="49"/>
      <c r="J42" s="49"/>
      <c r="K42" s="49"/>
      <c r="L42" s="49"/>
      <c r="M42" s="49"/>
      <c r="N42" s="49"/>
      <c r="O42" s="49"/>
      <c r="P42" s="49"/>
      <c r="Q42" s="49"/>
      <c r="R42" s="82"/>
      <c r="S42" s="82"/>
      <c r="T42" s="75"/>
      <c r="U42" s="75"/>
      <c r="V42" s="75"/>
      <c r="W42" s="75"/>
      <c r="X42" s="75"/>
      <c r="Y42" s="75"/>
      <c r="Z42" s="506"/>
      <c r="AA42" s="500"/>
    </row>
    <row r="43" spans="1:27" ht="16.5" customHeight="1" thickBot="1">
      <c r="A43" s="137"/>
      <c r="B43" s="138"/>
      <c r="C43" s="138"/>
      <c r="D43" s="373" t="s">
        <v>142</v>
      </c>
      <c r="E43" s="388">
        <f>IF(Tss&gt;0.0001,Css_u*1000000000,"N/A")</f>
        <v>47</v>
      </c>
      <c r="F43" s="139" t="s">
        <v>56</v>
      </c>
      <c r="G43" s="90"/>
      <c r="H43" s="89"/>
      <c r="I43" s="49"/>
      <c r="J43" s="49"/>
      <c r="K43" s="49"/>
      <c r="L43" s="49"/>
      <c r="M43" s="49"/>
      <c r="N43" s="49"/>
      <c r="O43" s="49"/>
      <c r="P43" s="49"/>
      <c r="Q43" s="49"/>
      <c r="R43" s="82"/>
      <c r="S43" s="82"/>
      <c r="T43" s="75"/>
      <c r="U43" s="75"/>
      <c r="V43" s="75"/>
      <c r="W43" s="75"/>
      <c r="X43" s="75"/>
      <c r="Y43" s="75"/>
      <c r="Z43" s="506"/>
      <c r="AA43" s="500"/>
    </row>
    <row r="44" spans="1:27" ht="15.75" customHeight="1">
      <c r="A44" s="134"/>
      <c r="B44" s="133"/>
      <c r="C44" s="133"/>
      <c r="D44" s="86" t="s">
        <v>381</v>
      </c>
      <c r="E44" s="145"/>
      <c r="F44" s="136"/>
      <c r="G44" s="89"/>
      <c r="H44" s="89"/>
      <c r="I44" s="49"/>
      <c r="J44" s="49"/>
      <c r="K44" s="49"/>
      <c r="L44" s="49"/>
      <c r="M44" s="49"/>
      <c r="N44" s="49"/>
      <c r="O44" s="49"/>
      <c r="P44" s="49"/>
      <c r="Q44" s="49"/>
      <c r="R44" s="82"/>
      <c r="S44" s="82"/>
      <c r="T44" s="75"/>
      <c r="U44" s="75"/>
      <c r="V44" s="75"/>
      <c r="W44" s="75"/>
      <c r="X44" s="75"/>
      <c r="Y44" s="75"/>
      <c r="Z44" s="506"/>
      <c r="AA44" s="500"/>
    </row>
    <row r="45" spans="1:27" ht="15.75" customHeight="1">
      <c r="A45" s="134"/>
      <c r="B45" s="133"/>
      <c r="C45" s="133"/>
      <c r="D45" s="86" t="str">
        <f>CHOOSE(TC,"Diode Voltage Drop Thermal Coefficient","*Leave TC Pin Open")</f>
        <v>*Leave TC Pin Open</v>
      </c>
      <c r="E45" s="582">
        <f>(450-300)/(-55-25)</f>
        <v>-1.875</v>
      </c>
      <c r="F45" s="136" t="s">
        <v>380</v>
      </c>
      <c r="G45" s="89"/>
      <c r="H45" s="89"/>
      <c r="I45" s="49"/>
      <c r="J45" s="49"/>
      <c r="K45" s="49"/>
      <c r="L45" s="49"/>
      <c r="M45" s="49"/>
      <c r="N45" s="49"/>
      <c r="O45" s="49"/>
      <c r="P45" s="49"/>
      <c r="Q45" s="49"/>
      <c r="R45" s="82"/>
      <c r="S45" s="82"/>
      <c r="T45" s="75"/>
      <c r="U45" s="75"/>
      <c r="V45" s="75"/>
      <c r="W45" s="75"/>
      <c r="X45" s="75"/>
      <c r="Y45" s="75"/>
      <c r="Z45" s="506"/>
      <c r="AA45" s="500"/>
    </row>
    <row r="46" spans="1:27" ht="15.75" customHeight="1" thickBot="1">
      <c r="A46" s="137"/>
      <c r="B46" s="151"/>
      <c r="C46" s="151"/>
      <c r="D46" s="507" t="s">
        <v>382</v>
      </c>
      <c r="E46" s="522">
        <f>RTC</f>
        <v>357</v>
      </c>
      <c r="F46" s="523" t="s">
        <v>21</v>
      </c>
      <c r="G46" s="89"/>
      <c r="H46" s="89"/>
      <c r="I46" s="49"/>
      <c r="J46" s="49"/>
      <c r="K46" s="73"/>
      <c r="L46" s="49"/>
      <c r="M46" s="49"/>
      <c r="N46" s="49"/>
      <c r="O46" s="49"/>
      <c r="P46" s="49"/>
      <c r="Q46" s="49"/>
      <c r="R46" s="82"/>
      <c r="S46" s="82"/>
      <c r="T46" s="75"/>
      <c r="U46" s="75"/>
      <c r="V46" s="75"/>
      <c r="W46" s="75"/>
      <c r="X46" s="75"/>
      <c r="Y46" s="75"/>
      <c r="Z46" s="506"/>
      <c r="AA46" s="500"/>
    </row>
    <row r="47" spans="1:27" ht="16.5" customHeight="1">
      <c r="A47" s="454"/>
      <c r="B47" s="508"/>
      <c r="C47" s="508"/>
      <c r="D47" s="818" t="s">
        <v>303</v>
      </c>
      <c r="E47" s="819"/>
      <c r="F47" s="809"/>
      <c r="G47" s="89"/>
      <c r="H47" s="89"/>
      <c r="I47" s="49"/>
      <c r="J47" s="49"/>
      <c r="K47" s="49"/>
      <c r="L47" s="49"/>
      <c r="M47" s="49"/>
      <c r="N47" s="49"/>
      <c r="O47" s="49"/>
      <c r="P47" s="49"/>
      <c r="Q47" s="49"/>
      <c r="R47" s="82"/>
      <c r="S47" s="82"/>
      <c r="T47" s="75"/>
      <c r="U47" s="75"/>
      <c r="V47" s="75"/>
      <c r="W47" s="75"/>
      <c r="X47" s="75"/>
      <c r="Y47" s="75"/>
      <c r="Z47" s="506"/>
      <c r="AA47" s="500"/>
    </row>
    <row r="48" spans="1:27" ht="15.75" customHeight="1">
      <c r="A48" s="134"/>
      <c r="B48" s="133"/>
      <c r="C48" s="148"/>
      <c r="D48" s="149" t="str">
        <f>CHOOSE(MODE_UVLO, "Input UVLO Turn-On Threshold", "*Connect EN pin to VIN or Logic HIGH")</f>
        <v>Input UVLO Turn-On Threshold</v>
      </c>
      <c r="E48" s="150">
        <v>9.5</v>
      </c>
      <c r="F48" s="144" t="s">
        <v>0</v>
      </c>
      <c r="G48" s="89"/>
      <c r="H48" s="89"/>
      <c r="I48" s="82"/>
      <c r="J48" s="82"/>
      <c r="K48" s="82"/>
      <c r="L48" s="210"/>
      <c r="M48" s="49"/>
      <c r="N48" s="49"/>
      <c r="O48" s="49"/>
      <c r="P48" s="49"/>
      <c r="Q48" s="49"/>
      <c r="R48" s="82"/>
      <c r="S48" s="82"/>
      <c r="T48" s="75"/>
      <c r="U48" s="75"/>
      <c r="V48" s="75"/>
      <c r="W48" s="75"/>
      <c r="X48" s="75"/>
      <c r="Y48" s="75"/>
      <c r="Z48" s="506"/>
      <c r="AA48" s="500"/>
    </row>
    <row r="49" spans="1:27" ht="15.75" customHeight="1">
      <c r="A49" s="134"/>
      <c r="B49" s="133"/>
      <c r="C49" s="133"/>
      <c r="D49" s="149" t="str">
        <f>CHOOSE(MODE_UVLO, "Input UVLO Turn-Off Threshold", "")</f>
        <v>Input UVLO Turn-Off Threshold</v>
      </c>
      <c r="E49" s="150">
        <v>9</v>
      </c>
      <c r="F49" s="144" t="s">
        <v>0</v>
      </c>
      <c r="G49" s="89"/>
      <c r="H49" s="135"/>
      <c r="I49" s="211"/>
      <c r="J49" s="213"/>
      <c r="K49" s="82"/>
      <c r="L49" s="82"/>
      <c r="M49" s="49"/>
      <c r="N49" s="49"/>
      <c r="O49" s="49"/>
      <c r="P49" s="49"/>
      <c r="Q49" s="49"/>
      <c r="R49" s="82"/>
      <c r="S49" s="82"/>
      <c r="T49" s="75"/>
      <c r="U49" s="75"/>
      <c r="V49" s="75"/>
      <c r="W49" s="75"/>
      <c r="X49" s="75"/>
      <c r="Y49" s="75"/>
      <c r="Z49" s="506"/>
      <c r="AA49" s="500"/>
    </row>
    <row r="50" spans="1:27" ht="15.75" customHeight="1">
      <c r="A50" s="820"/>
      <c r="B50" s="821"/>
      <c r="C50" s="822"/>
      <c r="D50" s="823" t="s">
        <v>821</v>
      </c>
      <c r="E50" s="824">
        <f>'Variable Mgmt'!F181</f>
        <v>36.5</v>
      </c>
      <c r="F50" s="825" t="s">
        <v>21</v>
      </c>
      <c r="G50" s="89"/>
      <c r="H50" s="135"/>
      <c r="I50" s="211"/>
      <c r="J50" s="213"/>
      <c r="K50" s="82"/>
      <c r="L50" s="82"/>
      <c r="M50" s="49"/>
      <c r="N50" s="49"/>
      <c r="O50" s="49"/>
      <c r="P50" s="49"/>
      <c r="Q50" s="49"/>
      <c r="R50" s="82"/>
      <c r="S50" s="82"/>
      <c r="T50" s="75"/>
      <c r="U50" s="75"/>
      <c r="V50" s="75"/>
      <c r="W50" s="75"/>
      <c r="X50" s="75"/>
      <c r="Y50" s="75"/>
      <c r="Z50" s="506"/>
      <c r="AA50" s="500"/>
    </row>
    <row r="51" spans="1:27" ht="15.75" customHeight="1">
      <c r="A51" s="826"/>
      <c r="B51" s="827"/>
      <c r="C51" s="827"/>
      <c r="D51" s="828" t="s">
        <v>822</v>
      </c>
      <c r="E51" s="829">
        <f>'Variable Mgmt'!F182</f>
        <v>6.8100000000000005</v>
      </c>
      <c r="F51" s="830" t="s">
        <v>21</v>
      </c>
      <c r="G51" s="89"/>
      <c r="H51" s="215"/>
      <c r="I51" s="146"/>
      <c r="J51" s="580"/>
      <c r="K51" s="214"/>
      <c r="L51" s="82"/>
      <c r="M51" s="49"/>
      <c r="N51" s="49"/>
      <c r="O51" s="49"/>
      <c r="P51" s="49"/>
      <c r="Q51" s="49"/>
      <c r="R51" s="82"/>
      <c r="S51" s="82"/>
      <c r="T51" s="75"/>
      <c r="U51" s="75"/>
      <c r="V51" s="75"/>
      <c r="W51" s="75"/>
      <c r="X51" s="75"/>
      <c r="Y51" s="75"/>
      <c r="Z51" s="506"/>
      <c r="AA51" s="500"/>
    </row>
    <row r="52" spans="1:27" ht="15.75" customHeight="1">
      <c r="A52" s="134"/>
      <c r="B52" s="133"/>
      <c r="C52" s="133"/>
      <c r="D52" s="135"/>
      <c r="E52" s="777"/>
      <c r="F52" s="75"/>
      <c r="G52" s="89"/>
      <c r="H52" s="215"/>
      <c r="I52" s="146"/>
      <c r="J52" s="580"/>
      <c r="K52" s="214"/>
      <c r="L52" s="82"/>
      <c r="M52" s="49"/>
      <c r="N52" s="49"/>
      <c r="O52" s="49"/>
      <c r="P52" s="49"/>
      <c r="Q52" s="49"/>
      <c r="R52" s="82"/>
      <c r="S52" s="82"/>
      <c r="T52" s="75"/>
      <c r="U52" s="75"/>
      <c r="V52" s="75"/>
      <c r="W52" s="75"/>
      <c r="X52" s="75"/>
      <c r="Y52" s="75"/>
      <c r="Z52" s="506"/>
      <c r="AA52" s="500"/>
    </row>
    <row r="53" spans="1:27" ht="15.75" customHeight="1" thickBot="1">
      <c r="A53" s="106" t="s">
        <v>889</v>
      </c>
      <c r="B53" s="133"/>
      <c r="C53" s="133"/>
      <c r="D53" s="149" t="s">
        <v>862</v>
      </c>
      <c r="E53" s="777"/>
      <c r="F53" s="89"/>
      <c r="G53" s="89"/>
      <c r="H53" s="89"/>
      <c r="I53" s="82"/>
      <c r="J53" s="212"/>
      <c r="K53" s="82"/>
      <c r="L53" s="82"/>
      <c r="M53" s="49"/>
      <c r="N53" s="49"/>
      <c r="O53" s="49"/>
      <c r="P53" s="49"/>
      <c r="Q53" s="49" t="s">
        <v>78</v>
      </c>
      <c r="R53" s="82"/>
      <c r="S53" s="82"/>
      <c r="T53" s="75"/>
      <c r="U53" s="75"/>
      <c r="V53" s="75"/>
      <c r="W53" s="75"/>
      <c r="X53" s="75"/>
      <c r="Y53" s="75"/>
      <c r="Z53" s="506"/>
      <c r="AA53" s="500"/>
    </row>
    <row r="54" spans="1:27" ht="15.75" hidden="1" customHeight="1">
      <c r="A54" s="454"/>
      <c r="B54" s="508"/>
      <c r="C54" s="206"/>
      <c r="D54" s="206" t="s">
        <v>800</v>
      </c>
      <c r="E54" s="578">
        <f>pole1/1000</f>
        <v>0.12158513619079939</v>
      </c>
      <c r="F54" s="809" t="s">
        <v>2</v>
      </c>
      <c r="G54" s="89"/>
      <c r="H54" s="89"/>
      <c r="I54" s="82"/>
      <c r="J54" s="212"/>
      <c r="K54" s="82"/>
      <c r="L54" s="82"/>
      <c r="M54" s="49"/>
      <c r="N54" s="49"/>
      <c r="O54" s="49"/>
      <c r="P54" s="49"/>
      <c r="Q54" s="49"/>
      <c r="R54" s="82"/>
      <c r="S54" s="82"/>
      <c r="T54" s="75"/>
      <c r="U54" s="75"/>
      <c r="V54" s="75"/>
      <c r="W54" s="75"/>
      <c r="X54" s="75"/>
      <c r="Y54" s="75"/>
      <c r="Z54" s="506"/>
      <c r="AA54" s="500"/>
    </row>
    <row r="55" spans="1:27" ht="15.75" hidden="1" customHeight="1">
      <c r="A55" s="134"/>
      <c r="B55" s="133"/>
      <c r="C55" s="135"/>
      <c r="D55" s="135" t="s">
        <v>797</v>
      </c>
      <c r="E55" s="759">
        <f>Zero1/1000</f>
        <v>723.43156033525634</v>
      </c>
      <c r="F55" s="136" t="s">
        <v>2</v>
      </c>
      <c r="G55" s="89"/>
      <c r="H55" s="135"/>
      <c r="I55" s="211"/>
      <c r="J55" s="213"/>
      <c r="K55" s="82"/>
      <c r="L55" s="82"/>
      <c r="M55" s="49"/>
      <c r="N55" s="49"/>
      <c r="O55" s="49"/>
      <c r="P55" s="49"/>
      <c r="Q55" s="49"/>
      <c r="R55" s="82"/>
      <c r="S55" s="82"/>
      <c r="T55" s="75"/>
      <c r="U55" s="75"/>
      <c r="V55" s="75"/>
      <c r="W55" s="75"/>
      <c r="X55" s="75"/>
      <c r="Y55" s="75"/>
      <c r="Z55" s="506"/>
      <c r="AA55" s="500"/>
    </row>
    <row r="56" spans="1:27" ht="15.75" hidden="1" customHeight="1">
      <c r="A56" s="134"/>
      <c r="B56" s="133"/>
      <c r="C56" s="135"/>
      <c r="D56" s="135" t="s">
        <v>798</v>
      </c>
      <c r="E56" s="759">
        <f>z_RHP/1000</f>
        <v>187.24110973383105</v>
      </c>
      <c r="F56" s="136" t="s">
        <v>2</v>
      </c>
      <c r="G56" s="89"/>
      <c r="H56" s="135"/>
      <c r="I56" s="211"/>
      <c r="J56" s="213"/>
      <c r="K56" s="82"/>
      <c r="L56" s="82"/>
      <c r="M56" s="49"/>
      <c r="N56" s="49"/>
      <c r="O56" s="49"/>
      <c r="P56" s="49"/>
      <c r="Q56" s="49"/>
      <c r="R56" s="82"/>
      <c r="S56" s="82"/>
      <c r="T56" s="75"/>
      <c r="U56" s="75"/>
      <c r="V56" s="75"/>
      <c r="W56" s="75"/>
      <c r="X56" s="75"/>
      <c r="Y56" s="75"/>
      <c r="Z56" s="506"/>
      <c r="AA56" s="500"/>
    </row>
    <row r="57" spans="1:27" ht="15.75" customHeight="1">
      <c r="A57" s="454"/>
      <c r="B57" s="508"/>
      <c r="C57" s="206"/>
      <c r="D57" s="206" t="s">
        <v>799</v>
      </c>
      <c r="E57" s="578">
        <f>MIN(E56/10,'Calculations - Single'!DC212/10)*0+MIN(E56/10,CHOOSE(MODE,'Calculations - Single'!DC212/10,'Calculations - Dual'!DQ212/10))</f>
        <v>9.9837543262935391</v>
      </c>
      <c r="F57" s="809" t="s">
        <v>2</v>
      </c>
      <c r="G57" s="89"/>
      <c r="H57" s="89"/>
      <c r="I57" s="49"/>
      <c r="J57" s="49"/>
      <c r="K57" s="49"/>
      <c r="L57" s="49"/>
      <c r="M57" s="49"/>
      <c r="N57" s="49"/>
      <c r="O57" s="49"/>
      <c r="P57" s="49"/>
      <c r="Q57" s="49"/>
      <c r="R57" s="82"/>
      <c r="S57" s="82"/>
      <c r="T57" s="75"/>
      <c r="U57" s="75"/>
      <c r="V57" s="75"/>
      <c r="W57" s="75"/>
      <c r="X57" s="75"/>
      <c r="Y57" s="75"/>
      <c r="Z57" s="506"/>
      <c r="AA57" s="500"/>
    </row>
    <row r="58" spans="1:27" ht="15.75" customHeight="1">
      <c r="A58" s="134"/>
      <c r="B58" s="133"/>
      <c r="C58" s="133"/>
      <c r="D58" s="149" t="s">
        <v>864</v>
      </c>
      <c r="E58" s="582">
        <v>1</v>
      </c>
      <c r="F58" s="866" t="s">
        <v>2</v>
      </c>
      <c r="G58" s="89"/>
      <c r="H58" s="89"/>
      <c r="I58" s="49"/>
      <c r="J58" s="49"/>
      <c r="K58" s="49"/>
      <c r="L58" s="49"/>
      <c r="M58" s="49"/>
      <c r="N58" s="49"/>
      <c r="O58" s="49"/>
      <c r="P58" s="49"/>
      <c r="Q58" s="49"/>
      <c r="R58" s="82"/>
      <c r="S58" s="82"/>
      <c r="T58" s="75"/>
      <c r="U58" s="75"/>
      <c r="V58" s="75"/>
      <c r="W58" s="75"/>
      <c r="X58" s="75"/>
      <c r="Y58" s="75"/>
      <c r="Z58" s="506"/>
      <c r="AA58" s="500"/>
    </row>
    <row r="59" spans="1:27" ht="15.75" customHeight="1">
      <c r="A59" s="134"/>
      <c r="B59" s="133"/>
      <c r="C59" s="135"/>
      <c r="D59" s="135" t="s">
        <v>815</v>
      </c>
      <c r="E59" s="759">
        <f>'Stability Calculations'!D64</f>
        <v>9.9369890263636389</v>
      </c>
      <c r="F59" s="867" t="s">
        <v>813</v>
      </c>
      <c r="G59" s="89"/>
      <c r="H59" s="89"/>
      <c r="I59" s="49"/>
      <c r="J59" s="49"/>
      <c r="K59" s="49"/>
      <c r="L59" s="49"/>
      <c r="M59" s="49"/>
      <c r="N59" s="49"/>
      <c r="O59" s="49"/>
      <c r="P59" s="49"/>
      <c r="Q59" s="49"/>
      <c r="R59" s="82"/>
      <c r="S59" s="82"/>
      <c r="T59" s="75"/>
      <c r="U59" s="75"/>
      <c r="V59" s="75"/>
      <c r="W59" s="75"/>
      <c r="X59" s="75"/>
      <c r="Y59" s="75"/>
      <c r="Z59" s="506"/>
      <c r="AA59" s="500"/>
    </row>
    <row r="60" spans="1:27" ht="15.75" customHeight="1">
      <c r="A60" s="134"/>
      <c r="B60" s="133"/>
      <c r="C60" s="135"/>
      <c r="D60" s="149" t="s">
        <v>816</v>
      </c>
      <c r="E60" s="778">
        <v>12</v>
      </c>
      <c r="F60" s="866" t="s">
        <v>814</v>
      </c>
      <c r="G60" s="89"/>
      <c r="H60" s="89"/>
      <c r="I60" s="49"/>
      <c r="J60" s="49"/>
      <c r="K60" s="49"/>
      <c r="L60" s="49"/>
      <c r="M60" s="49"/>
      <c r="N60" s="49"/>
      <c r="O60" s="49"/>
      <c r="P60" s="49"/>
      <c r="Q60" s="49"/>
      <c r="R60" s="82"/>
      <c r="S60" s="82"/>
      <c r="T60" s="75"/>
      <c r="U60" s="75"/>
      <c r="V60" s="75"/>
      <c r="W60" s="75"/>
      <c r="X60" s="75"/>
      <c r="Y60" s="75"/>
      <c r="Z60" s="506"/>
      <c r="AA60" s="500"/>
    </row>
    <row r="61" spans="1:27" ht="16.5" customHeight="1">
      <c r="A61" s="134"/>
      <c r="B61" s="133"/>
      <c r="C61" s="135"/>
      <c r="D61" s="135" t="s">
        <v>817</v>
      </c>
      <c r="E61" s="759">
        <f>'Stability Calculations'!D65</f>
        <v>65.89842953606329</v>
      </c>
      <c r="F61" s="868" t="s">
        <v>56</v>
      </c>
      <c r="G61" s="89"/>
      <c r="H61" s="89"/>
      <c r="I61" s="49"/>
      <c r="J61" s="49"/>
      <c r="K61" s="49"/>
      <c r="L61" s="49"/>
      <c r="M61" s="49"/>
      <c r="N61" s="49"/>
      <c r="O61" s="49"/>
      <c r="P61" s="49"/>
      <c r="Q61" s="49"/>
      <c r="R61" s="82"/>
      <c r="S61" s="82"/>
      <c r="T61" s="75"/>
      <c r="U61" s="75"/>
      <c r="V61" s="75"/>
      <c r="W61" s="75"/>
      <c r="X61" s="75"/>
      <c r="Y61" s="75"/>
      <c r="Z61" s="506"/>
      <c r="AA61" s="500"/>
    </row>
    <row r="62" spans="1:27" ht="15.75" customHeight="1">
      <c r="A62" s="134"/>
      <c r="B62" s="133"/>
      <c r="C62" s="135"/>
      <c r="D62" s="149" t="s">
        <v>818</v>
      </c>
      <c r="E62" s="778">
        <v>22</v>
      </c>
      <c r="F62" s="866" t="s">
        <v>56</v>
      </c>
      <c r="G62" s="89"/>
      <c r="H62" s="89"/>
      <c r="I62" s="49"/>
      <c r="J62" s="49"/>
      <c r="K62" s="49"/>
      <c r="L62" s="49"/>
      <c r="M62" s="49"/>
      <c r="N62" s="49"/>
      <c r="O62" s="49"/>
      <c r="P62" s="49"/>
      <c r="Q62" s="49"/>
      <c r="R62" s="82"/>
      <c r="S62" s="82"/>
      <c r="T62" s="75"/>
      <c r="U62" s="75"/>
      <c r="V62" s="75"/>
      <c r="W62" s="75"/>
      <c r="X62" s="75"/>
      <c r="Y62" s="75"/>
      <c r="Z62" s="506"/>
      <c r="AA62" s="500"/>
    </row>
    <row r="63" spans="1:27" ht="15.75" customHeight="1">
      <c r="A63" s="134"/>
      <c r="B63" s="133"/>
      <c r="C63" s="135"/>
      <c r="D63" s="135" t="s">
        <v>819</v>
      </c>
      <c r="E63" s="776">
        <f>'Stability Calculations'!D66</f>
        <v>439.32286357375534</v>
      </c>
      <c r="F63" s="868" t="s">
        <v>15</v>
      </c>
      <c r="G63" s="89"/>
      <c r="H63" s="89"/>
      <c r="I63" s="49"/>
      <c r="J63" s="49"/>
      <c r="K63" s="49"/>
      <c r="L63" s="49"/>
      <c r="M63" s="49"/>
      <c r="N63" s="49"/>
      <c r="O63" s="49"/>
      <c r="P63" s="49"/>
      <c r="Q63" s="49"/>
      <c r="R63" s="82"/>
      <c r="S63" s="82"/>
      <c r="T63" s="75"/>
      <c r="U63" s="75"/>
      <c r="V63" s="812" t="s">
        <v>863</v>
      </c>
      <c r="W63" s="813">
        <f>Vin</f>
        <v>24</v>
      </c>
      <c r="X63" s="734" t="s">
        <v>0</v>
      </c>
      <c r="Y63" s="75"/>
      <c r="Z63" s="506"/>
      <c r="AA63" s="500"/>
    </row>
    <row r="64" spans="1:27" ht="15.75" customHeight="1" thickBot="1">
      <c r="A64" s="787"/>
      <c r="B64" s="151"/>
      <c r="C64" s="151"/>
      <c r="D64" s="510" t="s">
        <v>820</v>
      </c>
      <c r="E64" s="810">
        <v>100</v>
      </c>
      <c r="F64" s="811" t="s">
        <v>15</v>
      </c>
      <c r="G64" s="89"/>
      <c r="H64" s="89"/>
      <c r="I64" s="49"/>
      <c r="J64" s="49"/>
      <c r="K64" s="49"/>
      <c r="L64" s="49"/>
      <c r="M64" s="49"/>
      <c r="N64" s="49"/>
      <c r="O64" s="49"/>
      <c r="P64" s="49"/>
      <c r="Q64" s="49"/>
      <c r="R64" s="82"/>
      <c r="S64" s="82"/>
      <c r="T64" s="75"/>
      <c r="U64" s="75"/>
      <c r="V64" s="75"/>
      <c r="W64" s="75"/>
      <c r="X64" s="75"/>
      <c r="Y64" s="75"/>
      <c r="Z64" s="506"/>
      <c r="AA64" s="500"/>
    </row>
    <row r="65" spans="1:27" ht="15.75" customHeight="1">
      <c r="A65" s="134"/>
      <c r="B65" s="133"/>
      <c r="C65" s="133"/>
      <c r="D65" s="135"/>
      <c r="E65" s="777"/>
      <c r="F65" s="75"/>
      <c r="G65" s="89"/>
      <c r="H65" s="89"/>
      <c r="I65" s="49"/>
      <c r="J65" s="49"/>
      <c r="K65" s="49"/>
      <c r="L65" s="49"/>
      <c r="M65" s="49"/>
      <c r="N65" s="49"/>
      <c r="O65" s="49"/>
      <c r="P65" s="49"/>
      <c r="Q65" s="49"/>
      <c r="R65" s="82"/>
      <c r="S65" s="82"/>
      <c r="T65" s="75"/>
      <c r="U65" s="75"/>
      <c r="V65" s="75"/>
      <c r="W65" s="75"/>
      <c r="X65" s="75"/>
      <c r="Y65" s="75"/>
      <c r="Z65" s="506"/>
      <c r="AA65" s="500"/>
    </row>
    <row r="66" spans="1:27" ht="15.75" customHeight="1" thickBot="1">
      <c r="A66" s="106" t="s">
        <v>894</v>
      </c>
      <c r="B66" s="133"/>
      <c r="C66" s="133"/>
      <c r="D66" s="135"/>
      <c r="E66" s="777"/>
      <c r="F66" s="75"/>
      <c r="G66" s="903" t="s">
        <v>945</v>
      </c>
      <c r="H66" s="89"/>
      <c r="I66" s="49"/>
      <c r="J66" s="49"/>
      <c r="K66" s="49"/>
      <c r="L66" s="49"/>
      <c r="M66" s="49"/>
      <c r="N66" s="49"/>
      <c r="O66" s="49"/>
      <c r="P66" s="49"/>
      <c r="Q66" s="49"/>
      <c r="R66" s="82"/>
      <c r="S66" s="82"/>
      <c r="T66" s="75"/>
      <c r="U66" s="75"/>
      <c r="V66" s="75"/>
      <c r="W66" s="75"/>
      <c r="X66" s="75"/>
      <c r="Y66" s="75"/>
      <c r="Z66" s="506"/>
      <c r="AA66" s="500"/>
    </row>
    <row r="67" spans="1:27" ht="15.75" customHeight="1" thickBot="1">
      <c r="A67" s="454"/>
      <c r="B67" s="508"/>
      <c r="C67" s="508"/>
      <c r="D67" s="206" t="str">
        <f>CHOOSE(MODE, "Initial Csnb", "Inisitial Csnb1")</f>
        <v>Initial Csnb</v>
      </c>
      <c r="E67" s="869">
        <v>22</v>
      </c>
      <c r="F67" s="860" t="s">
        <v>15</v>
      </c>
      <c r="G67" s="89"/>
      <c r="H67" s="872"/>
      <c r="I67" s="873"/>
      <c r="J67" s="874"/>
      <c r="K67" s="875" t="s">
        <v>892</v>
      </c>
      <c r="L67" s="875">
        <v>22</v>
      </c>
      <c r="M67" s="815" t="s">
        <v>15</v>
      </c>
      <c r="N67" s="733"/>
      <c r="O67" s="49"/>
      <c r="P67" s="734"/>
      <c r="Q67" s="49"/>
      <c r="R67" s="82"/>
      <c r="S67" s="82"/>
      <c r="T67" s="75"/>
      <c r="U67" s="75"/>
      <c r="V67" s="75"/>
      <c r="W67" s="75"/>
      <c r="X67" s="75"/>
      <c r="Y67" s="75"/>
      <c r="Z67" s="506"/>
      <c r="AA67" s="500"/>
    </row>
    <row r="68" spans="1:27" ht="15.75" customHeight="1">
      <c r="A68" s="134"/>
      <c r="B68" s="133"/>
      <c r="C68" s="133"/>
      <c r="D68" s="135" t="s">
        <v>890</v>
      </c>
      <c r="E68" s="777">
        <f>(VIN_max/Npri_sec1+E10)*1.3</f>
        <v>68.12</v>
      </c>
      <c r="F68" s="867" t="s">
        <v>0</v>
      </c>
      <c r="G68" s="881"/>
      <c r="H68" s="876"/>
      <c r="I68" s="211"/>
      <c r="J68" s="213"/>
      <c r="K68" s="135" t="s">
        <v>890</v>
      </c>
      <c r="L68" s="865">
        <f>E8/Nps*Nsec1sec2+Vout</f>
        <v>34.294736842105266</v>
      </c>
      <c r="M68" s="877" t="s">
        <v>0</v>
      </c>
      <c r="N68" s="49"/>
      <c r="O68" s="49"/>
      <c r="P68" s="49"/>
      <c r="Q68" s="49"/>
      <c r="R68" s="82"/>
      <c r="S68" s="82"/>
      <c r="T68" s="75"/>
      <c r="U68" s="75"/>
      <c r="V68" s="75"/>
      <c r="W68" s="75"/>
      <c r="X68" s="75"/>
      <c r="Y68" s="75"/>
      <c r="Z68" s="506"/>
      <c r="AA68" s="500"/>
    </row>
    <row r="69" spans="1:27" ht="16.5" customHeight="1" thickBot="1">
      <c r="A69" s="134"/>
      <c r="B69" s="133"/>
      <c r="C69" s="133"/>
      <c r="D69" s="135" t="str">
        <f>CHOOSE(MODE, "Initial Rsnb", "Inisitial Rsnb1")</f>
        <v>Initial Rsnb</v>
      </c>
      <c r="E69" s="777">
        <v>100</v>
      </c>
      <c r="F69" s="867" t="s">
        <v>136</v>
      </c>
      <c r="G69" s="882"/>
      <c r="H69" s="88"/>
      <c r="I69" s="49"/>
      <c r="J69" s="74"/>
      <c r="K69" s="89" t="s">
        <v>893</v>
      </c>
      <c r="L69" s="89">
        <v>100</v>
      </c>
      <c r="M69" s="867" t="s">
        <v>136</v>
      </c>
      <c r="N69" s="49"/>
      <c r="O69" s="49"/>
      <c r="P69" s="49"/>
      <c r="Q69" s="49"/>
      <c r="R69" s="82"/>
      <c r="S69" s="82"/>
      <c r="T69" s="75"/>
      <c r="U69" s="75"/>
      <c r="V69" s="75"/>
      <c r="W69" s="75"/>
      <c r="X69" s="75"/>
      <c r="Y69" s="75"/>
      <c r="Z69" s="506"/>
      <c r="AA69" s="500"/>
    </row>
    <row r="70" spans="1:27" ht="15.75" customHeight="1" thickBot="1">
      <c r="A70" s="787"/>
      <c r="B70" s="151"/>
      <c r="C70" s="151"/>
      <c r="D70" s="507" t="s">
        <v>891</v>
      </c>
      <c r="E70" s="880">
        <f>E68*E68*E67*0.000000000001*350000*3</f>
        <v>0.10719172463999999</v>
      </c>
      <c r="F70" s="871" t="s">
        <v>45</v>
      </c>
      <c r="G70" s="89"/>
      <c r="H70" s="853"/>
      <c r="I70" s="504"/>
      <c r="J70" s="878"/>
      <c r="K70" s="507" t="s">
        <v>891</v>
      </c>
      <c r="L70" s="879">
        <f>L68*L68*L67*0.000000000001*350000*3</f>
        <v>2.7168579324099728E-2</v>
      </c>
      <c r="M70" s="105" t="s">
        <v>45</v>
      </c>
      <c r="N70" s="49"/>
      <c r="O70" s="49"/>
      <c r="P70" s="49"/>
      <c r="Q70" s="49"/>
      <c r="R70" s="82"/>
      <c r="S70" s="82"/>
      <c r="T70" s="75"/>
      <c r="U70" s="75"/>
      <c r="V70" s="75"/>
      <c r="W70" s="75"/>
      <c r="X70" s="75"/>
      <c r="Y70" s="75"/>
      <c r="Z70" s="506"/>
      <c r="AA70" s="500"/>
    </row>
    <row r="71" spans="1:27" ht="15.75" customHeight="1">
      <c r="A71" s="134"/>
      <c r="B71" s="133"/>
      <c r="C71" s="133"/>
      <c r="D71" s="135"/>
      <c r="E71" s="777"/>
      <c r="F71" s="75"/>
      <c r="G71" s="89"/>
      <c r="H71" s="89"/>
      <c r="I71" s="49"/>
      <c r="J71" s="74"/>
      <c r="K71" s="49"/>
      <c r="L71" s="49"/>
      <c r="M71" s="49"/>
      <c r="N71" s="49"/>
      <c r="O71" s="49"/>
      <c r="P71" s="49"/>
      <c r="Q71" s="49"/>
      <c r="R71" s="82"/>
      <c r="S71" s="82"/>
      <c r="T71" s="75"/>
      <c r="U71" s="75"/>
      <c r="V71" s="75"/>
      <c r="W71" s="75"/>
      <c r="X71" s="75"/>
      <c r="Y71" s="75"/>
      <c r="Z71" s="506"/>
      <c r="AA71" s="500"/>
    </row>
    <row r="72" spans="1:27" ht="15.75" customHeight="1" thickBot="1">
      <c r="A72" s="106" t="s">
        <v>895</v>
      </c>
      <c r="B72" s="133"/>
      <c r="C72" s="133"/>
      <c r="D72" s="135"/>
      <c r="E72" s="777"/>
      <c r="F72" s="75"/>
      <c r="G72" s="89"/>
      <c r="H72" s="89"/>
      <c r="I72" s="49"/>
      <c r="J72" s="74"/>
      <c r="K72" s="49"/>
      <c r="L72" s="49"/>
      <c r="M72" s="49"/>
      <c r="N72" s="49"/>
      <c r="O72" s="49"/>
      <c r="P72" s="49"/>
      <c r="Q72" s="49"/>
      <c r="R72" s="82"/>
      <c r="S72" s="82"/>
      <c r="T72" s="75"/>
      <c r="U72" s="75"/>
      <c r="V72" s="75"/>
      <c r="W72" s="75"/>
      <c r="X72" s="75"/>
      <c r="Y72" s="75"/>
      <c r="Z72" s="506"/>
      <c r="AA72" s="500"/>
    </row>
    <row r="73" spans="1:27" ht="15.75" customHeight="1" thickBot="1">
      <c r="A73" s="454"/>
      <c r="B73" s="508"/>
      <c r="C73" s="508"/>
      <c r="D73" s="818" t="str">
        <f>CHOOSE(MODE, "Min Load Current, IOUT_min ", "Min Load Current, IOUT1_min")</f>
        <v xml:space="preserve">Min Load Current, IOUT_min </v>
      </c>
      <c r="E73" s="886">
        <v>1E-3</v>
      </c>
      <c r="F73" s="887" t="s">
        <v>1</v>
      </c>
      <c r="G73" s="89"/>
      <c r="H73" s="422"/>
      <c r="I73" s="584"/>
      <c r="J73" s="584"/>
      <c r="K73" s="788" t="str">
        <f>CHOOSE(MODE, " ", "Min Load Current, IOUT2min")</f>
        <v xml:space="preserve"> </v>
      </c>
      <c r="L73" s="897">
        <v>5.0000000000000001E-4</v>
      </c>
      <c r="M73" s="890" t="str">
        <f>CHOOSE(MODE, "", "A")</f>
        <v/>
      </c>
      <c r="N73" s="49"/>
      <c r="O73" s="49"/>
      <c r="P73" s="49"/>
      <c r="Q73" s="49"/>
      <c r="R73" s="82"/>
      <c r="S73" s="82"/>
      <c r="T73" s="75"/>
      <c r="U73" s="75"/>
      <c r="V73" s="75"/>
      <c r="W73" s="75"/>
      <c r="X73" s="75"/>
      <c r="Y73" s="75"/>
      <c r="Z73" s="506"/>
      <c r="AA73" s="500"/>
    </row>
    <row r="74" spans="1:27" ht="15.75" customHeight="1">
      <c r="A74" s="134"/>
      <c r="B74" s="133"/>
      <c r="C74" s="133"/>
      <c r="D74" s="149" t="str">
        <f>CHOOSE(MODE, "Max VOUT Limit","Max VOUT1 Limit")</f>
        <v>Max VOUT Limit</v>
      </c>
      <c r="E74" s="883">
        <v>17</v>
      </c>
      <c r="F74" s="888" t="s">
        <v>0</v>
      </c>
      <c r="G74" s="881"/>
      <c r="H74" s="88"/>
      <c r="I74" s="49"/>
      <c r="J74" s="49"/>
      <c r="K74" s="86" t="str">
        <f>CHOOSE(MODE,"","Max Output Voltage Limit, VOUT2max")</f>
        <v/>
      </c>
      <c r="L74" s="898">
        <v>31</v>
      </c>
      <c r="M74" s="891" t="str">
        <f>CHOOSE(MODE,"","V")</f>
        <v/>
      </c>
      <c r="N74" s="49"/>
      <c r="O74" s="49"/>
      <c r="P74" s="49"/>
      <c r="Q74" s="49"/>
      <c r="R74" s="82"/>
      <c r="S74" s="82"/>
      <c r="T74" s="75"/>
      <c r="U74" s="75"/>
      <c r="V74" s="75"/>
      <c r="W74" s="75"/>
      <c r="X74" s="75"/>
      <c r="Y74" s="75"/>
      <c r="Z74" s="506"/>
      <c r="AA74" s="500"/>
    </row>
    <row r="75" spans="1:27" ht="15.75" customHeight="1">
      <c r="A75" s="134"/>
      <c r="B75" s="133"/>
      <c r="C75" s="133"/>
      <c r="D75" s="135" t="str">
        <f>CHOOSE(MODE," Zener Clamp Dz or Dymmy Load Rdmy","Zener Clamp Dz1 or Dummy Load Rdmy1")</f>
        <v xml:space="preserve"> Zener Clamp Dz or Dymmy Load Rdmy</v>
      </c>
      <c r="E75" s="889" t="str">
        <f>CHOOSE(MODE, IF('Calculations - Single'!G329="Yes",IF(E74&gt;ROUND(Vout*11.25,0)/10, IF(E74/E10&gt;1.4,"None", "Dz"), "Rdmy"), "None"), IF('Calculations - Dual'!G329="Yes",IF(E74&gt;ROUND(Vout*11.25,0)/10, IF(E74/E10&gt;1.4,"None","Dz1"), "Rdmy1"), "None"))</f>
        <v>Rdmy</v>
      </c>
      <c r="F75" s="867"/>
      <c r="G75" s="896"/>
      <c r="H75" s="88"/>
      <c r="I75" s="49"/>
      <c r="J75" s="49"/>
      <c r="K75" s="87" t="str">
        <f>CHOOSE(MODE,"","Zener Clamp Dz2 or Dummy Load Rdmy2")</f>
        <v/>
      </c>
      <c r="L75" s="899" t="str">
        <f>CHOOSE(MODE, "", IF('Calculations - Dual'!N329="Yes",IF(ABS(L74)&gt;ROUND(Vout2*11.25,0)/10, IF(L74/Vout2&gt;1.4,"None","Dz2"), "Rdmy2"), "None"))</f>
        <v/>
      </c>
      <c r="M75" s="892"/>
      <c r="N75" s="49"/>
      <c r="O75" s="49"/>
      <c r="P75" s="49"/>
      <c r="Q75" s="49"/>
      <c r="R75" s="82"/>
      <c r="S75" s="82"/>
      <c r="T75" s="75"/>
      <c r="U75" s="75"/>
      <c r="V75" s="75"/>
      <c r="W75" s="75"/>
      <c r="X75" s="75"/>
      <c r="Y75" s="75"/>
      <c r="Z75" s="506"/>
      <c r="AA75" s="500"/>
    </row>
    <row r="76" spans="1:27" ht="15.75" customHeight="1" thickBot="1">
      <c r="A76" s="134"/>
      <c r="B76" s="133"/>
      <c r="C76" s="133"/>
      <c r="D76" s="135" t="s">
        <v>959</v>
      </c>
      <c r="E76" s="916">
        <f>CHOOSE(MODE,IF(OR(E75="Rdmy",E75="Rdmy1"),'Standard Value Calculator'!J23,IF(E75="None","None",ROUND(E74/0.0105,0)/100)),IF(OR(E75="Rdmy",E75="Rdmy1"),'Standard Value Calculator'!J24,IF(E75="None","None",ROUND(E74/0.0105,0)/100)))</f>
        <v>15000</v>
      </c>
      <c r="F76" s="867" t="str">
        <f>IF(OR(E75="DZ", E75="DZ1"), "V", IF(OR(E75="Rdmy", E75="Rdmy1"),"Ohm", ""))</f>
        <v>Ohm</v>
      </c>
      <c r="G76" s="882"/>
      <c r="H76" s="876"/>
      <c r="I76" s="211"/>
      <c r="J76" s="213"/>
      <c r="K76" s="87" t="str">
        <f>CHOOSE(MODE, "", "Selection "&amp;IF(L75="Dz", "Zener Clamp (5%)", IF(L75="Rdym", "Dummy Load (1%)", "")))</f>
        <v/>
      </c>
      <c r="L76" s="858" t="str">
        <f>CHOOSE(MODE,"",IF(L75="Rdmy2",'Standard Value Calculator'!J25,IF(L75="None","None",ROUND(ABS(L74)/0.0105,0)/100)))</f>
        <v/>
      </c>
      <c r="M76" s="838" t="str">
        <f>IF(L75="DZ2", "V", IF(L75="Rdmy2","Ohm", ""))</f>
        <v/>
      </c>
      <c r="N76" s="49"/>
      <c r="O76" s="49"/>
      <c r="P76" s="49"/>
      <c r="Q76" s="49"/>
      <c r="R76" s="82"/>
      <c r="S76" s="82"/>
      <c r="T76" s="75"/>
      <c r="U76" s="75"/>
      <c r="V76" s="75"/>
      <c r="W76" s="75"/>
      <c r="X76" s="75"/>
      <c r="Y76" s="75"/>
      <c r="Z76" s="506"/>
      <c r="AA76" s="500"/>
    </row>
    <row r="77" spans="1:27" ht="15.75" customHeight="1" thickBot="1">
      <c r="A77" s="787"/>
      <c r="B77" s="151"/>
      <c r="C77" s="151"/>
      <c r="D77" s="507" t="s">
        <v>897</v>
      </c>
      <c r="E77" s="870">
        <f>IF(OR(E75="Rdmy",E75="Rdmy1"),(Vout*1.08)^2/E76*4, IF(OR(E75="Dz",E75="Dz1"), E76*1.065*E73*4*1*0+'Standard Value Calculator'!I27*5, "N/A"))</f>
        <v>8.36573184E-2</v>
      </c>
      <c r="F77" s="871" t="s">
        <v>45</v>
      </c>
      <c r="G77" s="89"/>
      <c r="H77" s="893"/>
      <c r="I77" s="894"/>
      <c r="J77" s="895"/>
      <c r="K77" s="208" t="str">
        <f>CHOOSE(MODE, "", "Selected Device Min Power Rating&gt;")</f>
        <v/>
      </c>
      <c r="L77" s="560" t="str">
        <f>CHOOSE(MODE, "", IF(L75="Rdmy2",(Vout2*1.08)^2/L76*4, IF(L75="Dz2", ABS(L60*1.065*L73*4*0+'Standard Value Calculator'!I29*5), "")))</f>
        <v/>
      </c>
      <c r="M77" s="816" t="str">
        <f>CHOOSE(MODE, "", "W")</f>
        <v/>
      </c>
      <c r="N77" s="49"/>
      <c r="O77" s="49"/>
      <c r="P77" s="49"/>
      <c r="Q77" s="49"/>
      <c r="R77" s="82"/>
      <c r="S77" s="82"/>
      <c r="T77" s="75"/>
      <c r="U77" s="75"/>
      <c r="V77" s="75"/>
      <c r="W77" s="75"/>
      <c r="X77" s="75"/>
      <c r="Y77" s="75"/>
      <c r="Z77" s="506"/>
      <c r="AA77" s="500"/>
    </row>
    <row r="78" spans="1:27" ht="15.75" customHeight="1">
      <c r="A78" s="134"/>
      <c r="B78" s="133"/>
      <c r="C78" s="133"/>
      <c r="D78" s="135"/>
      <c r="E78" s="777"/>
      <c r="F78" s="75"/>
      <c r="G78" s="89"/>
      <c r="H78" s="135"/>
      <c r="I78" s="211"/>
      <c r="J78" s="213"/>
      <c r="K78" s="82"/>
      <c r="L78" s="82"/>
      <c r="M78" s="49"/>
      <c r="N78" s="49"/>
      <c r="O78" s="49"/>
      <c r="P78" s="49"/>
      <c r="Q78" s="49"/>
      <c r="R78" s="82"/>
      <c r="S78" s="82"/>
      <c r="T78" s="75"/>
      <c r="U78" s="75"/>
      <c r="V78" s="75"/>
      <c r="W78" s="75"/>
      <c r="X78" s="75"/>
      <c r="Y78" s="75"/>
      <c r="Z78" s="506"/>
      <c r="AA78" s="500"/>
    </row>
    <row r="79" spans="1:27" ht="15.75" customHeight="1" thickBot="1">
      <c r="A79" s="455" t="s">
        <v>896</v>
      </c>
      <c r="B79" s="89"/>
      <c r="C79" s="89"/>
      <c r="D79" s="87"/>
      <c r="E79" s="99"/>
      <c r="F79" s="89"/>
      <c r="G79" s="89"/>
      <c r="H79" s="135"/>
      <c r="I79" s="211"/>
      <c r="J79" s="213"/>
      <c r="K79" s="82"/>
      <c r="L79" s="82"/>
      <c r="M79" s="49"/>
      <c r="N79" s="49"/>
      <c r="O79" s="49"/>
      <c r="P79" s="49"/>
      <c r="Q79" s="49"/>
      <c r="R79" s="82"/>
      <c r="S79" s="82"/>
      <c r="T79" s="75"/>
      <c r="U79" s="75"/>
      <c r="V79" s="75"/>
      <c r="W79" s="75"/>
      <c r="X79" s="75"/>
      <c r="Y79" s="75"/>
      <c r="Z79" s="506"/>
      <c r="AA79" s="500"/>
    </row>
    <row r="80" spans="1:27" ht="15.75" customHeight="1">
      <c r="A80" s="566"/>
      <c r="B80" s="501"/>
      <c r="C80" s="501"/>
      <c r="D80" s="567" t="s">
        <v>924</v>
      </c>
      <c r="E80" s="570">
        <v>0.4</v>
      </c>
      <c r="F80" s="568" t="s">
        <v>0</v>
      </c>
      <c r="G80" s="89"/>
      <c r="H80" s="135"/>
      <c r="I80" s="211"/>
      <c r="J80" s="213"/>
      <c r="K80" s="82"/>
      <c r="L80" s="82"/>
      <c r="M80" s="49"/>
      <c r="N80" s="49"/>
      <c r="O80" s="49"/>
      <c r="P80" s="49"/>
      <c r="Q80" s="49"/>
      <c r="R80" s="82"/>
      <c r="S80" s="82"/>
      <c r="T80" s="75"/>
      <c r="U80" s="75"/>
      <c r="V80" s="75"/>
      <c r="W80" s="75"/>
      <c r="X80" s="75"/>
      <c r="Y80" s="75"/>
      <c r="Z80" s="506"/>
      <c r="AA80" s="500"/>
    </row>
    <row r="81" spans="1:35" ht="15.75" customHeight="1">
      <c r="A81" s="425"/>
      <c r="B81" s="75"/>
      <c r="C81" s="75"/>
      <c r="D81" s="842" t="s">
        <v>925</v>
      </c>
      <c r="E81" s="844">
        <f>L31</f>
        <v>0.7</v>
      </c>
      <c r="F81" s="843" t="s">
        <v>0</v>
      </c>
      <c r="G81" s="89"/>
      <c r="H81" s="135"/>
      <c r="I81" s="211"/>
      <c r="J81" s="213"/>
      <c r="K81" s="82"/>
      <c r="L81" s="82"/>
      <c r="M81" s="49"/>
      <c r="N81" s="49"/>
      <c r="O81" s="49"/>
      <c r="P81" s="49"/>
      <c r="Q81" s="49"/>
      <c r="R81" s="82"/>
      <c r="S81" s="82"/>
      <c r="T81" s="75"/>
      <c r="U81" s="75"/>
      <c r="V81" s="75"/>
      <c r="W81" s="75"/>
      <c r="X81" s="75"/>
      <c r="Y81" s="75"/>
      <c r="Z81" s="506"/>
      <c r="AA81" s="500"/>
    </row>
    <row r="82" spans="1:35" ht="15.75" customHeight="1">
      <c r="A82" s="88"/>
      <c r="B82" s="133"/>
      <c r="C82" s="133"/>
      <c r="D82" s="135" t="s">
        <v>958</v>
      </c>
      <c r="E82" s="915">
        <v>52.8</v>
      </c>
      <c r="F82" s="914" t="s">
        <v>84</v>
      </c>
      <c r="G82" s="89"/>
      <c r="H82" s="135"/>
      <c r="I82" s="211"/>
      <c r="J82" s="213"/>
      <c r="K82" s="82"/>
      <c r="L82" s="82"/>
      <c r="M82" s="49"/>
      <c r="N82" s="49"/>
      <c r="O82" s="49"/>
      <c r="P82" s="49"/>
      <c r="Q82" s="49"/>
      <c r="R82" s="82"/>
      <c r="S82" s="82"/>
      <c r="T82" s="75"/>
      <c r="U82" s="75"/>
      <c r="V82" s="75"/>
      <c r="W82" s="75"/>
      <c r="X82" s="75"/>
      <c r="Y82" s="75"/>
      <c r="Z82" s="506"/>
      <c r="AA82" s="500"/>
    </row>
    <row r="83" spans="1:35" ht="15.75" customHeight="1">
      <c r="A83" s="88"/>
      <c r="B83" s="89"/>
      <c r="C83" s="89"/>
      <c r="D83" s="86" t="s">
        <v>505</v>
      </c>
      <c r="E83" s="565">
        <v>85</v>
      </c>
      <c r="F83" s="430" t="s">
        <v>102</v>
      </c>
      <c r="G83" s="89"/>
      <c r="H83" s="135"/>
      <c r="I83" s="211"/>
      <c r="J83" s="213"/>
      <c r="K83" s="82"/>
      <c r="L83" s="82"/>
      <c r="M83" s="49"/>
      <c r="N83" s="49"/>
      <c r="O83" s="49"/>
      <c r="P83" s="49"/>
      <c r="Q83" s="49"/>
      <c r="R83" s="82"/>
      <c r="S83" s="82"/>
      <c r="T83" s="75"/>
      <c r="U83" s="75"/>
      <c r="V83" s="75"/>
      <c r="W83" s="75"/>
      <c r="X83" s="75"/>
      <c r="Y83" s="75"/>
      <c r="Z83" s="506"/>
      <c r="AA83" s="500"/>
    </row>
    <row r="84" spans="1:35" ht="15.75" customHeight="1">
      <c r="A84" s="88"/>
      <c r="B84" s="89"/>
      <c r="C84" s="89"/>
      <c r="D84" s="87" t="s">
        <v>779</v>
      </c>
      <c r="E84" s="370">
        <f>CHOOSE(MODE, 'Calculations - Single'!BL105, 'Calculations - Dual'!BJ105)</f>
        <v>148.55452007282932</v>
      </c>
      <c r="F84" s="103" t="s">
        <v>293</v>
      </c>
      <c r="G84" s="89"/>
      <c r="H84" s="135"/>
      <c r="I84" s="211"/>
      <c r="J84" s="213"/>
      <c r="K84" s="82"/>
      <c r="L84" s="82"/>
      <c r="M84" s="49"/>
      <c r="N84" s="49"/>
      <c r="O84" s="49"/>
      <c r="P84" s="49"/>
      <c r="Q84" s="49"/>
      <c r="R84" s="82"/>
      <c r="S84" s="82"/>
      <c r="T84" s="75"/>
      <c r="U84" s="75"/>
      <c r="V84" s="75"/>
      <c r="W84" s="75"/>
      <c r="X84" s="75"/>
      <c r="Y84" s="75"/>
      <c r="Z84" s="506"/>
      <c r="AA84" s="500"/>
    </row>
    <row r="85" spans="1:35" ht="15.75" customHeight="1" thickBot="1">
      <c r="A85" s="101"/>
      <c r="B85" s="102"/>
      <c r="C85" s="102"/>
      <c r="D85" s="373" t="s">
        <v>780</v>
      </c>
      <c r="E85" s="512">
        <f>E83+E84/1000*ThetaJA</f>
        <v>92.843678659845381</v>
      </c>
      <c r="F85" s="431" t="s">
        <v>102</v>
      </c>
      <c r="G85" s="89"/>
      <c r="H85" s="135"/>
      <c r="I85" s="211"/>
      <c r="J85" s="213"/>
      <c r="K85" s="82"/>
      <c r="L85" s="82"/>
      <c r="M85" s="49"/>
      <c r="N85" s="49"/>
      <c r="O85" s="49"/>
      <c r="P85" s="49"/>
      <c r="Q85" s="49"/>
      <c r="R85" s="82"/>
      <c r="S85" s="82"/>
      <c r="T85" s="75"/>
      <c r="U85" s="75"/>
      <c r="V85" s="75"/>
      <c r="W85" s="75"/>
      <c r="X85" s="75"/>
      <c r="Y85" s="75"/>
      <c r="Z85" s="506"/>
      <c r="AA85" s="500"/>
    </row>
    <row r="86" spans="1:35" ht="15.75" customHeight="1" thickBot="1">
      <c r="A86" s="101"/>
      <c r="B86" s="104"/>
      <c r="C86" s="104"/>
      <c r="D86" s="104"/>
      <c r="E86" s="560"/>
      <c r="F86" s="104"/>
      <c r="G86" s="104"/>
      <c r="H86" s="104"/>
      <c r="I86" s="504"/>
      <c r="J86" s="504"/>
      <c r="K86" s="504"/>
      <c r="L86" s="504"/>
      <c r="M86" s="504"/>
      <c r="N86" s="504"/>
      <c r="O86" s="504"/>
      <c r="P86" s="504"/>
      <c r="Q86" s="504"/>
      <c r="R86" s="502"/>
      <c r="S86" s="502"/>
      <c r="T86" s="502"/>
      <c r="U86" s="503"/>
      <c r="V86" s="503"/>
      <c r="W86" s="502"/>
      <c r="X86" s="502"/>
      <c r="Y86" s="502"/>
      <c r="Z86" s="561"/>
      <c r="AA86" s="500"/>
      <c r="AB86" s="23"/>
      <c r="AC86" s="23"/>
      <c r="AD86" s="23"/>
      <c r="AG86" s="23"/>
      <c r="AH86" s="23"/>
      <c r="AI86" s="23"/>
    </row>
    <row r="87" spans="1:35">
      <c r="A87" s="415"/>
      <c r="B87" s="416"/>
      <c r="C87" s="417"/>
      <c r="D87" s="417"/>
      <c r="E87" s="417"/>
      <c r="F87" s="417"/>
      <c r="G87" s="417"/>
      <c r="H87" s="417"/>
      <c r="I87" s="417"/>
      <c r="J87" s="417"/>
      <c r="K87" s="417"/>
      <c r="L87" s="417"/>
      <c r="M87" s="417"/>
      <c r="N87" s="417"/>
      <c r="O87" s="417"/>
      <c r="P87" s="417"/>
      <c r="Q87" s="417"/>
      <c r="R87" s="414"/>
      <c r="S87" s="414"/>
      <c r="T87" s="414"/>
      <c r="U87" s="500"/>
      <c r="V87" s="500"/>
      <c r="W87" s="414"/>
      <c r="X87" s="414"/>
      <c r="Y87" s="414"/>
      <c r="Z87" s="500"/>
      <c r="AA87" s="500"/>
      <c r="AB87" s="23"/>
      <c r="AC87" s="23"/>
      <c r="AD87" s="23"/>
      <c r="AG87" s="23"/>
      <c r="AH87" s="23"/>
      <c r="AI87" s="23"/>
    </row>
    <row r="88" spans="1:35">
      <c r="A88" s="45"/>
      <c r="B88" s="45"/>
      <c r="C88" s="45"/>
      <c r="D88" s="45"/>
      <c r="E88" s="45"/>
      <c r="F88" s="45"/>
      <c r="G88" s="45"/>
      <c r="H88" s="45"/>
      <c r="I88" s="45"/>
      <c r="J88" s="45"/>
      <c r="K88" s="45" t="s">
        <v>849</v>
      </c>
      <c r="L88" s="45"/>
      <c r="M88" s="45"/>
      <c r="N88" s="45"/>
      <c r="O88" s="45"/>
      <c r="P88" s="45"/>
      <c r="Q88" s="45"/>
      <c r="R88" s="23"/>
      <c r="S88" s="23"/>
      <c r="T88" s="23"/>
      <c r="W88" s="23"/>
      <c r="X88" s="23"/>
      <c r="Y88" s="23"/>
      <c r="AB88" s="23"/>
      <c r="AC88" s="23"/>
      <c r="AD88" s="23"/>
      <c r="AG88" s="23"/>
      <c r="AH88" s="23"/>
      <c r="AI88" s="23"/>
    </row>
    <row r="89" spans="1:35">
      <c r="B89" s="45"/>
      <c r="C89" s="45"/>
      <c r="D89" s="45"/>
      <c r="E89" s="45"/>
      <c r="F89" s="45"/>
      <c r="G89" s="45"/>
      <c r="H89" s="45"/>
      <c r="I89" s="45"/>
      <c r="J89" s="45"/>
      <c r="K89" s="45"/>
      <c r="L89" s="45"/>
      <c r="R89" s="23"/>
      <c r="S89" s="23"/>
      <c r="T89" s="23"/>
      <c r="W89" s="23"/>
      <c r="X89" s="23"/>
      <c r="Y89" s="23"/>
      <c r="AB89" s="23"/>
      <c r="AC89" s="23"/>
      <c r="AD89" s="23"/>
      <c r="AG89" s="23"/>
      <c r="AH89" s="23"/>
      <c r="AI89" s="23"/>
    </row>
    <row r="90" spans="1:35">
      <c r="B90" s="45"/>
      <c r="C90" s="45"/>
      <c r="D90" s="45"/>
      <c r="E90" s="45"/>
      <c r="F90" s="45"/>
      <c r="G90" s="45"/>
      <c r="H90" s="45"/>
      <c r="I90" s="45"/>
      <c r="J90" s="45"/>
      <c r="K90" s="45"/>
      <c r="L90" s="45"/>
      <c r="R90" s="23"/>
      <c r="S90" s="23"/>
      <c r="T90" s="23"/>
      <c r="W90" s="23"/>
      <c r="X90" s="23"/>
      <c r="Y90" s="23"/>
      <c r="AB90" s="23"/>
      <c r="AC90" s="23"/>
      <c r="AD90" s="23"/>
      <c r="AG90" s="23"/>
      <c r="AH90" s="23"/>
      <c r="AI90" s="23"/>
    </row>
    <row r="91" spans="1:35">
      <c r="B91" s="45"/>
      <c r="C91" s="45"/>
      <c r="D91" s="45"/>
      <c r="E91" s="45"/>
      <c r="F91" s="45"/>
      <c r="G91" s="45"/>
      <c r="H91" s="45"/>
      <c r="I91" s="45"/>
      <c r="J91" s="45"/>
      <c r="K91" s="45"/>
      <c r="L91" s="45"/>
      <c r="R91" s="23"/>
      <c r="S91" s="23"/>
      <c r="T91" s="23"/>
      <c r="W91" s="23"/>
      <c r="X91" s="23"/>
      <c r="Y91" s="23"/>
      <c r="AB91" s="23"/>
      <c r="AC91" s="23"/>
      <c r="AD91" s="23"/>
      <c r="AG91" s="23"/>
      <c r="AH91" s="23"/>
      <c r="AI91" s="23"/>
    </row>
    <row r="92" spans="1:35">
      <c r="B92" s="45"/>
      <c r="C92" s="45"/>
      <c r="D92" s="45"/>
      <c r="E92" s="45"/>
      <c r="F92" s="45"/>
      <c r="G92" s="45"/>
      <c r="H92" s="45"/>
      <c r="I92" s="45"/>
      <c r="J92" s="45"/>
      <c r="K92" s="45"/>
      <c r="L92" s="45"/>
      <c r="R92" s="23"/>
      <c r="S92" s="23"/>
      <c r="T92" s="23"/>
      <c r="W92" s="23"/>
      <c r="X92" s="23"/>
      <c r="Y92" s="23"/>
      <c r="AB92" s="23"/>
      <c r="AC92" s="23"/>
      <c r="AD92" s="23"/>
      <c r="AG92" s="23"/>
      <c r="AH92" s="23"/>
      <c r="AI92" s="23"/>
    </row>
  </sheetData>
  <sheetProtection algorithmName="SHA-512" hashValue="Kr79ec0t2tz1TlzrzVPJnUe+e33Zo0i/1b6TnV4Rm+iEBXuEumDZrW+OslKvMSxmN6ov9jTRq4Nzl6hFjmWFsA==" saltValue="SfYyP+UG1pgcuaLm/ujzjA==" spinCount="100000" sheet="1" selectLockedCells="1"/>
  <phoneticPr fontId="6" type="noConversion"/>
  <conditionalFormatting sqref="E10">
    <cfRule type="cellIs" dxfId="78" priority="148" stopIfTrue="1" operator="notBetween">
      <formula>-200</formula>
      <formula>200</formula>
    </cfRule>
  </conditionalFormatting>
  <conditionalFormatting sqref="E34">
    <cfRule type="cellIs" dxfId="77" priority="145" stopIfTrue="1" operator="lessThan">
      <formula>$E$33</formula>
    </cfRule>
  </conditionalFormatting>
  <conditionalFormatting sqref="E30">
    <cfRule type="cellIs" dxfId="76" priority="141" stopIfTrue="1" operator="lessThan">
      <formula>$E$29</formula>
    </cfRule>
  </conditionalFormatting>
  <conditionalFormatting sqref="E31">
    <cfRule type="cellIs" dxfId="75" priority="140" stopIfTrue="1" operator="equal">
      <formula>0</formula>
    </cfRule>
  </conditionalFormatting>
  <conditionalFormatting sqref="E48">
    <cfRule type="cellIs" dxfId="74" priority="137" operator="greaterThanOrEqual">
      <formula>$E$6</formula>
    </cfRule>
    <cfRule type="cellIs" dxfId="73" priority="3" operator="notBetween">
      <formula>4.5</formula>
      <formula>42</formula>
    </cfRule>
  </conditionalFormatting>
  <conditionalFormatting sqref="E42">
    <cfRule type="cellIs" dxfId="72" priority="135" operator="lessThan">
      <formula>6</formula>
    </cfRule>
  </conditionalFormatting>
  <conditionalFormatting sqref="E42:F42">
    <cfRule type="expression" dxfId="71" priority="119">
      <formula>OR(MODE_SS=2,MODE_SS=3)</formula>
    </cfRule>
  </conditionalFormatting>
  <conditionalFormatting sqref="D42">
    <cfRule type="expression" dxfId="70" priority="118">
      <formula>OR(MODE_SS=2,MODE_SS=3)</formula>
    </cfRule>
  </conditionalFormatting>
  <conditionalFormatting sqref="D43:F43">
    <cfRule type="expression" dxfId="69" priority="117">
      <formula>OR(MODE_SS=2,MODE_SS=3)</formula>
    </cfRule>
  </conditionalFormatting>
  <conditionalFormatting sqref="D48">
    <cfRule type="expression" dxfId="68" priority="115">
      <formula>MODE_UVLO=2</formula>
    </cfRule>
  </conditionalFormatting>
  <conditionalFormatting sqref="E85">
    <cfRule type="cellIs" dxfId="67" priority="97" operator="notBetween">
      <formula>-40</formula>
      <formula>150</formula>
    </cfRule>
  </conditionalFormatting>
  <conditionalFormatting sqref="E83">
    <cfRule type="cellIs" dxfId="66" priority="96" operator="notBetween">
      <formula>-40</formula>
      <formula>150</formula>
    </cfRule>
  </conditionalFormatting>
  <conditionalFormatting sqref="F33">
    <cfRule type="cellIs" dxfId="65" priority="95" stopIfTrue="1" operator="lessThanOrEqual">
      <formula>0</formula>
    </cfRule>
  </conditionalFormatting>
  <conditionalFormatting sqref="F50:F51">
    <cfRule type="expression" dxfId="64" priority="87">
      <formula>MODE_UVLO=2</formula>
    </cfRule>
  </conditionalFormatting>
  <conditionalFormatting sqref="F29">
    <cfRule type="cellIs" dxfId="63" priority="77" stopIfTrue="1" operator="lessThanOrEqual">
      <formula>0</formula>
    </cfRule>
  </conditionalFormatting>
  <conditionalFormatting sqref="J51:J52">
    <cfRule type="cellIs" dxfId="62" priority="159" stopIfTrue="1" operator="notBetween">
      <formula>600</formula>
      <formula>50</formula>
    </cfRule>
    <cfRule type="cellIs" dxfId="61" priority="160" stopIfTrue="1" operator="greaterThan">
      <formula>$E$9</formula>
    </cfRule>
  </conditionalFormatting>
  <conditionalFormatting sqref="E12">
    <cfRule type="cellIs" dxfId="60" priority="75" operator="notBetween">
      <formula>-200</formula>
      <formula>200</formula>
    </cfRule>
  </conditionalFormatting>
  <conditionalFormatting sqref="E13">
    <cfRule type="expression" dxfId="59" priority="74">
      <formula>($E$12*$E$13)&lt;0</formula>
    </cfRule>
  </conditionalFormatting>
  <conditionalFormatting sqref="E35">
    <cfRule type="cellIs" dxfId="58" priority="69" stopIfTrue="1" operator="equal">
      <formula>0</formula>
    </cfRule>
  </conditionalFormatting>
  <conditionalFormatting sqref="D45">
    <cfRule type="expression" dxfId="57" priority="64">
      <formula>OR(TC=2)</formula>
    </cfRule>
  </conditionalFormatting>
  <conditionalFormatting sqref="D46:F46 E45:F45">
    <cfRule type="expression" dxfId="56" priority="63">
      <formula>OR(TC=2)</formula>
    </cfRule>
  </conditionalFormatting>
  <conditionalFormatting sqref="L35">
    <cfRule type="cellIs" dxfId="55" priority="57" stopIfTrue="1" operator="equal">
      <formula>0</formula>
    </cfRule>
  </conditionalFormatting>
  <conditionalFormatting sqref="L34">
    <cfRule type="cellIs" dxfId="54" priority="59" stopIfTrue="1" operator="lessThan">
      <formula>$L$33</formula>
    </cfRule>
  </conditionalFormatting>
  <conditionalFormatting sqref="M33">
    <cfRule type="cellIs" dxfId="53" priority="58" stopIfTrue="1" operator="lessThanOrEqual">
      <formula>0</formula>
    </cfRule>
  </conditionalFormatting>
  <conditionalFormatting sqref="W63">
    <cfRule type="cellIs" dxfId="52" priority="44" stopIfTrue="1" operator="notBetween">
      <formula>100</formula>
      <formula>4.5</formula>
    </cfRule>
  </conditionalFormatting>
  <conditionalFormatting sqref="E7">
    <cfRule type="cellIs" dxfId="51" priority="7" operator="notBetween">
      <formula>$E$6</formula>
      <formula>42</formula>
    </cfRule>
  </conditionalFormatting>
  <conditionalFormatting sqref="E8">
    <cfRule type="cellIs" dxfId="50" priority="41" operator="notBetween">
      <formula>$E$7</formula>
      <formula>42</formula>
    </cfRule>
  </conditionalFormatting>
  <conditionalFormatting sqref="E17">
    <cfRule type="cellIs" dxfId="49" priority="38" stopIfTrue="1" operator="greaterThan">
      <formula>$E$16</formula>
    </cfRule>
  </conditionalFormatting>
  <conditionalFormatting sqref="E58">
    <cfRule type="cellIs" dxfId="48" priority="25" operator="greaterThan">
      <formula>$E$57</formula>
    </cfRule>
  </conditionalFormatting>
  <conditionalFormatting sqref="E23">
    <cfRule type="cellIs" dxfId="47" priority="198" stopIfTrue="1" operator="lessThan">
      <formula>$E$22</formula>
    </cfRule>
  </conditionalFormatting>
  <conditionalFormatting sqref="E48:F49">
    <cfRule type="expression" dxfId="46" priority="21">
      <formula>OR(MODE_UVLO=2)</formula>
    </cfRule>
  </conditionalFormatting>
  <conditionalFormatting sqref="C50:E50">
    <cfRule type="expression" dxfId="45" priority="20">
      <formula>OR(MODE_UVLO=2)</formula>
    </cfRule>
  </conditionalFormatting>
  <conditionalFormatting sqref="C51:E51">
    <cfRule type="expression" dxfId="44" priority="19">
      <formula>OR(MODE_UVLO=2)</formula>
    </cfRule>
  </conditionalFormatting>
  <conditionalFormatting sqref="S31">
    <cfRule type="cellIs" dxfId="43" priority="13" operator="notBetween">
      <formula>0.3</formula>
      <formula>1.5</formula>
    </cfRule>
  </conditionalFormatting>
  <conditionalFormatting sqref="E80">
    <cfRule type="cellIs" dxfId="42" priority="12" operator="greaterThan">
      <formula>$E$81</formula>
    </cfRule>
  </conditionalFormatting>
  <conditionalFormatting sqref="E6">
    <cfRule type="cellIs" dxfId="41" priority="8" operator="notBetween">
      <formula>4.5</formula>
      <formula>42</formula>
    </cfRule>
  </conditionalFormatting>
  <conditionalFormatting sqref="E74">
    <cfRule type="cellIs" dxfId="40" priority="6" operator="lessThan">
      <formula>$E$10*1.03</formula>
    </cfRule>
  </conditionalFormatting>
  <conditionalFormatting sqref="L74">
    <cfRule type="cellIs" dxfId="39" priority="5" operator="lessThan">
      <formula>$E$12*1.03</formula>
    </cfRule>
  </conditionalFormatting>
  <conditionalFormatting sqref="E40">
    <cfRule type="cellIs" dxfId="38" priority="4" operator="notBetween">
      <formula>$E$39*0.969</formula>
      <formula>$E$39*1.031</formula>
    </cfRule>
  </conditionalFormatting>
  <conditionalFormatting sqref="E49">
    <cfRule type="cellIs" dxfId="37" priority="2" operator="greaterThanOrEqual">
      <formula>$E$48</formula>
    </cfRule>
    <cfRule type="cellIs" dxfId="36" priority="1" operator="greaterThan">
      <formula>$E$6</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87"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1583" r:id="rId6" name="Drop Down 6111">
              <controlPr defaultSize="0" autoLine="0" autoPict="0">
                <anchor moveWithCells="1">
                  <from>
                    <xdr:col>24</xdr:col>
                    <xdr:colOff>304800</xdr:colOff>
                    <xdr:row>0</xdr:row>
                    <xdr:rowOff>412750</xdr:rowOff>
                  </from>
                  <to>
                    <xdr:col>25</xdr:col>
                    <xdr:colOff>222250</xdr:colOff>
                    <xdr:row>1</xdr:row>
                    <xdr:rowOff>63500</xdr:rowOff>
                  </to>
                </anchor>
              </controlPr>
            </control>
          </mc:Choice>
        </mc:AlternateContent>
        <mc:AlternateContent xmlns:mc="http://schemas.openxmlformats.org/markup-compatibility/2006">
          <mc:Choice Requires="x14">
            <control shapeId="672935" r:id="rId7" name="Drop Down 167">
              <controlPr defaultSize="0" autoLine="0" autoPict="0">
                <anchor moveWithCells="1">
                  <from>
                    <xdr:col>4</xdr:col>
                    <xdr:colOff>12700</xdr:colOff>
                    <xdr:row>40</xdr:row>
                    <xdr:rowOff>0</xdr:rowOff>
                  </from>
                  <to>
                    <xdr:col>5</xdr:col>
                    <xdr:colOff>279400</xdr:colOff>
                    <xdr:row>41</xdr:row>
                    <xdr:rowOff>31750</xdr:rowOff>
                  </to>
                </anchor>
              </controlPr>
            </control>
          </mc:Choice>
        </mc:AlternateContent>
        <mc:AlternateContent xmlns:mc="http://schemas.openxmlformats.org/markup-compatibility/2006">
          <mc:Choice Requires="x14">
            <control shapeId="673043" r:id="rId8" name="Drop Down 275">
              <controlPr defaultSize="0" autoLine="0" autoPict="0">
                <anchor moveWithCells="1">
                  <from>
                    <xdr:col>4</xdr:col>
                    <xdr:colOff>12700</xdr:colOff>
                    <xdr:row>46</xdr:row>
                    <xdr:rowOff>0</xdr:rowOff>
                  </from>
                  <to>
                    <xdr:col>5</xdr:col>
                    <xdr:colOff>260350</xdr:colOff>
                    <xdr:row>46</xdr:row>
                    <xdr:rowOff>203200</xdr:rowOff>
                  </to>
                </anchor>
              </controlPr>
            </control>
          </mc:Choice>
        </mc:AlternateContent>
        <mc:AlternateContent xmlns:mc="http://schemas.openxmlformats.org/markup-compatibility/2006">
          <mc:Choice Requires="x14">
            <control shapeId="697343" r:id="rId9" name="Drop Down 3071">
              <controlPr defaultSize="0" autoLine="0" autoPict="0">
                <anchor moveWithCells="1">
                  <from>
                    <xdr:col>11</xdr:col>
                    <xdr:colOff>12700</xdr:colOff>
                    <xdr:row>12</xdr:row>
                    <xdr:rowOff>0</xdr:rowOff>
                  </from>
                  <to>
                    <xdr:col>12</xdr:col>
                    <xdr:colOff>69850</xdr:colOff>
                    <xdr:row>13</xdr:row>
                    <xdr:rowOff>6350</xdr:rowOff>
                  </to>
                </anchor>
              </controlPr>
            </control>
          </mc:Choice>
        </mc:AlternateContent>
        <mc:AlternateContent xmlns:mc="http://schemas.openxmlformats.org/markup-compatibility/2006">
          <mc:Choice Requires="x14">
            <control shapeId="714798" r:id="rId10" name="Drop Down 3118">
              <controlPr defaultSize="0" autoLine="0" autoPict="0">
                <anchor moveWithCells="1">
                  <from>
                    <xdr:col>4</xdr:col>
                    <xdr:colOff>0</xdr:colOff>
                    <xdr:row>43</xdr:row>
                    <xdr:rowOff>12700</xdr:rowOff>
                  </from>
                  <to>
                    <xdr:col>5</xdr:col>
                    <xdr:colOff>266700</xdr:colOff>
                    <xdr:row>44</xdr:row>
                    <xdr:rowOff>12700</xdr:rowOff>
                  </to>
                </anchor>
              </controlPr>
            </control>
          </mc:Choice>
        </mc:AlternateContent>
        <mc:AlternateContent xmlns:mc="http://schemas.openxmlformats.org/markup-compatibility/2006">
          <mc:Choice Requires="x14">
            <control shapeId="715085" r:id="rId11"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672895" r:id="rId12" name="Spinner 127">
              <controlPr defaultSize="0" autoPict="0">
                <anchor moveWithCells="1" sizeWithCells="1">
                  <from>
                    <xdr:col>5</xdr:col>
                    <xdr:colOff>127000</xdr:colOff>
                    <xdr:row>6</xdr:row>
                    <xdr:rowOff>12700</xdr:rowOff>
                  </from>
                  <to>
                    <xdr:col>5</xdr:col>
                    <xdr:colOff>304800</xdr:colOff>
                    <xdr:row>7</xdr:row>
                    <xdr:rowOff>31750</xdr:rowOff>
                  </to>
                </anchor>
              </controlPr>
            </control>
          </mc:Choice>
        </mc:AlternateContent>
        <mc:AlternateContent xmlns:mc="http://schemas.openxmlformats.org/markup-compatibility/2006">
          <mc:Choice Requires="x14">
            <control shapeId="751280" r:id="rId13" name="Spinner 5808">
              <controlPr defaultSize="0" autoPict="0">
                <anchor moveWithCells="1" sizeWithCells="1">
                  <from>
                    <xdr:col>23</xdr:col>
                    <xdr:colOff>127000</xdr:colOff>
                    <xdr:row>62</xdr:row>
                    <xdr:rowOff>12700</xdr:rowOff>
                  </from>
                  <to>
                    <xdr:col>23</xdr:col>
                    <xdr:colOff>304800</xdr:colOff>
                    <xdr:row>63</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9" id="{2F97F2FF-95A0-40C5-B045-6ADA68EA7C2F}">
            <xm:f>'Variable Mgmt'!$B$74</xm:f>
            <x14:dxf>
              <font>
                <strike val="0"/>
                <color theme="0"/>
              </font>
              <fill>
                <patternFill>
                  <bgColor theme="0"/>
                </patternFill>
              </fill>
            </x14:dxf>
          </x14:cfRule>
          <xm:sqref>E12:E13</xm:sqref>
        </x14:conditionalFormatting>
        <x14:conditionalFormatting xmlns:xm="http://schemas.microsoft.com/office/excel/2006/main">
          <x14:cfRule type="expression" priority="191" id="{9B976DD7-FFA8-454F-A63D-186A721FDF9C}">
            <xm:f>'Variable Mgmt'!$B$74</xm:f>
            <x14:dxf>
              <border>
                <bottom/>
                <vertical/>
                <horizontal/>
              </border>
            </x14:dxf>
          </x14:cfRule>
          <xm:sqref>A12:F13 A14:D14 F14</xm:sqref>
        </x14:conditionalFormatting>
        <x14:conditionalFormatting xmlns:xm="http://schemas.microsoft.com/office/excel/2006/main">
          <x14:cfRule type="expression" priority="192" id="{25C53C6F-CE07-4419-8FCF-F6B8FCD8434A}">
            <xm:f>'Variable Mgmt'!$B$74</xm:f>
            <x14:dxf>
              <border>
                <right/>
                <vertical/>
                <horizontal/>
              </border>
            </x14:dxf>
          </x14:cfRule>
          <xm:sqref>F12:F14</xm:sqref>
        </x14:conditionalFormatting>
        <x14:conditionalFormatting xmlns:xm="http://schemas.microsoft.com/office/excel/2006/main">
          <x14:cfRule type="expression" priority="62" id="{56BB0655-3B2C-4E9D-AD05-7700A46C30F4}">
            <xm:f>'Variable Mgmt'!$B$74=FALSE</xm:f>
            <x14:dxf>
              <border>
                <bottom/>
                <vertical/>
                <horizontal/>
              </border>
            </x14:dxf>
          </x14:cfRule>
          <xm:sqref>A12:F12</xm:sqref>
        </x14:conditionalFormatting>
        <x14:conditionalFormatting xmlns:xm="http://schemas.microsoft.com/office/excel/2006/main">
          <x14:cfRule type="expression" priority="61" id="{7DE853EF-1754-4C48-A140-FF26B3EC5CF8}">
            <xm:f>'Variable Mgmt'!$B$74=FALSE</xm:f>
            <x14:dxf>
              <border>
                <bottom/>
                <vertical/>
                <horizontal/>
              </border>
            </x14:dxf>
          </x14:cfRule>
          <xm:sqref>A11:F11</xm:sqref>
        </x14:conditionalFormatting>
        <x14:conditionalFormatting xmlns:xm="http://schemas.microsoft.com/office/excel/2006/main">
          <x14:cfRule type="expression" priority="56" id="{18CE8F81-B526-43C7-B5F1-BAA9C73809CD}">
            <xm:f>'Variable Mgmt'!$B$74=TRUE</xm:f>
            <x14:dxf>
              <font>
                <color theme="0"/>
              </font>
              <fill>
                <patternFill>
                  <bgColor theme="0"/>
                </patternFill>
              </fill>
              <border>
                <right/>
                <top/>
                <bottom/>
              </border>
            </x14:dxf>
          </x14:cfRule>
          <xm:sqref>K33:M36</xm:sqref>
        </x14:conditionalFormatting>
        <x14:conditionalFormatting xmlns:xm="http://schemas.microsoft.com/office/excel/2006/main">
          <x14:cfRule type="expression" priority="55" id="{B42E45EE-F49B-4512-9DB9-8B85B95C6919}">
            <xm:f>'Variable Mgmt'!$B$74=TRUE</xm:f>
            <x14:dxf>
              <border>
                <left/>
                <right/>
                <top/>
                <bottom/>
                <vertical/>
                <horizontal/>
              </border>
            </x14:dxf>
          </x14:cfRule>
          <xm:sqref>H33:J36</xm:sqref>
        </x14:conditionalFormatting>
        <x14:conditionalFormatting xmlns:xm="http://schemas.microsoft.com/office/excel/2006/main">
          <x14:cfRule type="expression" priority="54" id="{8076779E-531E-4945-9FF1-9C72CDB0D6DC}">
            <xm:f>'Variable Mgmt'!$B$74=TRUE</xm:f>
            <x14:dxf>
              <border>
                <top/>
                <bottom/>
                <vertical/>
                <horizontal/>
              </border>
            </x14:dxf>
          </x14:cfRule>
          <xm:sqref>G34:G35</xm:sqref>
        </x14:conditionalFormatting>
        <x14:conditionalFormatting xmlns:xm="http://schemas.microsoft.com/office/excel/2006/main">
          <x14:cfRule type="expression" priority="195" id="{2E385B5D-C8C9-48C7-B4AE-E1A8F27EB6E6}">
            <xm:f>Lmin_abs*0.000001&gt;'Variable Mgmt'!$B$96</xm:f>
            <x14:dxf>
              <font>
                <strike/>
                <color rgb="FFFF0000"/>
              </font>
            </x14:dxf>
          </x14:cfRule>
          <xm:sqref>L7</xm:sqref>
        </x14:conditionalFormatting>
        <x14:conditionalFormatting xmlns:xm="http://schemas.microsoft.com/office/excel/2006/main">
          <x14:cfRule type="expression" priority="196" id="{EE277573-B7FD-4D2F-97C3-CC46EAD89E7B}">
            <xm:f>AND('Variable Mgmt'!#REF!&gt;'Variable Mgmt'!$B$78*1/1000, MODE=1)</xm:f>
            <x14:dxf>
              <font>
                <b/>
                <i val="0"/>
                <color rgb="FFFF0000"/>
              </font>
            </x14:dxf>
          </x14:cfRule>
          <xm:sqref>L13</xm:sqref>
        </x14:conditionalFormatting>
        <x14:conditionalFormatting xmlns:xm="http://schemas.microsoft.com/office/excel/2006/main">
          <x14:cfRule type="expression" priority="53" id="{DA50B535-B6B5-4DFB-9CBC-C505A48C7EB5}">
            <xm:f>'Variable Mgmt'!$B$74=TRUE</xm:f>
            <x14:dxf>
              <font>
                <color theme="0"/>
              </font>
              <fill>
                <patternFill>
                  <bgColor theme="0"/>
                </patternFill>
              </fill>
            </x14:dxf>
          </x14:cfRule>
          <xm:sqref>L10</xm:sqref>
        </x14:conditionalFormatting>
        <x14:conditionalFormatting xmlns:xm="http://schemas.microsoft.com/office/excel/2006/main">
          <x14:cfRule type="expression" priority="51" id="{2E35C64D-1122-4B17-B495-E52D781938E1}">
            <xm:f>'Variable Mgmt'!$D$83=TRUE</xm:f>
            <x14:dxf>
              <font>
                <strike val="0"/>
                <color theme="0"/>
              </font>
              <fill>
                <patternFill>
                  <bgColor rgb="FFFF0000"/>
                </patternFill>
              </fill>
            </x14:dxf>
          </x14:cfRule>
          <xm:sqref>L15:M16</xm:sqref>
        </x14:conditionalFormatting>
        <x14:conditionalFormatting xmlns:xm="http://schemas.microsoft.com/office/excel/2006/main">
          <x14:cfRule type="expression" priority="49" id="{961AC190-666C-40F1-AF0E-45247CECAC28}">
            <xm:f>AND('Variable Mgmt'!#REF!&gt;'Variable Mgmt'!$B$78*1/1000, MODE=1)</xm:f>
            <x14:dxf>
              <font>
                <color rgb="FFFF0000"/>
              </font>
            </x14:dxf>
          </x14:cfRule>
          <xm:sqref>L24</xm:sqref>
        </x14:conditionalFormatting>
        <x14:conditionalFormatting xmlns:xm="http://schemas.microsoft.com/office/excel/2006/main">
          <x14:cfRule type="expression" priority="48" id="{461050CF-E84A-487F-98EC-3FE96E53D0D0}">
            <xm:f>AND('Variable Mgmt'!#REF!&gt;'Variable Mgmt'!$B$78*1/1000, MODE=1)</xm:f>
            <x14:dxf>
              <font>
                <color rgb="FFFF0000"/>
              </font>
            </x14:dxf>
          </x14:cfRule>
          <xm:sqref>L22</xm:sqref>
        </x14:conditionalFormatting>
        <x14:conditionalFormatting xmlns:xm="http://schemas.microsoft.com/office/excel/2006/main">
          <x14:cfRule type="expression" priority="47" id="{901FFC11-0194-41BF-B5C0-646916E32353}">
            <xm:f>AND('Variable Mgmt'!#REF!&gt;'Variable Mgmt'!$B$78*1/1000, MODE=1)</xm:f>
            <x14:dxf>
              <font>
                <color rgb="FFFF0000"/>
              </font>
            </x14:dxf>
          </x14:cfRule>
          <xm:sqref>L25</xm:sqref>
        </x14:conditionalFormatting>
        <x14:conditionalFormatting xmlns:xm="http://schemas.microsoft.com/office/excel/2006/main">
          <x14:cfRule type="expression" priority="197" id="{FB76FAF3-E114-4E5D-9585-0FED8547CF75}">
            <xm:f>'Variable Mgmt'!$D$48=TRUE</xm:f>
            <x14:dxf>
              <font>
                <b/>
                <i val="0"/>
                <color theme="0"/>
              </font>
              <fill>
                <patternFill patternType="solid">
                  <fgColor auto="1"/>
                  <bgColor rgb="FFFF0000"/>
                </patternFill>
              </fill>
            </x14:dxf>
          </x14:cfRule>
          <xm:sqref>L16:M16</xm:sqref>
        </x14:conditionalFormatting>
        <x14:conditionalFormatting xmlns:xm="http://schemas.microsoft.com/office/excel/2006/main">
          <x14:cfRule type="expression" priority="36" id="{FDC5A767-D495-475A-B6AD-F3FAFB5256A1}">
            <xm:f>AND('Variable Mgmt'!#REF!&gt;'Variable Mgmt'!$B$78*1/1000, MODE=1)</xm:f>
            <x14:dxf>
              <font>
                <color rgb="FFFF0000"/>
              </font>
            </x14:dxf>
          </x14:cfRule>
          <xm:sqref>L11</xm:sqref>
        </x14:conditionalFormatting>
        <x14:conditionalFormatting xmlns:xm="http://schemas.microsoft.com/office/excel/2006/main">
          <x14:cfRule type="expression" priority="35" id="{004998DE-C112-4A16-9357-8F0E103D9C84}">
            <xm:f>'Variable Mgmt'!$D$83=TRUE</xm:f>
            <x14:dxf>
              <font>
                <strike val="0"/>
                <color theme="0"/>
              </font>
              <fill>
                <patternFill>
                  <bgColor rgb="FFFF0000"/>
                </patternFill>
              </fill>
            </x14:dxf>
          </x14:cfRule>
          <xm:sqref>L12:M12</xm:sqref>
        </x14:conditionalFormatting>
        <x14:conditionalFormatting xmlns:xm="http://schemas.microsoft.com/office/excel/2006/main">
          <x14:cfRule type="expression" priority="28" id="{F1CB057B-DEBD-4CC6-A39A-8CCF4EB9AEA4}">
            <xm:f>AND('Variable Mgmt'!#REF!&gt;'Variable Mgmt'!$B$78*1/1000, MODE=1)</xm:f>
            <x14:dxf>
              <font>
                <color rgb="FFFF0000"/>
              </font>
            </x14:dxf>
          </x14:cfRule>
          <xm:sqref>L23</xm:sqref>
        </x14:conditionalFormatting>
        <x14:conditionalFormatting xmlns:xm="http://schemas.microsoft.com/office/excel/2006/main">
          <x14:cfRule type="expression" priority="14" id="{3BB56539-2E3C-47E6-AE6B-0D4CFCA3E58F}">
            <xm:f>'Variable Mgmt'!$B$74=TRUE</xm:f>
            <x14:dxf>
              <font>
                <color theme="0"/>
              </font>
              <fill>
                <patternFill>
                  <bgColor theme="0"/>
                </patternFill>
              </fill>
              <border>
                <right/>
                <top/>
                <bottom/>
                <vertical/>
                <horizontal/>
              </border>
            </x14:dxf>
          </x14:cfRule>
          <xm:sqref>N29:T31</xm:sqref>
        </x14:conditionalFormatting>
        <x14:conditionalFormatting xmlns:xm="http://schemas.microsoft.com/office/excel/2006/main">
          <x14:cfRule type="expression" priority="11" id="{39327DC7-FED1-4A11-B0EB-9DA33BE59322}">
            <xm:f>AND('Variable Mgmt'!#REF!&gt;'Variable Mgmt'!$B$78*1/1000, MODE=1)</xm:f>
            <x14:dxf>
              <font>
                <color rgb="FFFF0000"/>
              </font>
            </x14:dxf>
          </x14:cfRule>
          <xm:sqref>L26</xm:sqref>
        </x14:conditionalFormatting>
        <x14:conditionalFormatting xmlns:xm="http://schemas.microsoft.com/office/excel/2006/main">
          <x14:cfRule type="expression" priority="10" id="{0343908F-1CE4-4778-868E-05BB939E0494}">
            <xm:f>'Variable Mgmt'!$B$74=TRUE</xm:f>
            <x14:dxf>
              <font>
                <color theme="0"/>
              </font>
              <fill>
                <patternFill>
                  <bgColor theme="0"/>
                </patternFill>
              </fill>
              <border>
                <right/>
                <top/>
                <bottom/>
                <vertical/>
                <horizontal/>
              </border>
            </x14:dxf>
          </x14:cfRule>
          <xm:sqref>G67:M70</xm:sqref>
        </x14:conditionalFormatting>
        <x14:conditionalFormatting xmlns:xm="http://schemas.microsoft.com/office/excel/2006/main">
          <x14:cfRule type="expression" priority="9" id="{1E57FB43-6A30-4541-BAF2-E52CAF5FFFA7}">
            <xm:f>'Variable Mgmt'!$B$74=TRUE</xm:f>
            <x14:dxf>
              <font>
                <color theme="0"/>
              </font>
              <fill>
                <patternFill>
                  <bgColor theme="0"/>
                </patternFill>
              </fill>
              <border>
                <right/>
                <top/>
                <bottom/>
                <vertical/>
                <horizontal/>
              </border>
            </x14:dxf>
          </x14:cfRule>
          <xm:sqref>G73:M77</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error="Selection is out of reasonable range!" xr:uid="{DB9BF754-8A1C-46C6-8BD1-90DBE37CFCCE}">
          <x14:formula1>
            <xm:f>'Stability Calculations'!$A$49:$A$96</xm:f>
          </x14:formula1>
          <xm:sqref>E58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B7"/>
  <sheetViews>
    <sheetView zoomScaleNormal="100" workbookViewId="0">
      <selection activeCell="D5" sqref="D5"/>
    </sheetView>
  </sheetViews>
  <sheetFormatPr defaultRowHeight="12.5"/>
  <cols>
    <col min="2" max="2" width="126.453125" customWidth="1"/>
  </cols>
  <sheetData>
    <row r="2" spans="1:2" ht="17.25" customHeight="1">
      <c r="A2" s="76" t="str">
        <f>CHOOSE(MODE, "EFF_SINGLE", "EFF_DUAL")</f>
        <v>EFF_SINGLE</v>
      </c>
    </row>
    <row r="5" spans="1:2" ht="409.5" customHeight="1">
      <c r="B5" s="360"/>
    </row>
    <row r="6" spans="1:2" ht="17.149999999999999" customHeight="1"/>
    <row r="7" spans="1:2" ht="409.5" customHeight="1">
      <c r="B7" s="360"/>
    </row>
  </sheetData>
  <phoneticPr fontId="83"/>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B7"/>
  <sheetViews>
    <sheetView zoomScaleNormal="100" workbookViewId="0">
      <selection activeCell="B12" sqref="B12"/>
    </sheetView>
  </sheetViews>
  <sheetFormatPr defaultRowHeight="12.5"/>
  <cols>
    <col min="2" max="2" width="126.453125" customWidth="1"/>
  </cols>
  <sheetData>
    <row r="2" spans="1:2" ht="17.25" customHeight="1">
      <c r="A2" s="76" t="str">
        <f>CHOOSE(MODE, "Fsw_SINGLE", "Fsw_DUAL")</f>
        <v>Fsw_SINGLE</v>
      </c>
    </row>
    <row r="5" spans="1:2" ht="409.5" customHeight="1">
      <c r="B5" s="360"/>
    </row>
    <row r="6" spans="1:2" ht="17.149999999999999" customHeight="1"/>
    <row r="7" spans="1:2" ht="409.5" customHeight="1">
      <c r="B7" s="360"/>
    </row>
  </sheetData>
  <phoneticPr fontId="83"/>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sheetPr>
  <dimension ref="A2:T67"/>
  <sheetViews>
    <sheetView topLeftCell="A8" zoomScale="40" zoomScaleNormal="40" zoomScaleSheetLayoutView="145" workbookViewId="0">
      <selection activeCell="N13" sqref="N13"/>
    </sheetView>
  </sheetViews>
  <sheetFormatPr defaultRowHeight="12.5"/>
  <cols>
    <col min="1" max="1" width="12.7265625" style="360" customWidth="1"/>
    <col min="2" max="2" width="124.7265625" style="11" customWidth="1"/>
    <col min="3" max="4" width="9.1796875" style="360"/>
    <col min="5" max="5" width="124.7265625" style="7" customWidth="1"/>
    <col min="8" max="8" width="124.7265625" style="361" customWidth="1"/>
  </cols>
  <sheetData>
    <row r="2" spans="1:15">
      <c r="A2" s="360" t="str">
        <f>'Variable Mgmt'!K66</f>
        <v>SCH_SINGLE_UVLOadj_SSint_TCno</v>
      </c>
    </row>
    <row r="5" spans="1:15" s="360" customFormat="1" ht="13.5" customHeight="1">
      <c r="E5" s="361"/>
      <c r="H5" s="361"/>
    </row>
    <row r="6" spans="1:15" s="360" customFormat="1" ht="16.5" customHeight="1">
      <c r="E6" s="361"/>
      <c r="H6" s="361"/>
    </row>
    <row r="7" spans="1:15" ht="357" customHeight="1">
      <c r="B7" s="12"/>
      <c r="E7" s="387"/>
      <c r="F7" s="11"/>
      <c r="G7" s="11"/>
      <c r="I7" s="11"/>
      <c r="J7" s="11"/>
      <c r="K7" s="11"/>
      <c r="L7" s="11"/>
      <c r="M7" s="11"/>
      <c r="N7" s="11"/>
    </row>
    <row r="8" spans="1:15" s="360" customFormat="1" ht="17.25" customHeight="1">
      <c r="B8" s="361"/>
      <c r="E8" s="361"/>
      <c r="H8" s="361"/>
      <c r="O8" s="362"/>
    </row>
    <row r="9" spans="1:15" ht="357" customHeight="1">
      <c r="B9" s="111"/>
      <c r="D9" s="361"/>
      <c r="E9" s="387"/>
      <c r="F9" s="360"/>
      <c r="G9" s="11"/>
      <c r="I9" s="11"/>
      <c r="J9" s="11"/>
      <c r="K9" s="11"/>
      <c r="L9" s="11"/>
      <c r="M9" s="11"/>
      <c r="N9" s="11"/>
      <c r="O9" s="363"/>
    </row>
    <row r="10" spans="1:15" s="360" customFormat="1">
      <c r="E10" s="361"/>
      <c r="H10" s="361"/>
    </row>
    <row r="11" spans="1:15" ht="357" customHeight="1">
      <c r="B11" s="387"/>
      <c r="D11" s="361"/>
      <c r="E11" s="361"/>
      <c r="F11" s="360"/>
      <c r="G11" s="11"/>
      <c r="I11" s="11"/>
      <c r="J11" s="11"/>
      <c r="K11" s="11"/>
      <c r="L11" s="11"/>
      <c r="M11" s="11"/>
      <c r="N11" s="11"/>
      <c r="O11" s="363"/>
    </row>
    <row r="12" spans="1:15">
      <c r="B12" s="360"/>
      <c r="E12" s="361"/>
      <c r="F12" s="360"/>
      <c r="G12" s="11"/>
      <c r="I12" s="11"/>
      <c r="J12" s="11"/>
      <c r="K12" s="11"/>
      <c r="L12" s="11"/>
      <c r="M12" s="11"/>
      <c r="N12" s="11"/>
    </row>
    <row r="13" spans="1:15" ht="357" customHeight="1">
      <c r="B13" s="387"/>
      <c r="E13" s="361"/>
      <c r="F13" s="360"/>
      <c r="G13" s="11"/>
      <c r="I13" s="11"/>
      <c r="J13" s="11"/>
      <c r="K13" s="11"/>
      <c r="L13" s="11"/>
      <c r="M13" s="11"/>
      <c r="N13" s="11"/>
      <c r="O13" s="363"/>
    </row>
    <row r="14" spans="1:15">
      <c r="B14" s="360"/>
      <c r="E14" s="361"/>
      <c r="F14" s="360"/>
      <c r="G14" s="11"/>
      <c r="I14" s="11"/>
      <c r="J14" s="11"/>
      <c r="K14" s="11"/>
      <c r="L14" s="11"/>
      <c r="M14" s="11"/>
      <c r="N14" s="11"/>
    </row>
    <row r="15" spans="1:15" ht="357" customHeight="1">
      <c r="E15" s="361"/>
      <c r="F15" s="360"/>
      <c r="G15" s="11"/>
      <c r="I15" s="11"/>
      <c r="J15" s="11"/>
      <c r="K15" s="11"/>
      <c r="L15" s="11"/>
      <c r="M15" s="11"/>
      <c r="N15" s="11"/>
      <c r="O15" s="363"/>
    </row>
    <row r="16" spans="1:15">
      <c r="B16" s="360"/>
      <c r="E16" s="361"/>
      <c r="F16" s="11"/>
      <c r="G16" s="11"/>
      <c r="I16" s="11"/>
      <c r="J16" s="11"/>
      <c r="K16" s="11"/>
      <c r="L16" s="11"/>
      <c r="M16" s="11"/>
      <c r="N16" s="11"/>
    </row>
    <row r="17" spans="2:15" ht="357" customHeight="1">
      <c r="B17" s="387"/>
      <c r="E17" s="361"/>
      <c r="F17" s="360"/>
      <c r="G17" s="11"/>
      <c r="I17" s="11"/>
      <c r="J17" s="11"/>
      <c r="K17" s="11"/>
      <c r="L17" s="11"/>
      <c r="M17" s="11"/>
      <c r="N17" s="11"/>
      <c r="O17" s="363"/>
    </row>
    <row r="18" spans="2:15" ht="12" customHeight="1">
      <c r="B18" s="360"/>
      <c r="E18" s="361"/>
      <c r="F18" s="11"/>
      <c r="G18" s="11"/>
      <c r="I18" s="11"/>
      <c r="J18" s="11"/>
      <c r="K18" s="11"/>
      <c r="L18" s="11"/>
      <c r="M18" s="11"/>
      <c r="N18" s="11"/>
    </row>
    <row r="19" spans="2:15" ht="357" customHeight="1">
      <c r="B19" s="360"/>
      <c r="E19" s="361"/>
      <c r="F19" s="11"/>
      <c r="G19" s="11"/>
      <c r="I19" s="11"/>
      <c r="J19" s="11"/>
      <c r="K19" s="11"/>
      <c r="L19" s="11"/>
      <c r="M19" s="11"/>
      <c r="N19" s="11"/>
    </row>
    <row r="20" spans="2:15" ht="13.5" customHeight="1">
      <c r="B20" s="360"/>
      <c r="E20" s="361"/>
      <c r="F20" s="11"/>
      <c r="G20" s="11"/>
      <c r="I20" s="11"/>
      <c r="J20" s="11"/>
      <c r="K20" s="11"/>
      <c r="L20" s="11"/>
      <c r="M20" s="11"/>
      <c r="N20" s="11"/>
    </row>
    <row r="21" spans="2:15" ht="357" customHeight="1">
      <c r="B21" s="360"/>
      <c r="E21" s="361"/>
      <c r="F21" s="11"/>
      <c r="G21" s="11"/>
      <c r="I21" s="11"/>
      <c r="J21" s="11"/>
      <c r="K21" s="11"/>
      <c r="L21" s="11"/>
      <c r="M21" s="11"/>
      <c r="N21" s="11"/>
    </row>
    <row r="22" spans="2:15">
      <c r="B22" s="360"/>
      <c r="E22" s="361"/>
      <c r="F22" s="11"/>
      <c r="G22" s="11"/>
      <c r="I22" s="11"/>
      <c r="J22" s="11"/>
      <c r="K22" s="11"/>
      <c r="L22" s="11"/>
      <c r="M22" s="11"/>
      <c r="N22" s="11"/>
    </row>
    <row r="23" spans="2:15" ht="357" customHeight="1">
      <c r="B23" s="360"/>
      <c r="E23" s="361"/>
      <c r="F23" s="11"/>
      <c r="G23" s="11"/>
      <c r="I23" s="11"/>
      <c r="J23" s="11"/>
      <c r="K23" s="11"/>
      <c r="L23" s="11"/>
      <c r="M23" s="11"/>
      <c r="N23" s="11"/>
    </row>
    <row r="24" spans="2:15">
      <c r="B24" s="360"/>
      <c r="E24" s="361"/>
      <c r="F24" s="11"/>
      <c r="G24" s="11"/>
      <c r="I24" s="11"/>
      <c r="J24" s="11"/>
      <c r="K24" s="11"/>
      <c r="L24" s="11"/>
      <c r="M24" s="11"/>
      <c r="N24" s="11"/>
    </row>
    <row r="25" spans="2:15" ht="327.75" customHeight="1">
      <c r="B25" s="360"/>
      <c r="E25" s="361"/>
      <c r="F25" s="11"/>
      <c r="G25" s="11"/>
      <c r="I25" s="11"/>
      <c r="J25" s="11"/>
      <c r="K25" s="11"/>
      <c r="L25" s="11"/>
      <c r="M25" s="11"/>
      <c r="N25" s="11"/>
    </row>
    <row r="26" spans="2:15">
      <c r="E26" s="361"/>
      <c r="F26" s="11"/>
      <c r="G26" s="11"/>
      <c r="I26" s="11"/>
      <c r="J26" s="11"/>
      <c r="K26" s="11"/>
      <c r="L26" s="11"/>
      <c r="M26" s="11"/>
      <c r="N26" s="11"/>
    </row>
    <row r="27" spans="2:15" ht="327.64999999999998" customHeight="1">
      <c r="B27" s="360"/>
      <c r="E27" s="361"/>
      <c r="F27" s="11"/>
      <c r="G27" s="11"/>
      <c r="I27" s="11"/>
      <c r="J27" s="11"/>
      <c r="K27" s="11"/>
      <c r="L27" s="11"/>
      <c r="M27" s="11"/>
      <c r="N27" s="11"/>
    </row>
    <row r="28" spans="2:15">
      <c r="B28" s="360"/>
      <c r="E28" s="361"/>
      <c r="F28" s="11"/>
      <c r="G28" s="11"/>
      <c r="I28" s="11"/>
      <c r="J28" s="11"/>
      <c r="K28" s="11"/>
      <c r="L28" s="11"/>
      <c r="M28" s="11"/>
      <c r="N28" s="11"/>
    </row>
    <row r="29" spans="2:15" ht="327.75" customHeight="1">
      <c r="B29" s="360"/>
      <c r="E29" s="361"/>
      <c r="F29" s="11"/>
      <c r="G29" s="11"/>
      <c r="I29" s="11"/>
      <c r="J29" s="11"/>
      <c r="K29" s="11"/>
      <c r="L29" s="11"/>
      <c r="M29" s="11"/>
      <c r="N29" s="11"/>
    </row>
    <row r="30" spans="2:15" ht="13.5" customHeight="1">
      <c r="B30" s="360"/>
      <c r="E30" s="361"/>
      <c r="F30" s="11"/>
      <c r="G30" s="11"/>
      <c r="I30" s="11"/>
      <c r="J30" s="11"/>
      <c r="K30" s="11"/>
      <c r="L30" s="11"/>
      <c r="M30" s="11"/>
      <c r="N30" s="11"/>
    </row>
    <row r="31" spans="2:15" ht="327.75" customHeight="1">
      <c r="B31" s="360"/>
      <c r="E31" s="361"/>
      <c r="F31" s="11"/>
      <c r="G31" s="11"/>
      <c r="I31" s="11"/>
      <c r="J31" s="11"/>
      <c r="K31" s="11"/>
      <c r="L31" s="11"/>
      <c r="M31" s="11"/>
      <c r="N31" s="11"/>
    </row>
    <row r="32" spans="2:15" ht="13.5" customHeight="1">
      <c r="B32" s="360"/>
      <c r="E32" s="361"/>
      <c r="F32" s="11"/>
      <c r="G32" s="11"/>
      <c r="I32" s="11"/>
      <c r="J32" s="11"/>
      <c r="K32" s="11"/>
      <c r="L32" s="11"/>
      <c r="M32" s="11"/>
      <c r="N32" s="11"/>
    </row>
    <row r="33" spans="2:20" ht="327.75" customHeight="1">
      <c r="B33" s="360"/>
      <c r="E33" s="361"/>
      <c r="F33" s="11"/>
      <c r="G33" s="11"/>
      <c r="I33" s="11"/>
      <c r="J33" s="11"/>
      <c r="K33" s="11"/>
      <c r="L33" s="11"/>
      <c r="M33" s="11"/>
      <c r="N33" s="11"/>
    </row>
    <row r="34" spans="2:20" ht="13.5" customHeight="1">
      <c r="B34" s="360"/>
      <c r="E34" s="361"/>
      <c r="F34" s="11"/>
      <c r="G34" s="11"/>
      <c r="I34" s="11"/>
      <c r="J34" s="11"/>
      <c r="K34" s="11"/>
      <c r="L34" s="11"/>
      <c r="M34" s="11"/>
      <c r="N34" s="11"/>
    </row>
    <row r="35" spans="2:20" ht="327.64999999999998" customHeight="1">
      <c r="B35" s="360"/>
      <c r="E35" s="361"/>
      <c r="F35" s="11"/>
      <c r="G35" s="11"/>
      <c r="I35" s="11"/>
      <c r="J35" s="11"/>
      <c r="K35" s="11"/>
      <c r="L35" s="11"/>
      <c r="M35" s="11"/>
      <c r="N35" s="11"/>
    </row>
    <row r="36" spans="2:20" ht="13.5" customHeight="1">
      <c r="B36" s="360"/>
      <c r="E36" s="361"/>
      <c r="F36" s="11"/>
      <c r="G36" s="11"/>
      <c r="I36" s="11"/>
      <c r="J36" s="11"/>
      <c r="K36" s="11"/>
      <c r="L36" s="11"/>
      <c r="M36" s="11"/>
      <c r="N36" s="11"/>
    </row>
    <row r="37" spans="2:20" ht="327.75" customHeight="1">
      <c r="B37" s="360"/>
      <c r="E37" s="361"/>
      <c r="F37" s="11"/>
      <c r="G37" s="11"/>
      <c r="I37" s="11"/>
      <c r="J37" s="11"/>
      <c r="K37" s="11"/>
      <c r="L37" s="11"/>
      <c r="M37" s="11"/>
      <c r="N37" s="11"/>
    </row>
    <row r="38" spans="2:20" ht="13.5" customHeight="1">
      <c r="B38" s="360"/>
      <c r="E38" s="361"/>
      <c r="F38" s="11"/>
      <c r="G38" s="364"/>
      <c r="I38" s="365"/>
      <c r="J38" s="11"/>
      <c r="K38" s="11"/>
      <c r="L38" s="11"/>
      <c r="M38" s="11"/>
      <c r="N38" s="11"/>
    </row>
    <row r="39" spans="2:20" ht="327.75" customHeight="1">
      <c r="B39" s="360"/>
      <c r="E39" s="361"/>
      <c r="F39" s="11"/>
      <c r="G39" s="11"/>
      <c r="I39" s="365"/>
      <c r="J39" s="11"/>
      <c r="K39" s="11"/>
      <c r="L39" s="11"/>
      <c r="M39" s="11"/>
      <c r="N39" s="11"/>
    </row>
    <row r="40" spans="2:20">
      <c r="B40" s="360"/>
      <c r="E40" s="361"/>
      <c r="F40" s="11"/>
      <c r="G40" s="11"/>
      <c r="I40" s="11"/>
      <c r="J40" s="11"/>
      <c r="K40" s="11"/>
      <c r="L40" s="11"/>
      <c r="M40" s="11"/>
      <c r="N40" s="11"/>
      <c r="O40" s="11"/>
      <c r="P40" s="11"/>
      <c r="Q40" s="13"/>
      <c r="S40" s="366"/>
      <c r="T40" s="366"/>
    </row>
    <row r="41" spans="2:20" ht="327.75" customHeight="1">
      <c r="B41" s="360"/>
      <c r="E41" s="361"/>
      <c r="F41" s="11"/>
      <c r="G41" s="11"/>
      <c r="I41" s="11"/>
      <c r="J41" s="11"/>
      <c r="K41" s="11"/>
      <c r="L41" s="11"/>
      <c r="M41" s="11"/>
      <c r="N41" s="11"/>
      <c r="O41" s="11"/>
      <c r="P41" s="11"/>
      <c r="Q41" s="13"/>
      <c r="S41" s="366"/>
    </row>
    <row r="42" spans="2:20">
      <c r="B42" s="360"/>
      <c r="E42" s="361"/>
      <c r="F42" s="11"/>
      <c r="G42" s="11"/>
      <c r="I42" s="11"/>
      <c r="J42" s="11"/>
      <c r="K42" s="11"/>
      <c r="L42" s="11"/>
      <c r="M42" s="11"/>
      <c r="N42" s="11"/>
      <c r="O42" s="11"/>
      <c r="P42" s="11"/>
      <c r="Q42" s="13"/>
      <c r="S42" s="366"/>
    </row>
    <row r="43" spans="2:20" ht="327.75" customHeight="1">
      <c r="B43" s="360"/>
      <c r="E43" s="361"/>
      <c r="F43" s="11"/>
      <c r="G43" s="11"/>
      <c r="I43" s="11"/>
      <c r="J43" s="11"/>
      <c r="K43" s="11"/>
      <c r="L43" s="11"/>
      <c r="M43" s="11"/>
      <c r="N43" s="11"/>
      <c r="O43" s="11"/>
      <c r="P43" s="11"/>
      <c r="Q43" s="13"/>
      <c r="S43" s="366"/>
    </row>
    <row r="44" spans="2:20">
      <c r="B44" s="360"/>
      <c r="E44" s="361"/>
      <c r="F44" s="11"/>
      <c r="G44" s="11"/>
      <c r="I44" s="11"/>
      <c r="J44" s="11"/>
      <c r="K44" s="11"/>
      <c r="L44" s="11"/>
      <c r="M44" s="11"/>
      <c r="N44" s="11"/>
      <c r="O44" s="11"/>
      <c r="P44" s="11"/>
      <c r="Q44" s="13"/>
      <c r="S44" s="366"/>
    </row>
    <row r="45" spans="2:20" ht="327.75" customHeight="1">
      <c r="B45" s="360"/>
      <c r="E45" s="361"/>
      <c r="F45" s="11"/>
      <c r="G45" s="11"/>
      <c r="I45" s="11"/>
      <c r="J45" s="11"/>
      <c r="K45" s="11"/>
      <c r="L45" s="11"/>
      <c r="M45" s="11"/>
      <c r="N45" s="11"/>
      <c r="O45" s="11"/>
      <c r="P45" s="11"/>
      <c r="Q45" s="13"/>
      <c r="S45" s="366"/>
    </row>
    <row r="46" spans="2:20">
      <c r="B46" s="360"/>
      <c r="E46" s="361"/>
      <c r="F46" s="11"/>
      <c r="G46" s="11"/>
      <c r="I46" s="11"/>
      <c r="J46" s="11"/>
      <c r="K46" s="11"/>
      <c r="L46" s="11"/>
      <c r="M46" s="11"/>
      <c r="N46" s="11"/>
      <c r="O46" s="11"/>
      <c r="P46" s="11"/>
      <c r="Q46" s="13"/>
      <c r="S46" s="366"/>
    </row>
    <row r="47" spans="2:20" ht="327.75" customHeight="1">
      <c r="B47" s="360"/>
      <c r="E47" s="361"/>
      <c r="F47" s="11"/>
      <c r="G47" s="11"/>
      <c r="I47" s="11"/>
      <c r="J47" s="11"/>
      <c r="K47" s="11"/>
      <c r="L47" s="11"/>
      <c r="M47" s="11"/>
      <c r="N47" s="11"/>
      <c r="O47" s="11"/>
      <c r="P47" s="11"/>
      <c r="Q47" s="13"/>
      <c r="S47" s="367"/>
    </row>
    <row r="48" spans="2:20">
      <c r="B48" s="360"/>
      <c r="E48" s="361"/>
      <c r="F48" s="11"/>
      <c r="G48" s="11"/>
      <c r="I48" s="11"/>
      <c r="J48" s="11"/>
      <c r="K48" s="11"/>
      <c r="L48" s="11"/>
      <c r="M48" s="11"/>
      <c r="N48" s="11"/>
      <c r="O48" s="11"/>
      <c r="P48" s="11"/>
      <c r="Q48" s="13"/>
      <c r="S48" s="366"/>
    </row>
    <row r="49" spans="2:19" ht="327.75" customHeight="1">
      <c r="B49" s="360"/>
      <c r="E49" s="361"/>
      <c r="F49" s="11"/>
      <c r="G49" s="11"/>
      <c r="I49" s="11"/>
      <c r="J49" s="11"/>
      <c r="K49" s="11"/>
      <c r="L49" s="11"/>
      <c r="M49" s="11"/>
      <c r="N49" s="11"/>
      <c r="O49" s="11"/>
      <c r="P49" s="11"/>
      <c r="Q49" s="13"/>
      <c r="S49" s="366"/>
    </row>
    <row r="50" spans="2:19">
      <c r="B50" s="360"/>
      <c r="E50" s="361"/>
      <c r="F50" s="11"/>
      <c r="G50" s="11"/>
      <c r="I50" s="11"/>
      <c r="J50" s="11"/>
      <c r="K50" s="11"/>
      <c r="L50" s="11"/>
      <c r="M50" s="11"/>
      <c r="N50" s="11"/>
      <c r="O50" s="11"/>
      <c r="P50" s="11"/>
      <c r="Q50" s="13"/>
      <c r="S50" s="366"/>
    </row>
    <row r="51" spans="2:19">
      <c r="B51" s="360"/>
      <c r="E51" s="361"/>
      <c r="F51" s="11"/>
      <c r="G51" s="11"/>
      <c r="I51" s="11"/>
      <c r="J51" s="11"/>
      <c r="K51" s="11"/>
      <c r="L51" s="11"/>
      <c r="M51" s="11"/>
      <c r="N51" s="11"/>
      <c r="O51" s="11"/>
      <c r="P51" s="11"/>
      <c r="Q51" s="13"/>
      <c r="S51" s="366"/>
    </row>
    <row r="52" spans="2:19">
      <c r="B52" s="360"/>
      <c r="E52" s="361"/>
      <c r="F52" s="11"/>
      <c r="G52" s="11"/>
      <c r="I52" s="11"/>
      <c r="J52" s="11"/>
      <c r="K52" s="11"/>
      <c r="L52" s="11"/>
      <c r="M52" s="11"/>
      <c r="N52" s="11"/>
      <c r="O52" s="11"/>
      <c r="P52" s="11"/>
      <c r="Q52" s="13"/>
      <c r="S52" s="366"/>
    </row>
    <row r="53" spans="2:19">
      <c r="B53" s="360"/>
      <c r="E53" s="361"/>
      <c r="F53" s="11"/>
      <c r="G53" s="11"/>
      <c r="I53" s="11"/>
      <c r="J53" s="11"/>
      <c r="K53" s="11"/>
      <c r="L53" s="11"/>
      <c r="M53" s="11"/>
      <c r="N53" s="11"/>
    </row>
    <row r="54" spans="2:19">
      <c r="B54" s="360"/>
      <c r="E54" s="361"/>
      <c r="F54" s="11"/>
      <c r="G54" s="11"/>
      <c r="I54" s="11"/>
      <c r="J54" s="11"/>
      <c r="K54" s="11"/>
      <c r="L54" s="11"/>
      <c r="M54" s="11"/>
      <c r="N54" s="11"/>
    </row>
    <row r="55" spans="2:19" ht="13">
      <c r="B55" s="360"/>
      <c r="E55" s="361"/>
      <c r="F55" s="11"/>
      <c r="G55" s="11"/>
      <c r="I55" s="11"/>
      <c r="J55" s="11"/>
      <c r="K55" s="11"/>
      <c r="L55" s="11"/>
      <c r="M55" s="11"/>
      <c r="N55" s="11"/>
      <c r="R55" s="14"/>
    </row>
    <row r="56" spans="2:19">
      <c r="B56" s="360"/>
      <c r="E56" s="361"/>
      <c r="F56" s="11"/>
      <c r="G56" s="11"/>
      <c r="I56" s="11"/>
      <c r="J56" s="11"/>
      <c r="K56" s="11"/>
      <c r="L56" s="11"/>
      <c r="M56" s="11"/>
      <c r="N56" s="11"/>
    </row>
    <row r="57" spans="2:19">
      <c r="B57" s="360"/>
      <c r="E57" s="361"/>
      <c r="F57" s="11"/>
      <c r="G57" s="11"/>
      <c r="I57" s="11"/>
      <c r="J57" s="11"/>
      <c r="K57" s="11"/>
      <c r="L57" s="11"/>
      <c r="M57" s="11"/>
      <c r="N57" s="11"/>
    </row>
    <row r="58" spans="2:19">
      <c r="E58" s="12"/>
      <c r="F58" s="11"/>
      <c r="G58" s="11"/>
      <c r="I58" s="11"/>
      <c r="J58" s="11"/>
      <c r="K58" s="11"/>
      <c r="L58" s="11"/>
      <c r="M58" s="11"/>
      <c r="N58" s="11"/>
    </row>
    <row r="59" spans="2:19">
      <c r="E59" s="12"/>
      <c r="F59" s="11"/>
      <c r="G59" s="11"/>
      <c r="I59" s="11"/>
      <c r="J59" s="11"/>
      <c r="K59" s="11"/>
      <c r="L59" s="11"/>
      <c r="M59" s="11"/>
      <c r="N59" s="11"/>
    </row>
    <row r="60" spans="2:19">
      <c r="E60" s="12"/>
      <c r="F60" s="11"/>
      <c r="G60" s="11"/>
      <c r="I60" s="11"/>
      <c r="J60" s="11"/>
      <c r="K60" s="11"/>
      <c r="L60" s="11"/>
      <c r="M60" s="11"/>
      <c r="N60" s="11"/>
    </row>
    <row r="61" spans="2:19">
      <c r="E61" s="12"/>
      <c r="F61" s="11"/>
      <c r="G61" s="11"/>
      <c r="I61" s="11"/>
      <c r="J61" s="11"/>
      <c r="K61" s="11"/>
      <c r="L61" s="11"/>
      <c r="M61" s="11"/>
      <c r="N61" s="11"/>
    </row>
    <row r="62" spans="2:19">
      <c r="E62" s="12"/>
      <c r="F62" s="11"/>
      <c r="G62" s="11"/>
      <c r="I62" s="11"/>
      <c r="J62" s="11"/>
      <c r="K62" s="11"/>
      <c r="L62" s="11"/>
      <c r="M62" s="11"/>
      <c r="N62" s="11"/>
    </row>
    <row r="63" spans="2:19">
      <c r="E63" s="12"/>
      <c r="F63" s="11"/>
      <c r="G63" s="11"/>
      <c r="I63" s="11"/>
      <c r="J63" s="11"/>
      <c r="K63" s="11"/>
      <c r="L63" s="11"/>
      <c r="M63" s="11"/>
      <c r="N63" s="11"/>
    </row>
    <row r="64" spans="2:19">
      <c r="E64" s="12"/>
      <c r="F64" s="11"/>
      <c r="G64" s="11"/>
      <c r="I64" s="11"/>
      <c r="J64" s="11"/>
      <c r="K64" s="11"/>
      <c r="L64" s="11"/>
      <c r="M64" s="11"/>
      <c r="N64" s="11"/>
    </row>
    <row r="65" spans="5:18">
      <c r="E65" s="12"/>
      <c r="F65" s="11"/>
      <c r="G65" s="11"/>
      <c r="I65" s="11"/>
      <c r="J65" s="11"/>
      <c r="K65" s="11"/>
      <c r="L65" s="11"/>
      <c r="M65" s="11"/>
      <c r="N65" s="11"/>
    </row>
    <row r="66" spans="5:18" ht="13">
      <c r="E66" s="12"/>
      <c r="F66" s="11"/>
      <c r="G66" s="11"/>
      <c r="I66" s="11"/>
      <c r="J66" s="11"/>
      <c r="K66" s="11"/>
      <c r="L66" s="11"/>
      <c r="M66" s="11"/>
      <c r="N66" s="11"/>
      <c r="R66" s="14"/>
    </row>
    <row r="67" spans="5:18">
      <c r="E67" s="12"/>
      <c r="F67" s="11"/>
      <c r="G67" s="11"/>
      <c r="I67" s="11"/>
      <c r="J67" s="11"/>
      <c r="K67" s="11"/>
      <c r="L67" s="11"/>
      <c r="M67" s="11"/>
      <c r="N67" s="11"/>
    </row>
  </sheetData>
  <sheetProtection sheet="1" objects="1" scenarios="1"/>
  <phoneticPr fontId="83"/>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K159"/>
  <sheetViews>
    <sheetView workbookViewId="0">
      <selection activeCell="O25" sqref="O25"/>
    </sheetView>
  </sheetViews>
  <sheetFormatPr defaultRowHeight="12.5"/>
  <cols>
    <col min="1" max="1" width="17.26953125" customWidth="1"/>
    <col min="2" max="2" width="12" bestFit="1" customWidth="1"/>
    <col min="8" max="8" width="12.1796875" customWidth="1"/>
    <col min="9" max="9" width="12.453125" bestFit="1" customWidth="1"/>
    <col min="10" max="10" width="15.453125" customWidth="1"/>
  </cols>
  <sheetData>
    <row r="2" spans="1:11">
      <c r="A2" t="s">
        <v>68</v>
      </c>
      <c r="B2" t="s">
        <v>66</v>
      </c>
      <c r="C2" t="s">
        <v>14</v>
      </c>
      <c r="D2" t="s">
        <v>28</v>
      </c>
      <c r="E2" t="s">
        <v>75</v>
      </c>
    </row>
    <row r="3" spans="1:11" ht="13">
      <c r="A3" t="s">
        <v>71</v>
      </c>
      <c r="B3">
        <f>Css</f>
        <v>5.0000000000000004E-8</v>
      </c>
      <c r="C3">
        <f>Cout</f>
        <v>110</v>
      </c>
      <c r="D3">
        <f>Cin</f>
        <v>22</v>
      </c>
      <c r="E3">
        <f>Cb</f>
        <v>0</v>
      </c>
      <c r="H3" t="s">
        <v>73</v>
      </c>
      <c r="I3" t="s">
        <v>74</v>
      </c>
      <c r="J3" s="3" t="s">
        <v>70</v>
      </c>
    </row>
    <row r="4" spans="1:11" ht="13">
      <c r="A4" s="6" t="s">
        <v>70</v>
      </c>
      <c r="B4" s="6">
        <f>SUM(B6:B158)/1000000000000</f>
        <v>4.6999999999999997E-8</v>
      </c>
      <c r="C4" s="6">
        <f>SUM(C6:C158)/1000000000000</f>
        <v>0</v>
      </c>
      <c r="D4" s="6">
        <f>SUM(D6:D158)/1000000000000</f>
        <v>0</v>
      </c>
      <c r="E4" s="6">
        <f>IF(E3="OPEN","OPEN",SUM(E6:E158)/1000000000000)</f>
        <v>0</v>
      </c>
      <c r="H4" s="76" t="s">
        <v>139</v>
      </c>
      <c r="I4" t="e">
        <f>Rt</f>
        <v>#NAME?</v>
      </c>
      <c r="J4" s="3" t="e">
        <f t="shared" ref="J4:J9" si="0">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7" t="s">
        <v>136</v>
      </c>
    </row>
    <row r="5" spans="1:11" ht="13">
      <c r="A5" t="s">
        <v>69</v>
      </c>
      <c r="J5" s="3"/>
      <c r="K5" s="17"/>
    </row>
    <row r="6" spans="1:11" ht="13">
      <c r="A6">
        <v>0.47</v>
      </c>
      <c r="B6">
        <f>IF(IF((B$3*10^12-$A7)*(B$3*10^12-$A6)*-1&lt;0,0,1)*IF(ABS(B$3*10^12-$A7)&gt;(B$3*10^12-$A6),$A6,$A7)=B7,0,IF((B$3*10^12-$A7)*(B$3*10^12-$A6)*-1&lt;0,0,1)*IF(ABS(B$3*10^12-$A7)&gt;(B$3*10^12-$A6),$A6,$A7))</f>
        <v>0</v>
      </c>
      <c r="C6">
        <f>IF(IF((C$3*10^12-$A7)*(C$3*10^12-$A6)*-1&lt;0,0,1)*IF(ABS(C$3*10^12-$A7)&gt;(C$3*10^12-$A6),$A6,$A7)=C7,0,IF((C$3*10^12-$A7)*(C$3*10^12-$A6)*-1&lt;0,0,1)*IF(ABS(C$3*10^12-$A7)&gt;(C$3*10^12-$A6),$A6,$A7))</f>
        <v>0</v>
      </c>
      <c r="D6">
        <f>IF(IF((D$3*10^12-$A7)*(D$3*10^12-$A6)*-1&lt;0,0,1)*IF(ABS(D$3*10^12-$A7)&gt;(D$3*10^12-$A6),$A6,$A7)=D7,0,IF((D$3*10^12-$A7)*(D$3*10^12-$A6)*-1&lt;0,0,1)*IF(ABS(D$3*10^12-$A7)&gt;(D$3*10^12-$A6),$A6,$A7))</f>
        <v>0</v>
      </c>
      <c r="E6">
        <f>IF(IF((E$3*10^12-$A7)*(E$3*10^12-$A6)*-1&lt;0,0,1)*IF(ABS(E$3*10^12-$A7)&gt;(E$3*10^12-$A6),$A6,$A7)=E7,0,IF((E$3*10^12-$A7)*(E$3*10^12-$A6)*-1&lt;0,0,1)*IF(ABS(E$3*10^12-$A7)&gt;(E$3*10^12-$A6),$A6,$A7))</f>
        <v>0</v>
      </c>
      <c r="H6" s="76" t="s">
        <v>162</v>
      </c>
      <c r="I6" t="e">
        <f>Rshunt</f>
        <v>#NAME?</v>
      </c>
      <c r="J6" s="3" t="e">
        <f t="shared" si="0"/>
        <v>#NAME?</v>
      </c>
      <c r="K6" s="17" t="s">
        <v>136</v>
      </c>
    </row>
    <row r="7" spans="1:11" ht="13">
      <c r="A7">
        <v>0.56000000000000005</v>
      </c>
      <c r="B7">
        <f t="shared" ref="B7:B70" si="1">IF(IF((B$3*10^12-$A8)*(B$3*10^12-$A7)*-1&lt;0,0,1)*IF(ABS(B$3*10^12-$A8)&gt;(B$3*10^12-$A7),$A7,$A8)=B8,0,IF((B$3*10^12-$A8)*(B$3*10^12-$A7)*-1&lt;0,0,1)*IF(ABS(B$3*10^12-$A8)&gt;(B$3*10^12-$A7),$A7,$A8))</f>
        <v>0</v>
      </c>
      <c r="C7">
        <f t="shared" ref="C7:C69" si="2">IF(IF((C$3*10^12-$A8)*(C$3*10^12-$A7)*-1&lt;0,0,1)*IF(ABS(C$3*10^12-$A8)&gt;(C$3*10^12-$A7),$A7,$A8)=C8,0,IF((C$3*10^12-$A8)*(C$3*10^12-$A7)*-1&lt;0,0,1)*IF(ABS(C$3*10^12-$A8)&gt;(C$3*10^12-$A7),$A7,$A8))</f>
        <v>0</v>
      </c>
      <c r="D7">
        <f t="shared" ref="D7:D69" si="3">IF(IF((D$3*10^12-$A8)*(D$3*10^12-$A7)*-1&lt;0,0,1)*IF(ABS(D$3*10^12-$A8)&gt;(D$3*10^12-$A7),$A7,$A8)=D8,0,IF((D$3*10^12-$A8)*(D$3*10^12-$A7)*-1&lt;0,0,1)*IF(ABS(D$3*10^12-$A8)&gt;(D$3*10^12-$A7),$A7,$A8))</f>
        <v>0</v>
      </c>
      <c r="E7">
        <f t="shared" ref="E7:E37" si="4">IF(IF((E$3*10^12-$A8)*(E$3*10^12-$A7)*-1&lt;0,0,1)*IF(ABS(E$3*10^12-$A8)&gt;(E$3*10^12-$A7),$A7,$A8)=E8,0,IF((E$3*10^12-$A8)*(E$3*10^12-$A7)*-1&lt;0,0,1)*IF(ABS(E$3*10^12-$A8)&gt;(E$3*10^12-$A7),$A7,$A8))</f>
        <v>0</v>
      </c>
      <c r="H7" t="s">
        <v>79</v>
      </c>
      <c r="I7">
        <v>6220.3534470000013</v>
      </c>
      <c r="J7" s="3">
        <f t="shared" si="0"/>
        <v>6190</v>
      </c>
      <c r="K7" s="17" t="s">
        <v>136</v>
      </c>
    </row>
    <row r="8" spans="1:11" ht="13">
      <c r="A8">
        <v>0.68</v>
      </c>
      <c r="B8">
        <f t="shared" si="1"/>
        <v>0</v>
      </c>
      <c r="C8">
        <f t="shared" si="2"/>
        <v>0</v>
      </c>
      <c r="D8">
        <f t="shared" si="3"/>
        <v>0</v>
      </c>
      <c r="E8">
        <f t="shared" si="4"/>
        <v>0</v>
      </c>
      <c r="J8" s="3"/>
      <c r="K8" s="17"/>
    </row>
    <row r="9" spans="1:11" ht="13">
      <c r="A9">
        <v>0.82</v>
      </c>
      <c r="B9">
        <f t="shared" si="1"/>
        <v>0</v>
      </c>
      <c r="C9">
        <f t="shared" si="2"/>
        <v>0</v>
      </c>
      <c r="D9">
        <f t="shared" si="3"/>
        <v>0</v>
      </c>
      <c r="E9">
        <f t="shared" si="4"/>
        <v>0</v>
      </c>
      <c r="H9" t="s">
        <v>377</v>
      </c>
      <c r="I9">
        <f>RTC_1</f>
        <v>358400</v>
      </c>
      <c r="J9" s="3">
        <f t="shared" si="0"/>
        <v>357000</v>
      </c>
      <c r="K9" s="17" t="s">
        <v>136</v>
      </c>
    </row>
    <row r="10" spans="1:11" ht="13">
      <c r="A10">
        <v>1</v>
      </c>
      <c r="B10">
        <f t="shared" si="1"/>
        <v>0</v>
      </c>
      <c r="C10">
        <f t="shared" si="2"/>
        <v>0</v>
      </c>
      <c r="D10">
        <f t="shared" si="3"/>
        <v>0</v>
      </c>
      <c r="E10">
        <f t="shared" si="4"/>
        <v>0</v>
      </c>
      <c r="H10" t="s">
        <v>17</v>
      </c>
      <c r="I10">
        <f>Rfb</f>
        <v>168000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169000</v>
      </c>
      <c r="K10" s="17" t="s">
        <v>136</v>
      </c>
    </row>
    <row r="11" spans="1:11" ht="13">
      <c r="A11">
        <v>1.2</v>
      </c>
      <c r="B11">
        <f t="shared" si="1"/>
        <v>0</v>
      </c>
      <c r="C11">
        <f t="shared" si="2"/>
        <v>0</v>
      </c>
      <c r="D11">
        <f t="shared" si="3"/>
        <v>0</v>
      </c>
      <c r="E11">
        <f t="shared" si="4"/>
        <v>0</v>
      </c>
      <c r="J11" s="3"/>
    </row>
    <row r="12" spans="1:11" ht="13">
      <c r="A12">
        <v>1.5</v>
      </c>
      <c r="B12">
        <f t="shared" si="1"/>
        <v>0</v>
      </c>
      <c r="C12">
        <f t="shared" si="2"/>
        <v>0</v>
      </c>
      <c r="D12">
        <f t="shared" si="3"/>
        <v>0</v>
      </c>
      <c r="E12">
        <f t="shared" si="4"/>
        <v>0</v>
      </c>
      <c r="J12" s="3"/>
    </row>
    <row r="13" spans="1:11" ht="13">
      <c r="A13">
        <v>1.8</v>
      </c>
      <c r="B13">
        <f t="shared" si="1"/>
        <v>0</v>
      </c>
      <c r="C13">
        <f t="shared" si="2"/>
        <v>0</v>
      </c>
      <c r="D13">
        <f t="shared" si="3"/>
        <v>0</v>
      </c>
      <c r="E13">
        <f t="shared" si="4"/>
        <v>0</v>
      </c>
      <c r="H13" s="76"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7" t="s">
        <v>161</v>
      </c>
    </row>
    <row r="14" spans="1:11">
      <c r="A14">
        <v>2.2000000000000002</v>
      </c>
      <c r="B14">
        <f>IF(IF((B$3*10^12-$A15)*(B$3*10^12-$A14)*-1&lt;0,0,1)*IF(ABS(B$3*10^12-$A15)&gt;(B$3*10^12-$A14),$A14,$A15)=B15,0,IF((B$3*10^12-$A15)*(B$3*10^12-$A14)*-1&lt;0,0,1)*IF(ABS(B$3*10^12-$A15)&gt;(B$3*10^12-$A14),$A14,$A15))</f>
        <v>0</v>
      </c>
      <c r="C14">
        <f>IF(IF((C$3*10^12-$A15)*(C$3*10^12-$A14)*-1&lt;0,0,1)*IF(ABS(C$3*10^12-$A15)&gt;(C$3*10^12-$A14),$A14,$A15)=C15,0,IF((C$3*10^12-$A15)*(C$3*10^12-$A14)*-1&lt;0,0,1)*IF(ABS(C$3*10^12-$A15)&gt;(C$3*10^12-$A14),$A14,$A15))</f>
        <v>0</v>
      </c>
      <c r="D14">
        <f>IF(IF((D$3*10^12-$A15)*(D$3*10^12-$A14)*-1&lt;0,0,1)*IF(ABS(D$3*10^12-$A15)&gt;(D$3*10^12-$A14),$A14,$A15)=D15,0,IF((D$3*10^12-$A15)*(D$3*10^12-$A14)*-1&lt;0,0,1)*IF(ABS(D$3*10^12-$A15)&gt;(D$3*10^12-$A14),$A14,$A15))</f>
        <v>0</v>
      </c>
      <c r="E14">
        <f>IF(IF((E$3*10^12-$A15)*(E$3*10^12-$A14)*-1&lt;0,0,1)*IF(ABS(E$3*10^12-$A15)&gt;(E$3*10^12-$A14),$A14,$A15)=E15,0,IF((E$3*10^12-$A15)*(E$3*10^12-$A14)*-1&lt;0,0,1)*IF(ABS(E$3*10^12-$A15)&gt;(E$3*10^12-$A14),$A14,$A15))</f>
        <v>0</v>
      </c>
      <c r="H14" s="76" t="s">
        <v>160</v>
      </c>
      <c r="I14" t="e">
        <f>Cslope_ideal</f>
        <v>#NAME?</v>
      </c>
      <c r="J14" t="e">
        <f>#REF!*1000000000000</f>
        <v>#REF!</v>
      </c>
      <c r="K14" s="76" t="s">
        <v>15</v>
      </c>
    </row>
    <row r="15" spans="1:11">
      <c r="A15">
        <v>2.7</v>
      </c>
      <c r="B15">
        <f t="shared" si="1"/>
        <v>0</v>
      </c>
      <c r="C15">
        <f t="shared" si="2"/>
        <v>0</v>
      </c>
      <c r="D15">
        <f t="shared" si="3"/>
        <v>0</v>
      </c>
      <c r="E15">
        <f t="shared" si="4"/>
        <v>0</v>
      </c>
    </row>
    <row r="16" spans="1:11" ht="13">
      <c r="A16">
        <v>3.3</v>
      </c>
      <c r="B16">
        <f t="shared" si="1"/>
        <v>0</v>
      </c>
      <c r="C16">
        <f t="shared" si="2"/>
        <v>0</v>
      </c>
      <c r="D16">
        <f t="shared" si="3"/>
        <v>0</v>
      </c>
      <c r="E16">
        <f t="shared" si="4"/>
        <v>0</v>
      </c>
      <c r="H16" s="76" t="s">
        <v>130</v>
      </c>
      <c r="I16">
        <f>Ruvlo1</f>
        <v>36.666666666666714</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36.5</v>
      </c>
      <c r="K16" s="17" t="s">
        <v>113</v>
      </c>
    </row>
    <row r="17" spans="1:11" ht="13">
      <c r="A17">
        <v>3.9</v>
      </c>
      <c r="B17">
        <f t="shared" si="1"/>
        <v>0</v>
      </c>
      <c r="C17">
        <f t="shared" si="2"/>
        <v>0</v>
      </c>
      <c r="D17">
        <f t="shared" si="3"/>
        <v>0</v>
      </c>
      <c r="E17">
        <f t="shared" si="4"/>
        <v>0</v>
      </c>
      <c r="H17" s="76" t="s">
        <v>131</v>
      </c>
      <c r="I17" s="173">
        <f>Ruvlo2</f>
        <v>6.84375</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6.8100000000000005</v>
      </c>
      <c r="K17" s="17" t="s">
        <v>113</v>
      </c>
    </row>
    <row r="18" spans="1:11" ht="13">
      <c r="A18">
        <v>4.7</v>
      </c>
      <c r="B18">
        <f t="shared" si="1"/>
        <v>0</v>
      </c>
      <c r="C18">
        <f t="shared" si="2"/>
        <v>0</v>
      </c>
      <c r="D18">
        <f t="shared" si="3"/>
        <v>0</v>
      </c>
      <c r="E18">
        <f t="shared" si="4"/>
        <v>0</v>
      </c>
      <c r="H18" s="76" t="s">
        <v>295</v>
      </c>
      <c r="I18" s="173"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7" t="s">
        <v>113</v>
      </c>
    </row>
    <row r="19" spans="1:11">
      <c r="A19">
        <v>5.6</v>
      </c>
      <c r="B19">
        <f t="shared" si="1"/>
        <v>0</v>
      </c>
      <c r="C19">
        <f t="shared" si="2"/>
        <v>0</v>
      </c>
      <c r="D19">
        <f t="shared" si="3"/>
        <v>0</v>
      </c>
      <c r="E19">
        <f t="shared" si="4"/>
        <v>0</v>
      </c>
    </row>
    <row r="20" spans="1:11" ht="13">
      <c r="A20">
        <v>6.8</v>
      </c>
      <c r="B20">
        <f t="shared" si="1"/>
        <v>0</v>
      </c>
      <c r="C20">
        <f t="shared" si="2"/>
        <v>0</v>
      </c>
      <c r="D20">
        <f t="shared" si="3"/>
        <v>0</v>
      </c>
      <c r="E20">
        <f t="shared" si="4"/>
        <v>0</v>
      </c>
      <c r="H20" s="76"/>
      <c r="J20" s="3"/>
    </row>
    <row r="21" spans="1:11" ht="13">
      <c r="A21">
        <v>8.1999999999999993</v>
      </c>
      <c r="B21">
        <f t="shared" si="1"/>
        <v>0</v>
      </c>
      <c r="C21">
        <f t="shared" si="2"/>
        <v>0</v>
      </c>
      <c r="D21">
        <f t="shared" si="3"/>
        <v>0</v>
      </c>
      <c r="E21">
        <f t="shared" si="4"/>
        <v>0</v>
      </c>
      <c r="J21" s="3"/>
    </row>
    <row r="22" spans="1:11" ht="13">
      <c r="A22">
        <v>10</v>
      </c>
      <c r="B22">
        <f t="shared" si="1"/>
        <v>0</v>
      </c>
      <c r="C22">
        <f t="shared" si="2"/>
        <v>0</v>
      </c>
      <c r="D22">
        <f t="shared" si="3"/>
        <v>0</v>
      </c>
      <c r="E22">
        <f t="shared" si="4"/>
        <v>0</v>
      </c>
      <c r="H22" s="76"/>
      <c r="J22" s="3"/>
      <c r="K22" s="17"/>
    </row>
    <row r="23" spans="1:11" ht="13">
      <c r="A23">
        <v>12</v>
      </c>
      <c r="B23">
        <f t="shared" si="1"/>
        <v>0</v>
      </c>
      <c r="C23">
        <f t="shared" si="2"/>
        <v>0</v>
      </c>
      <c r="D23">
        <f t="shared" si="3"/>
        <v>0</v>
      </c>
      <c r="E23">
        <f t="shared" si="4"/>
        <v>0</v>
      </c>
      <c r="H23" t="s">
        <v>898</v>
      </c>
      <c r="I23">
        <f>'Calculations - Single'!H329</f>
        <v>15129</v>
      </c>
      <c r="J23" s="3">
        <f>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15000</v>
      </c>
      <c r="K23" s="17" t="s">
        <v>136</v>
      </c>
    </row>
    <row r="24" spans="1:11" ht="13">
      <c r="A24">
        <v>15</v>
      </c>
      <c r="B24">
        <f t="shared" si="1"/>
        <v>0</v>
      </c>
      <c r="C24">
        <f t="shared" si="2"/>
        <v>0</v>
      </c>
      <c r="D24">
        <f t="shared" si="3"/>
        <v>0</v>
      </c>
      <c r="E24">
        <f t="shared" si="4"/>
        <v>0</v>
      </c>
      <c r="H24" t="s">
        <v>899</v>
      </c>
      <c r="I24">
        <f>'Calculations - Dual'!H329</f>
        <v>15129</v>
      </c>
      <c r="J24" s="3">
        <f>IF(I24&gt;(INT(0.5+100*POWER(10,IF(96*(LOG(I24)-INT(LOG(I24)))-ROUND(96*(LOG(I24)-INT(LOG(I24))),0)&lt;0,ROUND(96*(LOG(I24)-INT(LOG(I24))),0)-1,ROUND(96*(LOG(I24)-INT(LOG(I24))),0))/96))*POWER(10,INT(LOG(I24))-2)+INT(0.5+100*POWER(10,(IF(96*(LOG(I24)-INT(LOG(I24)))-ROUND(96*(LOG(I24)-INT(LOG(I24))),0)&lt;0,ROUND(96*(LOG(I24)-INT(LOG(I24))),0)-1,ROUND(96*(LOG(I24)-INT(LOG(I24))),0))+1)/96))*POWER(10,INT(LOG(I24))-2))/2,INT(0.5+100*POWER(10,(IF(96*(LOG(I24)-INT(LOG(I24)))-ROUND(96*(LOG(I24)-INT(LOG(I24))),0)&lt;0,ROUND(96*(LOG(I24)-INT(LOG(I24))),0)-1,ROUND(96*(LOG(I24)-INT(LOG(I24))),0))+1)/96))*POWER(10,INT(LOG(I24))-2),INT(0.5+100*POWER(10,IF(96*(LOG(I24)-INT(LOG(I24)))-ROUND(96*(LOG(I24)-INT(LOG(I24))),0)&lt;0,ROUND(96*(LOG(I24)-INT(LOG(I24))),0)-1,ROUND(96*(LOG(I24)-INT(LOG(I24))),0))/96))*POWER(10,INT(LOG(I24))-2))</f>
        <v>15000</v>
      </c>
    </row>
    <row r="25" spans="1:11" ht="13">
      <c r="A25">
        <v>18</v>
      </c>
      <c r="B25">
        <f t="shared" si="1"/>
        <v>0</v>
      </c>
      <c r="C25">
        <f t="shared" si="2"/>
        <v>0</v>
      </c>
      <c r="D25">
        <f t="shared" si="3"/>
        <v>0</v>
      </c>
      <c r="E25">
        <f t="shared" si="4"/>
        <v>0</v>
      </c>
      <c r="H25" s="76" t="s">
        <v>900</v>
      </c>
      <c r="I25">
        <f>'Calculations - Dual'!O329</f>
        <v>2205</v>
      </c>
      <c r="J25" s="3">
        <f>IF(I25&gt;(INT(0.5+100*POWER(10,IF(96*(LOG(I25)-INT(LOG(I25)))-ROUND(96*(LOG(I25)-INT(LOG(I25))),0)&lt;0,ROUND(96*(LOG(I25)-INT(LOG(I25))),0)-1,ROUND(96*(LOG(I25)-INT(LOG(I25))),0))/96))*POWER(10,INT(LOG(I25))-2)+INT(0.5+100*POWER(10,(IF(96*(LOG(I25)-INT(LOG(I25)))-ROUND(96*(LOG(I25)-INT(LOG(I25))),0)&lt;0,ROUND(96*(LOG(I25)-INT(LOG(I25))),0)-1,ROUND(96*(LOG(I25)-INT(LOG(I25))),0))+1)/96))*POWER(10,INT(LOG(I25))-2))/2,INT(0.5+100*POWER(10,(IF(96*(LOG(I25)-INT(LOG(I25)))-ROUND(96*(LOG(I25)-INT(LOG(I25))),0)&lt;0,ROUND(96*(LOG(I25)-INT(LOG(I25))),0)-1,ROUND(96*(LOG(I25)-INT(LOG(I25))),0))+1)/96))*POWER(10,INT(LOG(I25))-2),INT(0.5+100*POWER(10,IF(96*(LOG(I25)-INT(LOG(I25)))-ROUND(96*(LOG(I25)-INT(LOG(I25))),0)&lt;0,ROUND(96*(LOG(I25)-INT(LOG(I25))),0)-1,ROUND(96*(LOG(I25)-INT(LOG(I25))),0))/96))*POWER(10,INT(LOG(I25))-2))</f>
        <v>2210</v>
      </c>
      <c r="K25" s="17"/>
    </row>
    <row r="26" spans="1:11">
      <c r="A26">
        <v>22</v>
      </c>
      <c r="B26">
        <f t="shared" si="1"/>
        <v>0</v>
      </c>
      <c r="C26">
        <f t="shared" si="2"/>
        <v>0</v>
      </c>
      <c r="D26">
        <f t="shared" si="3"/>
        <v>0</v>
      </c>
      <c r="E26">
        <f t="shared" si="4"/>
        <v>0</v>
      </c>
    </row>
    <row r="27" spans="1:11">
      <c r="A27">
        <v>27</v>
      </c>
      <c r="B27">
        <f t="shared" si="1"/>
        <v>0</v>
      </c>
      <c r="C27">
        <f t="shared" si="2"/>
        <v>0</v>
      </c>
      <c r="D27">
        <f t="shared" si="3"/>
        <v>0</v>
      </c>
      <c r="E27">
        <f t="shared" si="4"/>
        <v>0</v>
      </c>
      <c r="H27" t="s">
        <v>901</v>
      </c>
      <c r="I27">
        <f>'Calculations - Single'!G327</f>
        <v>3.5999999999999997E-2</v>
      </c>
    </row>
    <row r="28" spans="1:11" ht="13">
      <c r="A28">
        <v>33</v>
      </c>
      <c r="B28">
        <f t="shared" si="1"/>
        <v>0</v>
      </c>
      <c r="C28">
        <f t="shared" si="2"/>
        <v>0</v>
      </c>
      <c r="D28">
        <f t="shared" si="3"/>
        <v>0</v>
      </c>
      <c r="E28">
        <f t="shared" si="4"/>
        <v>0</v>
      </c>
      <c r="H28" s="76" t="s">
        <v>902</v>
      </c>
      <c r="I28">
        <f>'Calculations - Dual'!G327</f>
        <v>3.5999999999999997E-2</v>
      </c>
      <c r="K28" s="17"/>
    </row>
    <row r="29" spans="1:11">
      <c r="A29">
        <v>39</v>
      </c>
      <c r="B29">
        <f t="shared" si="1"/>
        <v>0</v>
      </c>
      <c r="C29">
        <f t="shared" si="2"/>
        <v>0</v>
      </c>
      <c r="D29">
        <f t="shared" si="3"/>
        <v>0</v>
      </c>
      <c r="E29">
        <f t="shared" si="4"/>
        <v>0</v>
      </c>
      <c r="H29" s="76" t="s">
        <v>903</v>
      </c>
      <c r="I29">
        <f>'Calculations - Dual'!N327</f>
        <v>3.5999999999999997E-2</v>
      </c>
      <c r="K29" s="76"/>
    </row>
    <row r="30" spans="1:11">
      <c r="A30">
        <v>47</v>
      </c>
      <c r="B30">
        <f t="shared" si="1"/>
        <v>0</v>
      </c>
      <c r="C30">
        <f t="shared" si="2"/>
        <v>0</v>
      </c>
      <c r="D30">
        <f t="shared" si="3"/>
        <v>0</v>
      </c>
      <c r="E30">
        <f t="shared" si="4"/>
        <v>0</v>
      </c>
      <c r="H30" s="4"/>
      <c r="K30" s="76"/>
    </row>
    <row r="31" spans="1:11" ht="13">
      <c r="A31">
        <v>56</v>
      </c>
      <c r="B31">
        <f t="shared" si="1"/>
        <v>0</v>
      </c>
      <c r="C31">
        <f t="shared" si="2"/>
        <v>0</v>
      </c>
      <c r="D31">
        <f t="shared" si="3"/>
        <v>0</v>
      </c>
      <c r="E31">
        <f t="shared" si="4"/>
        <v>0</v>
      </c>
      <c r="H31" s="4"/>
      <c r="K31" s="17"/>
    </row>
    <row r="32" spans="1:11">
      <c r="A32">
        <v>68</v>
      </c>
      <c r="B32">
        <f t="shared" si="1"/>
        <v>0</v>
      </c>
      <c r="C32">
        <f t="shared" si="2"/>
        <v>0</v>
      </c>
      <c r="D32">
        <f t="shared" si="3"/>
        <v>0</v>
      </c>
      <c r="E32">
        <f t="shared" si="4"/>
        <v>0</v>
      </c>
      <c r="H32" s="4"/>
      <c r="K32" s="76"/>
    </row>
    <row r="33" spans="1:8">
      <c r="A33">
        <v>82</v>
      </c>
      <c r="B33">
        <f t="shared" si="1"/>
        <v>0</v>
      </c>
      <c r="C33">
        <f t="shared" si="2"/>
        <v>0</v>
      </c>
      <c r="D33">
        <f t="shared" si="3"/>
        <v>0</v>
      </c>
      <c r="E33">
        <f t="shared" si="4"/>
        <v>0</v>
      </c>
    </row>
    <row r="34" spans="1:8">
      <c r="A34">
        <f>A22*10</f>
        <v>100</v>
      </c>
      <c r="B34">
        <f t="shared" si="1"/>
        <v>0</v>
      </c>
      <c r="C34">
        <f t="shared" si="2"/>
        <v>0</v>
      </c>
      <c r="D34">
        <f t="shared" si="3"/>
        <v>0</v>
      </c>
      <c r="E34">
        <f t="shared" si="4"/>
        <v>0</v>
      </c>
      <c r="H34" s="76"/>
    </row>
    <row r="35" spans="1:8">
      <c r="A35">
        <f t="shared" ref="A35:A98" si="5">A23*10</f>
        <v>120</v>
      </c>
      <c r="B35">
        <f t="shared" si="1"/>
        <v>0</v>
      </c>
      <c r="C35">
        <f t="shared" si="2"/>
        <v>0</v>
      </c>
      <c r="D35">
        <f t="shared" si="3"/>
        <v>0</v>
      </c>
      <c r="E35">
        <f t="shared" si="4"/>
        <v>0</v>
      </c>
      <c r="H35" s="76"/>
    </row>
    <row r="36" spans="1:8">
      <c r="A36">
        <f t="shared" si="5"/>
        <v>150</v>
      </c>
      <c r="B36">
        <f t="shared" si="1"/>
        <v>0</v>
      </c>
      <c r="C36">
        <f t="shared" si="2"/>
        <v>0</v>
      </c>
      <c r="D36">
        <f t="shared" si="3"/>
        <v>0</v>
      </c>
      <c r="E36">
        <f t="shared" si="4"/>
        <v>0</v>
      </c>
    </row>
    <row r="37" spans="1:8">
      <c r="A37">
        <f t="shared" si="5"/>
        <v>180</v>
      </c>
      <c r="B37">
        <f t="shared" si="1"/>
        <v>0</v>
      </c>
      <c r="C37">
        <f t="shared" si="2"/>
        <v>0</v>
      </c>
      <c r="D37">
        <f t="shared" si="3"/>
        <v>0</v>
      </c>
      <c r="E37">
        <f t="shared" si="4"/>
        <v>0</v>
      </c>
    </row>
    <row r="38" spans="1:8">
      <c r="A38">
        <f t="shared" si="5"/>
        <v>220</v>
      </c>
      <c r="B38">
        <f t="shared" si="1"/>
        <v>0</v>
      </c>
      <c r="C38">
        <f t="shared" si="2"/>
        <v>0</v>
      </c>
      <c r="D38">
        <f t="shared" si="3"/>
        <v>0</v>
      </c>
      <c r="E38">
        <f t="shared" ref="E38:E69" si="6">IF(IF((E$3*10^12-$A39)*(E$3*10^12-$A38)*-1&lt;0,0,1)*IF(ABS(E$3*10^12-$A39)&gt;(E$3*10^12-$A38),$A38,$A39)=E39,0,IF((E$3*10^12-$A39)*(E$3*10^12-$A38)*-1&lt;0,0,1)*IF(ABS(E$3*10^12-$A39)&gt;(E$3*10^12-$A38),$A38,$A39))</f>
        <v>0</v>
      </c>
    </row>
    <row r="39" spans="1:8">
      <c r="A39">
        <f t="shared" si="5"/>
        <v>270</v>
      </c>
      <c r="B39">
        <f t="shared" si="1"/>
        <v>0</v>
      </c>
      <c r="C39">
        <f t="shared" si="2"/>
        <v>0</v>
      </c>
      <c r="D39">
        <f t="shared" si="3"/>
        <v>0</v>
      </c>
      <c r="E39">
        <f t="shared" si="6"/>
        <v>0</v>
      </c>
    </row>
    <row r="40" spans="1:8">
      <c r="A40">
        <f t="shared" si="5"/>
        <v>330</v>
      </c>
      <c r="B40">
        <f t="shared" si="1"/>
        <v>0</v>
      </c>
      <c r="C40">
        <f t="shared" si="2"/>
        <v>0</v>
      </c>
      <c r="D40">
        <f t="shared" si="3"/>
        <v>0</v>
      </c>
      <c r="E40">
        <f t="shared" si="6"/>
        <v>0</v>
      </c>
    </row>
    <row r="41" spans="1:8">
      <c r="A41">
        <f t="shared" si="5"/>
        <v>390</v>
      </c>
      <c r="B41">
        <f t="shared" si="1"/>
        <v>0</v>
      </c>
      <c r="C41">
        <f t="shared" si="2"/>
        <v>0</v>
      </c>
      <c r="D41">
        <f t="shared" si="3"/>
        <v>0</v>
      </c>
      <c r="E41">
        <f t="shared" si="6"/>
        <v>0</v>
      </c>
    </row>
    <row r="42" spans="1:8">
      <c r="A42">
        <f t="shared" si="5"/>
        <v>470</v>
      </c>
      <c r="B42">
        <f t="shared" si="1"/>
        <v>0</v>
      </c>
      <c r="C42">
        <f t="shared" si="2"/>
        <v>0</v>
      </c>
      <c r="D42">
        <f t="shared" si="3"/>
        <v>0</v>
      </c>
      <c r="E42">
        <f t="shared" si="6"/>
        <v>0</v>
      </c>
    </row>
    <row r="43" spans="1:8">
      <c r="A43">
        <f t="shared" si="5"/>
        <v>560</v>
      </c>
      <c r="B43">
        <f t="shared" si="1"/>
        <v>0</v>
      </c>
      <c r="C43">
        <f t="shared" si="2"/>
        <v>0</v>
      </c>
      <c r="D43">
        <f t="shared" si="3"/>
        <v>0</v>
      </c>
      <c r="E43">
        <f t="shared" si="6"/>
        <v>0</v>
      </c>
    </row>
    <row r="44" spans="1:8">
      <c r="A44">
        <f t="shared" si="5"/>
        <v>680</v>
      </c>
      <c r="B44">
        <f t="shared" si="1"/>
        <v>0</v>
      </c>
      <c r="C44">
        <f t="shared" si="2"/>
        <v>0</v>
      </c>
      <c r="D44">
        <f t="shared" si="3"/>
        <v>0</v>
      </c>
      <c r="E44">
        <f t="shared" si="6"/>
        <v>0</v>
      </c>
    </row>
    <row r="45" spans="1:8">
      <c r="A45">
        <f>A33*10</f>
        <v>820</v>
      </c>
      <c r="B45">
        <f t="shared" si="1"/>
        <v>0</v>
      </c>
      <c r="C45">
        <f t="shared" si="2"/>
        <v>0</v>
      </c>
      <c r="D45">
        <f t="shared" si="3"/>
        <v>0</v>
      </c>
      <c r="E45">
        <f t="shared" si="6"/>
        <v>0</v>
      </c>
    </row>
    <row r="46" spans="1:8">
      <c r="A46">
        <f t="shared" si="5"/>
        <v>1000</v>
      </c>
      <c r="B46">
        <f t="shared" si="1"/>
        <v>0</v>
      </c>
      <c r="C46">
        <f t="shared" si="2"/>
        <v>0</v>
      </c>
      <c r="D46">
        <f t="shared" si="3"/>
        <v>0</v>
      </c>
      <c r="E46">
        <f t="shared" si="6"/>
        <v>0</v>
      </c>
    </row>
    <row r="47" spans="1:8">
      <c r="A47">
        <f t="shared" si="5"/>
        <v>1200</v>
      </c>
      <c r="B47">
        <f t="shared" si="1"/>
        <v>0</v>
      </c>
      <c r="C47">
        <f t="shared" si="2"/>
        <v>0</v>
      </c>
      <c r="D47">
        <f t="shared" si="3"/>
        <v>0</v>
      </c>
      <c r="E47">
        <f t="shared" si="6"/>
        <v>0</v>
      </c>
    </row>
    <row r="48" spans="1:8">
      <c r="A48">
        <f t="shared" si="5"/>
        <v>1500</v>
      </c>
      <c r="B48">
        <f t="shared" si="1"/>
        <v>0</v>
      </c>
      <c r="C48">
        <f t="shared" si="2"/>
        <v>0</v>
      </c>
      <c r="D48">
        <f t="shared" si="3"/>
        <v>0</v>
      </c>
      <c r="E48">
        <f t="shared" si="6"/>
        <v>0</v>
      </c>
    </row>
    <row r="49" spans="1:5">
      <c r="A49">
        <f t="shared" si="5"/>
        <v>1800</v>
      </c>
      <c r="B49">
        <f t="shared" si="1"/>
        <v>0</v>
      </c>
      <c r="C49">
        <f t="shared" si="2"/>
        <v>0</v>
      </c>
      <c r="D49">
        <f t="shared" si="3"/>
        <v>0</v>
      </c>
      <c r="E49">
        <f t="shared" si="6"/>
        <v>0</v>
      </c>
    </row>
    <row r="50" spans="1:5">
      <c r="A50">
        <f t="shared" si="5"/>
        <v>2200</v>
      </c>
      <c r="B50">
        <f t="shared" si="1"/>
        <v>0</v>
      </c>
      <c r="C50">
        <f t="shared" si="2"/>
        <v>0</v>
      </c>
      <c r="D50">
        <f t="shared" si="3"/>
        <v>0</v>
      </c>
      <c r="E50">
        <f t="shared" si="6"/>
        <v>0</v>
      </c>
    </row>
    <row r="51" spans="1:5">
      <c r="A51">
        <f t="shared" si="5"/>
        <v>2700</v>
      </c>
      <c r="B51">
        <f t="shared" si="1"/>
        <v>0</v>
      </c>
      <c r="C51">
        <f t="shared" si="2"/>
        <v>0</v>
      </c>
      <c r="D51">
        <f t="shared" si="3"/>
        <v>0</v>
      </c>
      <c r="E51">
        <f t="shared" si="6"/>
        <v>0</v>
      </c>
    </row>
    <row r="52" spans="1:5">
      <c r="A52">
        <f t="shared" si="5"/>
        <v>3300</v>
      </c>
      <c r="B52">
        <f t="shared" si="1"/>
        <v>0</v>
      </c>
      <c r="C52">
        <f t="shared" si="2"/>
        <v>0</v>
      </c>
      <c r="D52">
        <f t="shared" si="3"/>
        <v>0</v>
      </c>
      <c r="E52">
        <f t="shared" si="6"/>
        <v>0</v>
      </c>
    </row>
    <row r="53" spans="1:5">
      <c r="A53">
        <f t="shared" si="5"/>
        <v>3900</v>
      </c>
      <c r="B53">
        <f t="shared" si="1"/>
        <v>0</v>
      </c>
      <c r="C53">
        <f t="shared" si="2"/>
        <v>0</v>
      </c>
      <c r="D53">
        <f t="shared" si="3"/>
        <v>0</v>
      </c>
      <c r="E53">
        <f t="shared" si="6"/>
        <v>0</v>
      </c>
    </row>
    <row r="54" spans="1:5">
      <c r="A54">
        <f t="shared" si="5"/>
        <v>4700</v>
      </c>
      <c r="B54">
        <f t="shared" si="1"/>
        <v>0</v>
      </c>
      <c r="C54">
        <f t="shared" si="2"/>
        <v>0</v>
      </c>
      <c r="D54">
        <f t="shared" si="3"/>
        <v>0</v>
      </c>
      <c r="E54">
        <f t="shared" si="6"/>
        <v>0</v>
      </c>
    </row>
    <row r="55" spans="1:5">
      <c r="A55">
        <f t="shared" si="5"/>
        <v>5600</v>
      </c>
      <c r="B55">
        <f t="shared" si="1"/>
        <v>0</v>
      </c>
      <c r="C55">
        <f t="shared" si="2"/>
        <v>0</v>
      </c>
      <c r="D55">
        <f t="shared" si="3"/>
        <v>0</v>
      </c>
      <c r="E55">
        <f t="shared" si="6"/>
        <v>0</v>
      </c>
    </row>
    <row r="56" spans="1:5">
      <c r="A56">
        <f t="shared" si="5"/>
        <v>6800</v>
      </c>
      <c r="B56">
        <f t="shared" si="1"/>
        <v>0</v>
      </c>
      <c r="C56">
        <f t="shared" si="2"/>
        <v>0</v>
      </c>
      <c r="D56">
        <f t="shared" si="3"/>
        <v>0</v>
      </c>
      <c r="E56">
        <f t="shared" si="6"/>
        <v>0</v>
      </c>
    </row>
    <row r="57" spans="1:5">
      <c r="A57">
        <f t="shared" si="5"/>
        <v>8200</v>
      </c>
      <c r="B57">
        <f t="shared" si="1"/>
        <v>0</v>
      </c>
      <c r="C57">
        <f t="shared" si="2"/>
        <v>0</v>
      </c>
      <c r="D57">
        <f t="shared" si="3"/>
        <v>0</v>
      </c>
      <c r="E57">
        <f t="shared" si="6"/>
        <v>0</v>
      </c>
    </row>
    <row r="58" spans="1:5">
      <c r="A58">
        <f t="shared" si="5"/>
        <v>10000</v>
      </c>
      <c r="B58">
        <f t="shared" si="1"/>
        <v>0</v>
      </c>
      <c r="C58">
        <f t="shared" si="2"/>
        <v>0</v>
      </c>
      <c r="D58">
        <f t="shared" si="3"/>
        <v>0</v>
      </c>
      <c r="E58">
        <f t="shared" si="6"/>
        <v>0</v>
      </c>
    </row>
    <row r="59" spans="1:5">
      <c r="A59">
        <f t="shared" si="5"/>
        <v>12000</v>
      </c>
      <c r="B59">
        <f t="shared" si="1"/>
        <v>0</v>
      </c>
      <c r="C59">
        <f t="shared" si="2"/>
        <v>0</v>
      </c>
      <c r="D59">
        <f t="shared" si="3"/>
        <v>0</v>
      </c>
      <c r="E59">
        <f t="shared" si="6"/>
        <v>0</v>
      </c>
    </row>
    <row r="60" spans="1:5">
      <c r="A60">
        <f t="shared" si="5"/>
        <v>15000</v>
      </c>
      <c r="B60">
        <f t="shared" si="1"/>
        <v>0</v>
      </c>
      <c r="C60">
        <f t="shared" si="2"/>
        <v>0</v>
      </c>
      <c r="D60">
        <f t="shared" si="3"/>
        <v>0</v>
      </c>
      <c r="E60">
        <f t="shared" si="6"/>
        <v>0</v>
      </c>
    </row>
    <row r="61" spans="1:5">
      <c r="A61">
        <f t="shared" si="5"/>
        <v>18000</v>
      </c>
      <c r="B61">
        <f t="shared" si="1"/>
        <v>0</v>
      </c>
      <c r="C61">
        <f t="shared" si="2"/>
        <v>0</v>
      </c>
      <c r="D61">
        <f t="shared" si="3"/>
        <v>0</v>
      </c>
      <c r="E61">
        <f t="shared" si="6"/>
        <v>0</v>
      </c>
    </row>
    <row r="62" spans="1:5">
      <c r="A62">
        <f t="shared" si="5"/>
        <v>22000</v>
      </c>
      <c r="B62">
        <f t="shared" si="1"/>
        <v>0</v>
      </c>
      <c r="C62">
        <f t="shared" si="2"/>
        <v>0</v>
      </c>
      <c r="D62">
        <f t="shared" si="3"/>
        <v>0</v>
      </c>
      <c r="E62">
        <f t="shared" si="6"/>
        <v>0</v>
      </c>
    </row>
    <row r="63" spans="1:5">
      <c r="A63">
        <f t="shared" si="5"/>
        <v>27000</v>
      </c>
      <c r="B63">
        <f t="shared" si="1"/>
        <v>0</v>
      </c>
      <c r="C63">
        <f t="shared" si="2"/>
        <v>0</v>
      </c>
      <c r="D63">
        <f t="shared" si="3"/>
        <v>0</v>
      </c>
      <c r="E63">
        <f t="shared" si="6"/>
        <v>0</v>
      </c>
    </row>
    <row r="64" spans="1:5">
      <c r="A64">
        <f t="shared" si="5"/>
        <v>33000</v>
      </c>
      <c r="B64">
        <f t="shared" si="1"/>
        <v>0</v>
      </c>
      <c r="C64">
        <f t="shared" si="2"/>
        <v>0</v>
      </c>
      <c r="D64">
        <f t="shared" si="3"/>
        <v>0</v>
      </c>
      <c r="E64">
        <f t="shared" si="6"/>
        <v>0</v>
      </c>
    </row>
    <row r="65" spans="1:5">
      <c r="A65">
        <f t="shared" si="5"/>
        <v>39000</v>
      </c>
      <c r="B65">
        <f t="shared" si="1"/>
        <v>0</v>
      </c>
      <c r="C65">
        <f t="shared" si="2"/>
        <v>0</v>
      </c>
      <c r="D65">
        <f t="shared" si="3"/>
        <v>0</v>
      </c>
      <c r="E65">
        <f t="shared" si="6"/>
        <v>0</v>
      </c>
    </row>
    <row r="66" spans="1:5">
      <c r="A66">
        <f t="shared" si="5"/>
        <v>47000</v>
      </c>
      <c r="B66">
        <f t="shared" si="1"/>
        <v>47000</v>
      </c>
      <c r="C66">
        <f t="shared" si="2"/>
        <v>0</v>
      </c>
      <c r="D66">
        <f t="shared" si="3"/>
        <v>0</v>
      </c>
      <c r="E66">
        <f t="shared" si="6"/>
        <v>0</v>
      </c>
    </row>
    <row r="67" spans="1:5">
      <c r="A67">
        <f t="shared" si="5"/>
        <v>56000</v>
      </c>
      <c r="B67">
        <f t="shared" si="1"/>
        <v>0</v>
      </c>
      <c r="C67">
        <f t="shared" si="2"/>
        <v>0</v>
      </c>
      <c r="D67">
        <f t="shared" si="3"/>
        <v>0</v>
      </c>
      <c r="E67">
        <f t="shared" si="6"/>
        <v>0</v>
      </c>
    </row>
    <row r="68" spans="1:5">
      <c r="A68">
        <f t="shared" si="5"/>
        <v>68000</v>
      </c>
      <c r="B68">
        <f t="shared" si="1"/>
        <v>0</v>
      </c>
      <c r="C68">
        <f t="shared" si="2"/>
        <v>0</v>
      </c>
      <c r="D68">
        <f t="shared" si="3"/>
        <v>0</v>
      </c>
      <c r="E68">
        <f t="shared" si="6"/>
        <v>0</v>
      </c>
    </row>
    <row r="69" spans="1:5">
      <c r="A69">
        <f t="shared" si="5"/>
        <v>82000</v>
      </c>
      <c r="B69">
        <f t="shared" si="1"/>
        <v>0</v>
      </c>
      <c r="C69">
        <f t="shared" si="2"/>
        <v>0</v>
      </c>
      <c r="D69">
        <f t="shared" si="3"/>
        <v>0</v>
      </c>
      <c r="E69">
        <f t="shared" si="6"/>
        <v>0</v>
      </c>
    </row>
    <row r="70" spans="1:5">
      <c r="A70">
        <f t="shared" si="5"/>
        <v>100000</v>
      </c>
      <c r="B70">
        <f t="shared" si="1"/>
        <v>0</v>
      </c>
      <c r="C70">
        <f>IF(IF((C$3*10^12-$A71)*(C$3*10^12-$A70)*-1&lt;0,0,1)*IF(ABS(C$3*10^12-$A71)&gt;(C$3*10^12-$A70),$A70,$A71)=C71,0,IF((C$3*10^12-$A71)*(C$3*10^12-$A70)*-1&lt;0,0,1)*IF(ABS(C$3*10^12-$A71)&gt;(C$3*10^12-$A70),$A70,$A71))</f>
        <v>0</v>
      </c>
      <c r="D70">
        <f>IF(IF((D$3*10^12-$A71)*(D$3*10^12-$A70)*-1&lt;0,0,1)*IF(ABS(D$3*10^12-$A71)&gt;(D$3*10^12-$A70),$A70,$A71)=D71,0,IF((D$3*10^12-$A71)*(D$3*10^12-$A70)*-1&lt;0,0,1)*IF(ABS(D$3*10^12-$A71)&gt;(D$3*10^12-$A70),$A70,$A71))</f>
        <v>0</v>
      </c>
      <c r="E70">
        <f t="shared" ref="E70:E101" si="7">IF(IF((E$3*10^12-$A71)*(E$3*10^12-$A70)*-1&lt;0,0,1)*IF(ABS(E$3*10^12-$A71)&gt;(E$3*10^12-$A70),$A70,$A71)=E71,0,IF((E$3*10^12-$A71)*(E$3*10^12-$A70)*-1&lt;0,0,1)*IF(ABS(E$3*10^12-$A71)&gt;(E$3*10^12-$A70),$A70,$A71))</f>
        <v>0</v>
      </c>
    </row>
    <row r="71" spans="1:5">
      <c r="A71">
        <f t="shared" si="5"/>
        <v>120000</v>
      </c>
      <c r="B71">
        <f t="shared" ref="B71:B134" si="8">IF(IF((B$3*10^12-$A72)*(B$3*10^12-$A71)*-1&lt;0,0,1)*IF(ABS(B$3*10^12-$A72)&gt;(B$3*10^12-$A71),$A71,$A72)=B72,0,IF((B$3*10^12-$A72)*(B$3*10^12-$A71)*-1&lt;0,0,1)*IF(ABS(B$3*10^12-$A72)&gt;(B$3*10^12-$A71),$A71,$A72))</f>
        <v>0</v>
      </c>
      <c r="C71">
        <f t="shared" ref="C71:C133" si="9">IF(IF((C$3*10^12-$A72)*(C$3*10^12-$A71)*-1&lt;0,0,1)*IF(ABS(C$3*10^12-$A72)&gt;(C$3*10^12-$A71),$A71,$A72)=C72,0,IF((C$3*10^12-$A72)*(C$3*10^12-$A71)*-1&lt;0,0,1)*IF(ABS(C$3*10^12-$A72)&gt;(C$3*10^12-$A71),$A71,$A72))</f>
        <v>0</v>
      </c>
      <c r="D71">
        <f t="shared" ref="D71:D102" si="10">IF(IF((D$3*10^12-$A72)*(D$3*10^12-$A71)*-1&lt;0,0,1)*IF(ABS(D$3*10^12-$A72)&gt;(D$3*10^12-$A71),$A71,$A72)=D72,0,IF((D$3*10^12-$A72)*(D$3*10^12-$A71)*-1&lt;0,0,1)*IF(ABS(D$3*10^12-$A72)&gt;(D$3*10^12-$A71),$A71,$A72))</f>
        <v>0</v>
      </c>
      <c r="E71">
        <f t="shared" si="7"/>
        <v>0</v>
      </c>
    </row>
    <row r="72" spans="1:5">
      <c r="A72">
        <f t="shared" si="5"/>
        <v>150000</v>
      </c>
      <c r="B72">
        <f t="shared" si="8"/>
        <v>0</v>
      </c>
      <c r="C72">
        <f t="shared" si="9"/>
        <v>0</v>
      </c>
      <c r="D72">
        <f t="shared" si="10"/>
        <v>0</v>
      </c>
      <c r="E72">
        <f t="shared" si="7"/>
        <v>0</v>
      </c>
    </row>
    <row r="73" spans="1:5">
      <c r="A73">
        <f t="shared" si="5"/>
        <v>180000</v>
      </c>
      <c r="B73">
        <f t="shared" si="8"/>
        <v>0</v>
      </c>
      <c r="C73">
        <f t="shared" si="9"/>
        <v>0</v>
      </c>
      <c r="D73">
        <f t="shared" si="10"/>
        <v>0</v>
      </c>
      <c r="E73">
        <f t="shared" si="7"/>
        <v>0</v>
      </c>
    </row>
    <row r="74" spans="1:5">
      <c r="A74">
        <f t="shared" si="5"/>
        <v>220000</v>
      </c>
      <c r="B74">
        <f t="shared" si="8"/>
        <v>0</v>
      </c>
      <c r="C74">
        <f t="shared" si="9"/>
        <v>0</v>
      </c>
      <c r="D74">
        <f t="shared" si="10"/>
        <v>0</v>
      </c>
      <c r="E74">
        <f t="shared" si="7"/>
        <v>0</v>
      </c>
    </row>
    <row r="75" spans="1:5">
      <c r="A75">
        <f t="shared" si="5"/>
        <v>270000</v>
      </c>
      <c r="B75">
        <f t="shared" si="8"/>
        <v>0</v>
      </c>
      <c r="C75">
        <f t="shared" si="9"/>
        <v>0</v>
      </c>
      <c r="D75">
        <f t="shared" si="10"/>
        <v>0</v>
      </c>
      <c r="E75">
        <f t="shared" si="7"/>
        <v>0</v>
      </c>
    </row>
    <row r="76" spans="1:5">
      <c r="A76">
        <f t="shared" si="5"/>
        <v>330000</v>
      </c>
      <c r="B76">
        <f t="shared" si="8"/>
        <v>0</v>
      </c>
      <c r="C76">
        <f t="shared" si="9"/>
        <v>0</v>
      </c>
      <c r="D76">
        <f t="shared" si="10"/>
        <v>0</v>
      </c>
      <c r="E76">
        <f t="shared" si="7"/>
        <v>0</v>
      </c>
    </row>
    <row r="77" spans="1:5">
      <c r="A77">
        <f t="shared" si="5"/>
        <v>390000</v>
      </c>
      <c r="B77">
        <f t="shared" si="8"/>
        <v>0</v>
      </c>
      <c r="C77">
        <f t="shared" si="9"/>
        <v>0</v>
      </c>
      <c r="D77">
        <f t="shared" si="10"/>
        <v>0</v>
      </c>
      <c r="E77">
        <f t="shared" si="7"/>
        <v>0</v>
      </c>
    </row>
    <row r="78" spans="1:5">
      <c r="A78">
        <f t="shared" si="5"/>
        <v>470000</v>
      </c>
      <c r="B78">
        <f t="shared" si="8"/>
        <v>0</v>
      </c>
      <c r="C78">
        <f t="shared" si="9"/>
        <v>0</v>
      </c>
      <c r="D78">
        <f t="shared" si="10"/>
        <v>0</v>
      </c>
      <c r="E78">
        <f t="shared" si="7"/>
        <v>0</v>
      </c>
    </row>
    <row r="79" spans="1:5">
      <c r="A79">
        <f t="shared" si="5"/>
        <v>560000</v>
      </c>
      <c r="B79">
        <f t="shared" si="8"/>
        <v>0</v>
      </c>
      <c r="C79">
        <f t="shared" si="9"/>
        <v>0</v>
      </c>
      <c r="D79">
        <f t="shared" si="10"/>
        <v>0</v>
      </c>
      <c r="E79">
        <f t="shared" si="7"/>
        <v>0</v>
      </c>
    </row>
    <row r="80" spans="1:5">
      <c r="A80">
        <f t="shared" si="5"/>
        <v>680000</v>
      </c>
      <c r="B80">
        <f t="shared" si="8"/>
        <v>0</v>
      </c>
      <c r="C80">
        <f t="shared" si="9"/>
        <v>0</v>
      </c>
      <c r="D80">
        <f t="shared" si="10"/>
        <v>0</v>
      </c>
      <c r="E80">
        <f t="shared" si="7"/>
        <v>0</v>
      </c>
    </row>
    <row r="81" spans="1:5">
      <c r="A81">
        <f t="shared" si="5"/>
        <v>820000</v>
      </c>
      <c r="B81">
        <f t="shared" si="8"/>
        <v>0</v>
      </c>
      <c r="C81">
        <f t="shared" si="9"/>
        <v>0</v>
      </c>
      <c r="D81">
        <f t="shared" si="10"/>
        <v>0</v>
      </c>
      <c r="E81">
        <f t="shared" si="7"/>
        <v>0</v>
      </c>
    </row>
    <row r="82" spans="1:5">
      <c r="A82">
        <f t="shared" si="5"/>
        <v>1000000</v>
      </c>
      <c r="B82">
        <f t="shared" si="8"/>
        <v>0</v>
      </c>
      <c r="C82">
        <f t="shared" si="9"/>
        <v>0</v>
      </c>
      <c r="D82">
        <f t="shared" si="10"/>
        <v>0</v>
      </c>
      <c r="E82">
        <f t="shared" si="7"/>
        <v>0</v>
      </c>
    </row>
    <row r="83" spans="1:5">
      <c r="A83">
        <f t="shared" si="5"/>
        <v>1200000</v>
      </c>
      <c r="B83">
        <f t="shared" si="8"/>
        <v>0</v>
      </c>
      <c r="C83">
        <f t="shared" si="9"/>
        <v>0</v>
      </c>
      <c r="D83">
        <f t="shared" si="10"/>
        <v>0</v>
      </c>
      <c r="E83">
        <f t="shared" si="7"/>
        <v>0</v>
      </c>
    </row>
    <row r="84" spans="1:5">
      <c r="A84">
        <f t="shared" si="5"/>
        <v>1500000</v>
      </c>
      <c r="B84">
        <f t="shared" si="8"/>
        <v>0</v>
      </c>
      <c r="C84">
        <f t="shared" si="9"/>
        <v>0</v>
      </c>
      <c r="D84">
        <f t="shared" si="10"/>
        <v>0</v>
      </c>
      <c r="E84">
        <f t="shared" si="7"/>
        <v>0</v>
      </c>
    </row>
    <row r="85" spans="1:5">
      <c r="A85">
        <f t="shared" si="5"/>
        <v>1800000</v>
      </c>
      <c r="B85">
        <f t="shared" si="8"/>
        <v>0</v>
      </c>
      <c r="C85">
        <f t="shared" si="9"/>
        <v>0</v>
      </c>
      <c r="D85">
        <f t="shared" si="10"/>
        <v>0</v>
      </c>
      <c r="E85">
        <f t="shared" si="7"/>
        <v>0</v>
      </c>
    </row>
    <row r="86" spans="1:5">
      <c r="A86">
        <f t="shared" si="5"/>
        <v>2200000</v>
      </c>
      <c r="B86">
        <f t="shared" si="8"/>
        <v>0</v>
      </c>
      <c r="C86">
        <f t="shared" si="9"/>
        <v>0</v>
      </c>
      <c r="D86">
        <f t="shared" si="10"/>
        <v>0</v>
      </c>
      <c r="E86">
        <f t="shared" si="7"/>
        <v>0</v>
      </c>
    </row>
    <row r="87" spans="1:5">
      <c r="A87">
        <f t="shared" si="5"/>
        <v>2700000</v>
      </c>
      <c r="B87">
        <f t="shared" si="8"/>
        <v>0</v>
      </c>
      <c r="C87">
        <f t="shared" si="9"/>
        <v>0</v>
      </c>
      <c r="D87">
        <f t="shared" si="10"/>
        <v>0</v>
      </c>
      <c r="E87">
        <f t="shared" si="7"/>
        <v>0</v>
      </c>
    </row>
    <row r="88" spans="1:5">
      <c r="A88">
        <f t="shared" si="5"/>
        <v>3300000</v>
      </c>
      <c r="B88">
        <f t="shared" si="8"/>
        <v>0</v>
      </c>
      <c r="C88">
        <f t="shared" si="9"/>
        <v>0</v>
      </c>
      <c r="D88">
        <f t="shared" si="10"/>
        <v>0</v>
      </c>
      <c r="E88">
        <f t="shared" si="7"/>
        <v>0</v>
      </c>
    </row>
    <row r="89" spans="1:5">
      <c r="A89">
        <f t="shared" si="5"/>
        <v>3900000</v>
      </c>
      <c r="B89">
        <f t="shared" si="8"/>
        <v>0</v>
      </c>
      <c r="C89">
        <f t="shared" si="9"/>
        <v>0</v>
      </c>
      <c r="D89">
        <f t="shared" si="10"/>
        <v>0</v>
      </c>
      <c r="E89">
        <f t="shared" si="7"/>
        <v>0</v>
      </c>
    </row>
    <row r="90" spans="1:5">
      <c r="A90">
        <f t="shared" si="5"/>
        <v>4700000</v>
      </c>
      <c r="B90">
        <f t="shared" si="8"/>
        <v>0</v>
      </c>
      <c r="C90">
        <f t="shared" si="9"/>
        <v>0</v>
      </c>
      <c r="D90">
        <f t="shared" si="10"/>
        <v>0</v>
      </c>
      <c r="E90">
        <f t="shared" si="7"/>
        <v>0</v>
      </c>
    </row>
    <row r="91" spans="1:5">
      <c r="A91">
        <f t="shared" si="5"/>
        <v>5600000</v>
      </c>
      <c r="B91">
        <f t="shared" si="8"/>
        <v>0</v>
      </c>
      <c r="C91">
        <f t="shared" si="9"/>
        <v>0</v>
      </c>
      <c r="D91">
        <f t="shared" si="10"/>
        <v>0</v>
      </c>
      <c r="E91">
        <f t="shared" si="7"/>
        <v>0</v>
      </c>
    </row>
    <row r="92" spans="1:5">
      <c r="A92">
        <f t="shared" si="5"/>
        <v>6800000</v>
      </c>
      <c r="B92">
        <f t="shared" si="8"/>
        <v>0</v>
      </c>
      <c r="C92">
        <f t="shared" si="9"/>
        <v>0</v>
      </c>
      <c r="D92">
        <f t="shared" si="10"/>
        <v>0</v>
      </c>
      <c r="E92">
        <f t="shared" si="7"/>
        <v>0</v>
      </c>
    </row>
    <row r="93" spans="1:5">
      <c r="A93">
        <f t="shared" si="5"/>
        <v>8200000</v>
      </c>
      <c r="B93">
        <f t="shared" si="8"/>
        <v>0</v>
      </c>
      <c r="C93">
        <f t="shared" si="9"/>
        <v>0</v>
      </c>
      <c r="D93">
        <f t="shared" si="10"/>
        <v>0</v>
      </c>
      <c r="E93">
        <f t="shared" si="7"/>
        <v>0</v>
      </c>
    </row>
    <row r="94" spans="1:5">
      <c r="A94">
        <f t="shared" si="5"/>
        <v>10000000</v>
      </c>
      <c r="B94">
        <f t="shared" si="8"/>
        <v>0</v>
      </c>
      <c r="C94">
        <f t="shared" si="9"/>
        <v>0</v>
      </c>
      <c r="D94">
        <f t="shared" si="10"/>
        <v>0</v>
      </c>
      <c r="E94">
        <f t="shared" si="7"/>
        <v>0</v>
      </c>
    </row>
    <row r="95" spans="1:5">
      <c r="A95">
        <f t="shared" si="5"/>
        <v>12000000</v>
      </c>
      <c r="B95">
        <f t="shared" si="8"/>
        <v>0</v>
      </c>
      <c r="C95">
        <f t="shared" si="9"/>
        <v>0</v>
      </c>
      <c r="D95">
        <f t="shared" si="10"/>
        <v>0</v>
      </c>
      <c r="E95">
        <f t="shared" si="7"/>
        <v>0</v>
      </c>
    </row>
    <row r="96" spans="1:5">
      <c r="A96">
        <f t="shared" si="5"/>
        <v>15000000</v>
      </c>
      <c r="B96">
        <f t="shared" si="8"/>
        <v>0</v>
      </c>
      <c r="C96">
        <f t="shared" si="9"/>
        <v>0</v>
      </c>
      <c r="D96">
        <f t="shared" si="10"/>
        <v>0</v>
      </c>
      <c r="E96">
        <f t="shared" si="7"/>
        <v>0</v>
      </c>
    </row>
    <row r="97" spans="1:5">
      <c r="A97">
        <f t="shared" si="5"/>
        <v>18000000</v>
      </c>
      <c r="B97">
        <f t="shared" si="8"/>
        <v>0</v>
      </c>
      <c r="C97">
        <f t="shared" si="9"/>
        <v>0</v>
      </c>
      <c r="D97">
        <f t="shared" si="10"/>
        <v>0</v>
      </c>
      <c r="E97">
        <f t="shared" si="7"/>
        <v>0</v>
      </c>
    </row>
    <row r="98" spans="1:5">
      <c r="A98">
        <f t="shared" si="5"/>
        <v>22000000</v>
      </c>
      <c r="B98">
        <f t="shared" si="8"/>
        <v>0</v>
      </c>
      <c r="C98">
        <f t="shared" si="9"/>
        <v>0</v>
      </c>
      <c r="D98">
        <f t="shared" si="10"/>
        <v>0</v>
      </c>
      <c r="E98">
        <f t="shared" si="7"/>
        <v>0</v>
      </c>
    </row>
    <row r="99" spans="1:5">
      <c r="A99">
        <f t="shared" ref="A99:A159" si="11">A87*10</f>
        <v>27000000</v>
      </c>
      <c r="B99">
        <f t="shared" si="8"/>
        <v>0</v>
      </c>
      <c r="C99">
        <f t="shared" si="9"/>
        <v>0</v>
      </c>
      <c r="D99">
        <f t="shared" si="10"/>
        <v>0</v>
      </c>
      <c r="E99">
        <f t="shared" si="7"/>
        <v>0</v>
      </c>
    </row>
    <row r="100" spans="1:5">
      <c r="A100">
        <f t="shared" si="11"/>
        <v>33000000</v>
      </c>
      <c r="B100">
        <f t="shared" si="8"/>
        <v>0</v>
      </c>
      <c r="C100">
        <f t="shared" si="9"/>
        <v>0</v>
      </c>
      <c r="D100">
        <f t="shared" si="10"/>
        <v>0</v>
      </c>
      <c r="E100">
        <f t="shared" si="7"/>
        <v>0</v>
      </c>
    </row>
    <row r="101" spans="1:5">
      <c r="A101">
        <f t="shared" si="11"/>
        <v>39000000</v>
      </c>
      <c r="B101">
        <f t="shared" si="8"/>
        <v>0</v>
      </c>
      <c r="C101">
        <f t="shared" si="9"/>
        <v>0</v>
      </c>
      <c r="D101">
        <f t="shared" si="10"/>
        <v>0</v>
      </c>
      <c r="E101">
        <f t="shared" si="7"/>
        <v>0</v>
      </c>
    </row>
    <row r="102" spans="1:5">
      <c r="A102">
        <f t="shared" si="11"/>
        <v>47000000</v>
      </c>
      <c r="B102">
        <f t="shared" si="8"/>
        <v>0</v>
      </c>
      <c r="C102">
        <f t="shared" si="9"/>
        <v>0</v>
      </c>
      <c r="D102">
        <f t="shared" si="10"/>
        <v>0</v>
      </c>
      <c r="E102">
        <f t="shared" ref="E102:E133" si="12">IF(IF((E$3*10^12-$A103)*(E$3*10^12-$A102)*-1&lt;0,0,1)*IF(ABS(E$3*10^12-$A103)&gt;(E$3*10^12-$A102),$A102,$A103)=E103,0,IF((E$3*10^12-$A103)*(E$3*10^12-$A102)*-1&lt;0,0,1)*IF(ABS(E$3*10^12-$A103)&gt;(E$3*10^12-$A102),$A102,$A103))</f>
        <v>0</v>
      </c>
    </row>
    <row r="103" spans="1:5">
      <c r="A103">
        <f t="shared" si="11"/>
        <v>56000000</v>
      </c>
      <c r="B103">
        <f t="shared" si="8"/>
        <v>0</v>
      </c>
      <c r="C103">
        <f t="shared" si="9"/>
        <v>0</v>
      </c>
      <c r="D103">
        <f t="shared" ref="D103:D134" si="13">IF(IF((D$3*10^12-$A104)*(D$3*10^12-$A103)*-1&lt;0,0,1)*IF(ABS(D$3*10^12-$A104)&gt;(D$3*10^12-$A103),$A103,$A104)=D104,0,IF((D$3*10^12-$A104)*(D$3*10^12-$A103)*-1&lt;0,0,1)*IF(ABS(D$3*10^12-$A104)&gt;(D$3*10^12-$A103),$A103,$A104))</f>
        <v>0</v>
      </c>
      <c r="E103">
        <f t="shared" si="12"/>
        <v>0</v>
      </c>
    </row>
    <row r="104" spans="1:5">
      <c r="A104">
        <f t="shared" si="11"/>
        <v>68000000</v>
      </c>
      <c r="B104">
        <f t="shared" si="8"/>
        <v>0</v>
      </c>
      <c r="C104">
        <f t="shared" si="9"/>
        <v>0</v>
      </c>
      <c r="D104">
        <f t="shared" si="13"/>
        <v>0</v>
      </c>
      <c r="E104">
        <f t="shared" si="12"/>
        <v>0</v>
      </c>
    </row>
    <row r="105" spans="1:5">
      <c r="A105">
        <f t="shared" si="11"/>
        <v>82000000</v>
      </c>
      <c r="B105">
        <f t="shared" si="8"/>
        <v>0</v>
      </c>
      <c r="C105">
        <f t="shared" si="9"/>
        <v>0</v>
      </c>
      <c r="D105">
        <f t="shared" si="13"/>
        <v>0</v>
      </c>
      <c r="E105">
        <f t="shared" si="12"/>
        <v>0</v>
      </c>
    </row>
    <row r="106" spans="1:5">
      <c r="A106">
        <f t="shared" si="11"/>
        <v>100000000</v>
      </c>
      <c r="B106">
        <f t="shared" si="8"/>
        <v>0</v>
      </c>
      <c r="C106">
        <f t="shared" si="9"/>
        <v>0</v>
      </c>
      <c r="D106">
        <f t="shared" si="13"/>
        <v>0</v>
      </c>
      <c r="E106">
        <f t="shared" si="12"/>
        <v>0</v>
      </c>
    </row>
    <row r="107" spans="1:5">
      <c r="A107">
        <f t="shared" si="11"/>
        <v>120000000</v>
      </c>
      <c r="B107">
        <f t="shared" si="8"/>
        <v>0</v>
      </c>
      <c r="C107">
        <f t="shared" si="9"/>
        <v>0</v>
      </c>
      <c r="D107">
        <f t="shared" si="13"/>
        <v>0</v>
      </c>
      <c r="E107">
        <f t="shared" si="12"/>
        <v>0</v>
      </c>
    </row>
    <row r="108" spans="1:5">
      <c r="A108">
        <f t="shared" si="11"/>
        <v>150000000</v>
      </c>
      <c r="B108">
        <f t="shared" si="8"/>
        <v>0</v>
      </c>
      <c r="C108">
        <f t="shared" si="9"/>
        <v>0</v>
      </c>
      <c r="D108">
        <f t="shared" si="13"/>
        <v>0</v>
      </c>
      <c r="E108">
        <f t="shared" si="12"/>
        <v>0</v>
      </c>
    </row>
    <row r="109" spans="1:5">
      <c r="A109">
        <f t="shared" si="11"/>
        <v>180000000</v>
      </c>
      <c r="B109">
        <f t="shared" si="8"/>
        <v>0</v>
      </c>
      <c r="C109">
        <f t="shared" si="9"/>
        <v>0</v>
      </c>
      <c r="D109">
        <f t="shared" si="13"/>
        <v>0</v>
      </c>
      <c r="E109">
        <f t="shared" si="12"/>
        <v>0</v>
      </c>
    </row>
    <row r="110" spans="1:5">
      <c r="A110">
        <f t="shared" si="11"/>
        <v>220000000</v>
      </c>
      <c r="B110">
        <f t="shared" si="8"/>
        <v>0</v>
      </c>
      <c r="C110">
        <f t="shared" si="9"/>
        <v>0</v>
      </c>
      <c r="D110">
        <f t="shared" si="13"/>
        <v>0</v>
      </c>
      <c r="E110">
        <f t="shared" si="12"/>
        <v>0</v>
      </c>
    </row>
    <row r="111" spans="1:5">
      <c r="A111">
        <f t="shared" si="11"/>
        <v>270000000</v>
      </c>
      <c r="B111">
        <f t="shared" si="8"/>
        <v>0</v>
      </c>
      <c r="C111">
        <f t="shared" si="9"/>
        <v>0</v>
      </c>
      <c r="D111">
        <f t="shared" si="13"/>
        <v>0</v>
      </c>
      <c r="E111">
        <f t="shared" si="12"/>
        <v>0</v>
      </c>
    </row>
    <row r="112" spans="1:5">
      <c r="A112">
        <f t="shared" si="11"/>
        <v>330000000</v>
      </c>
      <c r="B112">
        <f t="shared" si="8"/>
        <v>0</v>
      </c>
      <c r="C112">
        <f t="shared" si="9"/>
        <v>0</v>
      </c>
      <c r="D112">
        <f t="shared" si="13"/>
        <v>0</v>
      </c>
      <c r="E112">
        <f t="shared" si="12"/>
        <v>0</v>
      </c>
    </row>
    <row r="113" spans="1:5">
      <c r="A113">
        <f t="shared" si="11"/>
        <v>390000000</v>
      </c>
      <c r="B113">
        <f t="shared" si="8"/>
        <v>0</v>
      </c>
      <c r="C113">
        <f t="shared" si="9"/>
        <v>0</v>
      </c>
      <c r="D113">
        <f t="shared" si="13"/>
        <v>0</v>
      </c>
      <c r="E113">
        <f t="shared" si="12"/>
        <v>0</v>
      </c>
    </row>
    <row r="114" spans="1:5">
      <c r="A114">
        <f t="shared" si="11"/>
        <v>470000000</v>
      </c>
      <c r="B114">
        <f t="shared" si="8"/>
        <v>0</v>
      </c>
      <c r="C114">
        <f t="shared" si="9"/>
        <v>0</v>
      </c>
      <c r="D114">
        <f t="shared" si="13"/>
        <v>0</v>
      </c>
      <c r="E114">
        <f t="shared" si="12"/>
        <v>0</v>
      </c>
    </row>
    <row r="115" spans="1:5">
      <c r="A115">
        <f t="shared" si="11"/>
        <v>560000000</v>
      </c>
      <c r="B115">
        <f t="shared" si="8"/>
        <v>0</v>
      </c>
      <c r="C115">
        <f t="shared" si="9"/>
        <v>0</v>
      </c>
      <c r="D115">
        <f t="shared" si="13"/>
        <v>0</v>
      </c>
      <c r="E115">
        <f t="shared" si="12"/>
        <v>0</v>
      </c>
    </row>
    <row r="116" spans="1:5">
      <c r="A116">
        <f t="shared" si="11"/>
        <v>680000000</v>
      </c>
      <c r="B116">
        <f t="shared" si="8"/>
        <v>0</v>
      </c>
      <c r="C116">
        <f t="shared" si="9"/>
        <v>0</v>
      </c>
      <c r="D116">
        <f t="shared" si="13"/>
        <v>0</v>
      </c>
      <c r="E116">
        <f t="shared" si="12"/>
        <v>0</v>
      </c>
    </row>
    <row r="117" spans="1:5">
      <c r="A117">
        <f t="shared" si="11"/>
        <v>820000000</v>
      </c>
      <c r="B117">
        <f t="shared" si="8"/>
        <v>0</v>
      </c>
      <c r="C117">
        <f t="shared" si="9"/>
        <v>0</v>
      </c>
      <c r="D117">
        <f t="shared" si="13"/>
        <v>0</v>
      </c>
      <c r="E117">
        <f t="shared" si="12"/>
        <v>0</v>
      </c>
    </row>
    <row r="118" spans="1:5">
      <c r="A118">
        <f t="shared" si="11"/>
        <v>1000000000</v>
      </c>
      <c r="B118">
        <f t="shared" si="8"/>
        <v>0</v>
      </c>
      <c r="C118">
        <f t="shared" si="9"/>
        <v>0</v>
      </c>
      <c r="D118">
        <f t="shared" si="13"/>
        <v>0</v>
      </c>
      <c r="E118">
        <f t="shared" si="12"/>
        <v>0</v>
      </c>
    </row>
    <row r="119" spans="1:5">
      <c r="A119">
        <f t="shared" si="11"/>
        <v>1200000000</v>
      </c>
      <c r="B119">
        <f t="shared" si="8"/>
        <v>0</v>
      </c>
      <c r="C119">
        <f t="shared" si="9"/>
        <v>0</v>
      </c>
      <c r="D119">
        <f t="shared" si="13"/>
        <v>0</v>
      </c>
      <c r="E119">
        <f t="shared" si="12"/>
        <v>0</v>
      </c>
    </row>
    <row r="120" spans="1:5">
      <c r="A120">
        <f t="shared" si="11"/>
        <v>1500000000</v>
      </c>
      <c r="B120">
        <f t="shared" si="8"/>
        <v>0</v>
      </c>
      <c r="C120">
        <f t="shared" si="9"/>
        <v>0</v>
      </c>
      <c r="D120">
        <f t="shared" si="13"/>
        <v>0</v>
      </c>
      <c r="E120">
        <f t="shared" si="12"/>
        <v>0</v>
      </c>
    </row>
    <row r="121" spans="1:5">
      <c r="A121">
        <f t="shared" si="11"/>
        <v>1800000000</v>
      </c>
      <c r="B121">
        <f t="shared" si="8"/>
        <v>0</v>
      </c>
      <c r="C121">
        <f t="shared" si="9"/>
        <v>0</v>
      </c>
      <c r="D121">
        <f t="shared" si="13"/>
        <v>0</v>
      </c>
      <c r="E121">
        <f t="shared" si="12"/>
        <v>0</v>
      </c>
    </row>
    <row r="122" spans="1:5">
      <c r="A122">
        <f t="shared" si="11"/>
        <v>2200000000</v>
      </c>
      <c r="B122">
        <f t="shared" si="8"/>
        <v>0</v>
      </c>
      <c r="C122">
        <f t="shared" si="9"/>
        <v>0</v>
      </c>
      <c r="D122">
        <f t="shared" si="13"/>
        <v>0</v>
      </c>
      <c r="E122">
        <f t="shared" si="12"/>
        <v>0</v>
      </c>
    </row>
    <row r="123" spans="1:5">
      <c r="A123">
        <f t="shared" si="11"/>
        <v>2700000000</v>
      </c>
      <c r="B123">
        <f t="shared" si="8"/>
        <v>0</v>
      </c>
      <c r="C123">
        <f t="shared" si="9"/>
        <v>0</v>
      </c>
      <c r="D123">
        <f t="shared" si="13"/>
        <v>0</v>
      </c>
      <c r="E123">
        <f t="shared" si="12"/>
        <v>0</v>
      </c>
    </row>
    <row r="124" spans="1:5">
      <c r="A124">
        <f t="shared" si="11"/>
        <v>3300000000</v>
      </c>
      <c r="B124">
        <f t="shared" si="8"/>
        <v>0</v>
      </c>
      <c r="C124">
        <f t="shared" si="9"/>
        <v>0</v>
      </c>
      <c r="D124">
        <f t="shared" si="13"/>
        <v>0</v>
      </c>
      <c r="E124">
        <f t="shared" si="12"/>
        <v>0</v>
      </c>
    </row>
    <row r="125" spans="1:5">
      <c r="A125">
        <f t="shared" si="11"/>
        <v>3900000000</v>
      </c>
      <c r="B125">
        <f t="shared" si="8"/>
        <v>0</v>
      </c>
      <c r="C125">
        <f t="shared" si="9"/>
        <v>0</v>
      </c>
      <c r="D125">
        <f t="shared" si="13"/>
        <v>0</v>
      </c>
      <c r="E125">
        <f t="shared" si="12"/>
        <v>0</v>
      </c>
    </row>
    <row r="126" spans="1:5">
      <c r="A126">
        <f t="shared" si="11"/>
        <v>4700000000</v>
      </c>
      <c r="B126">
        <f t="shared" si="8"/>
        <v>0</v>
      </c>
      <c r="C126">
        <f t="shared" si="9"/>
        <v>0</v>
      </c>
      <c r="D126">
        <f t="shared" si="13"/>
        <v>0</v>
      </c>
      <c r="E126">
        <f t="shared" si="12"/>
        <v>0</v>
      </c>
    </row>
    <row r="127" spans="1:5">
      <c r="A127">
        <f t="shared" si="11"/>
        <v>5600000000</v>
      </c>
      <c r="B127">
        <f t="shared" si="8"/>
        <v>0</v>
      </c>
      <c r="C127">
        <f t="shared" si="9"/>
        <v>0</v>
      </c>
      <c r="D127">
        <f t="shared" si="13"/>
        <v>0</v>
      </c>
      <c r="E127">
        <f t="shared" si="12"/>
        <v>0</v>
      </c>
    </row>
    <row r="128" spans="1:5">
      <c r="A128">
        <f t="shared" si="11"/>
        <v>6800000000</v>
      </c>
      <c r="B128">
        <f t="shared" si="8"/>
        <v>0</v>
      </c>
      <c r="C128">
        <f t="shared" si="9"/>
        <v>0</v>
      </c>
      <c r="D128">
        <f t="shared" si="13"/>
        <v>0</v>
      </c>
      <c r="E128">
        <f t="shared" si="12"/>
        <v>0</v>
      </c>
    </row>
    <row r="129" spans="1:5">
      <c r="A129">
        <f t="shared" si="11"/>
        <v>8200000000</v>
      </c>
      <c r="B129">
        <f t="shared" si="8"/>
        <v>0</v>
      </c>
      <c r="C129">
        <f t="shared" si="9"/>
        <v>0</v>
      </c>
      <c r="D129">
        <f t="shared" si="13"/>
        <v>0</v>
      </c>
      <c r="E129">
        <f t="shared" si="12"/>
        <v>0</v>
      </c>
    </row>
    <row r="130" spans="1:5">
      <c r="A130">
        <f t="shared" si="11"/>
        <v>10000000000</v>
      </c>
      <c r="B130">
        <f t="shared" si="8"/>
        <v>0</v>
      </c>
      <c r="C130">
        <f t="shared" si="9"/>
        <v>0</v>
      </c>
      <c r="D130">
        <f t="shared" si="13"/>
        <v>0</v>
      </c>
      <c r="E130">
        <f t="shared" si="12"/>
        <v>0</v>
      </c>
    </row>
    <row r="131" spans="1:5">
      <c r="A131">
        <f t="shared" si="11"/>
        <v>12000000000</v>
      </c>
      <c r="B131">
        <f t="shared" si="8"/>
        <v>0</v>
      </c>
      <c r="C131">
        <f t="shared" si="9"/>
        <v>0</v>
      </c>
      <c r="D131">
        <f t="shared" si="13"/>
        <v>0</v>
      </c>
      <c r="E131">
        <f t="shared" si="12"/>
        <v>0</v>
      </c>
    </row>
    <row r="132" spans="1:5">
      <c r="A132">
        <f t="shared" si="11"/>
        <v>15000000000</v>
      </c>
      <c r="B132">
        <f t="shared" si="8"/>
        <v>0</v>
      </c>
      <c r="C132">
        <f t="shared" si="9"/>
        <v>0</v>
      </c>
      <c r="D132">
        <f t="shared" si="13"/>
        <v>0</v>
      </c>
      <c r="E132">
        <f t="shared" si="12"/>
        <v>0</v>
      </c>
    </row>
    <row r="133" spans="1:5">
      <c r="A133">
        <f t="shared" si="11"/>
        <v>18000000000</v>
      </c>
      <c r="B133">
        <f t="shared" si="8"/>
        <v>0</v>
      </c>
      <c r="C133">
        <f t="shared" si="9"/>
        <v>0</v>
      </c>
      <c r="D133">
        <f t="shared" si="13"/>
        <v>0</v>
      </c>
      <c r="E133">
        <f t="shared" si="12"/>
        <v>0</v>
      </c>
    </row>
    <row r="134" spans="1:5">
      <c r="A134">
        <f t="shared" si="11"/>
        <v>22000000000</v>
      </c>
      <c r="B134">
        <f t="shared" si="8"/>
        <v>0</v>
      </c>
      <c r="C134">
        <f t="shared" ref="C134:D159" si="14">IF(IF((C$3*10^12-$A135)*(C$3*10^12-$A134)*-1&lt;0,0,1)*IF(ABS(C$3*10^12-$A135)&gt;(C$3*10^12-$A134),$A134,$A135)=C135,0,IF((C$3*10^12-$A135)*(C$3*10^12-$A134)*-1&lt;0,0,1)*IF(ABS(C$3*10^12-$A135)&gt;(C$3*10^12-$A134),$A134,$A135))</f>
        <v>0</v>
      </c>
      <c r="D134">
        <f t="shared" si="13"/>
        <v>0</v>
      </c>
      <c r="E134">
        <f t="shared" ref="E134:E159" si="15">IF(IF((E$3*10^12-$A135)*(E$3*10^12-$A134)*-1&lt;0,0,1)*IF(ABS(E$3*10^12-$A135)&gt;(E$3*10^12-$A134),$A134,$A135)=E135,0,IF((E$3*10^12-$A135)*(E$3*10^12-$A134)*-1&lt;0,0,1)*IF(ABS(E$3*10^12-$A135)&gt;(E$3*10^12-$A134),$A134,$A135))</f>
        <v>0</v>
      </c>
    </row>
    <row r="135" spans="1:5">
      <c r="A135">
        <f t="shared" si="11"/>
        <v>27000000000</v>
      </c>
      <c r="B135">
        <f t="shared" ref="B135:B159" si="16">IF(IF((B$3*10^12-$A136)*(B$3*10^12-$A135)*-1&lt;0,0,1)*IF(ABS(B$3*10^12-$A136)&gt;(B$3*10^12-$A135),$A135,$A136)=B136,0,IF((B$3*10^12-$A136)*(B$3*10^12-$A135)*-1&lt;0,0,1)*IF(ABS(B$3*10^12-$A136)&gt;(B$3*10^12-$A135),$A135,$A136))</f>
        <v>0</v>
      </c>
      <c r="C135">
        <f t="shared" si="14"/>
        <v>0</v>
      </c>
      <c r="D135">
        <f t="shared" si="14"/>
        <v>0</v>
      </c>
      <c r="E135">
        <f t="shared" si="15"/>
        <v>0</v>
      </c>
    </row>
    <row r="136" spans="1:5">
      <c r="A136">
        <f t="shared" si="11"/>
        <v>33000000000</v>
      </c>
      <c r="B136">
        <f t="shared" si="16"/>
        <v>0</v>
      </c>
      <c r="C136">
        <f t="shared" si="14"/>
        <v>0</v>
      </c>
      <c r="D136">
        <f t="shared" si="14"/>
        <v>0</v>
      </c>
      <c r="E136">
        <f t="shared" si="15"/>
        <v>0</v>
      </c>
    </row>
    <row r="137" spans="1:5">
      <c r="A137">
        <f t="shared" si="11"/>
        <v>39000000000</v>
      </c>
      <c r="B137">
        <f t="shared" si="16"/>
        <v>0</v>
      </c>
      <c r="C137">
        <f t="shared" si="14"/>
        <v>0</v>
      </c>
      <c r="D137">
        <f t="shared" si="14"/>
        <v>0</v>
      </c>
      <c r="E137">
        <f t="shared" si="15"/>
        <v>0</v>
      </c>
    </row>
    <row r="138" spans="1:5">
      <c r="A138">
        <f t="shared" si="11"/>
        <v>47000000000</v>
      </c>
      <c r="B138">
        <f t="shared" si="16"/>
        <v>0</v>
      </c>
      <c r="C138">
        <f t="shared" si="14"/>
        <v>0</v>
      </c>
      <c r="D138">
        <f t="shared" si="14"/>
        <v>0</v>
      </c>
      <c r="E138">
        <f t="shared" si="15"/>
        <v>0</v>
      </c>
    </row>
    <row r="139" spans="1:5">
      <c r="A139">
        <f t="shared" si="11"/>
        <v>56000000000</v>
      </c>
      <c r="B139">
        <f t="shared" si="16"/>
        <v>0</v>
      </c>
      <c r="C139">
        <f t="shared" si="14"/>
        <v>0</v>
      </c>
      <c r="D139">
        <f t="shared" si="14"/>
        <v>0</v>
      </c>
      <c r="E139">
        <f t="shared" si="15"/>
        <v>0</v>
      </c>
    </row>
    <row r="140" spans="1:5">
      <c r="A140">
        <f t="shared" si="11"/>
        <v>68000000000</v>
      </c>
      <c r="B140">
        <f t="shared" si="16"/>
        <v>0</v>
      </c>
      <c r="C140">
        <f t="shared" si="14"/>
        <v>0</v>
      </c>
      <c r="D140">
        <f t="shared" si="14"/>
        <v>0</v>
      </c>
      <c r="E140">
        <f t="shared" si="15"/>
        <v>0</v>
      </c>
    </row>
    <row r="141" spans="1:5">
      <c r="A141">
        <f t="shared" si="11"/>
        <v>82000000000</v>
      </c>
      <c r="B141">
        <f t="shared" si="16"/>
        <v>0</v>
      </c>
      <c r="C141">
        <f t="shared" si="14"/>
        <v>0</v>
      </c>
      <c r="D141">
        <f t="shared" si="14"/>
        <v>0</v>
      </c>
      <c r="E141">
        <f t="shared" si="15"/>
        <v>0</v>
      </c>
    </row>
    <row r="142" spans="1:5">
      <c r="A142">
        <f t="shared" si="11"/>
        <v>100000000000</v>
      </c>
      <c r="B142">
        <f t="shared" si="16"/>
        <v>0</v>
      </c>
      <c r="C142">
        <f t="shared" si="14"/>
        <v>0</v>
      </c>
      <c r="D142">
        <f t="shared" si="14"/>
        <v>0</v>
      </c>
      <c r="E142">
        <f t="shared" si="15"/>
        <v>0</v>
      </c>
    </row>
    <row r="143" spans="1:5">
      <c r="A143">
        <f t="shared" si="11"/>
        <v>120000000000</v>
      </c>
      <c r="B143">
        <f t="shared" si="16"/>
        <v>0</v>
      </c>
      <c r="C143">
        <f t="shared" si="14"/>
        <v>0</v>
      </c>
      <c r="D143">
        <f t="shared" si="14"/>
        <v>0</v>
      </c>
      <c r="E143">
        <f t="shared" si="15"/>
        <v>0</v>
      </c>
    </row>
    <row r="144" spans="1:5">
      <c r="A144">
        <f t="shared" si="11"/>
        <v>150000000000</v>
      </c>
      <c r="B144">
        <f t="shared" si="16"/>
        <v>0</v>
      </c>
      <c r="C144">
        <f t="shared" si="14"/>
        <v>0</v>
      </c>
      <c r="D144">
        <f t="shared" si="14"/>
        <v>0</v>
      </c>
      <c r="E144">
        <f t="shared" si="15"/>
        <v>0</v>
      </c>
    </row>
    <row r="145" spans="1:5">
      <c r="A145">
        <f t="shared" si="11"/>
        <v>180000000000</v>
      </c>
      <c r="B145">
        <f t="shared" si="16"/>
        <v>0</v>
      </c>
      <c r="C145">
        <f t="shared" si="14"/>
        <v>0</v>
      </c>
      <c r="D145">
        <f t="shared" si="14"/>
        <v>0</v>
      </c>
      <c r="E145">
        <f t="shared" si="15"/>
        <v>0</v>
      </c>
    </row>
    <row r="146" spans="1:5">
      <c r="A146">
        <f t="shared" si="11"/>
        <v>220000000000</v>
      </c>
      <c r="B146">
        <f t="shared" si="16"/>
        <v>0</v>
      </c>
      <c r="C146">
        <f t="shared" si="14"/>
        <v>0</v>
      </c>
      <c r="D146">
        <f t="shared" si="14"/>
        <v>0</v>
      </c>
      <c r="E146">
        <f t="shared" si="15"/>
        <v>0</v>
      </c>
    </row>
    <row r="147" spans="1:5">
      <c r="A147">
        <f t="shared" si="11"/>
        <v>270000000000</v>
      </c>
      <c r="B147">
        <f t="shared" si="16"/>
        <v>0</v>
      </c>
      <c r="C147">
        <f t="shared" si="14"/>
        <v>0</v>
      </c>
      <c r="D147">
        <f t="shared" si="14"/>
        <v>0</v>
      </c>
      <c r="E147">
        <f t="shared" si="15"/>
        <v>0</v>
      </c>
    </row>
    <row r="148" spans="1:5">
      <c r="A148">
        <f t="shared" si="11"/>
        <v>330000000000</v>
      </c>
      <c r="B148">
        <f t="shared" si="16"/>
        <v>0</v>
      </c>
      <c r="C148">
        <f t="shared" si="14"/>
        <v>0</v>
      </c>
      <c r="D148">
        <f t="shared" si="14"/>
        <v>0</v>
      </c>
      <c r="E148">
        <f t="shared" si="15"/>
        <v>0</v>
      </c>
    </row>
    <row r="149" spans="1:5">
      <c r="A149">
        <f t="shared" si="11"/>
        <v>390000000000</v>
      </c>
      <c r="B149">
        <f t="shared" si="16"/>
        <v>0</v>
      </c>
      <c r="C149">
        <f t="shared" si="14"/>
        <v>0</v>
      </c>
      <c r="D149">
        <f t="shared" si="14"/>
        <v>0</v>
      </c>
      <c r="E149">
        <f t="shared" si="15"/>
        <v>0</v>
      </c>
    </row>
    <row r="150" spans="1:5">
      <c r="A150">
        <f t="shared" si="11"/>
        <v>470000000000</v>
      </c>
      <c r="B150">
        <f t="shared" si="16"/>
        <v>0</v>
      </c>
      <c r="C150">
        <f t="shared" si="14"/>
        <v>0</v>
      </c>
      <c r="D150">
        <f t="shared" si="14"/>
        <v>0</v>
      </c>
      <c r="E150">
        <f t="shared" si="15"/>
        <v>0</v>
      </c>
    </row>
    <row r="151" spans="1:5">
      <c r="A151">
        <f t="shared" si="11"/>
        <v>560000000000</v>
      </c>
      <c r="B151">
        <f t="shared" si="16"/>
        <v>0</v>
      </c>
      <c r="C151">
        <f t="shared" si="14"/>
        <v>0</v>
      </c>
      <c r="D151">
        <f t="shared" si="14"/>
        <v>0</v>
      </c>
      <c r="E151">
        <f t="shared" si="15"/>
        <v>0</v>
      </c>
    </row>
    <row r="152" spans="1:5">
      <c r="A152">
        <f t="shared" si="11"/>
        <v>680000000000</v>
      </c>
      <c r="B152">
        <f t="shared" si="16"/>
        <v>0</v>
      </c>
      <c r="C152">
        <f t="shared" si="14"/>
        <v>0</v>
      </c>
      <c r="D152">
        <f t="shared" si="14"/>
        <v>0</v>
      </c>
      <c r="E152">
        <f t="shared" si="15"/>
        <v>0</v>
      </c>
    </row>
    <row r="153" spans="1:5">
      <c r="A153">
        <f t="shared" si="11"/>
        <v>820000000000</v>
      </c>
      <c r="B153">
        <f t="shared" si="16"/>
        <v>0</v>
      </c>
      <c r="C153">
        <f t="shared" si="14"/>
        <v>0</v>
      </c>
      <c r="D153">
        <f t="shared" si="14"/>
        <v>0</v>
      </c>
      <c r="E153">
        <f t="shared" si="15"/>
        <v>0</v>
      </c>
    </row>
    <row r="154" spans="1:5">
      <c r="A154">
        <f t="shared" si="11"/>
        <v>1000000000000</v>
      </c>
      <c r="B154">
        <f t="shared" si="16"/>
        <v>0</v>
      </c>
      <c r="C154">
        <f t="shared" si="14"/>
        <v>0</v>
      </c>
      <c r="D154">
        <f t="shared" si="14"/>
        <v>0</v>
      </c>
      <c r="E154">
        <f t="shared" si="15"/>
        <v>0</v>
      </c>
    </row>
    <row r="155" spans="1:5">
      <c r="A155">
        <f t="shared" si="11"/>
        <v>1200000000000</v>
      </c>
      <c r="B155">
        <f t="shared" si="16"/>
        <v>0</v>
      </c>
      <c r="C155">
        <f t="shared" si="14"/>
        <v>0</v>
      </c>
      <c r="D155">
        <f t="shared" si="14"/>
        <v>0</v>
      </c>
      <c r="E155">
        <f t="shared" si="15"/>
        <v>0</v>
      </c>
    </row>
    <row r="156" spans="1:5">
      <c r="A156">
        <f t="shared" si="11"/>
        <v>1500000000000</v>
      </c>
      <c r="B156">
        <f t="shared" si="16"/>
        <v>0</v>
      </c>
      <c r="C156">
        <f t="shared" si="14"/>
        <v>0</v>
      </c>
      <c r="D156">
        <f t="shared" si="14"/>
        <v>0</v>
      </c>
      <c r="E156">
        <f t="shared" si="15"/>
        <v>0</v>
      </c>
    </row>
    <row r="157" spans="1:5">
      <c r="A157">
        <f t="shared" si="11"/>
        <v>1800000000000</v>
      </c>
      <c r="B157">
        <f t="shared" si="16"/>
        <v>0</v>
      </c>
      <c r="C157">
        <f t="shared" si="14"/>
        <v>0</v>
      </c>
      <c r="D157">
        <f t="shared" si="14"/>
        <v>0</v>
      </c>
      <c r="E157">
        <f t="shared" si="15"/>
        <v>0</v>
      </c>
    </row>
    <row r="158" spans="1:5">
      <c r="A158">
        <f t="shared" si="11"/>
        <v>2200000000000</v>
      </c>
      <c r="B158">
        <f t="shared" si="16"/>
        <v>0</v>
      </c>
      <c r="C158">
        <f t="shared" si="14"/>
        <v>0</v>
      </c>
      <c r="D158">
        <f t="shared" si="14"/>
        <v>0</v>
      </c>
      <c r="E158">
        <f t="shared" si="15"/>
        <v>0</v>
      </c>
    </row>
    <row r="159" spans="1:5">
      <c r="A159" s="15">
        <f t="shared" si="11"/>
        <v>2700000000000</v>
      </c>
      <c r="B159">
        <f t="shared" si="16"/>
        <v>2700000000000</v>
      </c>
      <c r="C159">
        <f t="shared" si="14"/>
        <v>0</v>
      </c>
      <c r="D159">
        <f t="shared" si="14"/>
        <v>0</v>
      </c>
      <c r="E159">
        <f t="shared" si="15"/>
        <v>2700000000000</v>
      </c>
    </row>
  </sheetData>
  <sheetProtection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R687"/>
  <sheetViews>
    <sheetView zoomScaleNormal="100" workbookViewId="0">
      <pane ySplit="11" topLeftCell="A19" activePane="bottomLeft" state="frozen"/>
      <selection activeCell="A93" sqref="A93"/>
      <selection pane="bottomLeft" activeCell="B19" sqref="B19"/>
    </sheetView>
  </sheetViews>
  <sheetFormatPr defaultColWidth="9.1796875" defaultRowHeight="12.5"/>
  <cols>
    <col min="1" max="1" width="14.7265625" style="170" bestFit="1" customWidth="1"/>
    <col min="2" max="2" width="10.7265625" style="170" customWidth="1"/>
    <col min="3" max="3" width="10" style="170" customWidth="1"/>
    <col min="4" max="4" width="13.81640625" style="170" customWidth="1"/>
    <col min="5" max="5" width="10.1796875" style="170" customWidth="1"/>
    <col min="6" max="6" width="3.26953125" style="170" customWidth="1"/>
    <col min="7" max="7" width="16.1796875" style="170" customWidth="1"/>
    <col min="8" max="8" width="15.7265625" style="170" customWidth="1"/>
    <col min="9" max="9" width="10" style="170" customWidth="1"/>
    <col min="10" max="10" width="10.81640625" style="170" customWidth="1"/>
    <col min="11" max="11" width="10.1796875" style="170" customWidth="1"/>
    <col min="12" max="14" width="11.81640625" style="170" customWidth="1"/>
    <col min="15" max="15" width="14.26953125" style="170" customWidth="1"/>
    <col min="16" max="16" width="11" style="170" customWidth="1"/>
    <col min="17" max="17" width="12" style="170" customWidth="1"/>
    <col min="18" max="18" width="11.453125" style="170" customWidth="1"/>
    <col min="19" max="19" width="10.81640625" style="170" customWidth="1"/>
    <col min="20" max="20" width="11.453125" style="170" customWidth="1"/>
    <col min="21" max="21" width="11.81640625" style="170" customWidth="1"/>
    <col min="22" max="22" width="13.54296875" style="170" customWidth="1"/>
    <col min="23" max="23" width="9.453125" style="170" customWidth="1"/>
    <col min="24" max="24" width="16.26953125" style="170" bestFit="1" customWidth="1"/>
    <col min="25" max="25" width="16.1796875" style="172" customWidth="1"/>
    <col min="26" max="26" width="8.81640625" style="170" bestFit="1" customWidth="1"/>
    <col min="27" max="27" width="13.54296875" style="170" bestFit="1" customWidth="1"/>
    <col min="28" max="28" width="10.7265625" style="170" bestFit="1" customWidth="1"/>
    <col min="29" max="29" width="9.1796875" style="170"/>
    <col min="30" max="30" width="13.54296875" style="170" customWidth="1"/>
    <col min="31" max="31" width="10.54296875" style="170" customWidth="1"/>
    <col min="32" max="32" width="9.1796875" style="170"/>
    <col min="33" max="33" width="9.453125" style="170" bestFit="1" customWidth="1"/>
    <col min="34" max="34" width="11.453125" style="170" bestFit="1" customWidth="1"/>
    <col min="35" max="35" width="5.81640625" style="170" customWidth="1"/>
    <col min="36" max="36" width="12.26953125" style="170" customWidth="1"/>
    <col min="37" max="37" width="8.81640625" style="170" customWidth="1"/>
    <col min="38" max="38" width="18.1796875" style="170" customWidth="1"/>
    <col min="39" max="39" width="45.26953125" style="170" customWidth="1"/>
    <col min="40" max="40" width="19.26953125" style="170" bestFit="1" customWidth="1"/>
    <col min="41" max="41" width="40.7265625" style="170" bestFit="1" customWidth="1"/>
    <col min="42" max="42" width="40.1796875" style="170" bestFit="1" customWidth="1"/>
    <col min="43" max="43" width="40.7265625" style="170" bestFit="1" customWidth="1"/>
    <col min="44" max="44" width="40.1796875" style="170" bestFit="1" customWidth="1"/>
    <col min="45" max="45" width="28.453125" style="170" customWidth="1"/>
    <col min="46" max="16384" width="9.1796875" style="170"/>
  </cols>
  <sheetData>
    <row r="1" spans="1:44" ht="13" thickBot="1"/>
    <row r="2" spans="1:44" s="189" customFormat="1" ht="13">
      <c r="A2" s="724" t="s">
        <v>770</v>
      </c>
      <c r="G2" s="927" t="s">
        <v>764</v>
      </c>
      <c r="H2" s="928"/>
      <c r="I2" s="929"/>
      <c r="J2" s="930"/>
      <c r="K2" s="927" t="s">
        <v>683</v>
      </c>
      <c r="L2" s="928"/>
      <c r="M2" s="928"/>
      <c r="N2" s="636"/>
      <c r="O2" s="637"/>
      <c r="P2" s="927" t="s">
        <v>684</v>
      </c>
      <c r="Q2" s="929"/>
      <c r="R2" s="930"/>
      <c r="S2" s="927" t="s">
        <v>765</v>
      </c>
      <c r="T2" s="929"/>
      <c r="U2" s="930"/>
      <c r="V2" s="927" t="s">
        <v>685</v>
      </c>
      <c r="W2" s="928"/>
      <c r="X2" s="931"/>
      <c r="Y2" s="536"/>
      <c r="AA2" s="724" t="s">
        <v>796</v>
      </c>
    </row>
    <row r="3" spans="1:44">
      <c r="B3" s="338"/>
      <c r="H3" s="638" t="s">
        <v>757</v>
      </c>
      <c r="I3" s="735">
        <f>Vref/(Vout_eff*Npri_sec)</f>
        <v>5.9523809523809534E-2</v>
      </c>
      <c r="J3" s="639" t="s">
        <v>686</v>
      </c>
      <c r="K3" s="640" t="s">
        <v>687</v>
      </c>
      <c r="L3" s="269">
        <f>1/Rcs_gain</f>
        <v>6.666666666666667</v>
      </c>
      <c r="M3" s="639" t="s">
        <v>688</v>
      </c>
      <c r="N3" s="194" t="s">
        <v>689</v>
      </c>
      <c r="O3" s="641">
        <f>gmEA</f>
        <v>5.9999999999999995E-4</v>
      </c>
      <c r="P3" s="642" t="s">
        <v>690</v>
      </c>
      <c r="Q3" s="643">
        <f>1/(2*Pi*D25*D26)</f>
        <v>723431.56033525639</v>
      </c>
      <c r="R3" s="639" t="s">
        <v>8</v>
      </c>
      <c r="S3" s="642"/>
      <c r="T3" s="643"/>
      <c r="U3" s="639"/>
      <c r="V3" s="644" t="s">
        <v>692</v>
      </c>
      <c r="W3" s="643">
        <f>Am*Afb*Aea</f>
        <v>250000</v>
      </c>
      <c r="X3" s="645" t="s">
        <v>686</v>
      </c>
      <c r="AA3" s="170">
        <f>MIN(z_RHP/10,'Calculations - Single'!Y212/10)</f>
        <v>7.5863985202550506</v>
      </c>
      <c r="AB3" s="170" t="s">
        <v>2</v>
      </c>
    </row>
    <row r="4" spans="1:44" ht="13">
      <c r="B4" s="170">
        <f>BODE_TYPE*0+IF('Variable Mgmt'!Y17="BCM",2, 1)</f>
        <v>1</v>
      </c>
      <c r="H4" s="646" t="s">
        <v>693</v>
      </c>
      <c r="I4" s="643">
        <f>1/(2*Pi*Rcomp*Ccomp)</f>
        <v>602.85963361271354</v>
      </c>
      <c r="J4" s="639" t="s">
        <v>8</v>
      </c>
      <c r="K4" s="642" t="s">
        <v>694</v>
      </c>
      <c r="L4" s="269">
        <f>CHOOSE(BODE_TYPE, Rload_pri/Rcs_gain*(Lmag/(2*Vout_eff*Npri_sec)*Fsw_DCM)*SQRT(Iout_eff/(Lmag/(2*Vout_eff*Npri_sec)*Fsw_DCM*Npri_sec)), Rload_pri/(Rcs_gain*2*(2*M+1)))</f>
        <v>23.333333333333332</v>
      </c>
      <c r="M4" s="639" t="s">
        <v>686</v>
      </c>
      <c r="N4" s="647" t="s">
        <v>755</v>
      </c>
      <c r="O4" s="713">
        <f>REAout</f>
        <v>300000000</v>
      </c>
      <c r="P4" s="642" t="s">
        <v>695</v>
      </c>
      <c r="Q4" s="643">
        <f>CHOOSE(BODE_TYPE, 2/(2*Pi*D25*Rload_sec), 1/(2*Pi*D25*[0]!Rload_sec)*(2*M+1)/(M+1))</f>
        <v>121.58513619079939</v>
      </c>
      <c r="R4" s="639" t="s">
        <v>8</v>
      </c>
      <c r="S4" s="648"/>
      <c r="T4" s="649"/>
      <c r="U4" s="645"/>
      <c r="V4" s="719" t="s">
        <v>696</v>
      </c>
      <c r="W4" s="720">
        <f>AK7</f>
        <v>1.3183</v>
      </c>
      <c r="X4" s="721" t="s">
        <v>2</v>
      </c>
    </row>
    <row r="5" spans="1:44" ht="13">
      <c r="H5" s="638" t="s">
        <v>697</v>
      </c>
      <c r="I5" s="190">
        <f>1/(2*Pi*REAout*Ccomp)</f>
        <v>2.4114385344508542E-2</v>
      </c>
      <c r="J5" s="639" t="s">
        <v>8</v>
      </c>
      <c r="K5" s="642"/>
      <c r="L5" s="190"/>
      <c r="M5" s="639"/>
      <c r="N5" s="647"/>
      <c r="O5" s="647"/>
      <c r="P5" s="648" t="s">
        <v>712</v>
      </c>
      <c r="Q5" s="650">
        <f>Rload_pri/(2*Pi*Lmag*M*(M+1))</f>
        <v>187241.10973383105</v>
      </c>
      <c r="R5" s="645" t="s">
        <v>8</v>
      </c>
      <c r="S5" s="648"/>
      <c r="T5" s="188"/>
      <c r="U5" s="645"/>
      <c r="V5" s="719" t="s">
        <v>698</v>
      </c>
      <c r="W5" s="722">
        <f>AK9</f>
        <v>68.386152138412399</v>
      </c>
      <c r="X5" s="723" t="s">
        <v>699</v>
      </c>
    </row>
    <row r="6" spans="1:44">
      <c r="H6" s="638" t="s">
        <v>700</v>
      </c>
      <c r="I6" s="171">
        <f>gmEA*REAout</f>
        <v>179999.99999999997</v>
      </c>
      <c r="J6" s="639" t="s">
        <v>686</v>
      </c>
      <c r="K6" s="648"/>
      <c r="L6" s="651"/>
      <c r="M6" s="652"/>
      <c r="N6" s="725"/>
      <c r="O6" s="645"/>
      <c r="P6" s="648"/>
      <c r="Q6" s="188"/>
      <c r="R6" s="645"/>
      <c r="S6" s="648"/>
      <c r="T6" s="651"/>
      <c r="U6" s="645"/>
      <c r="V6" s="726" t="s">
        <v>701</v>
      </c>
      <c r="W6" s="188">
        <v>57.295779578552292</v>
      </c>
      <c r="X6" s="645"/>
      <c r="AJ6" s="653" t="s">
        <v>702</v>
      </c>
      <c r="AK6" s="653"/>
    </row>
    <row r="7" spans="1:44" ht="13" thickBot="1">
      <c r="H7" s="654" t="s">
        <v>703</v>
      </c>
      <c r="I7" s="655">
        <f>1/(2*Pi*Rcomp*Chf)</f>
        <v>132629.11939479696</v>
      </c>
      <c r="J7" s="656" t="s">
        <v>8</v>
      </c>
      <c r="K7" s="657"/>
      <c r="L7" s="658"/>
      <c r="M7" s="658"/>
      <c r="N7" s="659"/>
      <c r="O7" s="656"/>
      <c r="P7" s="657"/>
      <c r="Q7" s="657"/>
      <c r="R7" s="656"/>
      <c r="S7" s="657"/>
      <c r="T7" s="657"/>
      <c r="U7" s="656"/>
      <c r="V7" s="657"/>
      <c r="W7" s="657"/>
      <c r="X7" s="656"/>
      <c r="AJ7" s="170" t="s">
        <v>704</v>
      </c>
      <c r="AK7" s="170">
        <f>SUM(AJ12:AJ613)/1000</f>
        <v>1.3183</v>
      </c>
      <c r="AL7" s="197">
        <f>AK7*1000</f>
        <v>1318.3</v>
      </c>
    </row>
    <row r="8" spans="1:44">
      <c r="H8" s="660"/>
      <c r="I8" s="661"/>
      <c r="J8" s="662"/>
      <c r="K8" s="662"/>
      <c r="L8" s="663"/>
      <c r="M8" s="663"/>
      <c r="N8" s="663"/>
      <c r="O8" s="662"/>
      <c r="P8" s="662"/>
      <c r="Q8" s="662"/>
      <c r="R8" s="662"/>
      <c r="S8" s="662"/>
      <c r="T8" s="662"/>
      <c r="U8" s="662"/>
      <c r="V8" s="662"/>
      <c r="W8" s="662"/>
      <c r="X8" s="662"/>
      <c r="AL8" s="170">
        <v>0</v>
      </c>
    </row>
    <row r="9" spans="1:44" ht="13" thickBot="1">
      <c r="A9" s="711"/>
      <c r="B9" s="716" t="s">
        <v>758</v>
      </c>
      <c r="AJ9" s="170" t="s">
        <v>705</v>
      </c>
      <c r="AK9" s="172">
        <f>SUM(AK13:AK613)</f>
        <v>68.386152138412399</v>
      </c>
      <c r="AL9" s="443">
        <f>AK9</f>
        <v>68.386152138412399</v>
      </c>
    </row>
    <row r="10" spans="1:44" ht="14">
      <c r="A10" s="714"/>
      <c r="B10" s="259" t="s">
        <v>762</v>
      </c>
      <c r="G10" s="932" t="s">
        <v>706</v>
      </c>
      <c r="H10" s="935" t="s">
        <v>756</v>
      </c>
      <c r="I10" s="937" t="s">
        <v>707</v>
      </c>
      <c r="J10" s="938"/>
      <c r="K10" s="938"/>
      <c r="L10" s="938"/>
      <c r="M10" s="938"/>
      <c r="N10" s="939"/>
      <c r="O10" s="937" t="s">
        <v>708</v>
      </c>
      <c r="P10" s="938"/>
      <c r="Q10" s="938"/>
      <c r="R10" s="938"/>
      <c r="S10" s="938"/>
      <c r="T10" s="939"/>
      <c r="U10" s="917" t="s">
        <v>760</v>
      </c>
      <c r="V10" s="940"/>
      <c r="W10" s="917" t="s">
        <v>709</v>
      </c>
      <c r="X10" s="918"/>
      <c r="Y10" s="919"/>
      <c r="AD10" s="920" t="s">
        <v>710</v>
      </c>
      <c r="AE10" s="921"/>
      <c r="AG10" s="920" t="s">
        <v>711</v>
      </c>
      <c r="AH10" s="921"/>
      <c r="AM10" s="333" t="s">
        <v>761</v>
      </c>
    </row>
    <row r="11" spans="1:44" ht="13">
      <c r="G11" s="933"/>
      <c r="H11" s="936"/>
      <c r="I11" s="922" t="s">
        <v>695</v>
      </c>
      <c r="J11" s="923"/>
      <c r="K11" s="923" t="s">
        <v>690</v>
      </c>
      <c r="L11" s="924"/>
      <c r="M11" s="925" t="s">
        <v>712</v>
      </c>
      <c r="N11" s="926"/>
      <c r="O11" s="922" t="s">
        <v>713</v>
      </c>
      <c r="P11" s="923"/>
      <c r="Q11" s="923" t="s">
        <v>714</v>
      </c>
      <c r="R11" s="924"/>
      <c r="S11" s="925" t="s">
        <v>715</v>
      </c>
      <c r="T11" s="926"/>
      <c r="U11" s="922" t="s">
        <v>691</v>
      </c>
      <c r="V11" s="924"/>
      <c r="W11" s="642"/>
      <c r="X11" s="171"/>
      <c r="Y11" s="664"/>
      <c r="AD11" s="642"/>
      <c r="AE11" s="639"/>
      <c r="AG11" s="642"/>
      <c r="AH11" s="639"/>
    </row>
    <row r="12" spans="1:44" ht="13.5" thickBot="1">
      <c r="A12" s="662"/>
      <c r="B12" s="662"/>
      <c r="C12" s="662"/>
      <c r="D12" s="662"/>
      <c r="E12" s="662"/>
      <c r="F12" s="707"/>
      <c r="G12" s="934"/>
      <c r="H12" s="665"/>
      <c r="I12" s="666" t="s">
        <v>716</v>
      </c>
      <c r="J12" s="667" t="s">
        <v>717</v>
      </c>
      <c r="K12" s="667" t="s">
        <v>716</v>
      </c>
      <c r="L12" s="668" t="s">
        <v>717</v>
      </c>
      <c r="M12" s="667" t="s">
        <v>716</v>
      </c>
      <c r="N12" s="668" t="s">
        <v>717</v>
      </c>
      <c r="O12" s="666" t="s">
        <v>716</v>
      </c>
      <c r="P12" s="667" t="s">
        <v>717</v>
      </c>
      <c r="Q12" s="667" t="s">
        <v>716</v>
      </c>
      <c r="R12" s="668" t="s">
        <v>717</v>
      </c>
      <c r="S12" s="666" t="s">
        <v>716</v>
      </c>
      <c r="T12" s="667" t="s">
        <v>717</v>
      </c>
      <c r="U12" s="666" t="s">
        <v>716</v>
      </c>
      <c r="V12" s="668" t="s">
        <v>717</v>
      </c>
      <c r="W12" s="669" t="s">
        <v>718</v>
      </c>
      <c r="X12" s="670" t="s">
        <v>719</v>
      </c>
      <c r="Y12" s="671" t="s">
        <v>720</v>
      </c>
      <c r="AB12" s="672" t="s">
        <v>721</v>
      </c>
      <c r="AD12" s="673" t="s">
        <v>722</v>
      </c>
      <c r="AE12" s="674" t="s">
        <v>723</v>
      </c>
      <c r="AG12" s="673" t="s">
        <v>722</v>
      </c>
      <c r="AH12" s="674" t="s">
        <v>723</v>
      </c>
    </row>
    <row r="13" spans="1:44" ht="13">
      <c r="A13" s="333" t="s">
        <v>739</v>
      </c>
      <c r="B13" s="710" t="str">
        <f>Nps</f>
        <v>1</v>
      </c>
      <c r="D13" s="170" t="s">
        <v>766</v>
      </c>
      <c r="G13" s="675">
        <v>1</v>
      </c>
      <c r="H13" s="676">
        <f>G13/1000</f>
        <v>1E-3</v>
      </c>
      <c r="I13" s="677">
        <f t="shared" ref="I13:I76" si="0">SQRT(1+(G13/pole1)^2)</f>
        <v>1.0000338221871901</v>
      </c>
      <c r="J13" s="678">
        <f t="shared" ref="J13:J76" si="1">ATAN(G13/pole1)</f>
        <v>8.2245041107640148E-3</v>
      </c>
      <c r="K13" s="678">
        <f t="shared" ref="K13:K76" si="2">SQRT(1+(G13/Zero1)^2)</f>
        <v>1.0000000000009552</v>
      </c>
      <c r="L13" s="679">
        <f t="shared" ref="L13:L76" si="3">ATAN(G13/Zero1)</f>
        <v>1.3823007659991194E-6</v>
      </c>
      <c r="M13" s="678">
        <f t="shared" ref="M13:M76" si="4">SQRT(1+(G13/z_RHP)^2)</f>
        <v>1.0000000000142615</v>
      </c>
      <c r="N13" s="679">
        <f t="shared" ref="N13:N76" si="5">-ATAN(G13/z_RHP)</f>
        <v>-5.340707504949222E-6</v>
      </c>
      <c r="O13" s="677">
        <f t="shared" ref="O13:O76" si="6">SQRT(1+(G13/Pole2)^2)</f>
        <v>41.481078420356532</v>
      </c>
      <c r="P13" s="680">
        <f t="shared" ref="P13:P76" si="7">ATAN(G13/Pole2)</f>
        <v>1.5466866140207001</v>
      </c>
      <c r="Q13" s="678">
        <f t="shared" ref="Q13:Q76" si="8">SQRT(1+(G13/Zero2)^2)</f>
        <v>1.0000013757429473</v>
      </c>
      <c r="R13" s="679">
        <f t="shared" ref="R13:R76" si="9">ATAN(G13/Zero2)</f>
        <v>1.6587593978490416E-3</v>
      </c>
      <c r="S13" s="677">
        <f t="shared" ref="S13:S76" si="10">SQRT(1+(G13/pole4)^2)</f>
        <v>1.0000000000284244</v>
      </c>
      <c r="T13" s="680">
        <f t="shared" ref="T13:T76" si="11">ATAN(G13/pole4)</f>
        <v>7.539822359857125E-6</v>
      </c>
      <c r="U13" s="681">
        <f>IMABS(IMPRODUCT(AO13, AR13))</f>
        <v>0.99959999987991199</v>
      </c>
      <c r="V13" s="682">
        <f>IMARGUMENT(IMPRODUCT(AO13, AR13))</f>
        <v>-1.9082077656063533E-5</v>
      </c>
      <c r="W13" s="683">
        <f t="shared" ref="W13:W76" si="12">20*LOG10(((K13*Q13*M13*U13)/(I13*O13*S13))*Adc)</f>
        <v>75.598042528050797</v>
      </c>
      <c r="X13" s="684">
        <f t="shared" ref="X13:X76" si="13">((L13+R13+N13+V13)-(J13+P13+T13))*radconv</f>
        <v>-88.99655689838292</v>
      </c>
      <c r="Y13" s="685">
        <f t="shared" ref="Y13:Y76" si="14">IF(X13&gt;0,X13,X13+180)</f>
        <v>91.00344310161708</v>
      </c>
      <c r="AA13" s="170">
        <f t="shared" ref="AA13:AA76" si="15">IF(W13&lt;0,G13,1000000000)</f>
        <v>1000000000</v>
      </c>
      <c r="AB13" s="170">
        <f t="shared" ref="AB13:AB76" si="16">G13^2</f>
        <v>1</v>
      </c>
      <c r="AD13" s="686">
        <f t="shared" ref="AD13:AD76" si="17">20*LOG10((Q13/(O13*S13))*Aea)</f>
        <v>72.74846127931653</v>
      </c>
      <c r="AE13" s="687">
        <f t="shared" ref="AE13:AE76" si="18">(R13-(P13+T13))*radconv</f>
        <v>-88.524007401194396</v>
      </c>
      <c r="AG13" s="686">
        <f t="shared" ref="AG13:AG76" si="19">20*LOG10((K13*M13/(I13*U13))*Acs*Am)</f>
        <v>43.840891806048383</v>
      </c>
      <c r="AH13" s="687">
        <f t="shared" ref="AH13:AH76" si="20">(L13+N13-(J13+V13))*radconv</f>
        <v>-0.47036285215794671</v>
      </c>
      <c r="AJ13" s="170">
        <f t="shared" ref="AJ13:AJ76" si="21">SUM((W14&lt;0)*(W13&gt;0))*G13</f>
        <v>0</v>
      </c>
      <c r="AK13" s="170">
        <f t="shared" ref="AK13:AK44" si="22">IF(AJ13&gt;0,Y11,0)</f>
        <v>0</v>
      </c>
      <c r="AM13" s="170" t="str">
        <f>IMSUB(1,IMEXP(COMPLEX(0,-2*Pi*G13*Tsw)))</f>
        <v>3.71557007383672E-10+0.0000272601333378644i</v>
      </c>
      <c r="AN13" s="170" t="str">
        <f>COMPLEX(0, 2*Pi*G13*Tsw)</f>
        <v>0.0000272601333412406i</v>
      </c>
      <c r="AO13" s="170" t="str">
        <f>IMDIV(AM13, AN13)</f>
        <v>0.999999999876149-0.0000136300509881058i</v>
      </c>
      <c r="AP13" s="170" t="str">
        <f>IMDIV(IMEXP(COMPLEX(0,-2*Pi*G13*Tsw)),6)</f>
        <v>0.16666666660474-4.54335555631073E-06i</v>
      </c>
      <c r="AQ13" s="170" t="str">
        <f>IMSUB(1, AP13)</f>
        <v>0.83333333339526+4.54335555631073E-06i</v>
      </c>
      <c r="AR13" s="170" t="str">
        <f>IMDIV(0.833, AQ13)</f>
        <v>0.999599999896005-5.44984585593387E-06i</v>
      </c>
    </row>
    <row r="14" spans="1:44" ht="13">
      <c r="A14" s="333" t="s">
        <v>736</v>
      </c>
      <c r="B14" s="711">
        <f>Vout+Vfwd1</f>
        <v>16.799999999999997</v>
      </c>
      <c r="C14" s="170" t="s">
        <v>0</v>
      </c>
      <c r="D14" s="170" t="s">
        <v>763</v>
      </c>
      <c r="G14" s="688">
        <v>1.0965</v>
      </c>
      <c r="H14" s="676">
        <f t="shared" ref="H14:H77" si="23">G14/1000</f>
        <v>1.0965E-3</v>
      </c>
      <c r="I14" s="677">
        <f t="shared" si="0"/>
        <v>1.0000406646908586</v>
      </c>
      <c r="J14" s="678">
        <f t="shared" si="1"/>
        <v>9.0181276207682137E-3</v>
      </c>
      <c r="K14" s="678">
        <f t="shared" si="2"/>
        <v>1.0000000000011486</v>
      </c>
      <c r="L14" s="679">
        <f t="shared" si="3"/>
        <v>1.5156927899178391E-6</v>
      </c>
      <c r="M14" s="678">
        <f t="shared" si="4"/>
        <v>1.0000000000171467</v>
      </c>
      <c r="N14" s="679">
        <f t="shared" si="5"/>
        <v>-5.8560857791655576E-6</v>
      </c>
      <c r="O14" s="677">
        <f t="shared" si="6"/>
        <v>45.481778440065405</v>
      </c>
      <c r="P14" s="680">
        <f t="shared" si="7"/>
        <v>1.5488077278014645</v>
      </c>
      <c r="Q14" s="689">
        <f t="shared" si="8"/>
        <v>1.0000016540723682</v>
      </c>
      <c r="R14" s="690">
        <f t="shared" si="9"/>
        <v>1.8188293422526727E-3</v>
      </c>
      <c r="S14" s="677">
        <f t="shared" si="10"/>
        <v>1.0000000000341751</v>
      </c>
      <c r="T14" s="680">
        <f t="shared" si="11"/>
        <v>8.2674152175516415E-6</v>
      </c>
      <c r="U14" s="681">
        <f t="shared" ref="U14:U77" si="24">IMABS(IMPRODUCT(AO14, AR14))</f>
        <v>0.99959999985561609</v>
      </c>
      <c r="V14" s="682">
        <f t="shared" ref="V14:V77" si="25">IMARGUMENT(IMPRODUCT(AO14, AR14))</f>
        <v>-2.0923513083675775E-5</v>
      </c>
      <c r="W14" s="683">
        <f t="shared" si="12"/>
        <v>74.798237521559386</v>
      </c>
      <c r="X14" s="684">
        <f t="shared" si="13"/>
        <v>-89.154556792150828</v>
      </c>
      <c r="Y14" s="687">
        <f t="shared" si="14"/>
        <v>90.845443207849172</v>
      </c>
      <c r="AA14" s="170">
        <f t="shared" si="15"/>
        <v>1000000000</v>
      </c>
      <c r="AB14" s="170">
        <f t="shared" si="16"/>
        <v>1.2023122500000001</v>
      </c>
      <c r="AD14" s="686">
        <f t="shared" si="17"/>
        <v>71.948715704027791</v>
      </c>
      <c r="AE14" s="687">
        <f t="shared" si="18"/>
        <v>-88.636408624586394</v>
      </c>
      <c r="AG14" s="686">
        <f t="shared" si="19"/>
        <v>43.840832375267944</v>
      </c>
      <c r="AH14" s="687">
        <f t="shared" si="20"/>
        <v>-0.51575050957713475</v>
      </c>
      <c r="AJ14" s="170">
        <f t="shared" si="21"/>
        <v>0</v>
      </c>
      <c r="AK14" s="170">
        <f t="shared" si="22"/>
        <v>0</v>
      </c>
      <c r="AM14" s="170" t="str">
        <f t="shared" ref="AM14:AM77" si="26">IMSUB(1,IMEXP(COMPLEX(0,-2*Pi*G14*Tsw)))</f>
        <v>4.46727987934992E-10+0.0000298907362042193i</v>
      </c>
      <c r="AN14" s="170" t="str">
        <f t="shared" ref="AN14:AN77" si="27">COMPLEX(0, 2*Pi*G14*Tsw)</f>
        <v>0.0000298907362086703i</v>
      </c>
      <c r="AO14" s="170" t="str">
        <f t="shared" ref="AO14:AO77" si="28">IMDIV(AM14, AN14)</f>
        <v>0.999999999851091-0.0000149453658423245i</v>
      </c>
      <c r="AP14" s="170" t="str">
        <f t="shared" ref="AP14:AP77" si="29">IMDIV(IMEXP(COMPLEX(0,-2*Pi*G14*Tsw)),6)</f>
        <v>0.166666666592212-4.98178936736988E-06i</v>
      </c>
      <c r="AQ14" s="170" t="str">
        <f t="shared" ref="AQ14:AQ77" si="30">IMSUB(1, AP14)</f>
        <v>0.833333333407788+4.98178936736988E-06i</v>
      </c>
      <c r="AR14" s="170" t="str">
        <f t="shared" ref="AR14:AR77" si="31">IMDIV(0.833, AQ14)</f>
        <v>0.999599999874966-5.97575598066614E-06i</v>
      </c>
    </row>
    <row r="15" spans="1:44" ht="13">
      <c r="A15" s="333" t="s">
        <v>735</v>
      </c>
      <c r="B15" s="711">
        <f>'Design Converter'!E11+IF(MODE=2,ABS('Design Converter'!E13*'Design Converter'!L14),0)</f>
        <v>1</v>
      </c>
      <c r="C15" s="170" t="s">
        <v>1</v>
      </c>
      <c r="G15" s="688">
        <v>1.2022999999999999</v>
      </c>
      <c r="H15" s="676">
        <f t="shared" si="23"/>
        <v>1.2022999999999999E-3</v>
      </c>
      <c r="I15" s="677">
        <f>SQRT(1+(G15/pole1)^2)</f>
        <v>1.0000488904586053</v>
      </c>
      <c r="J15" s="678">
        <f t="shared" si="1"/>
        <v>9.8882219626102285E-3</v>
      </c>
      <c r="K15" s="678">
        <f t="shared" si="2"/>
        <v>1.0000000000013811</v>
      </c>
      <c r="L15" s="679">
        <f t="shared" si="3"/>
        <v>1.6619402109602695E-6</v>
      </c>
      <c r="M15" s="678">
        <f t="shared" si="4"/>
        <v>1.0000000000206155</v>
      </c>
      <c r="N15" s="679">
        <f t="shared" si="5"/>
        <v>-6.4211326331732499E-6</v>
      </c>
      <c r="O15" s="677">
        <f t="shared" si="6"/>
        <v>49.868233759885435</v>
      </c>
      <c r="P15" s="680">
        <f t="shared" si="7"/>
        <v>1.5507421368594212</v>
      </c>
      <c r="Q15" s="689">
        <f t="shared" si="8"/>
        <v>1.0000019886706133</v>
      </c>
      <c r="R15" s="690">
        <f t="shared" si="9"/>
        <v>1.9943256091165141E-3</v>
      </c>
      <c r="S15" s="677">
        <f t="shared" si="10"/>
        <v>1.0000000000410882</v>
      </c>
      <c r="T15" s="680">
        <f t="shared" si="11"/>
        <v>9.0651284231796871E-6</v>
      </c>
      <c r="U15" s="681">
        <f t="shared" si="24"/>
        <v>0.99959999982640979</v>
      </c>
      <c r="V15" s="682">
        <f t="shared" si="25"/>
        <v>-2.294241197240317E-5</v>
      </c>
      <c r="W15" s="683">
        <f t="shared" si="12"/>
        <v>73.99843801570907</v>
      </c>
      <c r="X15" s="684">
        <f t="shared" si="13"/>
        <v>-89.305373180775646</v>
      </c>
      <c r="Y15" s="687">
        <f t="shared" si="14"/>
        <v>90.694626819224354</v>
      </c>
      <c r="AA15" s="170">
        <f t="shared" si="15"/>
        <v>1000000000</v>
      </c>
      <c r="AB15" s="170">
        <f t="shared" si="16"/>
        <v>1.4455252899999997</v>
      </c>
      <c r="AD15" s="686">
        <f t="shared" si="17"/>
        <v>71.148987643310818</v>
      </c>
      <c r="AE15" s="687">
        <f t="shared" si="18"/>
        <v>-88.737232609762756</v>
      </c>
      <c r="AG15" s="686">
        <f t="shared" si="19"/>
        <v>43.840760930642162</v>
      </c>
      <c r="AH15" s="687">
        <f t="shared" si="20"/>
        <v>-0.56551156425413929</v>
      </c>
      <c r="AJ15" s="170">
        <f t="shared" si="21"/>
        <v>0</v>
      </c>
      <c r="AK15" s="170">
        <f t="shared" si="22"/>
        <v>0</v>
      </c>
      <c r="AM15" s="170" t="str">
        <f t="shared" si="26"/>
        <v>5.37096034314288E-10+0.0000327748583103059i</v>
      </c>
      <c r="AN15" s="170" t="str">
        <f t="shared" si="27"/>
        <v>0.0000327748583161736i</v>
      </c>
      <c r="AO15" s="170" t="str">
        <f t="shared" si="28"/>
        <v>0.999999999820969-0.0000163874403096731i</v>
      </c>
      <c r="AP15" s="170" t="str">
        <f t="shared" si="29"/>
        <v>0.166666666577151-5.46247638505098E-06i</v>
      </c>
      <c r="AQ15" s="170" t="str">
        <f t="shared" si="30"/>
        <v>0.833333333422849+5.46247638505098E-06i</v>
      </c>
      <c r="AR15" s="170" t="str">
        <f t="shared" si="31"/>
        <v>0.999599999849674-6.55234967170712E-06i</v>
      </c>
    </row>
    <row r="16" spans="1:44" ht="13">
      <c r="A16" s="333" t="s">
        <v>3</v>
      </c>
      <c r="B16" s="711">
        <f>VIN_nom</f>
        <v>24</v>
      </c>
      <c r="C16" s="170" t="s">
        <v>0</v>
      </c>
      <c r="G16" s="688">
        <v>1.3183</v>
      </c>
      <c r="H16" s="676">
        <f t="shared" si="23"/>
        <v>1.3183000000000001E-3</v>
      </c>
      <c r="I16" s="677">
        <f t="shared" si="0"/>
        <v>1.0000587793492595</v>
      </c>
      <c r="J16" s="678">
        <f t="shared" si="1"/>
        <v>1.0842183380425877E-2</v>
      </c>
      <c r="K16" s="678">
        <f t="shared" si="2"/>
        <v>1.0000000000016604</v>
      </c>
      <c r="L16" s="679">
        <f t="shared" si="3"/>
        <v>1.8222870998157825E-6</v>
      </c>
      <c r="M16" s="678">
        <f t="shared" si="4"/>
        <v>1.0000000000247855</v>
      </c>
      <c r="N16" s="679">
        <f t="shared" si="5"/>
        <v>-7.0406547037251634E-6</v>
      </c>
      <c r="O16" s="677">
        <f t="shared" si="6"/>
        <v>54.677758245434056</v>
      </c>
      <c r="P16" s="680">
        <f t="shared" si="7"/>
        <v>1.5525063348816508</v>
      </c>
      <c r="Q16" s="689">
        <f t="shared" si="8"/>
        <v>1.0000023909229392</v>
      </c>
      <c r="R16" s="690">
        <f t="shared" si="9"/>
        <v>2.1867410342287712E-3</v>
      </c>
      <c r="S16" s="677">
        <f t="shared" si="10"/>
        <v>1.0000000000493992</v>
      </c>
      <c r="T16" s="680">
        <f t="shared" si="11"/>
        <v>9.9397478168606589E-6</v>
      </c>
      <c r="U16" s="681">
        <f t="shared" si="24"/>
        <v>0.99959999979129444</v>
      </c>
      <c r="V16" s="682">
        <f t="shared" si="25"/>
        <v>-2.5155918706610555E-5</v>
      </c>
      <c r="W16" s="683">
        <f t="shared" si="12"/>
        <v>73.198621342781948</v>
      </c>
      <c r="X16" s="684">
        <f t="shared" si="13"/>
        <v>-89.450290898521018</v>
      </c>
      <c r="Y16" s="687">
        <f t="shared" si="14"/>
        <v>90.549709101478982</v>
      </c>
      <c r="AA16" s="170">
        <f t="shared" si="15"/>
        <v>1000000000</v>
      </c>
      <c r="AB16" s="170">
        <f t="shared" si="16"/>
        <v>1.7379148900000001</v>
      </c>
      <c r="AD16" s="686">
        <f t="shared" si="17"/>
        <v>70.349256859839201</v>
      </c>
      <c r="AE16" s="687">
        <f t="shared" si="18"/>
        <v>-88.827339230992592</v>
      </c>
      <c r="AG16" s="686">
        <f t="shared" si="19"/>
        <v>43.840675041796906</v>
      </c>
      <c r="AH16" s="687">
        <f t="shared" si="20"/>
        <v>-0.62006901158180749</v>
      </c>
      <c r="AJ16" s="170">
        <f t="shared" si="21"/>
        <v>0</v>
      </c>
      <c r="AK16" s="170">
        <f t="shared" si="22"/>
        <v>0</v>
      </c>
      <c r="AM16" s="170" t="str">
        <f t="shared" si="26"/>
        <v>6.45735021009841E-10+0.0000359370337760222i</v>
      </c>
      <c r="AN16" s="170" t="str">
        <f t="shared" si="27"/>
        <v>0.0000359370337837575i</v>
      </c>
      <c r="AO16" s="170" t="str">
        <f t="shared" si="28"/>
        <v>0.999999999784754-0.0000179685119505243i</v>
      </c>
      <c r="AP16" s="170" t="str">
        <f t="shared" si="29"/>
        <v>0.166666666559044-5.98950562933703E-06i</v>
      </c>
      <c r="AQ16" s="170" t="str">
        <f t="shared" si="30"/>
        <v>0.833333333440956+5.98950562933703E-06i</v>
      </c>
      <c r="AR16" s="170" t="str">
        <f t="shared" si="31"/>
        <v>0.999599999819266-7.18453179027549E-06i</v>
      </c>
    </row>
    <row r="17" spans="1:44">
      <c r="G17" s="688">
        <v>1.4454</v>
      </c>
      <c r="H17" s="676">
        <f t="shared" si="23"/>
        <v>1.4454000000000001E-3</v>
      </c>
      <c r="I17" s="677">
        <f t="shared" si="0"/>
        <v>1.0000706593748432</v>
      </c>
      <c r="J17" s="678">
        <f t="shared" si="1"/>
        <v>1.1887406316885842E-2</v>
      </c>
      <c r="K17" s="678">
        <f t="shared" si="2"/>
        <v>1.000000000001996</v>
      </c>
      <c r="L17" s="679">
        <f t="shared" si="3"/>
        <v>1.9979775271737414E-6</v>
      </c>
      <c r="M17" s="678">
        <f t="shared" si="4"/>
        <v>1.0000000000297951</v>
      </c>
      <c r="N17" s="679">
        <f t="shared" si="5"/>
        <v>-7.7194586275736644E-6</v>
      </c>
      <c r="O17" s="677">
        <f t="shared" si="6"/>
        <v>59.947667003743611</v>
      </c>
      <c r="P17" s="680">
        <f t="shared" si="7"/>
        <v>1.5541143367700194</v>
      </c>
      <c r="Q17" s="689">
        <f t="shared" si="8"/>
        <v>1.0000028741740929</v>
      </c>
      <c r="R17" s="690">
        <f t="shared" si="9"/>
        <v>2.3975684385927256E-3</v>
      </c>
      <c r="S17" s="677">
        <f t="shared" si="10"/>
        <v>1.0000000000593838</v>
      </c>
      <c r="T17" s="680">
        <f t="shared" si="11"/>
        <v>1.0898059238712556E-5</v>
      </c>
      <c r="U17" s="681">
        <f t="shared" si="24"/>
        <v>0.99959999974911273</v>
      </c>
      <c r="V17" s="682">
        <f t="shared" si="25"/>
        <v>-2.7581261761020156E-5</v>
      </c>
      <c r="W17" s="683">
        <f t="shared" si="12"/>
        <v>72.399290642344099</v>
      </c>
      <c r="X17" s="684">
        <f t="shared" si="13"/>
        <v>-89.590452658168232</v>
      </c>
      <c r="Y17" s="687">
        <f t="shared" si="14"/>
        <v>90.409547341831768</v>
      </c>
      <c r="AA17" s="170">
        <f t="shared" si="15"/>
        <v>1000000000</v>
      </c>
      <c r="AB17" s="170">
        <f t="shared" si="16"/>
        <v>2.0891811599999999</v>
      </c>
      <c r="AD17" s="686">
        <f t="shared" si="17"/>
        <v>69.550029341634712</v>
      </c>
      <c r="AE17" s="687">
        <f t="shared" si="18"/>
        <v>-88.907446339460904</v>
      </c>
      <c r="AG17" s="686">
        <f t="shared" si="19"/>
        <v>43.84057186029662</v>
      </c>
      <c r="AH17" s="687">
        <f t="shared" si="20"/>
        <v>-0.67984573891861488</v>
      </c>
      <c r="AJ17" s="170">
        <f t="shared" si="21"/>
        <v>0</v>
      </c>
      <c r="AK17" s="170">
        <f t="shared" si="22"/>
        <v>0</v>
      </c>
      <c r="AM17" s="170" t="str">
        <f t="shared" si="26"/>
        <v>7.76250952405633E-10+0.000039401796721234i</v>
      </c>
      <c r="AN17" s="170" t="str">
        <f t="shared" si="27"/>
        <v>0.0000394017967314292i</v>
      </c>
      <c r="AO17" s="170" t="str">
        <f t="shared" si="28"/>
        <v>0.99999999974125-0.0000197009024156111i</v>
      </c>
      <c r="AP17" s="170" t="str">
        <f t="shared" si="29"/>
        <v>0.166666666537292-6.56696612020567E-06i</v>
      </c>
      <c r="AQ17" s="170" t="str">
        <f t="shared" si="30"/>
        <v>0.833333333462708+6.56696612020567E-06i</v>
      </c>
      <c r="AR17" s="170" t="str">
        <f t="shared" si="31"/>
        <v>0.999599999782737-7.87720719757406E-06i</v>
      </c>
    </row>
    <row r="18" spans="1:44">
      <c r="A18" s="170" t="s">
        <v>742</v>
      </c>
      <c r="B18" s="715">
        <f>Vout_eff*Npri_sec/Vin_eff</f>
        <v>0.69999999999999984</v>
      </c>
      <c r="C18" s="170" t="s">
        <v>686</v>
      </c>
      <c r="G18" s="688">
        <v>1.5849</v>
      </c>
      <c r="H18" s="676">
        <f t="shared" si="23"/>
        <v>1.5849E-3</v>
      </c>
      <c r="I18" s="677">
        <f t="shared" si="0"/>
        <v>1.0000849560508895</v>
      </c>
      <c r="J18" s="678">
        <f t="shared" si="1"/>
        <v>1.303457223823427E-2</v>
      </c>
      <c r="K18" s="678">
        <f t="shared" si="2"/>
        <v>1.0000000000023999</v>
      </c>
      <c r="L18" s="679">
        <f t="shared" si="3"/>
        <v>2.1908084840298945E-6</v>
      </c>
      <c r="M18" s="678">
        <f t="shared" si="4"/>
        <v>1.0000000000358238</v>
      </c>
      <c r="N18" s="679">
        <f t="shared" si="5"/>
        <v>-8.4644873244723464E-6</v>
      </c>
      <c r="O18" s="677">
        <f t="shared" si="6"/>
        <v>65.731861622362814</v>
      </c>
      <c r="P18" s="680">
        <f t="shared" si="7"/>
        <v>1.5555824175348851</v>
      </c>
      <c r="Q18" s="689">
        <f t="shared" si="8"/>
        <v>1.0000034557361348</v>
      </c>
      <c r="R18" s="690">
        <f t="shared" si="9"/>
        <v>2.6289641241698971E-3</v>
      </c>
      <c r="S18" s="677">
        <f t="shared" si="10"/>
        <v>1.0000000000713998</v>
      </c>
      <c r="T18" s="680">
        <f t="shared" si="11"/>
        <v>1.1949864457795191E-5</v>
      </c>
      <c r="U18" s="681">
        <f t="shared" si="24"/>
        <v>0.99959999969834779</v>
      </c>
      <c r="V18" s="682">
        <f t="shared" si="25"/>
        <v>-3.0243206990694697E-5</v>
      </c>
      <c r="W18" s="683">
        <f t="shared" si="12"/>
        <v>71.599098601995408</v>
      </c>
      <c r="X18" s="684">
        <f t="shared" si="13"/>
        <v>-89.727281680475954</v>
      </c>
      <c r="Y18" s="687">
        <f t="shared" si="14"/>
        <v>90.272718319524046</v>
      </c>
      <c r="AA18" s="170">
        <f t="shared" si="15"/>
        <v>1000000000</v>
      </c>
      <c r="AB18" s="170">
        <f t="shared" si="16"/>
        <v>2.51190801</v>
      </c>
      <c r="AD18" s="686">
        <f t="shared" si="17"/>
        <v>68.749961471360237</v>
      </c>
      <c r="AE18" s="687">
        <f t="shared" si="18"/>
        <v>-88.978363439171886</v>
      </c>
      <c r="AG18" s="686">
        <f t="shared" si="19"/>
        <v>43.840447691104636</v>
      </c>
      <c r="AH18" s="687">
        <f t="shared" si="20"/>
        <v>-0.745452625061089</v>
      </c>
      <c r="AJ18" s="170">
        <f t="shared" si="21"/>
        <v>0</v>
      </c>
      <c r="AK18" s="170">
        <f t="shared" si="22"/>
        <v>0</v>
      </c>
      <c r="AM18" s="170" t="str">
        <f t="shared" si="26"/>
        <v>9.33317978457637E-10+0.0000432045853190911i</v>
      </c>
      <c r="AN18" s="170" t="str">
        <f t="shared" si="27"/>
        <v>0.0000432045853325323i</v>
      </c>
      <c r="AO18" s="170" t="str">
        <f t="shared" si="28"/>
        <v>0.999999999688894-0.0000216022899253442i</v>
      </c>
      <c r="AP18" s="170" t="str">
        <f t="shared" si="29"/>
        <v>0.166666666511114-7.20076421984852E-06i</v>
      </c>
      <c r="AQ18" s="170" t="str">
        <f t="shared" si="30"/>
        <v>0.833333333488886+7.20076421984852E-06i</v>
      </c>
      <c r="AR18" s="170" t="str">
        <f t="shared" si="31"/>
        <v>0.999599999738776-8.63746069312318E-06i</v>
      </c>
    </row>
    <row r="19" spans="1:44">
      <c r="A19" s="170" t="s">
        <v>759</v>
      </c>
      <c r="B19" s="170">
        <f>1/'Calculations - Single'!AQ105/1000*0+1/CHOOSE(MODE, 'Calculations - Single'!AQ105,'Calculations - Dual'!AP105)/1000</f>
        <v>4.3385849755601857E-6</v>
      </c>
      <c r="C19" s="170" t="s">
        <v>51</v>
      </c>
      <c r="G19" s="688">
        <v>1.7378</v>
      </c>
      <c r="H19" s="676">
        <f t="shared" si="23"/>
        <v>1.7378000000000001E-3</v>
      </c>
      <c r="I19" s="677">
        <f t="shared" si="0"/>
        <v>1.000102137786228</v>
      </c>
      <c r="J19" s="678">
        <f t="shared" si="1"/>
        <v>1.4291892355186575E-2</v>
      </c>
      <c r="K19" s="678">
        <f t="shared" si="2"/>
        <v>1.0000000000028852</v>
      </c>
      <c r="L19" s="679">
        <f t="shared" si="3"/>
        <v>2.402162271150179E-6</v>
      </c>
      <c r="M19" s="678">
        <f t="shared" si="4"/>
        <v>1.0000000000430691</v>
      </c>
      <c r="N19" s="679">
        <f t="shared" si="5"/>
        <v>-9.2810815019225134E-6</v>
      </c>
      <c r="O19" s="677">
        <f t="shared" si="6"/>
        <v>72.071805994186306</v>
      </c>
      <c r="P19" s="680">
        <f t="shared" si="7"/>
        <v>1.5569208303346704</v>
      </c>
      <c r="Q19" s="689">
        <f t="shared" si="8"/>
        <v>1.0000041546675449</v>
      </c>
      <c r="R19" s="690">
        <f t="shared" si="9"/>
        <v>2.88258674126048E-3</v>
      </c>
      <c r="S19" s="677">
        <f t="shared" si="10"/>
        <v>1.0000000000858404</v>
      </c>
      <c r="T19" s="680">
        <f t="shared" si="11"/>
        <v>1.3102703296458176E-5</v>
      </c>
      <c r="U19" s="681">
        <f t="shared" si="24"/>
        <v>0.99959999963733814</v>
      </c>
      <c r="V19" s="682">
        <f t="shared" si="25"/>
        <v>-3.316085202483619E-5</v>
      </c>
      <c r="W19" s="683">
        <f t="shared" si="12"/>
        <v>70.799165996491269</v>
      </c>
      <c r="X19" s="684">
        <f t="shared" si="13"/>
        <v>-89.861742615219924</v>
      </c>
      <c r="Y19" s="687">
        <f t="shared" si="14"/>
        <v>90.138257384780076</v>
      </c>
      <c r="AA19" s="170">
        <f t="shared" si="15"/>
        <v>1000000000</v>
      </c>
      <c r="AB19" s="170">
        <f t="shared" si="16"/>
        <v>3.0199488400000001</v>
      </c>
      <c r="AD19" s="686">
        <f t="shared" si="17"/>
        <v>67.950178091016525</v>
      </c>
      <c r="AE19" s="687">
        <f t="shared" si="18"/>
        <v>-89.040583391168525</v>
      </c>
      <c r="AG19" s="686">
        <f t="shared" si="19"/>
        <v>43.840298467004487</v>
      </c>
      <c r="AH19" s="687">
        <f t="shared" si="20"/>
        <v>-0.81735927031489963</v>
      </c>
      <c r="AJ19" s="170">
        <f t="shared" si="21"/>
        <v>0</v>
      </c>
      <c r="AK19" s="170">
        <f t="shared" si="22"/>
        <v>0</v>
      </c>
      <c r="AM19" s="170" t="str">
        <f t="shared" si="26"/>
        <v>1.12208398128644E-09+0.0000473726597026893i</v>
      </c>
      <c r="AN19" s="170" t="str">
        <f t="shared" si="27"/>
        <v>0.000047372659720408i</v>
      </c>
      <c r="AO19" s="170" t="str">
        <f t="shared" si="28"/>
        <v>0.999999999625972-0.0000236863200822784i</v>
      </c>
      <c r="AP19" s="170" t="str">
        <f t="shared" si="29"/>
        <v>0.166666666479653-7.89544328378155E-06i</v>
      </c>
      <c r="AQ19" s="170" t="str">
        <f t="shared" si="30"/>
        <v>0.833333333520347+7.89544328378155E-06i</v>
      </c>
      <c r="AR19" s="170" t="str">
        <f t="shared" si="31"/>
        <v>0.999599999685942-9.47074212266071E-06i</v>
      </c>
    </row>
    <row r="20" spans="1:44">
      <c r="G20" s="688">
        <v>1.9055</v>
      </c>
      <c r="H20" s="676">
        <f t="shared" si="23"/>
        <v>1.9055000000000001E-3</v>
      </c>
      <c r="I20" s="677">
        <f t="shared" si="0"/>
        <v>1.0001228005393872</v>
      </c>
      <c r="J20" s="678">
        <f t="shared" si="1"/>
        <v>1.5670863030493122E-2</v>
      </c>
      <c r="K20" s="678">
        <f t="shared" si="2"/>
        <v>1.0000000000034688</v>
      </c>
      <c r="L20" s="679">
        <f t="shared" si="3"/>
        <v>2.6339741096069081E-6</v>
      </c>
      <c r="M20" s="678">
        <f t="shared" si="4"/>
        <v>1.0000000000517828</v>
      </c>
      <c r="N20" s="679">
        <f t="shared" si="5"/>
        <v>-1.017671815042618E-5</v>
      </c>
      <c r="O20" s="677">
        <f t="shared" si="6"/>
        <v>79.02555060928357</v>
      </c>
      <c r="P20" s="680">
        <f t="shared" si="7"/>
        <v>1.5581418538798804</v>
      </c>
      <c r="Q20" s="689">
        <f t="shared" si="8"/>
        <v>1.0000049952176433</v>
      </c>
      <c r="R20" s="690">
        <f t="shared" si="9"/>
        <v>3.1607584057532501E-3</v>
      </c>
      <c r="S20" s="677">
        <f t="shared" si="10"/>
        <v>1.0000000001032072</v>
      </c>
      <c r="T20" s="680">
        <f t="shared" si="11"/>
        <v>1.4367131505991475E-5</v>
      </c>
      <c r="U20" s="681">
        <f t="shared" si="24"/>
        <v>0.99959999956396606</v>
      </c>
      <c r="V20" s="682">
        <f t="shared" si="25"/>
        <v>-3.6360927406230117E-5</v>
      </c>
      <c r="W20" s="683">
        <f t="shared" si="12"/>
        <v>69.998951330435006</v>
      </c>
      <c r="X20" s="684">
        <f t="shared" si="13"/>
        <v>-89.995067080184057</v>
      </c>
      <c r="Y20" s="687">
        <f t="shared" si="14"/>
        <v>90.004932919815943</v>
      </c>
      <c r="AA20" s="170">
        <f t="shared" si="15"/>
        <v>1000000000</v>
      </c>
      <c r="AB20" s="170">
        <f t="shared" si="16"/>
        <v>3.63093025</v>
      </c>
      <c r="AD20" s="686">
        <f t="shared" si="17"/>
        <v>67.150142879727568</v>
      </c>
      <c r="AE20" s="687">
        <f t="shared" si="18"/>
        <v>-89.094677271101318</v>
      </c>
      <c r="AG20" s="686">
        <f t="shared" si="19"/>
        <v>43.8401190135123</v>
      </c>
      <c r="AH20" s="687">
        <f t="shared" si="20"/>
        <v>-0.89622315371885886</v>
      </c>
      <c r="AJ20" s="170">
        <f t="shared" si="21"/>
        <v>0</v>
      </c>
      <c r="AK20" s="170">
        <f t="shared" si="22"/>
        <v>0</v>
      </c>
      <c r="AM20" s="170" t="str">
        <f t="shared" si="26"/>
        <v>1.34909905469272E-09+0.0000519441840583747i</v>
      </c>
      <c r="AN20" s="170" t="str">
        <f t="shared" si="27"/>
        <v>0.000051944184081734i</v>
      </c>
      <c r="AO20" s="170" t="str">
        <f t="shared" si="28"/>
        <v>0.9999999995503-0.0000259720905918922i</v>
      </c>
      <c r="AP20" s="170" t="str">
        <f t="shared" si="29"/>
        <v>0.166666666441817-8.65736400972912E-06i</v>
      </c>
      <c r="AQ20" s="170" t="str">
        <f t="shared" si="30"/>
        <v>0.833333333558183+8.65736400972912E-06i</v>
      </c>
      <c r="AR20" s="170" t="str">
        <f t="shared" si="31"/>
        <v>0.999599999622404-0.0000103846812702255i</v>
      </c>
    </row>
    <row r="21" spans="1:44" ht="13">
      <c r="A21" s="333" t="s">
        <v>738</v>
      </c>
      <c r="B21" s="718">
        <f>Vout_eff/Iout_eff</f>
        <v>16.799999999999997</v>
      </c>
      <c r="C21" s="706" t="s">
        <v>45</v>
      </c>
      <c r="D21" s="706"/>
      <c r="E21" s="706"/>
      <c r="G21" s="688">
        <v>2.0893000000000002</v>
      </c>
      <c r="H21" s="676">
        <f t="shared" si="23"/>
        <v>2.0893000000000001E-3</v>
      </c>
      <c r="I21" s="677">
        <f t="shared" si="0"/>
        <v>1.0001476313479605</v>
      </c>
      <c r="J21" s="678">
        <f t="shared" si="1"/>
        <v>1.7182152818302619E-2</v>
      </c>
      <c r="K21" s="678">
        <f t="shared" si="2"/>
        <v>1.0000000000041704</v>
      </c>
      <c r="L21" s="679">
        <f t="shared" si="3"/>
        <v>2.8880409903957706E-6</v>
      </c>
      <c r="M21" s="678">
        <f t="shared" si="4"/>
        <v>1.0000000000622542</v>
      </c>
      <c r="N21" s="679">
        <f t="shared" si="5"/>
        <v>-1.1158340189733397E-5</v>
      </c>
      <c r="O21" s="677">
        <f t="shared" si="6"/>
        <v>86.64700044448918</v>
      </c>
      <c r="P21" s="680">
        <f t="shared" si="7"/>
        <v>1.5592549901574646</v>
      </c>
      <c r="Q21" s="689">
        <f t="shared" si="8"/>
        <v>1.0000060053441167</v>
      </c>
      <c r="R21" s="690">
        <f t="shared" si="9"/>
        <v>3.4656353135989102E-3</v>
      </c>
      <c r="S21" s="677">
        <f t="shared" si="10"/>
        <v>1.0000000001240776</v>
      </c>
      <c r="T21" s="680">
        <f t="shared" si="11"/>
        <v>1.5752950855444943E-5</v>
      </c>
      <c r="U21" s="681">
        <f t="shared" si="24"/>
        <v>0.99959999947579048</v>
      </c>
      <c r="V21" s="682">
        <f t="shared" si="25"/>
        <v>-3.986821782014192E-5</v>
      </c>
      <c r="W21" s="683">
        <f t="shared" si="12"/>
        <v>69.199024407014079</v>
      </c>
      <c r="X21" s="684">
        <f t="shared" si="13"/>
        <v>-90.12828949781499</v>
      </c>
      <c r="Y21" s="687">
        <f t="shared" si="14"/>
        <v>89.87171050218501</v>
      </c>
      <c r="AA21" s="170">
        <f t="shared" si="15"/>
        <v>1000000000</v>
      </c>
      <c r="AB21" s="170">
        <f t="shared" si="16"/>
        <v>4.3651744900000002</v>
      </c>
      <c r="AD21" s="686">
        <f t="shared" si="17"/>
        <v>66.350431605479557</v>
      </c>
      <c r="AE21" s="687">
        <f t="shared" si="18"/>
        <v>-89.141066523392141</v>
      </c>
      <c r="AG21" s="686">
        <f t="shared" si="19"/>
        <v>43.839903365871749</v>
      </c>
      <c r="AH21" s="687">
        <f t="shared" si="20"/>
        <v>-0.98265441318202917</v>
      </c>
      <c r="AJ21" s="170">
        <f t="shared" si="21"/>
        <v>0</v>
      </c>
      <c r="AK21" s="170">
        <f t="shared" si="22"/>
        <v>0</v>
      </c>
      <c r="AM21" s="170" t="str">
        <f t="shared" si="26"/>
        <v>1.62191304831083E-09+0.0000569545965590622i</v>
      </c>
      <c r="AN21" s="170" t="str">
        <f t="shared" si="27"/>
        <v>0.000056954596589854i</v>
      </c>
      <c r="AO21" s="170" t="str">
        <f t="shared" si="28"/>
        <v>0.999999999459362-0.0000284772985048192i</v>
      </c>
      <c r="AP21" s="170" t="str">
        <f t="shared" si="29"/>
        <v>0.166666666396348-0.0000094924327598437i</v>
      </c>
      <c r="AQ21" s="170" t="str">
        <f t="shared" si="30"/>
        <v>0.833333333603652+0.0000094924327598437i</v>
      </c>
      <c r="AR21" s="170" t="str">
        <f t="shared" si="31"/>
        <v>0.999599999546046-0.0000113863629352232i</v>
      </c>
    </row>
    <row r="22" spans="1:44">
      <c r="A22" s="170" t="s">
        <v>737</v>
      </c>
      <c r="B22" s="718">
        <f>Rload_sec*(Npri_sec^2)</f>
        <v>16.799999999999997</v>
      </c>
      <c r="C22" s="706" t="s">
        <v>45</v>
      </c>
      <c r="D22" s="706"/>
      <c r="E22" s="706"/>
      <c r="G22" s="688">
        <v>2.2909000000000002</v>
      </c>
      <c r="H22" s="676">
        <f t="shared" si="23"/>
        <v>2.2909000000000002E-3</v>
      </c>
      <c r="I22" s="677">
        <f t="shared" si="0"/>
        <v>1.0001774936241288</v>
      </c>
      <c r="J22" s="678">
        <f t="shared" si="1"/>
        <v>1.8839712035078181E-2</v>
      </c>
      <c r="K22" s="678">
        <f t="shared" si="2"/>
        <v>1.000000000005014</v>
      </c>
      <c r="L22" s="679">
        <f t="shared" si="3"/>
        <v>3.1667128248188145E-6</v>
      </c>
      <c r="M22" s="678">
        <f t="shared" si="4"/>
        <v>1.0000000000748479</v>
      </c>
      <c r="N22" s="679">
        <f t="shared" si="5"/>
        <v>-1.223502682259399E-5</v>
      </c>
      <c r="O22" s="677">
        <f t="shared" si="6"/>
        <v>95.006647680281318</v>
      </c>
      <c r="P22" s="680">
        <f>ATAN(G22/Pole2)</f>
        <v>1.5602705531782721</v>
      </c>
      <c r="Q22" s="689">
        <f t="shared" si="8"/>
        <v>1.0000072201844172</v>
      </c>
      <c r="R22" s="690">
        <f t="shared" si="9"/>
        <v>3.8000370984872535E-3</v>
      </c>
      <c r="S22" s="677">
        <f t="shared" si="10"/>
        <v>1.000000000149178</v>
      </c>
      <c r="T22" s="680">
        <f t="shared" si="11"/>
        <v>1.7272979042806173E-5</v>
      </c>
      <c r="U22" s="681">
        <f t="shared" si="24"/>
        <v>0.99959999936974742</v>
      </c>
      <c r="V22" s="682">
        <f t="shared" si="25"/>
        <v>-4.3715164944585338E-5</v>
      </c>
      <c r="W22" s="683">
        <f t="shared" si="12"/>
        <v>68.398766392028108</v>
      </c>
      <c r="X22" s="684">
        <f t="shared" si="13"/>
        <v>-90.262641537282903</v>
      </c>
      <c r="Y22" s="687">
        <f t="shared" si="14"/>
        <v>89.737358462717097</v>
      </c>
      <c r="AA22" s="170">
        <f t="shared" si="15"/>
        <v>1000000000</v>
      </c>
      <c r="AB22" s="170">
        <f t="shared" si="16"/>
        <v>5.2482228100000006</v>
      </c>
      <c r="AD22" s="686">
        <f t="shared" si="17"/>
        <v>65.550432929574811</v>
      </c>
      <c r="AE22" s="687">
        <f t="shared" si="18"/>
        <v>-89.180181278622797</v>
      </c>
      <c r="AG22" s="686">
        <f t="shared" si="19"/>
        <v>43.839644028633423</v>
      </c>
      <c r="AH22" s="687">
        <f t="shared" si="20"/>
        <v>-1.0774508697502989</v>
      </c>
      <c r="AJ22" s="170">
        <f t="shared" si="21"/>
        <v>0</v>
      </c>
      <c r="AK22" s="170">
        <f t="shared" si="22"/>
        <v>0</v>
      </c>
      <c r="AM22" s="170" t="str">
        <f t="shared" si="26"/>
        <v>1.95001603753298E-09+0.0000624502394308551i</v>
      </c>
      <c r="AN22" s="170" t="str">
        <f t="shared" si="27"/>
        <v>0.0000624502394714481i</v>
      </c>
      <c r="AO22" s="170" t="str">
        <f t="shared" si="28"/>
        <v>0.999999999349995-0.0000312251170537867i</v>
      </c>
      <c r="AP22" s="170" t="str">
        <f t="shared" si="29"/>
        <v>0.166666666341664-0.0000104083732384759i</v>
      </c>
      <c r="AQ22" s="170" t="str">
        <f t="shared" si="30"/>
        <v>0.833333333658336+0.0000104083732384759i</v>
      </c>
      <c r="AR22" s="170" t="str">
        <f t="shared" si="31"/>
        <v>0.999599999454214-0.0000124850518553305i</v>
      </c>
    </row>
    <row r="23" spans="1:44">
      <c r="B23" s="633"/>
      <c r="G23" s="688">
        <v>2.5118999999999998</v>
      </c>
      <c r="H23" s="676">
        <f t="shared" si="23"/>
        <v>2.5118999999999996E-3</v>
      </c>
      <c r="I23" s="677">
        <f t="shared" si="0"/>
        <v>1.0002133867216161</v>
      </c>
      <c r="J23" s="678">
        <f t="shared" si="1"/>
        <v>2.0656659149701301E-2</v>
      </c>
      <c r="K23" s="678">
        <f t="shared" si="2"/>
        <v>1.0000000000060281</v>
      </c>
      <c r="L23" s="679">
        <f t="shared" si="3"/>
        <v>3.4722012941014451E-6</v>
      </c>
      <c r="M23" s="678">
        <f t="shared" si="4"/>
        <v>1.0000000000899854</v>
      </c>
      <c r="N23" s="679">
        <f t="shared" si="5"/>
        <v>-1.3415323181004708E-5</v>
      </c>
      <c r="O23" s="677">
        <f t="shared" si="6"/>
        <v>104.17083874180429</v>
      </c>
      <c r="P23" s="680">
        <f t="shared" si="7"/>
        <v>1.5611965638335439</v>
      </c>
      <c r="Q23" s="689">
        <f t="shared" si="8"/>
        <v>1.0000086804132404</v>
      </c>
      <c r="R23" s="690">
        <f t="shared" si="9"/>
        <v>4.1666174409713212E-3</v>
      </c>
      <c r="S23" s="677">
        <f t="shared" si="10"/>
        <v>1.0000000001793481</v>
      </c>
      <c r="T23" s="680">
        <f t="shared" si="11"/>
        <v>1.8939279783819518E-5</v>
      </c>
      <c r="U23" s="681">
        <f t="shared" si="24"/>
        <v>0.99959999924228138</v>
      </c>
      <c r="V23" s="682">
        <f t="shared" si="25"/>
        <v>-4.7932306756550602E-5</v>
      </c>
      <c r="W23" s="683">
        <f t="shared" si="12"/>
        <v>67.598624037403681</v>
      </c>
      <c r="X23" s="684">
        <f t="shared" si="13"/>
        <v>-90.399185153786945</v>
      </c>
      <c r="Y23" s="687">
        <f t="shared" si="14"/>
        <v>89.600814846213055</v>
      </c>
      <c r="AA23" s="170">
        <f t="shared" si="15"/>
        <v>1000000000</v>
      </c>
      <c r="AB23" s="170">
        <f t="shared" si="16"/>
        <v>6.309641609999999</v>
      </c>
      <c r="AD23" s="686">
        <f t="shared" si="17"/>
        <v>64.750602278482063</v>
      </c>
      <c r="AE23" s="687">
        <f t="shared" si="18"/>
        <v>-89.212329746513802</v>
      </c>
      <c r="AG23" s="686">
        <f t="shared" si="19"/>
        <v>43.839332327316939</v>
      </c>
      <c r="AH23" s="687">
        <f t="shared" si="20"/>
        <v>-1.1813627695079107</v>
      </c>
      <c r="AJ23" s="170">
        <f t="shared" si="21"/>
        <v>0</v>
      </c>
      <c r="AK23" s="170">
        <f t="shared" si="22"/>
        <v>0</v>
      </c>
      <c r="AM23" s="170" t="str">
        <f t="shared" si="26"/>
        <v>2.34439401225472E-09+0.0000684747288863517i</v>
      </c>
      <c r="AN23" s="170" t="str">
        <f t="shared" si="27"/>
        <v>0.0000684747289398623i</v>
      </c>
      <c r="AO23" s="170" t="str">
        <f t="shared" si="28"/>
        <v>0.999999999218535-0.00003423736097318i</v>
      </c>
      <c r="AP23" s="170" t="str">
        <f t="shared" si="29"/>
        <v>0.166666666275934-0.000011412454814392i</v>
      </c>
      <c r="AQ23" s="170" t="str">
        <f t="shared" si="30"/>
        <v>0.833333333724066+0.000011412454814392i</v>
      </c>
      <c r="AR23" s="170" t="str">
        <f t="shared" si="31"/>
        <v>0.999599999343832-0.0000136894677835546i</v>
      </c>
    </row>
    <row r="24" spans="1:44">
      <c r="D24" s="712"/>
      <c r="E24" s="189"/>
      <c r="G24" s="688">
        <v>2.7542</v>
      </c>
      <c r="H24" s="676">
        <f t="shared" si="23"/>
        <v>2.7542000000000001E-3</v>
      </c>
      <c r="I24" s="677">
        <f t="shared" si="0"/>
        <v>1.0002565336137721</v>
      </c>
      <c r="J24" s="678">
        <f t="shared" si="1"/>
        <v>2.2648566600508357E-2</v>
      </c>
      <c r="K24" s="678">
        <f t="shared" si="2"/>
        <v>1.0000000000072471</v>
      </c>
      <c r="L24" s="679">
        <f t="shared" si="3"/>
        <v>3.8071327696988057E-6</v>
      </c>
      <c r="M24" s="678">
        <f t="shared" si="4"/>
        <v>1.0000000001081828</v>
      </c>
      <c r="N24" s="679">
        <f t="shared" si="5"/>
        <v>-1.4709376609210131E-5</v>
      </c>
      <c r="O24" s="677">
        <f t="shared" si="6"/>
        <v>114.21836075530548</v>
      </c>
      <c r="P24" s="680">
        <f t="shared" si="7"/>
        <v>1.5620410551441892</v>
      </c>
      <c r="Q24" s="689">
        <f t="shared" si="8"/>
        <v>1.0000104358126938</v>
      </c>
      <c r="R24" s="690">
        <f t="shared" si="9"/>
        <v>4.568527539473238E-3</v>
      </c>
      <c r="S24" s="677">
        <f t="shared" si="10"/>
        <v>1.0000000002156171</v>
      </c>
      <c r="T24" s="680">
        <f t="shared" si="11"/>
        <v>2.0766178740926974E-5</v>
      </c>
      <c r="U24" s="681">
        <f t="shared" si="24"/>
        <v>0.99959999908905306</v>
      </c>
      <c r="V24" s="682">
        <f t="shared" si="25"/>
        <v>-5.2555906291595306E-5</v>
      </c>
      <c r="W24" s="683">
        <f t="shared" si="12"/>
        <v>66.798469361797117</v>
      </c>
      <c r="X24" s="684">
        <f t="shared" si="13"/>
        <v>-90.539095619585609</v>
      </c>
      <c r="Y24" s="687">
        <f t="shared" si="14"/>
        <v>89.460904380414391</v>
      </c>
      <c r="AA24" s="170">
        <f t="shared" si="15"/>
        <v>1000000000</v>
      </c>
      <c r="AB24" s="170">
        <f t="shared" si="16"/>
        <v>7.5856176399999997</v>
      </c>
      <c r="AD24" s="686">
        <f t="shared" si="17"/>
        <v>63.950822285146714</v>
      </c>
      <c r="AE24" s="687">
        <f t="shared" si="18"/>
        <v>-89.237792455690339</v>
      </c>
      <c r="AG24" s="686">
        <f t="shared" si="19"/>
        <v>43.838957647708632</v>
      </c>
      <c r="AH24" s="687">
        <f t="shared" si="20"/>
        <v>-1.2952807006503941</v>
      </c>
      <c r="AJ24" s="170">
        <f t="shared" si="21"/>
        <v>0</v>
      </c>
      <c r="AK24" s="170">
        <f t="shared" si="22"/>
        <v>0</v>
      </c>
      <c r="AM24" s="170" t="str">
        <f t="shared" si="26"/>
        <v>2.81849299454962E-09+0.0000750798591779076i</v>
      </c>
      <c r="AN24" s="170" t="str">
        <f t="shared" si="27"/>
        <v>0.0000750798592484449i</v>
      </c>
      <c r="AO24" s="170" t="str">
        <f t="shared" si="28"/>
        <v>0.999999999060503-0.0000375399344479725i</v>
      </c>
      <c r="AP24" s="170" t="str">
        <f t="shared" si="29"/>
        <v>0.166666666196918-0.0000125133098629846i</v>
      </c>
      <c r="AQ24" s="170" t="str">
        <f t="shared" si="30"/>
        <v>0.833333333803082+0.0000125133098629846i</v>
      </c>
      <c r="AR24" s="170" t="str">
        <f t="shared" si="31"/>
        <v>0.999599999211138-0.0000150099654265407i</v>
      </c>
    </row>
    <row r="25" spans="1:44" ht="13">
      <c r="A25" s="333" t="s">
        <v>751</v>
      </c>
      <c r="B25" s="711">
        <f>'Design Converter'!E34+'Design Converter'!E34*0+IF(MODE=2,ABS('Design Converter'!L34*('Design Converter'!L14)^2),0)</f>
        <v>110</v>
      </c>
      <c r="C25" s="170" t="s">
        <v>749</v>
      </c>
      <c r="D25" s="709">
        <f>Cout_sec*0.000001</f>
        <v>1.0999999999999999E-4</v>
      </c>
      <c r="E25" s="170" t="s">
        <v>13</v>
      </c>
      <c r="G25" s="688">
        <v>3.02</v>
      </c>
      <c r="H25" s="676">
        <f t="shared" si="23"/>
        <v>3.0200000000000001E-3</v>
      </c>
      <c r="I25" s="677">
        <f t="shared" si="0"/>
        <v>1.0003084295282585</v>
      </c>
      <c r="J25" s="678">
        <f t="shared" si="1"/>
        <v>2.4833456269270811E-2</v>
      </c>
      <c r="K25" s="678">
        <f t="shared" si="2"/>
        <v>1.0000000000087135</v>
      </c>
      <c r="L25" s="679">
        <f t="shared" si="3"/>
        <v>4.1745483132957498E-6</v>
      </c>
      <c r="M25" s="678">
        <f t="shared" si="4"/>
        <v>1.0000000001300713</v>
      </c>
      <c r="N25" s="679">
        <f t="shared" si="5"/>
        <v>-1.6128936663701393E-5</v>
      </c>
      <c r="O25" s="677">
        <f t="shared" si="6"/>
        <v>125.24044178386858</v>
      </c>
      <c r="P25" s="680">
        <f t="shared" si="7"/>
        <v>1.5628116006807875</v>
      </c>
      <c r="Q25" s="689">
        <f t="shared" si="8"/>
        <v>1.0000125472558896</v>
      </c>
      <c r="R25" s="690">
        <f t="shared" si="9"/>
        <v>5.0094160730513081E-3</v>
      </c>
      <c r="S25" s="677">
        <f t="shared" si="10"/>
        <v>1.0000000002592424</v>
      </c>
      <c r="T25" s="680">
        <f t="shared" si="11"/>
        <v>2.2770263523264659E-5</v>
      </c>
      <c r="U25" s="681">
        <f t="shared" si="24"/>
        <v>0.99959999890474194</v>
      </c>
      <c r="V25" s="682">
        <f t="shared" si="25"/>
        <v>-5.7627916002851135E-5</v>
      </c>
      <c r="W25" s="683">
        <f t="shared" si="12"/>
        <v>65.997863705269168</v>
      </c>
      <c r="X25" s="684">
        <f t="shared" si="13"/>
        <v>-90.683634245222407</v>
      </c>
      <c r="Y25" s="687">
        <f t="shared" si="14"/>
        <v>89.316365754777593</v>
      </c>
      <c r="AA25" s="170">
        <f t="shared" si="15"/>
        <v>1000000000</v>
      </c>
      <c r="AB25" s="170">
        <f t="shared" si="16"/>
        <v>9.1204000000000001</v>
      </c>
      <c r="AD25" s="686">
        <f t="shared" si="17"/>
        <v>63.150667264907405</v>
      </c>
      <c r="AE25" s="687">
        <f t="shared" si="18"/>
        <v>-89.256795236271856</v>
      </c>
      <c r="AG25" s="686">
        <f t="shared" si="19"/>
        <v>43.83850701462309</v>
      </c>
      <c r="AH25" s="687">
        <f t="shared" si="20"/>
        <v>-1.4202353362048086</v>
      </c>
      <c r="AJ25" s="170">
        <f t="shared" si="21"/>
        <v>0</v>
      </c>
      <c r="AK25" s="170">
        <f t="shared" si="22"/>
        <v>0</v>
      </c>
      <c r="AM25" s="170" t="str">
        <f t="shared" si="26"/>
        <v>3.38875194572097E-09+0.000082325602597553i</v>
      </c>
      <c r="AN25" s="170" t="str">
        <f t="shared" si="27"/>
        <v>0.0000823256026905467i</v>
      </c>
      <c r="AO25" s="170" t="str">
        <f t="shared" si="28"/>
        <v>0.999999998870416-0.0000411627954727393i</v>
      </c>
      <c r="AP25" s="170" t="str">
        <f t="shared" si="29"/>
        <v>0.166666666101875-0.0000137209337662588i</v>
      </c>
      <c r="AQ25" s="170" t="str">
        <f t="shared" si="30"/>
        <v>0.833333333898125+0.0000137209337662588i</v>
      </c>
      <c r="AR25" s="170" t="str">
        <f t="shared" si="31"/>
        <v>0.999599999051529-0.0000164585344445313i</v>
      </c>
    </row>
    <row r="26" spans="1:44" ht="13">
      <c r="A26" s="333" t="s">
        <v>746</v>
      </c>
      <c r="B26" s="711">
        <f>IF(MODE=2,('Design Converter'!E35*'Design Converter'!E34+'Design Converter'!L34*'Design Converter'!L35)/Cout_sec,'Design Converter'!E35)</f>
        <v>2</v>
      </c>
      <c r="C26" s="170" t="s">
        <v>748</v>
      </c>
      <c r="D26" s="189">
        <f>B26*0.001</f>
        <v>2E-3</v>
      </c>
      <c r="E26" s="706" t="s">
        <v>45</v>
      </c>
      <c r="G26" s="688">
        <v>3.3113000000000001</v>
      </c>
      <c r="H26" s="676">
        <f t="shared" si="23"/>
        <v>3.3113000000000001E-3</v>
      </c>
      <c r="I26" s="677">
        <f t="shared" si="0"/>
        <v>1.0003707879256187</v>
      </c>
      <c r="J26" s="678">
        <f t="shared" si="1"/>
        <v>2.7227684151223789E-2</v>
      </c>
      <c r="K26" s="678">
        <f t="shared" si="2"/>
        <v>1.0000000000104754</v>
      </c>
      <c r="L26" s="679">
        <f t="shared" si="3"/>
        <v>4.577212526423834E-6</v>
      </c>
      <c r="M26" s="678">
        <f t="shared" si="4"/>
        <v>1.000000000156374</v>
      </c>
      <c r="N26" s="679">
        <f t="shared" si="5"/>
        <v>-1.7684684759462883E-5</v>
      </c>
      <c r="O26" s="677">
        <f t="shared" si="6"/>
        <v>137.32001697170557</v>
      </c>
      <c r="P26" s="680">
        <f t="shared" si="7"/>
        <v>1.5635140029151406</v>
      </c>
      <c r="Q26" s="689">
        <f t="shared" si="8"/>
        <v>1.0000150845158777</v>
      </c>
      <c r="R26" s="690">
        <f t="shared" si="9"/>
        <v>5.492599796302176E-3</v>
      </c>
      <c r="S26" s="677">
        <f t="shared" si="10"/>
        <v>1.0000000003116658</v>
      </c>
      <c r="T26" s="680">
        <f t="shared" si="11"/>
        <v>2.4966613775480511E-5</v>
      </c>
      <c r="U26" s="681">
        <f t="shared" si="24"/>
        <v>0.99959999868325888</v>
      </c>
      <c r="V26" s="682">
        <f t="shared" si="25"/>
        <v>-6.3186539511150044E-5</v>
      </c>
      <c r="W26" s="683">
        <f t="shared" si="12"/>
        <v>65.197559136632961</v>
      </c>
      <c r="X26" s="684">
        <f t="shared" si="13"/>
        <v>-90.833884087806453</v>
      </c>
      <c r="Y26" s="687">
        <f t="shared" si="14"/>
        <v>89.166115912193547</v>
      </c>
      <c r="AA26" s="170">
        <f t="shared" si="15"/>
        <v>1000000000</v>
      </c>
      <c r="AB26" s="170">
        <f t="shared" si="16"/>
        <v>10.964707690000001</v>
      </c>
      <c r="AD26" s="686">
        <f t="shared" si="17"/>
        <v>62.350904152227038</v>
      </c>
      <c r="AE26" s="687">
        <f t="shared" si="18"/>
        <v>-89.269481373363433</v>
      </c>
      <c r="AG26" s="686">
        <f t="shared" si="19"/>
        <v>43.837965562516352</v>
      </c>
      <c r="AH26" s="687">
        <f t="shared" si="20"/>
        <v>-1.5571620703626936</v>
      </c>
      <c r="AJ26" s="170">
        <f t="shared" si="21"/>
        <v>0</v>
      </c>
      <c r="AK26" s="170">
        <f t="shared" si="22"/>
        <v>0</v>
      </c>
      <c r="AM26" s="170" t="str">
        <f t="shared" si="26"/>
        <v>4.07401901103555E-09+0.0000902664794102676i</v>
      </c>
      <c r="AN26" s="170" t="str">
        <f t="shared" si="27"/>
        <v>0.0000902664795328501i</v>
      </c>
      <c r="AO26" s="170" t="str">
        <f t="shared" si="28"/>
        <v>0.999999998641993-0.000045133243615122i</v>
      </c>
      <c r="AP26" s="170" t="str">
        <f t="shared" si="29"/>
        <v>0.166666665987663-0.0000150444132350446i</v>
      </c>
      <c r="AQ26" s="170" t="str">
        <f t="shared" si="30"/>
        <v>0.833333334012337+0.0000150444132350446i</v>
      </c>
      <c r="AR26" s="170" t="str">
        <f t="shared" si="31"/>
        <v>0.99959999885973-0.0000180460745284111i</v>
      </c>
    </row>
    <row r="27" spans="1:44">
      <c r="A27" s="170" t="s">
        <v>740</v>
      </c>
      <c r="B27" s="717">
        <f>Cout_sec/Npri_sec^2</f>
        <v>110</v>
      </c>
      <c r="C27" s="170" t="s">
        <v>749</v>
      </c>
      <c r="D27" s="709">
        <f>Cout_pri*0.000001</f>
        <v>1.0999999999999999E-4</v>
      </c>
      <c r="E27" s="170" t="s">
        <v>13</v>
      </c>
      <c r="G27" s="688">
        <v>3.6307999999999998</v>
      </c>
      <c r="H27" s="676">
        <f t="shared" si="23"/>
        <v>3.6308E-3</v>
      </c>
      <c r="I27" s="677">
        <f t="shared" si="0"/>
        <v>1.0004457762211911</v>
      </c>
      <c r="J27" s="678">
        <f t="shared" si="1"/>
        <v>2.9853331041148019E-2</v>
      </c>
      <c r="K27" s="678">
        <f t="shared" si="2"/>
        <v>1.0000000000125944</v>
      </c>
      <c r="L27" s="679">
        <f t="shared" si="3"/>
        <v>5.018857621150659E-6</v>
      </c>
      <c r="M27" s="678">
        <f t="shared" si="4"/>
        <v>1.0000000001880063</v>
      </c>
      <c r="N27" s="679">
        <f t="shared" si="5"/>
        <v>-1.9391040806723571E-5</v>
      </c>
      <c r="O27" s="677">
        <f t="shared" si="6"/>
        <v>150.56904940798606</v>
      </c>
      <c r="P27" s="680">
        <f t="shared" si="7"/>
        <v>1.5641548068038957</v>
      </c>
      <c r="Q27" s="689">
        <f t="shared" si="8"/>
        <v>1.0000181358664568</v>
      </c>
      <c r="R27" s="690">
        <f t="shared" si="9"/>
        <v>6.0225563292905012E-3</v>
      </c>
      <c r="S27" s="677">
        <f t="shared" si="10"/>
        <v>1.0000000003747114</v>
      </c>
      <c r="T27" s="680">
        <f t="shared" si="11"/>
        <v>2.7375587017849377E-5</v>
      </c>
      <c r="U27" s="681">
        <f t="shared" si="24"/>
        <v>0.99959999841690306</v>
      </c>
      <c r="V27" s="682">
        <f t="shared" si="25"/>
        <v>-6.9283260470858458E-5</v>
      </c>
      <c r="W27" s="683">
        <f t="shared" si="12"/>
        <v>64.396897360339665</v>
      </c>
      <c r="X27" s="684">
        <f t="shared" si="13"/>
        <v>-90.991233461905679</v>
      </c>
      <c r="Y27" s="687">
        <f t="shared" si="14"/>
        <v>89.008766538094321</v>
      </c>
      <c r="AA27" s="170">
        <f t="shared" si="15"/>
        <v>1000000000</v>
      </c>
      <c r="AB27" s="170">
        <f t="shared" si="16"/>
        <v>13.182708639999998</v>
      </c>
      <c r="AD27" s="686">
        <f t="shared" si="17"/>
        <v>61.550893452192895</v>
      </c>
      <c r="AE27" s="687">
        <f t="shared" si="18"/>
        <v>-89.275970483026214</v>
      </c>
      <c r="AG27" s="686">
        <f t="shared" si="19"/>
        <v>43.837314490886115</v>
      </c>
      <c r="AH27" s="687">
        <f t="shared" si="20"/>
        <v>-1.7073237020386112</v>
      </c>
      <c r="AJ27" s="170">
        <f t="shared" si="21"/>
        <v>0</v>
      </c>
      <c r="AK27" s="170">
        <f t="shared" si="22"/>
        <v>0</v>
      </c>
      <c r="AM27" s="170" t="str">
        <f t="shared" si="26"/>
        <v>4.8981330103004E-09+0.000098976091973777i</v>
      </c>
      <c r="AN27" s="170" t="str">
        <f t="shared" si="27"/>
        <v>0.0000989760921353764i</v>
      </c>
      <c r="AO27" s="170" t="str">
        <f t="shared" si="28"/>
        <v>0.999999998367289-0.0000494880420576808i</v>
      </c>
      <c r="AP27" s="170" t="str">
        <f t="shared" si="29"/>
        <v>0.166666665850311-0.0000164960153289628i</v>
      </c>
      <c r="AQ27" s="170" t="str">
        <f t="shared" si="30"/>
        <v>0.833333334149689+0.0000164960153289628i</v>
      </c>
      <c r="AR27" s="170" t="str">
        <f t="shared" si="31"/>
        <v>0.999599998629071-0.0000197873002608754i</v>
      </c>
    </row>
    <row r="28" spans="1:44">
      <c r="B28" s="633"/>
      <c r="D28" s="189"/>
      <c r="G28" s="688">
        <v>3.9811000000000001</v>
      </c>
      <c r="H28" s="676">
        <f t="shared" si="23"/>
        <v>3.9811000000000004E-3</v>
      </c>
      <c r="I28" s="677">
        <f t="shared" si="0"/>
        <v>1.000535918622822</v>
      </c>
      <c r="J28" s="678">
        <f t="shared" si="1"/>
        <v>3.2731617484737602E-2</v>
      </c>
      <c r="K28" s="678">
        <f t="shared" si="2"/>
        <v>1.0000000000151419</v>
      </c>
      <c r="L28" s="679">
        <f t="shared" si="3"/>
        <v>5.503077579467048E-6</v>
      </c>
      <c r="M28" s="678">
        <f t="shared" si="4"/>
        <v>1.0000000002260339</v>
      </c>
      <c r="N28" s="679">
        <f t="shared" si="5"/>
        <v>-2.126189064495156E-5</v>
      </c>
      <c r="O28" s="677">
        <f t="shared" si="6"/>
        <v>165.09535596624119</v>
      </c>
      <c r="P28" s="680">
        <f t="shared" si="7"/>
        <v>1.5647391841878078</v>
      </c>
      <c r="Q28" s="689">
        <f t="shared" si="8"/>
        <v>1.0000218041435389</v>
      </c>
      <c r="R28" s="690">
        <f t="shared" si="9"/>
        <v>6.6035971049774522E-3</v>
      </c>
      <c r="S28" s="677">
        <f t="shared" si="10"/>
        <v>1.0000000004505036</v>
      </c>
      <c r="T28" s="680">
        <f t="shared" si="11"/>
        <v>3.0016786788380891E-5</v>
      </c>
      <c r="U28" s="681">
        <f t="shared" si="24"/>
        <v>0.99959999809668898</v>
      </c>
      <c r="V28" s="682">
        <f t="shared" si="25"/>
        <v>-7.5967719446427712E-5</v>
      </c>
      <c r="W28" s="683">
        <f t="shared" si="12"/>
        <v>63.596163667561108</v>
      </c>
      <c r="X28" s="684">
        <f t="shared" si="13"/>
        <v>-91.156952070038813</v>
      </c>
      <c r="Y28" s="687">
        <f t="shared" si="14"/>
        <v>88.843047929961187</v>
      </c>
      <c r="AA28" s="170">
        <f t="shared" si="15"/>
        <v>1000000000</v>
      </c>
      <c r="AB28" s="170">
        <f t="shared" si="16"/>
        <v>15.849157210000001</v>
      </c>
      <c r="AD28" s="686">
        <f t="shared" si="17"/>
        <v>60.750942344668417</v>
      </c>
      <c r="AE28" s="687">
        <f t="shared" si="18"/>
        <v>-89.276312986195506</v>
      </c>
      <c r="AG28" s="686">
        <f t="shared" si="19"/>
        <v>43.836531911196971</v>
      </c>
      <c r="AH28" s="687">
        <f t="shared" si="20"/>
        <v>-1.8719338244263457</v>
      </c>
      <c r="AJ28" s="170">
        <f t="shared" si="21"/>
        <v>0</v>
      </c>
      <c r="AK28" s="170">
        <f t="shared" si="22"/>
        <v>0</v>
      </c>
      <c r="AM28" s="170" t="str">
        <f t="shared" si="26"/>
        <v>5.88887194563625E-09+0.000108525316631782i</v>
      </c>
      <c r="AN28" s="170" t="str">
        <f t="shared" si="27"/>
        <v>0.000108525316844813i</v>
      </c>
      <c r="AO28" s="170" t="str">
        <f t="shared" si="28"/>
        <v>0.999999998037039-0.0000542626560957856i</v>
      </c>
      <c r="AP28" s="170" t="str">
        <f t="shared" si="29"/>
        <v>0.166666665685188-0.0000180875527719637i</v>
      </c>
      <c r="AQ28" s="170" t="str">
        <f t="shared" si="30"/>
        <v>0.833333334314812+0.0000180875527719637i</v>
      </c>
      <c r="AR28" s="170" t="str">
        <f t="shared" si="31"/>
        <v>0.999599998351775-0.0000216963812396976i</v>
      </c>
    </row>
    <row r="29" spans="1:44">
      <c r="B29" s="633"/>
      <c r="D29" s="189"/>
      <c r="G29" s="688">
        <v>4.3651999999999997</v>
      </c>
      <c r="H29" s="676">
        <f t="shared" si="23"/>
        <v>4.3651999999999996E-3</v>
      </c>
      <c r="I29" s="677">
        <f t="shared" si="0"/>
        <v>1.0006442841452621</v>
      </c>
      <c r="J29" s="678">
        <f t="shared" si="1"/>
        <v>3.5887000904346454E-2</v>
      </c>
      <c r="K29" s="678">
        <f t="shared" si="2"/>
        <v>1.0000000000182045</v>
      </c>
      <c r="L29" s="679">
        <f t="shared" si="3"/>
        <v>6.0340193036699671E-6</v>
      </c>
      <c r="M29" s="678">
        <f t="shared" si="4"/>
        <v>1.000000000271754</v>
      </c>
      <c r="N29" s="679">
        <f t="shared" si="5"/>
        <v>-2.3313256396602353E-5</v>
      </c>
      <c r="O29" s="677">
        <f t="shared" si="6"/>
        <v>181.02334120811881</v>
      </c>
      <c r="P29" s="680">
        <f t="shared" si="7"/>
        <v>1.5652721491974999</v>
      </c>
      <c r="Q29" s="689">
        <f t="shared" si="8"/>
        <v>1.000026214416452</v>
      </c>
      <c r="R29" s="690">
        <f t="shared" si="9"/>
        <v>7.2406966241779381E-3</v>
      </c>
      <c r="S29" s="677">
        <f t="shared" si="10"/>
        <v>1.0000000005416272</v>
      </c>
      <c r="T29" s="680">
        <f t="shared" si="11"/>
        <v>3.2912832553987678E-5</v>
      </c>
      <c r="U29" s="681">
        <f t="shared" si="24"/>
        <v>0.99959999771171015</v>
      </c>
      <c r="V29" s="682">
        <f t="shared" si="25"/>
        <v>-8.329715261153555E-5</v>
      </c>
      <c r="W29" s="683">
        <f t="shared" si="12"/>
        <v>62.795266883002114</v>
      </c>
      <c r="X29" s="684">
        <f t="shared" si="13"/>
        <v>-91.332448745698073</v>
      </c>
      <c r="Y29" s="687">
        <f t="shared" si="14"/>
        <v>88.667551254301927</v>
      </c>
      <c r="AA29" s="170">
        <f t="shared" si="15"/>
        <v>1000000000</v>
      </c>
      <c r="AB29" s="170">
        <f t="shared" si="16"/>
        <v>19.054971039999998</v>
      </c>
      <c r="AD29" s="686">
        <f t="shared" si="17"/>
        <v>59.950986258894396</v>
      </c>
      <c r="AE29" s="687">
        <f t="shared" si="18"/>
        <v>-89.270512449492017</v>
      </c>
      <c r="AG29" s="686">
        <f t="shared" si="19"/>
        <v>43.835591219102426</v>
      </c>
      <c r="AH29" s="687">
        <f t="shared" si="20"/>
        <v>-2.0523911456149517</v>
      </c>
      <c r="AJ29" s="170">
        <f t="shared" si="21"/>
        <v>0</v>
      </c>
      <c r="AK29" s="170">
        <f t="shared" si="22"/>
        <v>0</v>
      </c>
      <c r="AM29" s="170" t="str">
        <f t="shared" si="26"/>
        <v>7.08001601790187E-09+0.000118995933780353i</v>
      </c>
      <c r="AN29" s="170" t="str">
        <f t="shared" si="27"/>
        <v>0.000118995934061184i</v>
      </c>
      <c r="AO29" s="170" t="str">
        <f t="shared" si="28"/>
        <v>0.999999997639995-0.0000594979658234503i</v>
      </c>
      <c r="AP29" s="170" t="str">
        <f t="shared" si="29"/>
        <v>0.166666665486664-0.0000198326556300588i</v>
      </c>
      <c r="AQ29" s="170" t="str">
        <f t="shared" si="30"/>
        <v>0.833333334513336+0.0000198326556300588i</v>
      </c>
      <c r="AR29" s="170" t="str">
        <f t="shared" si="31"/>
        <v>0.999599998018388-0.0000237896670005211i</v>
      </c>
    </row>
    <row r="30" spans="1:44">
      <c r="A30" s="170" t="s">
        <v>18</v>
      </c>
      <c r="B30" s="714">
        <f>Vref</f>
        <v>1</v>
      </c>
      <c r="C30" s="170" t="s">
        <v>0</v>
      </c>
      <c r="D30" s="189"/>
      <c r="G30" s="688">
        <v>4.7862999999999998</v>
      </c>
      <c r="H30" s="676">
        <f t="shared" si="23"/>
        <v>4.7862999999999994E-3</v>
      </c>
      <c r="I30" s="677">
        <f t="shared" si="0"/>
        <v>1.0007745343981944</v>
      </c>
      <c r="J30" s="678">
        <f t="shared" si="1"/>
        <v>3.9345515850605361E-2</v>
      </c>
      <c r="K30" s="678">
        <f t="shared" si="2"/>
        <v>1.0000000000218865</v>
      </c>
      <c r="L30" s="679">
        <f t="shared" si="3"/>
        <v>6.6161061562092637E-6</v>
      </c>
      <c r="M30" s="678">
        <f t="shared" si="4"/>
        <v>1.0000000003267138</v>
      </c>
      <c r="N30" s="679">
        <f t="shared" si="5"/>
        <v>-2.5562228325613811E-5</v>
      </c>
      <c r="O30" s="677">
        <f t="shared" si="6"/>
        <v>198.48570377827409</v>
      </c>
      <c r="P30" s="680">
        <f t="shared" si="7"/>
        <v>1.5657581592518495</v>
      </c>
      <c r="Q30" s="689">
        <f t="shared" si="8"/>
        <v>1.0000315159630555</v>
      </c>
      <c r="R30" s="690">
        <f t="shared" si="9"/>
        <v>7.9391605808811529E-3</v>
      </c>
      <c r="S30" s="677">
        <f t="shared" si="10"/>
        <v>1.0000000006511665</v>
      </c>
      <c r="T30" s="680">
        <f t="shared" si="11"/>
        <v>3.6087851746001876E-5</v>
      </c>
      <c r="U30" s="681">
        <f t="shared" si="24"/>
        <v>0.99959999724892179</v>
      </c>
      <c r="V30" s="682">
        <f t="shared" si="25"/>
        <v>-9.1332624620217513E-5</v>
      </c>
      <c r="W30" s="683">
        <f t="shared" si="12"/>
        <v>61.994289288891224</v>
      </c>
      <c r="X30" s="684">
        <f t="shared" si="13"/>
        <v>-91.519172163080924</v>
      </c>
      <c r="Y30" s="687">
        <f t="shared" si="14"/>
        <v>88.480827836919076</v>
      </c>
      <c r="AA30" s="170">
        <f t="shared" si="15"/>
        <v>1000000000</v>
      </c>
      <c r="AB30" s="170">
        <f t="shared" si="16"/>
        <v>22.908667689999998</v>
      </c>
      <c r="AD30" s="686">
        <f t="shared" si="17"/>
        <v>59.151139205605723</v>
      </c>
      <c r="AE30" s="687">
        <f t="shared" si="18"/>
        <v>-89.258521652731943</v>
      </c>
      <c r="AG30" s="686">
        <f t="shared" si="19"/>
        <v>43.834460686322878</v>
      </c>
      <c r="AH30" s="687">
        <f t="shared" si="20"/>
        <v>-2.2501845624918362</v>
      </c>
      <c r="AJ30" s="170">
        <f t="shared" si="21"/>
        <v>0</v>
      </c>
      <c r="AK30" s="170">
        <f t="shared" si="22"/>
        <v>0</v>
      </c>
      <c r="AM30" s="170" t="str">
        <f t="shared" si="26"/>
        <v>8.51188597383867E-09+0.000130475175840983i</v>
      </c>
      <c r="AN30" s="170" t="str">
        <f t="shared" si="27"/>
        <v>0.00013047517621118i</v>
      </c>
      <c r="AO30" s="170" t="str">
        <f t="shared" si="28"/>
        <v>0.999999997162702-0.0000652375894098184i</v>
      </c>
      <c r="AP30" s="170" t="str">
        <f t="shared" si="29"/>
        <v>0.166666665248019-0.0000217458626401638i</v>
      </c>
      <c r="AQ30" s="170" t="str">
        <f t="shared" si="30"/>
        <v>0.833333334751981+0.0000217458626401638i</v>
      </c>
      <c r="AR30" s="170" t="str">
        <f t="shared" si="31"/>
        <v>0.999599997617625-0.0000260845970475553i</v>
      </c>
    </row>
    <row r="31" spans="1:44">
      <c r="A31" s="170" t="s">
        <v>745</v>
      </c>
      <c r="B31" s="714">
        <v>600</v>
      </c>
      <c r="C31" s="170" t="s">
        <v>753</v>
      </c>
      <c r="D31" s="708">
        <f>B31*0.000001</f>
        <v>5.9999999999999995E-4</v>
      </c>
      <c r="E31" s="170" t="s">
        <v>754</v>
      </c>
      <c r="G31" s="688">
        <v>5.2481</v>
      </c>
      <c r="H31" s="676">
        <f t="shared" si="23"/>
        <v>5.2481000000000003E-3</v>
      </c>
      <c r="I31" s="677">
        <f t="shared" si="0"/>
        <v>1.000931131654331</v>
      </c>
      <c r="J31" s="678">
        <f t="shared" si="1"/>
        <v>4.3137216479796403E-2</v>
      </c>
      <c r="K31" s="678">
        <f t="shared" si="2"/>
        <v>1.0000000000263136</v>
      </c>
      <c r="L31" s="679">
        <f t="shared" si="3"/>
        <v>7.2544526499173395E-6</v>
      </c>
      <c r="M31" s="678">
        <f t="shared" si="4"/>
        <v>1.0000000003928002</v>
      </c>
      <c r="N31" s="679">
        <f t="shared" si="5"/>
        <v>-2.8028567049650745E-5</v>
      </c>
      <c r="O31" s="677">
        <f t="shared" si="6"/>
        <v>217.63587692879409</v>
      </c>
      <c r="P31" s="680">
        <f t="shared" si="7"/>
        <v>1.5662014799668371</v>
      </c>
      <c r="Q31" s="689">
        <f t="shared" si="8"/>
        <v>1.0000378907820855</v>
      </c>
      <c r="R31" s="690">
        <f t="shared" si="9"/>
        <v>8.7051232843783164E-3</v>
      </c>
      <c r="S31" s="677">
        <f t="shared" si="10"/>
        <v>1.0000000007828822</v>
      </c>
      <c r="T31" s="680">
        <f t="shared" si="11"/>
        <v>3.9569741706863713E-5</v>
      </c>
      <c r="U31" s="681">
        <f t="shared" si="24"/>
        <v>0.99959999669244337</v>
      </c>
      <c r="V31" s="682">
        <f t="shared" si="25"/>
        <v>-1.001447373369626E-4</v>
      </c>
      <c r="W31" s="683">
        <f t="shared" si="12"/>
        <v>61.19296046210885</v>
      </c>
      <c r="X31" s="684">
        <f t="shared" si="13"/>
        <v>-91.718743713009928</v>
      </c>
      <c r="Y31" s="687">
        <f t="shared" si="14"/>
        <v>88.281256286990072</v>
      </c>
      <c r="AA31" s="170">
        <f t="shared" si="15"/>
        <v>1000000000</v>
      </c>
      <c r="AB31" s="170">
        <f t="shared" si="16"/>
        <v>27.542553609999999</v>
      </c>
      <c r="AD31" s="686">
        <f t="shared" si="17"/>
        <v>58.351169410510025</v>
      </c>
      <c r="AE31" s="687">
        <f t="shared" si="18"/>
        <v>-89.240235126075234</v>
      </c>
      <c r="AG31" s="686">
        <f t="shared" si="19"/>
        <v>43.833101664307101</v>
      </c>
      <c r="AH31" s="687">
        <f t="shared" si="20"/>
        <v>-2.4670328453418842</v>
      </c>
      <c r="AJ31" s="170">
        <f t="shared" si="21"/>
        <v>0</v>
      </c>
      <c r="AK31" s="170">
        <f t="shared" si="22"/>
        <v>0</v>
      </c>
      <c r="AM31" s="170" t="str">
        <f t="shared" si="26"/>
        <v>1.02336410456871E-08+0.000143063905300143i</v>
      </c>
      <c r="AN31" s="170" t="str">
        <f t="shared" si="27"/>
        <v>0.000143063905788165i</v>
      </c>
      <c r="AO31" s="170" t="str">
        <f t="shared" si="28"/>
        <v>0.999999996588783-0.0000715319562212992i</v>
      </c>
      <c r="AP31" s="170" t="str">
        <f t="shared" si="29"/>
        <v>0.16666666496106-0.0000238439842166905i</v>
      </c>
      <c r="AQ31" s="170" t="str">
        <f t="shared" si="30"/>
        <v>0.83333333503894+0.0000238439842166905i</v>
      </c>
      <c r="AR31" s="170" t="str">
        <f t="shared" si="31"/>
        <v>0.999599997135727-0.0000286013358071106i</v>
      </c>
    </row>
    <row r="32" spans="1:44">
      <c r="A32" s="170" t="s">
        <v>741</v>
      </c>
      <c r="B32" s="714">
        <v>300</v>
      </c>
      <c r="C32" s="706" t="s">
        <v>747</v>
      </c>
      <c r="D32" s="708">
        <f>B32*1000000</f>
        <v>300000000</v>
      </c>
      <c r="E32" s="706" t="s">
        <v>45</v>
      </c>
      <c r="G32" s="688">
        <v>5.7544000000000004</v>
      </c>
      <c r="H32" s="676">
        <f t="shared" si="23"/>
        <v>5.7544000000000007E-3</v>
      </c>
      <c r="I32" s="677">
        <f t="shared" si="0"/>
        <v>1.0011193505882887</v>
      </c>
      <c r="J32" s="678">
        <f t="shared" si="1"/>
        <v>4.7292863376864835E-2</v>
      </c>
      <c r="K32" s="678">
        <f t="shared" si="2"/>
        <v>1.0000000000316356</v>
      </c>
      <c r="L32" s="679">
        <f t="shared" si="3"/>
        <v>7.9543115277026403E-6</v>
      </c>
      <c r="M32" s="678">
        <f t="shared" si="4"/>
        <v>1.0000000004722454</v>
      </c>
      <c r="N32" s="679">
        <f t="shared" si="5"/>
        <v>-3.0732567257096455E-5</v>
      </c>
      <c r="O32" s="677">
        <f t="shared" si="6"/>
        <v>238.63144112662681</v>
      </c>
      <c r="P32" s="680">
        <f t="shared" si="7"/>
        <v>1.5666057518978735</v>
      </c>
      <c r="Q32" s="689">
        <f t="shared" si="8"/>
        <v>1.0000455541341657</v>
      </c>
      <c r="R32" s="690">
        <f t="shared" si="9"/>
        <v>9.5448839612682496E-3</v>
      </c>
      <c r="S32" s="677">
        <f t="shared" si="10"/>
        <v>1.0000000009412224</v>
      </c>
      <c r="T32" s="680">
        <f t="shared" si="11"/>
        <v>4.3387153761159373E-5</v>
      </c>
      <c r="U32" s="681">
        <f t="shared" si="24"/>
        <v>0.99959999602348115</v>
      </c>
      <c r="V32" s="682">
        <f t="shared" si="25"/>
        <v>-1.0980599947352746E-4</v>
      </c>
      <c r="W32" s="683">
        <f t="shared" si="12"/>
        <v>60.391450354837389</v>
      </c>
      <c r="X32" s="684">
        <f t="shared" si="13"/>
        <v>-91.932780174424622</v>
      </c>
      <c r="Y32" s="687">
        <f t="shared" si="14"/>
        <v>88.067219825575378</v>
      </c>
      <c r="AA32" s="170">
        <f t="shared" si="15"/>
        <v>1000000000</v>
      </c>
      <c r="AB32" s="170">
        <f t="shared" si="16"/>
        <v>33.113119360000006</v>
      </c>
      <c r="AD32" s="686">
        <f t="shared" si="17"/>
        <v>57.551292482810453</v>
      </c>
      <c r="AE32" s="687">
        <f t="shared" si="18"/>
        <v>-89.215502180483497</v>
      </c>
      <c r="AG32" s="686">
        <f t="shared" si="19"/>
        <v>43.83146849636092</v>
      </c>
      <c r="AH32" s="687">
        <f t="shared" si="20"/>
        <v>-2.7046951532566532</v>
      </c>
      <c r="AJ32" s="170">
        <f t="shared" si="21"/>
        <v>0</v>
      </c>
      <c r="AK32" s="170">
        <f t="shared" si="22"/>
        <v>0</v>
      </c>
      <c r="AM32" s="170" t="str">
        <f t="shared" si="26"/>
        <v>1.23034259447152E-08+0.000156865710655506i</v>
      </c>
      <c r="AN32" s="170" t="str">
        <f t="shared" si="27"/>
        <v>0.000156865711298835i</v>
      </c>
      <c r="AO32" s="170" t="str">
        <f t="shared" si="28"/>
        <v>0.999999995898855-0.0000784328572690861i</v>
      </c>
      <c r="AP32" s="170" t="str">
        <f t="shared" si="29"/>
        <v>0.166666664616096-0.000026144285109251i</v>
      </c>
      <c r="AQ32" s="170" t="str">
        <f t="shared" si="30"/>
        <v>0.833333335383904+0.000026144285109251i</v>
      </c>
      <c r="AR32" s="170" t="str">
        <f t="shared" si="31"/>
        <v>0.999599996556419-0.0000313605926890443i</v>
      </c>
    </row>
    <row r="33" spans="1:44">
      <c r="A33" s="170" t="s">
        <v>771</v>
      </c>
      <c r="B33" s="633">
        <f>RCS/1000</f>
        <v>1.4999999999999999E-2</v>
      </c>
      <c r="C33" s="706" t="s">
        <v>45</v>
      </c>
      <c r="D33" s="189"/>
      <c r="G33" s="688">
        <v>6.3095999999999997</v>
      </c>
      <c r="H33" s="676">
        <f t="shared" si="23"/>
        <v>6.3095999999999994E-3</v>
      </c>
      <c r="I33" s="677">
        <f t="shared" si="0"/>
        <v>1.0013456142902155</v>
      </c>
      <c r="J33" s="678">
        <f t="shared" si="1"/>
        <v>5.1847991718299631E-2</v>
      </c>
      <c r="K33" s="678">
        <f t="shared" si="2"/>
        <v>1.0000000000380345</v>
      </c>
      <c r="L33" s="679">
        <f t="shared" si="3"/>
        <v>8.7217649129324459E-6</v>
      </c>
      <c r="M33" s="678">
        <f t="shared" si="4"/>
        <v>1.0000000005677683</v>
      </c>
      <c r="N33" s="679">
        <f t="shared" si="5"/>
        <v>-3.3697728060792995E-5</v>
      </c>
      <c r="O33" s="677">
        <f t="shared" si="6"/>
        <v>261.65485831584613</v>
      </c>
      <c r="P33" s="680">
        <f t="shared" si="7"/>
        <v>1.5669744889706418</v>
      </c>
      <c r="Q33" s="689">
        <f t="shared" si="8"/>
        <v>1.0000547683121201</v>
      </c>
      <c r="R33" s="690">
        <f t="shared" si="9"/>
        <v>1.0465735769359785E-2</v>
      </c>
      <c r="S33" s="677">
        <f t="shared" si="10"/>
        <v>1.0000000011316077</v>
      </c>
      <c r="T33" s="680">
        <f t="shared" si="11"/>
        <v>4.7573263126766496E-5</v>
      </c>
      <c r="U33" s="681">
        <f t="shared" si="24"/>
        <v>0.99959999521913367</v>
      </c>
      <c r="V33" s="682">
        <f t="shared" si="25"/>
        <v>-1.2040037358616152E-4</v>
      </c>
      <c r="W33" s="683">
        <f t="shared" si="12"/>
        <v>59.589544714743674</v>
      </c>
      <c r="X33" s="684">
        <f t="shared" si="13"/>
        <v>-92.163108738333605</v>
      </c>
      <c r="Y33" s="687">
        <f t="shared" si="14"/>
        <v>87.836891261666395</v>
      </c>
      <c r="AA33" s="170">
        <f t="shared" si="15"/>
        <v>1000000000</v>
      </c>
      <c r="AB33" s="170">
        <f t="shared" si="16"/>
        <v>39.811052159999996</v>
      </c>
      <c r="AD33" s="686">
        <f t="shared" si="17"/>
        <v>56.751349731155116</v>
      </c>
      <c r="AE33" s="687">
        <f t="shared" si="18"/>
        <v>-89.184108182705856</v>
      </c>
      <c r="AG33" s="686">
        <f t="shared" si="19"/>
        <v>43.829505621901077</v>
      </c>
      <c r="AH33" s="687">
        <f t="shared" si="20"/>
        <v>-2.9652036890954143</v>
      </c>
      <c r="AJ33" s="170">
        <f t="shared" si="21"/>
        <v>0</v>
      </c>
      <c r="AK33" s="170">
        <f t="shared" si="22"/>
        <v>0</v>
      </c>
      <c r="AM33" s="170" t="str">
        <f t="shared" si="26"/>
        <v>1.47920919957301E-08+0.000172000536481809i</v>
      </c>
      <c r="AN33" s="170" t="str">
        <f t="shared" si="27"/>
        <v>0.000172000537329892i</v>
      </c>
      <c r="AO33" s="170" t="str">
        <f t="shared" si="28"/>
        <v>0.9999999950693-0.0000860002661931183i</v>
      </c>
      <c r="AP33" s="170" t="str">
        <f t="shared" si="29"/>
        <v>0.166666664201318-0.0000286667560803015i</v>
      </c>
      <c r="AQ33" s="170" t="str">
        <f t="shared" si="30"/>
        <v>0.833333335798682+0.0000286667560803015i</v>
      </c>
      <c r="AR33" s="170" t="str">
        <f t="shared" si="31"/>
        <v>0.999599995859871-0.0000343863470092932i</v>
      </c>
    </row>
    <row r="34" spans="1:44">
      <c r="A34" s="170" t="s">
        <v>752</v>
      </c>
      <c r="B34" s="715">
        <f>10*B33</f>
        <v>0.15</v>
      </c>
      <c r="C34" s="706" t="s">
        <v>45</v>
      </c>
      <c r="D34" s="189"/>
      <c r="E34" s="706"/>
      <c r="G34" s="688">
        <v>6.9183000000000003</v>
      </c>
      <c r="H34" s="676">
        <f t="shared" si="23"/>
        <v>6.9183000000000005E-3</v>
      </c>
      <c r="I34" s="677">
        <f t="shared" si="0"/>
        <v>1.0016175462621675</v>
      </c>
      <c r="J34" s="678">
        <f t="shared" si="1"/>
        <v>5.6839579301789664E-2</v>
      </c>
      <c r="K34" s="678">
        <f t="shared" si="2"/>
        <v>1.000000000045727</v>
      </c>
      <c r="L34" s="679">
        <f t="shared" si="3"/>
        <v>9.5631713891262694E-6</v>
      </c>
      <c r="M34" s="678">
        <f t="shared" si="4"/>
        <v>1.0000000006826</v>
      </c>
      <c r="N34" s="679">
        <f t="shared" si="5"/>
        <v>-3.6948616715027414E-5</v>
      </c>
      <c r="O34" s="677">
        <f t="shared" si="6"/>
        <v>286.89688447426761</v>
      </c>
      <c r="P34" s="680">
        <f t="shared" si="7"/>
        <v>1.5673107468566088</v>
      </c>
      <c r="Q34" s="689">
        <f t="shared" si="8"/>
        <v>1.0000658448900821</v>
      </c>
      <c r="R34" s="690">
        <f t="shared" si="9"/>
        <v>1.1475301941743558E-2</v>
      </c>
      <c r="S34" s="677">
        <f t="shared" si="10"/>
        <v>1.0000000013604764</v>
      </c>
      <c r="T34" s="680">
        <f t="shared" si="11"/>
        <v>5.2162752985877223E-5</v>
      </c>
      <c r="U34" s="681">
        <f t="shared" si="24"/>
        <v>0.9995999942522017</v>
      </c>
      <c r="V34" s="682">
        <f t="shared" si="25"/>
        <v>-1.3201564604835357E-4</v>
      </c>
      <c r="W34" s="683">
        <f t="shared" si="12"/>
        <v>58.787341850329355</v>
      </c>
      <c r="X34" s="684">
        <f t="shared" si="13"/>
        <v>-92.411594434747187</v>
      </c>
      <c r="Y34" s="687">
        <f t="shared" si="14"/>
        <v>87.588405565252813</v>
      </c>
      <c r="AA34" s="170">
        <f t="shared" si="15"/>
        <v>1000000000</v>
      </c>
      <c r="AB34" s="170">
        <f t="shared" si="16"/>
        <v>47.862874890000008</v>
      </c>
      <c r="AD34" s="686">
        <f t="shared" si="17"/>
        <v>55.95150535091777</v>
      </c>
      <c r="AE34" s="687">
        <f t="shared" si="18"/>
        <v>-89.145793417938251</v>
      </c>
      <c r="AG34" s="686">
        <f t="shared" si="19"/>
        <v>43.827147154528149</v>
      </c>
      <c r="AH34" s="687">
        <f t="shared" si="20"/>
        <v>-3.2506731380951304</v>
      </c>
      <c r="AJ34" s="170">
        <f t="shared" si="21"/>
        <v>0</v>
      </c>
      <c r="AK34" s="170">
        <f t="shared" si="22"/>
        <v>0</v>
      </c>
      <c r="AM34" s="170" t="str">
        <f t="shared" si="26"/>
        <v>1.77838069825853E-08+0.000188593779376733i</v>
      </c>
      <c r="AN34" s="170" t="str">
        <f t="shared" si="27"/>
        <v>0.000188593780494705i</v>
      </c>
      <c r="AO34" s="170" t="str">
        <f t="shared" si="28"/>
        <v>0.999999994072063-0.000094296890045558i</v>
      </c>
      <c r="AP34" s="170" t="str">
        <f t="shared" si="29"/>
        <v>0.166666663702699-0.0000314322965627888i</v>
      </c>
      <c r="AQ34" s="170" t="str">
        <f t="shared" si="30"/>
        <v>0.833333336297301+0.0000314322965627888i</v>
      </c>
      <c r="AR34" s="170" t="str">
        <f t="shared" si="31"/>
        <v>0.999599995022526-0.0000377036680511494i</v>
      </c>
    </row>
    <row r="35" spans="1:44">
      <c r="B35" s="633"/>
      <c r="D35" s="189"/>
      <c r="G35" s="688">
        <v>7.5857999999999999</v>
      </c>
      <c r="H35" s="676">
        <f t="shared" si="23"/>
        <v>7.5858000000000002E-3</v>
      </c>
      <c r="I35" s="677">
        <f t="shared" si="0"/>
        <v>1.0019444187027355</v>
      </c>
      <c r="J35" s="678">
        <f t="shared" si="1"/>
        <v>6.2310084012346827E-2</v>
      </c>
      <c r="K35" s="678">
        <f t="shared" si="2"/>
        <v>1.0000000000549765</v>
      </c>
      <c r="L35" s="679">
        <f t="shared" si="3"/>
        <v>1.0485857150338482E-5</v>
      </c>
      <c r="M35" s="678">
        <f t="shared" si="4"/>
        <v>1.0000000008206733</v>
      </c>
      <c r="N35" s="679">
        <f t="shared" si="5"/>
        <v>-4.0513538969263408E-5</v>
      </c>
      <c r="O35" s="677">
        <f t="shared" si="6"/>
        <v>314.57730396013636</v>
      </c>
      <c r="P35" s="680">
        <f t="shared" si="7"/>
        <v>1.5676174525670992</v>
      </c>
      <c r="Q35" s="689">
        <f t="shared" si="8"/>
        <v>1.0000791631707298</v>
      </c>
      <c r="R35" s="690">
        <f t="shared" si="9"/>
        <v>1.2582364542704521E-2</v>
      </c>
      <c r="S35" s="677">
        <f t="shared" si="10"/>
        <v>1.0000000016356674</v>
      </c>
      <c r="T35" s="680">
        <f t="shared" si="11"/>
        <v>5.7195584396119377E-5</v>
      </c>
      <c r="U35" s="681">
        <f t="shared" si="24"/>
        <v>0.99959999308956438</v>
      </c>
      <c r="V35" s="682">
        <f t="shared" si="25"/>
        <v>-1.4475294183144565E-4</v>
      </c>
      <c r="W35" s="683">
        <f t="shared" si="12"/>
        <v>57.984592302274393</v>
      </c>
      <c r="X35" s="684">
        <f t="shared" si="13"/>
        <v>-92.680343737136582</v>
      </c>
      <c r="Y35" s="687">
        <f t="shared" si="14"/>
        <v>87.319656262863418</v>
      </c>
      <c r="AA35" s="170">
        <f t="shared" si="15"/>
        <v>1000000000</v>
      </c>
      <c r="AB35" s="170">
        <f t="shared" si="16"/>
        <v>57.544361639999998</v>
      </c>
      <c r="AD35" s="686">
        <f t="shared" si="17"/>
        <v>55.151589942118804</v>
      </c>
      <c r="AE35" s="687">
        <f t="shared" si="18"/>
        <v>-89.100224705956805</v>
      </c>
      <c r="AG35" s="686">
        <f t="shared" si="19"/>
        <v>43.824313035477331</v>
      </c>
      <c r="AH35" s="687">
        <f t="shared" si="20"/>
        <v>-3.5635315658827293</v>
      </c>
      <c r="AJ35" s="170">
        <f t="shared" si="21"/>
        <v>0</v>
      </c>
      <c r="AK35" s="170">
        <f t="shared" si="22"/>
        <v>0</v>
      </c>
      <c r="AM35" s="170" t="str">
        <f t="shared" si="26"/>
        <v>2.13810350535582E-08+0.000206789918026189i</v>
      </c>
      <c r="AN35" s="170" t="str">
        <f t="shared" si="27"/>
        <v>0.000206789919499983i</v>
      </c>
      <c r="AO35" s="170" t="str">
        <f t="shared" si="28"/>
        <v>0.999999992872989-0.000103394958058195i</v>
      </c>
      <c r="AP35" s="170" t="str">
        <f t="shared" si="29"/>
        <v>0.166666663103161-0.0000344649863376982i</v>
      </c>
      <c r="AQ35" s="170" t="str">
        <f t="shared" si="30"/>
        <v>0.833333336896839+0.0000344649863376982i</v>
      </c>
      <c r="AR35" s="170" t="str">
        <f t="shared" si="31"/>
        <v>0.999599994015705-0.0000413414399875128i</v>
      </c>
    </row>
    <row r="36" spans="1:44">
      <c r="B36" s="633"/>
      <c r="D36" s="189"/>
      <c r="G36" s="688">
        <v>8.3176000000000005</v>
      </c>
      <c r="H36" s="676">
        <f t="shared" si="23"/>
        <v>8.3176000000000014E-3</v>
      </c>
      <c r="I36" s="677">
        <f t="shared" si="0"/>
        <v>1.0023372107357933</v>
      </c>
      <c r="J36" s="678">
        <f t="shared" si="1"/>
        <v>6.8303260066581828E-2</v>
      </c>
      <c r="K36" s="678">
        <f t="shared" si="2"/>
        <v>1.0000000000660954</v>
      </c>
      <c r="L36" s="679">
        <f t="shared" si="3"/>
        <v>1.1497424850774981E-5</v>
      </c>
      <c r="M36" s="678">
        <f t="shared" si="4"/>
        <v>1.0000000009866512</v>
      </c>
      <c r="N36" s="679">
        <f t="shared" si="5"/>
        <v>-4.4421868714368738E-5</v>
      </c>
      <c r="O36" s="677">
        <f t="shared" si="6"/>
        <v>344.92419513536737</v>
      </c>
      <c r="P36" s="680">
        <f t="shared" si="7"/>
        <v>1.5678971349869852</v>
      </c>
      <c r="Q36" s="689">
        <f t="shared" si="8"/>
        <v>1.0000951728313778</v>
      </c>
      <c r="R36" s="690">
        <f t="shared" si="9"/>
        <v>1.3796034485872131E-2</v>
      </c>
      <c r="S36" s="677">
        <f t="shared" si="10"/>
        <v>1.0000000019664743</v>
      </c>
      <c r="T36" s="680">
        <f t="shared" si="11"/>
        <v>6.2713226379320042E-5</v>
      </c>
      <c r="U36" s="681">
        <f t="shared" si="24"/>
        <v>0.99959999169195757</v>
      </c>
      <c r="V36" s="682">
        <f t="shared" si="25"/>
        <v>-1.5871721950910586E-4</v>
      </c>
      <c r="W36" s="683">
        <f t="shared" si="12"/>
        <v>57.181401404716865</v>
      </c>
      <c r="X36" s="684">
        <f t="shared" si="13"/>
        <v>-92.971496092066687</v>
      </c>
      <c r="Y36" s="687">
        <f t="shared" si="14"/>
        <v>87.028503907933313</v>
      </c>
      <c r="AA36" s="170">
        <f t="shared" si="15"/>
        <v>1000000000</v>
      </c>
      <c r="AB36" s="170">
        <f t="shared" si="16"/>
        <v>69.182469760000004</v>
      </c>
      <c r="AD36" s="686">
        <f t="shared" si="17"/>
        <v>54.351803515142848</v>
      </c>
      <c r="AE36" s="687">
        <f t="shared" si="18"/>
        <v>-89.047027300292612</v>
      </c>
      <c r="AG36" s="686">
        <f t="shared" si="19"/>
        <v>43.820908589184384</v>
      </c>
      <c r="AH36" s="687">
        <f t="shared" si="20"/>
        <v>-3.9062811381254452</v>
      </c>
      <c r="AJ36" s="170">
        <f t="shared" si="21"/>
        <v>0</v>
      </c>
      <c r="AK36" s="170">
        <f t="shared" si="22"/>
        <v>0</v>
      </c>
      <c r="AM36" s="170" t="str">
        <f t="shared" si="26"/>
        <v>2.57052610308506E-08+0.000226738883136309i</v>
      </c>
      <c r="AN36" s="170" t="str">
        <f t="shared" si="27"/>
        <v>0.000226738885079103i</v>
      </c>
      <c r="AO36" s="170" t="str">
        <f t="shared" si="28"/>
        <v>0.99999999143158-0.000113369442660366i</v>
      </c>
      <c r="AP36" s="170" t="str">
        <f t="shared" si="29"/>
        <v>0.166666662382457-0.0000377898138560515i</v>
      </c>
      <c r="AQ36" s="170" t="str">
        <f t="shared" si="30"/>
        <v>0.833333337617543+0.0000377898138560515i</v>
      </c>
      <c r="AR36" s="170" t="str">
        <f t="shared" si="31"/>
        <v>0.999599992805406-0.0000453296369573101i</v>
      </c>
    </row>
    <row r="37" spans="1:44">
      <c r="A37" s="189" t="s">
        <v>743</v>
      </c>
      <c r="B37" s="714">
        <f>'Design Converter'!E60*0.001</f>
        <v>1.2E-2</v>
      </c>
      <c r="C37" s="706" t="s">
        <v>747</v>
      </c>
      <c r="D37" s="189">
        <f>B37*1000000</f>
        <v>12000</v>
      </c>
      <c r="E37" s="706" t="s">
        <v>45</v>
      </c>
      <c r="G37" s="688">
        <v>9.1201000000000008</v>
      </c>
      <c r="H37" s="676">
        <f t="shared" si="23"/>
        <v>9.1201000000000008E-3</v>
      </c>
      <c r="I37" s="677">
        <f t="shared" si="0"/>
        <v>1.0028093033000351</v>
      </c>
      <c r="J37" s="678">
        <f t="shared" si="1"/>
        <v>7.4869783052205721E-2</v>
      </c>
      <c r="K37" s="678">
        <f t="shared" si="2"/>
        <v>1.0000000000794647</v>
      </c>
      <c r="L37" s="679">
        <f t="shared" si="3"/>
        <v>1.260672121532874E-5</v>
      </c>
      <c r="M37" s="678">
        <f t="shared" si="4"/>
        <v>1.0000000011862242</v>
      </c>
      <c r="N37" s="679">
        <f t="shared" si="5"/>
        <v>-4.8707786477831597E-5</v>
      </c>
      <c r="O37" s="677">
        <f t="shared" si="6"/>
        <v>378.20295852369134</v>
      </c>
      <c r="P37" s="680">
        <f t="shared" si="7"/>
        <v>1.5681522407488675</v>
      </c>
      <c r="Q37" s="689">
        <f t="shared" si="8"/>
        <v>1.000114422635999</v>
      </c>
      <c r="R37" s="690">
        <f t="shared" si="9"/>
        <v>1.5126911556200119E-2</v>
      </c>
      <c r="S37" s="677">
        <f t="shared" si="10"/>
        <v>1.0000000023642392</v>
      </c>
      <c r="T37" s="680">
        <f t="shared" si="11"/>
        <v>6.8763933797053088E-5</v>
      </c>
      <c r="U37" s="681">
        <f t="shared" si="24"/>
        <v>0.99959999001146294</v>
      </c>
      <c r="V37" s="682">
        <f t="shared" si="25"/>
        <v>-1.7403059742576927E-4</v>
      </c>
      <c r="W37" s="683">
        <f t="shared" si="12"/>
        <v>56.377453308036571</v>
      </c>
      <c r="X37" s="684">
        <f t="shared" si="13"/>
        <v>-93.28749906880654</v>
      </c>
      <c r="Y37" s="687">
        <f t="shared" si="14"/>
        <v>86.71250093119346</v>
      </c>
      <c r="AA37" s="170">
        <f t="shared" si="15"/>
        <v>1000000000</v>
      </c>
      <c r="AB37" s="170">
        <f t="shared" si="16"/>
        <v>83.176224010000013</v>
      </c>
      <c r="AD37" s="686">
        <f t="shared" si="17"/>
        <v>53.551945450532216</v>
      </c>
      <c r="AE37" s="687">
        <f t="shared" si="18"/>
        <v>-88.985736824525475</v>
      </c>
      <c r="AG37" s="686">
        <f t="shared" si="19"/>
        <v>43.816818586319599</v>
      </c>
      <c r="AH37" s="687">
        <f t="shared" si="20"/>
        <v>-4.2818198067810096</v>
      </c>
      <c r="AJ37" s="170">
        <f t="shared" si="21"/>
        <v>0</v>
      </c>
      <c r="AK37" s="170">
        <f t="shared" si="22"/>
        <v>0</v>
      </c>
      <c r="AM37" s="170" t="str">
        <f t="shared" si="26"/>
        <v>3.09047439861487E-08+0.00024861513952432i</v>
      </c>
      <c r="AN37" s="170" t="str">
        <f t="shared" si="27"/>
        <v>0.000248615142085449i</v>
      </c>
      <c r="AO37" s="170" t="str">
        <f t="shared" si="28"/>
        <v>0.999999989698419-0.000124307569228936i</v>
      </c>
      <c r="AP37" s="170" t="str">
        <f t="shared" si="29"/>
        <v>0.166666661515876-0.0000414358565873867i</v>
      </c>
      <c r="AQ37" s="170" t="str">
        <f t="shared" si="30"/>
        <v>0.833333338484124+0.0000414358565873867i</v>
      </c>
      <c r="AR37" s="170" t="str">
        <f t="shared" si="31"/>
        <v>0.999599991350133-0.000049703137956392i</v>
      </c>
    </row>
    <row r="38" spans="1:44">
      <c r="A38" s="189" t="s">
        <v>744</v>
      </c>
      <c r="B38" s="714">
        <f>'Design Converter'!E62*1000</f>
        <v>22000</v>
      </c>
      <c r="C38" s="170" t="s">
        <v>15</v>
      </c>
      <c r="D38" s="189">
        <f>B38*0.000000000001</f>
        <v>2.1999999999999998E-8</v>
      </c>
      <c r="E38" s="170" t="s">
        <v>13</v>
      </c>
      <c r="G38" s="688">
        <v>10</v>
      </c>
      <c r="H38" s="676">
        <f t="shared" si="23"/>
        <v>0.01</v>
      </c>
      <c r="I38" s="677">
        <f t="shared" si="0"/>
        <v>1.0033765752856971</v>
      </c>
      <c r="J38" s="678">
        <f t="shared" si="1"/>
        <v>8.2062190206146204E-2</v>
      </c>
      <c r="K38" s="678">
        <f t="shared" si="2"/>
        <v>1.0000000000955378</v>
      </c>
      <c r="L38" s="679">
        <f t="shared" si="3"/>
        <v>1.3823007659119586E-5</v>
      </c>
      <c r="M38" s="678">
        <f t="shared" si="4"/>
        <v>1.0000000014261579</v>
      </c>
      <c r="N38" s="679">
        <f t="shared" si="5"/>
        <v>-5.3407074999222055E-5</v>
      </c>
      <c r="O38" s="677">
        <f t="shared" si="6"/>
        <v>414.69143551751449</v>
      </c>
      <c r="P38" s="680">
        <f t="shared" si="7"/>
        <v>1.56838489293463</v>
      </c>
      <c r="Q38" s="689">
        <f t="shared" si="8"/>
        <v>1.0001375649272986</v>
      </c>
      <c r="R38" s="690">
        <f t="shared" si="9"/>
        <v>1.65860880896395E-2</v>
      </c>
      <c r="S38" s="677">
        <f t="shared" si="10"/>
        <v>1.0000000028424461</v>
      </c>
      <c r="T38" s="680">
        <f t="shared" si="11"/>
        <v>7.5398223457123098E-5</v>
      </c>
      <c r="U38" s="681">
        <f t="shared" si="24"/>
        <v>0.99959998799111516</v>
      </c>
      <c r="V38" s="682">
        <f t="shared" si="25"/>
        <v>-1.9082093144299318E-4</v>
      </c>
      <c r="W38" s="683">
        <f t="shared" si="12"/>
        <v>55.572739319504862</v>
      </c>
      <c r="X38" s="684">
        <f t="shared" si="13"/>
        <v>-93.630860668459931</v>
      </c>
      <c r="Y38" s="687">
        <f t="shared" si="14"/>
        <v>86.369139331540069</v>
      </c>
      <c r="AA38" s="170">
        <f t="shared" si="15"/>
        <v>1000000000</v>
      </c>
      <c r="AB38" s="170">
        <f t="shared" si="16"/>
        <v>100</v>
      </c>
      <c r="AD38" s="686">
        <f t="shared" si="17"/>
        <v>52.752143546593906</v>
      </c>
      <c r="AE38" s="687">
        <f t="shared" si="18"/>
        <v>-88.915842272651275</v>
      </c>
      <c r="AG38" s="686">
        <f t="shared" si="19"/>
        <v>43.81190653683727</v>
      </c>
      <c r="AH38" s="687">
        <f t="shared" si="20"/>
        <v>-4.6931519277547951</v>
      </c>
      <c r="AJ38" s="170">
        <f t="shared" si="21"/>
        <v>0</v>
      </c>
      <c r="AK38" s="170">
        <f t="shared" si="22"/>
        <v>0</v>
      </c>
      <c r="AM38" s="170" t="str">
        <f t="shared" si="26"/>
        <v>3.71557430378644E-08+0.000272601330036171i</v>
      </c>
      <c r="AN38" s="170" t="str">
        <f t="shared" si="27"/>
        <v>0.000272601333412406i</v>
      </c>
      <c r="AO38" s="170" t="str">
        <f t="shared" si="28"/>
        <v>0.999999987614752-0.000136300665050868i</v>
      </c>
      <c r="AP38" s="170" t="str">
        <f t="shared" si="29"/>
        <v>0.166666660474043-0.0000454335550060285i</v>
      </c>
      <c r="AQ38" s="170" t="str">
        <f t="shared" si="30"/>
        <v>0.833333339525957+0.0000454335550060285i</v>
      </c>
      <c r="AR38" s="170" t="str">
        <f t="shared" si="31"/>
        <v>0.999599989600554-0.0000544984569288646i</v>
      </c>
    </row>
    <row r="39" spans="1:44">
      <c r="A39" s="189" t="s">
        <v>750</v>
      </c>
      <c r="B39" s="714">
        <f>'Design Converter'!E64</f>
        <v>100</v>
      </c>
      <c r="C39" s="170" t="s">
        <v>15</v>
      </c>
      <c r="D39" s="189">
        <f>B39*0.000000000001</f>
        <v>1E-10</v>
      </c>
      <c r="E39" s="170" t="s">
        <v>13</v>
      </c>
      <c r="G39" s="688">
        <v>10.965</v>
      </c>
      <c r="H39" s="676">
        <f t="shared" si="23"/>
        <v>1.0964999999999999E-2</v>
      </c>
      <c r="I39" s="677">
        <f t="shared" si="0"/>
        <v>1.0040583167990984</v>
      </c>
      <c r="J39" s="678">
        <f t="shared" si="1"/>
        <v>8.9940416015957883E-2</v>
      </c>
      <c r="K39" s="678">
        <f t="shared" si="2"/>
        <v>1.0000000001148663</v>
      </c>
      <c r="L39" s="679">
        <f t="shared" si="3"/>
        <v>1.5156927898029319E-5</v>
      </c>
      <c r="M39" s="678">
        <f t="shared" si="4"/>
        <v>1.0000000017146871</v>
      </c>
      <c r="N39" s="679">
        <f t="shared" si="5"/>
        <v>-5.8560857725382637E-5</v>
      </c>
      <c r="O39" s="677">
        <f t="shared" si="6"/>
        <v>454.70893658154534</v>
      </c>
      <c r="P39" s="680">
        <f t="shared" si="7"/>
        <v>1.5685971159907142</v>
      </c>
      <c r="Q39" s="689">
        <f t="shared" si="8"/>
        <v>1.0001653936960684</v>
      </c>
      <c r="R39" s="690">
        <f t="shared" si="9"/>
        <v>1.8186308222925343E-2</v>
      </c>
      <c r="S39" s="677">
        <f t="shared" si="10"/>
        <v>1.0000000034175076</v>
      </c>
      <c r="T39" s="680">
        <f t="shared" si="11"/>
        <v>8.2674151989040319E-5</v>
      </c>
      <c r="U39" s="681">
        <f t="shared" si="24"/>
        <v>0.99959998556157081</v>
      </c>
      <c r="V39" s="682">
        <f t="shared" si="25"/>
        <v>-2.0923515125771769E-4</v>
      </c>
      <c r="W39" s="683">
        <f t="shared" si="12"/>
        <v>54.766912905992065</v>
      </c>
      <c r="X39" s="684">
        <f t="shared" si="13"/>
        <v>-94.004414182414038</v>
      </c>
      <c r="Y39" s="687">
        <f t="shared" si="14"/>
        <v>85.995585817585962</v>
      </c>
      <c r="AA39" s="170">
        <f t="shared" si="15"/>
        <v>1000000000</v>
      </c>
      <c r="AB39" s="170">
        <f t="shared" si="16"/>
        <v>120.23122499999999</v>
      </c>
      <c r="AD39" s="686">
        <f t="shared" si="17"/>
        <v>51.952216751847146</v>
      </c>
      <c r="AE39" s="687">
        <f t="shared" si="18"/>
        <v>-88.836732778057637</v>
      </c>
      <c r="AG39" s="686">
        <f t="shared" si="19"/>
        <v>43.806006960293644</v>
      </c>
      <c r="AH39" s="687">
        <f t="shared" si="20"/>
        <v>-5.1437048221433006</v>
      </c>
      <c r="AJ39" s="170">
        <f t="shared" si="21"/>
        <v>0</v>
      </c>
      <c r="AK39" s="170">
        <f t="shared" si="22"/>
        <v>0</v>
      </c>
      <c r="AM39" s="170" t="str">
        <f t="shared" si="26"/>
        <v>4.46728050107481E-08+0.000298907357635693i</v>
      </c>
      <c r="AN39" s="170" t="str">
        <f t="shared" si="27"/>
        <v>0.000298907362086703i</v>
      </c>
      <c r="AO39" s="170" t="str">
        <f t="shared" si="28"/>
        <v>0.999999985109065-0.000149453679223164i</v>
      </c>
      <c r="AP39" s="170" t="str">
        <f t="shared" si="29"/>
        <v>0.166666659221199-0.0000498178929392822i</v>
      </c>
      <c r="AQ39" s="170" t="str">
        <f t="shared" si="30"/>
        <v>0.833333340778801+0.0000498178929392822i</v>
      </c>
      <c r="AR39" s="170" t="str">
        <f t="shared" si="31"/>
        <v>0.999599987496618-0.0000597575576571497i</v>
      </c>
    </row>
    <row r="40" spans="1:44">
      <c r="B40" s="633"/>
      <c r="D40" s="189"/>
      <c r="G40" s="688">
        <v>12.023</v>
      </c>
      <c r="H40" s="676">
        <f t="shared" si="23"/>
        <v>1.2022999999999999E-2</v>
      </c>
      <c r="I40" s="677">
        <f t="shared" si="0"/>
        <v>1.0048772714858019</v>
      </c>
      <c r="J40" s="678">
        <f t="shared" si="1"/>
        <v>9.8565008924164546E-2</v>
      </c>
      <c r="K40" s="678">
        <f t="shared" si="2"/>
        <v>1.0000000001381024</v>
      </c>
      <c r="L40" s="679">
        <f t="shared" si="3"/>
        <v>1.661940210808788E-5</v>
      </c>
      <c r="M40" s="678">
        <f t="shared" si="4"/>
        <v>1.0000000020615472</v>
      </c>
      <c r="N40" s="679">
        <f t="shared" si="5"/>
        <v>-6.4211326244365208E-5</v>
      </c>
      <c r="O40" s="677">
        <f t="shared" si="6"/>
        <v>498.58306613146993</v>
      </c>
      <c r="P40" s="680">
        <f t="shared" si="7"/>
        <v>1.5687906416074282</v>
      </c>
      <c r="Q40" s="689">
        <f t="shared" si="8"/>
        <v>1.0001988474889045</v>
      </c>
      <c r="R40" s="690">
        <f t="shared" si="9"/>
        <v>1.9940639118383039E-2</v>
      </c>
      <c r="S40" s="677">
        <f t="shared" si="10"/>
        <v>1.0000000041088275</v>
      </c>
      <c r="T40" s="680">
        <f t="shared" si="11"/>
        <v>9.0651283985966345E-5</v>
      </c>
      <c r="U40" s="681">
        <f t="shared" si="24"/>
        <v>0.99959998264085137</v>
      </c>
      <c r="V40" s="682">
        <f t="shared" si="25"/>
        <v>-2.29424005068304E-4</v>
      </c>
      <c r="W40" s="683">
        <f t="shared" si="12"/>
        <v>53.960041002280747</v>
      </c>
      <c r="X40" s="684">
        <f t="shared" si="13"/>
        <v>-94.410993147934704</v>
      </c>
      <c r="Y40" s="687">
        <f t="shared" si="14"/>
        <v>85.589006852065296</v>
      </c>
      <c r="AA40" s="170">
        <f t="shared" si="15"/>
        <v>1000000000</v>
      </c>
      <c r="AB40" s="170">
        <f t="shared" si="16"/>
        <v>144.55252899999999</v>
      </c>
      <c r="AD40" s="686">
        <f t="shared" si="17"/>
        <v>51.15242658109571</v>
      </c>
      <c r="AE40" s="687">
        <f t="shared" si="18"/>
        <v>-88.74776227883828</v>
      </c>
      <c r="AG40" s="686">
        <f t="shared" si="19"/>
        <v>43.798925278092142</v>
      </c>
      <c r="AH40" s="687">
        <f t="shared" si="20"/>
        <v>-5.6369408146475815</v>
      </c>
      <c r="AJ40" s="170">
        <f t="shared" si="21"/>
        <v>0</v>
      </c>
      <c r="AK40" s="170">
        <f t="shared" si="22"/>
        <v>0</v>
      </c>
      <c r="AM40" s="170" t="str">
        <f t="shared" si="26"/>
        <v>5.37095660169129E-08+0.000327748577293991i</v>
      </c>
      <c r="AN40" s="170" t="str">
        <f t="shared" si="27"/>
        <v>0.000327748583161736i</v>
      </c>
      <c r="AO40" s="170" t="str">
        <f t="shared" si="28"/>
        <v>0.99999998209681-0.000163874288940583i</v>
      </c>
      <c r="AP40" s="170" t="str">
        <f t="shared" si="29"/>
        <v>0.166666657715072-0.0000546247628823318i</v>
      </c>
      <c r="AQ40" s="170" t="str">
        <f t="shared" si="30"/>
        <v>0.833333342284928+0.0000546247628823318i</v>
      </c>
      <c r="AR40" s="170" t="str">
        <f t="shared" si="31"/>
        <v>0.999599984967337-0.0000655234938833801i</v>
      </c>
    </row>
    <row r="41" spans="1:44" ht="13">
      <c r="A41" s="333" t="str">
        <f>V3</f>
        <v>Adc</v>
      </c>
      <c r="B41" s="170">
        <f>Adc</f>
        <v>250000</v>
      </c>
      <c r="C41" s="170" t="str">
        <f>X3</f>
        <v>V/V</v>
      </c>
      <c r="D41" s="172">
        <f>10*LOG10(B41)</f>
        <v>53.979400086720375</v>
      </c>
      <c r="E41" s="170" t="s">
        <v>781</v>
      </c>
      <c r="G41" s="688">
        <v>13.183</v>
      </c>
      <c r="H41" s="676">
        <f t="shared" si="23"/>
        <v>1.3183E-2</v>
      </c>
      <c r="I41" s="677">
        <f t="shared" si="0"/>
        <v>1.0058609324121814</v>
      </c>
      <c r="J41" s="678">
        <f t="shared" si="1"/>
        <v>0.10800416112474236</v>
      </c>
      <c r="K41" s="678">
        <f t="shared" si="2"/>
        <v>1.0000000001660365</v>
      </c>
      <c r="L41" s="679">
        <f t="shared" si="3"/>
        <v>1.822287099616089E-5</v>
      </c>
      <c r="M41" s="678">
        <f t="shared" si="4"/>
        <v>1.0000000024785409</v>
      </c>
      <c r="N41" s="679">
        <f t="shared" si="5"/>
        <v>-7.0406546922077983E-5</v>
      </c>
      <c r="O41" s="677">
        <f t="shared" si="6"/>
        <v>546.68704454615818</v>
      </c>
      <c r="P41" s="680">
        <f t="shared" si="7"/>
        <v>1.5689671256685134</v>
      </c>
      <c r="Q41" s="689">
        <f t="shared" si="8"/>
        <v>1.0002390640039407</v>
      </c>
      <c r="R41" s="690">
        <f t="shared" si="9"/>
        <v>2.1863960634928958E-2</v>
      </c>
      <c r="S41" s="677">
        <f t="shared" si="10"/>
        <v>1.0000000049399294</v>
      </c>
      <c r="T41" s="680">
        <f t="shared" si="11"/>
        <v>9.9397477844535679E-5</v>
      </c>
      <c r="U41" s="681">
        <f t="shared" si="24"/>
        <v>0.99959997912958154</v>
      </c>
      <c r="V41" s="682">
        <f t="shared" si="25"/>
        <v>-2.5155923336574068E-4</v>
      </c>
      <c r="W41" s="683">
        <f t="shared" si="12"/>
        <v>53.151866705586535</v>
      </c>
      <c r="X41" s="684">
        <f t="shared" si="13"/>
        <v>-94.853762781175121</v>
      </c>
      <c r="Y41" s="687">
        <f t="shared" si="14"/>
        <v>85.146237218824879</v>
      </c>
      <c r="AA41" s="170">
        <f t="shared" si="15"/>
        <v>1000000000</v>
      </c>
      <c r="AB41" s="170">
        <f t="shared" si="16"/>
        <v>173.79148899999998</v>
      </c>
      <c r="AD41" s="686">
        <f t="shared" si="17"/>
        <v>50.352750653509936</v>
      </c>
      <c r="AE41" s="687">
        <f t="shared" si="18"/>
        <v>-88.648176985026112</v>
      </c>
      <c r="AG41" s="686">
        <f t="shared" si="19"/>
        <v>43.790426970005129</v>
      </c>
      <c r="AH41" s="687">
        <f t="shared" si="20"/>
        <v>-6.1767592313772619</v>
      </c>
      <c r="AJ41" s="170">
        <f t="shared" si="21"/>
        <v>0</v>
      </c>
      <c r="AK41" s="170">
        <f t="shared" si="22"/>
        <v>0</v>
      </c>
      <c r="AM41" s="170" t="str">
        <f t="shared" si="26"/>
        <v>6.45735189763741E-08+0.000359370330102306i</v>
      </c>
      <c r="AN41" s="170" t="str">
        <f t="shared" si="27"/>
        <v>0.000359370337837575i</v>
      </c>
      <c r="AO41" s="170" t="str">
        <f t="shared" si="28"/>
        <v>0.999999978475494-0.000179685166463459i</v>
      </c>
      <c r="AP41" s="170" t="str">
        <f t="shared" si="29"/>
        <v>0.166666655904414-0.000059895055017051i</v>
      </c>
      <c r="AQ41" s="170" t="str">
        <f t="shared" si="30"/>
        <v>0.833333344095586+0.000059895055017051i</v>
      </c>
      <c r="AR41" s="170" t="str">
        <f t="shared" si="31"/>
        <v>0.999599981926648-0.0000718453141671868i</v>
      </c>
    </row>
    <row r="42" spans="1:44" ht="13">
      <c r="A42" s="333" t="str">
        <f>V4</f>
        <v>Crossover</v>
      </c>
      <c r="B42" s="332">
        <f>W4</f>
        <v>1.3183</v>
      </c>
      <c r="C42" s="170" t="str">
        <f>X4</f>
        <v>kHz</v>
      </c>
      <c r="G42" s="688">
        <v>14.454000000000001</v>
      </c>
      <c r="H42" s="676">
        <f t="shared" si="23"/>
        <v>1.4454E-2</v>
      </c>
      <c r="I42" s="677">
        <f t="shared" si="0"/>
        <v>1.0070413964894247</v>
      </c>
      <c r="J42" s="678">
        <f t="shared" si="1"/>
        <v>0.11832434678184298</v>
      </c>
      <c r="K42" s="678">
        <f t="shared" si="2"/>
        <v>1.0000000001995957</v>
      </c>
      <c r="L42" s="679">
        <f t="shared" si="3"/>
        <v>1.9979775269105413E-5</v>
      </c>
      <c r="M42" s="678">
        <f t="shared" si="4"/>
        <v>1.000000002979502</v>
      </c>
      <c r="N42" s="679">
        <f t="shared" si="5"/>
        <v>-7.7194586123935716E-5</v>
      </c>
      <c r="O42" s="677">
        <f t="shared" si="6"/>
        <v>599.39409232922299</v>
      </c>
      <c r="P42" s="680">
        <f t="shared" si="7"/>
        <v>1.5691279745760516</v>
      </c>
      <c r="Q42" s="689">
        <f t="shared" si="8"/>
        <v>1.0002873765297005</v>
      </c>
      <c r="R42" s="690">
        <f t="shared" si="9"/>
        <v>2.3971137875155993E-2</v>
      </c>
      <c r="S42" s="677">
        <f t="shared" si="10"/>
        <v>1.0000000059383847</v>
      </c>
      <c r="T42" s="680">
        <f t="shared" si="11"/>
        <v>1.0898059195999424E-4</v>
      </c>
      <c r="U42" s="681">
        <f t="shared" si="24"/>
        <v>0.99959997491126507</v>
      </c>
      <c r="V42" s="682">
        <f t="shared" si="25"/>
        <v>-2.7581257306788596E-4</v>
      </c>
      <c r="W42" s="683">
        <f t="shared" si="12"/>
        <v>52.34262500930447</v>
      </c>
      <c r="X42" s="684">
        <f t="shared" si="13"/>
        <v>-95.335776413454425</v>
      </c>
      <c r="Y42" s="687">
        <f t="shared" si="14"/>
        <v>84.664223586545575</v>
      </c>
      <c r="AA42" s="170">
        <f t="shared" si="15"/>
        <v>1000000000</v>
      </c>
      <c r="AB42" s="170">
        <f t="shared" si="16"/>
        <v>208.91811600000003</v>
      </c>
      <c r="AD42" s="686">
        <f t="shared" si="17"/>
        <v>49.553696648844188</v>
      </c>
      <c r="AE42" s="687">
        <f t="shared" si="18"/>
        <v>-88.537209657882926</v>
      </c>
      <c r="AG42" s="686">
        <f t="shared" si="19"/>
        <v>43.780239351697787</v>
      </c>
      <c r="AH42" s="687">
        <f t="shared" si="20"/>
        <v>-6.7669609627885343</v>
      </c>
      <c r="AJ42" s="170">
        <f t="shared" si="21"/>
        <v>0</v>
      </c>
      <c r="AK42" s="170">
        <f t="shared" si="22"/>
        <v>0</v>
      </c>
      <c r="AM42" s="170" t="str">
        <f t="shared" si="26"/>
        <v>7.76250780321064E-08+0.000394017957119067i</v>
      </c>
      <c r="AN42" s="170" t="str">
        <f t="shared" si="27"/>
        <v>0.000394017967314292i</v>
      </c>
      <c r="AO42" s="170" t="str">
        <f t="shared" si="28"/>
        <v>0.999999974124974-0.000197008980481817i</v>
      </c>
      <c r="AP42" s="170" t="str">
        <f t="shared" si="29"/>
        <v>0.166666653729154-0.0000656696595198445i</v>
      </c>
      <c r="AQ42" s="170" t="str">
        <f t="shared" si="30"/>
        <v>0.833333346270846+0.0000656696595198445i</v>
      </c>
      <c r="AR42" s="170" t="str">
        <f t="shared" si="31"/>
        <v>0.999599978273673-0.0000787720670521938i</v>
      </c>
    </row>
    <row r="43" spans="1:44" ht="13">
      <c r="A43" s="333" t="str">
        <f>V5</f>
        <v>Phase Margin</v>
      </c>
      <c r="B43" s="531">
        <f>W5</f>
        <v>68.386152138412399</v>
      </c>
      <c r="C43" s="170" t="str">
        <f>X5</f>
        <v>°</v>
      </c>
      <c r="G43" s="688">
        <v>15.849</v>
      </c>
      <c r="H43" s="676">
        <f t="shared" si="23"/>
        <v>1.5848999999999999E-2</v>
      </c>
      <c r="I43" s="677">
        <f t="shared" si="0"/>
        <v>1.008460178654069</v>
      </c>
      <c r="J43" s="678">
        <f t="shared" si="1"/>
        <v>0.12962222486346725</v>
      </c>
      <c r="K43" s="678">
        <f t="shared" si="2"/>
        <v>1.0000000002399823</v>
      </c>
      <c r="L43" s="679">
        <f t="shared" si="3"/>
        <v>2.1908084836828966E-5</v>
      </c>
      <c r="M43" s="678">
        <f t="shared" si="4"/>
        <v>1.0000000035823773</v>
      </c>
      <c r="N43" s="679">
        <f t="shared" si="5"/>
        <v>-8.4644873044591751E-5</v>
      </c>
      <c r="O43" s="677">
        <f t="shared" si="6"/>
        <v>657.24330596373909</v>
      </c>
      <c r="P43" s="680">
        <f t="shared" si="7"/>
        <v>1.5692748196501956</v>
      </c>
      <c r="Q43" s="689">
        <f t="shared" si="8"/>
        <v>1.0003455145204454</v>
      </c>
      <c r="R43" s="690">
        <f t="shared" si="9"/>
        <v>2.628364762350742E-2</v>
      </c>
      <c r="S43" s="677">
        <f t="shared" si="10"/>
        <v>1.0000000071399631</v>
      </c>
      <c r="T43" s="680">
        <f t="shared" si="11"/>
        <v>1.1949864401482943E-4</v>
      </c>
      <c r="U43" s="681">
        <f t="shared" si="24"/>
        <v>0.99959996983478638</v>
      </c>
      <c r="V43" s="682">
        <f t="shared" si="25"/>
        <v>-3.0243209214672384E-4</v>
      </c>
      <c r="W43" s="683">
        <f>20*LOG10(((K43*Q43*M43*U43)/(I43*O43*S43))*Adc)</f>
        <v>51.530626908566916</v>
      </c>
      <c r="X43" s="684">
        <f t="shared" si="13"/>
        <v>-95.861457911997078</v>
      </c>
      <c r="Y43" s="687">
        <f t="shared" si="14"/>
        <v>84.138542088002922</v>
      </c>
      <c r="AA43" s="170">
        <f t="shared" si="15"/>
        <v>1000000000</v>
      </c>
      <c r="AB43" s="170">
        <f t="shared" si="16"/>
        <v>251.19080099999999</v>
      </c>
      <c r="AD43" s="686">
        <f t="shared" si="17"/>
        <v>48.753927192641285</v>
      </c>
      <c r="AE43" s="687">
        <f t="shared" si="18"/>
        <v>-88.413728852060586</v>
      </c>
      <c r="AG43" s="686">
        <f t="shared" si="19"/>
        <v>43.768010795385884</v>
      </c>
      <c r="AH43" s="687">
        <f t="shared" si="20"/>
        <v>-7.4130728949582592</v>
      </c>
      <c r="AJ43" s="170">
        <f t="shared" si="21"/>
        <v>0</v>
      </c>
      <c r="AK43" s="170">
        <f t="shared" si="22"/>
        <v>0</v>
      </c>
      <c r="AM43" s="170" t="str">
        <f t="shared" si="26"/>
        <v>9.33318079487933E-08+0.000432045839884116i</v>
      </c>
      <c r="AN43" s="170" t="str">
        <f t="shared" si="27"/>
        <v>0.000432045853325323i</v>
      </c>
      <c r="AO43" s="170" t="str">
        <f t="shared" si="28"/>
        <v>0.999999968889397-0.000216022922637603i</v>
      </c>
      <c r="AP43" s="170" t="str">
        <f t="shared" si="29"/>
        <v>0.166666651111365-0.000072007639980686i</v>
      </c>
      <c r="AQ43" s="170" t="str">
        <f t="shared" si="30"/>
        <v>0.833333348888635+0.000072007639980686i</v>
      </c>
      <c r="AR43" s="170" t="str">
        <f t="shared" si="31"/>
        <v>0.999599973877548-0.0000863746004401135i</v>
      </c>
    </row>
    <row r="44" spans="1:44">
      <c r="G44" s="688">
        <v>17.378</v>
      </c>
      <c r="H44" s="676">
        <f t="shared" si="23"/>
        <v>1.7378000000000001E-2</v>
      </c>
      <c r="I44" s="677">
        <f t="shared" si="0"/>
        <v>1.0101626603960034</v>
      </c>
      <c r="J44" s="678">
        <f t="shared" si="1"/>
        <v>0.14196713593345101</v>
      </c>
      <c r="K44" s="678">
        <f t="shared" si="2"/>
        <v>1.0000000002885192</v>
      </c>
      <c r="L44" s="679">
        <f t="shared" si="3"/>
        <v>2.4021622706927532E-5</v>
      </c>
      <c r="M44" s="678">
        <f t="shared" si="4"/>
        <v>1.0000000043069237</v>
      </c>
      <c r="N44" s="679">
        <f t="shared" si="5"/>
        <v>-9.2810814755403932E-5</v>
      </c>
      <c r="O44" s="677">
        <f t="shared" si="6"/>
        <v>720.6493751654566</v>
      </c>
      <c r="P44" s="680">
        <f t="shared" si="7"/>
        <v>1.5694086889846319</v>
      </c>
      <c r="Q44" s="689">
        <f t="shared" si="8"/>
        <v>1.0004153813467094</v>
      </c>
      <c r="R44" s="690">
        <f t="shared" si="9"/>
        <v>2.8817967067005051E-2</v>
      </c>
      <c r="S44" s="677">
        <f t="shared" si="10"/>
        <v>1.0000000085840417</v>
      </c>
      <c r="T44" s="680">
        <f t="shared" si="11"/>
        <v>1.3102703222225238E-4</v>
      </c>
      <c r="U44" s="681">
        <f t="shared" si="24"/>
        <v>0.99959996373378535</v>
      </c>
      <c r="V44" s="682">
        <f t="shared" si="25"/>
        <v>-3.3160861131177112E-4</v>
      </c>
      <c r="W44" s="683">
        <f t="shared" si="12"/>
        <v>50.716625467181295</v>
      </c>
      <c r="X44" s="684">
        <f t="shared" si="13"/>
        <v>-96.433912551838588</v>
      </c>
      <c r="Y44" s="687">
        <f t="shared" si="14"/>
        <v>83.566087448161412</v>
      </c>
      <c r="AA44" s="170">
        <f t="shared" si="15"/>
        <v>1000000000</v>
      </c>
      <c r="AB44" s="170">
        <f t="shared" si="16"/>
        <v>301.99488400000001</v>
      </c>
      <c r="AD44" s="686">
        <f t="shared" si="17"/>
        <v>47.954576946586833</v>
      </c>
      <c r="AE44" s="687">
        <f t="shared" si="18"/>
        <v>-88.27685371971215</v>
      </c>
      <c r="AG44" s="686">
        <f t="shared" si="19"/>
        <v>43.753359706082392</v>
      </c>
      <c r="AH44" s="687">
        <f t="shared" si="20"/>
        <v>-8.1190592843263065</v>
      </c>
      <c r="AJ44" s="170">
        <f t="shared" si="21"/>
        <v>0</v>
      </c>
      <c r="AK44" s="170">
        <f t="shared" si="22"/>
        <v>0</v>
      </c>
      <c r="AM44" s="170" t="str">
        <f t="shared" si="26"/>
        <v>1.12208441982453E-07+0.000473726579485371i</v>
      </c>
      <c r="AN44" s="170" t="str">
        <f t="shared" si="27"/>
        <v>0.000473726597204079i</v>
      </c>
      <c r="AO44" s="170" t="str">
        <f t="shared" si="28"/>
        <v>0.999999962597186-0.000236863293394764i</v>
      </c>
      <c r="AP44" s="170" t="str">
        <f t="shared" si="29"/>
        <v>0.16666664796526-0.0000789544299142285i</v>
      </c>
      <c r="AQ44" s="170" t="str">
        <f t="shared" si="30"/>
        <v>0.83333335203474+0.0000789544299142285i</v>
      </c>
      <c r="AR44" s="170" t="str">
        <f t="shared" si="31"/>
        <v>0.999599968594206-0.0000947074126697693i</v>
      </c>
    </row>
    <row r="45" spans="1:44">
      <c r="G45" s="688">
        <v>19.055</v>
      </c>
      <c r="H45" s="676">
        <f t="shared" si="23"/>
        <v>1.9054999999999999E-2</v>
      </c>
      <c r="I45" s="677">
        <f t="shared" si="0"/>
        <v>1.0122063109241601</v>
      </c>
      <c r="J45" s="678">
        <f t="shared" si="1"/>
        <v>0.15545693239356187</v>
      </c>
      <c r="K45" s="678">
        <f t="shared" si="2"/>
        <v>1.000000000346891</v>
      </c>
      <c r="L45" s="679">
        <f t="shared" si="3"/>
        <v>2.633974109003865E-5</v>
      </c>
      <c r="M45" s="678">
        <f t="shared" si="4"/>
        <v>1.0000000051782796</v>
      </c>
      <c r="N45" s="679">
        <f t="shared" si="5"/>
        <v>-1.0176718115645573E-4</v>
      </c>
      <c r="O45" s="677">
        <f t="shared" si="6"/>
        <v>790.19286564106847</v>
      </c>
      <c r="P45" s="680">
        <f t="shared" si="7"/>
        <v>1.569530812626897</v>
      </c>
      <c r="Q45" s="689">
        <f t="shared" si="8"/>
        <v>1.0004993983125907</v>
      </c>
      <c r="R45" s="690">
        <f t="shared" si="9"/>
        <v>3.1597169774894851E-2</v>
      </c>
      <c r="S45" s="677">
        <f t="shared" si="10"/>
        <v>1.0000000103207234</v>
      </c>
      <c r="T45" s="680">
        <f t="shared" si="11"/>
        <v>1.4367131408127211E-4</v>
      </c>
      <c r="U45" s="681">
        <f t="shared" si="24"/>
        <v>0.9995999563965795</v>
      </c>
      <c r="V45" s="682">
        <f t="shared" si="25"/>
        <v>-3.6360928083657972E-4</v>
      </c>
      <c r="W45" s="683">
        <f t="shared" si="12"/>
        <v>49.899618437691288</v>
      </c>
      <c r="X45" s="684">
        <f t="shared" si="13"/>
        <v>-97.057519850798812</v>
      </c>
      <c r="Y45" s="687">
        <f t="shared" si="14"/>
        <v>82.942480149201188</v>
      </c>
      <c r="AA45" s="170">
        <f t="shared" si="15"/>
        <v>1000000000</v>
      </c>
      <c r="AB45" s="170">
        <f t="shared" si="16"/>
        <v>363.09302500000001</v>
      </c>
      <c r="AD45" s="686">
        <f t="shared" si="17"/>
        <v>47.155124562706156</v>
      </c>
      <c r="AE45" s="687">
        <f t="shared" si="18"/>
        <v>-88.125338767231639</v>
      </c>
      <c r="AG45" s="686">
        <f t="shared" si="19"/>
        <v>43.735805187984383</v>
      </c>
      <c r="AH45" s="687">
        <f t="shared" si="20"/>
        <v>-8.8905145291521173</v>
      </c>
      <c r="AJ45" s="170">
        <f t="shared" si="21"/>
        <v>0</v>
      </c>
      <c r="AK45" s="170">
        <f t="shared" ref="AK45:AK53" si="32">IF(AJ45&gt;0,Y43,0)</f>
        <v>0</v>
      </c>
      <c r="AM45" s="170" t="str">
        <f t="shared" si="26"/>
        <v>1.34909910021186E-07+0.000519441817458056i</v>
      </c>
      <c r="AN45" s="170" t="str">
        <f t="shared" si="27"/>
        <v>0.00051944184081734i</v>
      </c>
      <c r="AO45" s="170" t="str">
        <f t="shared" si="28"/>
        <v>0.99999995503003-0.000259720914682009i</v>
      </c>
      <c r="AP45" s="170" t="str">
        <f t="shared" si="29"/>
        <v>0.166666644181682-0.0000865736362430093i</v>
      </c>
      <c r="AQ45" s="170" t="str">
        <f t="shared" si="30"/>
        <v>0.833333355818318+0.0000865736362430093i</v>
      </c>
      <c r="AR45" s="170" t="str">
        <f t="shared" si="31"/>
        <v>0.999599962240338-0.000103846801421433i</v>
      </c>
    </row>
    <row r="46" spans="1:44">
      <c r="G46" s="688">
        <v>20.893000000000001</v>
      </c>
      <c r="H46" s="676">
        <f t="shared" si="23"/>
        <v>2.0893000000000002E-2</v>
      </c>
      <c r="I46" s="677">
        <f t="shared" si="0"/>
        <v>1.014656813456434</v>
      </c>
      <c r="J46" s="678">
        <f t="shared" si="1"/>
        <v>0.17017641305860812</v>
      </c>
      <c r="K46" s="678">
        <f t="shared" si="2"/>
        <v>1.0000000004170391</v>
      </c>
      <c r="L46" s="679">
        <f t="shared" si="3"/>
        <v>2.8880409896008491E-5</v>
      </c>
      <c r="M46" s="678">
        <f t="shared" si="4"/>
        <v>1.0000000062254277</v>
      </c>
      <c r="N46" s="679">
        <f t="shared" si="5"/>
        <v>-1.1158340143886207E-4</v>
      </c>
      <c r="O46" s="677">
        <f t="shared" si="6"/>
        <v>866.41287421340337</v>
      </c>
      <c r="P46" s="680">
        <f t="shared" si="7"/>
        <v>1.5696421423964577</v>
      </c>
      <c r="Q46" s="689">
        <f t="shared" si="8"/>
        <v>1.0006003560012182</v>
      </c>
      <c r="R46" s="690">
        <f t="shared" si="9"/>
        <v>3.4642626889554662E-2</v>
      </c>
      <c r="S46" s="677">
        <f t="shared" si="10"/>
        <v>1.000000012407773</v>
      </c>
      <c r="T46" s="680">
        <f t="shared" si="11"/>
        <v>1.5752950726441979E-4</v>
      </c>
      <c r="U46" s="681">
        <f t="shared" si="24"/>
        <v>0.99959994757912785</v>
      </c>
      <c r="V46" s="682">
        <f t="shared" si="25"/>
        <v>-3.9868216524844977E-4</v>
      </c>
      <c r="W46" s="683">
        <f t="shared" si="12"/>
        <v>49.079656219082601</v>
      </c>
      <c r="X46" s="684">
        <f t="shared" si="13"/>
        <v>-97.73599125950399</v>
      </c>
      <c r="Y46" s="687">
        <f t="shared" si="14"/>
        <v>82.26400874049601</v>
      </c>
      <c r="AA46" s="170">
        <f t="shared" si="15"/>
        <v>1000000000</v>
      </c>
      <c r="AB46" s="170">
        <f t="shared" si="16"/>
        <v>436.51744900000006</v>
      </c>
      <c r="AD46" s="686">
        <f t="shared" si="17"/>
        <v>46.35616511678591</v>
      </c>
      <c r="AE46" s="687">
        <f t="shared" si="18"/>
        <v>-87.958019669593412</v>
      </c>
      <c r="AG46" s="686">
        <f t="shared" si="19"/>
        <v>43.714802568532072</v>
      </c>
      <c r="AH46" s="687">
        <f t="shared" si="20"/>
        <v>-9.7322859789866314</v>
      </c>
      <c r="AJ46" s="170">
        <f t="shared" si="21"/>
        <v>0</v>
      </c>
      <c r="AK46" s="170">
        <f t="shared" si="32"/>
        <v>0</v>
      </c>
      <c r="AM46" s="170" t="str">
        <f t="shared" si="26"/>
        <v>1.62191298946901E-07+0.00056954593510674i</v>
      </c>
      <c r="AN46" s="170" t="str">
        <f t="shared" si="27"/>
        <v>0.00056954596589854i</v>
      </c>
      <c r="AO46" s="170" t="str">
        <f t="shared" si="28"/>
        <v>0.999999945936234-0.000284772974716836i</v>
      </c>
      <c r="AP46" s="170" t="str">
        <f t="shared" si="29"/>
        <v>0.166666639634784-0.00009492432251779i</v>
      </c>
      <c r="AQ46" s="170" t="str">
        <f t="shared" si="30"/>
        <v>0.833333360365216+0.00009492432251779i</v>
      </c>
      <c r="AR46" s="170" t="str">
        <f t="shared" si="31"/>
        <v>0.999599954604606-0.00011386361448205i</v>
      </c>
    </row>
    <row r="47" spans="1:44">
      <c r="G47" s="688">
        <v>22.909000000000002</v>
      </c>
      <c r="H47" s="676">
        <f t="shared" si="23"/>
        <v>2.2909000000000002E-2</v>
      </c>
      <c r="I47" s="677">
        <f t="shared" si="0"/>
        <v>1.0175961257907837</v>
      </c>
      <c r="J47" s="678">
        <f t="shared" si="1"/>
        <v>0.18623598959991597</v>
      </c>
      <c r="K47" s="678">
        <f t="shared" si="2"/>
        <v>1.0000000005014034</v>
      </c>
      <c r="L47" s="679">
        <f t="shared" si="3"/>
        <v>3.166712823770866E-5</v>
      </c>
      <c r="M47" s="678">
        <f t="shared" si="4"/>
        <v>1.0000000074847941</v>
      </c>
      <c r="N47" s="679">
        <f t="shared" si="5"/>
        <v>-1.2235026762153398E-4</v>
      </c>
      <c r="O47" s="677">
        <f t="shared" si="6"/>
        <v>950.01437375679222</v>
      </c>
      <c r="P47" s="680">
        <f t="shared" si="7"/>
        <v>1.5697437109479255</v>
      </c>
      <c r="Q47" s="689">
        <f t="shared" si="8"/>
        <v>1.0007217605791088</v>
      </c>
      <c r="R47" s="690">
        <f t="shared" si="9"/>
        <v>3.798227826330601E-2</v>
      </c>
      <c r="S47" s="677">
        <f t="shared" si="10"/>
        <v>1.0000000149177901</v>
      </c>
      <c r="T47" s="680">
        <f t="shared" si="11"/>
        <v>1.7272978872740892E-4</v>
      </c>
      <c r="U47" s="681">
        <f t="shared" si="24"/>
        <v>0.99959993697470206</v>
      </c>
      <c r="V47" s="682">
        <f t="shared" si="25"/>
        <v>-4.371516623452708E-4</v>
      </c>
      <c r="W47" s="683">
        <f t="shared" si="12"/>
        <v>48.255478964364599</v>
      </c>
      <c r="X47" s="684">
        <f t="shared" si="13"/>
        <v>-98.474141018091103</v>
      </c>
      <c r="Y47" s="687">
        <f t="shared" si="14"/>
        <v>81.525858981908897</v>
      </c>
      <c r="AA47" s="170">
        <f t="shared" si="15"/>
        <v>1000000000</v>
      </c>
      <c r="AB47" s="170">
        <f t="shared" si="16"/>
        <v>524.82228100000009</v>
      </c>
      <c r="AD47" s="686">
        <f t="shared" si="17"/>
        <v>45.557113319267835</v>
      </c>
      <c r="AE47" s="687">
        <f t="shared" si="18"/>
        <v>-87.773362101927006</v>
      </c>
      <c r="AG47" s="686">
        <f t="shared" si="19"/>
        <v>43.689677295623625</v>
      </c>
      <c r="AH47" s="687">
        <f t="shared" si="20"/>
        <v>-10.650685025587837</v>
      </c>
      <c r="AJ47" s="170">
        <f t="shared" si="21"/>
        <v>0</v>
      </c>
      <c r="AK47" s="170">
        <f t="shared" si="32"/>
        <v>0</v>
      </c>
      <c r="AM47" s="170" t="str">
        <f t="shared" si="26"/>
        <v>1.95001613967349E-07+0.000624502354121489i</v>
      </c>
      <c r="AN47" s="170" t="str">
        <f t="shared" si="27"/>
        <v>0.000624502394714481i</v>
      </c>
      <c r="AO47" s="170" t="str">
        <f t="shared" si="28"/>
        <v>0.999999934999461-0.000312251186893371i</v>
      </c>
      <c r="AP47" s="170" t="str">
        <f t="shared" si="29"/>
        <v>0.166666634166398-0.000104083725686915i</v>
      </c>
      <c r="AQ47" s="170" t="str">
        <f t="shared" si="30"/>
        <v>0.833333365833602+0.000104083725686915i</v>
      </c>
      <c r="AR47" s="170" t="str">
        <f t="shared" si="31"/>
        <v>0.999599945421394-0.000124850498949865i</v>
      </c>
    </row>
    <row r="48" spans="1:44">
      <c r="A48" s="170" t="s">
        <v>802</v>
      </c>
      <c r="G48" s="688">
        <v>25.119</v>
      </c>
      <c r="H48" s="676">
        <f t="shared" si="23"/>
        <v>2.5118999999999999E-2</v>
      </c>
      <c r="I48" s="677">
        <f t="shared" si="0"/>
        <v>1.0211179646409758</v>
      </c>
      <c r="J48" s="678">
        <f t="shared" si="1"/>
        <v>0.20372972598733158</v>
      </c>
      <c r="K48" s="678">
        <f t="shared" si="2"/>
        <v>1.0000000006028091</v>
      </c>
      <c r="L48" s="679">
        <f t="shared" si="3"/>
        <v>3.4722012927200167E-5</v>
      </c>
      <c r="M48" s="678">
        <f t="shared" si="4"/>
        <v>1.0000000089985448</v>
      </c>
      <c r="N48" s="679">
        <f t="shared" si="5"/>
        <v>-1.3415323101330576E-4</v>
      </c>
      <c r="O48" s="677">
        <f t="shared" si="6"/>
        <v>1041.6608682374026</v>
      </c>
      <c r="P48" s="680">
        <f t="shared" si="7"/>
        <v>1.569836321303576</v>
      </c>
      <c r="Q48" s="689">
        <f t="shared" si="8"/>
        <v>1.0008676686670759</v>
      </c>
      <c r="R48" s="690">
        <f t="shared" si="9"/>
        <v>4.1642328396550535E-2</v>
      </c>
      <c r="S48" s="677">
        <f t="shared" si="10"/>
        <v>1.0000000179348159</v>
      </c>
      <c r="T48" s="680">
        <f t="shared" si="11"/>
        <v>1.8939279559635679E-4</v>
      </c>
      <c r="U48" s="681">
        <f t="shared" si="24"/>
        <v>0.99959992422824762</v>
      </c>
      <c r="V48" s="682">
        <f t="shared" si="25"/>
        <v>-4.7932308457372848E-4</v>
      </c>
      <c r="W48" s="683">
        <f t="shared" si="12"/>
        <v>47.426812272189302</v>
      </c>
      <c r="X48" s="684">
        <f t="shared" si="13"/>
        <v>-99.275931231463233</v>
      </c>
      <c r="Y48" s="687">
        <f t="shared" si="14"/>
        <v>80.724068768536767</v>
      </c>
      <c r="AA48" s="170">
        <f t="shared" si="15"/>
        <v>1000000000</v>
      </c>
      <c r="AB48" s="170">
        <f t="shared" si="16"/>
        <v>630.96416099999999</v>
      </c>
      <c r="AD48" s="686">
        <f t="shared" si="17"/>
        <v>44.758456163741599</v>
      </c>
      <c r="AE48" s="687">
        <f t="shared" si="18"/>
        <v>-87.569917578738881</v>
      </c>
      <c r="AG48" s="686">
        <f t="shared" si="19"/>
        <v>43.659667980491761</v>
      </c>
      <c r="AH48" s="687">
        <f t="shared" si="20"/>
        <v>-11.651087273123046</v>
      </c>
      <c r="AJ48" s="170">
        <f t="shared" si="21"/>
        <v>0</v>
      </c>
      <c r="AK48" s="170">
        <f t="shared" si="32"/>
        <v>0</v>
      </c>
      <c r="AM48" s="170" t="str">
        <f t="shared" si="26"/>
        <v>2.34439415991439E-07+0.000684747235888037i</v>
      </c>
      <c r="AN48" s="170" t="str">
        <f t="shared" si="27"/>
        <v>0.000684747289398623i</v>
      </c>
      <c r="AO48" s="170" t="str">
        <f t="shared" si="28"/>
        <v>0.999999921853526-0.000342373631295912i</v>
      </c>
      <c r="AP48" s="170" t="str">
        <f t="shared" si="29"/>
        <v>0.166666627593431-0.000114124539314673i</v>
      </c>
      <c r="AQ48" s="170" t="str">
        <f t="shared" si="30"/>
        <v>0.833333372406569+0.000114124539314673i</v>
      </c>
      <c r="AR48" s="170" t="str">
        <f t="shared" si="31"/>
        <v>0.999599934383228-0.000136894651993856i</v>
      </c>
    </row>
    <row r="49" spans="1:44" ht="13">
      <c r="A49" s="170">
        <v>0.1</v>
      </c>
      <c r="C49" s="333" t="s">
        <v>803</v>
      </c>
      <c r="D49" s="761">
        <f>Fco_desire*1000</f>
        <v>1000</v>
      </c>
      <c r="E49" s="761" t="s">
        <v>8</v>
      </c>
      <c r="G49" s="688">
        <v>27.542000000000002</v>
      </c>
      <c r="H49" s="676">
        <f t="shared" si="23"/>
        <v>2.7542000000000001E-2</v>
      </c>
      <c r="I49" s="677">
        <f t="shared" si="0"/>
        <v>1.0253357029304708</v>
      </c>
      <c r="J49" s="678">
        <f t="shared" si="1"/>
        <v>0.22276491347888117</v>
      </c>
      <c r="K49" s="678">
        <f t="shared" si="2"/>
        <v>1.000000000724713</v>
      </c>
      <c r="L49" s="679">
        <f t="shared" si="3"/>
        <v>3.8071327678778143E-5</v>
      </c>
      <c r="M49" s="678">
        <f t="shared" si="4"/>
        <v>1.000000010818288</v>
      </c>
      <c r="N49" s="679">
        <f t="shared" si="5"/>
        <v>-1.4709376504184153E-4</v>
      </c>
      <c r="O49" s="677">
        <f t="shared" si="6"/>
        <v>1142.1402686898448</v>
      </c>
      <c r="P49" s="680">
        <f t="shared" si="7"/>
        <v>1.5699207774817536</v>
      </c>
      <c r="Q49" s="689">
        <f t="shared" si="8"/>
        <v>1.0010430427456056</v>
      </c>
      <c r="R49" s="690">
        <f t="shared" si="9"/>
        <v>4.5653848395890304E-2</v>
      </c>
      <c r="S49" s="677">
        <f t="shared" si="10"/>
        <v>1.0000000215617086</v>
      </c>
      <c r="T49" s="680">
        <f t="shared" si="11"/>
        <v>2.0766178445409144E-4</v>
      </c>
      <c r="U49" s="681">
        <f t="shared" si="24"/>
        <v>0.99959990890520345</v>
      </c>
      <c r="V49" s="682">
        <f t="shared" si="25"/>
        <v>-5.2555899110723857E-4</v>
      </c>
      <c r="W49" s="683">
        <f t="shared" si="12"/>
        <v>46.592668798459485</v>
      </c>
      <c r="X49" s="684">
        <f t="shared" si="13"/>
        <v>-100.14580834978092</v>
      </c>
      <c r="Y49" s="687">
        <f t="shared" si="14"/>
        <v>79.854191650219079</v>
      </c>
      <c r="AA49" s="170">
        <f t="shared" si="15"/>
        <v>1000000000</v>
      </c>
      <c r="AB49" s="170">
        <f t="shared" si="16"/>
        <v>758.56176400000004</v>
      </c>
      <c r="AD49" s="686">
        <f t="shared" si="17"/>
        <v>43.960116070992612</v>
      </c>
      <c r="AE49" s="687">
        <f t="shared" si="18"/>
        <v>-87.345960131609388</v>
      </c>
      <c r="AG49" s="686">
        <f t="shared" si="19"/>
        <v>43.623864865806034</v>
      </c>
      <c r="AH49" s="687">
        <f t="shared" si="20"/>
        <v>-12.739623593951512</v>
      </c>
      <c r="AJ49" s="170">
        <f t="shared" si="21"/>
        <v>0</v>
      </c>
      <c r="AK49" s="170">
        <f t="shared" si="32"/>
        <v>0</v>
      </c>
      <c r="AM49" s="170" t="str">
        <f t="shared" si="26"/>
        <v>2.81849250050037E-07+0.000750798521947108i</v>
      </c>
      <c r="AN49" s="170" t="str">
        <f t="shared" si="27"/>
        <v>0.000750798592484449i</v>
      </c>
      <c r="AO49" s="170" t="str">
        <f t="shared" si="28"/>
        <v>0.999999906050249-0.000375399278676558i</v>
      </c>
      <c r="AP49" s="170" t="str">
        <f t="shared" si="29"/>
        <v>0.166666619691792-0.000125133086991185i</v>
      </c>
      <c r="AQ49" s="170" t="str">
        <f t="shared" si="30"/>
        <v>0.833333380308208+0.000125133086991185i</v>
      </c>
      <c r="AR49" s="170" t="str">
        <f t="shared" si="31"/>
        <v>0.999599921113788-0.000150099620201043i</v>
      </c>
    </row>
    <row r="50" spans="1:44">
      <c r="A50" s="170">
        <v>0.2</v>
      </c>
      <c r="C50" s="760" t="s">
        <v>810</v>
      </c>
      <c r="D50" s="170">
        <f>SQRT(1+(D49/Zero1)^2)*SQRT(1+(D49/z_RHP)^2)/SQRT(1+(D49/pole1)^2)/D58</f>
        <v>0.12076092635468376</v>
      </c>
      <c r="G50" s="688">
        <v>30.2</v>
      </c>
      <c r="H50" s="676">
        <f t="shared" si="23"/>
        <v>3.0199999999999998E-2</v>
      </c>
      <c r="I50" s="677">
        <f t="shared" si="0"/>
        <v>1.0303860531514704</v>
      </c>
      <c r="J50" s="678">
        <f t="shared" si="1"/>
        <v>0.24345867482370201</v>
      </c>
      <c r="K50" s="678">
        <f t="shared" si="2"/>
        <v>1.0000000008713426</v>
      </c>
      <c r="L50" s="679">
        <f t="shared" si="3"/>
        <v>4.1745483108950245E-5</v>
      </c>
      <c r="M50" s="678">
        <f t="shared" si="4"/>
        <v>1.0000000130071298</v>
      </c>
      <c r="N50" s="679">
        <f t="shared" si="5"/>
        <v>-1.6128936525239217E-4</v>
      </c>
      <c r="O50" s="677">
        <f t="shared" si="6"/>
        <v>1252.3648932407268</v>
      </c>
      <c r="P50" s="680">
        <f t="shared" si="7"/>
        <v>1.5699978373836543</v>
      </c>
      <c r="Q50" s="689">
        <f t="shared" si="8"/>
        <v>1.0012539472687811</v>
      </c>
      <c r="R50" s="690">
        <f t="shared" si="9"/>
        <v>5.0052739176716161E-2</v>
      </c>
      <c r="S50" s="677">
        <f t="shared" si="10"/>
        <v>1.0000000259242448</v>
      </c>
      <c r="T50" s="680">
        <f t="shared" si="11"/>
        <v>2.2770263133665424E-4</v>
      </c>
      <c r="U50" s="681">
        <f t="shared" si="24"/>
        <v>0.99959989047418396</v>
      </c>
      <c r="V50" s="682">
        <f t="shared" si="25"/>
        <v>-5.7627918784828517E-4</v>
      </c>
      <c r="W50" s="683">
        <f t="shared" si="12"/>
        <v>45.7515917617296</v>
      </c>
      <c r="X50" s="684">
        <f t="shared" si="13"/>
        <v>-101.08850801256945</v>
      </c>
      <c r="Y50" s="687">
        <f t="shared" si="14"/>
        <v>78.911491987430551</v>
      </c>
      <c r="AA50" s="170">
        <f t="shared" si="15"/>
        <v>1000000000</v>
      </c>
      <c r="AB50" s="170">
        <f t="shared" si="16"/>
        <v>912.04</v>
      </c>
      <c r="AD50" s="686">
        <f t="shared" si="17"/>
        <v>43.161717005191107</v>
      </c>
      <c r="AE50" s="687">
        <f t="shared" si="18"/>
        <v>-87.099485718140258</v>
      </c>
      <c r="AG50" s="686">
        <f t="shared" si="19"/>
        <v>43.581187215185402</v>
      </c>
      <c r="AH50" s="687">
        <f t="shared" si="20"/>
        <v>-13.922985563783861</v>
      </c>
      <c r="AJ50" s="170">
        <f t="shared" si="21"/>
        <v>0</v>
      </c>
      <c r="AK50" s="170">
        <f t="shared" si="32"/>
        <v>0</v>
      </c>
      <c r="AM50" s="170" t="str">
        <f t="shared" si="26"/>
        <v>3.38875223993007E-07+0.000823255933911775i</v>
      </c>
      <c r="AN50" s="170" t="str">
        <f t="shared" si="27"/>
        <v>0.000823256026905467i</v>
      </c>
      <c r="AO50" s="170" t="str">
        <f t="shared" si="28"/>
        <v>0.99999988704159-0.000411627990464647i</v>
      </c>
      <c r="AP50" s="170" t="str">
        <f t="shared" si="29"/>
        <v>0.166666610187463-0.000137209322318629i</v>
      </c>
      <c r="AQ50" s="170" t="str">
        <f t="shared" si="30"/>
        <v>0.833333389812537+0.000137209322318629i</v>
      </c>
      <c r="AR50" s="170" t="str">
        <f t="shared" si="31"/>
        <v>0.999599905152907-0.000164585299536179i</v>
      </c>
    </row>
    <row r="51" spans="1:44" ht="13">
      <c r="A51" s="170">
        <v>0.3</v>
      </c>
      <c r="C51" s="333" t="s">
        <v>811</v>
      </c>
      <c r="D51" s="761">
        <f>20*LOG(D50*Acs*Am)</f>
        <v>25.476239241343084</v>
      </c>
      <c r="E51" s="333" t="s">
        <v>781</v>
      </c>
      <c r="G51" s="688">
        <v>33.113</v>
      </c>
      <c r="H51" s="676">
        <f t="shared" si="23"/>
        <v>3.3112999999999997E-2</v>
      </c>
      <c r="I51" s="677">
        <f t="shared" si="0"/>
        <v>1.0364223721496586</v>
      </c>
      <c r="J51" s="678">
        <f t="shared" si="1"/>
        <v>0.26589541128276034</v>
      </c>
      <c r="K51" s="678">
        <f t="shared" si="2"/>
        <v>1.0000000010475436</v>
      </c>
      <c r="L51" s="679">
        <f t="shared" si="3"/>
        <v>4.5772125232592459E-5</v>
      </c>
      <c r="M51" s="678">
        <f t="shared" si="4"/>
        <v>1.0000000156374036</v>
      </c>
      <c r="N51" s="679">
        <f t="shared" si="5"/>
        <v>-1.76846845769448E-4</v>
      </c>
      <c r="O51" s="677">
        <f t="shared" si="6"/>
        <v>1373.1641220593224</v>
      </c>
      <c r="P51" s="680">
        <f t="shared" si="7"/>
        <v>1.5700680816621222</v>
      </c>
      <c r="Q51" s="689">
        <f t="shared" si="8"/>
        <v>1.0015073269476251</v>
      </c>
      <c r="R51" s="690">
        <f t="shared" si="9"/>
        <v>5.4871413644436783E-2</v>
      </c>
      <c r="S51" s="677">
        <f t="shared" si="10"/>
        <v>1.0000000311665898</v>
      </c>
      <c r="T51" s="680">
        <f t="shared" si="11"/>
        <v>2.4966613261918544E-4</v>
      </c>
      <c r="U51" s="681">
        <f t="shared" si="24"/>
        <v>0.99959986832611103</v>
      </c>
      <c r="V51" s="682">
        <f t="shared" si="25"/>
        <v>-6.3186531592122127E-4</v>
      </c>
      <c r="W51" s="683">
        <f t="shared" si="12"/>
        <v>44.903221935606872</v>
      </c>
      <c r="X51" s="684">
        <f t="shared" si="13"/>
        <v>-102.10707724456705</v>
      </c>
      <c r="Y51" s="687">
        <f t="shared" si="14"/>
        <v>77.892922755432949</v>
      </c>
      <c r="AA51" s="170">
        <f t="shared" si="15"/>
        <v>1000000000</v>
      </c>
      <c r="AB51" s="170">
        <f t="shared" si="16"/>
        <v>1096.470769</v>
      </c>
      <c r="AD51" s="686">
        <f t="shared" si="17"/>
        <v>42.364083495762529</v>
      </c>
      <c r="AE51" s="687">
        <f t="shared" si="18"/>
        <v>-86.828679124600953</v>
      </c>
      <c r="AG51" s="686">
        <f t="shared" si="19"/>
        <v>43.530451283396694</v>
      </c>
      <c r="AH51" s="687">
        <f t="shared" si="20"/>
        <v>-15.205991688237386</v>
      </c>
      <c r="AJ51" s="170">
        <f t="shared" si="21"/>
        <v>0</v>
      </c>
      <c r="AK51" s="170">
        <f t="shared" si="32"/>
        <v>0</v>
      </c>
      <c r="AM51" s="170" t="str">
        <f t="shared" si="26"/>
        <v>4.07401839042087E-07+0.000902664672746065i</v>
      </c>
      <c r="AN51" s="170" t="str">
        <f t="shared" si="27"/>
        <v>0.000902664795328501i</v>
      </c>
      <c r="AO51" s="170" t="str">
        <f t="shared" si="28"/>
        <v>0.999999864199383-0.000451332367397605i</v>
      </c>
      <c r="AP51" s="170" t="str">
        <f t="shared" si="29"/>
        <v>0.16666659876636-0.000150444112124344i</v>
      </c>
      <c r="AQ51" s="170" t="str">
        <f t="shared" si="30"/>
        <v>0.83333340123364+0.000150444112124344i</v>
      </c>
      <c r="AR51" s="170" t="str">
        <f t="shared" si="31"/>
        <v>0.999599885973136-0.000180460686085786i</v>
      </c>
    </row>
    <row r="52" spans="1:44">
      <c r="A52" s="170">
        <v>0.4</v>
      </c>
      <c r="C52" s="170" t="s">
        <v>694</v>
      </c>
      <c r="D52" s="170" t="str">
        <f>IMSUB(1,IMEXP(COMPLEX(0,-2*Pi*D49*Tsw)))</f>
        <v>0.000371534426305997+0.0272567572316119i</v>
      </c>
      <c r="G52" s="688">
        <v>36.308</v>
      </c>
      <c r="H52" s="676">
        <f t="shared" si="23"/>
        <v>3.6308E-2</v>
      </c>
      <c r="I52" s="677">
        <f t="shared" si="0"/>
        <v>1.0436355282770635</v>
      </c>
      <c r="J52" s="678">
        <f t="shared" si="1"/>
        <v>0.29019212144170037</v>
      </c>
      <c r="K52" s="678">
        <f t="shared" si="2"/>
        <v>1.0000000012594465</v>
      </c>
      <c r="L52" s="679">
        <f t="shared" si="3"/>
        <v>5.0188576169788103E-5</v>
      </c>
      <c r="M52" s="678">
        <f t="shared" si="4"/>
        <v>1.0000000188006231</v>
      </c>
      <c r="N52" s="679">
        <f t="shared" si="5"/>
        <v>-1.9391040566111569E-4</v>
      </c>
      <c r="O52" s="677">
        <f t="shared" si="6"/>
        <v>1505.6576184386859</v>
      </c>
      <c r="P52" s="680">
        <f t="shared" si="7"/>
        <v>1.5701321651280793</v>
      </c>
      <c r="Q52" s="689">
        <f t="shared" si="8"/>
        <v>1.0018119614889511</v>
      </c>
      <c r="R52" s="690">
        <f t="shared" si="9"/>
        <v>6.0153631794256986E-2</v>
      </c>
      <c r="S52" s="677">
        <f t="shared" si="10"/>
        <v>1.0000000374711375</v>
      </c>
      <c r="T52" s="680">
        <f t="shared" si="11"/>
        <v>2.7375586340825102E-4</v>
      </c>
      <c r="U52" s="681">
        <f t="shared" si="24"/>
        <v>0.9995998416904055</v>
      </c>
      <c r="V52" s="682">
        <f t="shared" si="25"/>
        <v>-6.9283259095002415E-4</v>
      </c>
      <c r="W52" s="683">
        <f t="shared" si="12"/>
        <v>44.045546226760251</v>
      </c>
      <c r="X52" s="684">
        <f t="shared" si="13"/>
        <v>-103.20579713308375</v>
      </c>
      <c r="Y52" s="687">
        <f t="shared" si="14"/>
        <v>76.794202866916251</v>
      </c>
      <c r="AA52" s="170">
        <f t="shared" si="15"/>
        <v>1000000000</v>
      </c>
      <c r="AB52" s="170">
        <f t="shared" si="16"/>
        <v>1318.2708640000001</v>
      </c>
      <c r="AD52" s="686">
        <f t="shared" si="17"/>
        <v>41.566649513280979</v>
      </c>
      <c r="AE52" s="687">
        <f t="shared" si="18"/>
        <v>-86.531082269848525</v>
      </c>
      <c r="AG52" s="686">
        <f t="shared" si="19"/>
        <v>43.470210019926448</v>
      </c>
      <c r="AH52" s="687">
        <f t="shared" si="20"/>
        <v>-16.595322096403393</v>
      </c>
      <c r="AJ52" s="170">
        <f t="shared" si="21"/>
        <v>0</v>
      </c>
      <c r="AK52" s="170">
        <f t="shared" si="32"/>
        <v>0</v>
      </c>
      <c r="AM52" s="170" t="str">
        <f t="shared" si="26"/>
        <v>4.8981330103004E-07+0.000989760759754404i</v>
      </c>
      <c r="AN52" s="170" t="str">
        <f t="shared" si="27"/>
        <v>0.000989760921353764i</v>
      </c>
      <c r="AO52" s="170" t="str">
        <f t="shared" si="28"/>
        <v>0.999999836728894-0.000494880420576808i</v>
      </c>
      <c r="AP52" s="170" t="str">
        <f t="shared" si="29"/>
        <v>0.166666585031117-0.000164960126625734i</v>
      </c>
      <c r="AQ52" s="170" t="str">
        <f t="shared" si="30"/>
        <v>0.833333414968883+0.000164960126625734i</v>
      </c>
      <c r="AR52" s="170" t="str">
        <f t="shared" si="31"/>
        <v>0.999599862907168-0.000197872924568121i</v>
      </c>
    </row>
    <row r="53" spans="1:44">
      <c r="A53" s="170">
        <v>0.5</v>
      </c>
      <c r="C53" s="170" t="s">
        <v>804</v>
      </c>
      <c r="D53" s="170" t="str">
        <f>COMPLEX(0, 2*Pi*D49*Tsw)</f>
        <v>0.0272601333412406i</v>
      </c>
      <c r="G53" s="688">
        <v>39.811</v>
      </c>
      <c r="H53" s="676">
        <f t="shared" si="23"/>
        <v>3.9810999999999999E-2</v>
      </c>
      <c r="I53" s="677">
        <f t="shared" si="0"/>
        <v>1.052241628829337</v>
      </c>
      <c r="J53" s="678">
        <f t="shared" si="1"/>
        <v>0.31643099289829035</v>
      </c>
      <c r="K53" s="678">
        <f t="shared" si="2"/>
        <v>1.000000001514193</v>
      </c>
      <c r="L53" s="679">
        <f t="shared" si="3"/>
        <v>5.503077573967451E-5</v>
      </c>
      <c r="M53" s="678">
        <f t="shared" si="4"/>
        <v>1.0000000226033994</v>
      </c>
      <c r="N53" s="679">
        <f t="shared" si="5"/>
        <v>-2.1261890327761501E-4</v>
      </c>
      <c r="O53" s="677">
        <f t="shared" si="6"/>
        <v>1650.9235767175865</v>
      </c>
      <c r="P53" s="680">
        <f t="shared" si="7"/>
        <v>1.5701906052004797</v>
      </c>
      <c r="Q53" s="689">
        <f t="shared" si="8"/>
        <v>1.0021780661388771</v>
      </c>
      <c r="R53" s="690">
        <f t="shared" si="9"/>
        <v>6.5941188381333393E-2</v>
      </c>
      <c r="S53" s="677">
        <f t="shared" si="10"/>
        <v>1.0000000450503734</v>
      </c>
      <c r="T53" s="680">
        <f t="shared" si="11"/>
        <v>3.0016785895884399E-4</v>
      </c>
      <c r="U53" s="681">
        <f t="shared" si="24"/>
        <v>0.99959980966934681</v>
      </c>
      <c r="V53" s="682">
        <f t="shared" si="25"/>
        <v>-7.5967714635272285E-4</v>
      </c>
      <c r="W53" s="683">
        <f t="shared" si="12"/>
        <v>43.177372174405271</v>
      </c>
      <c r="X53" s="684">
        <f t="shared" si="13"/>
        <v>-104.3870572185899</v>
      </c>
      <c r="Y53" s="687">
        <f t="shared" si="14"/>
        <v>75.612942781410098</v>
      </c>
      <c r="AA53" s="170">
        <f t="shared" si="15"/>
        <v>1000000000</v>
      </c>
      <c r="AB53" s="170">
        <f t="shared" si="16"/>
        <v>1584.9157210000001</v>
      </c>
      <c r="AD53" s="686">
        <f t="shared" si="17"/>
        <v>40.769808185878482</v>
      </c>
      <c r="AE53" s="687">
        <f t="shared" si="18"/>
        <v>-86.204341368719113</v>
      </c>
      <c r="AG53" s="686">
        <f t="shared" si="19"/>
        <v>43.398877851459417</v>
      </c>
      <c r="AH53" s="687">
        <f t="shared" si="20"/>
        <v>-18.095663261214213</v>
      </c>
      <c r="AJ53" s="170">
        <f t="shared" si="21"/>
        <v>0</v>
      </c>
      <c r="AK53" s="170">
        <f t="shared" si="32"/>
        <v>0</v>
      </c>
      <c r="AM53" s="170" t="str">
        <f t="shared" si="26"/>
        <v>5.88887162034091E-07+0.00108525295541757i</v>
      </c>
      <c r="AN53" s="170" t="str">
        <f t="shared" si="27"/>
        <v>0.00108525316844813i</v>
      </c>
      <c r="AO53" s="170" t="str">
        <f t="shared" si="28"/>
        <v>0.999999803704273-0.000542626530983712i</v>
      </c>
      <c r="AP53" s="170" t="str">
        <f t="shared" si="29"/>
        <v>0.166666568518806-0.000180875492569595i</v>
      </c>
      <c r="AQ53" s="170" t="str">
        <f t="shared" si="30"/>
        <v>0.833333431481194+0.000180875492569595i</v>
      </c>
      <c r="AR53" s="170" t="str">
        <f t="shared" si="31"/>
        <v>0.999599835177596-0.000216963709518852i</v>
      </c>
    </row>
    <row r="54" spans="1:44">
      <c r="A54" s="170">
        <v>0.6</v>
      </c>
      <c r="C54" s="170" t="s">
        <v>805</v>
      </c>
      <c r="D54" s="170" t="str">
        <f>IMDIV(D52, D53)</f>
        <v>0.999876152123453-0.0136292226327418i</v>
      </c>
      <c r="G54" s="688">
        <v>43.652000000000001</v>
      </c>
      <c r="H54" s="676">
        <f t="shared" si="23"/>
        <v>4.3652000000000003E-2</v>
      </c>
      <c r="I54" s="677">
        <f t="shared" si="0"/>
        <v>1.0624962772915332</v>
      </c>
      <c r="J54" s="678">
        <f t="shared" si="1"/>
        <v>0.34469142090634941</v>
      </c>
      <c r="K54" s="678">
        <f t="shared" si="2"/>
        <v>1.0000000018204693</v>
      </c>
      <c r="L54" s="679">
        <f t="shared" si="3"/>
        <v>6.0340192964200345E-5</v>
      </c>
      <c r="M54" s="678">
        <f t="shared" si="4"/>
        <v>1.0000000271753957</v>
      </c>
      <c r="N54" s="679">
        <f t="shared" si="5"/>
        <v>-2.3313255978461362E-4</v>
      </c>
      <c r="O54" s="677">
        <f t="shared" si="6"/>
        <v>1810.2060673346286</v>
      </c>
      <c r="P54" s="680">
        <f t="shared" si="7"/>
        <v>1.5702439034719904</v>
      </c>
      <c r="Q54" s="689">
        <f t="shared" si="8"/>
        <v>1.0026180489149117</v>
      </c>
      <c r="R54" s="690">
        <f t="shared" si="9"/>
        <v>7.2282083945029635E-2</v>
      </c>
      <c r="S54" s="677">
        <f t="shared" si="10"/>
        <v>1.0000000541627259</v>
      </c>
      <c r="T54" s="680">
        <f t="shared" si="11"/>
        <v>3.2912831377439566E-4</v>
      </c>
      <c r="U54" s="681">
        <f t="shared" si="24"/>
        <v>0.99959977117111576</v>
      </c>
      <c r="V54" s="682">
        <f t="shared" si="25"/>
        <v>-8.3297144435989583E-4</v>
      </c>
      <c r="W54" s="683">
        <f t="shared" si="12"/>
        <v>42.296924618564795</v>
      </c>
      <c r="X54" s="684">
        <f t="shared" si="13"/>
        <v>-105.6527375885246</v>
      </c>
      <c r="Y54" s="687">
        <f t="shared" si="14"/>
        <v>74.347262411475398</v>
      </c>
      <c r="AA54" s="170">
        <f t="shared" si="15"/>
        <v>1000000000</v>
      </c>
      <c r="AB54" s="170">
        <f t="shared" si="16"/>
        <v>1905.497104</v>
      </c>
      <c r="AD54" s="686">
        <f t="shared" si="17"/>
        <v>39.973599676044692</v>
      </c>
      <c r="AE54" s="687">
        <f t="shared" si="18"/>
        <v>-85.845747892022956</v>
      </c>
      <c r="AG54" s="686">
        <f t="shared" si="19"/>
        <v>43.314639474503252</v>
      </c>
      <c r="AH54" s="687">
        <f t="shared" si="20"/>
        <v>-19.711538199959115</v>
      </c>
      <c r="AJ54" s="170">
        <f t="shared" si="21"/>
        <v>0</v>
      </c>
      <c r="AK54" s="170">
        <f t="shared" ref="AK54:AK85" si="33">IF(AJ54&gt;0,Y54,0)</f>
        <v>0</v>
      </c>
      <c r="AM54" s="170" t="str">
        <f t="shared" si="26"/>
        <v>7.08001532956359E-07+0.00118995905978081i</v>
      </c>
      <c r="AN54" s="170" t="str">
        <f t="shared" si="27"/>
        <v>0.00118995934061184i</v>
      </c>
      <c r="AO54" s="170" t="str">
        <f t="shared" si="28"/>
        <v>0.999999763999474-0.000594979600388974i</v>
      </c>
      <c r="AP54" s="170" t="str">
        <f t="shared" si="29"/>
        <v>0.166666548666411-0.000198326509963468i</v>
      </c>
      <c r="AQ54" s="170" t="str">
        <f t="shared" si="30"/>
        <v>0.833333451333589+0.000198326509963468i</v>
      </c>
      <c r="AR54" s="170" t="str">
        <f t="shared" si="31"/>
        <v>0.999599801838934-0.000237896534384446i</v>
      </c>
    </row>
    <row r="55" spans="1:44">
      <c r="A55" s="170">
        <v>0.7</v>
      </c>
      <c r="C55" s="170" t="s">
        <v>806</v>
      </c>
      <c r="D55" s="170" t="str">
        <f>IMDIV(IMEXP(COMPLEX(0,-2*Pi*D49*Tsw)),6)</f>
        <v>0.166604744262282-0.00454279287193532i</v>
      </c>
      <c r="G55" s="688">
        <v>47.863</v>
      </c>
      <c r="H55" s="676">
        <f t="shared" si="23"/>
        <v>4.7863000000000003E-2</v>
      </c>
      <c r="I55" s="677">
        <f t="shared" si="0"/>
        <v>1.0746938494251768</v>
      </c>
      <c r="J55" s="678">
        <f t="shared" si="1"/>
        <v>0.37502748192936258</v>
      </c>
      <c r="K55" s="678">
        <f t="shared" si="2"/>
        <v>1.000000002188643</v>
      </c>
      <c r="L55" s="679">
        <f t="shared" si="3"/>
        <v>6.6161061466522687E-5</v>
      </c>
      <c r="M55" s="678">
        <f t="shared" si="4"/>
        <v>1.0000000326713754</v>
      </c>
      <c r="N55" s="679">
        <f t="shared" si="5"/>
        <v>-2.5562227774412739E-4</v>
      </c>
      <c r="O55" s="677">
        <f t="shared" si="6"/>
        <v>1984.8320988022326</v>
      </c>
      <c r="P55" s="680">
        <f t="shared" si="7"/>
        <v>1.5702925058203621</v>
      </c>
      <c r="Q55" s="689">
        <f t="shared" si="8"/>
        <v>1.0031466951232491</v>
      </c>
      <c r="R55" s="690">
        <f t="shared" si="9"/>
        <v>7.9227088937320361E-2</v>
      </c>
      <c r="S55" s="677">
        <f t="shared" si="10"/>
        <v>1.0000000651166501</v>
      </c>
      <c r="T55" s="680">
        <f t="shared" si="11"/>
        <v>3.6087850195054734E-4</v>
      </c>
      <c r="U55" s="681">
        <f t="shared" si="24"/>
        <v>0.99959972489255144</v>
      </c>
      <c r="V55" s="682">
        <f t="shared" si="25"/>
        <v>-9.1332610942641921E-4</v>
      </c>
      <c r="W55" s="683">
        <f t="shared" si="12"/>
        <v>41.402440640717955</v>
      </c>
      <c r="X55" s="684">
        <f t="shared" si="13"/>
        <v>-107.00310927809517</v>
      </c>
      <c r="Y55" s="687">
        <f t="shared" si="14"/>
        <v>72.996890721904833</v>
      </c>
      <c r="AA55" s="170">
        <f t="shared" si="15"/>
        <v>1000000000</v>
      </c>
      <c r="AB55" s="170">
        <f t="shared" si="16"/>
        <v>2290.8667689999997</v>
      </c>
      <c r="AD55" s="686">
        <f t="shared" si="17"/>
        <v>39.178262975486327</v>
      </c>
      <c r="AE55" s="687">
        <f t="shared" si="18"/>
        <v>-85.452432278035346</v>
      </c>
      <c r="AG55" s="686">
        <f t="shared" si="19"/>
        <v>43.215493001477697</v>
      </c>
      <c r="AH55" s="687">
        <f t="shared" si="20"/>
        <v>-21.446017537161755</v>
      </c>
      <c r="AJ55" s="170">
        <f t="shared" si="21"/>
        <v>0</v>
      </c>
      <c r="AK55" s="170">
        <f t="shared" si="33"/>
        <v>0</v>
      </c>
      <c r="AM55" s="170" t="str">
        <f t="shared" si="26"/>
        <v>8.51188460049279E-07+0.00130475139191523i</v>
      </c>
      <c r="AN55" s="170" t="str">
        <f t="shared" si="27"/>
        <v>0.0013047517621118i</v>
      </c>
      <c r="AO55" s="170" t="str">
        <f t="shared" si="28"/>
        <v>0.999999716270496-0.00065237578884093i</v>
      </c>
      <c r="AP55" s="170" t="str">
        <f t="shared" si="29"/>
        <v>0.166666524801923-0.000217458565319205i</v>
      </c>
      <c r="AQ55" s="170" t="str">
        <f t="shared" si="30"/>
        <v>0.833333475198077+0.000217458565319205i</v>
      </c>
      <c r="AR55" s="170" t="str">
        <f t="shared" si="31"/>
        <v>0.999599761762661-0.000260845791697807i</v>
      </c>
    </row>
    <row r="56" spans="1:44">
      <c r="A56" s="170">
        <v>0.8</v>
      </c>
      <c r="C56" s="170" t="s">
        <v>807</v>
      </c>
      <c r="D56" s="170" t="str">
        <f>IMSUB(1, D55)</f>
        <v>0.833395255737718+0.00454279287193532i</v>
      </c>
      <c r="G56" s="688">
        <v>52.481000000000002</v>
      </c>
      <c r="H56" s="676">
        <f t="shared" si="23"/>
        <v>5.2481E-2</v>
      </c>
      <c r="I56" s="677">
        <f t="shared" si="0"/>
        <v>1.08917998121613</v>
      </c>
      <c r="J56" s="678">
        <f t="shared" si="1"/>
        <v>0.40748126047616656</v>
      </c>
      <c r="K56" s="678">
        <f t="shared" si="2"/>
        <v>1.000000002631354</v>
      </c>
      <c r="L56" s="679">
        <f t="shared" si="3"/>
        <v>7.2544526373185777E-5</v>
      </c>
      <c r="M56" s="678">
        <f t="shared" si="4"/>
        <v>1.0000000392800279</v>
      </c>
      <c r="N56" s="679">
        <f t="shared" si="5"/>
        <v>-2.8028566323015262E-4</v>
      </c>
      <c r="O56" s="677">
        <f t="shared" si="6"/>
        <v>2176.336024757326</v>
      </c>
      <c r="P56" s="680">
        <f t="shared" si="7"/>
        <v>1.570336838910759</v>
      </c>
      <c r="Q56" s="689">
        <f t="shared" si="8"/>
        <v>1.0037819982387861</v>
      </c>
      <c r="R56" s="690">
        <f t="shared" si="9"/>
        <v>8.6834520652643618E-2</v>
      </c>
      <c r="S56" s="677">
        <f t="shared" si="10"/>
        <v>1.0000000782882199</v>
      </c>
      <c r="T56" s="680">
        <f t="shared" si="11"/>
        <v>3.956973966228636E-4</v>
      </c>
      <c r="U56" s="681">
        <f t="shared" si="24"/>
        <v>0.99959966924479948</v>
      </c>
      <c r="V56" s="682">
        <f t="shared" si="25"/>
        <v>-1.0014471762249337E-3</v>
      </c>
      <c r="W56" s="683">
        <f t="shared" si="12"/>
        <v>40.491597958388425</v>
      </c>
      <c r="X56" s="684">
        <f t="shared" si="13"/>
        <v>-108.43733149169341</v>
      </c>
      <c r="Y56" s="687">
        <f t="shared" si="14"/>
        <v>71.562668508306587</v>
      </c>
      <c r="AA56" s="170">
        <f t="shared" si="15"/>
        <v>1000000000</v>
      </c>
      <c r="AB56" s="170">
        <f t="shared" si="16"/>
        <v>2754.255361</v>
      </c>
      <c r="AD56" s="686">
        <f t="shared" si="17"/>
        <v>38.383718458860024</v>
      </c>
      <c r="AE56" s="687">
        <f t="shared" si="18"/>
        <v>-85.021093622005026</v>
      </c>
      <c r="AG56" s="686">
        <f t="shared" si="19"/>
        <v>43.099195802862063</v>
      </c>
      <c r="AH56" s="687">
        <f t="shared" si="20"/>
        <v>-23.301480476351298</v>
      </c>
      <c r="AJ56" s="170">
        <f t="shared" si="21"/>
        <v>0</v>
      </c>
      <c r="AK56" s="170">
        <f t="shared" si="33"/>
        <v>0</v>
      </c>
      <c r="AM56" s="170" t="str">
        <f t="shared" si="26"/>
        <v>0.000001023363881969+0.00143063856986017i</v>
      </c>
      <c r="AN56" s="170" t="str">
        <f t="shared" si="27"/>
        <v>0.00143063905788165i</v>
      </c>
      <c r="AO56" s="170" t="str">
        <f t="shared" si="28"/>
        <v>0.999999658878683-0.000715319406618394i</v>
      </c>
      <c r="AP56" s="170" t="str">
        <f t="shared" si="29"/>
        <v>0.16666649610602-0.000238439761643362i</v>
      </c>
      <c r="AQ56" s="170" t="str">
        <f t="shared" si="30"/>
        <v>0.83333350389398+0.000238439761643362i</v>
      </c>
      <c r="AR56" s="170" t="str">
        <f t="shared" si="31"/>
        <v>0.999599713572871-0.000286013122392606i</v>
      </c>
    </row>
    <row r="57" spans="1:44">
      <c r="A57" s="170">
        <v>0.9</v>
      </c>
      <c r="C57" s="170" t="s">
        <v>808</v>
      </c>
      <c r="D57" s="170" t="str">
        <f>IMDIV(0.833,D56)</f>
        <v>0.999496030514046-0.00544819929281649i</v>
      </c>
      <c r="G57" s="688">
        <v>57.544000000000004</v>
      </c>
      <c r="H57" s="676">
        <f t="shared" si="23"/>
        <v>5.7544000000000005E-2</v>
      </c>
      <c r="I57" s="677">
        <f t="shared" si="0"/>
        <v>1.1063432614842958</v>
      </c>
      <c r="J57" s="678">
        <f t="shared" si="1"/>
        <v>0.44204529043988733</v>
      </c>
      <c r="K57" s="678">
        <f t="shared" si="2"/>
        <v>1.0000000031635536</v>
      </c>
      <c r="L57" s="679">
        <f t="shared" si="3"/>
        <v>7.9543115110944723E-5</v>
      </c>
      <c r="M57" s="678">
        <f t="shared" si="4"/>
        <v>1.0000000472245334</v>
      </c>
      <c r="N57" s="679">
        <f t="shared" si="5"/>
        <v>-3.0732566299217933E-4</v>
      </c>
      <c r="O57" s="677">
        <f t="shared" si="6"/>
        <v>2386.2936678910828</v>
      </c>
      <c r="P57" s="680">
        <f t="shared" si="7"/>
        <v>1.5703772668766962</v>
      </c>
      <c r="Q57" s="689">
        <f t="shared" si="8"/>
        <v>1.0045451878094223</v>
      </c>
      <c r="R57" s="690">
        <f t="shared" si="9"/>
        <v>9.516342477945465E-2</v>
      </c>
      <c r="S57" s="677">
        <f t="shared" si="10"/>
        <v>1.0000000941222513</v>
      </c>
      <c r="T57" s="680">
        <f t="shared" si="11"/>
        <v>4.3387151065919799E-4</v>
      </c>
      <c r="U57" s="681">
        <f t="shared" si="24"/>
        <v>0.99959960234858625</v>
      </c>
      <c r="V57" s="682">
        <f t="shared" si="25"/>
        <v>-1.0980597630946985E-3</v>
      </c>
      <c r="W57" s="683">
        <f t="shared" si="12"/>
        <v>39.562435161681933</v>
      </c>
      <c r="X57" s="684">
        <f t="shared" si="13"/>
        <v>-109.95168082805945</v>
      </c>
      <c r="Y57" s="687">
        <f t="shared" si="14"/>
        <v>70.048319171940548</v>
      </c>
      <c r="AA57" s="170">
        <f t="shared" si="15"/>
        <v>1000000000</v>
      </c>
      <c r="AB57" s="170">
        <f t="shared" si="16"/>
        <v>3311.3119360000005</v>
      </c>
      <c r="AD57" s="686">
        <f t="shared" si="17"/>
        <v>37.590361058833118</v>
      </c>
      <c r="AE57" s="687">
        <f t="shared" si="18"/>
        <v>-84.548386134472935</v>
      </c>
      <c r="AG57" s="686">
        <f t="shared" si="19"/>
        <v>42.963391568754183</v>
      </c>
      <c r="AH57" s="687">
        <f t="shared" si="20"/>
        <v>-25.277466313285807</v>
      </c>
      <c r="AJ57" s="170">
        <f t="shared" si="21"/>
        <v>0</v>
      </c>
      <c r="AK57" s="170">
        <f t="shared" si="33"/>
        <v>0</v>
      </c>
      <c r="AM57" s="170" t="str">
        <f t="shared" si="26"/>
        <v>1.23034231702679E-06+0.00156865646965989i</v>
      </c>
      <c r="AN57" s="170" t="str">
        <f t="shared" si="27"/>
        <v>0.00156865711298835i</v>
      </c>
      <c r="AO57" s="170" t="str">
        <f t="shared" si="28"/>
        <v>0.999999589885862-0.000784328395823191i</v>
      </c>
      <c r="AP57" s="170" t="str">
        <f t="shared" si="29"/>
        <v>0.166666461609614-0.000261442744943315i</v>
      </c>
      <c r="AQ57" s="170" t="str">
        <f t="shared" si="30"/>
        <v>0.833333538390386+0.000261442744943315i</v>
      </c>
      <c r="AR57" s="170" t="str">
        <f t="shared" si="31"/>
        <v>0.999599655642153-0.00031360561621012i</v>
      </c>
    </row>
    <row r="58" spans="1:44">
      <c r="A58" s="170">
        <v>1</v>
      </c>
      <c r="C58" s="170" t="s">
        <v>809</v>
      </c>
      <c r="D58" s="170">
        <f>IMABS(IMPRODUCT(D54, D57))</f>
        <v>0.99947993163751736</v>
      </c>
      <c r="G58" s="688">
        <v>63.095999999999997</v>
      </c>
      <c r="H58" s="676">
        <f t="shared" si="23"/>
        <v>6.3095999999999999E-2</v>
      </c>
      <c r="I58" s="677">
        <f t="shared" si="0"/>
        <v>1.1266338916546594</v>
      </c>
      <c r="J58" s="678">
        <f t="shared" si="1"/>
        <v>0.47868849602756608</v>
      </c>
      <c r="K58" s="678">
        <f t="shared" si="2"/>
        <v>1.0000000038034591</v>
      </c>
      <c r="L58" s="679">
        <f t="shared" si="3"/>
        <v>8.7217648910383478E-5</v>
      </c>
      <c r="M58" s="678">
        <f t="shared" si="4"/>
        <v>1.0000000567768423</v>
      </c>
      <c r="N58" s="679">
        <f t="shared" si="5"/>
        <v>-3.3697726798047654E-4</v>
      </c>
      <c r="O58" s="677">
        <f t="shared" si="6"/>
        <v>2616.5296650388946</v>
      </c>
      <c r="P58" s="680">
        <f t="shared" si="7"/>
        <v>1.5704141411702863</v>
      </c>
      <c r="Q58" s="689">
        <f t="shared" si="8"/>
        <v>1.005462064118207</v>
      </c>
      <c r="R58" s="690">
        <f t="shared" si="9"/>
        <v>0.10428151957716671</v>
      </c>
      <c r="S58" s="677">
        <f t="shared" si="10"/>
        <v>1.0000001131607621</v>
      </c>
      <c r="T58" s="680">
        <f t="shared" si="11"/>
        <v>4.7573259573705152E-4</v>
      </c>
      <c r="U58" s="681">
        <f t="shared" si="24"/>
        <v>0.99959952191398027</v>
      </c>
      <c r="V58" s="682">
        <f t="shared" si="25"/>
        <v>-1.2040034761450808E-3</v>
      </c>
      <c r="W58" s="683">
        <f t="shared" si="12"/>
        <v>38.612464807924717</v>
      </c>
      <c r="X58" s="684">
        <f t="shared" si="13"/>
        <v>-111.5405940347151</v>
      </c>
      <c r="Y58" s="687">
        <f t="shared" si="14"/>
        <v>68.459405965284901</v>
      </c>
      <c r="AA58" s="170">
        <f t="shared" si="15"/>
        <v>1000000000</v>
      </c>
      <c r="AB58" s="170">
        <f t="shared" si="16"/>
        <v>3981.1052159999995</v>
      </c>
      <c r="AD58" s="686">
        <f t="shared" si="17"/>
        <v>36.798249648339763</v>
      </c>
      <c r="AE58" s="687">
        <f t="shared" si="18"/>
        <v>-84.03046898966808</v>
      </c>
      <c r="AG58" s="686">
        <f t="shared" si="19"/>
        <v>42.805534023342304</v>
      </c>
      <c r="AH58" s="687">
        <f t="shared" si="20"/>
        <v>-27.372156409484976</v>
      </c>
      <c r="AJ58" s="170">
        <f t="shared" si="21"/>
        <v>0</v>
      </c>
      <c r="AK58" s="170">
        <f t="shared" si="33"/>
        <v>0</v>
      </c>
      <c r="AM58" s="170" t="str">
        <f t="shared" si="26"/>
        <v>1.47920887705322E-06+0.00172000452521643i</v>
      </c>
      <c r="AN58" s="170" t="str">
        <f t="shared" si="27"/>
        <v>0.00172000537329892i</v>
      </c>
      <c r="AO58" s="170" t="str">
        <f t="shared" si="28"/>
        <v>0.999999506930325-0.000860002474420263i</v>
      </c>
      <c r="AP58" s="170" t="str">
        <f t="shared" si="29"/>
        <v>0.166666420131854-0.000286667420869405i</v>
      </c>
      <c r="AQ58" s="170" t="str">
        <f t="shared" si="30"/>
        <v>0.833333579868146+0.000286667420869405i</v>
      </c>
      <c r="AR58" s="170" t="str">
        <f t="shared" si="31"/>
        <v>0.99959958598748-0.000343863060531529i</v>
      </c>
    </row>
    <row r="59" spans="1:44">
      <c r="A59" s="170">
        <v>1.2</v>
      </c>
      <c r="G59" s="688">
        <v>69.183000000000007</v>
      </c>
      <c r="H59" s="676">
        <f t="shared" si="23"/>
        <v>6.9183000000000008E-2</v>
      </c>
      <c r="I59" s="677">
        <f t="shared" si="0"/>
        <v>1.150552431671203</v>
      </c>
      <c r="J59" s="678">
        <f t="shared" si="1"/>
        <v>0.517320000194473</v>
      </c>
      <c r="K59" s="678">
        <f t="shared" si="2"/>
        <v>1.0000000045727122</v>
      </c>
      <c r="L59" s="679">
        <f t="shared" si="3"/>
        <v>9.5631713602647113E-5</v>
      </c>
      <c r="M59" s="678">
        <f t="shared" si="4"/>
        <v>1.0000000682600116</v>
      </c>
      <c r="N59" s="679">
        <f t="shared" si="5"/>
        <v>-3.6948615050432908E-4</v>
      </c>
      <c r="O59" s="677">
        <f t="shared" si="6"/>
        <v>2868.951591105038</v>
      </c>
      <c r="P59" s="680">
        <f t="shared" si="7"/>
        <v>1.5704477674036021</v>
      </c>
      <c r="Q59" s="689">
        <f t="shared" si="8"/>
        <v>1.0065631681972902</v>
      </c>
      <c r="R59" s="690">
        <f t="shared" si="9"/>
        <v>0.11425823482448468</v>
      </c>
      <c r="S59" s="677">
        <f t="shared" si="10"/>
        <v>1.0000001360476309</v>
      </c>
      <c r="T59" s="680">
        <f t="shared" si="11"/>
        <v>5.2162748302109153E-4</v>
      </c>
      <c r="U59" s="681">
        <f t="shared" si="24"/>
        <v>0.99959942522071343</v>
      </c>
      <c r="V59" s="682">
        <f t="shared" si="25"/>
        <v>-1.3201560878524658E-3</v>
      </c>
      <c r="W59" s="683">
        <f t="shared" si="12"/>
        <v>37.639547576508846</v>
      </c>
      <c r="X59" s="684">
        <f t="shared" si="13"/>
        <v>-113.19498431492887</v>
      </c>
      <c r="Y59" s="687">
        <f t="shared" si="14"/>
        <v>66.805015685071126</v>
      </c>
      <c r="AA59" s="170">
        <f t="shared" si="15"/>
        <v>1000000000</v>
      </c>
      <c r="AB59" s="170">
        <f t="shared" si="16"/>
        <v>4786.2874890000012</v>
      </c>
      <c r="AD59" s="686">
        <f t="shared" si="17"/>
        <v>36.007805210526847</v>
      </c>
      <c r="AE59" s="687">
        <f t="shared" si="18"/>
        <v>-83.463401536537489</v>
      </c>
      <c r="AG59" s="686">
        <f t="shared" si="19"/>
        <v>42.623062910146473</v>
      </c>
      <c r="AH59" s="687">
        <f t="shared" si="20"/>
        <v>-29.580304033953595</v>
      </c>
      <c r="AJ59" s="170">
        <f t="shared" si="21"/>
        <v>0</v>
      </c>
      <c r="AK59" s="170">
        <f t="shared" si="33"/>
        <v>0</v>
      </c>
      <c r="AM59" s="170" t="str">
        <f t="shared" si="26"/>
        <v>1.77838017501042E-06+0.00188593668697545i</v>
      </c>
      <c r="AN59" s="170" t="str">
        <f t="shared" si="27"/>
        <v>0.00188593780494705i</v>
      </c>
      <c r="AO59" s="170" t="str">
        <f t="shared" si="28"/>
        <v>0.999999407206538-0.000942968623008408i</v>
      </c>
      <c r="AP59" s="170" t="str">
        <f t="shared" si="29"/>
        <v>0.166666370269971-0.000314322781162575i</v>
      </c>
      <c r="AQ59" s="170" t="str">
        <f t="shared" si="30"/>
        <v>0.833333629730029+0.000314322781162575i</v>
      </c>
      <c r="AR59" s="170" t="str">
        <f t="shared" si="31"/>
        <v>0.999599502253155-0.000377036140613605i</v>
      </c>
    </row>
    <row r="60" spans="1:44">
      <c r="A60" s="170">
        <v>1.5</v>
      </c>
      <c r="C60" s="170" t="s">
        <v>743</v>
      </c>
      <c r="D60" s="170">
        <f>10^(-D51/20)/O3*'Design Converter'!E40/10*Acs</f>
        <v>9936.9890263636389</v>
      </c>
      <c r="G60" s="688">
        <v>75.858000000000004</v>
      </c>
      <c r="H60" s="676">
        <f t="shared" si="23"/>
        <v>7.5858000000000009E-2</v>
      </c>
      <c r="I60" s="677">
        <f t="shared" si="0"/>
        <v>1.178669511337354</v>
      </c>
      <c r="J60" s="678">
        <f t="shared" si="1"/>
        <v>0.55781403173506972</v>
      </c>
      <c r="K60" s="678">
        <f t="shared" si="2"/>
        <v>1.0000000054976599</v>
      </c>
      <c r="L60" s="679">
        <f t="shared" si="3"/>
        <v>1.0485857112291015E-4</v>
      </c>
      <c r="M60" s="678">
        <f t="shared" si="4"/>
        <v>1.0000000820673387</v>
      </c>
      <c r="N60" s="679">
        <f t="shared" si="5"/>
        <v>-4.0513536774870246E-4</v>
      </c>
      <c r="O60" s="677">
        <f t="shared" si="6"/>
        <v>3145.7573041610831</v>
      </c>
      <c r="P60" s="680">
        <f t="shared" si="7"/>
        <v>1.570478438312044</v>
      </c>
      <c r="Q60" s="689">
        <f t="shared" si="8"/>
        <v>1.0078855395463775</v>
      </c>
      <c r="R60" s="690">
        <f t="shared" si="9"/>
        <v>0.12517242301330894</v>
      </c>
      <c r="S60" s="677">
        <f t="shared" si="10"/>
        <v>1.0000001635667306</v>
      </c>
      <c r="T60" s="680">
        <f t="shared" si="11"/>
        <v>5.719557822162556E-4</v>
      </c>
      <c r="U60" s="681">
        <f t="shared" si="24"/>
        <v>0.99959930895706273</v>
      </c>
      <c r="V60" s="682">
        <f t="shared" si="25"/>
        <v>-1.4475289411229339E-3</v>
      </c>
      <c r="W60" s="683">
        <f t="shared" si="12"/>
        <v>36.641197474512744</v>
      </c>
      <c r="X60" s="684">
        <f t="shared" si="13"/>
        <v>-114.9032372289509</v>
      </c>
      <c r="Y60" s="687">
        <f t="shared" si="14"/>
        <v>65.0967627710491</v>
      </c>
      <c r="AA60" s="170">
        <f t="shared" si="15"/>
        <v>1000000000</v>
      </c>
      <c r="AB60" s="170">
        <f t="shared" si="16"/>
        <v>5754.4361640000006</v>
      </c>
      <c r="AD60" s="686">
        <f t="shared" si="17"/>
        <v>35.219168693688999</v>
      </c>
      <c r="AE60" s="687">
        <f t="shared" si="18"/>
        <v>-82.842705528538602</v>
      </c>
      <c r="AG60" s="686">
        <f t="shared" si="19"/>
        <v>42.413351345504189</v>
      </c>
      <c r="AH60" s="687">
        <f t="shared" si="20"/>
        <v>-31.894657102123997</v>
      </c>
      <c r="AJ60" s="170">
        <f t="shared" si="21"/>
        <v>0</v>
      </c>
      <c r="AK60" s="170">
        <f t="shared" si="33"/>
        <v>0</v>
      </c>
      <c r="AM60" s="170" t="str">
        <f t="shared" si="26"/>
        <v>2.13810277804871E-06+0.00206789772120595i</v>
      </c>
      <c r="AN60" s="170" t="str">
        <f t="shared" si="27"/>
        <v>0.00206789919499983i</v>
      </c>
      <c r="AO60" s="170" t="str">
        <f t="shared" si="28"/>
        <v>0.999999287298973-0.00103394922886891i</v>
      </c>
      <c r="AP60" s="170" t="str">
        <f t="shared" si="29"/>
        <v>0.166666310316204-0.000344649620200992i</v>
      </c>
      <c r="AQ60" s="170" t="str">
        <f t="shared" si="30"/>
        <v>0.833333689683796+0.000344649620200992i</v>
      </c>
      <c r="AR60" s="170" t="str">
        <f t="shared" si="31"/>
        <v>0.999599401571304-0.000413413688141436i</v>
      </c>
    </row>
    <row r="61" spans="1:44">
      <c r="A61" s="170">
        <v>1.8</v>
      </c>
      <c r="C61" s="170" t="s">
        <v>744</v>
      </c>
      <c r="D61" s="170">
        <f>1/(6.28*D60*pole1*2)</f>
        <v>6.5898429536063296E-8</v>
      </c>
      <c r="G61" s="688">
        <v>83.176000000000002</v>
      </c>
      <c r="H61" s="676">
        <f t="shared" si="23"/>
        <v>8.3176E-2</v>
      </c>
      <c r="I61" s="677">
        <f t="shared" si="0"/>
        <v>1.2116057124993362</v>
      </c>
      <c r="J61" s="678">
        <f t="shared" si="1"/>
        <v>0.59997273211174651</v>
      </c>
      <c r="K61" s="678">
        <f t="shared" si="2"/>
        <v>1.0000000066095389</v>
      </c>
      <c r="L61" s="679">
        <f t="shared" si="3"/>
        <v>1.1497424800619814E-4</v>
      </c>
      <c r="M61" s="678">
        <f t="shared" si="4"/>
        <v>1.0000000986651163</v>
      </c>
      <c r="N61" s="679">
        <f t="shared" si="5"/>
        <v>-4.4421865821662305E-4</v>
      </c>
      <c r="O61" s="677">
        <f t="shared" si="6"/>
        <v>3449.227600344474</v>
      </c>
      <c r="P61" s="680">
        <f t="shared" si="7"/>
        <v>1.5705064068099386</v>
      </c>
      <c r="Q61" s="689">
        <f t="shared" si="8"/>
        <v>1.0094728684131955</v>
      </c>
      <c r="R61" s="690">
        <f t="shared" si="9"/>
        <v>0.13710352720889396</v>
      </c>
      <c r="S61" s="677">
        <f t="shared" si="10"/>
        <v>1.0000001966474192</v>
      </c>
      <c r="T61" s="680">
        <f t="shared" si="11"/>
        <v>6.2713218239941054E-4</v>
      </c>
      <c r="U61" s="681">
        <f t="shared" si="24"/>
        <v>0.99959916919666558</v>
      </c>
      <c r="V61" s="682">
        <f t="shared" si="25"/>
        <v>-1.5871715427269372E-3</v>
      </c>
      <c r="W61" s="683">
        <f t="shared" si="12"/>
        <v>35.615546829837328</v>
      </c>
      <c r="X61" s="684">
        <f t="shared" si="13"/>
        <v>-116.64957542240971</v>
      </c>
      <c r="Y61" s="687">
        <f t="shared" si="14"/>
        <v>63.350424577590289</v>
      </c>
      <c r="AA61" s="170">
        <f t="shared" si="15"/>
        <v>1000000000</v>
      </c>
      <c r="AB61" s="170">
        <f t="shared" si="16"/>
        <v>6918.2469760000004</v>
      </c>
      <c r="AD61" s="686">
        <f t="shared" si="17"/>
        <v>34.432904359821116</v>
      </c>
      <c r="AE61" s="687">
        <f t="shared" si="18"/>
        <v>-82.163867464172952</v>
      </c>
      <c r="AG61" s="686">
        <f t="shared" si="19"/>
        <v>42.173967463556814</v>
      </c>
      <c r="AH61" s="687">
        <f t="shared" si="20"/>
        <v>-34.303831496505886</v>
      </c>
      <c r="AJ61" s="170">
        <f t="shared" si="21"/>
        <v>0</v>
      </c>
      <c r="AK61" s="170">
        <f t="shared" si="33"/>
        <v>0</v>
      </c>
      <c r="AM61" s="170" t="str">
        <f t="shared" si="26"/>
        <v>2.57052499896826E-06+0.00226738690799746i</v>
      </c>
      <c r="AN61" s="170" t="str">
        <f t="shared" si="27"/>
        <v>0.00226738885079103i</v>
      </c>
      <c r="AO61" s="170" t="str">
        <f t="shared" si="28"/>
        <v>0.999999143158189-0.00113369393964845i</v>
      </c>
      <c r="AP61" s="170" t="str">
        <f t="shared" si="29"/>
        <v>0.166666238245834-0.000377897817999577i</v>
      </c>
      <c r="AQ61" s="170" t="str">
        <f t="shared" si="30"/>
        <v>0.833333761754166+0.000377897817999577i</v>
      </c>
      <c r="AR61" s="170" t="str">
        <f t="shared" si="31"/>
        <v>0.999599280541787-0.000453295431347379i</v>
      </c>
    </row>
    <row r="62" spans="1:44">
      <c r="A62" s="170">
        <v>2</v>
      </c>
      <c r="C62" s="170" t="s">
        <v>812</v>
      </c>
      <c r="D62" s="170">
        <f>D61/150</f>
        <v>4.3932286357375532E-10</v>
      </c>
      <c r="G62" s="688">
        <v>91.201000000000008</v>
      </c>
      <c r="H62" s="676">
        <f t="shared" si="23"/>
        <v>9.1201000000000004E-2</v>
      </c>
      <c r="I62" s="677">
        <f t="shared" si="0"/>
        <v>1.2500599499664706</v>
      </c>
      <c r="J62" s="678">
        <f t="shared" si="1"/>
        <v>0.64356504963187766</v>
      </c>
      <c r="K62" s="678">
        <f t="shared" si="2"/>
        <v>1.000000007946471</v>
      </c>
      <c r="L62" s="679">
        <f t="shared" si="3"/>
        <v>1.2606721149210638E-4</v>
      </c>
      <c r="M62" s="678">
        <f t="shared" si="4"/>
        <v>1.0000001186224163</v>
      </c>
      <c r="N62" s="679">
        <f t="shared" si="5"/>
        <v>-4.87077826644606E-4</v>
      </c>
      <c r="O62" s="677">
        <f t="shared" si="6"/>
        <v>3782.0164970035889</v>
      </c>
      <c r="P62" s="680">
        <f t="shared" si="7"/>
        <v>1.5705319175802768</v>
      </c>
      <c r="Q62" s="689">
        <f t="shared" si="8"/>
        <v>1.0113781866610392</v>
      </c>
      <c r="R62" s="690">
        <f t="shared" si="9"/>
        <v>0.15014218562407566</v>
      </c>
      <c r="S62" s="677">
        <f t="shared" si="10"/>
        <v>1.0000002364239025</v>
      </c>
      <c r="T62" s="680">
        <f t="shared" si="11"/>
        <v>6.8763923067146086E-4</v>
      </c>
      <c r="U62" s="681">
        <f t="shared" si="24"/>
        <v>0.99959900114771683</v>
      </c>
      <c r="V62" s="682">
        <f t="shared" si="25"/>
        <v>-1.7403051340972617E-3</v>
      </c>
      <c r="W62" s="683">
        <f t="shared" si="12"/>
        <v>34.560501937221943</v>
      </c>
      <c r="X62" s="684">
        <f t="shared" si="13"/>
        <v>-118.41569357575368</v>
      </c>
      <c r="Y62" s="687">
        <f t="shared" si="14"/>
        <v>61.584306424246321</v>
      </c>
      <c r="AA62" s="170">
        <f t="shared" si="15"/>
        <v>1000000000</v>
      </c>
      <c r="AB62" s="170">
        <f t="shared" si="16"/>
        <v>8317.6224010000005</v>
      </c>
      <c r="AD62" s="686">
        <f t="shared" si="17"/>
        <v>33.649251321998563</v>
      </c>
      <c r="AE62" s="687">
        <f t="shared" si="18"/>
        <v>-81.42173582359159</v>
      </c>
      <c r="AG62" s="686">
        <f t="shared" si="19"/>
        <v>41.902578529244096</v>
      </c>
      <c r="AH62" s="687">
        <f t="shared" si="20"/>
        <v>-36.794533473436765</v>
      </c>
      <c r="AJ62" s="170">
        <f t="shared" si="21"/>
        <v>0</v>
      </c>
      <c r="AK62" s="170">
        <f t="shared" si="33"/>
        <v>0</v>
      </c>
      <c r="AM62" s="170" t="str">
        <f t="shared" si="26"/>
        <v>3.09047285196318E-06+0.00248614885972614i</v>
      </c>
      <c r="AN62" s="170" t="str">
        <f t="shared" si="27"/>
        <v>0.00248615142085449i</v>
      </c>
      <c r="AO62" s="170" t="str">
        <f t="shared" si="28"/>
        <v>0.999998969842171-0.00124307507018257i</v>
      </c>
      <c r="AP62" s="170" t="str">
        <f t="shared" si="29"/>
        <v>0.166666151587858-0.00041435814328769i</v>
      </c>
      <c r="AQ62" s="170" t="str">
        <f t="shared" si="30"/>
        <v>0.833333848412142+0.00041435814328769i</v>
      </c>
      <c r="AR62" s="170" t="str">
        <f t="shared" si="31"/>
        <v>0.999599135015018-0.000497030142728532i</v>
      </c>
    </row>
    <row r="63" spans="1:44">
      <c r="A63" s="170">
        <v>2.5</v>
      </c>
      <c r="G63" s="688">
        <v>100</v>
      </c>
      <c r="H63" s="676">
        <f t="shared" si="23"/>
        <v>0.1</v>
      </c>
      <c r="I63" s="677">
        <f t="shared" si="0"/>
        <v>1.2947799748240603</v>
      </c>
      <c r="J63" s="678">
        <f t="shared" si="1"/>
        <v>0.68829215871154337</v>
      </c>
      <c r="K63" s="678">
        <f t="shared" si="2"/>
        <v>1.0000000095537769</v>
      </c>
      <c r="L63" s="679">
        <f t="shared" si="3"/>
        <v>1.382300757195871E-4</v>
      </c>
      <c r="M63" s="678">
        <f t="shared" si="4"/>
        <v>1.0000001426157732</v>
      </c>
      <c r="N63" s="679">
        <f t="shared" si="5"/>
        <v>-5.3407069972206316E-4</v>
      </c>
      <c r="O63" s="677">
        <f t="shared" si="6"/>
        <v>4146.9024185719245</v>
      </c>
      <c r="P63" s="680">
        <f t="shared" si="7"/>
        <v>1.5705551829461257</v>
      </c>
      <c r="Q63" s="689">
        <f t="shared" si="8"/>
        <v>1.0136640853214895</v>
      </c>
      <c r="R63" s="690">
        <f t="shared" si="9"/>
        <v>0.16437937107867232</v>
      </c>
      <c r="S63" s="677">
        <f t="shared" si="10"/>
        <v>1.0000002842445657</v>
      </c>
      <c r="T63" s="680">
        <f t="shared" si="11"/>
        <v>7.5398209312312644E-4</v>
      </c>
      <c r="U63" s="681">
        <f t="shared" si="24"/>
        <v>0.99959879911355798</v>
      </c>
      <c r="V63" s="682">
        <f t="shared" si="25"/>
        <v>-1.9082081994878349E-3</v>
      </c>
      <c r="W63" s="683">
        <f t="shared" si="12"/>
        <v>33.474798930299052</v>
      </c>
      <c r="X63" s="684">
        <f t="shared" si="13"/>
        <v>-120.17938744197464</v>
      </c>
      <c r="Y63" s="687">
        <f t="shared" si="14"/>
        <v>59.82061255802536</v>
      </c>
      <c r="AA63" s="170">
        <f t="shared" si="15"/>
        <v>1000000000</v>
      </c>
      <c r="AB63" s="170">
        <f t="shared" si="16"/>
        <v>10000</v>
      </c>
      <c r="AD63" s="686">
        <f t="shared" si="17"/>
        <v>32.868852502005879</v>
      </c>
      <c r="AE63" s="687">
        <f t="shared" si="18"/>
        <v>-80.611139357263184</v>
      </c>
      <c r="AG63" s="686">
        <f t="shared" si="19"/>
        <v>41.597277853415008</v>
      </c>
      <c r="AH63" s="687">
        <f t="shared" si="20"/>
        <v>-39.349583531935764</v>
      </c>
      <c r="AJ63" s="170">
        <f t="shared" si="21"/>
        <v>0</v>
      </c>
      <c r="AK63" s="170">
        <f t="shared" si="33"/>
        <v>0</v>
      </c>
      <c r="AM63" s="170" t="str">
        <f t="shared" si="26"/>
        <v>0.0000037155720480353+0.00272600995789024i</v>
      </c>
      <c r="AN63" s="170" t="str">
        <f t="shared" si="27"/>
        <v>0.00272601333412406i</v>
      </c>
      <c r="AO63" s="170" t="str">
        <f t="shared" si="28"/>
        <v>0.999998761475677-0.00136300582301781i</v>
      </c>
      <c r="AP63" s="170" t="str">
        <f t="shared" si="29"/>
        <v>0.166666047404659-0.000454334992981707i</v>
      </c>
      <c r="AQ63" s="170" t="str">
        <f t="shared" si="30"/>
        <v>0.833333952595341+0.000454334992981707i</v>
      </c>
      <c r="AR63" s="170" t="str">
        <f t="shared" si="31"/>
        <v>0.999598960057826-0.000544982938818198i</v>
      </c>
    </row>
    <row r="64" spans="1:44">
      <c r="A64" s="170">
        <v>3</v>
      </c>
      <c r="C64" s="170" t="s">
        <v>743</v>
      </c>
      <c r="D64" s="172">
        <f>D60/1000</f>
        <v>9.9369890263636389</v>
      </c>
      <c r="G64" s="688">
        <v>109.65</v>
      </c>
      <c r="H64" s="676">
        <f t="shared" si="23"/>
        <v>0.10965000000000001</v>
      </c>
      <c r="I64" s="677">
        <f t="shared" si="0"/>
        <v>1.3465921258286933</v>
      </c>
      <c r="J64" s="678">
        <f t="shared" si="1"/>
        <v>0.73382920817227826</v>
      </c>
      <c r="K64" s="678">
        <f t="shared" si="2"/>
        <v>1.0000000114866232</v>
      </c>
      <c r="L64" s="679">
        <f t="shared" si="3"/>
        <v>1.5156927783122057E-4</v>
      </c>
      <c r="M64" s="678">
        <f t="shared" si="4"/>
        <v>1.0000001714686886</v>
      </c>
      <c r="N64" s="679">
        <f t="shared" si="5"/>
        <v>-5.8560851098090141E-4</v>
      </c>
      <c r="O64" s="677">
        <f t="shared" si="6"/>
        <v>4547.0784797177166</v>
      </c>
      <c r="P64" s="680">
        <f t="shared" si="7"/>
        <v>1.5705764053634717</v>
      </c>
      <c r="Q64" s="689">
        <f t="shared" si="8"/>
        <v>1.0164061563770357</v>
      </c>
      <c r="R64" s="690">
        <f t="shared" si="9"/>
        <v>0.17991637355063109</v>
      </c>
      <c r="S64" s="677">
        <f t="shared" si="10"/>
        <v>1.0000003417507135</v>
      </c>
      <c r="T64" s="680">
        <f t="shared" si="11"/>
        <v>8.267413334143753E-4</v>
      </c>
      <c r="U64" s="681">
        <f t="shared" si="24"/>
        <v>0.99959855616001625</v>
      </c>
      <c r="V64" s="682">
        <f t="shared" si="25"/>
        <v>-2.0923500389504E-3</v>
      </c>
      <c r="W64" s="683">
        <f t="shared" si="12"/>
        <v>32.357286524779688</v>
      </c>
      <c r="X64" s="684">
        <f t="shared" si="13"/>
        <v>-121.91638744326509</v>
      </c>
      <c r="Y64" s="687">
        <f t="shared" si="14"/>
        <v>58.083612556734906</v>
      </c>
      <c r="AA64" s="170">
        <f t="shared" si="15"/>
        <v>1000000000</v>
      </c>
      <c r="AB64" s="170">
        <f t="shared" si="16"/>
        <v>12023.122500000001</v>
      </c>
      <c r="AD64" s="686">
        <f t="shared" si="17"/>
        <v>32.092143873465567</v>
      </c>
      <c r="AE64" s="687">
        <f t="shared" si="18"/>
        <v>-79.726319440658827</v>
      </c>
      <c r="AG64" s="686">
        <f t="shared" si="19"/>
        <v>41.256478298665726</v>
      </c>
      <c r="AH64" s="687">
        <f t="shared" si="20"/>
        <v>-41.950302349340532</v>
      </c>
      <c r="AJ64" s="170">
        <f t="shared" si="21"/>
        <v>0</v>
      </c>
      <c r="AK64" s="170">
        <f t="shared" si="33"/>
        <v>0</v>
      </c>
      <c r="AM64" s="170" t="str">
        <f t="shared" si="26"/>
        <v>4.46727722902551E-06+0.00298906916985886i</v>
      </c>
      <c r="AN64" s="170" t="str">
        <f t="shared" si="27"/>
        <v>0.00298907362086703i</v>
      </c>
      <c r="AO64" s="170" t="str">
        <f t="shared" si="28"/>
        <v>0.999998510907146-0.00149453569756161i</v>
      </c>
      <c r="AP64" s="170" t="str">
        <f t="shared" si="29"/>
        <v>0.166665922120462-0.000498178194976477i</v>
      </c>
      <c r="AQ64" s="170" t="str">
        <f t="shared" si="30"/>
        <v>0.833334077879538+0.000498178194976477i</v>
      </c>
      <c r="AR64" s="170" t="str">
        <f t="shared" si="31"/>
        <v>0.999598749665392-0.000597573427065625i</v>
      </c>
    </row>
    <row r="65" spans="1:44">
      <c r="A65" s="170">
        <v>4</v>
      </c>
      <c r="C65" s="170" t="s">
        <v>744</v>
      </c>
      <c r="D65" s="172">
        <f>D61*1000000000</f>
        <v>65.89842953606329</v>
      </c>
      <c r="G65" s="688">
        <v>120.23</v>
      </c>
      <c r="H65" s="676">
        <f t="shared" si="23"/>
        <v>0.12023</v>
      </c>
      <c r="I65" s="677">
        <f t="shared" si="0"/>
        <v>1.4063545338480552</v>
      </c>
      <c r="J65" s="678">
        <f t="shared" si="1"/>
        <v>0.77979420482648465</v>
      </c>
      <c r="K65" s="678">
        <f t="shared" si="2"/>
        <v>1.0000000138102263</v>
      </c>
      <c r="L65" s="679">
        <f t="shared" si="3"/>
        <v>1.66194019566062E-4</v>
      </c>
      <c r="M65" s="678">
        <f t="shared" si="4"/>
        <v>1.0000002061547002</v>
      </c>
      <c r="N65" s="679">
        <f t="shared" si="5"/>
        <v>-6.4211317507638453E-4</v>
      </c>
      <c r="O65" s="677">
        <f t="shared" si="6"/>
        <v>4985.8207331697931</v>
      </c>
      <c r="P65" s="680">
        <f t="shared" si="7"/>
        <v>1.5705957580098917</v>
      </c>
      <c r="Q65" s="689">
        <f t="shared" si="8"/>
        <v>1.0196928222819308</v>
      </c>
      <c r="R65" s="690">
        <f t="shared" si="9"/>
        <v>0.19685014014027233</v>
      </c>
      <c r="S65" s="677">
        <f t="shared" si="10"/>
        <v>1.0000004108826823</v>
      </c>
      <c r="T65" s="680">
        <f t="shared" si="11"/>
        <v>9.0651259402925292E-4</v>
      </c>
      <c r="U65" s="681">
        <f t="shared" si="24"/>
        <v>0.99959826408959773</v>
      </c>
      <c r="V65" s="682">
        <f t="shared" si="25"/>
        <v>-2.2942381104697766E-3</v>
      </c>
      <c r="W65" s="683">
        <f t="shared" si="12"/>
        <v>31.208066088474808</v>
      </c>
      <c r="X65" s="684">
        <f t="shared" si="13"/>
        <v>-123.59940066071276</v>
      </c>
      <c r="Y65" s="687">
        <f t="shared" si="14"/>
        <v>56.40059933928724</v>
      </c>
      <c r="AA65" s="170">
        <f t="shared" si="15"/>
        <v>1000000000</v>
      </c>
      <c r="AB65" s="170">
        <f t="shared" si="16"/>
        <v>14455.252900000001</v>
      </c>
      <c r="AD65" s="686">
        <f t="shared" si="17"/>
        <v>31.320100593682941</v>
      </c>
      <c r="AE65" s="687">
        <f t="shared" si="18"/>
        <v>-78.761765464232525</v>
      </c>
      <c r="AG65" s="686">
        <f t="shared" si="19"/>
        <v>40.879306217964711</v>
      </c>
      <c r="AH65" s="687">
        <f t="shared" si="20"/>
        <v>-44.574734874323866</v>
      </c>
      <c r="AJ65" s="170">
        <f t="shared" si="21"/>
        <v>0</v>
      </c>
      <c r="AK65" s="170">
        <f t="shared" si="33"/>
        <v>0</v>
      </c>
      <c r="AM65" s="170" t="str">
        <f t="shared" si="26"/>
        <v>5.37095188002379E-06+0.0032774799638757i</v>
      </c>
      <c r="AN65" s="170" t="str">
        <f t="shared" si="27"/>
        <v>0.00327748583161736i</v>
      </c>
      <c r="AO65" s="170" t="str">
        <f t="shared" si="28"/>
        <v>0.999998209682067-0.00163874144876878i</v>
      </c>
      <c r="AP65" s="170" t="str">
        <f t="shared" si="29"/>
        <v>0.16666577150802-0.00054624666064595i</v>
      </c>
      <c r="AQ65" s="170" t="str">
        <f t="shared" si="30"/>
        <v>0.83333422849198+0.00054624666064595i</v>
      </c>
      <c r="AR65" s="170" t="str">
        <f t="shared" si="31"/>
        <v>0.999598496738896-0.000655232105152379i</v>
      </c>
    </row>
    <row r="66" spans="1:44">
      <c r="A66" s="170">
        <v>5</v>
      </c>
      <c r="C66" s="170" t="s">
        <v>812</v>
      </c>
      <c r="D66" s="172">
        <f>D62*1000000000000</f>
        <v>439.32286357375534</v>
      </c>
      <c r="G66" s="688">
        <v>131.83000000000001</v>
      </c>
      <c r="H66" s="676">
        <f t="shared" si="23"/>
        <v>0.13183</v>
      </c>
      <c r="I66" s="677">
        <f t="shared" si="0"/>
        <v>1.4749988255284587</v>
      </c>
      <c r="J66" s="678">
        <f t="shared" si="1"/>
        <v>0.82580335848702557</v>
      </c>
      <c r="K66" s="678">
        <f t="shared" si="2"/>
        <v>1.0000000166036511</v>
      </c>
      <c r="L66" s="679">
        <f t="shared" si="3"/>
        <v>1.8222870796467204E-4</v>
      </c>
      <c r="M66" s="678">
        <f t="shared" si="4"/>
        <v>1.0000002478540626</v>
      </c>
      <c r="N66" s="679">
        <f t="shared" si="5"/>
        <v>-7.0406535404717876E-4</v>
      </c>
      <c r="O66" s="677">
        <f t="shared" si="6"/>
        <v>5466.8613909135584</v>
      </c>
      <c r="P66" s="680">
        <f t="shared" si="7"/>
        <v>1.5706134064802826</v>
      </c>
      <c r="Q66" s="689">
        <f t="shared" si="8"/>
        <v>1.0236300679190398</v>
      </c>
      <c r="R66" s="690">
        <f t="shared" si="9"/>
        <v>0.21528560054175377</v>
      </c>
      <c r="S66" s="677">
        <f t="shared" si="10"/>
        <v>1.0000004939928113</v>
      </c>
      <c r="T66" s="680">
        <f t="shared" si="11"/>
        <v>9.9397445437464892E-4</v>
      </c>
      <c r="U66" s="681">
        <f t="shared" si="24"/>
        <v>0.99959791296419687</v>
      </c>
      <c r="V66" s="682">
        <f t="shared" si="25"/>
        <v>-2.5155897657364867E-3</v>
      </c>
      <c r="W66" s="683">
        <f t="shared" si="12"/>
        <v>30.027570934458005</v>
      </c>
      <c r="X66" s="684">
        <f t="shared" si="13"/>
        <v>-125.20059268425989</v>
      </c>
      <c r="Y66" s="687">
        <f t="shared" si="14"/>
        <v>54.799407315740112</v>
      </c>
      <c r="AA66" s="170">
        <f t="shared" si="15"/>
        <v>1000000000</v>
      </c>
      <c r="AB66" s="170">
        <f t="shared" si="16"/>
        <v>17379.148900000004</v>
      </c>
      <c r="AD66" s="686">
        <f t="shared" si="17"/>
        <v>30.55354524210529</v>
      </c>
      <c r="AE66" s="687">
        <f t="shared" si="18"/>
        <v>-77.711513766981398</v>
      </c>
      <c r="AG66" s="686">
        <f t="shared" si="19"/>
        <v>40.465372517651033</v>
      </c>
      <c r="AH66" s="687">
        <f t="shared" si="20"/>
        <v>-47.200813563823068</v>
      </c>
      <c r="AJ66" s="170">
        <f t="shared" si="21"/>
        <v>0</v>
      </c>
      <c r="AK66" s="170">
        <f t="shared" si="33"/>
        <v>0</v>
      </c>
      <c r="AM66" s="170" t="str">
        <f t="shared" si="26"/>
        <v>6.45734503601503E-06+0.00359369564311153i</v>
      </c>
      <c r="AN66" s="170" t="str">
        <f t="shared" si="27"/>
        <v>0.00359370337837575i</v>
      </c>
      <c r="AO66" s="170" t="str">
        <f t="shared" si="28"/>
        <v>0.999997847550728-0.00179684975528881i</v>
      </c>
      <c r="AP66" s="170" t="str">
        <f t="shared" si="29"/>
        <v>0.166665590442494-0.000598949273851922i</v>
      </c>
      <c r="AQ66" s="170" t="str">
        <f t="shared" si="30"/>
        <v>0.833334409557506+0.000598949273851922i</v>
      </c>
      <c r="AR66" s="170" t="str">
        <f t="shared" si="31"/>
        <v>0.999598192672214-0.000718449406118518i</v>
      </c>
    </row>
    <row r="67" spans="1:44">
      <c r="A67" s="170">
        <v>6</v>
      </c>
      <c r="G67" s="688">
        <v>144.54</v>
      </c>
      <c r="H67" s="676">
        <f t="shared" si="23"/>
        <v>0.14454</v>
      </c>
      <c r="I67" s="677">
        <f t="shared" si="0"/>
        <v>1.5534598238567541</v>
      </c>
      <c r="J67" s="678">
        <f t="shared" si="1"/>
        <v>0.87144109886254528</v>
      </c>
      <c r="K67" s="678">
        <f t="shared" si="2"/>
        <v>1.0000000199595709</v>
      </c>
      <c r="L67" s="679">
        <f t="shared" si="3"/>
        <v>1.9979775005905508E-4</v>
      </c>
      <c r="M67" s="678">
        <f t="shared" si="4"/>
        <v>1.0000002979501632</v>
      </c>
      <c r="N67" s="679">
        <f t="shared" si="5"/>
        <v>-7.7194570943846816E-4</v>
      </c>
      <c r="O67" s="677">
        <f t="shared" si="6"/>
        <v>5993.9326649468876</v>
      </c>
      <c r="P67" s="680">
        <f t="shared" si="7"/>
        <v>1.5706294914197703</v>
      </c>
      <c r="Q67" s="689">
        <f t="shared" si="8"/>
        <v>1.0283401987995353</v>
      </c>
      <c r="R67" s="690">
        <f t="shared" si="9"/>
        <v>0.2353154893235424</v>
      </c>
      <c r="S67" s="677">
        <f t="shared" si="10"/>
        <v>1.0000005938382996</v>
      </c>
      <c r="T67" s="680">
        <f t="shared" si="11"/>
        <v>1.0898054924689149E-3</v>
      </c>
      <c r="U67" s="681">
        <f t="shared" si="24"/>
        <v>0.99959749113533125</v>
      </c>
      <c r="V67" s="682">
        <f t="shared" si="25"/>
        <v>-2.7581223457308498E-3</v>
      </c>
      <c r="W67" s="683">
        <f t="shared" si="12"/>
        <v>28.817799474133977</v>
      </c>
      <c r="X67" s="684">
        <f t="shared" si="13"/>
        <v>-126.69100553699838</v>
      </c>
      <c r="Y67" s="687">
        <f t="shared" si="14"/>
        <v>53.308994463001625</v>
      </c>
      <c r="AA67" s="170">
        <f t="shared" si="15"/>
        <v>1000000000</v>
      </c>
      <c r="AB67" s="170">
        <f t="shared" si="16"/>
        <v>20891.811599999997</v>
      </c>
      <c r="AD67" s="686">
        <f t="shared" si="17"/>
        <v>29.793944009897942</v>
      </c>
      <c r="AE67" s="687">
        <f t="shared" si="18"/>
        <v>-76.570297987539973</v>
      </c>
      <c r="AG67" s="686">
        <f t="shared" si="19"/>
        <v>40.0152096204015</v>
      </c>
      <c r="AH67" s="687">
        <f t="shared" si="20"/>
        <v>-49.804650009515044</v>
      </c>
      <c r="AJ67" s="170">
        <f t="shared" si="21"/>
        <v>0</v>
      </c>
      <c r="AK67" s="170">
        <f t="shared" si="33"/>
        <v>0</v>
      </c>
      <c r="AM67" s="170" t="str">
        <f t="shared" si="26"/>
        <v>7.76249788603245E-06+0.00394016947792552i</v>
      </c>
      <c r="AN67" s="170" t="str">
        <f t="shared" si="27"/>
        <v>0.00394017967314292i</v>
      </c>
      <c r="AO67" s="170" t="str">
        <f t="shared" si="28"/>
        <v>0.999997412499366-0.00197008728788264i</v>
      </c>
      <c r="AP67" s="170" t="str">
        <f t="shared" si="29"/>
        <v>0.166665372917019-0.000656694912987587i</v>
      </c>
      <c r="AQ67" s="170" t="str">
        <f t="shared" si="30"/>
        <v>0.833334627082981+0.000656694912987587i</v>
      </c>
      <c r="AR67" s="170" t="str">
        <f t="shared" si="31"/>
        <v>0.999597827378087-0.000787715746998796i</v>
      </c>
    </row>
    <row r="68" spans="1:44">
      <c r="A68" s="170">
        <v>7</v>
      </c>
      <c r="G68" s="688">
        <v>158.49</v>
      </c>
      <c r="H68" s="676">
        <f t="shared" si="23"/>
        <v>0.15849000000000002</v>
      </c>
      <c r="I68" s="677">
        <f t="shared" si="0"/>
        <v>1.6429221506509817</v>
      </c>
      <c r="J68" s="678">
        <f t="shared" si="1"/>
        <v>0.91641112087845744</v>
      </c>
      <c r="K68" s="678">
        <f t="shared" si="2"/>
        <v>1.0000000239982088</v>
      </c>
      <c r="L68" s="679">
        <f t="shared" si="3"/>
        <v>2.1908084489830808E-4</v>
      </c>
      <c r="M68" s="678">
        <f t="shared" si="4"/>
        <v>1.0000003582376642</v>
      </c>
      <c r="N68" s="679">
        <f t="shared" si="5"/>
        <v>-8.4644853031428952E-4</v>
      </c>
      <c r="O68" s="677">
        <f t="shared" si="6"/>
        <v>6572.4255281756159</v>
      </c>
      <c r="P68" s="680">
        <f t="shared" si="7"/>
        <v>1.5706441759641916</v>
      </c>
      <c r="Q68" s="689">
        <f t="shared" si="8"/>
        <v>1.0339800975441757</v>
      </c>
      <c r="R68" s="690">
        <f t="shared" si="9"/>
        <v>0.25707971881349856</v>
      </c>
      <c r="S68" s="677">
        <f t="shared" si="10"/>
        <v>1.0000007139960481</v>
      </c>
      <c r="T68" s="680">
        <f t="shared" si="11"/>
        <v>1.1949858770262847E-3</v>
      </c>
      <c r="U68" s="681">
        <f t="shared" si="24"/>
        <v>0.99959698349150572</v>
      </c>
      <c r="V68" s="682">
        <f t="shared" si="25"/>
        <v>-3.0243164571116749E-3</v>
      </c>
      <c r="W68" s="683">
        <f t="shared" si="12"/>
        <v>27.578686439609193</v>
      </c>
      <c r="X68" s="684">
        <f t="shared" si="13"/>
        <v>-128.04588292144325</v>
      </c>
      <c r="Y68" s="687">
        <f t="shared" si="14"/>
        <v>51.954117078556749</v>
      </c>
      <c r="AA68" s="170">
        <f t="shared" si="15"/>
        <v>1000000000</v>
      </c>
      <c r="AB68" s="170">
        <f t="shared" si="16"/>
        <v>25119.080100000003</v>
      </c>
      <c r="AD68" s="686">
        <f t="shared" si="17"/>
        <v>29.041174010977763</v>
      </c>
      <c r="AE68" s="687">
        <f t="shared" si="18"/>
        <v>-75.330167246536391</v>
      </c>
      <c r="AG68" s="686">
        <f t="shared" si="19"/>
        <v>39.528875407026646</v>
      </c>
      <c r="AH68" s="687">
        <f t="shared" si="20"/>
        <v>-52.369154536701977</v>
      </c>
      <c r="AJ68" s="170">
        <f t="shared" si="21"/>
        <v>0</v>
      </c>
      <c r="AK68" s="170">
        <f t="shared" si="33"/>
        <v>0</v>
      </c>
      <c r="AM68" s="170" t="str">
        <f t="shared" si="26"/>
        <v>9.33316645101989E-06+0.00432044509205865i</v>
      </c>
      <c r="AN68" s="170" t="str">
        <f t="shared" si="27"/>
        <v>0.00432045853325323i</v>
      </c>
      <c r="AO68" s="170" t="str">
        <f t="shared" si="28"/>
        <v>0.999996888942579-0.00216022590639058i</v>
      </c>
      <c r="AP68" s="170" t="str">
        <f t="shared" si="29"/>
        <v>0.166665111138925-0.000720074182009775i</v>
      </c>
      <c r="AQ68" s="170" t="str">
        <f t="shared" si="30"/>
        <v>0.833334888861075+0.000720074182009775i</v>
      </c>
      <c r="AR68" s="170" t="str">
        <f t="shared" si="31"/>
        <v>0.999597387770411-0.000863739513320535i</v>
      </c>
    </row>
    <row r="69" spans="1:44">
      <c r="A69" s="170">
        <v>8</v>
      </c>
      <c r="G69" s="688">
        <v>173.78</v>
      </c>
      <c r="H69" s="676">
        <f t="shared" si="23"/>
        <v>0.17377999999999999</v>
      </c>
      <c r="I69" s="677">
        <f t="shared" si="0"/>
        <v>1.7443795589931443</v>
      </c>
      <c r="J69" s="678">
        <f t="shared" si="1"/>
        <v>0.96030545801855294</v>
      </c>
      <c r="K69" s="678">
        <f t="shared" si="2"/>
        <v>1.0000000288519175</v>
      </c>
      <c r="L69" s="679">
        <f t="shared" si="3"/>
        <v>2.4021622249501424E-4</v>
      </c>
      <c r="M69" s="678">
        <f t="shared" si="4"/>
        <v>1.0000004306922765</v>
      </c>
      <c r="N69" s="679">
        <f t="shared" si="5"/>
        <v>-9.2810788373297228E-4</v>
      </c>
      <c r="O69" s="677">
        <f t="shared" si="6"/>
        <v>7206.486882846335</v>
      </c>
      <c r="P69" s="680">
        <f t="shared" si="7"/>
        <v>1.5706575629256958</v>
      </c>
      <c r="Q69" s="689">
        <f t="shared" si="8"/>
        <v>1.0407177924433779</v>
      </c>
      <c r="R69" s="690">
        <f t="shared" si="9"/>
        <v>0.28065117096728065</v>
      </c>
      <c r="S69" s="677">
        <f t="shared" si="10"/>
        <v>1.0000008584038</v>
      </c>
      <c r="T69" s="680">
        <f t="shared" si="11"/>
        <v>1.3102695798938974E-3</v>
      </c>
      <c r="U69" s="681">
        <f t="shared" si="24"/>
        <v>0.99959637339687879</v>
      </c>
      <c r="V69" s="682">
        <f t="shared" si="25"/>
        <v>-3.3160802268756917E-3</v>
      </c>
      <c r="W69" s="683">
        <f t="shared" si="12"/>
        <v>26.31465794740982</v>
      </c>
      <c r="X69" s="684">
        <f t="shared" si="13"/>
        <v>-129.23785534706278</v>
      </c>
      <c r="Y69" s="687">
        <f t="shared" si="14"/>
        <v>50.762144652937224</v>
      </c>
      <c r="AA69" s="170">
        <f t="shared" si="15"/>
        <v>1000000000</v>
      </c>
      <c r="AB69" s="170">
        <f t="shared" si="16"/>
        <v>30199.488400000002</v>
      </c>
      <c r="AD69" s="686">
        <f t="shared" si="17"/>
        <v>28.297630225875395</v>
      </c>
      <c r="AE69" s="687">
        <f t="shared" si="18"/>
        <v>-73.986994805610976</v>
      </c>
      <c r="AG69" s="686">
        <f t="shared" si="19"/>
        <v>39.008401302635136</v>
      </c>
      <c r="AH69" s="687">
        <f t="shared" si="20"/>
        <v>-54.87086573796406</v>
      </c>
      <c r="AJ69" s="170">
        <f t="shared" si="21"/>
        <v>0</v>
      </c>
      <c r="AK69" s="170">
        <f t="shared" si="33"/>
        <v>0</v>
      </c>
      <c r="AM69" s="170" t="str">
        <f t="shared" si="26"/>
        <v>0.0000112208234599454+0.00473724825335249i</v>
      </c>
      <c r="AN69" s="170" t="str">
        <f t="shared" si="27"/>
        <v>0.0047372659720408i</v>
      </c>
      <c r="AO69" s="170" t="str">
        <f t="shared" si="28"/>
        <v>0.999996259722715-0.00236862855625383i</v>
      </c>
      <c r="AP69" s="170" t="str">
        <f t="shared" si="29"/>
        <v>0.166664796529423-0.000789541375558748i</v>
      </c>
      <c r="AQ69" s="170" t="str">
        <f t="shared" si="30"/>
        <v>0.833335203470577+0.000789541375558748i</v>
      </c>
      <c r="AR69" s="170" t="str">
        <f t="shared" si="31"/>
        <v>0.999596859443078-0.000947065569919557i</v>
      </c>
    </row>
    <row r="70" spans="1:44">
      <c r="A70" s="170">
        <v>9</v>
      </c>
      <c r="G70" s="688">
        <v>190.55</v>
      </c>
      <c r="H70" s="676">
        <f t="shared" si="23"/>
        <v>0.19055000000000002</v>
      </c>
      <c r="I70" s="677">
        <f t="shared" si="0"/>
        <v>1.8590754657812463</v>
      </c>
      <c r="J70" s="678">
        <f t="shared" si="1"/>
        <v>1.0028501704481634</v>
      </c>
      <c r="K70" s="678">
        <f t="shared" si="2"/>
        <v>1.0000000346890974</v>
      </c>
      <c r="L70" s="679">
        <f t="shared" si="3"/>
        <v>2.6339740486995452E-4</v>
      </c>
      <c r="M70" s="678">
        <f t="shared" si="4"/>
        <v>1.0000005178278275</v>
      </c>
      <c r="N70" s="679">
        <f t="shared" si="5"/>
        <v>-1.0176714637586872E-3</v>
      </c>
      <c r="O70" s="677">
        <f t="shared" si="6"/>
        <v>7901.9223921147432</v>
      </c>
      <c r="P70" s="680">
        <f t="shared" si="7"/>
        <v>1.5706697753112138</v>
      </c>
      <c r="Q70" s="689">
        <f t="shared" si="8"/>
        <v>1.0487633681558519</v>
      </c>
      <c r="R70" s="690">
        <f t="shared" si="9"/>
        <v>0.30614020607293402</v>
      </c>
      <c r="S70" s="677">
        <f t="shared" si="10"/>
        <v>1.000001032071806</v>
      </c>
      <c r="T70" s="680">
        <f t="shared" si="11"/>
        <v>1.4367121621712902E-3</v>
      </c>
      <c r="U70" s="681">
        <f t="shared" si="24"/>
        <v>0.99959563968466181</v>
      </c>
      <c r="V70" s="682">
        <f t="shared" si="25"/>
        <v>-3.6360850370229284E-3</v>
      </c>
      <c r="W70" s="683">
        <f t="shared" si="12"/>
        <v>25.028237671373738</v>
      </c>
      <c r="X70" s="684">
        <f t="shared" si="13"/>
        <v>-130.24515637634136</v>
      </c>
      <c r="Y70" s="687">
        <f t="shared" si="14"/>
        <v>49.754843623658644</v>
      </c>
      <c r="AA70" s="170">
        <f t="shared" si="15"/>
        <v>1000000000</v>
      </c>
      <c r="AB70" s="170">
        <f t="shared" si="16"/>
        <v>36309.302500000005</v>
      </c>
      <c r="AD70" s="686">
        <f t="shared" si="17"/>
        <v>27.564336130725216</v>
      </c>
      <c r="AE70" s="687">
        <f t="shared" si="18"/>
        <v>-72.534525012999751</v>
      </c>
      <c r="AG70" s="686">
        <f t="shared" si="19"/>
        <v>38.455287872787252</v>
      </c>
      <c r="AH70" s="687">
        <f t="shared" si="20"/>
        <v>-57.293966709721332</v>
      </c>
      <c r="AJ70" s="170">
        <f t="shared" si="21"/>
        <v>0</v>
      </c>
      <c r="AK70" s="170">
        <f t="shared" si="33"/>
        <v>0</v>
      </c>
      <c r="AM70" s="170" t="str">
        <f t="shared" si="26"/>
        <v>0.0000134909609650347+0.0051943950489204i</v>
      </c>
      <c r="AN70" s="170" t="str">
        <f t="shared" si="27"/>
        <v>0.0051944184081734i</v>
      </c>
      <c r="AO70" s="170" t="str">
        <f t="shared" si="28"/>
        <v>0.999995503008968-0.00259720336425089i</v>
      </c>
      <c r="AP70" s="170" t="str">
        <f t="shared" si="29"/>
        <v>0.166664418173172-0.0008657325081534i</v>
      </c>
      <c r="AQ70" s="170" t="str">
        <f t="shared" si="30"/>
        <v>0.833335581826828+0.0008657325081534i</v>
      </c>
      <c r="AR70" s="170" t="str">
        <f t="shared" si="31"/>
        <v>0.999596224066368-0.00103845673348612i</v>
      </c>
    </row>
    <row r="71" spans="1:44">
      <c r="A71" s="170">
        <v>10</v>
      </c>
      <c r="G71" s="688">
        <v>208.93</v>
      </c>
      <c r="H71" s="676">
        <f t="shared" si="23"/>
        <v>0.20893</v>
      </c>
      <c r="I71" s="677">
        <f t="shared" si="0"/>
        <v>1.9881762772341045</v>
      </c>
      <c r="J71" s="678">
        <f t="shared" si="1"/>
        <v>1.0437606212470567</v>
      </c>
      <c r="K71" s="678">
        <f t="shared" si="2"/>
        <v>1.000000041703903</v>
      </c>
      <c r="L71" s="679">
        <f t="shared" si="3"/>
        <v>2.8880409101087482E-4</v>
      </c>
      <c r="M71" s="678">
        <f t="shared" si="4"/>
        <v>1.0000006225425853</v>
      </c>
      <c r="N71" s="679">
        <f t="shared" si="5"/>
        <v>-1.1158335559170553E-3</v>
      </c>
      <c r="O71" s="677">
        <f t="shared" si="6"/>
        <v>8664.1230289206451</v>
      </c>
      <c r="P71" s="680">
        <f t="shared" si="7"/>
        <v>1.5706809083043141</v>
      </c>
      <c r="Q71" s="689">
        <f t="shared" si="8"/>
        <v>1.0583511907568475</v>
      </c>
      <c r="R71" s="690">
        <f t="shared" si="9"/>
        <v>0.33361134182905711</v>
      </c>
      <c r="S71" s="677">
        <f t="shared" si="10"/>
        <v>1.0000012407765337</v>
      </c>
      <c r="T71" s="680">
        <f t="shared" si="11"/>
        <v>1.5752937826164816E-3</v>
      </c>
      <c r="U71" s="681">
        <f t="shared" si="24"/>
        <v>0.99959475795123587</v>
      </c>
      <c r="V71" s="682">
        <f t="shared" si="25"/>
        <v>-3.986811415275621E-3</v>
      </c>
      <c r="W71" s="683">
        <f t="shared" si="12"/>
        <v>23.724280658256927</v>
      </c>
      <c r="X71" s="684">
        <f t="shared" si="13"/>
        <v>-131.04801414318311</v>
      </c>
      <c r="Y71" s="687">
        <f t="shared" si="14"/>
        <v>48.95198585681689</v>
      </c>
      <c r="AA71" s="170">
        <f t="shared" si="15"/>
        <v>1000000000</v>
      </c>
      <c r="AB71" s="170">
        <f t="shared" si="16"/>
        <v>43651.744900000005</v>
      </c>
      <c r="AD71" s="686">
        <f t="shared" si="17"/>
        <v>26.843543168903111</v>
      </c>
      <c r="AE71" s="687">
        <f t="shared" si="18"/>
        <v>-70.96912288944182</v>
      </c>
      <c r="AG71" s="686">
        <f t="shared" si="19"/>
        <v>37.872139144973971</v>
      </c>
      <c r="AH71" s="687">
        <f t="shared" si="20"/>
        <v>-59.622036317599509</v>
      </c>
      <c r="AJ71" s="170">
        <f t="shared" si="21"/>
        <v>0</v>
      </c>
      <c r="AK71" s="170">
        <f t="shared" si="33"/>
        <v>0</v>
      </c>
      <c r="AM71" s="170" t="str">
        <f t="shared" si="26"/>
        <v>0.0000162190865200529+0.00569542886723445i</v>
      </c>
      <c r="AN71" s="170" t="str">
        <f t="shared" si="27"/>
        <v>0.0056954596589854i</v>
      </c>
      <c r="AO71" s="170" t="str">
        <f t="shared" si="28"/>
        <v>0.999994593631982-0.00284772213151663i</v>
      </c>
      <c r="AP71" s="170" t="str">
        <f t="shared" si="29"/>
        <v>0.16666396348558-0.000949238144539075i</v>
      </c>
      <c r="AQ71" s="170" t="str">
        <f t="shared" si="30"/>
        <v>0.83333603651442+0.000949238144539075i</v>
      </c>
      <c r="AR71" s="170" t="str">
        <f t="shared" si="31"/>
        <v>0.999595460507653-0.00113862127478697i</v>
      </c>
    </row>
    <row r="72" spans="1:44">
      <c r="A72" s="170">
        <v>11</v>
      </c>
      <c r="G72" s="688">
        <v>229.09</v>
      </c>
      <c r="H72" s="676">
        <f t="shared" si="23"/>
        <v>0.22909000000000002</v>
      </c>
      <c r="I72" s="677">
        <f t="shared" si="0"/>
        <v>2.1331168562554841</v>
      </c>
      <c r="J72" s="678">
        <f t="shared" si="1"/>
        <v>1.0828673248356324</v>
      </c>
      <c r="K72" s="678">
        <f t="shared" si="2"/>
        <v>1.0000000501403492</v>
      </c>
      <c r="L72" s="679">
        <f t="shared" si="3"/>
        <v>3.166712718976012E-4</v>
      </c>
      <c r="M72" s="678">
        <f t="shared" si="4"/>
        <v>1.0000007484791267</v>
      </c>
      <c r="N72" s="679">
        <f t="shared" si="5"/>
        <v>-1.2235020718099571E-3</v>
      </c>
      <c r="O72" s="677">
        <f t="shared" si="6"/>
        <v>9500.138527119012</v>
      </c>
      <c r="P72" s="680">
        <f t="shared" si="7"/>
        <v>1.5706910651717116</v>
      </c>
      <c r="Q72" s="689">
        <f t="shared" si="8"/>
        <v>1.069768297181741</v>
      </c>
      <c r="R72" s="690">
        <f t="shared" si="9"/>
        <v>0.36315185001026279</v>
      </c>
      <c r="S72" s="677">
        <f t="shared" si="10"/>
        <v>1.0000014917779125</v>
      </c>
      <c r="T72" s="680">
        <f t="shared" si="11"/>
        <v>1.7272961866242858E-3</v>
      </c>
      <c r="U72" s="681">
        <f t="shared" si="24"/>
        <v>0.99959369752606342</v>
      </c>
      <c r="V72" s="682">
        <f t="shared" si="25"/>
        <v>-4.3715031238243081E-3</v>
      </c>
      <c r="W72" s="683">
        <f t="shared" si="12"/>
        <v>22.40616709132987</v>
      </c>
      <c r="X72" s="684">
        <f t="shared" si="13"/>
        <v>-131.63202129955951</v>
      </c>
      <c r="Y72" s="687">
        <f t="shared" si="14"/>
        <v>48.367978700440489</v>
      </c>
      <c r="AA72" s="170">
        <f t="shared" si="15"/>
        <v>1000000000</v>
      </c>
      <c r="AB72" s="170">
        <f t="shared" si="16"/>
        <v>52482.2281</v>
      </c>
      <c r="AD72" s="686">
        <f t="shared" si="17"/>
        <v>26.136632850629468</v>
      </c>
      <c r="AE72" s="687">
        <f t="shared" si="18"/>
        <v>-69.285867485924101</v>
      </c>
      <c r="AG72" s="686">
        <f t="shared" si="19"/>
        <v>37.260954325270546</v>
      </c>
      <c r="AH72" s="687">
        <f t="shared" si="20"/>
        <v>-61.845216454816203</v>
      </c>
      <c r="AJ72" s="170">
        <f t="shared" si="21"/>
        <v>0</v>
      </c>
      <c r="AK72" s="170">
        <f t="shared" si="33"/>
        <v>0</v>
      </c>
      <c r="AM72" s="170" t="str">
        <f t="shared" si="26"/>
        <v>0.000019500098674019+0.00624498335423098i</v>
      </c>
      <c r="AN72" s="170" t="str">
        <f t="shared" si="27"/>
        <v>0.00624502394714481i</v>
      </c>
      <c r="AO72" s="170" t="str">
        <f t="shared" si="28"/>
        <v>0.999993499958659-0.00312250182530274i</v>
      </c>
      <c r="AP72" s="170" t="str">
        <f t="shared" si="29"/>
        <v>0.166663416650221-0.0010408305590385i</v>
      </c>
      <c r="AQ72" s="170" t="str">
        <f t="shared" si="30"/>
        <v>0.833336583349779+0.0010408305590385i</v>
      </c>
      <c r="AR72" s="170" t="str">
        <f t="shared" si="31"/>
        <v>0.999594542207467-0.00124848538629551i</v>
      </c>
    </row>
    <row r="73" spans="1:44">
      <c r="A73" s="170">
        <v>12</v>
      </c>
      <c r="G73" s="688">
        <v>251.19</v>
      </c>
      <c r="H73" s="676">
        <f t="shared" si="23"/>
        <v>0.25119000000000002</v>
      </c>
      <c r="I73" s="677">
        <f t="shared" si="0"/>
        <v>2.29525374877222</v>
      </c>
      <c r="J73" s="678">
        <f t="shared" si="1"/>
        <v>1.1200008558207506</v>
      </c>
      <c r="K73" s="678">
        <f t="shared" si="2"/>
        <v>1.0000000602809074</v>
      </c>
      <c r="L73" s="679">
        <f t="shared" si="3"/>
        <v>3.4722011545771091E-4</v>
      </c>
      <c r="M73" s="678">
        <f t="shared" si="4"/>
        <v>1.0000008998540755</v>
      </c>
      <c r="N73" s="679">
        <f t="shared" si="5"/>
        <v>-1.3415315133925743E-3</v>
      </c>
      <c r="O73" s="677">
        <f t="shared" si="6"/>
        <v>10416.60393034649</v>
      </c>
      <c r="P73" s="680">
        <f t="shared" si="7"/>
        <v>1.5707003262165677</v>
      </c>
      <c r="Q73" s="689">
        <f t="shared" si="8"/>
        <v>1.0833323674231912</v>
      </c>
      <c r="R73" s="690">
        <f t="shared" si="9"/>
        <v>0.39478897982988981</v>
      </c>
      <c r="S73" s="677">
        <f t="shared" si="10"/>
        <v>1.0000017934799859</v>
      </c>
      <c r="T73" s="680">
        <f t="shared" si="11"/>
        <v>1.8939257141299605E-3</v>
      </c>
      <c r="U73" s="681">
        <f t="shared" si="24"/>
        <v>0.9995924229055787</v>
      </c>
      <c r="V73" s="682">
        <f t="shared" si="25"/>
        <v>-4.7932130463981312E-3</v>
      </c>
      <c r="W73" s="683">
        <f t="shared" si="12"/>
        <v>21.079349290203709</v>
      </c>
      <c r="X73" s="684">
        <f t="shared" si="13"/>
        <v>-131.98619414450835</v>
      </c>
      <c r="Y73" s="687">
        <f t="shared" si="14"/>
        <v>48.013805855491654</v>
      </c>
      <c r="AA73" s="170">
        <f t="shared" si="15"/>
        <v>1000000000</v>
      </c>
      <c r="AB73" s="170">
        <f t="shared" si="16"/>
        <v>63096.416100000002</v>
      </c>
      <c r="AD73" s="686">
        <f t="shared" si="17"/>
        <v>25.446145878212356</v>
      </c>
      <c r="AE73" s="687">
        <f t="shared" si="18"/>
        <v>-67.4832712567447</v>
      </c>
      <c r="AG73" s="686">
        <f t="shared" si="19"/>
        <v>36.624645648001525</v>
      </c>
      <c r="AH73" s="687">
        <f t="shared" si="20"/>
        <v>-63.953661131404708</v>
      </c>
      <c r="AJ73" s="170">
        <f t="shared" si="21"/>
        <v>0</v>
      </c>
      <c r="AK73" s="170">
        <f t="shared" si="33"/>
        <v>0</v>
      </c>
      <c r="AM73" s="170" t="str">
        <f t="shared" si="26"/>
        <v>0.0000234438509140178+0.00684741938352471i</v>
      </c>
      <c r="AN73" s="170" t="str">
        <f t="shared" si="27"/>
        <v>0.00684747289398623i</v>
      </c>
      <c r="AO73" s="170" t="str">
        <f t="shared" si="28"/>
        <v>0.999992185370815-0.00342372306936874i</v>
      </c>
      <c r="AP73" s="170" t="str">
        <f t="shared" si="29"/>
        <v>0.166662759358181-0.00114123656392078i</v>
      </c>
      <c r="AQ73" s="170" t="str">
        <f t="shared" si="30"/>
        <v>0.833337240641819+0.00114123656392078i</v>
      </c>
      <c r="AR73" s="170" t="str">
        <f t="shared" si="31"/>
        <v>0.999593438421293-0.00136892067862355i</v>
      </c>
    </row>
    <row r="74" spans="1:44">
      <c r="A74" s="170">
        <v>13</v>
      </c>
      <c r="G74" s="688">
        <v>275.42</v>
      </c>
      <c r="H74" s="676">
        <f t="shared" si="23"/>
        <v>0.27542</v>
      </c>
      <c r="I74" s="677">
        <f t="shared" si="0"/>
        <v>2.4761523318229575</v>
      </c>
      <c r="J74" s="678">
        <f t="shared" si="1"/>
        <v>1.1550723201271726</v>
      </c>
      <c r="K74" s="678">
        <f t="shared" si="2"/>
        <v>1.000000072471297</v>
      </c>
      <c r="L74" s="679">
        <f t="shared" si="3"/>
        <v>3.8071325857786428E-4</v>
      </c>
      <c r="M74" s="678">
        <f t="shared" si="4"/>
        <v>1.0000010818282161</v>
      </c>
      <c r="N74" s="679">
        <f t="shared" si="5"/>
        <v>-1.4709366001599928E-3</v>
      </c>
      <c r="O74" s="677">
        <f t="shared" si="6"/>
        <v>11421.398352929078</v>
      </c>
      <c r="P74" s="680">
        <f t="shared" si="7"/>
        <v>1.5707087718414332</v>
      </c>
      <c r="Q74" s="689">
        <f t="shared" si="8"/>
        <v>1.0994168194720626</v>
      </c>
      <c r="R74" s="690">
        <f t="shared" si="9"/>
        <v>0.42854067364285925</v>
      </c>
      <c r="S74" s="677">
        <f t="shared" si="10"/>
        <v>1.0000021561685737</v>
      </c>
      <c r="T74" s="680">
        <f t="shared" si="11"/>
        <v>2.0766148893702394E-3</v>
      </c>
      <c r="U74" s="681">
        <f t="shared" si="24"/>
        <v>0.99959089063697626</v>
      </c>
      <c r="V74" s="682">
        <f t="shared" si="25"/>
        <v>-5.2555664471338861E-3</v>
      </c>
      <c r="W74" s="683">
        <f t="shared" si="12"/>
        <v>19.74855204449085</v>
      </c>
      <c r="X74" s="684">
        <f t="shared" si="13"/>
        <v>-132.10474888929022</v>
      </c>
      <c r="Y74" s="687">
        <f t="shared" si="14"/>
        <v>47.895251110709779</v>
      </c>
      <c r="AA74" s="170">
        <f t="shared" si="15"/>
        <v>1000000000</v>
      </c>
      <c r="AB74" s="170">
        <f t="shared" si="16"/>
        <v>75856.176400000011</v>
      </c>
      <c r="AD74" s="686">
        <f t="shared" si="17"/>
        <v>24.774293328440578</v>
      </c>
      <c r="AE74" s="687">
        <f t="shared" si="18"/>
        <v>-65.56039286501067</v>
      </c>
      <c r="AG74" s="686">
        <f t="shared" si="19"/>
        <v>35.965727581166206</v>
      </c>
      <c r="AH74" s="687">
        <f t="shared" si="20"/>
        <v>-65.942112470848741</v>
      </c>
      <c r="AJ74" s="170">
        <f t="shared" si="21"/>
        <v>0</v>
      </c>
      <c r="AK74" s="170">
        <f t="shared" si="33"/>
        <v>0</v>
      </c>
      <c r="AM74" s="170" t="str">
        <f t="shared" si="26"/>
        <v>0.0000281847939259672+0.00750791538769992i</v>
      </c>
      <c r="AN74" s="170" t="str">
        <f t="shared" si="27"/>
        <v>0.00750798592484449i</v>
      </c>
      <c r="AO74" s="170" t="str">
        <f t="shared" si="28"/>
        <v>0.999990605051038-0.00375397532815047i</v>
      </c>
      <c r="AP74" s="170" t="str">
        <f t="shared" si="29"/>
        <v>0.166661969201012-0.00125131923128332i</v>
      </c>
      <c r="AQ74" s="170" t="str">
        <f t="shared" si="30"/>
        <v>0.833338030798988+0.00125131923128332i</v>
      </c>
      <c r="AR74" s="170" t="str">
        <f t="shared" si="31"/>
        <v>0.999592111521118-0.00150096213824086i</v>
      </c>
    </row>
    <row r="75" spans="1:44">
      <c r="A75" s="170">
        <v>14</v>
      </c>
      <c r="G75" s="688">
        <v>302</v>
      </c>
      <c r="H75" s="676">
        <f t="shared" si="23"/>
        <v>0.30199999999999999</v>
      </c>
      <c r="I75" s="677">
        <f t="shared" si="0"/>
        <v>2.6776000173488339</v>
      </c>
      <c r="J75" s="678">
        <f t="shared" si="1"/>
        <v>1.1880507636463684</v>
      </c>
      <c r="K75" s="678">
        <f t="shared" si="2"/>
        <v>1.0000000871342642</v>
      </c>
      <c r="L75" s="679">
        <f t="shared" si="3"/>
        <v>4.1745480708225497E-4</v>
      </c>
      <c r="M75" s="678">
        <f t="shared" si="4"/>
        <v>1.0000013007121438</v>
      </c>
      <c r="N75" s="679">
        <f t="shared" si="5"/>
        <v>-1.6128922679043542E-3</v>
      </c>
      <c r="O75" s="677">
        <f t="shared" si="6"/>
        <v>12523.644979884479</v>
      </c>
      <c r="P75" s="680">
        <f t="shared" si="7"/>
        <v>1.570716477836972</v>
      </c>
      <c r="Q75" s="689">
        <f t="shared" si="8"/>
        <v>1.1184572822113044</v>
      </c>
      <c r="R75" s="690">
        <f t="shared" si="9"/>
        <v>0.46440396079295992</v>
      </c>
      <c r="S75" s="677">
        <f t="shared" si="10"/>
        <v>1.0000025924211451</v>
      </c>
      <c r="T75" s="680">
        <f t="shared" si="11"/>
        <v>2.2770224173862988E-3</v>
      </c>
      <c r="U75" s="681">
        <f t="shared" si="24"/>
        <v>0.99958904758703904</v>
      </c>
      <c r="V75" s="682">
        <f t="shared" si="25"/>
        <v>-5.762760942843944E-3</v>
      </c>
      <c r="W75" s="683">
        <f t="shared" si="12"/>
        <v>18.418078522064125</v>
      </c>
      <c r="X75" s="684">
        <f t="shared" si="13"/>
        <v>-131.98647198008243</v>
      </c>
      <c r="Y75" s="687">
        <f t="shared" si="14"/>
        <v>48.013528019917572</v>
      </c>
      <c r="AA75" s="170">
        <f t="shared" si="15"/>
        <v>1000000000</v>
      </c>
      <c r="AB75" s="170">
        <f t="shared" si="16"/>
        <v>91204</v>
      </c>
      <c r="AD75" s="686">
        <f t="shared" si="17"/>
        <v>24.123200660239775</v>
      </c>
      <c r="AE75" s="687">
        <f t="shared" si="18"/>
        <v>-63.517501896069071</v>
      </c>
      <c r="AG75" s="686">
        <f t="shared" si="19"/>
        <v>35.286378757130358</v>
      </c>
      <c r="AH75" s="687">
        <f t="shared" si="20"/>
        <v>-67.80860632252319</v>
      </c>
      <c r="AJ75" s="170">
        <f t="shared" si="21"/>
        <v>0</v>
      </c>
      <c r="AK75" s="170">
        <f t="shared" si="33"/>
        <v>0</v>
      </c>
      <c r="AM75" s="170" t="str">
        <f t="shared" si="26"/>
        <v>0.0000338873328979972+0.00823246727567443i</v>
      </c>
      <c r="AN75" s="170" t="str">
        <f t="shared" si="27"/>
        <v>0.00823256026905467i</v>
      </c>
      <c r="AO75" s="170" t="str">
        <f t="shared" si="28"/>
        <v>0.999988704196847-0.00411625688613251i</v>
      </c>
      <c r="AP75" s="170" t="str">
        <f t="shared" si="29"/>
        <v>0.16666101877785-0.00137207787927907i</v>
      </c>
      <c r="AQ75" s="170" t="str">
        <f t="shared" si="30"/>
        <v>0.83333898122215+0.00137207787927907i</v>
      </c>
      <c r="AR75" s="170" t="str">
        <f t="shared" si="31"/>
        <v>0.999590515496444-0.00164580808717049i</v>
      </c>
    </row>
    <row r="76" spans="1:44">
      <c r="A76" s="170">
        <v>15</v>
      </c>
      <c r="G76" s="688">
        <v>331.13</v>
      </c>
      <c r="H76" s="676">
        <f t="shared" si="23"/>
        <v>0.33112999999999998</v>
      </c>
      <c r="I76" s="677">
        <f t="shared" si="0"/>
        <v>2.9012296271120186</v>
      </c>
      <c r="J76" s="678">
        <f t="shared" si="1"/>
        <v>1.2188969207431779</v>
      </c>
      <c r="K76" s="678">
        <f t="shared" si="2"/>
        <v>1.000000104754367</v>
      </c>
      <c r="L76" s="679">
        <f t="shared" si="3"/>
        <v>4.5772122068004885E-4</v>
      </c>
      <c r="M76" s="678">
        <f t="shared" si="4"/>
        <v>1.0000015637391528</v>
      </c>
      <c r="N76" s="679">
        <f t="shared" si="5"/>
        <v>-1.7684666325170702E-3</v>
      </c>
      <c r="O76" s="677">
        <f t="shared" si="6"/>
        <v>13731.637615779666</v>
      </c>
      <c r="P76" s="680">
        <f t="shared" si="7"/>
        <v>1.5707235022688739</v>
      </c>
      <c r="Q76" s="689">
        <f t="shared" si="8"/>
        <v>1.1409174347768343</v>
      </c>
      <c r="R76" s="690">
        <f t="shared" si="9"/>
        <v>0.50227912292489307</v>
      </c>
      <c r="S76" s="677">
        <f t="shared" si="10"/>
        <v>1.0000031166541616</v>
      </c>
      <c r="T76" s="680">
        <f t="shared" si="11"/>
        <v>2.4966561905914015E-3</v>
      </c>
      <c r="U76" s="681">
        <f t="shared" si="24"/>
        <v>0.99958683285506233</v>
      </c>
      <c r="V76" s="682">
        <f t="shared" si="25"/>
        <v>-6.3186123802592238E-3</v>
      </c>
      <c r="W76" s="683">
        <f t="shared" si="12"/>
        <v>17.094193715704478</v>
      </c>
      <c r="X76" s="684">
        <f t="shared" si="13"/>
        <v>-131.63518081587452</v>
      </c>
      <c r="Y76" s="687">
        <f t="shared" si="14"/>
        <v>48.36481918412548</v>
      </c>
      <c r="AA76" s="170">
        <f t="shared" si="15"/>
        <v>1000000000</v>
      </c>
      <c r="AB76" s="170">
        <f t="shared" si="16"/>
        <v>109647.0769</v>
      </c>
      <c r="AD76" s="686">
        <f t="shared" si="17"/>
        <v>23.49606069360744</v>
      </c>
      <c r="AE76" s="687">
        <f t="shared" si="18"/>
        <v>-61.360401513615393</v>
      </c>
      <c r="AG76" s="686">
        <f t="shared" si="19"/>
        <v>34.589672407098156</v>
      </c>
      <c r="AH76" s="687">
        <f t="shared" si="20"/>
        <v>-69.550719657895812</v>
      </c>
      <c r="AJ76" s="170">
        <f t="shared" si="21"/>
        <v>0</v>
      </c>
      <c r="AK76" s="170">
        <f t="shared" si="33"/>
        <v>0</v>
      </c>
      <c r="AM76" s="170" t="str">
        <f t="shared" si="26"/>
        <v>0.0000407399100099681+0.00902652537134364i</v>
      </c>
      <c r="AN76" s="170" t="str">
        <f t="shared" si="27"/>
        <v>0.00902664795328501i</v>
      </c>
      <c r="AO76" s="170" t="str">
        <f t="shared" si="28"/>
        <v>0.999986419993113-0.00451329333112431i</v>
      </c>
      <c r="AP76" s="170" t="str">
        <f t="shared" si="29"/>
        <v>0.166659876681665-0.00150442089522394i</v>
      </c>
      <c r="AQ76" s="170" t="str">
        <f t="shared" si="30"/>
        <v>0.833340123318335+0.00150442089522394i</v>
      </c>
      <c r="AR76" s="170" t="str">
        <f t="shared" si="31"/>
        <v>0.999588597611043-0.00180454766402649i</v>
      </c>
    </row>
    <row r="77" spans="1:44">
      <c r="A77" s="170">
        <v>16</v>
      </c>
      <c r="G77" s="688">
        <v>363.08</v>
      </c>
      <c r="H77" s="676">
        <f t="shared" si="23"/>
        <v>0.36307999999999996</v>
      </c>
      <c r="I77" s="677">
        <f t="shared" ref="I77:I140" si="34">SQRT(1+(G77/pole1)^2)</f>
        <v>3.1492080890621583</v>
      </c>
      <c r="J77" s="678">
        <f t="shared" ref="J77:J140" si="35">ATAN(G77/pole1)</f>
        <v>1.2476620816793591</v>
      </c>
      <c r="K77" s="678">
        <f t="shared" ref="K77:K140" si="36">SQRT(1+(G77/Zero1)^2)</f>
        <v>1.0000001259446512</v>
      </c>
      <c r="L77" s="679">
        <f t="shared" ref="L77:L140" si="37">ATAN(G77/Zero1)</f>
        <v>5.0188571997939878E-4</v>
      </c>
      <c r="M77" s="678">
        <f t="shared" ref="M77:M140" si="38">SQRT(1+(G77/z_RHP)^2)</f>
        <v>1.000001880060551</v>
      </c>
      <c r="N77" s="679">
        <f t="shared" ref="N77:N140" si="39">-ATAN(G77/z_RHP)</f>
        <v>-1.9391016504965405E-3</v>
      </c>
      <c r="O77" s="677">
        <f t="shared" ref="O77:O140" si="40">SQRT(1+(G77/Pole2)^2)</f>
        <v>15056.572896786487</v>
      </c>
      <c r="P77" s="680">
        <f t="shared" ref="P77:P140" si="41">ATAN(G77/Pole2)</f>
        <v>1.5707299106185468</v>
      </c>
      <c r="Q77" s="689">
        <f t="shared" ref="Q77:Q140" si="42">SQRT(1+(G77/Zero2)^2)</f>
        <v>1.167356251636146</v>
      </c>
      <c r="R77" s="690">
        <f t="shared" ref="R77:R140" si="43">ATAN(G77/Zero2)</f>
        <v>0.54208174699526834</v>
      </c>
      <c r="S77" s="677">
        <f t="shared" ref="S77:S140" si="44">SQRT(1+(G77/pole4)^2)</f>
        <v>1.0000037471068044</v>
      </c>
      <c r="T77" s="680">
        <f t="shared" ref="T77:T140" si="45">ATAN(G77/pole4)</f>
        <v>2.7375518638701767E-3</v>
      </c>
      <c r="U77" s="681">
        <f t="shared" si="24"/>
        <v>0.99958416939298878</v>
      </c>
      <c r="V77" s="682">
        <f t="shared" si="25"/>
        <v>-6.9282721530810184E-3</v>
      </c>
      <c r="W77" s="683">
        <f t="shared" ref="W77:W140" si="46">20*LOG10(((K77*Q77*M77*U77)/(I77*O77*S77))*Adc)</f>
        <v>15.780690921125391</v>
      </c>
      <c r="X77" s="684">
        <f t="shared" ref="X77:X140" si="47">((L77+R77+N77+V77)-(J77+P77+T77))*radconv</f>
        <v>-131.05912739674224</v>
      </c>
      <c r="Y77" s="687">
        <f t="shared" ref="Y77:Y140" si="48">IF(X77&gt;0,X77,X77+180)</f>
        <v>48.940872603257759</v>
      </c>
      <c r="AA77" s="170">
        <f t="shared" ref="AA77:AA140" si="49">IF(W77&lt;0,G77,1000000000)</f>
        <v>1000000000</v>
      </c>
      <c r="AB77" s="170">
        <f t="shared" ref="AB77:AB140" si="50">G77^2</f>
        <v>131827.0864</v>
      </c>
      <c r="AD77" s="686">
        <f t="shared" ref="AD77:AD140" si="51">20*LOG10((Q77/(O77*S77))*Aea)</f>
        <v>22.894963201777649</v>
      </c>
      <c r="AE77" s="687">
        <f t="shared" ref="AE77:AE140" si="52">(R77-(P77+T77))*radconv</f>
        <v>-59.094048615019112</v>
      </c>
      <c r="AG77" s="686">
        <f t="shared" ref="AG77:AG140" si="53">20*LOG10((K77*M77/(I77*U77))*Acs*Am)</f>
        <v>33.877313392610546</v>
      </c>
      <c r="AH77" s="687">
        <f t="shared" ref="AH77:AH140" si="54">(L77+N77-(J77+V77))*radconv</f>
        <v>-71.171157273436805</v>
      </c>
      <c r="AJ77" s="170">
        <f t="shared" ref="AJ77:AJ140" si="55">SUM((W78&lt;0)*(W77&gt;0))*G77</f>
        <v>0</v>
      </c>
      <c r="AK77" s="170">
        <f t="shared" si="33"/>
        <v>0</v>
      </c>
      <c r="AM77" s="170" t="str">
        <f t="shared" si="26"/>
        <v>0.0000489809342110181+0.00989744761496137i</v>
      </c>
      <c r="AN77" s="170" t="str">
        <f t="shared" si="27"/>
        <v>0.00989760921353764i</v>
      </c>
      <c r="AO77" s="170" t="str">
        <f t="shared" si="28"/>
        <v>0.999983672968615-0.00494876420701916i</v>
      </c>
      <c r="AP77" s="170" t="str">
        <f t="shared" si="29"/>
        <v>0.166658503177632-0.00164957460249356i</v>
      </c>
      <c r="AQ77" s="170" t="str">
        <f t="shared" si="30"/>
        <v>0.833341496822368+0.00164957460249356i</v>
      </c>
      <c r="AR77" s="170" t="str">
        <f t="shared" si="31"/>
        <v>0.999586291146593-0.00197865120741446i</v>
      </c>
    </row>
    <row r="78" spans="1:44">
      <c r="A78" s="170">
        <v>17</v>
      </c>
      <c r="G78" s="688">
        <v>398.11</v>
      </c>
      <c r="H78" s="676">
        <f t="shared" ref="H78:H141" si="56">G78/1000</f>
        <v>0.39811000000000002</v>
      </c>
      <c r="I78" s="677">
        <f t="shared" si="34"/>
        <v>3.4236303165122317</v>
      </c>
      <c r="J78" s="678">
        <f t="shared" si="35"/>
        <v>1.274387414964224</v>
      </c>
      <c r="K78" s="678">
        <f t="shared" si="36"/>
        <v>1.0000001514193027</v>
      </c>
      <c r="L78" s="679">
        <f t="shared" si="37"/>
        <v>5.503077024007878E-4</v>
      </c>
      <c r="M78" s="678">
        <f t="shared" si="38"/>
        <v>1.000002260337415</v>
      </c>
      <c r="N78" s="679">
        <f t="shared" si="39"/>
        <v>-2.1261858608841566E-3</v>
      </c>
      <c r="O78" s="677">
        <f t="shared" si="40"/>
        <v>16509.232768853883</v>
      </c>
      <c r="P78" s="680">
        <f t="shared" si="41"/>
        <v>1.5707357546281211</v>
      </c>
      <c r="Q78" s="689">
        <f t="shared" si="42"/>
        <v>1.1983687349834851</v>
      </c>
      <c r="R78" s="690">
        <f t="shared" si="43"/>
        <v>0.5836302143230202</v>
      </c>
      <c r="S78" s="677">
        <f t="shared" si="44"/>
        <v>1.0000045050273005</v>
      </c>
      <c r="T78" s="680">
        <f t="shared" si="45"/>
        <v>3.0016696646717636E-3</v>
      </c>
      <c r="U78" s="681">
        <f t="shared" ref="U78:U141" si="57">IMABS(IMPRODUCT(AO78, AR78))</f>
        <v>0.99958096744420222</v>
      </c>
      <c r="V78" s="682">
        <f t="shared" ref="V78:V141" si="58">IMARGUMENT(IMPRODUCT(AO78, AR78))</f>
        <v>-7.5967006024690951E-3</v>
      </c>
      <c r="W78" s="683">
        <f t="shared" si="46"/>
        <v>14.482675871321218</v>
      </c>
      <c r="X78" s="684">
        <f t="shared" si="47"/>
        <v>-130.27153493788919</v>
      </c>
      <c r="Y78" s="687">
        <f t="shared" si="48"/>
        <v>49.728465062110814</v>
      </c>
      <c r="AA78" s="170">
        <f t="shared" si="49"/>
        <v>1000000000</v>
      </c>
      <c r="AB78" s="170">
        <f t="shared" si="50"/>
        <v>158491.57210000002</v>
      </c>
      <c r="AD78" s="686">
        <f t="shared" si="51"/>
        <v>22.322682553695525</v>
      </c>
      <c r="AE78" s="687">
        <f t="shared" si="52"/>
        <v>-56.728964461563486</v>
      </c>
      <c r="AG78" s="686">
        <f t="shared" si="53"/>
        <v>33.151634637664785</v>
      </c>
      <c r="AH78" s="687">
        <f t="shared" si="54"/>
        <v>-72.672052709839022</v>
      </c>
      <c r="AJ78" s="170">
        <f t="shared" si="55"/>
        <v>0</v>
      </c>
      <c r="AK78" s="170">
        <f t="shared" si="33"/>
        <v>0</v>
      </c>
      <c r="AM78" s="170" t="str">
        <f t="shared" ref="AM78:AM141" si="59">IMSUB(1,IMEXP(COMPLEX(0,-2*Pi*G78*Tsw)))</f>
        <v>0.0000588881440030109+0.0108523186551621i</v>
      </c>
      <c r="AN78" s="170" t="str">
        <f t="shared" ref="AN78:AN141" si="60">COMPLEX(0, 2*Pi*G78*Tsw)</f>
        <v>0.0108525316844813i</v>
      </c>
      <c r="AO78" s="170" t="str">
        <f t="shared" ref="AO78:AO141" si="61">IMDIV(AM78, AN78)</f>
        <v>0.999980370541603-0.00542621258477583i</v>
      </c>
      <c r="AP78" s="170" t="str">
        <f t="shared" ref="AP78:AP141" si="62">IMDIV(IMEXP(COMPLEX(0,-2*Pi*G78*Tsw)),6)</f>
        <v>0.166656851975999-0.00180871977586035i</v>
      </c>
      <c r="AQ78" s="170" t="str">
        <f t="shared" ref="AQ78:AQ141" si="63">IMSUB(1, AP78)</f>
        <v>0.833343148024001+0.00180871977586035i</v>
      </c>
      <c r="AR78" s="170" t="str">
        <f t="shared" ref="AR78:AR141" si="64">IMDIV(0.833, AQ78)</f>
        <v>0.999583518381025-0.00216953422081507i</v>
      </c>
    </row>
    <row r="79" spans="1:44">
      <c r="A79" s="170">
        <v>18</v>
      </c>
      <c r="G79" s="688">
        <v>436.52</v>
      </c>
      <c r="H79" s="676">
        <f t="shared" si="56"/>
        <v>0.43651999999999996</v>
      </c>
      <c r="I79" s="677">
        <f t="shared" si="34"/>
        <v>3.7269067503543307</v>
      </c>
      <c r="J79" s="678">
        <f t="shared" si="35"/>
        <v>1.2991486790248477</v>
      </c>
      <c r="K79" s="678">
        <f t="shared" si="36"/>
        <v>1.0000001820469282</v>
      </c>
      <c r="L79" s="679">
        <f t="shared" si="37"/>
        <v>6.0340185714268402E-4</v>
      </c>
      <c r="M79" s="678">
        <f t="shared" si="38"/>
        <v>1.0000027175359274</v>
      </c>
      <c r="N79" s="679">
        <f t="shared" si="39"/>
        <v>-2.3313214164498437E-3</v>
      </c>
      <c r="O79" s="677">
        <f t="shared" si="40"/>
        <v>18102.057938850769</v>
      </c>
      <c r="P79" s="680">
        <f t="shared" si="41"/>
        <v>1.5707410844570426</v>
      </c>
      <c r="Q79" s="689">
        <f t="shared" si="42"/>
        <v>1.2346235057678174</v>
      </c>
      <c r="R79" s="690">
        <f t="shared" si="43"/>
        <v>0.6267064167321712</v>
      </c>
      <c r="S79" s="677">
        <f t="shared" si="44"/>
        <v>1.0000054162580696</v>
      </c>
      <c r="T79" s="680">
        <f t="shared" si="45"/>
        <v>3.2912713723392598E-3</v>
      </c>
      <c r="U79" s="681">
        <f t="shared" si="57"/>
        <v>0.99957711784853409</v>
      </c>
      <c r="V79" s="682">
        <f t="shared" si="58"/>
        <v>-8.3296210276808964E-3</v>
      </c>
      <c r="W79" s="683">
        <f t="shared" si="46"/>
        <v>13.204265709545101</v>
      </c>
      <c r="X79" s="684">
        <f t="shared" si="47"/>
        <v>-129.2897691773083</v>
      </c>
      <c r="Y79" s="687">
        <f t="shared" si="48"/>
        <v>50.710230822691699</v>
      </c>
      <c r="AA79" s="170">
        <f t="shared" si="49"/>
        <v>1000000000</v>
      </c>
      <c r="AB79" s="170">
        <f t="shared" si="50"/>
        <v>190549.71039999998</v>
      </c>
      <c r="AD79" s="686">
        <f t="shared" si="51"/>
        <v>21.78153486846146</v>
      </c>
      <c r="AE79" s="687">
        <f t="shared" si="52"/>
        <v>-54.277778195558831</v>
      </c>
      <c r="AG79" s="686">
        <f t="shared" si="53"/>
        <v>32.414439063612086</v>
      </c>
      <c r="AH79" s="687">
        <f t="shared" si="54"/>
        <v>-74.057486720999705</v>
      </c>
      <c r="AJ79" s="170">
        <f t="shared" si="55"/>
        <v>0</v>
      </c>
      <c r="AK79" s="170">
        <f t="shared" si="33"/>
        <v>0</v>
      </c>
      <c r="AM79" s="170" t="str">
        <f t="shared" si="59"/>
        <v>0.0000707993261760409+0.0118993125770612i</v>
      </c>
      <c r="AN79" s="170" t="str">
        <f t="shared" si="60"/>
        <v>0.0118995934061184i</v>
      </c>
      <c r="AO79" s="170" t="str">
        <f t="shared" si="61"/>
        <v>0.999976400113213-0.00594972649566649i</v>
      </c>
      <c r="AP79" s="170" t="str">
        <f t="shared" si="62"/>
        <v>0.166654866778971-0.00198321876284353i</v>
      </c>
      <c r="AQ79" s="170" t="str">
        <f t="shared" si="63"/>
        <v>0.833345133221029+0.00198321876284353i</v>
      </c>
      <c r="AR79" s="170" t="str">
        <f t="shared" si="64"/>
        <v>0.999580184791589-0.00237882972902596i</v>
      </c>
    </row>
    <row r="80" spans="1:44">
      <c r="A80" s="170">
        <v>19</v>
      </c>
      <c r="G80" s="688">
        <v>478.63</v>
      </c>
      <c r="H80" s="676">
        <f t="shared" si="56"/>
        <v>0.47863</v>
      </c>
      <c r="I80" s="677">
        <f t="shared" si="34"/>
        <v>4.0616113796411444</v>
      </c>
      <c r="J80" s="678">
        <f t="shared" si="35"/>
        <v>1.3220307728202496</v>
      </c>
      <c r="K80" s="678">
        <f t="shared" si="36"/>
        <v>1.0000002188642794</v>
      </c>
      <c r="L80" s="679">
        <f t="shared" si="37"/>
        <v>6.6161051909530762E-4</v>
      </c>
      <c r="M80" s="678">
        <f t="shared" si="38"/>
        <v>1.0000032671322492</v>
      </c>
      <c r="N80" s="679">
        <f t="shared" si="39"/>
        <v>-2.5562172654521802E-3</v>
      </c>
      <c r="O80" s="677">
        <f t="shared" si="40"/>
        <v>19848.318494108451</v>
      </c>
      <c r="P80" s="680">
        <f t="shared" si="41"/>
        <v>1.5707459446932228</v>
      </c>
      <c r="Q80" s="689">
        <f t="shared" si="42"/>
        <v>1.276843449162703</v>
      </c>
      <c r="R80" s="690">
        <f t="shared" si="43"/>
        <v>0.67103042787802358</v>
      </c>
      <c r="S80" s="677">
        <f t="shared" si="44"/>
        <v>1.0000065116440231</v>
      </c>
      <c r="T80" s="680">
        <f t="shared" si="45"/>
        <v>3.6087695101552604E-3</v>
      </c>
      <c r="U80" s="681">
        <f t="shared" si="57"/>
        <v>0.9995724903199219</v>
      </c>
      <c r="V80" s="682">
        <f t="shared" si="58"/>
        <v>-9.1331379528424798E-3</v>
      </c>
      <c r="W80" s="683">
        <f t="shared" si="46"/>
        <v>11.949371103496571</v>
      </c>
      <c r="X80" s="684">
        <f t="shared" si="47"/>
        <v>-128.1352961823566</v>
      </c>
      <c r="Y80" s="687">
        <f t="shared" si="48"/>
        <v>51.864703817643402</v>
      </c>
      <c r="AA80" s="170">
        <f t="shared" si="49"/>
        <v>1000000000</v>
      </c>
      <c r="AB80" s="170">
        <f t="shared" si="50"/>
        <v>229086.67689999999</v>
      </c>
      <c r="AD80" s="686">
        <f t="shared" si="51"/>
        <v>21.273672192752542</v>
      </c>
      <c r="AE80" s="687">
        <f t="shared" si="52"/>
        <v>-51.756669197250567</v>
      </c>
      <c r="AG80" s="686">
        <f t="shared" si="53"/>
        <v>31.667487555873478</v>
      </c>
      <c r="AH80" s="687">
        <f t="shared" si="54"/>
        <v>-75.33204646709288</v>
      </c>
      <c r="AJ80" s="170">
        <f t="shared" si="55"/>
        <v>0</v>
      </c>
      <c r="AK80" s="170">
        <f t="shared" si="33"/>
        <v>0</v>
      </c>
      <c r="AM80" s="170" t="str">
        <f t="shared" si="59"/>
        <v>0.000085117650507005+0.013047147427669i</v>
      </c>
      <c r="AN80" s="170" t="str">
        <f t="shared" si="60"/>
        <v>0.013047517621118i</v>
      </c>
      <c r="AO80" s="170" t="str">
        <f t="shared" si="61"/>
        <v>0.999971627288826-0.00652366626194382i</v>
      </c>
      <c r="AP80" s="170" t="str">
        <f t="shared" si="62"/>
        <v>0.166652480391582-0.00217452457127817i</v>
      </c>
      <c r="AQ80" s="170" t="str">
        <f t="shared" si="63"/>
        <v>0.833347519608418+0.00217452457127817i</v>
      </c>
      <c r="AR80" s="170" t="str">
        <f t="shared" si="64"/>
        <v>0.999576177564335-0.00260827914865495i</v>
      </c>
    </row>
    <row r="81" spans="1:44">
      <c r="A81" s="170">
        <v>20</v>
      </c>
      <c r="G81" s="688">
        <v>524.80999999999995</v>
      </c>
      <c r="H81" s="676">
        <f t="shared" si="56"/>
        <v>0.52481</v>
      </c>
      <c r="I81" s="677">
        <f t="shared" si="34"/>
        <v>4.4307226440160905</v>
      </c>
      <c r="J81" s="678">
        <f t="shared" si="35"/>
        <v>1.343138076531609</v>
      </c>
      <c r="K81" s="678">
        <f t="shared" si="36"/>
        <v>1.0000002631353817</v>
      </c>
      <c r="L81" s="679">
        <f t="shared" si="37"/>
        <v>7.2544513774427217E-4</v>
      </c>
      <c r="M81" s="678">
        <f t="shared" si="38"/>
        <v>1.0000039279951418</v>
      </c>
      <c r="N81" s="679">
        <f t="shared" si="39"/>
        <v>-2.8028493659808819E-3</v>
      </c>
      <c r="O81" s="677">
        <f t="shared" si="40"/>
        <v>21763.357973108195</v>
      </c>
      <c r="P81" s="680">
        <f t="shared" si="41"/>
        <v>1.5707503780032814</v>
      </c>
      <c r="Q81" s="689">
        <f t="shared" si="42"/>
        <v>1.3258318139285401</v>
      </c>
      <c r="R81" s="690">
        <f t="shared" si="43"/>
        <v>0.71629515941120314</v>
      </c>
      <c r="S81" s="677">
        <f t="shared" si="44"/>
        <v>1.0000078287916569</v>
      </c>
      <c r="T81" s="680">
        <f t="shared" si="45"/>
        <v>3.9569535206471834E-3</v>
      </c>
      <c r="U81" s="681">
        <f t="shared" si="57"/>
        <v>0.99956692601865471</v>
      </c>
      <c r="V81" s="682">
        <f t="shared" si="58"/>
        <v>-1.00143094364427E-2</v>
      </c>
      <c r="W81" s="683">
        <f t="shared" si="46"/>
        <v>10.720765440921857</v>
      </c>
      <c r="X81" s="684">
        <f t="shared" si="47"/>
        <v>-126.83234193829124</v>
      </c>
      <c r="Y81" s="687">
        <f t="shared" si="48"/>
        <v>53.167658061708764</v>
      </c>
      <c r="AA81" s="170">
        <f t="shared" si="49"/>
        <v>1000000000</v>
      </c>
      <c r="AB81" s="170">
        <f t="shared" si="50"/>
        <v>275425.53609999997</v>
      </c>
      <c r="AD81" s="686">
        <f t="shared" si="51"/>
        <v>20.800632708670381</v>
      </c>
      <c r="AE81" s="687">
        <f t="shared" si="52"/>
        <v>-49.183394600917012</v>
      </c>
      <c r="AG81" s="686">
        <f t="shared" si="53"/>
        <v>30.912018080805055</v>
      </c>
      <c r="AH81" s="687">
        <f t="shared" si="54"/>
        <v>-76.50139200517053</v>
      </c>
      <c r="AJ81" s="170">
        <f t="shared" si="55"/>
        <v>0</v>
      </c>
      <c r="AK81" s="170">
        <f t="shared" si="33"/>
        <v>0</v>
      </c>
      <c r="AM81" s="170" t="str">
        <f t="shared" si="59"/>
        <v>0.000102334660252001+0.0143059025622806i</v>
      </c>
      <c r="AN81" s="170" t="str">
        <f t="shared" si="60"/>
        <v>0.0143063905788165i</v>
      </c>
      <c r="AO81" s="170" t="str">
        <f t="shared" si="61"/>
        <v>0.999965888213857-0.00715307328485272i</v>
      </c>
      <c r="AP81" s="170" t="str">
        <f t="shared" si="62"/>
        <v>0.166649610889958-0.00238431709371343i</v>
      </c>
      <c r="AQ81" s="170" t="str">
        <f t="shared" si="63"/>
        <v>0.833350389110042+0.00238431709371343i</v>
      </c>
      <c r="AR81" s="170" t="str">
        <f t="shared" si="64"/>
        <v>0.999571359163467-0.00285989556035968i</v>
      </c>
    </row>
    <row r="82" spans="1:44">
      <c r="A82" s="170">
        <v>21</v>
      </c>
      <c r="G82" s="688">
        <v>575.44000000000005</v>
      </c>
      <c r="H82" s="676">
        <f t="shared" si="56"/>
        <v>0.57544000000000006</v>
      </c>
      <c r="I82" s="677">
        <f t="shared" si="34"/>
        <v>4.8373072285281706</v>
      </c>
      <c r="J82" s="678">
        <f t="shared" si="35"/>
        <v>1.362568243504054</v>
      </c>
      <c r="K82" s="678">
        <f t="shared" si="36"/>
        <v>1.0000003163553095</v>
      </c>
      <c r="L82" s="679">
        <f t="shared" si="37"/>
        <v>7.9543098502783151E-4</v>
      </c>
      <c r="M82" s="678">
        <f t="shared" si="38"/>
        <v>1.0000047224423034</v>
      </c>
      <c r="N82" s="679">
        <f t="shared" si="39"/>
        <v>-3.073247051190801E-3</v>
      </c>
      <c r="O82" s="677">
        <f t="shared" si="40"/>
        <v>23862.934604564201</v>
      </c>
      <c r="P82" s="680">
        <f t="shared" si="41"/>
        <v>1.5707544208006481</v>
      </c>
      <c r="Q82" s="689">
        <f t="shared" si="42"/>
        <v>1.3824266472788826</v>
      </c>
      <c r="R82" s="690">
        <f t="shared" si="43"/>
        <v>0.7621318523147943</v>
      </c>
      <c r="S82" s="677">
        <f t="shared" si="44"/>
        <v>1.0000094121812746</v>
      </c>
      <c r="T82" s="680">
        <f t="shared" si="45"/>
        <v>4.3386881545006729E-3</v>
      </c>
      <c r="U82" s="681">
        <f t="shared" si="57"/>
        <v>0.99956023708264363</v>
      </c>
      <c r="V82" s="682">
        <f t="shared" si="58"/>
        <v>-1.0980383642817554E-2</v>
      </c>
      <c r="W82" s="683">
        <f t="shared" si="46"/>
        <v>9.5212330981383513</v>
      </c>
      <c r="X82" s="684">
        <f t="shared" si="47"/>
        <v>-125.40829759504625</v>
      </c>
      <c r="Y82" s="687">
        <f t="shared" si="48"/>
        <v>54.59170240495375</v>
      </c>
      <c r="AA82" s="170">
        <f t="shared" si="49"/>
        <v>1000000000</v>
      </c>
      <c r="AB82" s="170">
        <f t="shared" si="50"/>
        <v>331131.19360000006</v>
      </c>
      <c r="AD82" s="686">
        <f t="shared" si="51"/>
        <v>20.363733258876053</v>
      </c>
      <c r="AE82" s="687">
        <f t="shared" si="52"/>
        <v>-46.579248966368631</v>
      </c>
      <c r="AG82" s="686">
        <f t="shared" si="53"/>
        <v>30.149501437269272</v>
      </c>
      <c r="AH82" s="687">
        <f t="shared" si="54"/>
        <v>-77.570789346903993</v>
      </c>
      <c r="AJ82" s="170">
        <f t="shared" si="55"/>
        <v>0</v>
      </c>
      <c r="AK82" s="170">
        <f t="shared" si="33"/>
        <v>0</v>
      </c>
      <c r="AM82" s="170" t="str">
        <f t="shared" si="59"/>
        <v>0.00012303173402195+0.0156859278092578i</v>
      </c>
      <c r="AN82" s="170" t="str">
        <f t="shared" si="60"/>
        <v>0.0156865711298835i</v>
      </c>
      <c r="AO82" s="170" t="str">
        <f t="shared" si="61"/>
        <v>0.999958989085609-0.00784312473409629i</v>
      </c>
      <c r="AP82" s="170" t="str">
        <f t="shared" si="62"/>
        <v>0.166646161377663-0.00261432130154297i</v>
      </c>
      <c r="AQ82" s="170" t="str">
        <f t="shared" si="63"/>
        <v>0.833353838622337+0.00261432130154297i</v>
      </c>
      <c r="AR82" s="170" t="str">
        <f t="shared" si="64"/>
        <v>0.999565566927481-0.00313574550544747i</v>
      </c>
    </row>
    <row r="83" spans="1:44">
      <c r="A83" s="170">
        <v>22</v>
      </c>
      <c r="G83" s="688">
        <v>630.96</v>
      </c>
      <c r="H83" s="676">
        <f t="shared" si="56"/>
        <v>0.63096000000000008</v>
      </c>
      <c r="I83" s="677">
        <f t="shared" si="34"/>
        <v>5.2849212465742861</v>
      </c>
      <c r="J83" s="678">
        <f t="shared" si="35"/>
        <v>1.3804310575235028</v>
      </c>
      <c r="K83" s="678">
        <f t="shared" si="36"/>
        <v>1.0000003803458437</v>
      </c>
      <c r="L83" s="679">
        <f t="shared" si="37"/>
        <v>8.7217627016294985E-4</v>
      </c>
      <c r="M83" s="678">
        <f t="shared" si="38"/>
        <v>1.0000056776682686</v>
      </c>
      <c r="N83" s="679">
        <f t="shared" si="39"/>
        <v>-3.3697600524373989E-3</v>
      </c>
      <c r="O83" s="677">
        <f t="shared" si="40"/>
        <v>26165.294758570086</v>
      </c>
      <c r="P83" s="680">
        <f t="shared" si="41"/>
        <v>1.5707581082305935</v>
      </c>
      <c r="Q83" s="689">
        <f t="shared" si="42"/>
        <v>1.4475483543165555</v>
      </c>
      <c r="R83" s="690">
        <f t="shared" si="43"/>
        <v>0.80816932745682368</v>
      </c>
      <c r="S83" s="677">
        <f t="shared" si="44"/>
        <v>1.0000113160128137</v>
      </c>
      <c r="T83" s="680">
        <f t="shared" si="45"/>
        <v>4.7572904272395172E-3</v>
      </c>
      <c r="U83" s="681">
        <f t="shared" si="57"/>
        <v>0.99955219461297096</v>
      </c>
      <c r="V83" s="682">
        <f t="shared" si="58"/>
        <v>-1.2039752673675566E-2</v>
      </c>
      <c r="W83" s="683">
        <f t="shared" si="46"/>
        <v>8.3522426113565729</v>
      </c>
      <c r="X83" s="684">
        <f t="shared" si="47"/>
        <v>-123.89149297649493</v>
      </c>
      <c r="Y83" s="687">
        <f t="shared" si="48"/>
        <v>56.108507023505069</v>
      </c>
      <c r="AA83" s="170">
        <f t="shared" si="49"/>
        <v>1000000000</v>
      </c>
      <c r="AB83" s="170">
        <f t="shared" si="50"/>
        <v>398110.52160000004</v>
      </c>
      <c r="AD83" s="686">
        <f t="shared" si="51"/>
        <v>19.963500780967514</v>
      </c>
      <c r="AE83" s="687">
        <f t="shared" si="52"/>
        <v>-43.965691356001123</v>
      </c>
      <c r="AG83" s="686">
        <f t="shared" si="53"/>
        <v>29.38088320243352</v>
      </c>
      <c r="AH83" s="687">
        <f t="shared" si="54"/>
        <v>-78.546147589751428</v>
      </c>
      <c r="AJ83" s="170">
        <f t="shared" si="55"/>
        <v>0</v>
      </c>
      <c r="AK83" s="170">
        <f t="shared" si="33"/>
        <v>0</v>
      </c>
      <c r="AM83" s="170" t="str">
        <f t="shared" si="59"/>
        <v>0.000147917277477982+0.0171992056629192i</v>
      </c>
      <c r="AN83" s="170" t="str">
        <f t="shared" si="60"/>
        <v>0.0172000537329892i</v>
      </c>
      <c r="AO83" s="170" t="str">
        <f t="shared" si="61"/>
        <v>0.999950693754615-0.00859981484791998i</v>
      </c>
      <c r="AP83" s="170" t="str">
        <f t="shared" si="62"/>
        <v>0.166642013787087-0.0028665342771532i</v>
      </c>
      <c r="AQ83" s="170" t="str">
        <f t="shared" si="63"/>
        <v>0.833357986212913+0.0028665342771532i</v>
      </c>
      <c r="AR83" s="170" t="str">
        <f t="shared" si="64"/>
        <v>0.999558602668264-0.00343822108142598i</v>
      </c>
    </row>
    <row r="84" spans="1:44">
      <c r="A84" s="170">
        <v>23</v>
      </c>
      <c r="G84" s="688">
        <v>691.83</v>
      </c>
      <c r="H84" s="676">
        <f t="shared" si="56"/>
        <v>0.69183000000000006</v>
      </c>
      <c r="I84" s="677">
        <f t="shared" si="34"/>
        <v>5.7772908705077173</v>
      </c>
      <c r="J84" s="678">
        <f t="shared" si="35"/>
        <v>1.3968286287072316</v>
      </c>
      <c r="K84" s="678">
        <f t="shared" si="36"/>
        <v>1.0000004572711305</v>
      </c>
      <c r="L84" s="679">
        <f t="shared" si="37"/>
        <v>9.5631684741106029E-4</v>
      </c>
      <c r="M84" s="678">
        <f t="shared" si="38"/>
        <v>1.000006825978095</v>
      </c>
      <c r="N84" s="679">
        <f t="shared" si="39"/>
        <v>-3.6948448592345937E-3</v>
      </c>
      <c r="O84" s="677">
        <f t="shared" si="40"/>
        <v>28689.514185681375</v>
      </c>
      <c r="P84" s="680">
        <f t="shared" si="41"/>
        <v>1.5707614708543698</v>
      </c>
      <c r="Q84" s="689">
        <f t="shared" si="42"/>
        <v>1.522150175618904</v>
      </c>
      <c r="R84" s="690">
        <f t="shared" si="43"/>
        <v>0.85400975140284141</v>
      </c>
      <c r="S84" s="677">
        <f t="shared" si="44"/>
        <v>1.0000136046714765</v>
      </c>
      <c r="T84" s="680">
        <f t="shared" si="45"/>
        <v>5.2162279932947931E-3</v>
      </c>
      <c r="U84" s="681">
        <f t="shared" si="57"/>
        <v>0.99954252671803401</v>
      </c>
      <c r="V84" s="682">
        <f t="shared" si="58"/>
        <v>-1.320118902203867E-2</v>
      </c>
      <c r="W84" s="683">
        <f t="shared" si="46"/>
        <v>7.2149722819842221</v>
      </c>
      <c r="X84" s="684">
        <f t="shared" si="47"/>
        <v>-122.31138011271607</v>
      </c>
      <c r="Y84" s="687">
        <f t="shared" si="48"/>
        <v>57.688619887283934</v>
      </c>
      <c r="AA84" s="170">
        <f t="shared" si="49"/>
        <v>1000000000</v>
      </c>
      <c r="AB84" s="170">
        <f t="shared" si="50"/>
        <v>478628.74890000006</v>
      </c>
      <c r="AD84" s="686">
        <f t="shared" si="51"/>
        <v>19.600018093123609</v>
      </c>
      <c r="AE84" s="687">
        <f t="shared" si="52"/>
        <v>-41.365716379578416</v>
      </c>
      <c r="AG84" s="686">
        <f t="shared" si="53"/>
        <v>28.607263585496518</v>
      </c>
      <c r="AH84" s="687">
        <f t="shared" si="54"/>
        <v>-79.432918900374602</v>
      </c>
      <c r="AJ84" s="170">
        <f t="shared" si="55"/>
        <v>0</v>
      </c>
      <c r="AK84" s="170">
        <f t="shared" si="33"/>
        <v>0</v>
      </c>
      <c r="AM84" s="170" t="str">
        <f t="shared" si="59"/>
        <v>0.000177832799206024+0.0188582600975529i</v>
      </c>
      <c r="AN84" s="170" t="str">
        <f t="shared" si="60"/>
        <v>0.0188593780494705i</v>
      </c>
      <c r="AO84" s="170" t="str">
        <f t="shared" si="61"/>
        <v>0.999940721697467-0.00942940953511544i</v>
      </c>
      <c r="AP84" s="170" t="str">
        <f t="shared" si="62"/>
        <v>0.166637027866799-0.00314304334959215i</v>
      </c>
      <c r="AQ84" s="170" t="str">
        <f t="shared" si="63"/>
        <v>0.833362972133201+0.00314304334959215i</v>
      </c>
      <c r="AR84" s="170" t="str">
        <f t="shared" si="64"/>
        <v>0.999550230981766-0.00376982156770027i</v>
      </c>
    </row>
    <row r="85" spans="1:44">
      <c r="A85" s="170">
        <v>24</v>
      </c>
      <c r="G85" s="688">
        <v>758.58</v>
      </c>
      <c r="H85" s="676">
        <f t="shared" si="56"/>
        <v>0.75858000000000003</v>
      </c>
      <c r="I85" s="677">
        <f t="shared" si="34"/>
        <v>6.3187167760253073</v>
      </c>
      <c r="J85" s="678">
        <f t="shared" si="35"/>
        <v>1.4118681507143129</v>
      </c>
      <c r="K85" s="678">
        <f t="shared" si="36"/>
        <v>1.0000005497658497</v>
      </c>
      <c r="L85" s="679">
        <f t="shared" si="37"/>
        <v>1.0485853307546833E-3</v>
      </c>
      <c r="M85" s="678">
        <f t="shared" si="38"/>
        <v>1.0000082067005331</v>
      </c>
      <c r="N85" s="679">
        <f t="shared" si="39"/>
        <v>-4.0513317337714299E-3</v>
      </c>
      <c r="O85" s="677">
        <f t="shared" si="40"/>
        <v>31457.571468062826</v>
      </c>
      <c r="P85" s="680">
        <f t="shared" si="41"/>
        <v>1.5707645379455513</v>
      </c>
      <c r="Q85" s="689">
        <f t="shared" si="42"/>
        <v>1.6072728712540534</v>
      </c>
      <c r="R85" s="690">
        <f t="shared" si="43"/>
        <v>0.89928244291501536</v>
      </c>
      <c r="S85" s="677">
        <f t="shared" si="44"/>
        <v>1.0000163565406395</v>
      </c>
      <c r="T85" s="680">
        <f t="shared" si="45"/>
        <v>5.7194960784361093E-3</v>
      </c>
      <c r="U85" s="681">
        <f t="shared" si="57"/>
        <v>0.99953090242276188</v>
      </c>
      <c r="V85" s="682">
        <f t="shared" si="58"/>
        <v>-1.4474799211224477E-2</v>
      </c>
      <c r="W85" s="683">
        <f t="shared" si="46"/>
        <v>6.1093693365206727</v>
      </c>
      <c r="X85" s="684">
        <f t="shared" si="47"/>
        <v>-120.69626905281774</v>
      </c>
      <c r="Y85" s="687">
        <f t="shared" si="48"/>
        <v>59.30373094718226</v>
      </c>
      <c r="AA85" s="170">
        <f t="shared" si="49"/>
        <v>1000000000</v>
      </c>
      <c r="AB85" s="170">
        <f t="shared" si="50"/>
        <v>575443.61640000006</v>
      </c>
      <c r="AD85" s="686">
        <f t="shared" si="51"/>
        <v>19.27259648169095</v>
      </c>
      <c r="AE85" s="687">
        <f t="shared" si="52"/>
        <v>-38.800793094424563</v>
      </c>
      <c r="AG85" s="686">
        <f t="shared" si="53"/>
        <v>27.829284279754102</v>
      </c>
      <c r="AH85" s="687">
        <f t="shared" si="54"/>
        <v>-80.236786148292936</v>
      </c>
      <c r="AJ85" s="170">
        <f t="shared" si="55"/>
        <v>0</v>
      </c>
      <c r="AK85" s="170">
        <f t="shared" si="33"/>
        <v>0</v>
      </c>
      <c r="AM85" s="170" t="str">
        <f t="shared" si="59"/>
        <v>0.000213802734998048+0.0206775181873126i</v>
      </c>
      <c r="AN85" s="170" t="str">
        <f t="shared" si="60"/>
        <v>0.0206789919499983i</v>
      </c>
      <c r="AO85" s="170" t="str">
        <f t="shared" si="61"/>
        <v>0.999928731405802-0.0103391275317009i</v>
      </c>
      <c r="AP85" s="170" t="str">
        <f t="shared" si="62"/>
        <v>0.1666310328775-0.00344625303121877i</v>
      </c>
      <c r="AQ85" s="170" t="str">
        <f t="shared" si="63"/>
        <v>0.8333689671225+0.00344625303121877i</v>
      </c>
      <c r="AR85" s="170" t="str">
        <f t="shared" si="64"/>
        <v>0.999540165320659-0.00413342524194915i</v>
      </c>
    </row>
    <row r="86" spans="1:44">
      <c r="A86" s="170">
        <v>25</v>
      </c>
      <c r="G86" s="688">
        <v>831.76</v>
      </c>
      <c r="H86" s="676">
        <f t="shared" si="56"/>
        <v>0.83175999999999994</v>
      </c>
      <c r="I86" s="677">
        <f t="shared" si="34"/>
        <v>6.9136705342460765</v>
      </c>
      <c r="J86" s="678">
        <f t="shared" si="35"/>
        <v>1.4256462113350246</v>
      </c>
      <c r="K86" s="678">
        <f t="shared" si="36"/>
        <v>1.0000006609536727</v>
      </c>
      <c r="L86" s="679">
        <f t="shared" si="37"/>
        <v>1.1497419785107155E-3</v>
      </c>
      <c r="M86" s="678">
        <f t="shared" si="38"/>
        <v>1.0000098664634398</v>
      </c>
      <c r="N86" s="679">
        <f t="shared" si="39"/>
        <v>-4.4421576554443416E-3</v>
      </c>
      <c r="O86" s="677">
        <f t="shared" si="40"/>
        <v>34492.274568340799</v>
      </c>
      <c r="P86" s="680">
        <f t="shared" si="41"/>
        <v>1.5707673347955966</v>
      </c>
      <c r="Q86" s="689">
        <f t="shared" si="42"/>
        <v>1.7039798139169653</v>
      </c>
      <c r="R86" s="690">
        <f t="shared" si="43"/>
        <v>0.94361925213319608</v>
      </c>
      <c r="S86" s="677">
        <f t="shared" si="44"/>
        <v>1.0000196645505188</v>
      </c>
      <c r="T86" s="680">
        <f t="shared" si="45"/>
        <v>6.2712404321246286E-3</v>
      </c>
      <c r="U86" s="681">
        <f t="shared" si="57"/>
        <v>0.9995169293741849</v>
      </c>
      <c r="V86" s="682">
        <f t="shared" si="58"/>
        <v>-1.5871069241817342E-2</v>
      </c>
      <c r="W86" s="683">
        <f t="shared" si="46"/>
        <v>5.0352025255706367</v>
      </c>
      <c r="X86" s="684">
        <f t="shared" si="47"/>
        <v>-119.07375180633115</v>
      </c>
      <c r="Y86" s="687">
        <f t="shared" si="48"/>
        <v>60.926248193668854</v>
      </c>
      <c r="AA86" s="170">
        <f t="shared" si="49"/>
        <v>1000000000</v>
      </c>
      <c r="AB86" s="170">
        <f t="shared" si="50"/>
        <v>691824.69759999996</v>
      </c>
      <c r="AD86" s="686">
        <f t="shared" si="51"/>
        <v>18.980131521036284</v>
      </c>
      <c r="AE86" s="687">
        <f t="shared" si="52"/>
        <v>-36.292253916819703</v>
      </c>
      <c r="AG86" s="686">
        <f t="shared" si="53"/>
        <v>27.047825281792566</v>
      </c>
      <c r="AH86" s="687">
        <f t="shared" si="54"/>
        <v>-80.962807319601197</v>
      </c>
      <c r="AJ86" s="170">
        <f t="shared" si="55"/>
        <v>0</v>
      </c>
      <c r="AK86" s="170">
        <f>IF(AJ86&gt;0,Y86,0)</f>
        <v>0</v>
      </c>
      <c r="AM86" s="170" t="str">
        <f t="shared" si="59"/>
        <v>0.000257041597549024+0.0226719457637762i</v>
      </c>
      <c r="AN86" s="170" t="str">
        <f t="shared" si="60"/>
        <v>0.0226738885079103i</v>
      </c>
      <c r="AO86" s="170" t="str">
        <f t="shared" si="61"/>
        <v>0.999914317999164-0.0113364585637505i</v>
      </c>
      <c r="AP86" s="170" t="str">
        <f t="shared" si="62"/>
        <v>0.166623826400408-0.00377865762729603i</v>
      </c>
      <c r="AQ86" s="170" t="str">
        <f t="shared" si="63"/>
        <v>0.833376173599592+0.00377865762729603i</v>
      </c>
      <c r="AR86" s="170" t="str">
        <f t="shared" si="64"/>
        <v>0.999528066016557-0.00453201623708115i</v>
      </c>
    </row>
    <row r="87" spans="1:44">
      <c r="A87" s="170">
        <v>26</v>
      </c>
      <c r="G87" s="688">
        <v>912.01</v>
      </c>
      <c r="H87" s="676">
        <f t="shared" si="56"/>
        <v>0.91200999999999999</v>
      </c>
      <c r="I87" s="677">
        <f t="shared" si="34"/>
        <v>7.5673633354701195</v>
      </c>
      <c r="J87" s="678">
        <f t="shared" si="35"/>
        <v>1.4382622441534221</v>
      </c>
      <c r="K87" s="678">
        <f t="shared" si="36"/>
        <v>1.0000007946467835</v>
      </c>
      <c r="L87" s="679">
        <f t="shared" si="37"/>
        <v>1.2606714537406671E-3</v>
      </c>
      <c r="M87" s="678">
        <f t="shared" si="38"/>
        <v>1.0000118621719811</v>
      </c>
      <c r="N87" s="679">
        <f t="shared" si="39"/>
        <v>-4.870740133278856E-3</v>
      </c>
      <c r="O87" s="677">
        <f t="shared" si="40"/>
        <v>37820.163661210259</v>
      </c>
      <c r="P87" s="680">
        <f t="shared" si="41"/>
        <v>1.5707698858728245</v>
      </c>
      <c r="Q87" s="689">
        <f t="shared" si="42"/>
        <v>1.813445241902045</v>
      </c>
      <c r="R87" s="690">
        <f t="shared" si="43"/>
        <v>0.98671102471235461</v>
      </c>
      <c r="S87" s="677">
        <f t="shared" si="44"/>
        <v>1.000023642113556</v>
      </c>
      <c r="T87" s="680">
        <f t="shared" si="45"/>
        <v>6.8762850106883003E-3</v>
      </c>
      <c r="U87" s="681">
        <f t="shared" si="57"/>
        <v>0.99950012880353512</v>
      </c>
      <c r="V87" s="682">
        <f t="shared" si="58"/>
        <v>-1.7402199509776905E-2</v>
      </c>
      <c r="W87" s="683">
        <f t="shared" si="46"/>
        <v>3.9910909667517753</v>
      </c>
      <c r="X87" s="684">
        <f t="shared" si="47"/>
        <v>-117.46836068403113</v>
      </c>
      <c r="Y87" s="687">
        <f t="shared" si="48"/>
        <v>62.531639315968874</v>
      </c>
      <c r="AA87" s="170">
        <f t="shared" si="49"/>
        <v>1000000000</v>
      </c>
      <c r="AB87" s="170">
        <f t="shared" si="50"/>
        <v>831762.24009999994</v>
      </c>
      <c r="AD87" s="686">
        <f t="shared" si="51"/>
        <v>18.72086560102148</v>
      </c>
      <c r="AE87" s="687">
        <f t="shared" si="52"/>
        <v>-33.858089880242261</v>
      </c>
      <c r="AG87" s="686">
        <f t="shared" si="53"/>
        <v>26.263271642302726</v>
      </c>
      <c r="AH87" s="687">
        <f t="shared" si="54"/>
        <v>-81.616125629200525</v>
      </c>
      <c r="AJ87" s="170">
        <f t="shared" si="55"/>
        <v>0</v>
      </c>
      <c r="AK87" s="170">
        <f t="shared" ref="AK87:AK150" si="65">IF(AJ87&gt;0,Y87,0)</f>
        <v>0</v>
      </c>
      <c r="AM87" s="170" t="str">
        <f t="shared" si="59"/>
        <v>0.000309031526312009+0.0248589531585517i</v>
      </c>
      <c r="AN87" s="170" t="str">
        <f t="shared" si="60"/>
        <v>0.0248615142085449i</v>
      </c>
      <c r="AO87" s="170" t="str">
        <f t="shared" si="61"/>
        <v>0.999896987368842-0.0124301168351924i</v>
      </c>
      <c r="AP87" s="170" t="str">
        <f t="shared" si="62"/>
        <v>0.166615161412281-0.00414315885975862i</v>
      </c>
      <c r="AQ87" s="170" t="str">
        <f t="shared" si="63"/>
        <v>0.833384838587719+0.00414315885975862i</v>
      </c>
      <c r="AR87" s="170" t="str">
        <f t="shared" si="64"/>
        <v>0.999513518612391-0.00496906482856727i</v>
      </c>
    </row>
    <row r="88" spans="1:44">
      <c r="A88" s="170">
        <v>27</v>
      </c>
      <c r="G88" s="688">
        <v>1000</v>
      </c>
      <c r="H88" s="676">
        <f t="shared" si="56"/>
        <v>1</v>
      </c>
      <c r="I88" s="677">
        <f t="shared" si="34"/>
        <v>8.2852590979727001</v>
      </c>
      <c r="J88" s="678">
        <f t="shared" si="35"/>
        <v>1.4498050607544064</v>
      </c>
      <c r="K88" s="678">
        <f t="shared" si="36"/>
        <v>1.0000009553772475</v>
      </c>
      <c r="L88" s="679">
        <f t="shared" si="37"/>
        <v>1.3822998855881213E-3</v>
      </c>
      <c r="M88" s="678">
        <f t="shared" si="38"/>
        <v>1.0000142614766321</v>
      </c>
      <c r="N88" s="679">
        <f t="shared" si="39"/>
        <v>-5.3406567279233874E-3</v>
      </c>
      <c r="O88" s="677">
        <f t="shared" si="40"/>
        <v>41469.022992057195</v>
      </c>
      <c r="P88" s="680">
        <f t="shared" si="41"/>
        <v>1.5707722124095569</v>
      </c>
      <c r="Q88" s="689">
        <f t="shared" si="42"/>
        <v>1.9368757799779597</v>
      </c>
      <c r="R88" s="690">
        <f t="shared" si="43"/>
        <v>1.0282768072320181</v>
      </c>
      <c r="S88" s="677">
        <f t="shared" si="44"/>
        <v>1.0000284240566466</v>
      </c>
      <c r="T88" s="680">
        <f t="shared" si="45"/>
        <v>7.5396794879507905E-3</v>
      </c>
      <c r="U88" s="681">
        <f t="shared" si="57"/>
        <v>0.99947993163751736</v>
      </c>
      <c r="V88" s="682">
        <f t="shared" si="58"/>
        <v>-1.9080959087381354E-2</v>
      </c>
      <c r="W88" s="683">
        <f t="shared" si="46"/>
        <v>2.9756044412636573</v>
      </c>
      <c r="X88" s="684">
        <f t="shared" si="47"/>
        <v>-115.90245573146798</v>
      </c>
      <c r="Y88" s="687">
        <f t="shared" si="48"/>
        <v>64.097544268532019</v>
      </c>
      <c r="AA88" s="170">
        <f t="shared" si="49"/>
        <v>1000000000</v>
      </c>
      <c r="AB88" s="170">
        <f t="shared" si="50"/>
        <v>1000000</v>
      </c>
      <c r="AD88" s="686">
        <f t="shared" si="51"/>
        <v>18.492762516222733</v>
      </c>
      <c r="AE88" s="687">
        <f t="shared" si="52"/>
        <v>-31.514688971464238</v>
      </c>
      <c r="AG88" s="686">
        <f t="shared" si="53"/>
        <v>25.476239241343084</v>
      </c>
      <c r="AH88" s="687">
        <f t="shared" si="54"/>
        <v>-82.201249907967807</v>
      </c>
      <c r="AJ88" s="170">
        <f t="shared" si="55"/>
        <v>0</v>
      </c>
      <c r="AK88" s="170">
        <f t="shared" si="65"/>
        <v>0</v>
      </c>
      <c r="AM88" s="170" t="str">
        <f t="shared" si="59"/>
        <v>0.000371534426305997+0.0272567572316119i</v>
      </c>
      <c r="AN88" s="170" t="str">
        <f t="shared" si="60"/>
        <v>0.0272601333412406i</v>
      </c>
      <c r="AO88" s="170" t="str">
        <f t="shared" si="61"/>
        <v>0.999876152123453-0.0136292226327418i</v>
      </c>
      <c r="AP88" s="170" t="str">
        <f t="shared" si="62"/>
        <v>0.166604744262282-0.00454279287193532i</v>
      </c>
      <c r="AQ88" s="170" t="str">
        <f t="shared" si="63"/>
        <v>0.833395255737718+0.00454279287193532i</v>
      </c>
      <c r="AR88" s="170" t="str">
        <f t="shared" si="64"/>
        <v>0.999496030514046-0.00544819929281649i</v>
      </c>
    </row>
    <row r="89" spans="1:44">
      <c r="A89" s="170">
        <v>28</v>
      </c>
      <c r="G89" s="688">
        <v>1096.5</v>
      </c>
      <c r="H89" s="676">
        <f t="shared" si="56"/>
        <v>1.0965</v>
      </c>
      <c r="I89" s="677">
        <f t="shared" si="34"/>
        <v>9.0736450963427</v>
      </c>
      <c r="J89" s="678">
        <f t="shared" si="35"/>
        <v>1.460362704741041</v>
      </c>
      <c r="K89" s="678">
        <f t="shared" si="36"/>
        <v>1.0000011486616569</v>
      </c>
      <c r="L89" s="679">
        <f t="shared" si="37"/>
        <v>1.5156916292411388E-3</v>
      </c>
      <c r="M89" s="678">
        <f t="shared" si="38"/>
        <v>1.0000171467233219</v>
      </c>
      <c r="N89" s="679">
        <f t="shared" si="39"/>
        <v>-5.8560188382475687E-3</v>
      </c>
      <c r="O89" s="677">
        <f t="shared" si="40"/>
        <v>45470.783708566079</v>
      </c>
      <c r="P89" s="680">
        <f t="shared" si="41"/>
        <v>1.5707743346514031</v>
      </c>
      <c r="Q89" s="689">
        <f t="shared" si="42"/>
        <v>2.0756077356075542</v>
      </c>
      <c r="R89" s="690">
        <f t="shared" si="43"/>
        <v>1.0681039249755644</v>
      </c>
      <c r="S89" s="677">
        <f t="shared" si="44"/>
        <v>1.0000341744932433</v>
      </c>
      <c r="T89" s="680">
        <f t="shared" si="45"/>
        <v>8.2672268657621138E-3</v>
      </c>
      <c r="U89" s="681">
        <f t="shared" si="57"/>
        <v>0.99945564531903131</v>
      </c>
      <c r="V89" s="682">
        <f t="shared" si="58"/>
        <v>-2.0922020065825938E-2</v>
      </c>
      <c r="W89" s="683">
        <f t="shared" si="46"/>
        <v>1.986553814477374</v>
      </c>
      <c r="X89" s="684">
        <f t="shared" si="47"/>
        <v>-114.39461571835079</v>
      </c>
      <c r="Y89" s="687">
        <f t="shared" si="48"/>
        <v>65.605384281649208</v>
      </c>
      <c r="AA89" s="170">
        <f t="shared" si="49"/>
        <v>1000000000</v>
      </c>
      <c r="AB89" s="170">
        <f t="shared" si="50"/>
        <v>1202312.25</v>
      </c>
      <c r="AD89" s="686">
        <f t="shared" si="51"/>
        <v>18.293410092880627</v>
      </c>
      <c r="AE89" s="687">
        <f t="shared" si="52"/>
        <v>-29.274570201674035</v>
      </c>
      <c r="AG89" s="686">
        <f t="shared" si="53"/>
        <v>24.686963159120875</v>
      </c>
      <c r="AH89" s="687">
        <f t="shared" si="54"/>
        <v>-82.722558616617533</v>
      </c>
      <c r="AJ89" s="170">
        <f t="shared" si="55"/>
        <v>0</v>
      </c>
      <c r="AK89" s="170">
        <f t="shared" si="65"/>
        <v>0</v>
      </c>
      <c r="AM89" s="170" t="str">
        <f t="shared" si="59"/>
        <v>0.000446694795546043+0.02988628539735i</v>
      </c>
      <c r="AN89" s="170" t="str">
        <f t="shared" si="60"/>
        <v>0.0298907362086703i</v>
      </c>
      <c r="AO89" s="170" t="str">
        <f t="shared" si="61"/>
        <v>0.999851097300206-0.0149442553849333i</v>
      </c>
      <c r="AP89" s="170" t="str">
        <f t="shared" si="62"/>
        <v>0.166592217534076-0.004981047566225i</v>
      </c>
      <c r="AQ89" s="170" t="str">
        <f t="shared" si="63"/>
        <v>0.833407782465924+0.004981047566225i</v>
      </c>
      <c r="AR89" s="170" t="str">
        <f t="shared" si="64"/>
        <v>0.999475002288262-0.00597358535928266i</v>
      </c>
    </row>
    <row r="90" spans="1:44">
      <c r="A90" s="170">
        <v>29</v>
      </c>
      <c r="G90" s="688">
        <v>1202.3</v>
      </c>
      <c r="H90" s="676">
        <f t="shared" si="56"/>
        <v>1.2022999999999999</v>
      </c>
      <c r="I90" s="677">
        <f t="shared" si="34"/>
        <v>9.9389791974577566</v>
      </c>
      <c r="J90" s="678">
        <f t="shared" si="35"/>
        <v>1.4700118390461434</v>
      </c>
      <c r="K90" s="678">
        <f t="shared" si="36"/>
        <v>1.0000013810216788</v>
      </c>
      <c r="L90" s="679">
        <f t="shared" si="37"/>
        <v>1.6619386808463053E-3</v>
      </c>
      <c r="M90" s="678">
        <f t="shared" si="38"/>
        <v>1.0000206152596525</v>
      </c>
      <c r="N90" s="679">
        <f t="shared" si="39"/>
        <v>-6.4210443856573063E-3</v>
      </c>
      <c r="O90" s="677">
        <f t="shared" si="40"/>
        <v>49858.206338882439</v>
      </c>
      <c r="P90" s="680">
        <f t="shared" si="41"/>
        <v>1.5707762699161298</v>
      </c>
      <c r="Q90" s="689">
        <f t="shared" si="42"/>
        <v>2.2309964547997212</v>
      </c>
      <c r="R90" s="690">
        <f t="shared" si="43"/>
        <v>1.1060117895660415</v>
      </c>
      <c r="S90" s="677">
        <f t="shared" si="44"/>
        <v>1.000041087432578</v>
      </c>
      <c r="T90" s="680">
        <f t="shared" si="45"/>
        <v>9.0648801220008322E-3</v>
      </c>
      <c r="U90" s="681">
        <f t="shared" si="57"/>
        <v>0.99942645133563335</v>
      </c>
      <c r="V90" s="682">
        <f t="shared" si="58"/>
        <v>-2.294042966982867E-2</v>
      </c>
      <c r="W90" s="683">
        <f t="shared" si="46"/>
        <v>1.0220601046900437</v>
      </c>
      <c r="X90" s="684">
        <f t="shared" si="47"/>
        <v>-112.96096337655901</v>
      </c>
      <c r="Y90" s="687">
        <f t="shared" si="48"/>
        <v>67.039036623440992</v>
      </c>
      <c r="AA90" s="170">
        <f t="shared" si="49"/>
        <v>1000000000</v>
      </c>
      <c r="AB90" s="170">
        <f t="shared" si="50"/>
        <v>1445525.2899999998</v>
      </c>
      <c r="AD90" s="686">
        <f t="shared" si="51"/>
        <v>18.120337819749587</v>
      </c>
      <c r="AE90" s="687">
        <f t="shared" si="52"/>
        <v>-27.148422595455216</v>
      </c>
      <c r="AG90" s="686">
        <f t="shared" si="53"/>
        <v>23.896049157532083</v>
      </c>
      <c r="AH90" s="687">
        <f t="shared" si="54"/>
        <v>-83.183761177504223</v>
      </c>
      <c r="AJ90" s="170">
        <f t="shared" si="55"/>
        <v>0</v>
      </c>
      <c r="AK90" s="170">
        <f t="shared" si="65"/>
        <v>0</v>
      </c>
      <c r="AM90" s="170" t="str">
        <f t="shared" si="59"/>
        <v>0.000537047591917972+0.0327689908865036i</v>
      </c>
      <c r="AN90" s="170" t="str">
        <f t="shared" si="60"/>
        <v>0.0327748583161736i</v>
      </c>
      <c r="AO90" s="170" t="str">
        <f t="shared" si="61"/>
        <v>0.999820977725872-0.0163859622744106i</v>
      </c>
      <c r="AP90" s="170" t="str">
        <f t="shared" si="62"/>
        <v>0.16657715873468-0.00546149848108393i</v>
      </c>
      <c r="AQ90" s="170" t="str">
        <f t="shared" si="63"/>
        <v>0.83342284126532+0.00546149848108393i</v>
      </c>
      <c r="AR90" s="170" t="str">
        <f t="shared" si="64"/>
        <v>0.999449725561765-0.00654948831230511i</v>
      </c>
    </row>
    <row r="91" spans="1:44">
      <c r="A91" s="170">
        <v>30</v>
      </c>
      <c r="G91" s="688">
        <v>1318.3</v>
      </c>
      <c r="H91" s="676">
        <f t="shared" si="56"/>
        <v>1.3183</v>
      </c>
      <c r="I91" s="677">
        <f t="shared" si="34"/>
        <v>10.888624960527991</v>
      </c>
      <c r="J91" s="678">
        <f t="shared" si="35"/>
        <v>1.4788277725974464</v>
      </c>
      <c r="K91" s="678">
        <f t="shared" si="36"/>
        <v>1.0000016603637587</v>
      </c>
      <c r="L91" s="679">
        <f t="shared" si="37"/>
        <v>1.8222850827138385E-3</v>
      </c>
      <c r="M91" s="678">
        <f t="shared" si="38"/>
        <v>1.0000247851021786</v>
      </c>
      <c r="N91" s="679">
        <f t="shared" si="39"/>
        <v>-7.040538370295675E-3</v>
      </c>
      <c r="O91" s="677">
        <f t="shared" si="40"/>
        <v>54668.613003680017</v>
      </c>
      <c r="P91" s="680">
        <f t="shared" si="41"/>
        <v>1.5707780347632332</v>
      </c>
      <c r="Q91" s="689">
        <f t="shared" si="42"/>
        <v>2.404548106150886</v>
      </c>
      <c r="R91" s="690">
        <f t="shared" si="43"/>
        <v>1.1418876726108755</v>
      </c>
      <c r="S91" s="677">
        <f t="shared" si="44"/>
        <v>1.0000493980732499</v>
      </c>
      <c r="T91" s="680">
        <f t="shared" si="45"/>
        <v>9.9394204922459324E-3</v>
      </c>
      <c r="U91" s="681">
        <f t="shared" si="57"/>
        <v>0.99939135766904996</v>
      </c>
      <c r="V91" s="682">
        <f t="shared" si="58"/>
        <v>-2.5153325249156498E-2</v>
      </c>
      <c r="W91" s="683">
        <f t="shared" si="46"/>
        <v>7.976010830621022E-2</v>
      </c>
      <c r="X91" s="684">
        <f t="shared" si="47"/>
        <v>-111.6138478615876</v>
      </c>
      <c r="Y91" s="687">
        <f t="shared" si="48"/>
        <v>68.386152138412399</v>
      </c>
      <c r="AA91" s="170">
        <f t="shared" si="49"/>
        <v>1000000000</v>
      </c>
      <c r="AB91" s="170">
        <f t="shared" si="50"/>
        <v>1737914.89</v>
      </c>
      <c r="AD91" s="686">
        <f t="shared" si="51"/>
        <v>17.970929337955202</v>
      </c>
      <c r="AE91" s="687">
        <f t="shared" si="52"/>
        <v>-25.143094498909214</v>
      </c>
      <c r="AG91" s="686">
        <f t="shared" si="53"/>
        <v>23.103767642940824</v>
      </c>
      <c r="AH91" s="687">
        <f t="shared" si="54"/>
        <v>-83.58839460439178</v>
      </c>
      <c r="AJ91" s="170">
        <f t="shared" si="55"/>
        <v>1318.3</v>
      </c>
      <c r="AK91" s="170">
        <f t="shared" si="65"/>
        <v>68.386152138412399</v>
      </c>
      <c r="AM91" s="170" t="str">
        <f t="shared" si="59"/>
        <v>0.00064566570592095+0.03592929901402i</v>
      </c>
      <c r="AN91" s="170" t="str">
        <f t="shared" si="60"/>
        <v>0.0359370337837575i</v>
      </c>
      <c r="AO91" s="170" t="str">
        <f t="shared" si="61"/>
        <v>0.999784768832507-0.0179665831578112i</v>
      </c>
      <c r="AP91" s="170" t="str">
        <f t="shared" si="62"/>
        <v>0.16655905571568-0.00598821650233667i</v>
      </c>
      <c r="AQ91" s="170" t="str">
        <f t="shared" si="63"/>
        <v>0.83344094428432+0.00598821650233667i</v>
      </c>
      <c r="AR91" s="170" t="str">
        <f t="shared" si="64"/>
        <v>0.999419341906374-0.00718076000105482i</v>
      </c>
    </row>
    <row r="92" spans="1:44">
      <c r="A92" s="170">
        <v>31</v>
      </c>
      <c r="G92" s="688">
        <v>1445.4</v>
      </c>
      <c r="H92" s="676">
        <f t="shared" si="56"/>
        <v>1.4454</v>
      </c>
      <c r="I92" s="677">
        <f t="shared" si="34"/>
        <v>11.929951484968655</v>
      </c>
      <c r="J92" s="678">
        <f t="shared" si="35"/>
        <v>1.4868752179358182</v>
      </c>
      <c r="K92" s="678">
        <f t="shared" si="36"/>
        <v>1.0000019959551076</v>
      </c>
      <c r="L92" s="679">
        <f t="shared" si="37"/>
        <v>1.9979748685978144E-3</v>
      </c>
      <c r="M92" s="678">
        <f t="shared" si="38"/>
        <v>1.0000297945768941</v>
      </c>
      <c r="N92" s="679">
        <f t="shared" si="39"/>
        <v>-7.7193052989224095E-3</v>
      </c>
      <c r="O92" s="677">
        <f t="shared" si="40"/>
        <v>59939.325823633779</v>
      </c>
      <c r="P92" s="680">
        <f t="shared" si="41"/>
        <v>1.5707796432572307</v>
      </c>
      <c r="Q92" s="689">
        <f t="shared" si="42"/>
        <v>2.5977598901181707</v>
      </c>
      <c r="R92" s="690">
        <f t="shared" si="43"/>
        <v>1.1756458786525235</v>
      </c>
      <c r="S92" s="677">
        <f t="shared" si="44"/>
        <v>1.0000593820844741</v>
      </c>
      <c r="T92" s="680">
        <f t="shared" si="45"/>
        <v>1.0897627824093899E-2</v>
      </c>
      <c r="U92" s="681">
        <f t="shared" si="57"/>
        <v>0.99934920203784272</v>
      </c>
      <c r="V92" s="682">
        <f t="shared" si="58"/>
        <v>-2.7577833147688788E-2</v>
      </c>
      <c r="W92" s="683">
        <f t="shared" si="46"/>
        <v>-0.84212456101283562</v>
      </c>
      <c r="X92" s="684">
        <f t="shared" si="47"/>
        <v>-110.3634614467518</v>
      </c>
      <c r="Y92" s="687">
        <f t="shared" si="48"/>
        <v>69.636538553248201</v>
      </c>
      <c r="AA92" s="170">
        <f t="shared" si="49"/>
        <v>1445.4</v>
      </c>
      <c r="AB92" s="170">
        <f t="shared" si="50"/>
        <v>2089181.1600000001</v>
      </c>
      <c r="AD92" s="686">
        <f t="shared" si="51"/>
        <v>17.842677392846113</v>
      </c>
      <c r="AE92" s="687">
        <f t="shared" si="52"/>
        <v>-23.263885162573263</v>
      </c>
      <c r="AG92" s="686">
        <f t="shared" si="53"/>
        <v>22.310867698497741</v>
      </c>
      <c r="AH92" s="687">
        <f t="shared" si="54"/>
        <v>-83.939389385610411</v>
      </c>
      <c r="AJ92" s="170">
        <f t="shared" si="55"/>
        <v>0</v>
      </c>
      <c r="AK92" s="170">
        <f t="shared" si="65"/>
        <v>0</v>
      </c>
      <c r="AM92" s="170" t="str">
        <f t="shared" si="59"/>
        <v>0.000776150370480955+0.0393916022974879i</v>
      </c>
      <c r="AN92" s="170" t="str">
        <f t="shared" si="60"/>
        <v>0.0394017967314292i</v>
      </c>
      <c r="AO92" s="170" t="str">
        <f t="shared" si="61"/>
        <v>0.999741269820491-0.0196983496912934i</v>
      </c>
      <c r="AP92" s="170" t="str">
        <f t="shared" si="62"/>
        <v>0.166537308271586-0.00656526704958132i</v>
      </c>
      <c r="AQ92" s="170" t="str">
        <f t="shared" si="63"/>
        <v>0.833462691728414+0.00656526704958132i</v>
      </c>
      <c r="AR92" s="170" t="str">
        <f t="shared" si="64"/>
        <v>0.999382845726404-0.00787223631253114i</v>
      </c>
    </row>
    <row r="93" spans="1:44">
      <c r="A93" s="170">
        <v>32</v>
      </c>
      <c r="G93" s="688">
        <v>1584.9</v>
      </c>
      <c r="H93" s="676">
        <f t="shared" si="56"/>
        <v>1.5849000000000002</v>
      </c>
      <c r="I93" s="677">
        <f t="shared" si="34"/>
        <v>13.073611563373172</v>
      </c>
      <c r="J93" s="678">
        <f t="shared" si="35"/>
        <v>1.4942315848806034</v>
      </c>
      <c r="K93" s="678">
        <f t="shared" si="36"/>
        <v>1.0000023998180274</v>
      </c>
      <c r="L93" s="679">
        <f t="shared" si="37"/>
        <v>2.1908049790114919E-3</v>
      </c>
      <c r="M93" s="678">
        <f t="shared" si="38"/>
        <v>1.0000358231311866</v>
      </c>
      <c r="N93" s="679">
        <f t="shared" si="39"/>
        <v>-8.4642851801169389E-3</v>
      </c>
      <c r="O93" s="677">
        <f t="shared" si="40"/>
        <v>65724.254528609541</v>
      </c>
      <c r="P93" s="680">
        <f t="shared" si="41"/>
        <v>1.5707811117117099</v>
      </c>
      <c r="Q93" s="689">
        <f t="shared" si="42"/>
        <v>2.8127360721806669</v>
      </c>
      <c r="R93" s="690">
        <f t="shared" si="43"/>
        <v>1.2073198582016342</v>
      </c>
      <c r="S93" s="677">
        <f t="shared" si="44"/>
        <v>1.0000713970815152</v>
      </c>
      <c r="T93" s="680">
        <f t="shared" si="45"/>
        <v>1.1949295696491606E-2</v>
      </c>
      <c r="U93" s="681">
        <f t="shared" si="57"/>
        <v>0.99929847708472619</v>
      </c>
      <c r="V93" s="682">
        <f t="shared" si="58"/>
        <v>-3.0238695121959671E-2</v>
      </c>
      <c r="W93" s="683">
        <f t="shared" si="46"/>
        <v>-1.7474287112683653</v>
      </c>
      <c r="X93" s="684">
        <f t="shared" si="47"/>
        <v>-109.21459715467643</v>
      </c>
      <c r="Y93" s="687">
        <f t="shared" si="48"/>
        <v>70.785402845323574</v>
      </c>
      <c r="AA93" s="170">
        <f t="shared" si="49"/>
        <v>1584.9</v>
      </c>
      <c r="AB93" s="170">
        <f t="shared" si="50"/>
        <v>2511908.0100000002</v>
      </c>
      <c r="AD93" s="686">
        <f t="shared" si="51"/>
        <v>17.732896257180506</v>
      </c>
      <c r="AE93" s="687">
        <f t="shared" si="52"/>
        <v>-21.509440078802729</v>
      </c>
      <c r="AG93" s="686">
        <f t="shared" si="53"/>
        <v>21.516226462821347</v>
      </c>
      <c r="AH93" s="687">
        <f t="shared" si="54"/>
        <v>-84.240057854972008</v>
      </c>
      <c r="AJ93" s="170">
        <f t="shared" si="55"/>
        <v>0</v>
      </c>
      <c r="AK93" s="170">
        <f t="shared" si="65"/>
        <v>0</v>
      </c>
      <c r="AM93" s="170" t="str">
        <f t="shared" si="59"/>
        <v>0.000933172925466019+0.0431911453798491i</v>
      </c>
      <c r="AN93" s="170" t="str">
        <f t="shared" si="60"/>
        <v>0.0432045853325323i</v>
      </c>
      <c r="AO93" s="170" t="str">
        <f t="shared" si="61"/>
        <v>0.999688923002506-0.0215989325735608i</v>
      </c>
      <c r="AP93" s="170" t="str">
        <f t="shared" si="62"/>
        <v>0.166511137845756-0.00719852422997485i</v>
      </c>
      <c r="AQ93" s="170" t="str">
        <f t="shared" si="63"/>
        <v>0.833488862154244+0.00719852422997485i</v>
      </c>
      <c r="AR93" s="170" t="str">
        <f t="shared" si="64"/>
        <v>0.999338933034137-0.00863090780218751i</v>
      </c>
    </row>
    <row r="94" spans="1:44">
      <c r="A94" s="170">
        <v>33</v>
      </c>
      <c r="G94" s="688">
        <v>1737.8</v>
      </c>
      <c r="H94" s="676">
        <f t="shared" si="56"/>
        <v>1.7378</v>
      </c>
      <c r="I94" s="677">
        <f t="shared" si="34"/>
        <v>14.327805295414638</v>
      </c>
      <c r="J94" s="678">
        <f t="shared" si="35"/>
        <v>1.5009451779502705</v>
      </c>
      <c r="K94" s="678">
        <f t="shared" si="36"/>
        <v>1.0000028851876264</v>
      </c>
      <c r="L94" s="679">
        <f t="shared" si="37"/>
        <v>2.4021576507048908E-3</v>
      </c>
      <c r="M94" s="678">
        <f t="shared" si="38"/>
        <v>1.0000430683094854</v>
      </c>
      <c r="N94" s="679">
        <f t="shared" si="39"/>
        <v>-9.2808150298955474E-3</v>
      </c>
      <c r="O94" s="677">
        <f t="shared" si="40"/>
        <v>72064.868141582192</v>
      </c>
      <c r="P94" s="680">
        <f t="shared" si="41"/>
        <v>1.5707824504078884</v>
      </c>
      <c r="Q94" s="689">
        <f t="shared" si="42"/>
        <v>3.0511231294101857</v>
      </c>
      <c r="R94" s="690">
        <f t="shared" si="43"/>
        <v>1.236877229078299</v>
      </c>
      <c r="S94" s="677">
        <f t="shared" si="44"/>
        <v>1.0000858367328749</v>
      </c>
      <c r="T94" s="680">
        <f t="shared" si="45"/>
        <v>1.3101953546761918E-2</v>
      </c>
      <c r="U94" s="681">
        <f t="shared" si="57"/>
        <v>0.99923752458705628</v>
      </c>
      <c r="V94" s="682">
        <f t="shared" si="58"/>
        <v>-3.3154910908999351E-2</v>
      </c>
      <c r="W94" s="683">
        <f t="shared" si="46"/>
        <v>-2.6370421939286941</v>
      </c>
      <c r="X94" s="684">
        <f t="shared" si="47"/>
        <v>-108.17362518360426</v>
      </c>
      <c r="Y94" s="687">
        <f t="shared" si="48"/>
        <v>71.826374816395742</v>
      </c>
      <c r="AA94" s="170">
        <f t="shared" si="49"/>
        <v>1737.8</v>
      </c>
      <c r="AB94" s="170">
        <f t="shared" si="50"/>
        <v>3019948.84</v>
      </c>
      <c r="AD94" s="686">
        <f t="shared" si="51"/>
        <v>17.639427321827526</v>
      </c>
      <c r="AE94" s="687">
        <f t="shared" si="52"/>
        <v>-19.882046603891581</v>
      </c>
      <c r="AG94" s="686">
        <f t="shared" si="53"/>
        <v>20.721141544497712</v>
      </c>
      <c r="AH94" s="687">
        <f t="shared" si="54"/>
        <v>-84.49230564493557</v>
      </c>
      <c r="AJ94" s="170">
        <f t="shared" si="55"/>
        <v>0</v>
      </c>
      <c r="AK94" s="170">
        <f t="shared" si="65"/>
        <v>0</v>
      </c>
      <c r="AM94" s="170" t="str">
        <f t="shared" si="59"/>
        <v>0.001121874614606+0.0473549430003015i</v>
      </c>
      <c r="AN94" s="170" t="str">
        <f t="shared" si="60"/>
        <v>0.0473726597204079i</v>
      </c>
      <c r="AO94" s="170" t="str">
        <f t="shared" si="61"/>
        <v>0.99962601381871-0.0236819005145008i</v>
      </c>
      <c r="AP94" s="170" t="str">
        <f t="shared" si="62"/>
        <v>0.166479687564232-0.00789249050005025i</v>
      </c>
      <c r="AQ94" s="170" t="str">
        <f t="shared" si="63"/>
        <v>0.833520312435768+0.00789249050005025i</v>
      </c>
      <c r="AR94" s="170" t="str">
        <f t="shared" si="64"/>
        <v>0.999286169755395-0.00946210486290198i</v>
      </c>
    </row>
    <row r="95" spans="1:44">
      <c r="A95" s="170">
        <v>34</v>
      </c>
      <c r="G95" s="688">
        <v>1905.5</v>
      </c>
      <c r="H95" s="676">
        <f t="shared" si="56"/>
        <v>1.9055</v>
      </c>
      <c r="I95" s="677">
        <f t="shared" si="34"/>
        <v>15.704017280523342</v>
      </c>
      <c r="J95" s="678">
        <f t="shared" si="35"/>
        <v>1.5070752398702907</v>
      </c>
      <c r="K95" s="678">
        <f t="shared" si="36"/>
        <v>1.0000034689037884</v>
      </c>
      <c r="L95" s="679">
        <f t="shared" si="37"/>
        <v>2.6339680182926122E-3</v>
      </c>
      <c r="M95" s="678">
        <f t="shared" si="38"/>
        <v>1.0000517814555006</v>
      </c>
      <c r="N95" s="679">
        <f t="shared" si="39"/>
        <v>-1.0176366853325585E-2</v>
      </c>
      <c r="O95" s="677">
        <f t="shared" si="40"/>
        <v>79019.223294717565</v>
      </c>
      <c r="P95" s="680">
        <f t="shared" si="41"/>
        <v>1.5707836716464614</v>
      </c>
      <c r="Q95" s="689">
        <f t="shared" si="42"/>
        <v>3.3151863052565691</v>
      </c>
      <c r="R95" s="690">
        <f t="shared" si="43"/>
        <v>1.2643817409628095</v>
      </c>
      <c r="S95" s="677">
        <f t="shared" si="44"/>
        <v>1.0001032019085525</v>
      </c>
      <c r="T95" s="680">
        <f t="shared" si="45"/>
        <v>1.4366143101455521E-2</v>
      </c>
      <c r="U95" s="681">
        <f t="shared" si="57"/>
        <v>0.99916423571747026</v>
      </c>
      <c r="V95" s="682">
        <f t="shared" si="58"/>
        <v>-3.6353084243570526E-2</v>
      </c>
      <c r="W95" s="683">
        <f t="shared" si="46"/>
        <v>-3.5135903120606633</v>
      </c>
      <c r="X95" s="684">
        <f t="shared" si="47"/>
        <v>-107.24273352629604</v>
      </c>
      <c r="Y95" s="687">
        <f t="shared" si="48"/>
        <v>72.757266473703964</v>
      </c>
      <c r="AA95" s="170">
        <f t="shared" si="49"/>
        <v>1905.5</v>
      </c>
      <c r="AB95" s="170">
        <f t="shared" si="50"/>
        <v>3630930.25</v>
      </c>
      <c r="AD95" s="686">
        <f t="shared" si="51"/>
        <v>17.560057411005438</v>
      </c>
      <c r="AE95" s="687">
        <f t="shared" si="52"/>
        <v>-18.378656851428307</v>
      </c>
      <c r="AG95" s="686">
        <f t="shared" si="53"/>
        <v>19.925237513473807</v>
      </c>
      <c r="AH95" s="687">
        <f t="shared" si="54"/>
        <v>-84.698320071227428</v>
      </c>
      <c r="AJ95" s="170">
        <f t="shared" si="55"/>
        <v>0</v>
      </c>
      <c r="AK95" s="170">
        <f t="shared" si="65"/>
        <v>0</v>
      </c>
      <c r="AM95" s="170" t="str">
        <f t="shared" si="59"/>
        <v>0.00134879581249603+0.0519208279484136i</v>
      </c>
      <c r="AN95" s="170" t="str">
        <f t="shared" si="60"/>
        <v>0.051944184081734i</v>
      </c>
      <c r="AO95" s="170" t="str">
        <f t="shared" si="61"/>
        <v>0.999550360955066-0.0259662527449407i</v>
      </c>
      <c r="AP95" s="170" t="str">
        <f t="shared" si="62"/>
        <v>0.166441867364584-0.0086534713247356i</v>
      </c>
      <c r="AQ95" s="170" t="str">
        <f t="shared" si="63"/>
        <v>0.833558132635416+0.0086534713247356i</v>
      </c>
      <c r="AR95" s="170" t="str">
        <f t="shared" si="64"/>
        <v>0.999222732488915-0.0103732960234925i</v>
      </c>
    </row>
    <row r="96" spans="1:44">
      <c r="A96" s="170">
        <v>35</v>
      </c>
      <c r="G96" s="688">
        <v>2089.3000000000002</v>
      </c>
      <c r="H96" s="676">
        <f t="shared" si="56"/>
        <v>2.0893000000000002</v>
      </c>
      <c r="I96" s="677">
        <f t="shared" si="34"/>
        <v>17.212916398322694</v>
      </c>
      <c r="J96" s="678">
        <f t="shared" si="35"/>
        <v>1.5126676892448143</v>
      </c>
      <c r="K96" s="678">
        <f t="shared" si="36"/>
        <v>1.0000041703816851</v>
      </c>
      <c r="L96" s="679">
        <f t="shared" si="37"/>
        <v>2.8880329609384052E-3</v>
      </c>
      <c r="M96" s="678">
        <f t="shared" si="38"/>
        <v>1.0000622523402232</v>
      </c>
      <c r="N96" s="679">
        <f t="shared" si="39"/>
        <v>-1.1157877121848854E-2</v>
      </c>
      <c r="O96" s="677">
        <f t="shared" si="40"/>
        <v>86641.22971788494</v>
      </c>
      <c r="P96" s="680">
        <f t="shared" si="41"/>
        <v>1.5707847849457877</v>
      </c>
      <c r="Q96" s="689">
        <f t="shared" si="42"/>
        <v>3.6070381613789024</v>
      </c>
      <c r="R96" s="690">
        <f t="shared" si="43"/>
        <v>1.2898804203238468</v>
      </c>
      <c r="S96" s="677">
        <f t="shared" si="44"/>
        <v>1.0001240700336609</v>
      </c>
      <c r="T96" s="680">
        <f t="shared" si="45"/>
        <v>1.5751647990471476E-2</v>
      </c>
      <c r="U96" s="681">
        <f t="shared" si="57"/>
        <v>0.9990761813348259</v>
      </c>
      <c r="V96" s="682">
        <f t="shared" si="58"/>
        <v>-3.985787807390738E-2</v>
      </c>
      <c r="W96" s="683">
        <f t="shared" si="46"/>
        <v>-4.3782949920335543</v>
      </c>
      <c r="X96" s="684">
        <f t="shared" si="47"/>
        <v>-106.42412737264581</v>
      </c>
      <c r="Y96" s="687">
        <f t="shared" si="48"/>
        <v>73.575872627354187</v>
      </c>
      <c r="AA96" s="170">
        <f t="shared" si="49"/>
        <v>2089.3000000000002</v>
      </c>
      <c r="AB96" s="170">
        <f t="shared" si="50"/>
        <v>4365174.4900000012</v>
      </c>
      <c r="AD96" s="686">
        <f t="shared" si="51"/>
        <v>17.492895097299083</v>
      </c>
      <c r="AE96" s="687">
        <f t="shared" si="52"/>
        <v>-16.997137509293015</v>
      </c>
      <c r="AG96" s="686">
        <f t="shared" si="53"/>
        <v>19.129226155475877</v>
      </c>
      <c r="AH96" s="687">
        <f t="shared" si="54"/>
        <v>-84.859613470170004</v>
      </c>
      <c r="AJ96" s="170">
        <f t="shared" si="55"/>
        <v>0</v>
      </c>
      <c r="AK96" s="170">
        <f t="shared" si="65"/>
        <v>0</v>
      </c>
      <c r="AM96" s="170" t="str">
        <f t="shared" si="59"/>
        <v>0.00162147465011098+0.0569238097827341i</v>
      </c>
      <c r="AN96" s="170" t="str">
        <f t="shared" si="60"/>
        <v>0.056954596589854i</v>
      </c>
      <c r="AO96" s="170" t="str">
        <f t="shared" si="61"/>
        <v>0.999459450001172-0.028469601177016i</v>
      </c>
      <c r="AP96" s="170" t="str">
        <f t="shared" si="62"/>
        <v>0.166396420891648-0.00948730163045568i</v>
      </c>
      <c r="AQ96" s="170" t="str">
        <f t="shared" si="63"/>
        <v>0.833603579108352+0.00948730163045568i</v>
      </c>
      <c r="AR96" s="170" t="str">
        <f t="shared" si="64"/>
        <v>0.999146521648882-0.0113713576350557i</v>
      </c>
    </row>
    <row r="97" spans="1:44">
      <c r="A97" s="170" t="s">
        <v>801</v>
      </c>
      <c r="G97" s="688">
        <v>2290.9</v>
      </c>
      <c r="H97" s="676">
        <f t="shared" si="56"/>
        <v>2.2909000000000002</v>
      </c>
      <c r="I97" s="677">
        <f t="shared" si="34"/>
        <v>18.868459191044927</v>
      </c>
      <c r="J97" s="678">
        <f t="shared" si="35"/>
        <v>1.5177729864831537</v>
      </c>
      <c r="K97" s="678">
        <f t="shared" si="36"/>
        <v>1.0000050140224872</v>
      </c>
      <c r="L97" s="679">
        <f t="shared" si="37"/>
        <v>3.1667022395536755E-3</v>
      </c>
      <c r="M97" s="678">
        <f t="shared" si="38"/>
        <v>1.0000748451397847</v>
      </c>
      <c r="N97" s="679">
        <f t="shared" si="39"/>
        <v>-1.2234416366991959E-2</v>
      </c>
      <c r="O97" s="677">
        <f t="shared" si="40"/>
        <v>95001.384750145095</v>
      </c>
      <c r="P97" s="680">
        <f t="shared" si="41"/>
        <v>1.5707858006325397</v>
      </c>
      <c r="Q97" s="689">
        <f t="shared" si="42"/>
        <v>3.9294301069636242</v>
      </c>
      <c r="R97" s="690">
        <f t="shared" si="43"/>
        <v>1.3134761991968782</v>
      </c>
      <c r="S97" s="677">
        <f t="shared" si="44"/>
        <v>1.0001491667771727</v>
      </c>
      <c r="T97" s="680">
        <f t="shared" si="45"/>
        <v>1.7271261520783818E-2</v>
      </c>
      <c r="U97" s="681">
        <f t="shared" si="57"/>
        <v>0.99897031078313125</v>
      </c>
      <c r="V97" s="682">
        <f t="shared" si="58"/>
        <v>-4.3701538694990112E-2</v>
      </c>
      <c r="W97" s="683">
        <f t="shared" si="46"/>
        <v>-5.2334862110955669</v>
      </c>
      <c r="X97" s="684">
        <f t="shared" si="47"/>
        <v>-105.71776656249972</v>
      </c>
      <c r="Y97" s="687">
        <f t="shared" si="48"/>
        <v>74.282233437500281</v>
      </c>
      <c r="AA97" s="170">
        <f t="shared" si="49"/>
        <v>2290.9</v>
      </c>
      <c r="AB97" s="170">
        <f t="shared" si="50"/>
        <v>5248222.8100000005</v>
      </c>
      <c r="AD97" s="686">
        <f t="shared" si="51"/>
        <v>17.43614720644937</v>
      </c>
      <c r="AE97" s="687">
        <f t="shared" si="52"/>
        <v>-15.73232460044116</v>
      </c>
      <c r="AG97" s="686">
        <f t="shared" si="53"/>
        <v>18.332623785284177</v>
      </c>
      <c r="AH97" s="687">
        <f t="shared" si="54"/>
        <v>-84.977614505435099</v>
      </c>
      <c r="AJ97" s="170">
        <f t="shared" si="55"/>
        <v>0</v>
      </c>
      <c r="AK97" s="170">
        <f t="shared" si="65"/>
        <v>0</v>
      </c>
      <c r="AM97" s="170" t="str">
        <f t="shared" si="59"/>
        <v>0.00194938252687105+0.0624096543934203i</v>
      </c>
      <c r="AN97" s="170" t="str">
        <f t="shared" si="60"/>
        <v>0.0624502394714481i</v>
      </c>
      <c r="AO97" s="170" t="str">
        <f t="shared" si="61"/>
        <v>0.999350121338664-0.0312149728066663i</v>
      </c>
      <c r="AP97" s="170" t="str">
        <f t="shared" si="62"/>
        <v>0.166341769578855-0.0104016090655701i</v>
      </c>
      <c r="AQ97" s="170" t="str">
        <f t="shared" si="63"/>
        <v>0.833658230421145+0.0104016090655701i</v>
      </c>
      <c r="AR97" s="170" t="str">
        <f t="shared" si="64"/>
        <v>0.999054901274166-0.0124652743041305i</v>
      </c>
    </row>
    <row r="98" spans="1:44">
      <c r="G98" s="688">
        <v>2511.9</v>
      </c>
      <c r="H98" s="676">
        <f t="shared" si="56"/>
        <v>2.5119000000000002</v>
      </c>
      <c r="I98" s="677">
        <f t="shared" si="34"/>
        <v>20.683785367415048</v>
      </c>
      <c r="J98" s="678">
        <f t="shared" si="35"/>
        <v>1.5224304225157033</v>
      </c>
      <c r="K98" s="678">
        <f t="shared" si="36"/>
        <v>1.0000060280727445</v>
      </c>
      <c r="L98" s="679">
        <f t="shared" si="37"/>
        <v>3.4721873403862897E-3</v>
      </c>
      <c r="M98" s="678">
        <f t="shared" si="38"/>
        <v>1.0000899813997099</v>
      </c>
      <c r="N98" s="679">
        <f t="shared" si="39"/>
        <v>-1.3414518479456804E-2</v>
      </c>
      <c r="O98" s="677">
        <f t="shared" si="40"/>
        <v>104166.03882826204</v>
      </c>
      <c r="P98" s="680">
        <f t="shared" si="41"/>
        <v>1.5707867267370346</v>
      </c>
      <c r="Q98" s="689">
        <f t="shared" si="42"/>
        <v>4.2849622904610944</v>
      </c>
      <c r="R98" s="690">
        <f t="shared" si="43"/>
        <v>1.3352499782988938</v>
      </c>
      <c r="S98" s="677">
        <f t="shared" si="44"/>
        <v>1.0001793320794103</v>
      </c>
      <c r="T98" s="680">
        <f t="shared" si="45"/>
        <v>1.8937015790002839E-2</v>
      </c>
      <c r="U98" s="681">
        <f t="shared" si="57"/>
        <v>0.99884309717402764</v>
      </c>
      <c r="V98" s="682">
        <f t="shared" si="58"/>
        <v>-4.7914347038344185E-2</v>
      </c>
      <c r="W98" s="683">
        <f t="shared" si="46"/>
        <v>-6.0801613520608626</v>
      </c>
      <c r="X98" s="684">
        <f t="shared" si="47"/>
        <v>-105.12405409588256</v>
      </c>
      <c r="Y98" s="687">
        <f t="shared" si="48"/>
        <v>74.875945904117444</v>
      </c>
      <c r="AA98" s="170">
        <f t="shared" si="49"/>
        <v>2511.9</v>
      </c>
      <c r="AB98" s="170">
        <f t="shared" si="50"/>
        <v>6309641.6100000003</v>
      </c>
      <c r="AD98" s="686">
        <f t="shared" si="51"/>
        <v>17.388309681933961</v>
      </c>
      <c r="AE98" s="687">
        <f t="shared" si="52"/>
        <v>-14.580272703740201</v>
      </c>
      <c r="AG98" s="686">
        <f t="shared" si="53"/>
        <v>17.535998514324071</v>
      </c>
      <c r="AH98" s="687">
        <f t="shared" si="54"/>
        <v>-85.053201659023898</v>
      </c>
      <c r="AJ98" s="170">
        <f t="shared" si="55"/>
        <v>0</v>
      </c>
      <c r="AK98" s="170">
        <f t="shared" si="65"/>
        <v>0</v>
      </c>
      <c r="AM98" s="170" t="str">
        <f t="shared" si="59"/>
        <v>0.00234347836411597+0.0684212308964822i</v>
      </c>
      <c r="AN98" s="170" t="str">
        <f t="shared" si="60"/>
        <v>0.0684747289398623i</v>
      </c>
      <c r="AO98" s="170" t="str">
        <f t="shared" si="61"/>
        <v>0.999218718435131-0.0342239889138389i</v>
      </c>
      <c r="AP98" s="170" t="str">
        <f t="shared" si="62"/>
        <v>0.166276086939314-0.011403538482747i</v>
      </c>
      <c r="AQ98" s="170" t="str">
        <f t="shared" si="63"/>
        <v>0.833723913060686+0.011403538482747i</v>
      </c>
      <c r="AR98" s="170" t="str">
        <f t="shared" si="64"/>
        <v>0.998944825513496-0.0136634029340298i</v>
      </c>
    </row>
    <row r="99" spans="1:44">
      <c r="G99" s="688">
        <v>2754.2</v>
      </c>
      <c r="H99" s="676">
        <f t="shared" si="56"/>
        <v>2.7542</v>
      </c>
      <c r="I99" s="677">
        <f t="shared" si="34"/>
        <v>22.674501913806772</v>
      </c>
      <c r="J99" s="678">
        <f t="shared" si="35"/>
        <v>1.5266796155138267</v>
      </c>
      <c r="K99" s="678">
        <f t="shared" si="36"/>
        <v>1.0000072471037029</v>
      </c>
      <c r="L99" s="679">
        <f t="shared" si="37"/>
        <v>3.807114376019848E-3</v>
      </c>
      <c r="M99" s="678">
        <f t="shared" si="38"/>
        <v>1.0001081770289966</v>
      </c>
      <c r="N99" s="679">
        <f t="shared" si="39"/>
        <v>-1.4708315879486664E-2</v>
      </c>
      <c r="O99" s="677">
        <f t="shared" si="40"/>
        <v>114213.98309589375</v>
      </c>
      <c r="P99" s="680">
        <f t="shared" si="41"/>
        <v>1.5707875712995281</v>
      </c>
      <c r="Q99" s="689">
        <f t="shared" si="42"/>
        <v>4.6767226017593311</v>
      </c>
      <c r="R99" s="690">
        <f t="shared" si="43"/>
        <v>1.355307520476883</v>
      </c>
      <c r="S99" s="677">
        <f t="shared" si="44"/>
        <v>1.0002155938494581</v>
      </c>
      <c r="T99" s="680">
        <f t="shared" si="45"/>
        <v>2.0763194487337166E-2</v>
      </c>
      <c r="U99" s="681">
        <f t="shared" si="57"/>
        <v>0.99869022924970607</v>
      </c>
      <c r="V99" s="682">
        <f t="shared" si="58"/>
        <v>-5.2532226812515341E-2</v>
      </c>
      <c r="W99" s="683">
        <f t="shared" si="46"/>
        <v>-6.9197621701355256</v>
      </c>
      <c r="X99" s="684">
        <f t="shared" si="47"/>
        <v>-104.64250737445619</v>
      </c>
      <c r="Y99" s="687">
        <f t="shared" si="48"/>
        <v>75.357492625543813</v>
      </c>
      <c r="AA99" s="170">
        <f t="shared" si="49"/>
        <v>2754.2</v>
      </c>
      <c r="AB99" s="170">
        <f t="shared" si="50"/>
        <v>7585617.6399999987</v>
      </c>
      <c r="AD99" s="686">
        <f t="shared" si="51"/>
        <v>17.34802434483678</v>
      </c>
      <c r="AE99" s="687">
        <f t="shared" si="52"/>
        <v>-13.535740910202604</v>
      </c>
      <c r="AG99" s="686">
        <f t="shared" si="53"/>
        <v>16.739341900470126</v>
      </c>
      <c r="AH99" s="687">
        <f t="shared" si="54"/>
        <v>-85.087016687812806</v>
      </c>
      <c r="AJ99" s="170">
        <f t="shared" si="55"/>
        <v>0</v>
      </c>
      <c r="AK99" s="170">
        <f t="shared" si="65"/>
        <v>0</v>
      </c>
      <c r="AM99" s="170" t="str">
        <f t="shared" si="59"/>
        <v>0.00281716889768102+0.0750093417832977i</v>
      </c>
      <c r="AN99" s="170" t="str">
        <f t="shared" si="60"/>
        <v>0.0750798592484449i</v>
      </c>
      <c r="AO99" s="170" t="str">
        <f t="shared" si="61"/>
        <v>0.999060767217026-0.0375222986015304i</v>
      </c>
      <c r="AP99" s="170" t="str">
        <f t="shared" si="62"/>
        <v>0.166197138517053-0.0125015569638829i</v>
      </c>
      <c r="AQ99" s="170" t="str">
        <f t="shared" si="63"/>
        <v>0.833802861482947+0.0125015569638829i</v>
      </c>
      <c r="AR99" s="170" t="str">
        <f t="shared" si="64"/>
        <v>0.998812573022665-0.0149756169649949i</v>
      </c>
    </row>
    <row r="100" spans="1:44">
      <c r="G100" s="688">
        <v>3020</v>
      </c>
      <c r="H100" s="676">
        <f t="shared" si="56"/>
        <v>3.02</v>
      </c>
      <c r="I100" s="677">
        <f t="shared" si="34"/>
        <v>24.858684303290222</v>
      </c>
      <c r="J100" s="678">
        <f t="shared" si="35"/>
        <v>1.5305580788029229</v>
      </c>
      <c r="K100" s="678">
        <f t="shared" si="36"/>
        <v>1.0000087133888484</v>
      </c>
      <c r="L100" s="679">
        <f t="shared" si="37"/>
        <v>4.1745240638260918E-3</v>
      </c>
      <c r="M100" s="678">
        <f t="shared" si="38"/>
        <v>1.0001300628408021</v>
      </c>
      <c r="N100" s="679">
        <f t="shared" si="39"/>
        <v>-1.6127538275533201E-2</v>
      </c>
      <c r="O100" s="677">
        <f t="shared" si="40"/>
        <v>125236.44940359246</v>
      </c>
      <c r="P100" s="680">
        <f t="shared" si="41"/>
        <v>1.5707883418990873</v>
      </c>
      <c r="Q100" s="689">
        <f t="shared" si="42"/>
        <v>5.1082941588312742</v>
      </c>
      <c r="R100" s="690">
        <f t="shared" si="43"/>
        <v>1.3737638748004561</v>
      </c>
      <c r="S100" s="677">
        <f t="shared" si="44"/>
        <v>1.0002592088559337</v>
      </c>
      <c r="T100" s="680">
        <f t="shared" si="45"/>
        <v>2.2766329405052969E-2</v>
      </c>
      <c r="U100" s="681">
        <f t="shared" si="57"/>
        <v>0.9985064431143742</v>
      </c>
      <c r="V100" s="682">
        <f t="shared" si="58"/>
        <v>-5.7596717023310443E-2</v>
      </c>
      <c r="W100" s="683">
        <f t="shared" si="46"/>
        <v>-7.7538879888993186</v>
      </c>
      <c r="X100" s="684">
        <f t="shared" si="47"/>
        <v>-104.27250941572341</v>
      </c>
      <c r="Y100" s="687">
        <f t="shared" si="48"/>
        <v>75.727490584276595</v>
      </c>
      <c r="AA100" s="170">
        <f t="shared" si="49"/>
        <v>3020</v>
      </c>
      <c r="AB100" s="170">
        <f t="shared" si="50"/>
        <v>9120400</v>
      </c>
      <c r="AD100" s="686">
        <f t="shared" si="51"/>
        <v>17.314101966098335</v>
      </c>
      <c r="AE100" s="687">
        <f t="shared" si="52"/>
        <v>-12.593085029869536</v>
      </c>
      <c r="AG100" s="686">
        <f t="shared" si="53"/>
        <v>15.942335633993272</v>
      </c>
      <c r="AH100" s="687">
        <f t="shared" si="54"/>
        <v>-85.079326779822168</v>
      </c>
      <c r="AJ100" s="170">
        <f t="shared" si="55"/>
        <v>0</v>
      </c>
      <c r="AK100" s="170">
        <f t="shared" si="65"/>
        <v>0</v>
      </c>
      <c r="AM100" s="170" t="str">
        <f t="shared" si="59"/>
        <v>0.00338683892101599+0.0822326405033559i</v>
      </c>
      <c r="AN100" s="170" t="str">
        <f t="shared" si="60"/>
        <v>0.0823256026905467i</v>
      </c>
      <c r="AO100" s="170" t="str">
        <f t="shared" si="61"/>
        <v>0.998870798583276-0.0411395581730116i</v>
      </c>
      <c r="AP100" s="170" t="str">
        <f t="shared" si="62"/>
        <v>0.166102193513164-0.0137054400838926i</v>
      </c>
      <c r="AQ100" s="170" t="str">
        <f t="shared" si="63"/>
        <v>0.833897806486836+0.0137054400838926i</v>
      </c>
      <c r="AR100" s="170" t="str">
        <f t="shared" si="64"/>
        <v>0.998653602969338-0.016413266725958i</v>
      </c>
    </row>
    <row r="101" spans="1:44">
      <c r="G101" s="688">
        <v>3311.3</v>
      </c>
      <c r="H101" s="676">
        <f t="shared" si="56"/>
        <v>3.3113000000000001</v>
      </c>
      <c r="I101" s="677">
        <f t="shared" si="34"/>
        <v>27.252767472740352</v>
      </c>
      <c r="J101" s="678">
        <f t="shared" si="35"/>
        <v>1.5340945665245744</v>
      </c>
      <c r="K101" s="678">
        <f t="shared" si="36"/>
        <v>1.0000104753823893</v>
      </c>
      <c r="L101" s="679">
        <f t="shared" si="37"/>
        <v>4.5771805613225311E-3</v>
      </c>
      <c r="M101" s="678">
        <f t="shared" si="38"/>
        <v>1.0001563618130451</v>
      </c>
      <c r="N101" s="679">
        <f t="shared" si="39"/>
        <v>-1.7682841490142522E-2</v>
      </c>
      <c r="O101" s="677">
        <f t="shared" si="40"/>
        <v>137316.37579731527</v>
      </c>
      <c r="P101" s="680">
        <f t="shared" si="41"/>
        <v>1.5707890443422816</v>
      </c>
      <c r="Q101" s="689">
        <f t="shared" si="42"/>
        <v>5.5829436051043189</v>
      </c>
      <c r="R101" s="690">
        <f t="shared" si="43"/>
        <v>1.3907074837910993</v>
      </c>
      <c r="S101" s="677">
        <f t="shared" si="44"/>
        <v>1.0003116173491504</v>
      </c>
      <c r="T101" s="680">
        <f t="shared" si="45"/>
        <v>2.496142822512307E-2</v>
      </c>
      <c r="U101" s="681">
        <f t="shared" si="57"/>
        <v>0.99828571915841158</v>
      </c>
      <c r="V101" s="682">
        <f t="shared" si="58"/>
        <v>-6.3145412961678679E-2</v>
      </c>
      <c r="W101" s="683">
        <f t="shared" si="46"/>
        <v>-8.582753934078422</v>
      </c>
      <c r="X101" s="684">
        <f t="shared" si="47"/>
        <v>-104.0141067475594</v>
      </c>
      <c r="Y101" s="687">
        <f t="shared" si="48"/>
        <v>75.985893252440604</v>
      </c>
      <c r="AA101" s="170">
        <f t="shared" si="49"/>
        <v>3311.3</v>
      </c>
      <c r="AB101" s="170">
        <f t="shared" si="50"/>
        <v>10964707.690000001</v>
      </c>
      <c r="AD101" s="686">
        <f t="shared" si="51"/>
        <v>17.285562017934627</v>
      </c>
      <c r="AE101" s="687">
        <f t="shared" si="52"/>
        <v>-11.748097889054769</v>
      </c>
      <c r="AG101" s="686">
        <f t="shared" si="53"/>
        <v>15.145850164732341</v>
      </c>
      <c r="AH101" s="687">
        <f t="shared" si="54"/>
        <v>-85.030077533606658</v>
      </c>
      <c r="AJ101" s="170">
        <f t="shared" si="55"/>
        <v>0</v>
      </c>
      <c r="AK101" s="170">
        <f t="shared" si="65"/>
        <v>0</v>
      </c>
      <c r="AM101" s="170" t="str">
        <f t="shared" si="59"/>
        <v>0.00407125314349499+0.0901439470227056i</v>
      </c>
      <c r="AN101" s="170" t="str">
        <f t="shared" si="60"/>
        <v>0.0902664795328501i</v>
      </c>
      <c r="AO101" s="170" t="str">
        <f t="shared" si="61"/>
        <v>0.99864254692574-0.0451026024784025i</v>
      </c>
      <c r="AP101" s="170" t="str">
        <f t="shared" si="62"/>
        <v>0.165988124476084-0.0150239911704509i</v>
      </c>
      <c r="AQ101" s="170" t="str">
        <f t="shared" si="63"/>
        <v>0.834011875523916+0.0150239911704509i</v>
      </c>
      <c r="AR101" s="170" t="str">
        <f t="shared" si="64"/>
        <v>0.998462727559692-0.0179864287825132i</v>
      </c>
    </row>
    <row r="102" spans="1:44">
      <c r="G102" s="688">
        <v>3630.8</v>
      </c>
      <c r="H102" s="676">
        <f t="shared" si="56"/>
        <v>3.6308000000000002</v>
      </c>
      <c r="I102" s="677">
        <f t="shared" si="34"/>
        <v>29.878941728606339</v>
      </c>
      <c r="J102" s="678">
        <f t="shared" si="35"/>
        <v>1.537321687964748</v>
      </c>
      <c r="K102" s="678">
        <f t="shared" si="36"/>
        <v>1.0000125943866016</v>
      </c>
      <c r="L102" s="679">
        <f t="shared" si="37"/>
        <v>5.0188154819421817E-3</v>
      </c>
      <c r="M102" s="678">
        <f t="shared" si="38"/>
        <v>1.0001879885619813</v>
      </c>
      <c r="N102" s="679">
        <f t="shared" si="39"/>
        <v>-1.9388610932986137E-2</v>
      </c>
      <c r="O102" s="677">
        <f t="shared" si="40"/>
        <v>150565.72863910481</v>
      </c>
      <c r="P102" s="680">
        <f t="shared" si="41"/>
        <v>1.570789685177252</v>
      </c>
      <c r="Q102" s="689">
        <f t="shared" si="42"/>
        <v>6.1050849153307665</v>
      </c>
      <c r="R102" s="690">
        <f t="shared" si="43"/>
        <v>1.4062570117190953</v>
      </c>
      <c r="S102" s="677">
        <f t="shared" si="44"/>
        <v>1.0003746412044572</v>
      </c>
      <c r="T102" s="680">
        <f t="shared" si="45"/>
        <v>2.7368751468684269E-2</v>
      </c>
      <c r="U102" s="681">
        <f t="shared" si="57"/>
        <v>0.99802045560363939</v>
      </c>
      <c r="V102" s="682">
        <f t="shared" si="58"/>
        <v>-6.9229070074425247E-2</v>
      </c>
      <c r="W102" s="683">
        <f t="shared" si="46"/>
        <v>-9.407915018599919</v>
      </c>
      <c r="X102" s="684">
        <f t="shared" si="47"/>
        <v>-103.86704849053883</v>
      </c>
      <c r="Y102" s="687">
        <f t="shared" si="48"/>
        <v>76.132951509461165</v>
      </c>
      <c r="AA102" s="170">
        <f t="shared" si="49"/>
        <v>3630.8</v>
      </c>
      <c r="AB102" s="170">
        <f t="shared" si="50"/>
        <v>13182708.640000001</v>
      </c>
      <c r="AD102" s="686">
        <f t="shared" si="51"/>
        <v>17.261508193660152</v>
      </c>
      <c r="AE102" s="687">
        <f t="shared" si="52"/>
        <v>-10.995141743418378</v>
      </c>
      <c r="AG102" s="686">
        <f t="shared" si="53"/>
        <v>14.349359530941602</v>
      </c>
      <c r="AH102" s="687">
        <f t="shared" si="54"/>
        <v>-84.938839668295628</v>
      </c>
      <c r="AJ102" s="170">
        <f t="shared" si="55"/>
        <v>0</v>
      </c>
      <c r="AK102" s="170">
        <f t="shared" si="65"/>
        <v>0</v>
      </c>
      <c r="AM102" s="170" t="str">
        <f t="shared" si="59"/>
        <v>0.00489413609420597+0.0988145719026424i</v>
      </c>
      <c r="AN102" s="170" t="str">
        <f t="shared" si="60"/>
        <v>0.0989760921353764i</v>
      </c>
      <c r="AO102" s="170" t="str">
        <f t="shared" si="61"/>
        <v>0.998368088401459-0.0494476594156892i</v>
      </c>
      <c r="AP102" s="170" t="str">
        <f t="shared" si="62"/>
        <v>0.165850977317632-0.0164690953171071i</v>
      </c>
      <c r="AQ102" s="170" t="str">
        <f t="shared" si="63"/>
        <v>0.834149022682368+0.0164690953171071i</v>
      </c>
      <c r="AR102" s="170" t="str">
        <f t="shared" si="64"/>
        <v>0.998233400432514-0.0197087098029283i</v>
      </c>
    </row>
    <row r="103" spans="1:44">
      <c r="G103" s="688">
        <v>3981.1</v>
      </c>
      <c r="H103" s="676">
        <f t="shared" si="56"/>
        <v>3.9811000000000001</v>
      </c>
      <c r="I103" s="677">
        <f t="shared" si="34"/>
        <v>32.758578333226922</v>
      </c>
      <c r="J103" s="678">
        <f t="shared" si="35"/>
        <v>1.5402652285061693</v>
      </c>
      <c r="K103" s="678">
        <f t="shared" si="36"/>
        <v>1.0000151418167857</v>
      </c>
      <c r="L103" s="679">
        <f t="shared" si="37"/>
        <v>5.5030220290497485E-3</v>
      </c>
      <c r="M103" s="678">
        <f t="shared" si="38"/>
        <v>1.0002260084570558</v>
      </c>
      <c r="N103" s="679">
        <f t="shared" si="39"/>
        <v>-2.1258687576830054E-2</v>
      </c>
      <c r="O103" s="677">
        <f t="shared" si="40"/>
        <v>165092.32738870662</v>
      </c>
      <c r="P103" s="680">
        <f t="shared" si="41"/>
        <v>1.5707902695782117</v>
      </c>
      <c r="Q103" s="689">
        <f t="shared" si="42"/>
        <v>6.6789791509325598</v>
      </c>
      <c r="R103" s="690">
        <f t="shared" si="43"/>
        <v>1.4205077326385429</v>
      </c>
      <c r="S103" s="677">
        <f t="shared" si="44"/>
        <v>1.000450402313698</v>
      </c>
      <c r="T103" s="680">
        <f t="shared" si="45"/>
        <v>3.000777655130106E-2</v>
      </c>
      <c r="U103" s="681">
        <f t="shared" si="57"/>
        <v>0.99770182443095146</v>
      </c>
      <c r="V103" s="682">
        <f t="shared" si="58"/>
        <v>-7.5896306640614947E-2</v>
      </c>
      <c r="W103" s="683">
        <f t="shared" si="46"/>
        <v>-10.229838343378814</v>
      </c>
      <c r="X103" s="684">
        <f t="shared" si="47"/>
        <v>-103.83184228337056</v>
      </c>
      <c r="Y103" s="687">
        <f t="shared" si="48"/>
        <v>76.168157716629437</v>
      </c>
      <c r="AA103" s="170">
        <f t="shared" si="49"/>
        <v>3981.1</v>
      </c>
      <c r="AB103" s="170">
        <f t="shared" si="50"/>
        <v>15849157.209999999</v>
      </c>
      <c r="AD103" s="686">
        <f t="shared" si="51"/>
        <v>17.241202792750908</v>
      </c>
      <c r="AE103" s="687">
        <f t="shared" si="52"/>
        <v>-10.329874061926704</v>
      </c>
      <c r="AG103" s="686">
        <f t="shared" si="53"/>
        <v>13.553288661894992</v>
      </c>
      <c r="AH103" s="687">
        <f t="shared" si="54"/>
        <v>-84.804892109230082</v>
      </c>
      <c r="AJ103" s="170">
        <f t="shared" si="55"/>
        <v>0</v>
      </c>
      <c r="AK103" s="170">
        <f t="shared" si="65"/>
        <v>0</v>
      </c>
      <c r="AM103" s="170" t="str">
        <f t="shared" si="59"/>
        <v>0.00588309466412995+0.108312411686901i</v>
      </c>
      <c r="AN103" s="170" t="str">
        <f t="shared" si="60"/>
        <v>0.108525316844813i</v>
      </c>
      <c r="AO103" s="170" t="str">
        <f t="shared" si="61"/>
        <v>0.99803819823704-0.0542094216830765i</v>
      </c>
      <c r="AP103" s="170" t="str">
        <f t="shared" si="62"/>
        <v>0.165686150889312-0.0180520686144835i</v>
      </c>
      <c r="AQ103" s="170" t="str">
        <f t="shared" si="63"/>
        <v>0.834313849110688+0.0180520686144835i</v>
      </c>
      <c r="AR103" s="170" t="str">
        <f t="shared" si="64"/>
        <v>0.997958029138254-0.0215928416333748i</v>
      </c>
    </row>
    <row r="104" spans="1:44">
      <c r="G104" s="688">
        <v>4365.2</v>
      </c>
      <c r="H104" s="676">
        <f t="shared" si="56"/>
        <v>4.3651999999999997</v>
      </c>
      <c r="I104" s="677">
        <f t="shared" si="34"/>
        <v>35.916338797038705</v>
      </c>
      <c r="J104" s="678">
        <f t="shared" si="35"/>
        <v>1.5429502467316478</v>
      </c>
      <c r="K104" s="678">
        <f t="shared" si="36"/>
        <v>1.0000182045287767</v>
      </c>
      <c r="L104" s="679">
        <f t="shared" si="37"/>
        <v>6.0339460736910126E-3</v>
      </c>
      <c r="M104" s="678">
        <f t="shared" si="38"/>
        <v>1.0002717170469284</v>
      </c>
      <c r="N104" s="679">
        <f t="shared" si="39"/>
        <v>-2.3309034131113276E-2</v>
      </c>
      <c r="O104" s="677">
        <f t="shared" si="40"/>
        <v>181020.57911505812</v>
      </c>
      <c r="P104" s="680">
        <f t="shared" si="41"/>
        <v>1.5707908025611057</v>
      </c>
      <c r="Q104" s="689">
        <f t="shared" si="42"/>
        <v>7.3095499245467659</v>
      </c>
      <c r="R104" s="690">
        <f t="shared" si="43"/>
        <v>1.4335586099223239</v>
      </c>
      <c r="S104" s="677">
        <f t="shared" si="44"/>
        <v>1.0005414806730948</v>
      </c>
      <c r="T104" s="680">
        <f t="shared" si="45"/>
        <v>3.2900955958967158E-2</v>
      </c>
      <c r="U104" s="681">
        <f t="shared" si="57"/>
        <v>0.99731912320705385</v>
      </c>
      <c r="V104" s="682">
        <f t="shared" si="58"/>
        <v>-8.32030530096112E-2</v>
      </c>
      <c r="W104" s="683">
        <f t="shared" si="46"/>
        <v>-11.049288415862586</v>
      </c>
      <c r="X104" s="684">
        <f t="shared" si="47"/>
        <v>-103.90942204151051</v>
      </c>
      <c r="Y104" s="687">
        <f t="shared" si="48"/>
        <v>76.09057795848949</v>
      </c>
      <c r="AA104" s="170">
        <f t="shared" si="49"/>
        <v>4365.2</v>
      </c>
      <c r="AB104" s="170">
        <f t="shared" si="50"/>
        <v>19054971.039999999</v>
      </c>
      <c r="AD104" s="686">
        <f t="shared" si="51"/>
        <v>17.22400186871732</v>
      </c>
      <c r="AE104" s="687">
        <f t="shared" si="52"/>
        <v>-9.747911381061714</v>
      </c>
      <c r="AG104" s="686">
        <f t="shared" si="53"/>
        <v>12.757704306894396</v>
      </c>
      <c r="AH104" s="687">
        <f t="shared" si="54"/>
        <v>-84.627143089446221</v>
      </c>
      <c r="AJ104" s="170">
        <f t="shared" si="55"/>
        <v>0</v>
      </c>
      <c r="AK104" s="170">
        <f t="shared" si="65"/>
        <v>0</v>
      </c>
      <c r="AM104" s="170" t="str">
        <f t="shared" si="59"/>
        <v>0.00707166566571205+0.11871530177756i</v>
      </c>
      <c r="AN104" s="170" t="str">
        <f t="shared" si="60"/>
        <v>0.118995934061184i</v>
      </c>
      <c r="AO104" s="170" t="str">
        <f t="shared" si="61"/>
        <v>0.997641664937226-0.0594277923989909i</v>
      </c>
      <c r="AP104" s="170" t="str">
        <f t="shared" si="62"/>
        <v>0.165488055722381-0.0197858836295933i</v>
      </c>
      <c r="AQ104" s="170" t="str">
        <f t="shared" si="63"/>
        <v>0.834511944277619+0.0197858836295933i</v>
      </c>
      <c r="AR104" s="170" t="str">
        <f t="shared" si="64"/>
        <v>0.997627421360142-0.0236532744678804i</v>
      </c>
    </row>
    <row r="105" spans="1:44">
      <c r="G105" s="688">
        <v>4786.3</v>
      </c>
      <c r="H105" s="676">
        <f t="shared" si="56"/>
        <v>4.7862999999999998</v>
      </c>
      <c r="I105" s="677">
        <f t="shared" si="34"/>
        <v>39.378530951814902</v>
      </c>
      <c r="J105" s="678">
        <f t="shared" si="35"/>
        <v>1.5453990484419062</v>
      </c>
      <c r="K105" s="678">
        <f t="shared" si="36"/>
        <v>1.000021886190833</v>
      </c>
      <c r="L105" s="679">
        <f t="shared" si="37"/>
        <v>6.6160096235434399E-3</v>
      </c>
      <c r="M105" s="678">
        <f t="shared" si="38"/>
        <v>1.0003266604051175</v>
      </c>
      <c r="N105" s="679">
        <f t="shared" si="39"/>
        <v>-2.5556662825213468E-2</v>
      </c>
      <c r="O105" s="677">
        <f t="shared" si="40"/>
        <v>198483.18469169314</v>
      </c>
      <c r="P105" s="680">
        <f t="shared" si="41"/>
        <v>1.5707912885847251</v>
      </c>
      <c r="Q105" s="689">
        <f t="shared" si="42"/>
        <v>8.0020571959322329</v>
      </c>
      <c r="R105" s="690">
        <f t="shared" si="43"/>
        <v>1.4455008850225013</v>
      </c>
      <c r="S105" s="677">
        <f t="shared" si="44"/>
        <v>1.0006509546514071</v>
      </c>
      <c r="T105" s="680">
        <f t="shared" si="45"/>
        <v>3.6072197857851686E-2</v>
      </c>
      <c r="U105" s="681">
        <f t="shared" si="57"/>
        <v>0.9968596308013763</v>
      </c>
      <c r="V105" s="682">
        <f t="shared" si="58"/>
        <v>-9.1208646544671992E-2</v>
      </c>
      <c r="W105" s="683">
        <f t="shared" si="46"/>
        <v>-11.866776531250478</v>
      </c>
      <c r="X105" s="684">
        <f t="shared" si="47"/>
        <v>-104.10132928261663</v>
      </c>
      <c r="Y105" s="687">
        <f t="shared" si="48"/>
        <v>75.898670717383368</v>
      </c>
      <c r="AA105" s="170">
        <f t="shared" si="49"/>
        <v>4786.3</v>
      </c>
      <c r="AB105" s="170">
        <f t="shared" si="50"/>
        <v>22908667.690000001</v>
      </c>
      <c r="AD105" s="686">
        <f t="shared" si="51"/>
        <v>17.209356453336117</v>
      </c>
      <c r="AE105" s="687">
        <f t="shared" si="52"/>
        <v>-9.245396043186437</v>
      </c>
      <c r="AG105" s="686">
        <f t="shared" si="53"/>
        <v>11.962867108677063</v>
      </c>
      <c r="AH105" s="687">
        <f t="shared" si="54"/>
        <v>-84.404192223266989</v>
      </c>
      <c r="AJ105" s="170">
        <f t="shared" si="55"/>
        <v>0</v>
      </c>
      <c r="AK105" s="170">
        <f t="shared" si="65"/>
        <v>0</v>
      </c>
      <c r="AM105" s="170" t="str">
        <f t="shared" si="59"/>
        <v>0.00849981728720695+0.130105294590566i</v>
      </c>
      <c r="AN105" s="170" t="str">
        <f t="shared" si="60"/>
        <v>0.13047517621118i</v>
      </c>
      <c r="AO105" s="170" t="str">
        <f t="shared" si="61"/>
        <v>0.997165118826777-0.0651450914574709i</v>
      </c>
      <c r="AP105" s="170" t="str">
        <f t="shared" si="62"/>
        <v>0.165250030452132-0.0216842157650943i</v>
      </c>
      <c r="AQ105" s="170" t="str">
        <f t="shared" si="63"/>
        <v>0.834749969547868+0.0216842157650943i</v>
      </c>
      <c r="AR105" s="170" t="str">
        <f t="shared" si="64"/>
        <v>0.997230669798545-0.0259049605275141i</v>
      </c>
    </row>
    <row r="106" spans="1:44">
      <c r="G106" s="688">
        <v>5248.1</v>
      </c>
      <c r="H106" s="676">
        <f t="shared" si="56"/>
        <v>5.2481</v>
      </c>
      <c r="I106" s="677">
        <f t="shared" si="34"/>
        <v>43.175575442832191</v>
      </c>
      <c r="J106" s="678">
        <f t="shared" si="35"/>
        <v>1.5476330123855464</v>
      </c>
      <c r="K106" s="678">
        <f t="shared" si="36"/>
        <v>1.0000263131954337</v>
      </c>
      <c r="L106" s="679">
        <f t="shared" si="37"/>
        <v>7.2543253938349957E-3</v>
      </c>
      <c r="M106" s="678">
        <f t="shared" si="38"/>
        <v>1.0003927231698901</v>
      </c>
      <c r="N106" s="679">
        <f t="shared" si="39"/>
        <v>-2.8021230761954761E-2</v>
      </c>
      <c r="O106" s="677">
        <f t="shared" si="40"/>
        <v>217633.57950363547</v>
      </c>
      <c r="P106" s="680">
        <f t="shared" si="41"/>
        <v>1.5707917319157318</v>
      </c>
      <c r="Q106" s="689">
        <f t="shared" si="42"/>
        <v>8.7625909343358241</v>
      </c>
      <c r="R106" s="690">
        <f t="shared" si="43"/>
        <v>1.4564256517665426</v>
      </c>
      <c r="S106" s="677">
        <f t="shared" si="44"/>
        <v>1.0007825760175795</v>
      </c>
      <c r="T106" s="680">
        <f t="shared" si="45"/>
        <v>3.9549108809389631E-2</v>
      </c>
      <c r="U106" s="681">
        <f t="shared" si="57"/>
        <v>0.99630790836217775</v>
      </c>
      <c r="V106" s="682">
        <f t="shared" si="58"/>
        <v>-9.9981406965843553E-2</v>
      </c>
      <c r="W106" s="683">
        <f t="shared" si="46"/>
        <v>-12.68311398885009</v>
      </c>
      <c r="X106" s="684">
        <f t="shared" si="47"/>
        <v>-104.40989937446408</v>
      </c>
      <c r="Y106" s="687">
        <f t="shared" si="48"/>
        <v>75.590100625535925</v>
      </c>
      <c r="AA106" s="170">
        <f t="shared" si="49"/>
        <v>5248.1</v>
      </c>
      <c r="AB106" s="170">
        <f t="shared" si="50"/>
        <v>27542553.610000003</v>
      </c>
      <c r="AD106" s="686">
        <f t="shared" si="51"/>
        <v>17.196788047302189</v>
      </c>
      <c r="AE106" s="687">
        <f t="shared" si="52"/>
        <v>-8.8186907403619568</v>
      </c>
      <c r="AG106" s="686">
        <f t="shared" si="53"/>
        <v>11.168715312552191</v>
      </c>
      <c r="AH106" s="687">
        <f t="shared" si="54"/>
        <v>-84.134183323165104</v>
      </c>
      <c r="AJ106" s="170">
        <f t="shared" si="55"/>
        <v>0</v>
      </c>
      <c r="AK106" s="170">
        <f t="shared" si="65"/>
        <v>0</v>
      </c>
      <c r="AM106" s="170" t="str">
        <f t="shared" si="59"/>
        <v>0.01021619790703+0.14257638343844i</v>
      </c>
      <c r="AN106" s="170" t="str">
        <f t="shared" si="60"/>
        <v>0.143063905788165i</v>
      </c>
      <c r="AO106" s="170" t="str">
        <f t="shared" si="61"/>
        <v>0.996592275689391-0.0714100307184199i</v>
      </c>
      <c r="AP106" s="170" t="str">
        <f t="shared" si="62"/>
        <v>0.164963967015495-0.0237627305730733i</v>
      </c>
      <c r="AQ106" s="170" t="str">
        <f t="shared" si="63"/>
        <v>0.835036032984505+0.0237627305730733i</v>
      </c>
      <c r="AR106" s="170" t="str">
        <f t="shared" si="64"/>
        <v>0.996754562186995-0.0283647760972379i</v>
      </c>
    </row>
    <row r="107" spans="1:44">
      <c r="G107" s="688">
        <v>5370.3</v>
      </c>
      <c r="H107" s="676">
        <f t="shared" si="56"/>
        <v>5.3703000000000003</v>
      </c>
      <c r="I107" s="677">
        <f t="shared" si="34"/>
        <v>44.180369025232103</v>
      </c>
      <c r="J107" s="678">
        <f t="shared" si="35"/>
        <v>1.5481599064021838</v>
      </c>
      <c r="K107" s="678">
        <f t="shared" si="36"/>
        <v>1.0000275528300417</v>
      </c>
      <c r="L107" s="679">
        <f t="shared" si="37"/>
        <v>7.423233449715295E-3</v>
      </c>
      <c r="M107" s="678">
        <f t="shared" si="38"/>
        <v>1.0004112211087461</v>
      </c>
      <c r="N107" s="679">
        <f t="shared" si="39"/>
        <v>-2.8673340899793402E-2</v>
      </c>
      <c r="O107" s="677">
        <f t="shared" si="40"/>
        <v>222701.09411173919</v>
      </c>
      <c r="P107" s="680">
        <f t="shared" si="41"/>
        <v>1.5707918364712006</v>
      </c>
      <c r="Q107" s="689">
        <f t="shared" si="42"/>
        <v>8.9639970832271665</v>
      </c>
      <c r="R107" s="690">
        <f t="shared" si="43"/>
        <v>1.4590062550065486</v>
      </c>
      <c r="S107" s="677">
        <f t="shared" si="44"/>
        <v>1.0008194291822474</v>
      </c>
      <c r="T107" s="680">
        <f t="shared" si="45"/>
        <v>4.0469000969805755E-2</v>
      </c>
      <c r="U107" s="681">
        <f t="shared" si="57"/>
        <v>0.99615357182314113</v>
      </c>
      <c r="V107" s="682">
        <f t="shared" si="58"/>
        <v>-0.1023015945927062</v>
      </c>
      <c r="W107" s="683">
        <f t="shared" si="46"/>
        <v>-12.886977713216677</v>
      </c>
      <c r="X107" s="684">
        <f t="shared" si="47"/>
        <v>-104.50556483135922</v>
      </c>
      <c r="Y107" s="687">
        <f t="shared" si="48"/>
        <v>75.494435168640777</v>
      </c>
      <c r="AA107" s="170">
        <f t="shared" si="49"/>
        <v>5370.3</v>
      </c>
      <c r="AB107" s="170">
        <f t="shared" si="50"/>
        <v>28840122.090000004</v>
      </c>
      <c r="AD107" s="686">
        <f t="shared" si="51"/>
        <v>17.193922662312918</v>
      </c>
      <c r="AE107" s="687">
        <f t="shared" si="52"/>
        <v>-8.7235449949892061</v>
      </c>
      <c r="AG107" s="686">
        <f t="shared" si="53"/>
        <v>10.970408217469846</v>
      </c>
      <c r="AH107" s="687">
        <f t="shared" si="54"/>
        <v>-84.059120607733789</v>
      </c>
      <c r="AJ107" s="170">
        <f t="shared" si="55"/>
        <v>0</v>
      </c>
      <c r="AK107" s="170">
        <f t="shared" si="65"/>
        <v>0</v>
      </c>
      <c r="AM107" s="170" t="str">
        <f t="shared" si="59"/>
        <v>0.010696637527198+0.145872742484698i</v>
      </c>
      <c r="AN107" s="170" t="str">
        <f t="shared" si="60"/>
        <v>0.146395094082465i</v>
      </c>
      <c r="AO107" s="170" t="str">
        <f t="shared" si="61"/>
        <v>0.99643190503725-0.073066912482549i</v>
      </c>
      <c r="AP107" s="170" t="str">
        <f t="shared" si="62"/>
        <v>0.164883893745467-0.0243121237474497i</v>
      </c>
      <c r="AQ107" s="170" t="str">
        <f t="shared" si="63"/>
        <v>0.835116106254533+0.0243121237474497i</v>
      </c>
      <c r="AR107" s="170" t="str">
        <f t="shared" si="64"/>
        <v>0.996621432630429-0.0290139100635267i</v>
      </c>
    </row>
    <row r="108" spans="1:44">
      <c r="G108" s="688">
        <v>5432.85</v>
      </c>
      <c r="H108" s="676">
        <f t="shared" si="56"/>
        <v>5.4328500000000002</v>
      </c>
      <c r="I108" s="677">
        <f t="shared" si="34"/>
        <v>44.694693074430376</v>
      </c>
      <c r="J108" s="678">
        <f t="shared" si="35"/>
        <v>1.5484204386791125</v>
      </c>
      <c r="K108" s="678">
        <f t="shared" si="36"/>
        <v>1.0000281983961405</v>
      </c>
      <c r="L108" s="679">
        <f t="shared" si="37"/>
        <v>7.5096915425244531E-3</v>
      </c>
      <c r="M108" s="678">
        <f t="shared" si="38"/>
        <v>1.0004208541776443</v>
      </c>
      <c r="N108" s="679">
        <f t="shared" si="39"/>
        <v>-2.9007124369691939E-2</v>
      </c>
      <c r="O108" s="677">
        <f t="shared" si="40"/>
        <v>225294.98149911233</v>
      </c>
      <c r="P108" s="680">
        <f t="shared" si="41"/>
        <v>1.5707918881696181</v>
      </c>
      <c r="Q108" s="689">
        <f t="shared" si="42"/>
        <v>9.0671123242351293</v>
      </c>
      <c r="R108" s="690">
        <f t="shared" si="43"/>
        <v>1.460282812926317</v>
      </c>
      <c r="S108" s="677">
        <f t="shared" si="44"/>
        <v>1.0008386207326365</v>
      </c>
      <c r="T108" s="680">
        <f t="shared" si="45"/>
        <v>4.09398358845054E-2</v>
      </c>
      <c r="U108" s="681">
        <f t="shared" si="57"/>
        <v>0.99607322458615977</v>
      </c>
      <c r="V108" s="682">
        <f t="shared" si="58"/>
        <v>-0.10348901171806507</v>
      </c>
      <c r="W108" s="683">
        <f t="shared" si="46"/>
        <v>-12.989525596976838</v>
      </c>
      <c r="X108" s="684">
        <f t="shared" si="47"/>
        <v>-104.55653535584483</v>
      </c>
      <c r="Y108" s="687">
        <f t="shared" si="48"/>
        <v>75.443464644155171</v>
      </c>
      <c r="AA108" s="170">
        <f t="shared" si="49"/>
        <v>5432.85</v>
      </c>
      <c r="AB108" s="170">
        <f t="shared" si="50"/>
        <v>29515859.122500002</v>
      </c>
      <c r="AD108" s="686">
        <f t="shared" si="51"/>
        <v>17.192518548119835</v>
      </c>
      <c r="AE108" s="687">
        <f t="shared" si="52"/>
        <v>-8.6773834293905594</v>
      </c>
      <c r="AG108" s="686">
        <f t="shared" si="53"/>
        <v>10.870665668355734</v>
      </c>
      <c r="AH108" s="687">
        <f t="shared" si="54"/>
        <v>-84.020184718053329</v>
      </c>
      <c r="AJ108" s="170">
        <f t="shared" si="55"/>
        <v>0</v>
      </c>
      <c r="AK108" s="170">
        <f t="shared" si="65"/>
        <v>0</v>
      </c>
      <c r="AM108" s="170" t="str">
        <f t="shared" si="59"/>
        <v>0.0109468063020119+0.147559411884872i</v>
      </c>
      <c r="AN108" s="170" t="str">
        <f t="shared" si="60"/>
        <v>0.148100215422959i</v>
      </c>
      <c r="AO108" s="170" t="str">
        <f t="shared" si="61"/>
        <v>0.996348394655993-0.0739148573872695i</v>
      </c>
      <c r="AP108" s="170" t="str">
        <f t="shared" si="62"/>
        <v>0.164842198949665-0.0245932353141453i</v>
      </c>
      <c r="AQ108" s="170" t="str">
        <f t="shared" si="63"/>
        <v>0.835157801050335+0.0245932353141453i</v>
      </c>
      <c r="AR108" s="170" t="str">
        <f t="shared" si="64"/>
        <v>0.996552135182921-0.0293458806617678i</v>
      </c>
    </row>
    <row r="109" spans="1:44">
      <c r="G109" s="688">
        <v>5495.4</v>
      </c>
      <c r="H109" s="676">
        <f t="shared" si="56"/>
        <v>5.4954000000000001</v>
      </c>
      <c r="I109" s="677">
        <f t="shared" si="34"/>
        <v>45.209020088345923</v>
      </c>
      <c r="J109" s="678">
        <f t="shared" si="35"/>
        <v>1.5486750430060661</v>
      </c>
      <c r="K109" s="678">
        <f t="shared" si="36"/>
        <v>1.0000288514374425</v>
      </c>
      <c r="L109" s="679">
        <f t="shared" si="37"/>
        <v>7.5961495230617293E-3</v>
      </c>
      <c r="M109" s="678">
        <f t="shared" si="38"/>
        <v>1.0004305987026814</v>
      </c>
      <c r="N109" s="679">
        <f t="shared" si="39"/>
        <v>-2.9340901374453571E-2</v>
      </c>
      <c r="O109" s="677">
        <f t="shared" si="40"/>
        <v>227888.86888648605</v>
      </c>
      <c r="P109" s="680">
        <f t="shared" si="41"/>
        <v>1.5707919386911473</v>
      </c>
      <c r="Q109" s="689">
        <f t="shared" si="42"/>
        <v>9.1702420087028909</v>
      </c>
      <c r="R109" s="690">
        <f t="shared" si="43"/>
        <v>1.4615306601827243</v>
      </c>
      <c r="S109" s="677">
        <f t="shared" si="44"/>
        <v>1.0008580341459148</v>
      </c>
      <c r="T109" s="680">
        <f t="shared" si="45"/>
        <v>4.1410652638221655E-2</v>
      </c>
      <c r="U109" s="681">
        <f t="shared" si="57"/>
        <v>0.99599196564954628</v>
      </c>
      <c r="V109" s="682">
        <f t="shared" si="58"/>
        <v>-0.10467628619585942</v>
      </c>
      <c r="W109" s="683">
        <f t="shared" si="46"/>
        <v>-13.09089098221807</v>
      </c>
      <c r="X109" s="684">
        <f t="shared" si="47"/>
        <v>-104.6088015885806</v>
      </c>
      <c r="Y109" s="687">
        <f t="shared" si="48"/>
        <v>75.391198411419396</v>
      </c>
      <c r="AA109" s="170">
        <f t="shared" si="49"/>
        <v>5495.4</v>
      </c>
      <c r="AB109" s="170">
        <f t="shared" si="50"/>
        <v>30199421.159999996</v>
      </c>
      <c r="AD109" s="686">
        <f t="shared" si="51"/>
        <v>17.191154194268996</v>
      </c>
      <c r="AE109" s="687">
        <f t="shared" si="52"/>
        <v>-8.6328657556529613</v>
      </c>
      <c r="AG109" s="686">
        <f t="shared" si="53"/>
        <v>10.772081872022472</v>
      </c>
      <c r="AH109" s="687">
        <f t="shared" si="54"/>
        <v>-83.980916990968794</v>
      </c>
      <c r="AJ109" s="170">
        <f t="shared" si="55"/>
        <v>0</v>
      </c>
      <c r="AK109" s="170">
        <f t="shared" si="65"/>
        <v>0</v>
      </c>
      <c r="AM109" s="170" t="str">
        <f t="shared" si="59"/>
        <v>0.011199850687745+0.149245652265193i</v>
      </c>
      <c r="AN109" s="170" t="str">
        <f t="shared" si="60"/>
        <v>0.149805336763454i</v>
      </c>
      <c r="AO109" s="170" t="str">
        <f t="shared" si="61"/>
        <v>0.996263921497371-0.0747626949060554i</v>
      </c>
      <c r="AP109" s="170" t="str">
        <f t="shared" si="62"/>
        <v>0.164800024885376-0.0248742753775322i</v>
      </c>
      <c r="AQ109" s="170" t="str">
        <f t="shared" si="63"/>
        <v>0.835199975114624+0.0248742753775322i</v>
      </c>
      <c r="AR109" s="170" t="str">
        <f t="shared" si="64"/>
        <v>0.996482058023313-0.0296776459034738i</v>
      </c>
    </row>
    <row r="110" spans="1:44">
      <c r="G110" s="688">
        <v>5559.4</v>
      </c>
      <c r="H110" s="676">
        <f t="shared" si="56"/>
        <v>5.5593999999999992</v>
      </c>
      <c r="I110" s="677">
        <f t="shared" si="34"/>
        <v>45.735272914983014</v>
      </c>
      <c r="J110" s="678">
        <f t="shared" si="35"/>
        <v>1.5489296223273792</v>
      </c>
      <c r="K110" s="678">
        <f t="shared" si="36"/>
        <v>1.0000295273543169</v>
      </c>
      <c r="L110" s="679">
        <f t="shared" si="37"/>
        <v>7.6846116078161273E-3</v>
      </c>
      <c r="M110" s="678">
        <f t="shared" si="38"/>
        <v>1.0004406844782479</v>
      </c>
      <c r="N110" s="679">
        <f t="shared" si="39"/>
        <v>-2.9682409046722674E-2</v>
      </c>
      <c r="O110" s="677">
        <f t="shared" si="40"/>
        <v>230542.88635718077</v>
      </c>
      <c r="P110" s="680">
        <f t="shared" si="41"/>
        <v>1.5707919892071454</v>
      </c>
      <c r="Q110" s="689">
        <f t="shared" si="42"/>
        <v>9.2757768363754831</v>
      </c>
      <c r="R110" s="690">
        <f t="shared" si="43"/>
        <v>1.4627787125052809</v>
      </c>
      <c r="S110" s="677">
        <f t="shared" si="44"/>
        <v>1.0008781272140483</v>
      </c>
      <c r="T110" s="680">
        <f t="shared" si="45"/>
        <v>4.1892364595285253E-2</v>
      </c>
      <c r="U110" s="681">
        <f t="shared" si="57"/>
        <v>0.99590788003272157</v>
      </c>
      <c r="V110" s="682">
        <f t="shared" si="58"/>
        <v>-0.10589093411339408</v>
      </c>
      <c r="W110" s="683">
        <f t="shared" si="46"/>
        <v>-13.193411253069684</v>
      </c>
      <c r="X110" s="684">
        <f t="shared" si="47"/>
        <v>-104.66357537850404</v>
      </c>
      <c r="Y110" s="687">
        <f t="shared" si="48"/>
        <v>75.336424621495965</v>
      </c>
      <c r="AA110" s="170">
        <f t="shared" si="49"/>
        <v>5559.4</v>
      </c>
      <c r="AB110" s="170">
        <f t="shared" si="50"/>
        <v>30906928.359999996</v>
      </c>
      <c r="AD110" s="686">
        <f t="shared" si="51"/>
        <v>17.189797440074372</v>
      </c>
      <c r="AE110" s="687">
        <f t="shared" si="52"/>
        <v>-8.5889605813430201</v>
      </c>
      <c r="AG110" s="686">
        <f t="shared" si="53"/>
        <v>10.672385012215535</v>
      </c>
      <c r="AH110" s="687">
        <f t="shared" si="54"/>
        <v>-83.940407556504965</v>
      </c>
      <c r="AJ110" s="170">
        <f t="shared" si="55"/>
        <v>0</v>
      </c>
      <c r="AK110" s="170">
        <f t="shared" si="65"/>
        <v>0</v>
      </c>
      <c r="AM110" s="170" t="str">
        <f t="shared" si="59"/>
        <v>0.011461736617888+0.150970532984014i</v>
      </c>
      <c r="AN110" s="170" t="str">
        <f t="shared" si="60"/>
        <v>0.151549985297293i</v>
      </c>
      <c r="AO110" s="170" t="str">
        <f t="shared" si="61"/>
        <v>0.996176493767767-0.0756300740999988i</v>
      </c>
      <c r="AP110" s="170" t="str">
        <f t="shared" si="62"/>
        <v>0.164756377230352-0.0251617554973357i</v>
      </c>
      <c r="AQ110" s="170" t="str">
        <f t="shared" si="63"/>
        <v>0.835243622769648+0.0251617554973357i</v>
      </c>
      <c r="AR110" s="170" t="str">
        <f t="shared" si="64"/>
        <v>0.996409550147525-0.0300168870405572i</v>
      </c>
    </row>
    <row r="111" spans="1:44">
      <c r="G111" s="688">
        <v>5623.4</v>
      </c>
      <c r="H111" s="676">
        <f t="shared" si="56"/>
        <v>5.6233999999999993</v>
      </c>
      <c r="I111" s="677">
        <f t="shared" si="34"/>
        <v>46.261528638314303</v>
      </c>
      <c r="J111" s="678">
        <f t="shared" si="35"/>
        <v>1.5491784096455785</v>
      </c>
      <c r="K111" s="678">
        <f t="shared" si="36"/>
        <v>1.0000302110969526</v>
      </c>
      <c r="L111" s="679">
        <f t="shared" si="37"/>
        <v>7.7730735722958445E-3</v>
      </c>
      <c r="M111" s="678">
        <f t="shared" si="38"/>
        <v>1.0004508869303399</v>
      </c>
      <c r="N111" s="679">
        <f t="shared" si="39"/>
        <v>-3.0023909793528713E-2</v>
      </c>
      <c r="O111" s="677">
        <f t="shared" si="40"/>
        <v>233196.90382787611</v>
      </c>
      <c r="P111" s="680">
        <f t="shared" si="41"/>
        <v>1.5707920385732967</v>
      </c>
      <c r="Q111" s="689">
        <f t="shared" si="42"/>
        <v>9.3813257872356353</v>
      </c>
      <c r="R111" s="690">
        <f t="shared" si="43"/>
        <v>1.4639986831112202</v>
      </c>
      <c r="S111" s="677">
        <f t="shared" si="44"/>
        <v>1.0008984525230016</v>
      </c>
      <c r="T111" s="680">
        <f t="shared" si="45"/>
        <v>4.2374057099808994E-2</v>
      </c>
      <c r="U111" s="681">
        <f t="shared" si="57"/>
        <v>0.9958228413182123</v>
      </c>
      <c r="V111" s="682">
        <f t="shared" si="58"/>
        <v>-0.10710542931603338</v>
      </c>
      <c r="W111" s="683">
        <f t="shared" si="46"/>
        <v>-13.294751457140856</v>
      </c>
      <c r="X111" s="684">
        <f t="shared" si="47"/>
        <v>-104.71961595468191</v>
      </c>
      <c r="Y111" s="687">
        <f t="shared" si="48"/>
        <v>75.280384045318087</v>
      </c>
      <c r="AA111" s="170">
        <f t="shared" si="49"/>
        <v>5623.4</v>
      </c>
      <c r="AB111" s="170">
        <f t="shared" si="50"/>
        <v>31622627.559999995</v>
      </c>
      <c r="AD111" s="686">
        <f t="shared" si="51"/>
        <v>17.188478508055642</v>
      </c>
      <c r="AE111" s="687">
        <f t="shared" si="52"/>
        <v>-8.5466631904487684</v>
      </c>
      <c r="AG111" s="686">
        <f t="shared" si="53"/>
        <v>10.57384714729584</v>
      </c>
      <c r="AH111" s="687">
        <f t="shared" si="54"/>
        <v>-83.899574624717815</v>
      </c>
      <c r="AJ111" s="170">
        <f t="shared" si="55"/>
        <v>0</v>
      </c>
      <c r="AK111" s="170">
        <f t="shared" si="65"/>
        <v>0</v>
      </c>
      <c r="AM111" s="170" t="str">
        <f t="shared" si="59"/>
        <v>0.011726631458557+0.15269495417907i</v>
      </c>
      <c r="AN111" s="170" t="str">
        <f t="shared" si="60"/>
        <v>0.153294633831133i</v>
      </c>
      <c r="AO111" s="170" t="str">
        <f t="shared" si="61"/>
        <v>0.996088058420078-0.0764973382660927i</v>
      </c>
      <c r="AP111" s="170" t="str">
        <f t="shared" si="62"/>
        <v>0.16471222809024-0.025449159029845i</v>
      </c>
      <c r="AQ111" s="170" t="str">
        <f t="shared" si="63"/>
        <v>0.83528777190976+0.025449159029845i</v>
      </c>
      <c r="AR111" s="170" t="str">
        <f t="shared" si="64"/>
        <v>0.996336227641024-0.0303559084152037i</v>
      </c>
    </row>
    <row r="112" spans="1:44">
      <c r="G112" s="688">
        <v>5688.9</v>
      </c>
      <c r="H112" s="676">
        <f t="shared" si="56"/>
        <v>5.6888999999999994</v>
      </c>
      <c r="I112" s="677">
        <f t="shared" si="34"/>
        <v>46.80012137751735</v>
      </c>
      <c r="J112" s="678">
        <f t="shared" si="35"/>
        <v>1.5494272345581903</v>
      </c>
      <c r="K112" s="678">
        <f t="shared" si="36"/>
        <v>1.000030918967824</v>
      </c>
      <c r="L112" s="679">
        <f t="shared" si="37"/>
        <v>7.8636087380874152E-3</v>
      </c>
      <c r="M112" s="678">
        <f t="shared" si="38"/>
        <v>1.0004614493091588</v>
      </c>
      <c r="N112" s="679">
        <f t="shared" si="39"/>
        <v>-3.0373407210351876E-2</v>
      </c>
      <c r="O112" s="677">
        <f t="shared" si="40"/>
        <v>235913.12483304142</v>
      </c>
      <c r="P112" s="680">
        <f t="shared" si="41"/>
        <v>1.5707920879463768</v>
      </c>
      <c r="Q112" s="689">
        <f t="shared" si="42"/>
        <v>9.4893626734351493</v>
      </c>
      <c r="R112" s="690">
        <f t="shared" si="43"/>
        <v>1.4652191442045641</v>
      </c>
      <c r="S112" s="677">
        <f t="shared" si="44"/>
        <v>1.000919494660941</v>
      </c>
      <c r="T112" s="680">
        <f t="shared" si="45"/>
        <v>4.2867018898630496E-2</v>
      </c>
      <c r="U112" s="681">
        <f t="shared" si="57"/>
        <v>0.99573482337198149</v>
      </c>
      <c r="V112" s="682">
        <f t="shared" si="58"/>
        <v>-0.10834822934477083</v>
      </c>
      <c r="W112" s="683">
        <f t="shared" si="46"/>
        <v>-13.397273890305073</v>
      </c>
      <c r="X112" s="684">
        <f t="shared" si="47"/>
        <v>-104.7782374022362</v>
      </c>
      <c r="Y112" s="687">
        <f t="shared" si="48"/>
        <v>75.221762597763799</v>
      </c>
      <c r="AA112" s="170">
        <f t="shared" si="49"/>
        <v>5688.9</v>
      </c>
      <c r="AB112" s="170">
        <f t="shared" si="50"/>
        <v>32363583.209999997</v>
      </c>
      <c r="AD112" s="686">
        <f t="shared" si="51"/>
        <v>17.187165983600707</v>
      </c>
      <c r="AE112" s="687">
        <f t="shared" si="52"/>
        <v>-8.504983380095366</v>
      </c>
      <c r="AG112" s="686">
        <f t="shared" si="53"/>
        <v>10.474172748566877</v>
      </c>
      <c r="AH112" s="687">
        <f t="shared" si="54"/>
        <v>-83.857461489611993</v>
      </c>
      <c r="AJ112" s="170">
        <f t="shared" si="55"/>
        <v>0</v>
      </c>
      <c r="AK112" s="170">
        <f t="shared" si="65"/>
        <v>0</v>
      </c>
      <c r="AM112" s="170" t="str">
        <f t="shared" si="59"/>
        <v>0.012000849449581+0.154459310213565i</v>
      </c>
      <c r="AN112" s="170" t="str">
        <f t="shared" si="60"/>
        <v>0.155080172564984i</v>
      </c>
      <c r="AO112" s="170" t="str">
        <f t="shared" si="61"/>
        <v>0.995996507218492-0.0773848084580395i</v>
      </c>
      <c r="AP112" s="170" t="str">
        <f t="shared" si="62"/>
        <v>0.164666525091736-0.0257432183689275i</v>
      </c>
      <c r="AQ112" s="170" t="str">
        <f t="shared" si="63"/>
        <v>0.835333474908264+0.0257432183689275i</v>
      </c>
      <c r="AR112" s="170" t="str">
        <f t="shared" si="64"/>
        <v>0.996260344029343-0.0307026455410119i</v>
      </c>
    </row>
    <row r="113" spans="7:44">
      <c r="G113" s="688">
        <v>5754.4</v>
      </c>
      <c r="H113" s="676">
        <f t="shared" si="56"/>
        <v>5.7543999999999995</v>
      </c>
      <c r="I113" s="677">
        <f t="shared" si="34"/>
        <v>47.338716948361501</v>
      </c>
      <c r="J113" s="678">
        <f t="shared" si="35"/>
        <v>1.549670397481848</v>
      </c>
      <c r="K113" s="678">
        <f t="shared" si="36"/>
        <v>1.0000316350355534</v>
      </c>
      <c r="L113" s="679">
        <f t="shared" si="37"/>
        <v>7.9541437749665444E-3</v>
      </c>
      <c r="M113" s="678">
        <f t="shared" si="38"/>
        <v>1.0004721338901983</v>
      </c>
      <c r="N113" s="679">
        <f t="shared" si="39"/>
        <v>-3.072289720492145E-2</v>
      </c>
      <c r="O113" s="677">
        <f t="shared" si="40"/>
        <v>238629.34583820731</v>
      </c>
      <c r="P113" s="680">
        <f t="shared" si="41"/>
        <v>1.5707921361954693</v>
      </c>
      <c r="Q113" s="689">
        <f t="shared" si="42"/>
        <v>9.5974133760442548</v>
      </c>
      <c r="R113" s="690">
        <f t="shared" si="43"/>
        <v>1.4664121263709187</v>
      </c>
      <c r="S113" s="677">
        <f t="shared" si="44"/>
        <v>1.0009407800234023</v>
      </c>
      <c r="T113" s="680">
        <f t="shared" si="45"/>
        <v>4.3359959851221298E-2</v>
      </c>
      <c r="U113" s="681">
        <f t="shared" si="57"/>
        <v>0.99564580861867868</v>
      </c>
      <c r="V113" s="682">
        <f t="shared" si="58"/>
        <v>-0.1095908658039761</v>
      </c>
      <c r="W113" s="683">
        <f t="shared" si="46"/>
        <v>-13.498618041305923</v>
      </c>
      <c r="X113" s="684">
        <f t="shared" si="47"/>
        <v>-104.83809781974092</v>
      </c>
      <c r="Y113" s="687">
        <f t="shared" si="48"/>
        <v>75.161902180259077</v>
      </c>
      <c r="AA113" s="170">
        <f t="shared" si="49"/>
        <v>5754.4</v>
      </c>
      <c r="AB113" s="170">
        <f t="shared" si="50"/>
        <v>33113119.359999996</v>
      </c>
      <c r="AD113" s="686">
        <f t="shared" si="51"/>
        <v>17.185889437373941</v>
      </c>
      <c r="AE113" s="687">
        <f t="shared" si="52"/>
        <v>-8.4648767374850298</v>
      </c>
      <c r="AG113" s="686">
        <f t="shared" si="53"/>
        <v>10.375658181542462</v>
      </c>
      <c r="AH113" s="687">
        <f t="shared" si="54"/>
        <v>-83.815032900401263</v>
      </c>
      <c r="AJ113" s="170">
        <f t="shared" si="55"/>
        <v>0</v>
      </c>
      <c r="AK113" s="170">
        <f t="shared" si="65"/>
        <v>0</v>
      </c>
      <c r="AM113" s="170" t="str">
        <f t="shared" si="59"/>
        <v>0.012278217327847+0.156223173808961i</v>
      </c>
      <c r="AN113" s="170" t="str">
        <f t="shared" si="60"/>
        <v>0.156865711298835i</v>
      </c>
      <c r="AO113" s="170" t="str">
        <f t="shared" si="61"/>
        <v>0.995903900957361-0.0782721553753487i</v>
      </c>
      <c r="AP113" s="170" t="str">
        <f t="shared" si="62"/>
        <v>0.164620297112025-0.0260371956348268i</v>
      </c>
      <c r="AQ113" s="170" t="str">
        <f t="shared" si="63"/>
        <v>0.835379702887975+0.0260371956348268i</v>
      </c>
      <c r="AR113" s="170" t="str">
        <f t="shared" si="64"/>
        <v>0.996183608960539-0.0310491473817765i</v>
      </c>
    </row>
    <row r="114" spans="7:44">
      <c r="G114" s="688">
        <v>5821.4</v>
      </c>
      <c r="H114" s="676">
        <f t="shared" si="56"/>
        <v>5.8213999999999997</v>
      </c>
      <c r="I114" s="677">
        <f t="shared" si="34"/>
        <v>47.889649598972909</v>
      </c>
      <c r="J114" s="678">
        <f t="shared" si="35"/>
        <v>1.54991347017857</v>
      </c>
      <c r="K114" s="678">
        <f t="shared" si="36"/>
        <v>1.0000323759823411</v>
      </c>
      <c r="L114" s="679">
        <f t="shared" si="37"/>
        <v>8.046751998379429E-3</v>
      </c>
      <c r="M114" s="678">
        <f t="shared" si="38"/>
        <v>1.0004831895842687</v>
      </c>
      <c r="N114" s="679">
        <f t="shared" si="39"/>
        <v>-3.1080383019234437E-2</v>
      </c>
      <c r="O114" s="677">
        <f t="shared" si="40"/>
        <v>241407.77037784318</v>
      </c>
      <c r="P114" s="680">
        <f t="shared" si="41"/>
        <v>1.5707921844261632</v>
      </c>
      <c r="Q114" s="689">
        <f t="shared" si="42"/>
        <v>9.7079523359193693</v>
      </c>
      <c r="R114" s="690">
        <f t="shared" si="43"/>
        <v>1.4676049517315957</v>
      </c>
      <c r="S114" s="677">
        <f t="shared" si="44"/>
        <v>1.0009628044640762</v>
      </c>
      <c r="T114" s="680">
        <f t="shared" si="45"/>
        <v>4.3864167711778881E-2</v>
      </c>
      <c r="U114" s="681">
        <f t="shared" si="57"/>
        <v>0.99555372484847249</v>
      </c>
      <c r="V114" s="682">
        <f t="shared" si="58"/>
        <v>-0.11086178845381105</v>
      </c>
      <c r="W114" s="683">
        <f t="shared" si="46"/>
        <v>-13.601092836619271</v>
      </c>
      <c r="X114" s="684">
        <f t="shared" si="47"/>
        <v>-104.90056761837815</v>
      </c>
      <c r="Y114" s="687">
        <f t="shared" si="48"/>
        <v>75.099432381621853</v>
      </c>
      <c r="AA114" s="170">
        <f t="shared" si="49"/>
        <v>5821.4</v>
      </c>
      <c r="AB114" s="170">
        <f t="shared" si="50"/>
        <v>33888697.959999993</v>
      </c>
      <c r="AD114" s="686">
        <f t="shared" si="51"/>
        <v>17.184619120239745</v>
      </c>
      <c r="AE114" s="687">
        <f t="shared" si="52"/>
        <v>-8.4254246243994544</v>
      </c>
      <c r="AG114" s="686">
        <f t="shared" si="53"/>
        <v>10.276060432277404</v>
      </c>
      <c r="AH114" s="687">
        <f t="shared" si="54"/>
        <v>-83.771317804111391</v>
      </c>
      <c r="AJ114" s="170">
        <f t="shared" si="55"/>
        <v>0</v>
      </c>
      <c r="AK114" s="170">
        <f t="shared" si="65"/>
        <v>0</v>
      </c>
      <c r="AM114" s="170" t="str">
        <f t="shared" si="59"/>
        <v>0.012565195135762+0.158026915880571i</v>
      </c>
      <c r="AN114" s="170" t="str">
        <f t="shared" si="60"/>
        <v>0.158692140232698i</v>
      </c>
      <c r="AO114" s="170" t="str">
        <f t="shared" si="61"/>
        <v>0.995808082548061-0.0791796942012191i</v>
      </c>
      <c r="AP114" s="170" t="str">
        <f t="shared" si="62"/>
        <v>0.164572467477373-0.0263378193134285i</v>
      </c>
      <c r="AQ114" s="170" t="str">
        <f t="shared" si="63"/>
        <v>0.835427532522627+0.0263378193134285i</v>
      </c>
      <c r="AR114" s="170" t="str">
        <f t="shared" si="64"/>
        <v>0.996104236639254-0.0314033382676848i</v>
      </c>
    </row>
    <row r="115" spans="7:44">
      <c r="G115" s="688">
        <v>5888.4</v>
      </c>
      <c r="H115" s="676">
        <f t="shared" si="56"/>
        <v>5.8883999999999999</v>
      </c>
      <c r="I115" s="677">
        <f t="shared" si="34"/>
        <v>48.440585014749828</v>
      </c>
      <c r="J115" s="678">
        <f t="shared" si="35"/>
        <v>1.5501510137503371</v>
      </c>
      <c r="K115" s="678">
        <f t="shared" si="36"/>
        <v>1.0000331255056767</v>
      </c>
      <c r="L115" s="679">
        <f t="shared" si="37"/>
        <v>8.139360083767094E-3</v>
      </c>
      <c r="M115" s="678">
        <f t="shared" si="38"/>
        <v>1.0004943731333613</v>
      </c>
      <c r="N115" s="679">
        <f t="shared" si="39"/>
        <v>-3.1437860887261561E-2</v>
      </c>
      <c r="O115" s="677">
        <f t="shared" si="40"/>
        <v>244186.19491747962</v>
      </c>
      <c r="P115" s="680">
        <f t="shared" si="41"/>
        <v>1.5707922315592904</v>
      </c>
      <c r="Q115" s="689">
        <f t="shared" si="42"/>
        <v>9.8185047975566899</v>
      </c>
      <c r="R115" s="690">
        <f t="shared" si="43"/>
        <v>1.4687709172413148</v>
      </c>
      <c r="S115" s="677">
        <f t="shared" si="44"/>
        <v>1.0009850833638505</v>
      </c>
      <c r="T115" s="680">
        <f t="shared" si="45"/>
        <v>4.4368353256225304E-2</v>
      </c>
      <c r="U115" s="681">
        <f t="shared" si="57"/>
        <v>0.99546059972378853</v>
      </c>
      <c r="V115" s="682">
        <f t="shared" si="58"/>
        <v>-0.11213253609783921</v>
      </c>
      <c r="W115" s="683">
        <f t="shared" si="46"/>
        <v>-13.702392308770918</v>
      </c>
      <c r="X115" s="684">
        <f t="shared" si="47"/>
        <v>-104.96424776161123</v>
      </c>
      <c r="Y115" s="687">
        <f t="shared" si="48"/>
        <v>75.035752238388767</v>
      </c>
      <c r="AA115" s="170">
        <f t="shared" si="49"/>
        <v>5888.4</v>
      </c>
      <c r="AB115" s="170">
        <f t="shared" si="50"/>
        <v>34673254.559999995</v>
      </c>
      <c r="AD115" s="686">
        <f t="shared" si="51"/>
        <v>17.18338297285894</v>
      </c>
      <c r="AE115" s="687">
        <f t="shared" si="52"/>
        <v>-8.3875101259089586</v>
      </c>
      <c r="AG115" s="686">
        <f t="shared" si="53"/>
        <v>10.177622157705638</v>
      </c>
      <c r="AH115" s="687">
        <f t="shared" si="54"/>
        <v>-83.727295492010597</v>
      </c>
      <c r="AJ115" s="170">
        <f t="shared" si="55"/>
        <v>0</v>
      </c>
      <c r="AK115" s="170">
        <f t="shared" si="65"/>
        <v>0</v>
      </c>
      <c r="AM115" s="170" t="str">
        <f t="shared" si="59"/>
        <v>0.012855466869898+0.159830130799401i</v>
      </c>
      <c r="AN115" s="170" t="str">
        <f t="shared" si="60"/>
        <v>0.160518569166561i</v>
      </c>
      <c r="AO115" s="170" t="str">
        <f t="shared" si="61"/>
        <v>0.995711160579524-0.0800871010540756i</v>
      </c>
      <c r="AP115" s="170" t="str">
        <f t="shared" si="62"/>
        <v>0.164524088855017-0.0266383551332335i</v>
      </c>
      <c r="AQ115" s="170" t="str">
        <f t="shared" si="63"/>
        <v>0.835475911144983+0.0266383551332335i</v>
      </c>
      <c r="AR115" s="170" t="str">
        <f t="shared" si="64"/>
        <v>0.996023975392335-0.0317572775274329i</v>
      </c>
    </row>
    <row r="116" spans="7:44">
      <c r="G116" s="688">
        <v>5957</v>
      </c>
      <c r="H116" s="676">
        <f t="shared" si="56"/>
        <v>5.9569999999999999</v>
      </c>
      <c r="I116" s="677">
        <f t="shared" si="34"/>
        <v>49.004679864778169</v>
      </c>
      <c r="J116" s="678">
        <f t="shared" si="35"/>
        <v>1.5503886959720525</v>
      </c>
      <c r="K116" s="678">
        <f t="shared" si="36"/>
        <v>1.0000339018142701</v>
      </c>
      <c r="L116" s="679">
        <f t="shared" si="37"/>
        <v>8.2341795608548742E-3</v>
      </c>
      <c r="M116" s="678">
        <f t="shared" si="38"/>
        <v>1.0005059562191652</v>
      </c>
      <c r="N116" s="679">
        <f t="shared" si="39"/>
        <v>-3.1803867211865185E-2</v>
      </c>
      <c r="O116" s="677">
        <f t="shared" si="40"/>
        <v>247030.96989388403</v>
      </c>
      <c r="P116" s="680">
        <f t="shared" si="41"/>
        <v>1.5707922787194653</v>
      </c>
      <c r="Q116" s="689">
        <f t="shared" si="42"/>
        <v>9.9317108363635356</v>
      </c>
      <c r="R116" s="690">
        <f t="shared" si="43"/>
        <v>1.4699378305307098</v>
      </c>
      <c r="S116" s="677">
        <f t="shared" si="44"/>
        <v>1.0010081579259174</v>
      </c>
      <c r="T116" s="680">
        <f t="shared" si="45"/>
        <v>4.488455566448725E-2</v>
      </c>
      <c r="U116" s="681">
        <f t="shared" si="57"/>
        <v>0.99536417263699772</v>
      </c>
      <c r="V116" s="682">
        <f t="shared" si="58"/>
        <v>-0.11343344659536483</v>
      </c>
      <c r="W116" s="683">
        <f t="shared" si="46"/>
        <v>-13.804921909264941</v>
      </c>
      <c r="X116" s="684">
        <f t="shared" si="47"/>
        <v>-105.03066020761814</v>
      </c>
      <c r="Y116" s="687">
        <f t="shared" si="48"/>
        <v>74.969339792381859</v>
      </c>
      <c r="AA116" s="170">
        <f t="shared" si="49"/>
        <v>5957</v>
      </c>
      <c r="AB116" s="170">
        <f t="shared" si="50"/>
        <v>35485849</v>
      </c>
      <c r="AD116" s="686">
        <f t="shared" si="51"/>
        <v>17.182151024604334</v>
      </c>
      <c r="AE116" s="687">
        <f t="shared" si="52"/>
        <v>-8.3502298407731761</v>
      </c>
      <c r="AG116" s="686">
        <f t="shared" si="53"/>
        <v>10.078007335710788</v>
      </c>
      <c r="AH116" s="687">
        <f t="shared" si="54"/>
        <v>-83.681914860917956</v>
      </c>
      <c r="AJ116" s="170">
        <f t="shared" si="55"/>
        <v>0</v>
      </c>
      <c r="AK116" s="170">
        <f t="shared" si="65"/>
        <v>0</v>
      </c>
      <c r="AM116" s="170" t="str">
        <f t="shared" si="59"/>
        <v>0.013156082311868+0.161675855098836i</v>
      </c>
      <c r="AN116" s="170" t="str">
        <f t="shared" si="60"/>
        <v>0.16238861431377i</v>
      </c>
      <c r="AO116" s="170" t="str">
        <f t="shared" si="61"/>
        <v>0.995610780854643-0.0810160390090379i</v>
      </c>
      <c r="AP116" s="170" t="str">
        <f t="shared" si="62"/>
        <v>0.164473986281355-0.026945975849806i</v>
      </c>
      <c r="AQ116" s="170" t="str">
        <f t="shared" si="63"/>
        <v>0.835526013718645+0.026945975849806i</v>
      </c>
      <c r="AR116" s="170" t="str">
        <f t="shared" si="64"/>
        <v>0.995940877497972-0.0321194054909844i</v>
      </c>
    </row>
    <row r="117" spans="7:44">
      <c r="G117" s="688">
        <v>6025.6</v>
      </c>
      <c r="H117" s="676">
        <f t="shared" si="56"/>
        <v>6.0256000000000007</v>
      </c>
      <c r="I117" s="677">
        <f t="shared" si="34"/>
        <v>49.568777420210552</v>
      </c>
      <c r="J117" s="678">
        <f t="shared" si="35"/>
        <v>1.5506209685125876</v>
      </c>
      <c r="K117" s="678">
        <f t="shared" si="36"/>
        <v>1.0000346871138874</v>
      </c>
      <c r="L117" s="679">
        <f t="shared" si="37"/>
        <v>8.3289988898769176E-3</v>
      </c>
      <c r="M117" s="678">
        <f t="shared" si="38"/>
        <v>1.000517673330263</v>
      </c>
      <c r="N117" s="679">
        <f t="shared" si="39"/>
        <v>-3.216986501286144E-2</v>
      </c>
      <c r="O117" s="677">
        <f t="shared" si="40"/>
        <v>249875.74487028903</v>
      </c>
      <c r="P117" s="680">
        <f t="shared" si="41"/>
        <v>1.570792324805826</v>
      </c>
      <c r="Q117" s="689">
        <f t="shared" si="42"/>
        <v>10.044930094210255</v>
      </c>
      <c r="R117" s="690">
        <f t="shared" si="43"/>
        <v>1.4710784401225037</v>
      </c>
      <c r="S117" s="677">
        <f t="shared" si="44"/>
        <v>1.0010314992092111</v>
      </c>
      <c r="T117" s="680">
        <f t="shared" si="45"/>
        <v>4.5400734137465121E-2</v>
      </c>
      <c r="U117" s="681">
        <f t="shared" si="57"/>
        <v>0.9952666556530626</v>
      </c>
      <c r="V117" s="682">
        <f t="shared" si="58"/>
        <v>-0.11473416949829837</v>
      </c>
      <c r="W117" s="683">
        <f t="shared" si="46"/>
        <v>-13.906276850496385</v>
      </c>
      <c r="X117" s="684">
        <f t="shared" si="47"/>
        <v>-105.09825713140701</v>
      </c>
      <c r="Y117" s="687">
        <f t="shared" si="48"/>
        <v>74.90174286859299</v>
      </c>
      <c r="AA117" s="170">
        <f t="shared" si="49"/>
        <v>6025.6</v>
      </c>
      <c r="AB117" s="170">
        <f t="shared" si="50"/>
        <v>36307855.360000007</v>
      </c>
      <c r="AD117" s="686">
        <f t="shared" si="51"/>
        <v>17.180951570665762</v>
      </c>
      <c r="AE117" s="687">
        <f t="shared" si="52"/>
        <v>-8.3144552135814749</v>
      </c>
      <c r="AG117" s="686">
        <f t="shared" si="53"/>
        <v>9.9795538651835329</v>
      </c>
      <c r="AH117" s="687">
        <f t="shared" si="54"/>
        <v>-83.636234546420027</v>
      </c>
      <c r="AJ117" s="170">
        <f t="shared" si="55"/>
        <v>0</v>
      </c>
      <c r="AK117" s="170">
        <f t="shared" si="65"/>
        <v>0</v>
      </c>
      <c r="AM117" s="170" t="str">
        <f t="shared" si="59"/>
        <v>0.01346014881396+0.16352101400684i</v>
      </c>
      <c r="AN117" s="170" t="str">
        <f t="shared" si="60"/>
        <v>0.16425865946098i</v>
      </c>
      <c r="AO117" s="170" t="str">
        <f t="shared" si="61"/>
        <v>0.995509244647676-0.0819448354085557i</v>
      </c>
      <c r="AP117" s="170" t="str">
        <f t="shared" si="62"/>
        <v>0.164423308531007-0.0272535023344733i</v>
      </c>
      <c r="AQ117" s="170" t="str">
        <f t="shared" si="63"/>
        <v>0.835576691468993+0.0272535023344733i</v>
      </c>
      <c r="AR117" s="170" t="str">
        <f t="shared" si="64"/>
        <v>0.995856849880427-0.032481263850602i</v>
      </c>
    </row>
    <row r="118" spans="7:44">
      <c r="G118" s="688">
        <v>6095.8</v>
      </c>
      <c r="H118" s="676">
        <f t="shared" si="56"/>
        <v>6.0958000000000006</v>
      </c>
      <c r="I118" s="677">
        <f t="shared" si="34"/>
        <v>50.14603447547443</v>
      </c>
      <c r="J118" s="678">
        <f t="shared" si="35"/>
        <v>1.550853248518316</v>
      </c>
      <c r="K118" s="678">
        <f t="shared" si="36"/>
        <v>1.0000355000375329</v>
      </c>
      <c r="L118" s="679">
        <f t="shared" si="37"/>
        <v>8.4260295933742228E-3</v>
      </c>
      <c r="M118" s="678">
        <f t="shared" si="38"/>
        <v>1.0005298024725178</v>
      </c>
      <c r="N118" s="679">
        <f t="shared" si="39"/>
        <v>-3.2544390279603867E-2</v>
      </c>
      <c r="O118" s="677">
        <f t="shared" si="40"/>
        <v>252786.87028346199</v>
      </c>
      <c r="P118" s="680">
        <f t="shared" si="41"/>
        <v>1.5707923708932356</v>
      </c>
      <c r="Q118" s="689">
        <f t="shared" si="42"/>
        <v>10.160803258538792</v>
      </c>
      <c r="R118" s="690">
        <f t="shared" si="43"/>
        <v>1.4722193360767626</v>
      </c>
      <c r="S118" s="677">
        <f t="shared" si="44"/>
        <v>1.0010556610012757</v>
      </c>
      <c r="T118" s="680">
        <f t="shared" si="45"/>
        <v>4.592892669410456E-2</v>
      </c>
      <c r="U118" s="681">
        <f t="shared" si="57"/>
        <v>0.99516573685517307</v>
      </c>
      <c r="V118" s="682">
        <f t="shared" si="58"/>
        <v>-0.11606503357668793</v>
      </c>
      <c r="W118" s="683">
        <f t="shared" si="46"/>
        <v>-14.008808425754189</v>
      </c>
      <c r="X118" s="684">
        <f t="shared" si="47"/>
        <v>-105.16861527942712</v>
      </c>
      <c r="Y118" s="687">
        <f t="shared" si="48"/>
        <v>74.831384720572885</v>
      </c>
      <c r="AA118" s="170">
        <f t="shared" si="49"/>
        <v>6095.8</v>
      </c>
      <c r="AB118" s="170">
        <f t="shared" si="50"/>
        <v>37158777.640000001</v>
      </c>
      <c r="AD118" s="686">
        <f t="shared" si="51"/>
        <v>17.179756169499399</v>
      </c>
      <c r="AE118" s="687">
        <f t="shared" si="52"/>
        <v>-8.2793525353785</v>
      </c>
      <c r="AG118" s="686">
        <f t="shared" si="53"/>
        <v>9.8799792571617076</v>
      </c>
      <c r="AH118" s="687">
        <f t="shared" si="54"/>
        <v>-83.589189582874255</v>
      </c>
      <c r="AJ118" s="170">
        <f t="shared" si="55"/>
        <v>0</v>
      </c>
      <c r="AK118" s="170">
        <f t="shared" si="65"/>
        <v>0</v>
      </c>
      <c r="AM118" s="170" t="str">
        <f t="shared" si="59"/>
        <v>0.013774878872256+0.165408616633376i</v>
      </c>
      <c r="AN118" s="170" t="str">
        <f t="shared" si="60"/>
        <v>0.166172320821535i</v>
      </c>
      <c r="AO118" s="170" t="str">
        <f t="shared" si="61"/>
        <v>0.995404143214807-0.0828951464609433i</v>
      </c>
      <c r="AP118" s="170" t="str">
        <f t="shared" si="62"/>
        <v>0.164370853521291-0.0275681027722293i</v>
      </c>
      <c r="AQ118" s="170" t="str">
        <f t="shared" si="63"/>
        <v>0.835629146478709+0.0275681027722293i</v>
      </c>
      <c r="AR118" s="170" t="str">
        <f t="shared" si="64"/>
        <v>0.995769901093485-0.0328512798847631i</v>
      </c>
    </row>
    <row r="119" spans="7:44">
      <c r="G119" s="688">
        <v>6166</v>
      </c>
      <c r="H119" s="676">
        <f t="shared" si="56"/>
        <v>6.1660000000000004</v>
      </c>
      <c r="I119" s="677">
        <f t="shared" si="34"/>
        <v>50.723294174735678</v>
      </c>
      <c r="J119" s="678">
        <f t="shared" si="35"/>
        <v>1.5510802415810849</v>
      </c>
      <c r="K119" s="678">
        <f t="shared" si="36"/>
        <v>1.0000363223764548</v>
      </c>
      <c r="L119" s="679">
        <f t="shared" si="37"/>
        <v>8.5230601382066135E-3</v>
      </c>
      <c r="M119" s="678">
        <f t="shared" si="38"/>
        <v>1.000542071954849</v>
      </c>
      <c r="N119" s="679">
        <f t="shared" si="39"/>
        <v>-3.2918906413395198E-2</v>
      </c>
      <c r="O119" s="677">
        <f t="shared" si="40"/>
        <v>255697.99569663545</v>
      </c>
      <c r="P119" s="680">
        <f t="shared" si="41"/>
        <v>1.5707924159312339</v>
      </c>
      <c r="Q119" s="689">
        <f t="shared" si="42"/>
        <v>10.276689350352211</v>
      </c>
      <c r="R119" s="690">
        <f t="shared" si="43"/>
        <v>1.4733345026059557</v>
      </c>
      <c r="S119" s="677">
        <f t="shared" si="44"/>
        <v>1.0010801020617066</v>
      </c>
      <c r="T119" s="680">
        <f t="shared" si="45"/>
        <v>4.6457093606774795E-2</v>
      </c>
      <c r="U119" s="681">
        <f t="shared" si="57"/>
        <v>0.99506367868417733</v>
      </c>
      <c r="V119" s="682">
        <f t="shared" si="58"/>
        <v>-0.11739569679070279</v>
      </c>
      <c r="W119" s="683">
        <f t="shared" si="46"/>
        <v>-14.110167256315126</v>
      </c>
      <c r="X119" s="684">
        <f t="shared" si="47"/>
        <v>-105.24013114310836</v>
      </c>
      <c r="Y119" s="687">
        <f t="shared" si="48"/>
        <v>74.759868856891643</v>
      </c>
      <c r="AA119" s="170">
        <f t="shared" si="49"/>
        <v>6166</v>
      </c>
      <c r="AB119" s="170">
        <f t="shared" si="50"/>
        <v>38019556</v>
      </c>
      <c r="AD119" s="686">
        <f t="shared" si="51"/>
        <v>17.178591614211744</v>
      </c>
      <c r="AE119" s="687">
        <f t="shared" si="52"/>
        <v>-8.2457225152247311</v>
      </c>
      <c r="AG119" s="686">
        <f t="shared" si="53"/>
        <v>9.7815666177215306</v>
      </c>
      <c r="AH119" s="687">
        <f t="shared" si="54"/>
        <v>-83.541852694302264</v>
      </c>
      <c r="AJ119" s="170">
        <f t="shared" si="55"/>
        <v>0</v>
      </c>
      <c r="AK119" s="170">
        <f t="shared" si="65"/>
        <v>0</v>
      </c>
      <c r="AM119" s="170" t="str">
        <f t="shared" si="59"/>
        <v>0.014093220584272+0.167295613517234i</v>
      </c>
      <c r="AN119" s="170" t="str">
        <f t="shared" si="60"/>
        <v>0.16808598218209i</v>
      </c>
      <c r="AO119" s="170" t="str">
        <f t="shared" si="61"/>
        <v>0.995297831177856-0.0838453058447468i</v>
      </c>
      <c r="AP119" s="170" t="str">
        <f t="shared" si="62"/>
        <v>0.164317796569288-0.0278826022528723i</v>
      </c>
      <c r="AQ119" s="170" t="str">
        <f t="shared" si="63"/>
        <v>0.835682203430712+0.0278826022528723i</v>
      </c>
      <c r="AR119" s="170" t="str">
        <f t="shared" si="64"/>
        <v>0.995681981079461-0.0332210073815367i</v>
      </c>
    </row>
    <row r="120" spans="7:44">
      <c r="G120" s="688">
        <v>6237.8</v>
      </c>
      <c r="H120" s="676">
        <f t="shared" si="56"/>
        <v>6.2378</v>
      </c>
      <c r="I120" s="677">
        <f t="shared" si="34"/>
        <v>51.313713432289568</v>
      </c>
      <c r="J120" s="678">
        <f t="shared" si="35"/>
        <v>1.5513071251615937</v>
      </c>
      <c r="K120" s="678">
        <f t="shared" si="36"/>
        <v>1.0000371731977316</v>
      </c>
      <c r="L120" s="679">
        <f t="shared" si="37"/>
        <v>8.6223020393938216E-3</v>
      </c>
      <c r="M120" s="678">
        <f t="shared" si="38"/>
        <v>1.0005547662525986</v>
      </c>
      <c r="N120" s="679">
        <f t="shared" si="39"/>
        <v>-3.3301948970729488E-2</v>
      </c>
      <c r="O120" s="677">
        <f t="shared" si="40"/>
        <v>258675.47154657694</v>
      </c>
      <c r="P120" s="680">
        <f t="shared" si="41"/>
        <v>1.5707924609471067</v>
      </c>
      <c r="Q120" s="689">
        <f t="shared" si="42"/>
        <v>10.395229642780881</v>
      </c>
      <c r="R120" s="690">
        <f t="shared" si="43"/>
        <v>1.4744493643483674</v>
      </c>
      <c r="S120" s="677">
        <f t="shared" si="44"/>
        <v>1.0011053890505621</v>
      </c>
      <c r="T120" s="680">
        <f t="shared" si="45"/>
        <v>4.6997271679237382E-2</v>
      </c>
      <c r="U120" s="681">
        <f t="shared" si="57"/>
        <v>0.99495811682770696</v>
      </c>
      <c r="V120" s="682">
        <f t="shared" si="58"/>
        <v>-0.11875647840318197</v>
      </c>
      <c r="W120" s="683">
        <f t="shared" si="46"/>
        <v>-14.212651767867175</v>
      </c>
      <c r="X120" s="684">
        <f t="shared" si="47"/>
        <v>-105.31443386822792</v>
      </c>
      <c r="Y120" s="687">
        <f t="shared" si="48"/>
        <v>74.685566131772077</v>
      </c>
      <c r="AA120" s="170">
        <f t="shared" si="49"/>
        <v>6237.8</v>
      </c>
      <c r="AB120" s="170">
        <f t="shared" si="50"/>
        <v>38910148.840000004</v>
      </c>
      <c r="AD120" s="686">
        <f t="shared" si="51"/>
        <v>17.177430885426091</v>
      </c>
      <c r="AE120" s="687">
        <f t="shared" si="52"/>
        <v>-8.2127981455634558</v>
      </c>
      <c r="AG120" s="686">
        <f t="shared" si="53"/>
        <v>9.6820858271036983</v>
      </c>
      <c r="AH120" s="687">
        <f t="shared" si="54"/>
        <v>-83.493145702436792</v>
      </c>
      <c r="AJ120" s="170">
        <f t="shared" si="55"/>
        <v>0</v>
      </c>
      <c r="AK120" s="170">
        <f t="shared" si="65"/>
        <v>0</v>
      </c>
      <c r="AM120" s="170" t="str">
        <f t="shared" si="59"/>
        <v>0.014422552799791+0.169224985065203i</v>
      </c>
      <c r="AN120" s="170" t="str">
        <f t="shared" si="60"/>
        <v>0.170043259755991i</v>
      </c>
      <c r="AO120" s="170" t="str">
        <f t="shared" si="61"/>
        <v>0.995187844011211-0.0848169625805051i</v>
      </c>
      <c r="AP120" s="170" t="str">
        <f t="shared" si="62"/>
        <v>0.164262907866702-0.0282041641775338i</v>
      </c>
      <c r="AQ120" s="170" t="str">
        <f t="shared" si="63"/>
        <v>0.835737092133298+0.0282041641775338i</v>
      </c>
      <c r="AR120" s="170" t="str">
        <f t="shared" si="64"/>
        <v>0.995591053776491-0.0335988599748752i</v>
      </c>
    </row>
    <row r="121" spans="7:44">
      <c r="G121" s="688">
        <v>6309.6</v>
      </c>
      <c r="H121" s="676">
        <f t="shared" si="56"/>
        <v>6.3096000000000005</v>
      </c>
      <c r="I121" s="677">
        <f t="shared" si="34"/>
        <v>51.904135271182682</v>
      </c>
      <c r="J121" s="678">
        <f t="shared" si="35"/>
        <v>1.5515288470443107</v>
      </c>
      <c r="K121" s="678">
        <f t="shared" si="36"/>
        <v>1.0000380338683126</v>
      </c>
      <c r="L121" s="679">
        <f t="shared" si="37"/>
        <v>8.7215437707357825E-3</v>
      </c>
      <c r="M121" s="678">
        <f t="shared" si="38"/>
        <v>1.0005676073496077</v>
      </c>
      <c r="N121" s="679">
        <f t="shared" si="39"/>
        <v>-3.368498175246909E-2</v>
      </c>
      <c r="O121" s="677">
        <f t="shared" si="40"/>
        <v>261652.94739651895</v>
      </c>
      <c r="P121" s="680">
        <f t="shared" si="41"/>
        <v>1.5707925049384646</v>
      </c>
      <c r="Q121" s="689">
        <f t="shared" si="42"/>
        <v>10.513782564256161</v>
      </c>
      <c r="R121" s="690">
        <f t="shared" si="43"/>
        <v>1.4755390851619283</v>
      </c>
      <c r="S121" s="677">
        <f t="shared" si="44"/>
        <v>1.0011309681395053</v>
      </c>
      <c r="T121" s="680">
        <f t="shared" si="45"/>
        <v>4.7537422305997647E-2</v>
      </c>
      <c r="U121" s="681">
        <f t="shared" si="57"/>
        <v>0.99485136520940465</v>
      </c>
      <c r="V121" s="682">
        <f t="shared" si="58"/>
        <v>-0.12011704517537469</v>
      </c>
      <c r="W121" s="683">
        <f t="shared" si="46"/>
        <v>-14.313966610222671</v>
      </c>
      <c r="X121" s="684">
        <f t="shared" si="47"/>
        <v>-105.38986682793245</v>
      </c>
      <c r="Y121" s="687">
        <f t="shared" si="48"/>
        <v>74.610133172067549</v>
      </c>
      <c r="AA121" s="170">
        <f t="shared" si="49"/>
        <v>6309.6</v>
      </c>
      <c r="AB121" s="170">
        <f t="shared" si="50"/>
        <v>39811052.160000004</v>
      </c>
      <c r="AD121" s="686">
        <f t="shared" si="51"/>
        <v>17.176299386403933</v>
      </c>
      <c r="AE121" s="687">
        <f t="shared" si="52"/>
        <v>-8.1813126137967309</v>
      </c>
      <c r="AG121" s="686">
        <f t="shared" si="53"/>
        <v>9.5837664466965027</v>
      </c>
      <c r="AH121" s="687">
        <f t="shared" si="54"/>
        <v>-83.444154726145172</v>
      </c>
      <c r="AJ121" s="170">
        <f t="shared" si="55"/>
        <v>0</v>
      </c>
      <c r="AK121" s="170">
        <f t="shared" si="65"/>
        <v>0</v>
      </c>
      <c r="AM121" s="170" t="str">
        <f t="shared" si="59"/>
        <v>0.014755660697735+0.171153708323376i</v>
      </c>
      <c r="AN121" s="170" t="str">
        <f t="shared" si="60"/>
        <v>0.172000537329892i</v>
      </c>
      <c r="AO121" s="170" t="str">
        <f t="shared" si="61"/>
        <v>0.995076590924296-0.0857884569827481i</v>
      </c>
      <c r="AP121" s="170" t="str">
        <f t="shared" si="62"/>
        <v>0.164207389883711-0.028525618053896i</v>
      </c>
      <c r="AQ121" s="170" t="str">
        <f t="shared" si="63"/>
        <v>0.835792610116289+0.028525618053896i</v>
      </c>
      <c r="AR121" s="170" t="str">
        <f t="shared" si="64"/>
        <v>0.995499113060825-0.0339764041084477i</v>
      </c>
    </row>
    <row r="122" spans="7:44">
      <c r="G122" s="688">
        <v>6383.05</v>
      </c>
      <c r="H122" s="676">
        <f t="shared" si="56"/>
        <v>6.3830499999999999</v>
      </c>
      <c r="I122" s="677">
        <f t="shared" si="34"/>
        <v>52.508127880176772</v>
      </c>
      <c r="J122" s="678">
        <f t="shared" si="35"/>
        <v>1.551750504744952</v>
      </c>
      <c r="K122" s="678">
        <f t="shared" si="36"/>
        <v>1.0000389245089265</v>
      </c>
      <c r="L122" s="679">
        <f t="shared" si="37"/>
        <v>8.8230659490404952E-3</v>
      </c>
      <c r="M122" s="678">
        <f t="shared" si="38"/>
        <v>1.000580895433874</v>
      </c>
      <c r="N122" s="679">
        <f t="shared" si="39"/>
        <v>-3.4076806587642269E-2</v>
      </c>
      <c r="O122" s="677">
        <f t="shared" si="40"/>
        <v>264698.84713437798</v>
      </c>
      <c r="P122" s="680">
        <f t="shared" si="41"/>
        <v>1.5707925489167123</v>
      </c>
      <c r="Q122" s="689">
        <f t="shared" si="42"/>
        <v>10.635072518663428</v>
      </c>
      <c r="R122" s="690">
        <f t="shared" si="43"/>
        <v>1.4766287080921792</v>
      </c>
      <c r="S122" s="677">
        <f t="shared" si="44"/>
        <v>1.0011574372715186</v>
      </c>
      <c r="T122" s="680">
        <f t="shared" si="45"/>
        <v>4.8089957139533769E-2</v>
      </c>
      <c r="U122" s="681">
        <f t="shared" si="57"/>
        <v>0.99474093044398226</v>
      </c>
      <c r="V122" s="682">
        <f t="shared" si="58"/>
        <v>-0.1215086536703316</v>
      </c>
      <c r="W122" s="683">
        <f t="shared" si="46"/>
        <v>-14.416427974740211</v>
      </c>
      <c r="X122" s="684">
        <f t="shared" si="47"/>
        <v>-105.46816292788034</v>
      </c>
      <c r="Y122" s="687">
        <f t="shared" si="48"/>
        <v>74.531837072119657</v>
      </c>
      <c r="AA122" s="170">
        <f t="shared" si="49"/>
        <v>6383.05</v>
      </c>
      <c r="AB122" s="170">
        <f t="shared" si="50"/>
        <v>40743327.302500002</v>
      </c>
      <c r="AD122" s="686">
        <f t="shared" si="51"/>
        <v>17.175170660052736</v>
      </c>
      <c r="AE122" s="687">
        <f t="shared" si="52"/>
        <v>-8.1505422523610811</v>
      </c>
      <c r="AG122" s="686">
        <f t="shared" si="53"/>
        <v>9.4843622924466757</v>
      </c>
      <c r="AH122" s="687">
        <f t="shared" si="54"/>
        <v>-83.393754600355322</v>
      </c>
      <c r="AJ122" s="170">
        <f t="shared" si="55"/>
        <v>0</v>
      </c>
      <c r="AK122" s="170">
        <f t="shared" si="65"/>
        <v>0</v>
      </c>
      <c r="AM122" s="170" t="str">
        <f t="shared" si="59"/>
        <v>0.015100329081565+0.173126076097043i</v>
      </c>
      <c r="AN122" s="170" t="str">
        <f t="shared" si="60"/>
        <v>0.174002794123806i</v>
      </c>
      <c r="AO122" s="170" t="str">
        <f t="shared" si="61"/>
        <v>0.994961471560398-0.0867821069058285i</v>
      </c>
      <c r="AP122" s="170" t="str">
        <f t="shared" si="62"/>
        <v>0.164149945153072-0.0288543460161738i</v>
      </c>
      <c r="AQ122" s="170" t="str">
        <f t="shared" si="63"/>
        <v>0.835850054846928+0.0288543460161738i</v>
      </c>
      <c r="AR122" s="170" t="str">
        <f t="shared" si="64"/>
        <v>0.995404012275838-0.0343623017424515i</v>
      </c>
    </row>
    <row r="123" spans="7:44">
      <c r="G123" s="688">
        <v>6456.5</v>
      </c>
      <c r="H123" s="676">
        <f t="shared" si="56"/>
        <v>6.4565000000000001</v>
      </c>
      <c r="I123" s="677">
        <f t="shared" si="34"/>
        <v>53.112123010331331</v>
      </c>
      <c r="J123" s="678">
        <f t="shared" si="35"/>
        <v>1.5519671210393433</v>
      </c>
      <c r="K123" s="678">
        <f t="shared" si="36"/>
        <v>1.0000398254566758</v>
      </c>
      <c r="L123" s="679">
        <f t="shared" si="37"/>
        <v>8.9245879454664979E-3</v>
      </c>
      <c r="M123" s="678">
        <f t="shared" si="38"/>
        <v>1.0005943371299306</v>
      </c>
      <c r="N123" s="679">
        <f t="shared" si="39"/>
        <v>-3.4468620955644166E-2</v>
      </c>
      <c r="O123" s="677">
        <f t="shared" si="40"/>
        <v>267744.74687223748</v>
      </c>
      <c r="P123" s="680">
        <f t="shared" si="41"/>
        <v>1.5707925918943555</v>
      </c>
      <c r="Q123" s="689">
        <f t="shared" si="42"/>
        <v>10.756374815089218</v>
      </c>
      <c r="R123" s="690">
        <f t="shared" si="43"/>
        <v>1.4776937563692729</v>
      </c>
      <c r="S123" s="677">
        <f t="shared" si="44"/>
        <v>1.0011842120354182</v>
      </c>
      <c r="T123" s="680">
        <f t="shared" si="45"/>
        <v>4.8642462588756999E-2</v>
      </c>
      <c r="U123" s="681">
        <f t="shared" si="57"/>
        <v>0.99462925294626359</v>
      </c>
      <c r="V123" s="682">
        <f t="shared" si="58"/>
        <v>-0.12290003230296517</v>
      </c>
      <c r="W123" s="683">
        <f t="shared" si="46"/>
        <v>-14.517722250195304</v>
      </c>
      <c r="X123" s="684">
        <f t="shared" si="47"/>
        <v>-105.5475627000651</v>
      </c>
      <c r="Y123" s="687">
        <f t="shared" si="48"/>
        <v>74.4524372999349</v>
      </c>
      <c r="AA123" s="170">
        <f t="shared" si="49"/>
        <v>6456.5</v>
      </c>
      <c r="AB123" s="170">
        <f t="shared" si="50"/>
        <v>41686392.25</v>
      </c>
      <c r="AD123" s="686">
        <f t="shared" si="51"/>
        <v>17.174069620758857</v>
      </c>
      <c r="AE123" s="687">
        <f t="shared" si="52"/>
        <v>-8.1211781739084188</v>
      </c>
      <c r="AG123" s="686">
        <f t="shared" si="53"/>
        <v>9.3861194593413799</v>
      </c>
      <c r="AH123" s="687">
        <f t="shared" si="54"/>
        <v>-83.34307820410136</v>
      </c>
      <c r="AJ123" s="170">
        <f t="shared" si="55"/>
        <v>0</v>
      </c>
      <c r="AK123" s="170">
        <f t="shared" si="65"/>
        <v>0</v>
      </c>
      <c r="AM123" s="170" t="str">
        <f t="shared" si="59"/>
        <v>0.015448945958639+0.175097749802917i</v>
      </c>
      <c r="AN123" s="170" t="str">
        <f t="shared" si="60"/>
        <v>0.17600505091772i</v>
      </c>
      <c r="AO123" s="170" t="str">
        <f t="shared" si="61"/>
        <v>0.994845027968958-0.087775583019269i</v>
      </c>
      <c r="AP123" s="170" t="str">
        <f t="shared" si="62"/>
        <v>0.164091842340227-0.0291829583004862i</v>
      </c>
      <c r="AQ123" s="170" t="str">
        <f t="shared" si="63"/>
        <v>0.835908157659773+0.0291829583004862i</v>
      </c>
      <c r="AR123" s="170" t="str">
        <f t="shared" si="64"/>
        <v>0.995307853798193-0.0347478695205667i</v>
      </c>
    </row>
    <row r="124" spans="7:44">
      <c r="G124" s="688">
        <v>6531.7</v>
      </c>
      <c r="H124" s="676">
        <f t="shared" si="56"/>
        <v>6.5316999999999998</v>
      </c>
      <c r="I124" s="677">
        <f t="shared" si="34"/>
        <v>53.730511289653563</v>
      </c>
      <c r="J124" s="678">
        <f t="shared" si="35"/>
        <v>1.552183852882139</v>
      </c>
      <c r="K124" s="678">
        <f t="shared" si="36"/>
        <v>1.0000407585485589</v>
      </c>
      <c r="L124" s="679">
        <f t="shared" si="37"/>
        <v>9.0285285871349371E-3</v>
      </c>
      <c r="M124" s="678">
        <f t="shared" si="38"/>
        <v>1.000608258223028</v>
      </c>
      <c r="N124" s="679">
        <f t="shared" si="39"/>
        <v>-3.486975961828373E-2</v>
      </c>
      <c r="O124" s="677">
        <f t="shared" si="40"/>
        <v>270863.21740031196</v>
      </c>
      <c r="P124" s="680">
        <f t="shared" si="41"/>
        <v>1.5707926348945729</v>
      </c>
      <c r="Q124" s="689">
        <f t="shared" si="42"/>
        <v>10.880579583051533</v>
      </c>
      <c r="R124" s="690">
        <f t="shared" si="43"/>
        <v>1.4787595761117538</v>
      </c>
      <c r="S124" s="677">
        <f t="shared" si="44"/>
        <v>1.0012119413435436</v>
      </c>
      <c r="T124" s="680">
        <f t="shared" si="45"/>
        <v>4.9208101092050906E-2</v>
      </c>
      <c r="U124" s="681">
        <f t="shared" si="57"/>
        <v>0.99451362840760138</v>
      </c>
      <c r="V124" s="682">
        <f t="shared" si="58"/>
        <v>-0.12432432075418622</v>
      </c>
      <c r="W124" s="683">
        <f t="shared" si="46"/>
        <v>-14.620249314409694</v>
      </c>
      <c r="X124" s="684">
        <f t="shared" si="47"/>
        <v>-105.62995861911692</v>
      </c>
      <c r="Y124" s="687">
        <f t="shared" si="48"/>
        <v>74.37004138088308</v>
      </c>
      <c r="AA124" s="170">
        <f t="shared" si="49"/>
        <v>6531.7</v>
      </c>
      <c r="AB124" s="170">
        <f t="shared" si="50"/>
        <v>42663104.890000001</v>
      </c>
      <c r="AD124" s="686">
        <f t="shared" si="51"/>
        <v>17.172969626715712</v>
      </c>
      <c r="AE124" s="687">
        <f t="shared" si="52"/>
        <v>-8.0925223636096142</v>
      </c>
      <c r="AG124" s="686">
        <f t="shared" si="53"/>
        <v>9.2867119564778786</v>
      </c>
      <c r="AH124" s="687">
        <f t="shared" si="54"/>
        <v>-83.290918499137135</v>
      </c>
      <c r="AJ124" s="170">
        <f t="shared" si="55"/>
        <v>0</v>
      </c>
      <c r="AK124" s="170">
        <f t="shared" si="65"/>
        <v>0</v>
      </c>
      <c r="AM124" s="170" t="str">
        <f t="shared" si="59"/>
        <v>0.01580995815593+0.177115672753621i</v>
      </c>
      <c r="AN124" s="170" t="str">
        <f t="shared" si="60"/>
        <v>0.178055012944981i</v>
      </c>
      <c r="AO124" s="170" t="str">
        <f t="shared" si="61"/>
        <v>0.994724438386634-0.0887925472832112i</v>
      </c>
      <c r="AP124" s="170" t="str">
        <f t="shared" si="62"/>
        <v>0.164031673640678-0.0295192787922702i</v>
      </c>
      <c r="AQ124" s="170" t="str">
        <f t="shared" si="63"/>
        <v>0.835968326359322+0.0295192787922702i</v>
      </c>
      <c r="AR124" s="170" t="str">
        <f t="shared" si="64"/>
        <v>0.995208310000513-0.0351422782813207i</v>
      </c>
    </row>
    <row r="125" spans="7:44">
      <c r="G125" s="688">
        <v>6606.9</v>
      </c>
      <c r="H125" s="676">
        <f t="shared" si="56"/>
        <v>6.6068999999999996</v>
      </c>
      <c r="I125" s="677">
        <f t="shared" si="34"/>
        <v>54.348902035408763</v>
      </c>
      <c r="J125" s="678">
        <f t="shared" si="35"/>
        <v>1.5523956527135923</v>
      </c>
      <c r="K125" s="678">
        <f t="shared" si="36"/>
        <v>1.0000417024445192</v>
      </c>
      <c r="L125" s="679">
        <f t="shared" si="37"/>
        <v>9.1324690337161903E-3</v>
      </c>
      <c r="M125" s="678">
        <f t="shared" si="38"/>
        <v>1.0006223403217331</v>
      </c>
      <c r="N125" s="679">
        <f t="shared" si="39"/>
        <v>-3.5270887054746278E-2</v>
      </c>
      <c r="O125" s="677">
        <f t="shared" si="40"/>
        <v>273981.68792838691</v>
      </c>
      <c r="P125" s="680">
        <f t="shared" si="41"/>
        <v>1.5707926769159299</v>
      </c>
      <c r="Q125" s="689">
        <f t="shared" si="42"/>
        <v>11.00479643203548</v>
      </c>
      <c r="R125" s="690">
        <f t="shared" si="43"/>
        <v>1.4798013360942635</v>
      </c>
      <c r="S125" s="677">
        <f t="shared" si="44"/>
        <v>1.0012399909685392</v>
      </c>
      <c r="T125" s="680">
        <f t="shared" si="45"/>
        <v>4.9773708083703364E-2</v>
      </c>
      <c r="U125" s="681">
        <f t="shared" si="57"/>
        <v>0.99439670377779332</v>
      </c>
      <c r="V125" s="682">
        <f t="shared" si="58"/>
        <v>-0.12574836287349053</v>
      </c>
      <c r="W125" s="683">
        <f t="shared" si="46"/>
        <v>-14.72160991335063</v>
      </c>
      <c r="X125" s="684">
        <f t="shared" si="47"/>
        <v>-105.71343387005531</v>
      </c>
      <c r="Y125" s="687">
        <f t="shared" si="48"/>
        <v>74.286566129944688</v>
      </c>
      <c r="AA125" s="170">
        <f t="shared" si="49"/>
        <v>6606.9</v>
      </c>
      <c r="AB125" s="170">
        <f t="shared" si="50"/>
        <v>43651127.609999992</v>
      </c>
      <c r="AD125" s="686">
        <f t="shared" si="51"/>
        <v>17.171895877820955</v>
      </c>
      <c r="AE125" s="687">
        <f t="shared" si="52"/>
        <v>-8.0652432144462001</v>
      </c>
      <c r="AG125" s="686">
        <f t="shared" si="53"/>
        <v>9.1884676206973666</v>
      </c>
      <c r="AH125" s="687">
        <f t="shared" si="54"/>
        <v>-83.23848969248246</v>
      </c>
      <c r="AJ125" s="170">
        <f t="shared" si="55"/>
        <v>0</v>
      </c>
      <c r="AK125" s="170">
        <f t="shared" si="65"/>
        <v>0</v>
      </c>
      <c r="AM125" s="170" t="str">
        <f t="shared" si="59"/>
        <v>0.016175106257198+0.179132851403546i</v>
      </c>
      <c r="AN125" s="170" t="str">
        <f t="shared" si="60"/>
        <v>0.180104974972243i</v>
      </c>
      <c r="AO125" s="170" t="str">
        <f t="shared" si="61"/>
        <v>0.994602461320978-0.089809325143244i</v>
      </c>
      <c r="AP125" s="170" t="str">
        <f t="shared" si="62"/>
        <v>0.1639708156238-0.0298554752339243i</v>
      </c>
      <c r="AQ125" s="170" t="str">
        <f t="shared" si="63"/>
        <v>0.8360291843762+0.0298554752339243i</v>
      </c>
      <c r="AR125" s="170" t="str">
        <f t="shared" si="64"/>
        <v>0.995107660612018-0.0355363337449254i</v>
      </c>
    </row>
    <row r="126" spans="7:44">
      <c r="G126" s="688">
        <v>6683.85</v>
      </c>
      <c r="H126" s="676">
        <f t="shared" si="56"/>
        <v>6.6838500000000005</v>
      </c>
      <c r="I126" s="677">
        <f t="shared" si="34"/>
        <v>54.98168598963175</v>
      </c>
      <c r="J126" s="678">
        <f t="shared" si="35"/>
        <v>1.5526074494744269</v>
      </c>
      <c r="K126" s="678">
        <f t="shared" si="36"/>
        <v>1.0000426794902513</v>
      </c>
      <c r="L126" s="679">
        <f t="shared" si="37"/>
        <v>9.2388281028870957E-3</v>
      </c>
      <c r="M126" s="678">
        <f t="shared" si="38"/>
        <v>1.0006369167911735</v>
      </c>
      <c r="N126" s="679">
        <f t="shared" si="39"/>
        <v>-3.5681337483479472E-2</v>
      </c>
      <c r="O126" s="677">
        <f t="shared" si="40"/>
        <v>277172.72924667696</v>
      </c>
      <c r="P126" s="680">
        <f t="shared" si="41"/>
        <v>1.5707927189363504</v>
      </c>
      <c r="Q126" s="689">
        <f t="shared" si="42"/>
        <v>11.131916049776997</v>
      </c>
      <c r="R126" s="690">
        <f t="shared" si="43"/>
        <v>1.4808432709379493</v>
      </c>
      <c r="S126" s="677">
        <f t="shared" si="44"/>
        <v>1.0012690249009095</v>
      </c>
      <c r="T126" s="680">
        <f t="shared" si="45"/>
        <v>5.0352444477209858E-2</v>
      </c>
      <c r="U126" s="681">
        <f t="shared" si="57"/>
        <v>0.99427571371230739</v>
      </c>
      <c r="V126" s="682">
        <f t="shared" si="58"/>
        <v>-0.12720528643725462</v>
      </c>
      <c r="W126" s="683">
        <f t="shared" si="46"/>
        <v>-14.824150269187102</v>
      </c>
      <c r="X126" s="684">
        <f t="shared" si="47"/>
        <v>-105.79993074475114</v>
      </c>
      <c r="Y126" s="687">
        <f t="shared" si="48"/>
        <v>74.200069255248863</v>
      </c>
      <c r="AA126" s="170">
        <f t="shared" si="49"/>
        <v>6683.85</v>
      </c>
      <c r="AB126" s="170">
        <f t="shared" si="50"/>
        <v>44673850.822500005</v>
      </c>
      <c r="AD126" s="686">
        <f t="shared" si="51"/>
        <v>17.170822964965733</v>
      </c>
      <c r="AE126" s="687">
        <f t="shared" si="52"/>
        <v>-8.0387063057363513</v>
      </c>
      <c r="AG126" s="686">
        <f t="shared" si="53"/>
        <v>9.0891139624665218</v>
      </c>
      <c r="AH126" s="687">
        <f t="shared" si="54"/>
        <v>-83.184572333143706</v>
      </c>
      <c r="AJ126" s="170">
        <f t="shared" si="55"/>
        <v>0</v>
      </c>
      <c r="AK126" s="170">
        <f t="shared" si="65"/>
        <v>0</v>
      </c>
      <c r="AM126" s="170" t="str">
        <f t="shared" si="59"/>
        <v>0.016553031615575+0.18119619304909i</v>
      </c>
      <c r="AN126" s="170" t="str">
        <f t="shared" si="60"/>
        <v>0.182202642232851i</v>
      </c>
      <c r="AO126" s="170" t="str">
        <f t="shared" si="61"/>
        <v>0.994476209722169-0.0908495695381881i</v>
      </c>
      <c r="AP126" s="170" t="str">
        <f t="shared" si="62"/>
        <v>0.163907828064071-0.0301993655081817i</v>
      </c>
      <c r="AQ126" s="170" t="str">
        <f t="shared" si="63"/>
        <v>0.836092171935929+0.0301993655081817i</v>
      </c>
      <c r="AR126" s="170" t="str">
        <f t="shared" si="64"/>
        <v>0.995003526164009-0.0359391896936205i</v>
      </c>
    </row>
    <row r="127" spans="7:44">
      <c r="G127" s="688">
        <v>6760.8</v>
      </c>
      <c r="H127" s="676">
        <f t="shared" si="56"/>
        <v>6.7608000000000006</v>
      </c>
      <c r="I127" s="677">
        <f t="shared" si="34"/>
        <v>55.614472354091149</v>
      </c>
      <c r="J127" s="678">
        <f t="shared" si="35"/>
        <v>1.5528144265599748</v>
      </c>
      <c r="K127" s="678">
        <f t="shared" si="36"/>
        <v>1.0000436678486953</v>
      </c>
      <c r="L127" s="679">
        <f t="shared" si="37"/>
        <v>9.3451869630285702E-3</v>
      </c>
      <c r="M127" s="678">
        <f t="shared" si="38"/>
        <v>1.0006516618325416</v>
      </c>
      <c r="N127" s="679">
        <f t="shared" si="39"/>
        <v>-3.6091775885022964E-2</v>
      </c>
      <c r="O127" s="677">
        <f t="shared" si="40"/>
        <v>280363.77056496742</v>
      </c>
      <c r="P127" s="680">
        <f t="shared" si="41"/>
        <v>1.5707927600002356</v>
      </c>
      <c r="Q127" s="689">
        <f t="shared" si="42"/>
        <v>11.259047479740421</v>
      </c>
      <c r="R127" s="690">
        <f t="shared" si="43"/>
        <v>1.4818616768713282</v>
      </c>
      <c r="S127" s="677">
        <f t="shared" si="44"/>
        <v>1.001298394174621</v>
      </c>
      <c r="T127" s="680">
        <f t="shared" si="45"/>
        <v>5.0931147114480609E-2</v>
      </c>
      <c r="U127" s="681">
        <f t="shared" si="57"/>
        <v>0.99415336514939201</v>
      </c>
      <c r="V127" s="682">
        <f t="shared" si="58"/>
        <v>-0.1286619463151302</v>
      </c>
      <c r="W127" s="683">
        <f t="shared" si="46"/>
        <v>-14.925526030875996</v>
      </c>
      <c r="X127" s="684">
        <f t="shared" si="47"/>
        <v>-105.88748180553826</v>
      </c>
      <c r="Y127" s="687">
        <f t="shared" si="48"/>
        <v>74.112518194461742</v>
      </c>
      <c r="AA127" s="170">
        <f t="shared" si="49"/>
        <v>6760.8</v>
      </c>
      <c r="AB127" s="170">
        <f t="shared" si="50"/>
        <v>45708416.640000001</v>
      </c>
      <c r="AD127" s="686">
        <f t="shared" si="51"/>
        <v>17.169774877994342</v>
      </c>
      <c r="AE127" s="687">
        <f t="shared" si="52"/>
        <v>-8.0135155153898925</v>
      </c>
      <c r="AG127" s="686">
        <f t="shared" si="53"/>
        <v>8.9909240680249081</v>
      </c>
      <c r="AH127" s="687">
        <f t="shared" si="54"/>
        <v>-83.130393257709912</v>
      </c>
      <c r="AJ127" s="170">
        <f t="shared" si="55"/>
        <v>0</v>
      </c>
      <c r="AK127" s="170">
        <f t="shared" si="65"/>
        <v>0</v>
      </c>
      <c r="AM127" s="170" t="str">
        <f t="shared" si="59"/>
        <v>0.01693528434352+0.183258737394001i</v>
      </c>
      <c r="AN127" s="170" t="str">
        <f t="shared" si="60"/>
        <v>0.18430030949346i</v>
      </c>
      <c r="AO127" s="170" t="str">
        <f t="shared" si="61"/>
        <v>0.994348505966584-0.0918896142392043i</v>
      </c>
      <c r="AP127" s="170" t="str">
        <f t="shared" si="62"/>
        <v>0.16384411927608-0.0305431228990002i</v>
      </c>
      <c r="AQ127" s="170" t="str">
        <f t="shared" si="63"/>
        <v>0.83615588072392+0.0305431228990002i</v>
      </c>
      <c r="AR127" s="170" t="str">
        <f t="shared" si="64"/>
        <v>0.994898237464678-0.0363416676715517i</v>
      </c>
    </row>
    <row r="128" spans="7:44">
      <c r="G128" s="688">
        <v>6839.55</v>
      </c>
      <c r="H128" s="676">
        <f t="shared" si="56"/>
        <v>6.83955</v>
      </c>
      <c r="I128" s="677">
        <f t="shared" si="34"/>
        <v>56.262063149380374</v>
      </c>
      <c r="J128" s="678">
        <f t="shared" si="35"/>
        <v>1.5530214247771232</v>
      </c>
      <c r="K128" s="678">
        <f t="shared" si="36"/>
        <v>1.0000446910393448</v>
      </c>
      <c r="L128" s="679">
        <f t="shared" si="37"/>
        <v>9.4540335307919006E-3</v>
      </c>
      <c r="M128" s="678">
        <f t="shared" si="38"/>
        <v>1.0006669263122336</v>
      </c>
      <c r="N128" s="679">
        <f t="shared" si="39"/>
        <v>-3.6511802588628517E-2</v>
      </c>
      <c r="O128" s="677">
        <f t="shared" si="40"/>
        <v>283629.45612462191</v>
      </c>
      <c r="P128" s="680">
        <f t="shared" si="41"/>
        <v>1.5707928010680074</v>
      </c>
      <c r="Q128" s="689">
        <f t="shared" si="42"/>
        <v>11.389164561497832</v>
      </c>
      <c r="R128" s="690">
        <f t="shared" si="43"/>
        <v>1.4828803642224817</v>
      </c>
      <c r="S128" s="677">
        <f t="shared" si="44"/>
        <v>1.0013287976175458</v>
      </c>
      <c r="T128" s="680">
        <f t="shared" si="45"/>
        <v>5.1523351304317976E-2</v>
      </c>
      <c r="U128" s="681">
        <f t="shared" si="57"/>
        <v>0.99402674960114235</v>
      </c>
      <c r="V128" s="682">
        <f t="shared" si="58"/>
        <v>-0.13015240406753067</v>
      </c>
      <c r="W128" s="683">
        <f t="shared" si="46"/>
        <v>-15.028095791524635</v>
      </c>
      <c r="X128" s="684">
        <f t="shared" si="47"/>
        <v>-105.97813484489151</v>
      </c>
      <c r="Y128" s="687">
        <f t="shared" si="48"/>
        <v>74.021865155108486</v>
      </c>
      <c r="AA128" s="170">
        <f t="shared" si="49"/>
        <v>6839.55</v>
      </c>
      <c r="AB128" s="170">
        <f t="shared" si="50"/>
        <v>46779444.202500001</v>
      </c>
      <c r="AD128" s="686">
        <f t="shared" si="51"/>
        <v>17.168726692484512</v>
      </c>
      <c r="AE128" s="687">
        <f t="shared" si="52"/>
        <v>-7.9890821831951646</v>
      </c>
      <c r="AG128" s="686">
        <f t="shared" si="53"/>
        <v>8.8916151066666878</v>
      </c>
      <c r="AH128" s="687">
        <f t="shared" si="54"/>
        <v>-83.074685751552551</v>
      </c>
      <c r="AJ128" s="170">
        <f t="shared" si="55"/>
        <v>0</v>
      </c>
      <c r="AK128" s="170">
        <f t="shared" si="65"/>
        <v>0</v>
      </c>
      <c r="AM128" s="170" t="str">
        <f t="shared" si="59"/>
        <v>0.0173309572915959+0.185368693426234i</v>
      </c>
      <c r="AN128" s="170" t="str">
        <f t="shared" si="60"/>
        <v>0.186447044994082i</v>
      </c>
      <c r="AO128" s="170" t="str">
        <f t="shared" si="61"/>
        <v>0.994216311833303-0.0929537783350012i</v>
      </c>
      <c r="AP128" s="170" t="str">
        <f t="shared" si="62"/>
        <v>0.163778173784734-0.0308947822377057i</v>
      </c>
      <c r="AQ128" s="170" t="str">
        <f t="shared" si="63"/>
        <v>0.836221826215266+0.0308947822377057i</v>
      </c>
      <c r="AR128" s="170" t="str">
        <f t="shared" si="64"/>
        <v>0.994789292624323-0.0367531647758236i</v>
      </c>
    </row>
    <row r="129" spans="7:44">
      <c r="G129" s="688">
        <v>6918.3</v>
      </c>
      <c r="H129" s="676">
        <f t="shared" si="56"/>
        <v>6.9183000000000003</v>
      </c>
      <c r="I129" s="677">
        <f t="shared" si="34"/>
        <v>56.90965630053639</v>
      </c>
      <c r="J129" s="678">
        <f t="shared" si="35"/>
        <v>1.5532237120051544</v>
      </c>
      <c r="K129" s="678">
        <f t="shared" si="36"/>
        <v>1.0000457260780746</v>
      </c>
      <c r="L129" s="679">
        <f t="shared" si="37"/>
        <v>9.5628798745342712E-3</v>
      </c>
      <c r="M129" s="678">
        <f t="shared" si="38"/>
        <v>1.0006823673266141</v>
      </c>
      <c r="N129" s="679">
        <f t="shared" si="39"/>
        <v>-3.6931816403900426E-2</v>
      </c>
      <c r="O129" s="677">
        <f t="shared" si="40"/>
        <v>286895.14168427681</v>
      </c>
      <c r="P129" s="680">
        <f t="shared" si="41"/>
        <v>1.5707928412008425</v>
      </c>
      <c r="Q129" s="689">
        <f t="shared" si="42"/>
        <v>11.519293195056113</v>
      </c>
      <c r="R129" s="690">
        <f t="shared" si="43"/>
        <v>1.4838760372182824</v>
      </c>
      <c r="S129" s="677">
        <f t="shared" si="44"/>
        <v>1.0013595522108936</v>
      </c>
      <c r="T129" s="680">
        <f t="shared" si="45"/>
        <v>5.2115519325279254E-2</v>
      </c>
      <c r="U129" s="681">
        <f t="shared" si="57"/>
        <v>0.99389871432953147</v>
      </c>
      <c r="V129" s="682">
        <f t="shared" si="58"/>
        <v>-0.13164257950338701</v>
      </c>
      <c r="W129" s="683">
        <f t="shared" si="46"/>
        <v>-15.129502528981915</v>
      </c>
      <c r="X129" s="684">
        <f t="shared" si="47"/>
        <v>-106.06981756283216</v>
      </c>
      <c r="Y129" s="687">
        <f t="shared" si="48"/>
        <v>73.930182437167844</v>
      </c>
      <c r="AA129" s="170">
        <f t="shared" si="49"/>
        <v>6918.3</v>
      </c>
      <c r="AB129" s="170">
        <f t="shared" si="50"/>
        <v>47862874.890000001</v>
      </c>
      <c r="AD129" s="686">
        <f t="shared" si="51"/>
        <v>17.167701969606036</v>
      </c>
      <c r="AE129" s="687">
        <f t="shared" si="52"/>
        <v>-7.9659653505399861</v>
      </c>
      <c r="AG129" s="686">
        <f t="shared" si="53"/>
        <v>8.7934708022248209</v>
      </c>
      <c r="AH129" s="687">
        <f t="shared" si="54"/>
        <v>-83.018723775535946</v>
      </c>
      <c r="AJ129" s="170">
        <f t="shared" si="55"/>
        <v>0</v>
      </c>
      <c r="AK129" s="170">
        <f t="shared" si="65"/>
        <v>0</v>
      </c>
      <c r="AM129" s="170" t="str">
        <f t="shared" si="59"/>
        <v>0.0177311588419889+0.18747779519212i</v>
      </c>
      <c r="AN129" s="170" t="str">
        <f t="shared" si="60"/>
        <v>0.188593780494705i</v>
      </c>
      <c r="AO129" s="170" t="str">
        <f t="shared" si="61"/>
        <v>0.994082597529687-0.0940177284504179i</v>
      </c>
      <c r="AP129" s="170" t="str">
        <f t="shared" si="62"/>
        <v>0.163711473526335-0.0312462991986867i</v>
      </c>
      <c r="AQ129" s="170" t="str">
        <f t="shared" si="63"/>
        <v>0.836288526473665+0.0312462991986867i</v>
      </c>
      <c r="AR129" s="170" t="str">
        <f t="shared" si="64"/>
        <v>0.994679142615913-0.0371642574458406i</v>
      </c>
    </row>
    <row r="130" spans="7:44">
      <c r="G130" s="688">
        <v>6998.9</v>
      </c>
      <c r="H130" s="676">
        <f t="shared" si="56"/>
        <v>6.9988999999999999</v>
      </c>
      <c r="I130" s="677">
        <f t="shared" si="34"/>
        <v>57.572465107682952</v>
      </c>
      <c r="J130" s="678">
        <f t="shared" si="35"/>
        <v>1.5534260389721277</v>
      </c>
      <c r="K130" s="678">
        <f t="shared" si="36"/>
        <v>1.0000467977008152</v>
      </c>
      <c r="L130" s="679">
        <f t="shared" si="37"/>
        <v>9.6742830088269692E-3</v>
      </c>
      <c r="M130" s="678">
        <f t="shared" si="38"/>
        <v>1.0006983538779028</v>
      </c>
      <c r="N130" s="679">
        <f t="shared" si="39"/>
        <v>-3.7361683710309193E-2</v>
      </c>
      <c r="O130" s="677">
        <f t="shared" si="40"/>
        <v>290237.54493644473</v>
      </c>
      <c r="P130" s="680">
        <f t="shared" si="41"/>
        <v>1.5707928813412761</v>
      </c>
      <c r="Q130" s="689">
        <f t="shared" si="42"/>
        <v>11.652490376892642</v>
      </c>
      <c r="R130" s="690">
        <f t="shared" si="43"/>
        <v>1.4848720715843362</v>
      </c>
      <c r="S130" s="677">
        <f t="shared" si="44"/>
        <v>1.0013913928805249</v>
      </c>
      <c r="T130" s="680">
        <f t="shared" si="45"/>
        <v>5.2721560711687598E-2</v>
      </c>
      <c r="U130" s="681">
        <f t="shared" si="57"/>
        <v>0.99376620274938077</v>
      </c>
      <c r="V130" s="682">
        <f t="shared" si="58"/>
        <v>-0.13316746665370108</v>
      </c>
      <c r="W130" s="683">
        <f t="shared" si="46"/>
        <v>-15.232115562817244</v>
      </c>
      <c r="X130" s="684">
        <f t="shared" si="47"/>
        <v>-106.16468364326896</v>
      </c>
      <c r="Y130" s="687">
        <f t="shared" si="48"/>
        <v>73.835316356731042</v>
      </c>
      <c r="AA130" s="170">
        <f t="shared" si="49"/>
        <v>6998.9</v>
      </c>
      <c r="AB130" s="170">
        <f t="shared" si="50"/>
        <v>48984601.209999993</v>
      </c>
      <c r="AD130" s="686">
        <f t="shared" si="51"/>
        <v>17.166676240388668</v>
      </c>
      <c r="AE130" s="687">
        <f t="shared" si="52"/>
        <v>-7.9436226986184684</v>
      </c>
      <c r="AG130" s="686">
        <f t="shared" si="53"/>
        <v>8.6941997450845321</v>
      </c>
      <c r="AH130" s="687">
        <f t="shared" si="54"/>
        <v>-82.961193311801125</v>
      </c>
      <c r="AJ130" s="170">
        <f t="shared" si="55"/>
        <v>0</v>
      </c>
      <c r="AK130" s="170">
        <f t="shared" si="65"/>
        <v>0</v>
      </c>
      <c r="AM130" s="170" t="str">
        <f t="shared" si="59"/>
        <v>0.018145449458966+0.189635549362096i</v>
      </c>
      <c r="AN130" s="170" t="str">
        <f t="shared" si="60"/>
        <v>0.190790947242009i</v>
      </c>
      <c r="AO130" s="170" t="str">
        <f t="shared" si="61"/>
        <v>0.993944168229075-0.0951064488188183i</v>
      </c>
      <c r="AP130" s="170" t="str">
        <f t="shared" si="62"/>
        <v>0.163642425090172-0.0316059248936827i</v>
      </c>
      <c r="AQ130" s="170" t="str">
        <f t="shared" si="63"/>
        <v>0.836357574909828+0.0316059248936827i</v>
      </c>
      <c r="AR130" s="170" t="str">
        <f t="shared" si="64"/>
        <v>0.9945651589794-0.0375845842251929i</v>
      </c>
    </row>
    <row r="131" spans="7:44">
      <c r="G131" s="688">
        <v>7079.5</v>
      </c>
      <c r="H131" s="676">
        <f t="shared" si="56"/>
        <v>7.0795000000000003</v>
      </c>
      <c r="I131" s="677">
        <f t="shared" si="34"/>
        <v>58.235276217979397</v>
      </c>
      <c r="J131" s="678">
        <f t="shared" si="35"/>
        <v>1.5536237603344194</v>
      </c>
      <c r="K131" s="678">
        <f t="shared" si="36"/>
        <v>1.0000478817347682</v>
      </c>
      <c r="L131" s="679">
        <f t="shared" si="37"/>
        <v>9.7856859029842539E-3</v>
      </c>
      <c r="M131" s="678">
        <f t="shared" si="38"/>
        <v>1.000714525338211</v>
      </c>
      <c r="N131" s="679">
        <f t="shared" si="39"/>
        <v>-3.7791537202909606E-2</v>
      </c>
      <c r="O131" s="677">
        <f t="shared" si="40"/>
        <v>293579.94818861311</v>
      </c>
      <c r="P131" s="680">
        <f t="shared" si="41"/>
        <v>1.5707929205677134</v>
      </c>
      <c r="Q131" s="689">
        <f t="shared" si="42"/>
        <v>11.785698857678574</v>
      </c>
      <c r="R131" s="690">
        <f t="shared" si="43"/>
        <v>1.4858455914365472</v>
      </c>
      <c r="S131" s="677">
        <f t="shared" si="44"/>
        <v>1.0014236013238904</v>
      </c>
      <c r="T131" s="680">
        <f t="shared" si="45"/>
        <v>5.3327563336858508E-2</v>
      </c>
      <c r="U131" s="681">
        <f t="shared" si="57"/>
        <v>0.99363220732206281</v>
      </c>
      <c r="V131" s="682">
        <f t="shared" si="58"/>
        <v>-0.13469205149442848</v>
      </c>
      <c r="W131" s="683">
        <f t="shared" si="46"/>
        <v>-15.333566900637049</v>
      </c>
      <c r="X131" s="684">
        <f t="shared" si="47"/>
        <v>-106.26055545661644</v>
      </c>
      <c r="Y131" s="687">
        <f t="shared" si="48"/>
        <v>73.739444543383556</v>
      </c>
      <c r="AA131" s="170">
        <f t="shared" si="49"/>
        <v>7079.5</v>
      </c>
      <c r="AB131" s="170">
        <f t="shared" si="50"/>
        <v>50119320.25</v>
      </c>
      <c r="AD131" s="686">
        <f t="shared" si="51"/>
        <v>17.165672661830037</v>
      </c>
      <c r="AE131" s="687">
        <f t="shared" si="52"/>
        <v>-7.922567760095971</v>
      </c>
      <c r="AG131" s="686">
        <f t="shared" si="53"/>
        <v>8.596094484417609</v>
      </c>
      <c r="AH131" s="687">
        <f t="shared" si="54"/>
        <v>-82.903415509704885</v>
      </c>
      <c r="AJ131" s="170">
        <f t="shared" si="55"/>
        <v>0</v>
      </c>
      <c r="AK131" s="170">
        <f t="shared" si="65"/>
        <v>0</v>
      </c>
      <c r="AM131" s="170" t="str">
        <f t="shared" si="59"/>
        <v>0.0185644800178369+0.191792388058914i</v>
      </c>
      <c r="AN131" s="170" t="str">
        <f t="shared" si="60"/>
        <v>0.192988113989313i</v>
      </c>
      <c r="AO131" s="170" t="str">
        <f t="shared" si="61"/>
        <v>0.993804147283054-0.096194939854508i</v>
      </c>
      <c r="AP131" s="170" t="str">
        <f t="shared" si="62"/>
        <v>0.163572586663694-0.031965398009819i</v>
      </c>
      <c r="AQ131" s="170" t="str">
        <f t="shared" si="63"/>
        <v>0.836427413336306+0.031965398009819i</v>
      </c>
      <c r="AR131" s="170" t="str">
        <f t="shared" si="64"/>
        <v>0.994449916951414-0.0380044782001929i</v>
      </c>
    </row>
    <row r="132" spans="7:44">
      <c r="G132" s="688">
        <v>7161.95</v>
      </c>
      <c r="H132" s="676">
        <f t="shared" si="56"/>
        <v>7.16195</v>
      </c>
      <c r="I132" s="677">
        <f t="shared" si="34"/>
        <v>58.913303036658128</v>
      </c>
      <c r="J132" s="678">
        <f t="shared" si="35"/>
        <v>1.5538214166360136</v>
      </c>
      <c r="K132" s="678">
        <f t="shared" si="36"/>
        <v>1.0000490034921428</v>
      </c>
      <c r="L132" s="679">
        <f t="shared" si="37"/>
        <v>9.8996455601130066E-3</v>
      </c>
      <c r="M132" s="678">
        <f t="shared" si="38"/>
        <v>1.0007312592943447</v>
      </c>
      <c r="N132" s="679">
        <f t="shared" si="39"/>
        <v>-3.823124260183005E-2</v>
      </c>
      <c r="O132" s="677">
        <f t="shared" si="40"/>
        <v>296999.06913329457</v>
      </c>
      <c r="P132" s="680">
        <f t="shared" si="41"/>
        <v>1.5707929597809767</v>
      </c>
      <c r="Q132" s="689">
        <f t="shared" si="42"/>
        <v>11.921976149282866</v>
      </c>
      <c r="R132" s="690">
        <f t="shared" si="43"/>
        <v>1.4868189456979948</v>
      </c>
      <c r="S132" s="677">
        <f t="shared" si="44"/>
        <v>1.0014569295387388</v>
      </c>
      <c r="T132" s="680">
        <f t="shared" si="45"/>
        <v>5.3947434885457571E-2</v>
      </c>
      <c r="U132" s="681">
        <f t="shared" si="57"/>
        <v>0.99349360279357313</v>
      </c>
      <c r="V132" s="682">
        <f t="shared" si="58"/>
        <v>-0.13625131365255191</v>
      </c>
      <c r="W132" s="683">
        <f t="shared" si="46"/>
        <v>-15.436173143084096</v>
      </c>
      <c r="X132" s="684">
        <f t="shared" si="47"/>
        <v>-106.35963250479654</v>
      </c>
      <c r="Y132" s="687">
        <f t="shared" si="48"/>
        <v>73.640367495203463</v>
      </c>
      <c r="AA132" s="170">
        <f t="shared" si="49"/>
        <v>7161.95</v>
      </c>
      <c r="AB132" s="170">
        <f t="shared" si="50"/>
        <v>51293527.802499995</v>
      </c>
      <c r="AD132" s="686">
        <f t="shared" si="51"/>
        <v>17.164667792927062</v>
      </c>
      <c r="AE132" s="687">
        <f t="shared" si="52"/>
        <v>-7.9023169392502579</v>
      </c>
      <c r="AG132" s="686">
        <f t="shared" si="53"/>
        <v>8.496916517853851</v>
      </c>
      <c r="AH132" s="687">
        <f t="shared" si="54"/>
        <v>-82.844065096896685</v>
      </c>
      <c r="AJ132" s="170">
        <f t="shared" si="55"/>
        <v>0</v>
      </c>
      <c r="AK132" s="170">
        <f t="shared" si="65"/>
        <v>0</v>
      </c>
      <c r="AM132" s="170" t="str">
        <f t="shared" si="59"/>
        <v>0.018998030797825+0.193997774269332i</v>
      </c>
      <c r="AN132" s="170" t="str">
        <f t="shared" si="60"/>
        <v>0.195235711983298i</v>
      </c>
      <c r="AO132" s="170" t="str">
        <f t="shared" si="61"/>
        <v>0.993659266015472-0.0973081748458512i</v>
      </c>
      <c r="AP132" s="170" t="str">
        <f t="shared" si="62"/>
        <v>0.163500328200363-0.032332962378222i</v>
      </c>
      <c r="AQ132" s="170" t="str">
        <f t="shared" si="63"/>
        <v>0.836499671799637+0.032332962378222i</v>
      </c>
      <c r="AR132" s="170" t="str">
        <f t="shared" si="64"/>
        <v>0.994330729918597-0.0384335573172451i</v>
      </c>
    </row>
    <row r="133" spans="7:44">
      <c r="G133" s="688">
        <v>7244.4</v>
      </c>
      <c r="H133" s="676">
        <f t="shared" si="56"/>
        <v>7.2443999999999997</v>
      </c>
      <c r="I133" s="677">
        <f t="shared" si="34"/>
        <v>59.591332104586982</v>
      </c>
      <c r="J133" s="678">
        <f t="shared" si="35"/>
        <v>1.5540145750855678</v>
      </c>
      <c r="K133" s="678">
        <f t="shared" si="36"/>
        <v>1.0000501382369278</v>
      </c>
      <c r="L133" s="679">
        <f t="shared" si="37"/>
        <v>1.0013604960104441E-2</v>
      </c>
      <c r="M133" s="678">
        <f t="shared" si="38"/>
        <v>1.0007481867262062</v>
      </c>
      <c r="N133" s="679">
        <f t="shared" si="39"/>
        <v>-3.8670933210721209E-2</v>
      </c>
      <c r="O133" s="677">
        <f t="shared" si="40"/>
        <v>300418.19007797632</v>
      </c>
      <c r="P133" s="680">
        <f t="shared" si="41"/>
        <v>1.5707929981016515</v>
      </c>
      <c r="Q133" s="689">
        <f t="shared" si="42"/>
        <v>12.058264480677284</v>
      </c>
      <c r="R133" s="690">
        <f t="shared" si="43"/>
        <v>1.4877702982035463</v>
      </c>
      <c r="S133" s="677">
        <f t="shared" si="44"/>
        <v>1.0014906425284382</v>
      </c>
      <c r="T133" s="680">
        <f t="shared" si="45"/>
        <v>5.4567264938970371E-2</v>
      </c>
      <c r="U133" s="681">
        <f t="shared" si="57"/>
        <v>0.9933534491972188</v>
      </c>
      <c r="V133" s="682">
        <f t="shared" si="58"/>
        <v>-0.13781025244955722</v>
      </c>
      <c r="W133" s="683">
        <f t="shared" si="46"/>
        <v>-15.53762021467505</v>
      </c>
      <c r="X133" s="684">
        <f t="shared" si="47"/>
        <v>-106.45969066425815</v>
      </c>
      <c r="Y133" s="687">
        <f t="shared" si="48"/>
        <v>73.540309335741853</v>
      </c>
      <c r="AA133" s="170">
        <f t="shared" si="49"/>
        <v>7244.4</v>
      </c>
      <c r="AB133" s="170">
        <f t="shared" si="50"/>
        <v>52481331.359999992</v>
      </c>
      <c r="AD133" s="686">
        <f t="shared" si="51"/>
        <v>17.163683785104226</v>
      </c>
      <c r="AE133" s="687">
        <f t="shared" si="52"/>
        <v>-7.8833242975258404</v>
      </c>
      <c r="AG133" s="686">
        <f t="shared" si="53"/>
        <v>8.3989042892843706</v>
      </c>
      <c r="AH133" s="687">
        <f t="shared" si="54"/>
        <v>-82.784474670703375</v>
      </c>
      <c r="AJ133" s="170">
        <f t="shared" si="55"/>
        <v>0</v>
      </c>
      <c r="AK133" s="170">
        <f t="shared" si="65"/>
        <v>0</v>
      </c>
      <c r="AM133" s="170" t="str">
        <f t="shared" si="59"/>
        <v>0.019436537300179+0.196202180462239i</v>
      </c>
      <c r="AN133" s="170" t="str">
        <f t="shared" si="60"/>
        <v>0.197483309977284i</v>
      </c>
      <c r="AO133" s="170" t="str">
        <f t="shared" si="61"/>
        <v>0.993512720061293-0.0984211643121372i</v>
      </c>
      <c r="AP133" s="170" t="str">
        <f t="shared" si="62"/>
        <v>0.163427243783304-0.0327003634103732i</v>
      </c>
      <c r="AQ133" s="170" t="str">
        <f t="shared" si="63"/>
        <v>0.836572756216696+0.0327003634103732i</v>
      </c>
      <c r="AR133" s="170" t="str">
        <f t="shared" si="64"/>
        <v>0.994210230506908-0.0388621737945594i</v>
      </c>
    </row>
    <row r="134" spans="7:44">
      <c r="G134" s="688">
        <v>7328.75</v>
      </c>
      <c r="H134" s="676">
        <f t="shared" si="56"/>
        <v>7.3287500000000003</v>
      </c>
      <c r="I134" s="677">
        <f t="shared" si="34"/>
        <v>60.284988105376023</v>
      </c>
      <c r="J134" s="678">
        <f t="shared" si="35"/>
        <v>1.5542076884502263</v>
      </c>
      <c r="K134" s="678">
        <f t="shared" si="36"/>
        <v>1.0000513125708184</v>
      </c>
      <c r="L134" s="679">
        <f t="shared" si="37"/>
        <v>1.0130190202013771E-2</v>
      </c>
      <c r="M134" s="678">
        <f t="shared" si="38"/>
        <v>1.0007657044429865</v>
      </c>
      <c r="N134" s="679">
        <f t="shared" si="39"/>
        <v>-3.9120740686703064E-2</v>
      </c>
      <c r="O134" s="677">
        <f t="shared" si="40"/>
        <v>303916.1021663202</v>
      </c>
      <c r="P134" s="680">
        <f t="shared" si="41"/>
        <v>1.5707930364131337</v>
      </c>
      <c r="Q134" s="689">
        <f t="shared" si="42"/>
        <v>12.197704515520561</v>
      </c>
      <c r="R134" s="690">
        <f t="shared" si="43"/>
        <v>1.4887215730939092</v>
      </c>
      <c r="S134" s="677">
        <f t="shared" si="44"/>
        <v>1.0015255305461273</v>
      </c>
      <c r="T134" s="680">
        <f t="shared" si="45"/>
        <v>5.5201335090445149E-2</v>
      </c>
      <c r="U134" s="681">
        <f t="shared" si="57"/>
        <v>0.9932084648086652</v>
      </c>
      <c r="V134" s="682">
        <f t="shared" si="58"/>
        <v>-0.13940477753824018</v>
      </c>
      <c r="W134" s="683">
        <f t="shared" si="46"/>
        <v>-15.640233743732308</v>
      </c>
      <c r="X134" s="684">
        <f t="shared" si="47"/>
        <v>-106.56303473300669</v>
      </c>
      <c r="Y134" s="687">
        <f t="shared" si="48"/>
        <v>73.436965266993312</v>
      </c>
      <c r="AA134" s="170">
        <f t="shared" si="49"/>
        <v>7328.75</v>
      </c>
      <c r="AB134" s="170">
        <f t="shared" si="50"/>
        <v>53710576.5625</v>
      </c>
      <c r="AD134" s="686">
        <f t="shared" si="51"/>
        <v>17.162697567750584</v>
      </c>
      <c r="AE134" s="687">
        <f t="shared" si="52"/>
        <v>-7.8651519998114825</v>
      </c>
      <c r="AG134" s="686">
        <f t="shared" si="53"/>
        <v>8.2998126516849933</v>
      </c>
      <c r="AH134" s="687">
        <f t="shared" si="54"/>
        <v>-82.723271921138959</v>
      </c>
      <c r="AJ134" s="170">
        <f t="shared" si="55"/>
        <v>0</v>
      </c>
      <c r="AK134" s="170">
        <f t="shared" si="65"/>
        <v>0</v>
      </c>
      <c r="AM134" s="170" t="str">
        <f t="shared" si="59"/>
        <v>0.0198902748940299+0.198456359819229i</v>
      </c>
      <c r="AN134" s="170" t="str">
        <f t="shared" si="60"/>
        <v>0.199782702224617i</v>
      </c>
      <c r="AO134" s="170" t="str">
        <f t="shared" si="61"/>
        <v>0.993361074854735-0.0995595448081743i</v>
      </c>
      <c r="AP134" s="170" t="str">
        <f t="shared" si="62"/>
        <v>0.163351620850995-0.0330760599698715i</v>
      </c>
      <c r="AQ134" s="170" t="str">
        <f t="shared" si="63"/>
        <v>0.836648379149005+0.0330760599698715i</v>
      </c>
      <c r="AR134" s="170" t="str">
        <f t="shared" si="64"/>
        <v>0.994085598561494-0.0393001835569799i</v>
      </c>
    </row>
    <row r="135" spans="7:44">
      <c r="G135" s="688">
        <v>7413.1</v>
      </c>
      <c r="H135" s="676">
        <f t="shared" si="56"/>
        <v>7.4131</v>
      </c>
      <c r="I135" s="677">
        <f t="shared" si="34"/>
        <v>60.978646303211121</v>
      </c>
      <c r="J135" s="678">
        <f t="shared" si="35"/>
        <v>1.554396408327456</v>
      </c>
      <c r="K135" s="678">
        <f t="shared" si="36"/>
        <v>1.0000525004974929</v>
      </c>
      <c r="L135" s="679">
        <f t="shared" si="37"/>
        <v>1.0246775168532837E-2</v>
      </c>
      <c r="M135" s="678">
        <f t="shared" si="38"/>
        <v>1.0007834246343421</v>
      </c>
      <c r="N135" s="679">
        <f t="shared" si="39"/>
        <v>-3.9570532324817109E-2</v>
      </c>
      <c r="O135" s="677">
        <f t="shared" si="40"/>
        <v>307414.01425466448</v>
      </c>
      <c r="P135" s="680">
        <f t="shared" si="41"/>
        <v>1.5707930738527611</v>
      </c>
      <c r="Q135" s="689">
        <f t="shared" si="42"/>
        <v>12.33715533883996</v>
      </c>
      <c r="R135" s="690">
        <f t="shared" si="43"/>
        <v>1.4896513436795464</v>
      </c>
      <c r="S135" s="677">
        <f t="shared" si="44"/>
        <v>1.0015608211939584</v>
      </c>
      <c r="T135" s="680">
        <f t="shared" si="45"/>
        <v>5.5835360813062389E-2</v>
      </c>
      <c r="U135" s="681">
        <f t="shared" si="57"/>
        <v>0.99306186315608835</v>
      </c>
      <c r="V135" s="682">
        <f t="shared" si="58"/>
        <v>-0.14099895670638971</v>
      </c>
      <c r="W135" s="683">
        <f t="shared" si="46"/>
        <v>-15.741690383564448</v>
      </c>
      <c r="X135" s="684">
        <f t="shared" si="47"/>
        <v>-106.6673358723809</v>
      </c>
      <c r="Y135" s="687">
        <f t="shared" si="48"/>
        <v>73.332664127619097</v>
      </c>
      <c r="AA135" s="170">
        <f t="shared" si="49"/>
        <v>7413.1</v>
      </c>
      <c r="AB135" s="170">
        <f t="shared" si="50"/>
        <v>54954051.610000007</v>
      </c>
      <c r="AD135" s="686">
        <f t="shared" si="51"/>
        <v>17.161730970360392</v>
      </c>
      <c r="AE135" s="687">
        <f t="shared" si="52"/>
        <v>-7.8482092124610334</v>
      </c>
      <c r="AG135" s="686">
        <f t="shared" si="53"/>
        <v>8.201886944539055</v>
      </c>
      <c r="AH135" s="687">
        <f t="shared" si="54"/>
        <v>-82.661836371409606</v>
      </c>
      <c r="AJ135" s="170">
        <f t="shared" si="55"/>
        <v>0</v>
      </c>
      <c r="AK135" s="170">
        <f t="shared" si="65"/>
        <v>0</v>
      </c>
      <c r="AM135" s="170" t="str">
        <f t="shared" si="59"/>
        <v>0.020349194526349+0.200709489897282i</v>
      </c>
      <c r="AN135" s="170" t="str">
        <f t="shared" si="60"/>
        <v>0.202082094471951i</v>
      </c>
      <c r="AO135" s="170" t="str">
        <f t="shared" si="61"/>
        <v>0.993207688299868-0.100697662400631i</v>
      </c>
      <c r="AP135" s="170" t="str">
        <f t="shared" si="62"/>
        <v>0.163275134245608-0.033451581649547i</v>
      </c>
      <c r="AQ135" s="170" t="str">
        <f t="shared" si="63"/>
        <v>0.836724865754392+0.033451581649547i</v>
      </c>
      <c r="AR135" s="170" t="str">
        <f t="shared" si="64"/>
        <v>0.993959597909297-0.0397376987426278i</v>
      </c>
    </row>
    <row r="136" spans="7:44">
      <c r="G136" s="688">
        <v>7499.45</v>
      </c>
      <c r="H136" s="676">
        <f t="shared" si="56"/>
        <v>7.4994499999999995</v>
      </c>
      <c r="I136" s="677">
        <f t="shared" si="34"/>
        <v>61.688753841092996</v>
      </c>
      <c r="J136" s="678">
        <f t="shared" si="35"/>
        <v>1.5545852066288366</v>
      </c>
      <c r="K136" s="678">
        <f t="shared" si="36"/>
        <v>1.0000537306707715</v>
      </c>
      <c r="L136" s="679">
        <f t="shared" si="37"/>
        <v>1.0366124161040728E-2</v>
      </c>
      <c r="M136" s="678">
        <f t="shared" si="38"/>
        <v>1.0008017747058462</v>
      </c>
      <c r="N136" s="679">
        <f t="shared" si="39"/>
        <v>-4.0030972255877838E-2</v>
      </c>
      <c r="O136" s="677">
        <f t="shared" si="40"/>
        <v>310994.86438896874</v>
      </c>
      <c r="P136" s="680">
        <f t="shared" si="41"/>
        <v>1.5707931113077149</v>
      </c>
      <c r="Q136" s="689">
        <f t="shared" si="42"/>
        <v>12.479923440490367</v>
      </c>
      <c r="R136" s="690">
        <f t="shared" si="43"/>
        <v>1.4905816355913837</v>
      </c>
      <c r="S136" s="677">
        <f t="shared" si="44"/>
        <v>1.0015973656276467</v>
      </c>
      <c r="T136" s="680">
        <f t="shared" si="45"/>
        <v>5.6484373199071299E-2</v>
      </c>
      <c r="U136" s="681">
        <f t="shared" si="57"/>
        <v>0.99291011238895355</v>
      </c>
      <c r="V136" s="682">
        <f t="shared" si="58"/>
        <v>-0.14263057276324845</v>
      </c>
      <c r="W136" s="683">
        <f t="shared" si="46"/>
        <v>-15.844382469521925</v>
      </c>
      <c r="X136" s="684">
        <f t="shared" si="47"/>
        <v>-106.77506701972274</v>
      </c>
      <c r="Y136" s="687">
        <f t="shared" si="48"/>
        <v>73.224932980277259</v>
      </c>
      <c r="AA136" s="170">
        <f t="shared" si="49"/>
        <v>7499.45</v>
      </c>
      <c r="AB136" s="170">
        <f t="shared" si="50"/>
        <v>56241750.302499995</v>
      </c>
      <c r="AD136" s="686">
        <f t="shared" si="51"/>
        <v>17.160760705241003</v>
      </c>
      <c r="AE136" s="687">
        <f t="shared" si="52"/>
        <v>-7.8320952287599965</v>
      </c>
      <c r="AG136" s="686">
        <f t="shared" si="53"/>
        <v>8.1028199253489674</v>
      </c>
      <c r="AH136" s="687">
        <f t="shared" si="54"/>
        <v>-82.598712074551273</v>
      </c>
      <c r="AJ136" s="170">
        <f t="shared" si="55"/>
        <v>0</v>
      </c>
      <c r="AK136" s="170">
        <f t="shared" si="65"/>
        <v>0</v>
      </c>
      <c r="AM136" s="170" t="str">
        <f t="shared" si="59"/>
        <v>0.020824360744338+0.203014944002324i</v>
      </c>
      <c r="AN136" s="170" t="str">
        <f t="shared" si="60"/>
        <v>0.204436006985967i</v>
      </c>
      <c r="AO136" s="170" t="str">
        <f t="shared" si="61"/>
        <v>0.993048861574857-0.101862490132511i</v>
      </c>
      <c r="AP136" s="170" t="str">
        <f t="shared" si="62"/>
        <v>0.163195939875944-0.0338358240003873i</v>
      </c>
      <c r="AQ136" s="170" t="str">
        <f t="shared" si="63"/>
        <v>0.836804060124056+0.0338358240003873i</v>
      </c>
      <c r="AR136" s="170" t="str">
        <f t="shared" si="64"/>
        <v>0.993829194520829-0.040185069975961i</v>
      </c>
    </row>
    <row r="137" spans="7:44">
      <c r="G137" s="688">
        <v>7585.8</v>
      </c>
      <c r="H137" s="676">
        <f t="shared" si="56"/>
        <v>7.5857999999999999</v>
      </c>
      <c r="I137" s="677">
        <f t="shared" si="34"/>
        <v>62.398863527810867</v>
      </c>
      <c r="J137" s="678">
        <f t="shared" si="35"/>
        <v>1.5547697078230664</v>
      </c>
      <c r="K137" s="678">
        <f t="shared" si="36"/>
        <v>1.0000549750889625</v>
      </c>
      <c r="L137" s="679">
        <f t="shared" si="37"/>
        <v>1.0485472858224857E-2</v>
      </c>
      <c r="M137" s="678">
        <f t="shared" si="38"/>
        <v>1.0008203369444539</v>
      </c>
      <c r="N137" s="679">
        <f t="shared" si="39"/>
        <v>-4.0491395204966779E-2</v>
      </c>
      <c r="O137" s="677">
        <f t="shared" si="40"/>
        <v>314575.71452327352</v>
      </c>
      <c r="P137" s="680">
        <f t="shared" si="41"/>
        <v>1.5707931479099611</v>
      </c>
      <c r="Q137" s="689">
        <f t="shared" si="42"/>
        <v>12.622702098478157</v>
      </c>
      <c r="R137" s="690">
        <f t="shared" si="43"/>
        <v>1.4914908827290574</v>
      </c>
      <c r="S137" s="677">
        <f t="shared" si="44"/>
        <v>1.0016343319203611</v>
      </c>
      <c r="T137" s="680">
        <f t="shared" si="45"/>
        <v>5.713333795354731E-2</v>
      </c>
      <c r="U137" s="681">
        <f t="shared" si="57"/>
        <v>0.99275667115775235</v>
      </c>
      <c r="V137" s="682">
        <f t="shared" si="58"/>
        <v>-0.14426181830312168</v>
      </c>
      <c r="W137" s="683">
        <f t="shared" si="46"/>
        <v>-15.945918431002061</v>
      </c>
      <c r="X137" s="684">
        <f t="shared" si="47"/>
        <v>-106.8837327746258</v>
      </c>
      <c r="Y137" s="687">
        <f t="shared" si="48"/>
        <v>73.116267225374202</v>
      </c>
      <c r="AA137" s="170">
        <f t="shared" si="49"/>
        <v>7585.8</v>
      </c>
      <c r="AB137" s="170">
        <f t="shared" si="50"/>
        <v>57544361.640000001</v>
      </c>
      <c r="AD137" s="686">
        <f t="shared" si="51"/>
        <v>17.159808884141398</v>
      </c>
      <c r="AE137" s="687">
        <f t="shared" si="52"/>
        <v>-7.8171842438583372</v>
      </c>
      <c r="AG137" s="686">
        <f t="shared" si="53"/>
        <v>8.0049205729980084</v>
      </c>
      <c r="AH137" s="687">
        <f t="shared" si="54"/>
        <v>-82.535361844573828</v>
      </c>
      <c r="AJ137" s="170">
        <f t="shared" si="55"/>
        <v>0</v>
      </c>
      <c r="AK137" s="170">
        <f t="shared" si="65"/>
        <v>0</v>
      </c>
      <c r="AM137" s="170" t="str">
        <f t="shared" si="59"/>
        <v>0.02130495247816+0.205319273221545i</v>
      </c>
      <c r="AN137" s="170" t="str">
        <f t="shared" si="60"/>
        <v>0.206789919499983i</v>
      </c>
      <c r="AO137" s="170" t="str">
        <f t="shared" si="61"/>
        <v>0.99288821098246-0.103027035987418i</v>
      </c>
      <c r="AP137" s="170" t="str">
        <f t="shared" si="62"/>
        <v>0.16311584125364-0.0342198788702575i</v>
      </c>
      <c r="AQ137" s="170" t="str">
        <f t="shared" si="63"/>
        <v>0.83688415874636+0.0342198788702575i</v>
      </c>
      <c r="AR137" s="170" t="str">
        <f t="shared" si="64"/>
        <v>0.993697362062752-0.0406319118459831i</v>
      </c>
    </row>
    <row r="138" spans="7:44">
      <c r="G138" s="688">
        <v>7674.15</v>
      </c>
      <c r="H138" s="676">
        <f t="shared" si="56"/>
        <v>7.67415</v>
      </c>
      <c r="I138" s="677">
        <f t="shared" si="34"/>
        <v>63.125422605269925</v>
      </c>
      <c r="J138" s="678">
        <f t="shared" si="35"/>
        <v>1.554954186039941</v>
      </c>
      <c r="K138" s="678">
        <f t="shared" si="36"/>
        <v>1.0000562630733889</v>
      </c>
      <c r="L138" s="679">
        <f t="shared" si="37"/>
        <v>1.0607585547235645E-2</v>
      </c>
      <c r="M138" s="678">
        <f t="shared" si="38"/>
        <v>1.0008395486961914</v>
      </c>
      <c r="N138" s="679">
        <f t="shared" si="39"/>
        <v>-4.0962464484919678E-2</v>
      </c>
      <c r="O138" s="677">
        <f t="shared" si="40"/>
        <v>318239.50270353816</v>
      </c>
      <c r="P138" s="680">
        <f t="shared" si="41"/>
        <v>1.5707931845074323</v>
      </c>
      <c r="Q138" s="689">
        <f t="shared" si="42"/>
        <v>12.768798288327387</v>
      </c>
      <c r="R138" s="690">
        <f t="shared" si="43"/>
        <v>1.4924001426519162</v>
      </c>
      <c r="S138" s="677">
        <f t="shared" si="44"/>
        <v>1.001672590989608</v>
      </c>
      <c r="T138" s="680">
        <f t="shared" si="45"/>
        <v>5.7797283875074552E-2</v>
      </c>
      <c r="U138" s="681">
        <f t="shared" si="57"/>
        <v>0.99259792870004837</v>
      </c>
      <c r="V138" s="682">
        <f t="shared" si="58"/>
        <v>-0.14593045832420942</v>
      </c>
      <c r="W138" s="683">
        <f t="shared" si="46"/>
        <v>-16.048637677451541</v>
      </c>
      <c r="X138" s="684">
        <f t="shared" si="47"/>
        <v>-106.995849008571</v>
      </c>
      <c r="Y138" s="687">
        <f t="shared" si="48"/>
        <v>73.004150991429</v>
      </c>
      <c r="AA138" s="170">
        <f t="shared" si="49"/>
        <v>7674.15</v>
      </c>
      <c r="AB138" s="170">
        <f t="shared" si="50"/>
        <v>58892578.222499996</v>
      </c>
      <c r="AD138" s="686">
        <f t="shared" si="51"/>
        <v>17.158853082219917</v>
      </c>
      <c r="AE138" s="687">
        <f t="shared" si="52"/>
        <v>-7.8031308837911668</v>
      </c>
      <c r="AG138" s="686">
        <f t="shared" si="53"/>
        <v>7.9059351097364869</v>
      </c>
      <c r="AH138" s="687">
        <f t="shared" si="54"/>
        <v>-82.47031937689782</v>
      </c>
      <c r="AJ138" s="170">
        <f t="shared" si="55"/>
        <v>0</v>
      </c>
      <c r="AK138" s="170">
        <f t="shared" si="65"/>
        <v>0</v>
      </c>
      <c r="AM138" s="170" t="str">
        <f t="shared" si="59"/>
        <v>0.021802288150889+0.20767579669563i</v>
      </c>
      <c r="AN138" s="170" t="str">
        <f t="shared" si="60"/>
        <v>0.209198352280682i</v>
      </c>
      <c r="AO138" s="170" t="str">
        <f t="shared" si="61"/>
        <v>0.992721952307687-0.104218259432736i</v>
      </c>
      <c r="AP138" s="170" t="str">
        <f t="shared" si="62"/>
        <v>0.163032951974852-0.034612632782605i</v>
      </c>
      <c r="AQ138" s="170" t="str">
        <f t="shared" si="63"/>
        <v>0.836967048025148+0.034612632782605i</v>
      </c>
      <c r="AR138" s="170" t="str">
        <f t="shared" si="64"/>
        <v>0.99356099990374-0.041088549564681i</v>
      </c>
    </row>
    <row r="139" spans="7:44">
      <c r="G139" s="688">
        <v>7762.5</v>
      </c>
      <c r="H139" s="676">
        <f t="shared" si="56"/>
        <v>7.7625000000000002</v>
      </c>
      <c r="I139" s="677">
        <f t="shared" si="34"/>
        <v>63.851983782136642</v>
      </c>
      <c r="J139" s="678">
        <f t="shared" si="35"/>
        <v>1.5551344659685169</v>
      </c>
      <c r="K139" s="678">
        <f t="shared" si="36"/>
        <v>1.0000575659701245</v>
      </c>
      <c r="L139" s="679">
        <f t="shared" si="37"/>
        <v>1.0729697919885175E-2</v>
      </c>
      <c r="M139" s="678">
        <f t="shared" si="38"/>
        <v>1.0008589825319416</v>
      </c>
      <c r="N139" s="679">
        <f t="shared" si="39"/>
        <v>-4.1433515575746295E-2</v>
      </c>
      <c r="O139" s="677">
        <f t="shared" si="40"/>
        <v>321903.29088380327</v>
      </c>
      <c r="P139" s="680">
        <f t="shared" si="41"/>
        <v>1.5707932202718249</v>
      </c>
      <c r="Q139" s="689">
        <f t="shared" si="42"/>
        <v>12.914904795983436</v>
      </c>
      <c r="R139" s="690">
        <f t="shared" si="43"/>
        <v>1.4932888303539849</v>
      </c>
      <c r="S139" s="677">
        <f t="shared" si="44"/>
        <v>1.0017112915865169</v>
      </c>
      <c r="T139" s="680">
        <f t="shared" si="45"/>
        <v>5.846117878683043E-2</v>
      </c>
      <c r="U139" s="681">
        <f t="shared" si="57"/>
        <v>0.99243742137826985</v>
      </c>
      <c r="V139" s="682">
        <f t="shared" si="58"/>
        <v>-0.14759870192963895</v>
      </c>
      <c r="W139" s="683">
        <f t="shared" si="46"/>
        <v>-16.150202801318269</v>
      </c>
      <c r="X139" s="684">
        <f t="shared" si="47"/>
        <v>-107.10887669238841</v>
      </c>
      <c r="Y139" s="687">
        <f t="shared" si="48"/>
        <v>72.891123307611593</v>
      </c>
      <c r="AA139" s="170">
        <f t="shared" si="49"/>
        <v>7762.5</v>
      </c>
      <c r="AB139" s="170">
        <f t="shared" si="50"/>
        <v>60256406.25</v>
      </c>
      <c r="AD139" s="686">
        <f t="shared" si="51"/>
        <v>17.157914565481928</v>
      </c>
      <c r="AE139" s="687">
        <f t="shared" si="52"/>
        <v>-7.7902532547753003</v>
      </c>
      <c r="AG139" s="686">
        <f t="shared" si="53"/>
        <v>7.8081178206101773</v>
      </c>
      <c r="AH139" s="687">
        <f t="shared" si="54"/>
        <v>-82.405058053931029</v>
      </c>
      <c r="AJ139" s="170">
        <f t="shared" si="55"/>
        <v>0</v>
      </c>
      <c r="AK139" s="170">
        <f t="shared" si="65"/>
        <v>0</v>
      </c>
      <c r="AM139" s="170" t="str">
        <f t="shared" si="59"/>
        <v>0.022305297904106+0.210031115536773i</v>
      </c>
      <c r="AN139" s="170" t="str">
        <f t="shared" si="60"/>
        <v>0.21160678506138i</v>
      </c>
      <c r="AO139" s="170" t="str">
        <f t="shared" si="61"/>
        <v>0.992553785436748-0.105409180984608i</v>
      </c>
      <c r="AP139" s="170" t="str">
        <f t="shared" si="62"/>
        <v>0.162949117015982-0.0350051859227955i</v>
      </c>
      <c r="AQ139" s="170" t="str">
        <f t="shared" si="63"/>
        <v>0.837050882984018+0.0350051859227955i</v>
      </c>
      <c r="AR139" s="170" t="str">
        <f t="shared" si="64"/>
        <v>0.993423147516893-0.0415446213435289i</v>
      </c>
    </row>
    <row r="140" spans="7:44">
      <c r="G140" s="688">
        <v>7852.9</v>
      </c>
      <c r="H140" s="676">
        <f t="shared" si="56"/>
        <v>7.8529</v>
      </c>
      <c r="I140" s="677">
        <f t="shared" si="34"/>
        <v>64.595405580082726</v>
      </c>
      <c r="J140" s="678">
        <f t="shared" si="35"/>
        <v>1.5553147311803133</v>
      </c>
      <c r="K140" s="678">
        <f t="shared" si="36"/>
        <v>1.0000589145334755</v>
      </c>
      <c r="L140" s="679">
        <f t="shared" si="37"/>
        <v>1.0854643355325716E-2</v>
      </c>
      <c r="M140" s="678">
        <f t="shared" si="38"/>
        <v>1.0008790971541524</v>
      </c>
      <c r="N140" s="679">
        <f t="shared" si="39"/>
        <v>-4.1915477500714941E-2</v>
      </c>
      <c r="O140" s="677">
        <f t="shared" si="40"/>
        <v>325652.09056117741</v>
      </c>
      <c r="P140" s="680">
        <f t="shared" si="41"/>
        <v>1.5707932560330959</v>
      </c>
      <c r="Q140" s="689">
        <f t="shared" si="42"/>
        <v>13.064411756270715</v>
      </c>
      <c r="R140" s="690">
        <f t="shared" si="43"/>
        <v>1.4941775631638023</v>
      </c>
      <c r="S140" s="677">
        <f t="shared" si="44"/>
        <v>1.0017513471203241</v>
      </c>
      <c r="T140" s="680">
        <f t="shared" si="45"/>
        <v>5.9140424761438756E-2</v>
      </c>
      <c r="U140" s="681">
        <f t="shared" si="57"/>
        <v>0.99227136559195273</v>
      </c>
      <c r="V140" s="682">
        <f t="shared" si="58"/>
        <v>-0.14930523926447573</v>
      </c>
      <c r="W140" s="683">
        <f t="shared" si="46"/>
        <v>-16.252958057567525</v>
      </c>
      <c r="X140" s="684">
        <f t="shared" si="47"/>
        <v>-107.22543739073357</v>
      </c>
      <c r="Y140" s="687">
        <f t="shared" si="48"/>
        <v>72.774562609266425</v>
      </c>
      <c r="AA140" s="170">
        <f t="shared" si="49"/>
        <v>7852.9</v>
      </c>
      <c r="AB140" s="170">
        <f t="shared" si="50"/>
        <v>61668038.409999996</v>
      </c>
      <c r="AD140" s="686">
        <f t="shared" si="51"/>
        <v>17.156971184560604</v>
      </c>
      <c r="AE140" s="687">
        <f t="shared" si="52"/>
        <v>-7.7782525922104515</v>
      </c>
      <c r="AG140" s="686">
        <f t="shared" si="53"/>
        <v>7.7092128548430807</v>
      </c>
      <c r="AH140" s="687">
        <f t="shared" si="54"/>
        <v>-82.338064640882322</v>
      </c>
      <c r="AJ140" s="170">
        <f t="shared" si="55"/>
        <v>0</v>
      </c>
      <c r="AK140" s="170">
        <f t="shared" si="65"/>
        <v>0</v>
      </c>
      <c r="AM140" s="170" t="str">
        <f t="shared" si="59"/>
        <v>0.022825849127006+0.212439824104716i</v>
      </c>
      <c r="AN140" s="170" t="str">
        <f t="shared" si="60"/>
        <v>0.214071101115428i</v>
      </c>
      <c r="AO140" s="170" t="str">
        <f t="shared" si="61"/>
        <v>0.992379742047329-0.106627419619326i</v>
      </c>
      <c r="AP140" s="170" t="str">
        <f t="shared" si="62"/>
        <v>0.162862358478832-0.035406637350786i</v>
      </c>
      <c r="AQ140" s="170" t="str">
        <f t="shared" si="63"/>
        <v>0.837137641521168+0.035406637350786i</v>
      </c>
      <c r="AR140" s="170" t="str">
        <f t="shared" si="64"/>
        <v>0.993280557131294-0.0420106834642259i</v>
      </c>
    </row>
    <row r="141" spans="7:44">
      <c r="G141" s="688">
        <v>7943.3</v>
      </c>
      <c r="H141" s="676">
        <f t="shared" si="56"/>
        <v>7.9432999999999998</v>
      </c>
      <c r="I141" s="677">
        <f t="shared" ref="I141:I204" si="66">SQRT(1+(G141/pole1)^2)</f>
        <v>65.338829429325742</v>
      </c>
      <c r="J141" s="678">
        <f t="shared" ref="J141:J204" si="67">ATAN(G141/pole1)</f>
        <v>1.5554908942900267</v>
      </c>
      <c r="K141" s="678">
        <f t="shared" ref="K141:K204" si="68">SQRT(1+(G141/Zero1)^2)</f>
        <v>1.0000602787090658</v>
      </c>
      <c r="L141" s="679">
        <f t="shared" ref="L141:L204" si="69">ATAN(G141/Zero1)</f>
        <v>1.0979588451842338E-2</v>
      </c>
      <c r="M141" s="678">
        <f t="shared" ref="M141:M204" si="70">SQRT(1+(G141/z_RHP)^2)</f>
        <v>1.0008994442584871</v>
      </c>
      <c r="N141" s="679">
        <f t="shared" ref="N141:N204" si="71">-ATAN(G141/z_RHP)</f>
        <v>-4.2397419942194786E-2</v>
      </c>
      <c r="O141" s="677">
        <f t="shared" ref="O141:O204" si="72">SQRT(1+(G141/Pole2)^2)</f>
        <v>329400.89023855195</v>
      </c>
      <c r="P141" s="680">
        <f t="shared" ref="P141:P204" si="73">ATAN(G141/Pole2)</f>
        <v>1.5707932909803932</v>
      </c>
      <c r="Q141" s="689">
        <f t="shared" ref="Q141:Q147" si="74">SQRT(1+(G141/Zero2)^2)</f>
        <v>13.213928801924162</v>
      </c>
      <c r="R141" s="690">
        <f t="shared" ref="R141:R147" si="75">ATAN(G141/Zero2)</f>
        <v>1.4950461844294609</v>
      </c>
      <c r="S141" s="677">
        <f t="shared" ref="S141:S204" si="76">SQRT(1+(G141/pole4)^2)</f>
        <v>1.0017918648001689</v>
      </c>
      <c r="T141" s="680">
        <f t="shared" ref="T141:T204" si="77">ATAN(G141/pole4)</f>
        <v>5.9819616104899262E-2</v>
      </c>
      <c r="U141" s="681">
        <f t="shared" si="57"/>
        <v>0.99210346735423605</v>
      </c>
      <c r="V141" s="682">
        <f t="shared" si="58"/>
        <v>-0.15101135246603486</v>
      </c>
      <c r="W141" s="683">
        <f t="shared" ref="W141:W204" si="78">20*LOG10(((K141*Q141*M141*U141)/(I141*O141*S141))*Adc)</f>
        <v>-16.354561083901473</v>
      </c>
      <c r="X141" s="684">
        <f t="shared" ref="X141:X204" si="79">((L141+R141+N141+V141)-(J141+P141+T141))*radconv</f>
        <v>-107.34288678782214</v>
      </c>
      <c r="Y141" s="687">
        <f t="shared" ref="Y141:Y204" si="80">IF(X141&gt;0,X141,X141+180)</f>
        <v>72.657113212177862</v>
      </c>
      <c r="AA141" s="170">
        <f t="shared" ref="AA141:AA204" si="81">IF(W141&lt;0,G141,1000000000)</f>
        <v>7943.3</v>
      </c>
      <c r="AB141" s="170">
        <f t="shared" ref="AB141:AB204" si="82">G141^2</f>
        <v>63096014.890000001</v>
      </c>
      <c r="AD141" s="686">
        <f t="shared" ref="AD141:AD204" si="83">20*LOG10((Q141/(O141*S141))*Aea)</f>
        <v>17.15604396764482</v>
      </c>
      <c r="AE141" s="687">
        <f t="shared" ref="AE141:AE204" si="84">(R141-(P141+T141))*radconv</f>
        <v>-7.7674010594752509</v>
      </c>
      <c r="AG141" s="686">
        <f t="shared" ref="AG141:AG204" si="85">20*LOG10((K141*M141/(I141*U141))*Acs*Am)</f>
        <v>7.6114767028777326</v>
      </c>
      <c r="AH141" s="687">
        <f t="shared" ref="AH141:AH204" si="86">(L141+N141-(J141+V141))*radconv</f>
        <v>-82.270859398840884</v>
      </c>
      <c r="AJ141" s="170">
        <f t="shared" ref="AJ141:AJ204" si="87">SUM((W142&lt;0)*(W141&gt;0))*G141</f>
        <v>0</v>
      </c>
      <c r="AK141" s="170">
        <f t="shared" si="65"/>
        <v>0</v>
      </c>
      <c r="AM141" s="170" t="str">
        <f t="shared" si="59"/>
        <v>0.023352334582476+0.214847242557359i</v>
      </c>
      <c r="AN141" s="170" t="str">
        <f t="shared" si="60"/>
        <v>0.216535417169477i</v>
      </c>
      <c r="AO141" s="170" t="str">
        <f t="shared" si="61"/>
        <v>0.992203702127875-0.107845334900566i</v>
      </c>
      <c r="AP141" s="170" t="str">
        <f t="shared" si="62"/>
        <v>0.162774610902921-0.0358078737595598i</v>
      </c>
      <c r="AQ141" s="170" t="str">
        <f t="shared" si="63"/>
        <v>0.837225389097079+0.0358078737595598i</v>
      </c>
      <c r="AR141" s="170" t="str">
        <f t="shared" si="64"/>
        <v>0.993136412905627-0.0424761405500368i</v>
      </c>
    </row>
    <row r="142" spans="7:44">
      <c r="G142" s="688">
        <v>8035.8</v>
      </c>
      <c r="H142" s="676">
        <f t="shared" ref="H142:H205" si="88">G142/1000</f>
        <v>8.0358000000000001</v>
      </c>
      <c r="I142" s="677">
        <f t="shared" si="66"/>
        <v>66.099525131506255</v>
      </c>
      <c r="J142" s="678">
        <f t="shared" si="67"/>
        <v>1.555667047905084</v>
      </c>
      <c r="K142" s="678">
        <f t="shared" si="68"/>
        <v>1.0000616907349715</v>
      </c>
      <c r="L142" s="679">
        <f t="shared" si="69"/>
        <v>1.1107435679115006E-2</v>
      </c>
      <c r="M142" s="678">
        <f t="shared" si="70"/>
        <v>1.0009205046587883</v>
      </c>
      <c r="N142" s="679">
        <f t="shared" si="71"/>
        <v>-4.2890537549300264E-2</v>
      </c>
      <c r="O142" s="677">
        <f t="shared" si="72"/>
        <v>333236.77486418444</v>
      </c>
      <c r="P142" s="680">
        <f t="shared" si="73"/>
        <v>1.5707933259256186</v>
      </c>
      <c r="Q142" s="689">
        <f t="shared" si="74"/>
        <v>13.3669292282638</v>
      </c>
      <c r="R142" s="690">
        <f t="shared" si="75"/>
        <v>1.4959148687265094</v>
      </c>
      <c r="S142" s="677">
        <f t="shared" si="76"/>
        <v>1.001833802025081</v>
      </c>
      <c r="T142" s="680">
        <f t="shared" si="77"/>
        <v>6.051452792716254E-2</v>
      </c>
      <c r="U142" s="681">
        <f t="shared" ref="U142:U205" si="89">IMABS(IMPRODUCT(AO142, AR142))</f>
        <v>0.99192976449605585</v>
      </c>
      <c r="V142" s="682">
        <f t="shared" ref="V142:V205" si="90">IMARGUMENT(IMPRODUCT(AO142, AR142))</f>
        <v>-0.15275665501154684</v>
      </c>
      <c r="W142" s="683">
        <f t="shared" si="78"/>
        <v>-16.457359719915416</v>
      </c>
      <c r="X142" s="684">
        <f t="shared" si="79"/>
        <v>-107.46395214043926</v>
      </c>
      <c r="Y142" s="687">
        <f t="shared" si="80"/>
        <v>72.536047859560739</v>
      </c>
      <c r="AA142" s="170">
        <f t="shared" si="81"/>
        <v>8035.8</v>
      </c>
      <c r="AB142" s="170">
        <f t="shared" si="82"/>
        <v>64574081.640000001</v>
      </c>
      <c r="AD142" s="686">
        <f t="shared" si="83"/>
        <v>17.155111007692049</v>
      </c>
      <c r="AE142" s="687">
        <f t="shared" si="84"/>
        <v>-7.7574466322770803</v>
      </c>
      <c r="AG142" s="686">
        <f t="shared" si="85"/>
        <v>7.5126528384870532</v>
      </c>
      <c r="AH142" s="687">
        <f t="shared" si="86"/>
        <v>-82.201882238765108</v>
      </c>
      <c r="AJ142" s="170">
        <f t="shared" si="87"/>
        <v>0</v>
      </c>
      <c r="AK142" s="170">
        <f t="shared" si="65"/>
        <v>0</v>
      </c>
      <c r="AM142" s="170" t="str">
        <f t="shared" ref="AM142:AM205" si="91">IMSUB(1,IMEXP(COMPLEX(0,-2*Pi*G142*Tsw)))</f>
        <v>0.023897189619142+0.217309234885661i</v>
      </c>
      <c r="AN142" s="170" t="str">
        <f t="shared" ref="AN142:AN205" si="92">COMPLEX(0, 2*Pi*G142*Tsw)</f>
        <v>0.219056979503541i</v>
      </c>
      <c r="AO142" s="170" t="str">
        <f t="shared" ref="AO142:AO205" si="93">IMDIV(AM142, AN142)</f>
        <v>0.992021506815985-0.10909120391097i</v>
      </c>
      <c r="AP142" s="170" t="str">
        <f t="shared" ref="AP142:AP205" si="94">IMDIV(IMEXP(COMPLEX(0,-2*Pi*G142*Tsw)),6)</f>
        <v>0.162683801730143-0.0362182058142768i</v>
      </c>
      <c r="AQ142" s="170" t="str">
        <f t="shared" ref="AQ142:AQ205" si="95">IMSUB(1, AP142)</f>
        <v>0.837316198269857+0.0362182058142768i</v>
      </c>
      <c r="AR142" s="170" t="str">
        <f t="shared" ref="AR142:AR205" si="96">IMDIV(0.833, AQ142)</f>
        <v>0.992987315191601-0.0429517773893402i</v>
      </c>
    </row>
    <row r="143" spans="7:44">
      <c r="G143" s="688">
        <v>8128.3</v>
      </c>
      <c r="H143" s="676">
        <f t="shared" si="88"/>
        <v>8.1282999999999994</v>
      </c>
      <c r="I143" s="677">
        <f t="shared" si="66"/>
        <v>66.860222838089555</v>
      </c>
      <c r="J143" s="678">
        <f t="shared" si="67"/>
        <v>1.5558391931734716</v>
      </c>
      <c r="K143" s="678">
        <f t="shared" si="68"/>
        <v>1.0000631191067528</v>
      </c>
      <c r="L143" s="679">
        <f t="shared" si="69"/>
        <v>1.1235282543273623E-2</v>
      </c>
      <c r="M143" s="678">
        <f t="shared" si="70"/>
        <v>1.0009418084376218</v>
      </c>
      <c r="N143" s="679">
        <f t="shared" si="71"/>
        <v>-4.3383634285537771E-2</v>
      </c>
      <c r="O143" s="677">
        <f t="shared" si="72"/>
        <v>337072.65948981739</v>
      </c>
      <c r="P143" s="680">
        <f t="shared" si="73"/>
        <v>1.5707933600754911</v>
      </c>
      <c r="Q143" s="689">
        <f t="shared" si="74"/>
        <v>13.519939513150989</v>
      </c>
      <c r="R143" s="690">
        <f t="shared" si="75"/>
        <v>1.4967638911926802</v>
      </c>
      <c r="S143" s="677">
        <f t="shared" si="76"/>
        <v>1.0018762229973435</v>
      </c>
      <c r="T143" s="680">
        <f t="shared" si="77"/>
        <v>6.1209381237688924E-2</v>
      </c>
      <c r="U143" s="681">
        <f t="shared" si="89"/>
        <v>0.99175413834639659</v>
      </c>
      <c r="V143" s="682">
        <f t="shared" si="90"/>
        <v>-0.15450150377277783</v>
      </c>
      <c r="W143" s="683">
        <f t="shared" si="78"/>
        <v>-16.559007948044272</v>
      </c>
      <c r="X143" s="684">
        <f t="shared" si="79"/>
        <v>-107.58588379865938</v>
      </c>
      <c r="Y143" s="687">
        <f t="shared" si="80"/>
        <v>72.414116201340619</v>
      </c>
      <c r="AA143" s="170">
        <f t="shared" si="81"/>
        <v>8128.3</v>
      </c>
      <c r="AB143" s="170">
        <f t="shared" si="82"/>
        <v>66069260.890000001</v>
      </c>
      <c r="AD143" s="686">
        <f t="shared" si="83"/>
        <v>17.154193125179283</v>
      </c>
      <c r="AE143" s="687">
        <f t="shared" si="84"/>
        <v>-7.7486153469610235</v>
      </c>
      <c r="AG143" s="686">
        <f t="shared" si="85"/>
        <v>7.4149985260137363</v>
      </c>
      <c r="AH143" s="687">
        <f t="shared" si="86"/>
        <v>-82.132700242258451</v>
      </c>
      <c r="AJ143" s="170">
        <f t="shared" si="87"/>
        <v>0</v>
      </c>
      <c r="AK143" s="170">
        <f t="shared" si="65"/>
        <v>0</v>
      </c>
      <c r="AM143" s="170" t="str">
        <f t="shared" si="91"/>
        <v>0.024448250984183+0.219769845502472i</v>
      </c>
      <c r="AN143" s="170" t="str">
        <f t="shared" si="92"/>
        <v>0.221578541837606i</v>
      </c>
      <c r="AO143" s="170" t="str">
        <f t="shared" si="93"/>
        <v>0.991837222502982-0.110336726568501i</v>
      </c>
      <c r="AP143" s="170" t="str">
        <f t="shared" si="94"/>
        <v>0.162591958169303-0.0366283075837453i</v>
      </c>
      <c r="AQ143" s="170" t="str">
        <f t="shared" si="95"/>
        <v>0.837408041830697+0.0366283075837453i</v>
      </c>
      <c r="AR143" s="170" t="str">
        <f t="shared" si="96"/>
        <v>0.992836597541726-0.0434267674282853i</v>
      </c>
    </row>
    <row r="144" spans="7:44">
      <c r="G144" s="688">
        <v>8222.9500000000007</v>
      </c>
      <c r="H144" s="676">
        <f t="shared" si="88"/>
        <v>8.2229500000000009</v>
      </c>
      <c r="I144" s="677">
        <f t="shared" si="66"/>
        <v>67.638603630782967</v>
      </c>
      <c r="J144" s="678">
        <f t="shared" si="67"/>
        <v>1.5560113315417599</v>
      </c>
      <c r="K144" s="678">
        <f t="shared" si="68"/>
        <v>1.0000645975986415</v>
      </c>
      <c r="L144" s="679">
        <f t="shared" si="69"/>
        <v>1.1366100602963714E-2</v>
      </c>
      <c r="M144" s="678">
        <f t="shared" si="70"/>
        <v>1.0009638592987919</v>
      </c>
      <c r="N144" s="679">
        <f t="shared" si="71"/>
        <v>-4.3888170336255521E-2</v>
      </c>
      <c r="O144" s="677">
        <f t="shared" si="72"/>
        <v>340997.70251485734</v>
      </c>
      <c r="P144" s="680">
        <f t="shared" si="73"/>
        <v>1.5707933942238188</v>
      </c>
      <c r="Q144" s="689">
        <f t="shared" si="74"/>
        <v>13.676516113069798</v>
      </c>
      <c r="R144" s="690">
        <f t="shared" si="75"/>
        <v>1.4976129821878812</v>
      </c>
      <c r="S144" s="677">
        <f t="shared" si="76"/>
        <v>1.0019201306502901</v>
      </c>
      <c r="T144" s="680">
        <f t="shared" si="77"/>
        <v>6.1920323933048096E-2</v>
      </c>
      <c r="U144" s="681">
        <f t="shared" si="89"/>
        <v>0.99157244229141117</v>
      </c>
      <c r="V144" s="682">
        <f t="shared" si="90"/>
        <v>-0.15628643364056871</v>
      </c>
      <c r="W144" s="683">
        <f t="shared" si="78"/>
        <v>-16.661855990318394</v>
      </c>
      <c r="X144" s="684">
        <f t="shared" si="79"/>
        <v>-107.71151465459057</v>
      </c>
      <c r="Y144" s="687">
        <f t="shared" si="80"/>
        <v>72.288485345409427</v>
      </c>
      <c r="AA144" s="170">
        <f t="shared" si="81"/>
        <v>8222.9500000000007</v>
      </c>
      <c r="AB144" s="170">
        <f t="shared" si="82"/>
        <v>67616906.702500015</v>
      </c>
      <c r="AD144" s="686">
        <f t="shared" si="83"/>
        <v>17.15326862176466</v>
      </c>
      <c r="AE144" s="687">
        <f t="shared" si="84"/>
        <v>-7.7407019889791986</v>
      </c>
      <c r="AG144" s="686">
        <f t="shared" si="85"/>
        <v>7.3162579059959398</v>
      </c>
      <c r="AH144" s="687">
        <f t="shared" si="86"/>
        <v>-82.061706559635255</v>
      </c>
      <c r="AJ144" s="170">
        <f t="shared" si="87"/>
        <v>0</v>
      </c>
      <c r="AK144" s="170">
        <f t="shared" si="65"/>
        <v>0</v>
      </c>
      <c r="AM144" s="170" t="str">
        <f t="shared" si="91"/>
        <v>0.025018541534983+0.222286202112116i</v>
      </c>
      <c r="AN144" s="170" t="str">
        <f t="shared" si="92"/>
        <v>0.224158713458355i</v>
      </c>
      <c r="AO144" s="170" t="str">
        <f t="shared" si="93"/>
        <v>0.991646493159469-0.111610836576429i</v>
      </c>
      <c r="AP144" s="170" t="str">
        <f t="shared" si="94"/>
        <v>0.162496909744169-0.0370477003520193i</v>
      </c>
      <c r="AQ144" s="170" t="str">
        <f t="shared" si="95"/>
        <v>0.837503090255831+0.0370477003520193i</v>
      </c>
      <c r="AR144" s="170" t="str">
        <f t="shared" si="96"/>
        <v>0.992680703585135-0.0439121212560776i</v>
      </c>
    </row>
    <row r="145" spans="7:44">
      <c r="G145" s="688">
        <v>8270.2750000000015</v>
      </c>
      <c r="H145" s="676">
        <f t="shared" si="88"/>
        <v>8.2702750000000016</v>
      </c>
      <c r="I145" s="677">
        <f t="shared" si="66"/>
        <v>68.027794765820502</v>
      </c>
      <c r="J145" s="678">
        <f t="shared" si="67"/>
        <v>1.5560959235064062</v>
      </c>
      <c r="K145" s="678">
        <f t="shared" si="68"/>
        <v>1.0000653432624977</v>
      </c>
      <c r="L145" s="679">
        <f t="shared" si="69"/>
        <v>1.1431509487198475E-2</v>
      </c>
      <c r="M145" s="678">
        <f t="shared" si="70"/>
        <v>1.0009749802769567</v>
      </c>
      <c r="N145" s="679">
        <f t="shared" si="71"/>
        <v>-4.4140429993543888E-2</v>
      </c>
      <c r="O145" s="677">
        <f t="shared" si="72"/>
        <v>342960.22402737744</v>
      </c>
      <c r="P145" s="680">
        <f t="shared" si="73"/>
        <v>1.5707934110048722</v>
      </c>
      <c r="Q145" s="689">
        <f t="shared" si="74"/>
        <v>13.754808047452146</v>
      </c>
      <c r="R145" s="690">
        <f t="shared" si="75"/>
        <v>1.4980302783729844</v>
      </c>
      <c r="S145" s="677">
        <f t="shared" si="76"/>
        <v>1.0019422743680142</v>
      </c>
      <c r="T145" s="680">
        <f t="shared" si="77"/>
        <v>6.2275771824414738E-2</v>
      </c>
      <c r="U145" s="681">
        <f t="shared" si="89"/>
        <v>0.99148084127039937</v>
      </c>
      <c r="V145" s="682">
        <f t="shared" si="90"/>
        <v>-0.15717871684287349</v>
      </c>
      <c r="W145" s="683">
        <f t="shared" si="78"/>
        <v>-16.712847580785535</v>
      </c>
      <c r="X145" s="684">
        <f t="shared" si="79"/>
        <v>-107.77464855481725</v>
      </c>
      <c r="Y145" s="687">
        <f t="shared" si="80"/>
        <v>72.225351445182753</v>
      </c>
      <c r="AA145" s="170">
        <f t="shared" si="81"/>
        <v>8270.2750000000015</v>
      </c>
      <c r="AB145" s="170">
        <f t="shared" si="82"/>
        <v>68397448.575625017</v>
      </c>
      <c r="AD145" s="686">
        <f t="shared" si="83"/>
        <v>17.152811680823948</v>
      </c>
      <c r="AE145" s="687">
        <f t="shared" si="84"/>
        <v>-7.7371593042574913</v>
      </c>
      <c r="AG145" s="686">
        <f t="shared" si="85"/>
        <v>7.2673281278391402</v>
      </c>
      <c r="AH145" s="687">
        <f t="shared" si="86"/>
        <v>-82.026135021221805</v>
      </c>
      <c r="AJ145" s="170">
        <f t="shared" si="87"/>
        <v>0</v>
      </c>
      <c r="AK145" s="170">
        <f t="shared" si="65"/>
        <v>0</v>
      </c>
      <c r="AM145" s="170" t="str">
        <f t="shared" si="91"/>
        <v>0.025306121071764+0.223543826530344i</v>
      </c>
      <c r="AN145" s="170" t="str">
        <f t="shared" si="92"/>
        <v>0.225448799268729i</v>
      </c>
      <c r="AO145" s="170" t="str">
        <f t="shared" si="93"/>
        <v>0.991550308786013-0.112247752721893i</v>
      </c>
      <c r="AP145" s="170" t="str">
        <f t="shared" si="94"/>
        <v>0.162448979821373-0.037257304421724i</v>
      </c>
      <c r="AQ145" s="170" t="str">
        <f t="shared" si="95"/>
        <v>0.837551020178627+0.037257304421724i</v>
      </c>
      <c r="AR145" s="170" t="str">
        <f t="shared" si="96"/>
        <v>0.992602123162346-0.0441545393430742i</v>
      </c>
    </row>
    <row r="146" spans="7:44">
      <c r="G146" s="688">
        <v>8317.6</v>
      </c>
      <c r="H146" s="676">
        <f t="shared" si="88"/>
        <v>8.3176000000000005</v>
      </c>
      <c r="I146" s="677">
        <f t="shared" si="66"/>
        <v>68.416986382113066</v>
      </c>
      <c r="J146" s="678">
        <f t="shared" si="67"/>
        <v>1.5561795530649336</v>
      </c>
      <c r="K146" s="678">
        <f t="shared" si="68"/>
        <v>1.0000660932049494</v>
      </c>
      <c r="L146" s="679">
        <f t="shared" si="69"/>
        <v>1.1496918273613758E-2</v>
      </c>
      <c r="M146" s="678">
        <f t="shared" si="70"/>
        <v>1.0009861649506813</v>
      </c>
      <c r="N146" s="679">
        <f t="shared" si="71"/>
        <v>-4.4392684029559537E-2</v>
      </c>
      <c r="O146" s="677">
        <f t="shared" si="72"/>
        <v>344922.74553989765</v>
      </c>
      <c r="P146" s="680">
        <f t="shared" si="73"/>
        <v>1.5707934275949658</v>
      </c>
      <c r="Q146" s="689">
        <f t="shared" si="74"/>
        <v>13.833102349930385</v>
      </c>
      <c r="R146" s="690">
        <f t="shared" si="75"/>
        <v>1.4984428509002012</v>
      </c>
      <c r="S146" s="677">
        <f t="shared" si="76"/>
        <v>1.0019645446687302</v>
      </c>
      <c r="T146" s="680">
        <f t="shared" si="77"/>
        <v>6.2631203959864712E-2</v>
      </c>
      <c r="U146" s="681">
        <f t="shared" si="89"/>
        <v>0.99138873878997591</v>
      </c>
      <c r="V146" s="682">
        <f t="shared" si="90"/>
        <v>-0.15807087801933939</v>
      </c>
      <c r="W146" s="683">
        <f t="shared" si="78"/>
        <v>-16.763555411517544</v>
      </c>
      <c r="X146" s="684">
        <f t="shared" si="79"/>
        <v>-107.83798973717123</v>
      </c>
      <c r="Y146" s="687">
        <f t="shared" si="80"/>
        <v>72.162010262828773</v>
      </c>
      <c r="AA146" s="170">
        <f t="shared" si="81"/>
        <v>8317.6</v>
      </c>
      <c r="AB146" s="170">
        <f t="shared" si="82"/>
        <v>69182469.760000005</v>
      </c>
      <c r="AD146" s="686">
        <f t="shared" si="83"/>
        <v>17.15235814105651</v>
      </c>
      <c r="AE146" s="687">
        <f t="shared" si="84"/>
        <v>-7.7338863515081275</v>
      </c>
      <c r="AG146" s="686">
        <f t="shared" si="85"/>
        <v>7.2186876434284084</v>
      </c>
      <c r="AH146" s="687">
        <f t="shared" si="86"/>
        <v>-81.99051501609452</v>
      </c>
      <c r="AJ146" s="170">
        <f t="shared" si="87"/>
        <v>0</v>
      </c>
      <c r="AK146" s="170">
        <f t="shared" si="65"/>
        <v>0</v>
      </c>
      <c r="AM146" s="170" t="str">
        <f t="shared" si="91"/>
        <v>0.025595322812199+0.22480107889985i</v>
      </c>
      <c r="AN146" s="170" t="str">
        <f t="shared" si="92"/>
        <v>0.226738885079103i</v>
      </c>
      <c r="AO146" s="170" t="str">
        <f t="shared" si="93"/>
        <v>0.991453578072517-0.1128845755913i</v>
      </c>
      <c r="AP146" s="170" t="str">
        <f t="shared" si="94"/>
        <v>0.1624007795313-0.0374668464833083i</v>
      </c>
      <c r="AQ146" s="170" t="str">
        <f t="shared" si="95"/>
        <v>0.8375992204687+0.0374668464833083i</v>
      </c>
      <c r="AR146" s="170" t="str">
        <f t="shared" si="96"/>
        <v>0.992523121088851-0.0443967836886969i</v>
      </c>
    </row>
    <row r="147" spans="7:44">
      <c r="G147" s="688">
        <v>8366.0499999999993</v>
      </c>
      <c r="H147" s="676">
        <f t="shared" si="88"/>
        <v>8.3660499999999995</v>
      </c>
      <c r="I147" s="677">
        <f t="shared" si="66"/>
        <v>68.8154302701181</v>
      </c>
      <c r="J147" s="678">
        <f t="shared" si="67"/>
        <v>1.5562641907012174</v>
      </c>
      <c r="K147" s="678">
        <f t="shared" si="68"/>
        <v>1.0000668654072353</v>
      </c>
      <c r="L147" s="679">
        <f t="shared" si="69"/>
        <v>1.1563881842097442E-2</v>
      </c>
      <c r="M147" s="678">
        <f t="shared" si="70"/>
        <v>1.0009976814866937</v>
      </c>
      <c r="N147" s="679">
        <f t="shared" si="71"/>
        <v>-4.4650928739124421E-2</v>
      </c>
      <c r="O147" s="677">
        <f t="shared" si="72"/>
        <v>346931.91970327019</v>
      </c>
      <c r="P147" s="680">
        <f t="shared" si="73"/>
        <v>1.5707934443849965</v>
      </c>
      <c r="Q147" s="689">
        <f t="shared" si="74"/>
        <v>13.913260259651372</v>
      </c>
      <c r="R147" s="690">
        <f t="shared" si="75"/>
        <v>1.49886042070777</v>
      </c>
      <c r="S147" s="677">
        <f t="shared" si="76"/>
        <v>1.0019874754979774</v>
      </c>
      <c r="T147" s="680">
        <f t="shared" si="77"/>
        <v>6.299506893882767E-2</v>
      </c>
      <c r="U147" s="681">
        <f t="shared" si="89"/>
        <v>0.9912939278092715</v>
      </c>
      <c r="V147" s="682">
        <f t="shared" si="90"/>
        <v>-0.15898412037172782</v>
      </c>
      <c r="W147" s="683">
        <f t="shared" si="78"/>
        <v>-16.815178168184474</v>
      </c>
      <c r="X147" s="684">
        <f t="shared" si="79"/>
        <v>-107.90304755312076</v>
      </c>
      <c r="Y147" s="687">
        <f t="shared" si="80"/>
        <v>72.096952446879243</v>
      </c>
      <c r="AA147" s="170">
        <f t="shared" si="81"/>
        <v>8366.0499999999993</v>
      </c>
      <c r="AB147" s="170">
        <f t="shared" si="82"/>
        <v>69990792.602499992</v>
      </c>
      <c r="AD147" s="686">
        <f t="shared" si="83"/>
        <v>17.151897237981999</v>
      </c>
      <c r="AE147" s="687">
        <f t="shared" si="84"/>
        <v>-7.7308102534839245</v>
      </c>
      <c r="AG147" s="686">
        <f t="shared" si="85"/>
        <v>7.1691872109587464</v>
      </c>
      <c r="AH147" s="687">
        <f t="shared" si="86"/>
        <v>-81.953999065019772</v>
      </c>
      <c r="AJ147" s="170">
        <f t="shared" si="87"/>
        <v>0</v>
      </c>
      <c r="AK147" s="170">
        <f t="shared" si="65"/>
        <v>0</v>
      </c>
      <c r="AM147" s="170" t="str">
        <f t="shared" si="91"/>
        <v>0.025893079399352+0.226087830804587i</v>
      </c>
      <c r="AN147" s="170" t="str">
        <f t="shared" si="92"/>
        <v>0.228059638539486i</v>
      </c>
      <c r="AO147" s="170" t="str">
        <f t="shared" si="93"/>
        <v>0.991353982021867-0.113536439701359i</v>
      </c>
      <c r="AP147" s="170" t="str">
        <f t="shared" si="94"/>
        <v>0.162351153433441-0.0376813051340978i</v>
      </c>
      <c r="AQ147" s="170" t="str">
        <f t="shared" si="95"/>
        <v>0.837648846566559+0.0376813051340978i</v>
      </c>
      <c r="AR147" s="170" t="str">
        <f t="shared" si="96"/>
        <v>0.992441804698339-0.0446446057007747i</v>
      </c>
    </row>
    <row r="148" spans="7:44">
      <c r="G148" s="691">
        <v>8414.5</v>
      </c>
      <c r="H148" s="676">
        <f t="shared" si="88"/>
        <v>8.4145000000000003</v>
      </c>
      <c r="I148" s="677">
        <f t="shared" si="66"/>
        <v>69.21387464540885</v>
      </c>
      <c r="J148" s="678">
        <f t="shared" si="67"/>
        <v>1.5563478538690221</v>
      </c>
      <c r="K148" s="678">
        <f t="shared" si="68"/>
        <v>1.0000676420939336</v>
      </c>
      <c r="L148" s="679">
        <f t="shared" si="69"/>
        <v>1.1630845306869008E-2</v>
      </c>
      <c r="M148" s="678">
        <f t="shared" si="70"/>
        <v>1.0010092647780331</v>
      </c>
      <c r="N148" s="679">
        <f t="shared" si="71"/>
        <v>-4.4909167489295583E-2</v>
      </c>
      <c r="O148" s="677">
        <f t="shared" si="72"/>
        <v>348941.09386664291</v>
      </c>
      <c r="P148" s="680">
        <f t="shared" si="73"/>
        <v>1.570793460981676</v>
      </c>
      <c r="Q148" s="689">
        <f t="shared" ref="Q148:Q157" si="97">SQRT(1+(G148/Zero2)^2)</f>
        <v>13.993420567558131</v>
      </c>
      <c r="R148" s="690">
        <f t="shared" ref="R148:R157" si="98">ATAN(G148/Zero2)</f>
        <v>1.4992732065491321</v>
      </c>
      <c r="S148" s="677">
        <f t="shared" si="76"/>
        <v>1.0020105389820027</v>
      </c>
      <c r="T148" s="680">
        <f t="shared" si="77"/>
        <v>6.3358917215650373E-2</v>
      </c>
      <c r="U148" s="681">
        <f t="shared" si="89"/>
        <v>0.99119859210525196</v>
      </c>
      <c r="V148" s="682">
        <f t="shared" si="90"/>
        <v>-0.15989723344426066</v>
      </c>
      <c r="W148" s="683">
        <f t="shared" si="78"/>
        <v>-16.866510497351189</v>
      </c>
      <c r="X148" s="684">
        <f t="shared" si="79"/>
        <v>-107.96831492647614</v>
      </c>
      <c r="Y148" s="687">
        <f t="shared" si="80"/>
        <v>72.03168507352386</v>
      </c>
      <c r="AA148" s="170">
        <f t="shared" si="81"/>
        <v>8414.5</v>
      </c>
      <c r="AB148" s="170">
        <f t="shared" si="82"/>
        <v>70803810.25</v>
      </c>
      <c r="AD148" s="686">
        <f t="shared" si="83"/>
        <v>17.151439688898019</v>
      </c>
      <c r="AE148" s="687">
        <f t="shared" si="84"/>
        <v>-7.7280072884926598</v>
      </c>
      <c r="AG148" s="686">
        <f t="shared" si="85"/>
        <v>7.119983207226487</v>
      </c>
      <c r="AH148" s="687">
        <f t="shared" si="86"/>
        <v>-81.917434352698095</v>
      </c>
      <c r="AJ148" s="170">
        <f t="shared" si="87"/>
        <v>0</v>
      </c>
      <c r="AK148" s="170">
        <f t="shared" si="65"/>
        <v>0</v>
      </c>
      <c r="AM148" s="170" t="str">
        <f t="shared" si="91"/>
        <v>0.026192535208341+0.227374188324098i</v>
      </c>
      <c r="AN148" s="170" t="str">
        <f t="shared" si="92"/>
        <v>0.229380391999869i</v>
      </c>
      <c r="AO148" s="170" t="str">
        <f t="shared" si="93"/>
        <v>0.991253813552764-0.11418820492885i</v>
      </c>
      <c r="AP148" s="170" t="str">
        <f t="shared" si="94"/>
        <v>0.162301244131943-0.0378956980540163i</v>
      </c>
      <c r="AQ148" s="170" t="str">
        <f t="shared" si="95"/>
        <v>0.837698755868057+0.0378956980540163i</v>
      </c>
      <c r="AR148" s="170" t="str">
        <f t="shared" si="96"/>
        <v>0.992360047407931-0.0448922437260531i</v>
      </c>
    </row>
    <row r="149" spans="7:44">
      <c r="G149" s="691">
        <v>8462.9500000000007</v>
      </c>
      <c r="H149" s="676">
        <f t="shared" si="88"/>
        <v>8.4629500000000011</v>
      </c>
      <c r="I149" s="677">
        <f t="shared" si="66"/>
        <v>69.612319499617982</v>
      </c>
      <c r="J149" s="678">
        <f t="shared" si="67"/>
        <v>1.5564305593000649</v>
      </c>
      <c r="K149" s="678">
        <f t="shared" si="68"/>
        <v>1.0000684232650336</v>
      </c>
      <c r="L149" s="679">
        <f t="shared" si="69"/>
        <v>1.1697808667328157E-2</v>
      </c>
      <c r="M149" s="678">
        <f t="shared" si="70"/>
        <v>1.0010209148223821</v>
      </c>
      <c r="N149" s="679">
        <f t="shared" si="71"/>
        <v>-4.516740024583802E-2</v>
      </c>
      <c r="O149" s="677">
        <f t="shared" si="72"/>
        <v>350950.26803001575</v>
      </c>
      <c r="P149" s="680">
        <f t="shared" si="73"/>
        <v>1.5707934773883252</v>
      </c>
      <c r="Q149" s="689">
        <f t="shared" si="97"/>
        <v>14.073583232671908</v>
      </c>
      <c r="R149" s="690">
        <f t="shared" si="98"/>
        <v>1.4996812900303411</v>
      </c>
      <c r="S149" s="677">
        <f t="shared" si="76"/>
        <v>1.002033735111646</v>
      </c>
      <c r="T149" s="680">
        <f t="shared" si="77"/>
        <v>6.3722748695152917E-2</v>
      </c>
      <c r="U149" s="681">
        <f t="shared" si="89"/>
        <v>0.99110273211655375</v>
      </c>
      <c r="V149" s="682">
        <f t="shared" si="90"/>
        <v>-0.16081021653829378</v>
      </c>
      <c r="W149" s="683">
        <f t="shared" si="78"/>
        <v>-16.917555839663475</v>
      </c>
      <c r="X149" s="684">
        <f t="shared" si="79"/>
        <v>-108.03378809299193</v>
      </c>
      <c r="Y149" s="687">
        <f t="shared" si="80"/>
        <v>71.966211907008073</v>
      </c>
      <c r="AA149" s="170">
        <f t="shared" si="81"/>
        <v>8462.9500000000007</v>
      </c>
      <c r="AB149" s="170">
        <f t="shared" si="82"/>
        <v>71621522.702500015</v>
      </c>
      <c r="AD149" s="686">
        <f t="shared" si="83"/>
        <v>17.150985391658743</v>
      </c>
      <c r="AE149" s="687">
        <f t="shared" si="84"/>
        <v>-7.7254727755887256</v>
      </c>
      <c r="AG149" s="686">
        <f t="shared" si="85"/>
        <v>7.0710722887276045</v>
      </c>
      <c r="AH149" s="687">
        <f t="shared" si="86"/>
        <v>-81.8808218758885</v>
      </c>
      <c r="AJ149" s="170">
        <f t="shared" si="87"/>
        <v>0</v>
      </c>
      <c r="AK149" s="170">
        <f t="shared" si="65"/>
        <v>0</v>
      </c>
      <c r="AM149" s="170" t="str">
        <f t="shared" si="91"/>
        <v>0.026493689716798+0.228660149214473i</v>
      </c>
      <c r="AN149" s="170" t="str">
        <f t="shared" si="92"/>
        <v>0.230701145460252i</v>
      </c>
      <c r="AO149" s="170" t="str">
        <f t="shared" si="93"/>
        <v>0.991153072769937-0.114839870707806i</v>
      </c>
      <c r="AP149" s="170" t="str">
        <f t="shared" si="94"/>
        <v>0.162251051713867-0.0381100248690788i</v>
      </c>
      <c r="AQ149" s="170" t="str">
        <f t="shared" si="95"/>
        <v>0.837748948286133+0.0381100248690788i</v>
      </c>
      <c r="AR149" s="170" t="str">
        <f t="shared" si="96"/>
        <v>0.992277849745459-0.0451396968127491i</v>
      </c>
    </row>
    <row r="150" spans="7:44">
      <c r="G150" s="691">
        <v>8511.4</v>
      </c>
      <c r="H150" s="676">
        <f t="shared" si="88"/>
        <v>8.5114000000000001</v>
      </c>
      <c r="I150" s="677">
        <f t="shared" si="66"/>
        <v>70.010764824568597</v>
      </c>
      <c r="J150" s="678">
        <f t="shared" si="67"/>
        <v>1.5565123233452209</v>
      </c>
      <c r="K150" s="678">
        <f t="shared" si="68"/>
        <v>1.0000692089205252</v>
      </c>
      <c r="L150" s="679">
        <f t="shared" si="69"/>
        <v>1.176477192287459E-2</v>
      </c>
      <c r="M150" s="678">
        <f t="shared" si="70"/>
        <v>1.0010326316174103</v>
      </c>
      <c r="N150" s="679">
        <f t="shared" si="71"/>
        <v>-4.5425626974521537E-2</v>
      </c>
      <c r="O150" s="677">
        <f t="shared" si="72"/>
        <v>352959.44219338859</v>
      </c>
      <c r="P150" s="680">
        <f t="shared" si="73"/>
        <v>1.5707934936081889</v>
      </c>
      <c r="Q150" s="689">
        <f t="shared" si="97"/>
        <v>14.153748214941116</v>
      </c>
      <c r="R150" s="690">
        <f t="shared" si="98"/>
        <v>1.5000847509149735</v>
      </c>
      <c r="S150" s="677">
        <f t="shared" si="76"/>
        <v>1.002057063877696</v>
      </c>
      <c r="T150" s="680">
        <f t="shared" si="77"/>
        <v>6.4086563282181944E-2</v>
      </c>
      <c r="U150" s="681">
        <f t="shared" si="89"/>
        <v>0.99100634828401313</v>
      </c>
      <c r="V150" s="682">
        <f t="shared" si="90"/>
        <v>-0.16172306895601124</v>
      </c>
      <c r="W150" s="683">
        <f t="shared" si="78"/>
        <v>-16.968317575694641</v>
      </c>
      <c r="X150" s="684">
        <f t="shared" si="79"/>
        <v>-108.09946337221334</v>
      </c>
      <c r="Y150" s="687">
        <f t="shared" si="80"/>
        <v>71.900536627786664</v>
      </c>
      <c r="AA150" s="170">
        <f t="shared" si="81"/>
        <v>8511.4</v>
      </c>
      <c r="AB150" s="170">
        <f t="shared" si="82"/>
        <v>72443929.959999993</v>
      </c>
      <c r="AD150" s="686">
        <f t="shared" si="83"/>
        <v>17.150534247008071</v>
      </c>
      <c r="AE150" s="687">
        <f t="shared" si="84"/>
        <v>-7.7232021393898727</v>
      </c>
      <c r="AG150" s="686">
        <f t="shared" si="85"/>
        <v>7.0224511691148965</v>
      </c>
      <c r="AH150" s="687">
        <f t="shared" si="86"/>
        <v>-81.844162609482211</v>
      </c>
      <c r="AJ150" s="170">
        <f t="shared" si="87"/>
        <v>0</v>
      </c>
      <c r="AK150" s="170">
        <f t="shared" si="65"/>
        <v>0</v>
      </c>
      <c r="AM150" s="170" t="str">
        <f t="shared" si="91"/>
        <v>0.026796542399391+0.229945711232497i</v>
      </c>
      <c r="AN150" s="170" t="str">
        <f t="shared" si="92"/>
        <v>0.232021898920635i</v>
      </c>
      <c r="AO150" s="170" t="str">
        <f t="shared" si="93"/>
        <v>0.991051759778726-0.115491436472369i</v>
      </c>
      <c r="AP150" s="170" t="str">
        <f t="shared" si="94"/>
        <v>0.162200576266768-0.0383242852054162i</v>
      </c>
      <c r="AQ150" s="170" t="str">
        <f t="shared" si="95"/>
        <v>0.837799423733232+0.0383242852054162i</v>
      </c>
      <c r="AR150" s="170" t="str">
        <f t="shared" si="96"/>
        <v>0.992195212241303-0.0453869640109611i</v>
      </c>
    </row>
    <row r="151" spans="7:44">
      <c r="G151" s="691">
        <v>8560.9500000000007</v>
      </c>
      <c r="H151" s="676">
        <f t="shared" si="88"/>
        <v>8.5609500000000001</v>
      </c>
      <c r="I151" s="677">
        <f t="shared" si="66"/>
        <v>70.418256858373908</v>
      </c>
      <c r="J151" s="678">
        <f t="shared" si="67"/>
        <v>1.5565949867104323</v>
      </c>
      <c r="K151" s="678">
        <f t="shared" si="68"/>
        <v>1.0000700170516517</v>
      </c>
      <c r="L151" s="679">
        <f t="shared" si="69"/>
        <v>1.1833255390874162E-2</v>
      </c>
      <c r="M151" s="678">
        <f t="shared" si="70"/>
        <v>1.0010446834671076</v>
      </c>
      <c r="N151" s="679">
        <f t="shared" si="71"/>
        <v>-4.5689710165587961E-2</v>
      </c>
      <c r="O151" s="677">
        <f t="shared" si="72"/>
        <v>355014.23228203942</v>
      </c>
      <c r="P151" s="680">
        <f t="shared" si="73"/>
        <v>1.5707935100064159</v>
      </c>
      <c r="Q151" s="689">
        <f t="shared" si="97"/>
        <v>14.235735604277336</v>
      </c>
      <c r="R151" s="690">
        <f t="shared" si="98"/>
        <v>1.5004926719366125</v>
      </c>
      <c r="S151" s="677">
        <f t="shared" si="76"/>
        <v>1.0020810594737797</v>
      </c>
      <c r="T151" s="680">
        <f t="shared" si="77"/>
        <v>6.4458620278267209E-2</v>
      </c>
      <c r="U151" s="681">
        <f t="shared" si="89"/>
        <v>0.99090723481340581</v>
      </c>
      <c r="V151" s="682">
        <f t="shared" si="90"/>
        <v>-0.16265651072261969</v>
      </c>
      <c r="W151" s="683">
        <f t="shared" si="78"/>
        <v>-17.019941920709687</v>
      </c>
      <c r="X151" s="684">
        <f t="shared" si="79"/>
        <v>-108.16683502873946</v>
      </c>
      <c r="Y151" s="687">
        <f t="shared" si="80"/>
        <v>71.833164971260544</v>
      </c>
      <c r="AA151" s="170">
        <f t="shared" si="81"/>
        <v>8560.9500000000007</v>
      </c>
      <c r="AB151" s="170">
        <f t="shared" si="82"/>
        <v>73289864.902500018</v>
      </c>
      <c r="AD151" s="686">
        <f t="shared" si="83"/>
        <v>17.150076019903409</v>
      </c>
      <c r="AE151" s="687">
        <f t="shared" si="84"/>
        <v>-7.7211482216361436</v>
      </c>
      <c r="AG151" s="686">
        <f t="shared" si="85"/>
        <v>6.9730225410232407</v>
      </c>
      <c r="AH151" s="687">
        <f t="shared" si="86"/>
        <v>-81.806623636344042</v>
      </c>
      <c r="AJ151" s="170">
        <f t="shared" si="87"/>
        <v>0</v>
      </c>
      <c r="AK151" s="170">
        <f t="shared" ref="AK151:AK214" si="99">IF(AJ151&gt;0,Y151,0)</f>
        <v>0</v>
      </c>
      <c r="AM151" s="170" t="str">
        <f t="shared" si="91"/>
        <v>0.027108026888074+0.23126004552102i</v>
      </c>
      <c r="AN151" s="170" t="str">
        <f t="shared" si="92"/>
        <v>0.233372638527694i</v>
      </c>
      <c r="AO151" s="170" t="str">
        <f t="shared" si="93"/>
        <v>0.990947554863321-0.116157691231901i</v>
      </c>
      <c r="AP151" s="170" t="str">
        <f t="shared" si="94"/>
        <v>0.162148662185321-0.03854334092017i</v>
      </c>
      <c r="AQ151" s="170" t="str">
        <f t="shared" si="95"/>
        <v>0.837851337814679+0.03854334092017i</v>
      </c>
      <c r="AR151" s="170" t="str">
        <f t="shared" si="96"/>
        <v>0.992110244171495-0.0456396518638167i</v>
      </c>
    </row>
    <row r="152" spans="7:44">
      <c r="G152" s="691">
        <v>8610.5</v>
      </c>
      <c r="H152" s="676">
        <f t="shared" si="88"/>
        <v>8.6105</v>
      </c>
      <c r="I152" s="677">
        <f t="shared" si="66"/>
        <v>70.825749367826518</v>
      </c>
      <c r="J152" s="678">
        <f t="shared" si="67"/>
        <v>1.5566766988768819</v>
      </c>
      <c r="K152" s="678">
        <f t="shared" si="68"/>
        <v>1.0000708298730843</v>
      </c>
      <c r="L152" s="679">
        <f t="shared" si="69"/>
        <v>1.190173874787314E-2</v>
      </c>
      <c r="M152" s="678">
        <f t="shared" si="70"/>
        <v>1.0010568051279092</v>
      </c>
      <c r="N152" s="679">
        <f t="shared" si="71"/>
        <v>-4.5953786979575764E-2</v>
      </c>
      <c r="O152" s="677">
        <f t="shared" si="72"/>
        <v>357069.02237069031</v>
      </c>
      <c r="P152" s="680">
        <f t="shared" si="73"/>
        <v>1.5707935262159123</v>
      </c>
      <c r="Q152" s="689">
        <f t="shared" si="97"/>
        <v>14.317725335304377</v>
      </c>
      <c r="R152" s="690">
        <f t="shared" si="98"/>
        <v>1.5008959211464556</v>
      </c>
      <c r="S152" s="677">
        <f t="shared" si="76"/>
        <v>1.002105193777691</v>
      </c>
      <c r="T152" s="680">
        <f t="shared" si="77"/>
        <v>6.4830659404904262E-2</v>
      </c>
      <c r="U152" s="681">
        <f t="shared" si="89"/>
        <v>0.99080757438203082</v>
      </c>
      <c r="V152" s="682">
        <f t="shared" si="90"/>
        <v>-0.16358981433828809</v>
      </c>
      <c r="W152" s="683">
        <f t="shared" si="78"/>
        <v>-17.0712766009127</v>
      </c>
      <c r="X152" s="684">
        <f t="shared" si="79"/>
        <v>-108.23441055154683</v>
      </c>
      <c r="Y152" s="687">
        <f t="shared" si="80"/>
        <v>71.76558944845317</v>
      </c>
      <c r="AA152" s="170">
        <f t="shared" si="81"/>
        <v>8610.5</v>
      </c>
      <c r="AB152" s="170">
        <f t="shared" si="82"/>
        <v>74140710.25</v>
      </c>
      <c r="AD152" s="686">
        <f t="shared" si="83"/>
        <v>17.149620889015843</v>
      </c>
      <c r="AE152" s="687">
        <f t="shared" si="84"/>
        <v>-7.7193609443238742</v>
      </c>
      <c r="AG152" s="686">
        <f t="shared" si="85"/>
        <v>6.9238902451570192</v>
      </c>
      <c r="AH152" s="687">
        <f t="shared" si="86"/>
        <v>-81.769037719977263</v>
      </c>
      <c r="AJ152" s="170">
        <f t="shared" si="87"/>
        <v>0</v>
      </c>
      <c r="AK152" s="170">
        <f t="shared" si="99"/>
        <v>0</v>
      </c>
      <c r="AM152" s="170" t="str">
        <f t="shared" si="91"/>
        <v>0.0274212864154471+0.232573957876235i</v>
      </c>
      <c r="AN152" s="170" t="str">
        <f t="shared" si="92"/>
        <v>0.234723378134752i</v>
      </c>
      <c r="AO152" s="170" t="str">
        <f t="shared" si="93"/>
        <v>0.990842751686698-0.116823840187341i</v>
      </c>
      <c r="AP152" s="170" t="str">
        <f t="shared" si="94"/>
        <v>0.162096452264092-0.0387623263127058i</v>
      </c>
      <c r="AQ152" s="170" t="str">
        <f t="shared" si="95"/>
        <v>0.837903547735908+0.0387623263127058i</v>
      </c>
      <c r="AR152" s="170" t="str">
        <f t="shared" si="96"/>
        <v>0.992024817191327-0.0458921432880629i</v>
      </c>
    </row>
    <row r="153" spans="7:44">
      <c r="G153" s="691">
        <v>8660.0499999999993</v>
      </c>
      <c r="H153" s="676">
        <f t="shared" si="88"/>
        <v>8.66005</v>
      </c>
      <c r="I153" s="677">
        <f t="shared" si="66"/>
        <v>71.23324234476361</v>
      </c>
      <c r="J153" s="678">
        <f t="shared" si="67"/>
        <v>1.5567574761675955</v>
      </c>
      <c r="K153" s="678">
        <f t="shared" si="68"/>
        <v>1.0000716473848119</v>
      </c>
      <c r="L153" s="679">
        <f t="shared" si="69"/>
        <v>1.1970221993229429E-2</v>
      </c>
      <c r="M153" s="678">
        <f t="shared" si="70"/>
        <v>1.001068996597279</v>
      </c>
      <c r="N153" s="679">
        <f t="shared" si="71"/>
        <v>-4.6217857379885673E-2</v>
      </c>
      <c r="O153" s="677">
        <f t="shared" si="72"/>
        <v>359123.81245934125</v>
      </c>
      <c r="P153" s="680">
        <f t="shared" si="73"/>
        <v>1.5707935422399177</v>
      </c>
      <c r="Q153" s="689">
        <f t="shared" si="97"/>
        <v>14.399717368022589</v>
      </c>
      <c r="R153" s="690">
        <f t="shared" si="98"/>
        <v>1.5012945782161553</v>
      </c>
      <c r="S153" s="677">
        <f t="shared" si="76"/>
        <v>1.0021294667794083</v>
      </c>
      <c r="T153" s="680">
        <f t="shared" si="77"/>
        <v>6.5202680560397741E-2</v>
      </c>
      <c r="U153" s="681">
        <f t="shared" si="89"/>
        <v>0.99070736746850607</v>
      </c>
      <c r="V153" s="682">
        <f t="shared" si="90"/>
        <v>-0.16452297905934227</v>
      </c>
      <c r="W153" s="683">
        <f t="shared" si="78"/>
        <v>-17.122325046394554</v>
      </c>
      <c r="X153" s="684">
        <f t="shared" si="79"/>
        <v>-108.30218626071579</v>
      </c>
      <c r="Y153" s="687">
        <f t="shared" si="80"/>
        <v>71.697813739284214</v>
      </c>
      <c r="AA153" s="170">
        <f t="shared" si="81"/>
        <v>8660.0499999999993</v>
      </c>
      <c r="AB153" s="170">
        <f t="shared" si="82"/>
        <v>74996466.002499983</v>
      </c>
      <c r="AD153" s="686">
        <f t="shared" si="83"/>
        <v>17.149168756932095</v>
      </c>
      <c r="AE153" s="687">
        <f t="shared" si="84"/>
        <v>-7.7178357369625363</v>
      </c>
      <c r="AG153" s="686">
        <f t="shared" si="85"/>
        <v>6.8750509433750366</v>
      </c>
      <c r="AH153" s="687">
        <f t="shared" si="86"/>
        <v>-81.731405836171561</v>
      </c>
      <c r="AJ153" s="170">
        <f t="shared" si="87"/>
        <v>0</v>
      </c>
      <c r="AK153" s="170">
        <f t="shared" si="99"/>
        <v>0</v>
      </c>
      <c r="AM153" s="170" t="str">
        <f t="shared" si="91"/>
        <v>0.027736320409969+0.233887445900914i</v>
      </c>
      <c r="AN153" s="170" t="str">
        <f t="shared" si="92"/>
        <v>0.236074117741811i</v>
      </c>
      <c r="AO153" s="170" t="str">
        <f t="shared" si="93"/>
        <v>0.990737350363463-0.117489882733793i</v>
      </c>
      <c r="AP153" s="170" t="str">
        <f t="shared" si="94"/>
        <v>0.162043946598339-0.0389812409834857i</v>
      </c>
      <c r="AQ153" s="170" t="str">
        <f t="shared" si="95"/>
        <v>0.837956053401661+0.0389812409834857i</v>
      </c>
      <c r="AR153" s="170" t="str">
        <f t="shared" si="96"/>
        <v>0.991938931876372-0.0461444372737765i</v>
      </c>
    </row>
    <row r="154" spans="7:44">
      <c r="G154" s="691">
        <v>8709.6</v>
      </c>
      <c r="H154" s="676">
        <f t="shared" si="88"/>
        <v>8.7096</v>
      </c>
      <c r="I154" s="677">
        <f t="shared" si="66"/>
        <v>71.640735781208022</v>
      </c>
      <c r="J154" s="678">
        <f t="shared" si="67"/>
        <v>1.5568373345342659</v>
      </c>
      <c r="K154" s="678">
        <f t="shared" si="68"/>
        <v>1.0000724695868226</v>
      </c>
      <c r="L154" s="679">
        <f t="shared" si="69"/>
        <v>1.2038705126300942E-2</v>
      </c>
      <c r="M154" s="678">
        <f t="shared" si="70"/>
        <v>1.0010812578726664</v>
      </c>
      <c r="N154" s="679">
        <f t="shared" si="71"/>
        <v>-4.6481921329923737E-2</v>
      </c>
      <c r="O154" s="677">
        <f t="shared" si="72"/>
        <v>361178.60254799237</v>
      </c>
      <c r="P154" s="680">
        <f t="shared" si="73"/>
        <v>1.5707935580815982</v>
      </c>
      <c r="Q154" s="689">
        <f t="shared" si="97"/>
        <v>14.481711663337075</v>
      </c>
      <c r="R154" s="690">
        <f t="shared" si="98"/>
        <v>1.5016887210189003</v>
      </c>
      <c r="S154" s="677">
        <f t="shared" si="76"/>
        <v>1.0021538784688537</v>
      </c>
      <c r="T154" s="680">
        <f t="shared" si="77"/>
        <v>6.5574683643081957E-2</v>
      </c>
      <c r="U154" s="681">
        <f t="shared" si="89"/>
        <v>0.9906066145538146</v>
      </c>
      <c r="V154" s="682">
        <f t="shared" si="90"/>
        <v>-0.16545600414303646</v>
      </c>
      <c r="W154" s="683">
        <f t="shared" si="78"/>
        <v>-17.17309062743302</v>
      </c>
      <c r="X154" s="684">
        <f t="shared" si="79"/>
        <v>-108.37015855814623</v>
      </c>
      <c r="Y154" s="687">
        <f t="shared" si="80"/>
        <v>71.62984144185377</v>
      </c>
      <c r="AA154" s="170">
        <f t="shared" si="81"/>
        <v>8709.6</v>
      </c>
      <c r="AB154" s="170">
        <f t="shared" si="82"/>
        <v>75857132.160000011</v>
      </c>
      <c r="AD154" s="686">
        <f t="shared" si="83"/>
        <v>17.148719528994569</v>
      </c>
      <c r="AE154" s="687">
        <f t="shared" si="84"/>
        <v>-7.7165681321034301</v>
      </c>
      <c r="AG154" s="686">
        <f t="shared" si="85"/>
        <v>6.8265013545657123</v>
      </c>
      <c r="AH154" s="687">
        <f t="shared" si="86"/>
        <v>-81.69372893938791</v>
      </c>
      <c r="AJ154" s="170">
        <f t="shared" si="87"/>
        <v>0</v>
      </c>
      <c r="AK154" s="170">
        <f t="shared" si="99"/>
        <v>0</v>
      </c>
      <c r="AM154" s="170" t="str">
        <f t="shared" si="91"/>
        <v>0.028053128296859+0.2352005071986i</v>
      </c>
      <c r="AN154" s="170" t="str">
        <f t="shared" si="92"/>
        <v>0.237424857348869i</v>
      </c>
      <c r="AO154" s="170" t="str">
        <f t="shared" si="93"/>
        <v>0.990631351008877-0.118155818266485i</v>
      </c>
      <c r="AP154" s="170" t="str">
        <f t="shared" si="94"/>
        <v>0.161991145283857-0.0392000845331i</v>
      </c>
      <c r="AQ154" s="170" t="str">
        <f t="shared" si="95"/>
        <v>0.838008854716143+0.0392000845331i</v>
      </c>
      <c r="AR154" s="170" t="str">
        <f t="shared" si="96"/>
        <v>0.991852588804956-0.0463965328131268i</v>
      </c>
    </row>
    <row r="155" spans="7:44">
      <c r="G155" s="691">
        <v>8760.3250000000007</v>
      </c>
      <c r="H155" s="676">
        <f t="shared" si="88"/>
        <v>8.7603249999999999</v>
      </c>
      <c r="I155" s="677">
        <f t="shared" si="66"/>
        <v>72.057892748821089</v>
      </c>
      <c r="J155" s="678">
        <f t="shared" si="67"/>
        <v>1.5569181510226136</v>
      </c>
      <c r="K155" s="678">
        <f t="shared" si="68"/>
        <v>1.0000733161444795</v>
      </c>
      <c r="L155" s="679">
        <f t="shared" si="69"/>
        <v>1.2108812111743096E-2</v>
      </c>
      <c r="M155" s="678">
        <f t="shared" si="70"/>
        <v>1.0010938822108124</v>
      </c>
      <c r="N155" s="679">
        <f t="shared" si="71"/>
        <v>-4.6752240419801479E-2</v>
      </c>
      <c r="O155" s="677">
        <f t="shared" si="72"/>
        <v>363282.11873864487</v>
      </c>
      <c r="P155" s="680">
        <f t="shared" si="73"/>
        <v>1.5707935741133072</v>
      </c>
      <c r="Q155" s="689">
        <f t="shared" si="97"/>
        <v>14.565652627698569</v>
      </c>
      <c r="R155" s="690">
        <f t="shared" si="98"/>
        <v>1.5020876136535255</v>
      </c>
      <c r="S155" s="677">
        <f t="shared" si="76"/>
        <v>1.0021790126922443</v>
      </c>
      <c r="T155" s="680">
        <f t="shared" si="77"/>
        <v>6.5955489364545539E-2</v>
      </c>
      <c r="U155" s="681">
        <f t="shared" si="89"/>
        <v>0.99050290737149971</v>
      </c>
      <c r="V155" s="682">
        <f t="shared" si="90"/>
        <v>-0.16641100902515216</v>
      </c>
      <c r="W155" s="683">
        <f t="shared" si="78"/>
        <v>-17.224770485902997</v>
      </c>
      <c r="X155" s="684">
        <f t="shared" si="79"/>
        <v>-108.43994267443526</v>
      </c>
      <c r="Y155" s="687">
        <f t="shared" si="80"/>
        <v>71.560057325564742</v>
      </c>
      <c r="AA155" s="170">
        <f t="shared" si="81"/>
        <v>8760.3250000000007</v>
      </c>
      <c r="AB155" s="170">
        <f t="shared" si="82"/>
        <v>76743294.105625018</v>
      </c>
      <c r="AD155" s="686">
        <f t="shared" si="83"/>
        <v>17.148262560559573</v>
      </c>
      <c r="AE155" s="687">
        <f t="shared" si="84"/>
        <v>-7.7155327468629338</v>
      </c>
      <c r="AG155" s="686">
        <f t="shared" si="85"/>
        <v>6.7770972214063363</v>
      </c>
      <c r="AH155" s="687">
        <f t="shared" si="86"/>
        <v>-81.655112942473139</v>
      </c>
      <c r="AJ155" s="170">
        <f t="shared" si="87"/>
        <v>0</v>
      </c>
      <c r="AK155" s="170">
        <f t="shared" si="99"/>
        <v>0</v>
      </c>
      <c r="AM155" s="170" t="str">
        <f t="shared" si="91"/>
        <v>0.028379285667697+0.236544261144475i</v>
      </c>
      <c r="AN155" s="170" t="str">
        <f t="shared" si="92"/>
        <v>0.238807627612604i</v>
      </c>
      <c r="AO155" s="170" t="str">
        <f t="shared" si="93"/>
        <v>0.990522218696462-0.118837433927086i</v>
      </c>
      <c r="AP155" s="170" t="str">
        <f t="shared" si="94"/>
        <v>0.161936785722051-0.0394240435240792i</v>
      </c>
      <c r="AQ155" s="170" t="str">
        <f t="shared" si="95"/>
        <v>0.838063214277949+0.0394240435240792i</v>
      </c>
      <c r="AR155" s="170" t="str">
        <f t="shared" si="96"/>
        <v>0.99176372468302-0.0466543997891533i</v>
      </c>
    </row>
    <row r="156" spans="7:44">
      <c r="G156" s="691">
        <v>8811.0499999999993</v>
      </c>
      <c r="H156" s="676">
        <f t="shared" si="88"/>
        <v>8.8110499999999998</v>
      </c>
      <c r="I156" s="677">
        <f t="shared" si="66"/>
        <v>72.475050181648385</v>
      </c>
      <c r="J156" s="678">
        <f t="shared" si="67"/>
        <v>1.5569980371720378</v>
      </c>
      <c r="K156" s="678">
        <f t="shared" si="68"/>
        <v>1.0000741676174776</v>
      </c>
      <c r="L156" s="679">
        <f t="shared" si="69"/>
        <v>1.2178918978150266E-2</v>
      </c>
      <c r="M156" s="678">
        <f t="shared" si="70"/>
        <v>1.0011065796994532</v>
      </c>
      <c r="N156" s="679">
        <f t="shared" si="71"/>
        <v>-4.7022552672272011E-2</v>
      </c>
      <c r="O156" s="677">
        <f t="shared" si="72"/>
        <v>365385.63492929738</v>
      </c>
      <c r="P156" s="680">
        <f t="shared" si="73"/>
        <v>1.5707935899604279</v>
      </c>
      <c r="Q156" s="689">
        <f t="shared" si="97"/>
        <v>14.649595883119005</v>
      </c>
      <c r="R156" s="690">
        <f t="shared" si="98"/>
        <v>1.5024819349823779</v>
      </c>
      <c r="S156" s="677">
        <f t="shared" si="76"/>
        <v>1.0022042922373156</v>
      </c>
      <c r="T156" s="680">
        <f t="shared" si="77"/>
        <v>6.6336275930381286E-2</v>
      </c>
      <c r="U156" s="681">
        <f t="shared" si="89"/>
        <v>0.99039862901355658</v>
      </c>
      <c r="V156" s="682">
        <f t="shared" si="90"/>
        <v>-0.16736586599663694</v>
      </c>
      <c r="W156" s="683">
        <f t="shared" si="78"/>
        <v>-17.276160867183663</v>
      </c>
      <c r="X156" s="684">
        <f t="shared" si="79"/>
        <v>-108.50992543505632</v>
      </c>
      <c r="Y156" s="687">
        <f t="shared" si="80"/>
        <v>71.490074564943683</v>
      </c>
      <c r="AA156" s="170">
        <f t="shared" si="81"/>
        <v>8811.0499999999993</v>
      </c>
      <c r="AB156" s="170">
        <f t="shared" si="82"/>
        <v>77634602.102499992</v>
      </c>
      <c r="AD156" s="686">
        <f t="shared" si="83"/>
        <v>17.147808443337141</v>
      </c>
      <c r="AE156" s="687">
        <f t="shared" si="84"/>
        <v>-7.7147581700376247</v>
      </c>
      <c r="AG156" s="686">
        <f t="shared" si="85"/>
        <v>6.7279899231859961</v>
      </c>
      <c r="AH156" s="687">
        <f t="shared" si="86"/>
        <v>-81.61645173078503</v>
      </c>
      <c r="AJ156" s="170">
        <f t="shared" si="87"/>
        <v>0</v>
      </c>
      <c r="AK156" s="170">
        <f t="shared" si="99"/>
        <v>0</v>
      </c>
      <c r="AM156" s="170" t="str">
        <f t="shared" si="91"/>
        <v>0.028707300829126+0.237887562805115i</v>
      </c>
      <c r="AN156" s="170" t="str">
        <f t="shared" si="92"/>
        <v>0.240190397876338i</v>
      </c>
      <c r="AO156" s="170" t="str">
        <f t="shared" si="93"/>
        <v>0.990412459900214-0.119518936156249i</v>
      </c>
      <c r="AP156" s="170" t="str">
        <f t="shared" si="94"/>
        <v>0.161882116528479-0.0396479271341858i</v>
      </c>
      <c r="AQ156" s="170" t="str">
        <f t="shared" si="95"/>
        <v>0.838117883471521+0.0396479271341858i</v>
      </c>
      <c r="AR156" s="170" t="str">
        <f t="shared" si="96"/>
        <v>0.991674382072624-0.0469120566648667i</v>
      </c>
    </row>
    <row r="157" spans="7:44">
      <c r="G157" s="691">
        <v>8861.7749999999996</v>
      </c>
      <c r="H157" s="676">
        <f t="shared" si="88"/>
        <v>8.8617749999999997</v>
      </c>
      <c r="I157" s="677">
        <f t="shared" si="66"/>
        <v>72.892208071702782</v>
      </c>
      <c r="J157" s="678">
        <f t="shared" si="67"/>
        <v>1.5570770089543373</v>
      </c>
      <c r="K157" s="678">
        <f t="shared" si="68"/>
        <v>1.0000750240058047</v>
      </c>
      <c r="L157" s="679">
        <f t="shared" si="69"/>
        <v>1.2249025724833613E-2</v>
      </c>
      <c r="M157" s="678">
        <f t="shared" si="70"/>
        <v>1.0011193503358056</v>
      </c>
      <c r="N157" s="679">
        <f t="shared" si="71"/>
        <v>-4.7292858048093529E-2</v>
      </c>
      <c r="O157" s="677">
        <f t="shared" si="72"/>
        <v>367489.15111995011</v>
      </c>
      <c r="P157" s="680">
        <f t="shared" si="73"/>
        <v>1.5707936056261302</v>
      </c>
      <c r="Q157" s="689">
        <f t="shared" si="97"/>
        <v>14.733541390438974</v>
      </c>
      <c r="R157" s="690">
        <f t="shared" si="98"/>
        <v>1.5028717630178907</v>
      </c>
      <c r="S157" s="677">
        <f t="shared" si="76"/>
        <v>1.0022297170930716</v>
      </c>
      <c r="T157" s="680">
        <f t="shared" si="77"/>
        <v>6.6717043231616091E-2</v>
      </c>
      <c r="U157" s="681">
        <f t="shared" si="89"/>
        <v>0.99029378000368617</v>
      </c>
      <c r="V157" s="682">
        <f t="shared" si="90"/>
        <v>-0.1683205742637213</v>
      </c>
      <c r="W157" s="683">
        <f t="shared" si="78"/>
        <v>-17.327265201191711</v>
      </c>
      <c r="X157" s="684">
        <f t="shared" si="79"/>
        <v>-108.5801032315922</v>
      </c>
      <c r="Y157" s="687">
        <f t="shared" si="80"/>
        <v>71.419896768407796</v>
      </c>
      <c r="AA157" s="170">
        <f t="shared" si="81"/>
        <v>8861.7749999999996</v>
      </c>
      <c r="AB157" s="170">
        <f t="shared" si="82"/>
        <v>78531056.15062499</v>
      </c>
      <c r="AD157" s="686">
        <f t="shared" si="83"/>
        <v>17.147357084155253</v>
      </c>
      <c r="AE157" s="687">
        <f t="shared" si="84"/>
        <v>-7.7142399257822394</v>
      </c>
      <c r="AG157" s="686">
        <f t="shared" si="85"/>
        <v>6.6791761171779704</v>
      </c>
      <c r="AH157" s="687">
        <f t="shared" si="86"/>
        <v>-81.577746262710932</v>
      </c>
      <c r="AJ157" s="170">
        <f t="shared" si="87"/>
        <v>0</v>
      </c>
      <c r="AK157" s="170">
        <f t="shared" si="99"/>
        <v>0</v>
      </c>
      <c r="AM157" s="170" t="str">
        <f t="shared" si="91"/>
        <v>0.029037173153963+0.239230409612057i</v>
      </c>
      <c r="AN157" s="170" t="str">
        <f t="shared" si="92"/>
        <v>0.241573168140073i</v>
      </c>
      <c r="AO157" s="170" t="str">
        <f t="shared" si="93"/>
        <v>0.99030207474591-0.120200324305579i</v>
      </c>
      <c r="AP157" s="170" t="str">
        <f t="shared" si="94"/>
        <v>0.161827137807673-0.0398717349353428i</v>
      </c>
      <c r="AQ157" s="170" t="str">
        <f t="shared" si="95"/>
        <v>0.838172862192327+0.0398717349353428i</v>
      </c>
      <c r="AR157" s="170" t="str">
        <f t="shared" si="96"/>
        <v>0.991584561603148-0.0471695023659056i</v>
      </c>
    </row>
    <row r="158" spans="7:44">
      <c r="G158" s="688">
        <v>8912.5</v>
      </c>
      <c r="H158" s="676">
        <f t="shared" si="88"/>
        <v>8.9124999999999996</v>
      </c>
      <c r="I158" s="677">
        <f t="shared" si="66"/>
        <v>73.3093664111789</v>
      </c>
      <c r="J158" s="678">
        <f t="shared" si="67"/>
        <v>1.5571550819778153</v>
      </c>
      <c r="K158" s="678">
        <f t="shared" si="68"/>
        <v>1.000075885309448</v>
      </c>
      <c r="L158" s="679">
        <f t="shared" si="69"/>
        <v>1.2319132351104304E-2</v>
      </c>
      <c r="M158" s="678">
        <f t="shared" si="70"/>
        <v>1.0011321941170701</v>
      </c>
      <c r="N158" s="679">
        <f t="shared" si="71"/>
        <v>-4.7563156508030224E-2</v>
      </c>
      <c r="O158" s="677">
        <f t="shared" si="72"/>
        <v>369592.6673106029</v>
      </c>
      <c r="P158" s="680">
        <f t="shared" si="73"/>
        <v>1.5707936211135116</v>
      </c>
      <c r="Q158" s="689">
        <f t="shared" ref="Q158:Q214" si="100">SQRT(1+(G158/Zero2)^2)</f>
        <v>14.817489111385424</v>
      </c>
      <c r="R158" s="690">
        <f t="shared" ref="R158:R214" si="101">ATAN(G158/Zero2)</f>
        <v>1.5032571740101301</v>
      </c>
      <c r="S158" s="677">
        <f t="shared" si="76"/>
        <v>1.0022552872484534</v>
      </c>
      <c r="T158" s="680">
        <f t="shared" si="77"/>
        <v>6.7097791159310069E-2</v>
      </c>
      <c r="U158" s="681">
        <f t="shared" si="89"/>
        <v>0.99018836086816497</v>
      </c>
      <c r="V158" s="682">
        <f t="shared" si="90"/>
        <v>-0.16927513303369479</v>
      </c>
      <c r="W158" s="683">
        <f t="shared" si="78"/>
        <v>-17.378086858047638</v>
      </c>
      <c r="X158" s="684">
        <f t="shared" si="79"/>
        <v>-108.650472535834</v>
      </c>
      <c r="Y158" s="687">
        <f t="shared" si="80"/>
        <v>71.349527464166002</v>
      </c>
      <c r="AA158" s="170">
        <f t="shared" si="81"/>
        <v>8912.5</v>
      </c>
      <c r="AB158" s="170">
        <f t="shared" si="82"/>
        <v>79432656.25</v>
      </c>
      <c r="AD158" s="686">
        <f t="shared" si="83"/>
        <v>17.146908392480064</v>
      </c>
      <c r="AE158" s="687">
        <f t="shared" si="84"/>
        <v>-7.713973639225463</v>
      </c>
      <c r="AG158" s="686">
        <f t="shared" si="85"/>
        <v>6.6306525177831546</v>
      </c>
      <c r="AH158" s="687">
        <f t="shared" si="86"/>
        <v>-81.538997475751131</v>
      </c>
      <c r="AJ158" s="170">
        <f t="shared" si="87"/>
        <v>0</v>
      </c>
      <c r="AK158" s="170">
        <f t="shared" si="99"/>
        <v>0</v>
      </c>
      <c r="AM158" s="170" t="str">
        <f t="shared" si="91"/>
        <v>0.029368902011475+0.240572798997704i</v>
      </c>
      <c r="AN158" s="170" t="str">
        <f t="shared" si="92"/>
        <v>0.242955938403807i</v>
      </c>
      <c r="AO158" s="170" t="str">
        <f t="shared" si="93"/>
        <v>0.990191063360048-0.120881597726836i</v>
      </c>
      <c r="AP158" s="170" t="str">
        <f t="shared" si="94"/>
        <v>0.161771849664754-0.0400954664996173i</v>
      </c>
      <c r="AQ158" s="170" t="str">
        <f t="shared" si="95"/>
        <v>0.838228150335246+0.0400954664996173i</v>
      </c>
      <c r="AR158" s="170" t="str">
        <f t="shared" si="96"/>
        <v>0.991494263906955-0.047426735820247i</v>
      </c>
    </row>
    <row r="159" spans="7:44">
      <c r="G159" s="688">
        <v>8964.4</v>
      </c>
      <c r="H159" s="676">
        <f t="shared" si="88"/>
        <v>8.9643999999999995</v>
      </c>
      <c r="I159" s="677">
        <f t="shared" si="66"/>
        <v>73.736188313798735</v>
      </c>
      <c r="J159" s="678">
        <f t="shared" si="67"/>
        <v>1.55723404917488</v>
      </c>
      <c r="K159" s="678">
        <f t="shared" si="68"/>
        <v>1.0000767716518428</v>
      </c>
      <c r="L159" s="679">
        <f t="shared" si="69"/>
        <v>1.2390862810349393E-2</v>
      </c>
      <c r="M159" s="678">
        <f t="shared" si="70"/>
        <v>1.0011454111163347</v>
      </c>
      <c r="N159" s="679">
        <f t="shared" si="71"/>
        <v>-4.7839708995040274E-2</v>
      </c>
      <c r="O159" s="677">
        <f t="shared" si="72"/>
        <v>371744.90960325702</v>
      </c>
      <c r="P159" s="680">
        <f t="shared" si="73"/>
        <v>1.5707936367782369</v>
      </c>
      <c r="Q159" s="689">
        <f t="shared" si="100"/>
        <v>14.9033836595551</v>
      </c>
      <c r="R159" s="690">
        <f t="shared" si="101"/>
        <v>1.5036470187378002</v>
      </c>
      <c r="S159" s="677">
        <f t="shared" si="76"/>
        <v>1.0022816000896053</v>
      </c>
      <c r="T159" s="680">
        <f t="shared" si="77"/>
        <v>6.7487338612303743E-2</v>
      </c>
      <c r="U159" s="681">
        <f t="shared" si="89"/>
        <v>0.9900799102544201</v>
      </c>
      <c r="V159" s="682">
        <f t="shared" si="90"/>
        <v>-0.17025164776042992</v>
      </c>
      <c r="W159" s="683">
        <f t="shared" si="78"/>
        <v>-17.42979663271916</v>
      </c>
      <c r="X159" s="684">
        <f t="shared" si="79"/>
        <v>-108.72266649818314</v>
      </c>
      <c r="Y159" s="687">
        <f t="shared" si="80"/>
        <v>71.277333501816855</v>
      </c>
      <c r="AA159" s="170">
        <f t="shared" si="81"/>
        <v>8964.4</v>
      </c>
      <c r="AB159" s="170">
        <f t="shared" si="82"/>
        <v>80360467.359999999</v>
      </c>
      <c r="AD159" s="686">
        <f t="shared" si="83"/>
        <v>17.146451976411576</v>
      </c>
      <c r="AE159" s="687">
        <f t="shared" si="84"/>
        <v>-7.7139575041637887</v>
      </c>
      <c r="AG159" s="686">
        <f t="shared" si="85"/>
        <v>6.5813019116038163</v>
      </c>
      <c r="AH159" s="687">
        <f t="shared" si="86"/>
        <v>-81.499307228085513</v>
      </c>
      <c r="AJ159" s="170">
        <f t="shared" si="87"/>
        <v>0</v>
      </c>
      <c r="AK159" s="170">
        <f t="shared" si="99"/>
        <v>0</v>
      </c>
      <c r="AM159" s="170" t="str">
        <f t="shared" si="91"/>
        <v>0.029710235952732+0.241945807537754i</v>
      </c>
      <c r="AN159" s="170" t="str">
        <f t="shared" si="92"/>
        <v>0.244370739324217i</v>
      </c>
      <c r="AO159" s="170" t="str">
        <f t="shared" si="93"/>
        <v>0.990076832467058-0.121578532826363i</v>
      </c>
      <c r="AP159" s="170" t="str">
        <f t="shared" si="94"/>
        <v>0.161714960674545-0.0403243012562923i</v>
      </c>
      <c r="AQ159" s="170" t="str">
        <f t="shared" si="95"/>
        <v>0.838285039325455+0.0403243012562923i</v>
      </c>
      <c r="AR159" s="170" t="str">
        <f t="shared" si="96"/>
        <v>0.991401381270198-0.0476897070671959i</v>
      </c>
    </row>
    <row r="160" spans="7:44">
      <c r="G160" s="688">
        <v>9016.2999999999993</v>
      </c>
      <c r="H160" s="676">
        <f t="shared" si="88"/>
        <v>9.0162999999999993</v>
      </c>
      <c r="I160" s="677">
        <f t="shared" si="66"/>
        <v>74.163010670931513</v>
      </c>
      <c r="J160" s="678">
        <f t="shared" si="67"/>
        <v>1.5573121074296834</v>
      </c>
      <c r="K160" s="678">
        <f t="shared" si="68"/>
        <v>1.0000776631398822</v>
      </c>
      <c r="L160" s="679">
        <f t="shared" si="69"/>
        <v>1.2462593142079793E-2</v>
      </c>
      <c r="M160" s="678">
        <f t="shared" si="70"/>
        <v>1.0011587046824548</v>
      </c>
      <c r="N160" s="679">
        <f t="shared" si="71"/>
        <v>-4.8116254158972645E-2</v>
      </c>
      <c r="O160" s="677">
        <f t="shared" si="72"/>
        <v>373897.15189591126</v>
      </c>
      <c r="P160" s="680">
        <f t="shared" si="73"/>
        <v>1.5707936522626225</v>
      </c>
      <c r="Q160" s="689">
        <f t="shared" si="100"/>
        <v>14.989280446765903</v>
      </c>
      <c r="R160" s="690">
        <f t="shared" si="101"/>
        <v>1.5040323954758339</v>
      </c>
      <c r="S160" s="677">
        <f t="shared" si="76"/>
        <v>1.0023080650162028</v>
      </c>
      <c r="T160" s="680">
        <f t="shared" si="77"/>
        <v>6.7876865553194624E-2</v>
      </c>
      <c r="U160" s="681">
        <f t="shared" si="89"/>
        <v>0.98997086391906597</v>
      </c>
      <c r="V160" s="682">
        <f t="shared" si="90"/>
        <v>-0.17122800430831547</v>
      </c>
      <c r="W160" s="683">
        <f t="shared" si="78"/>
        <v>-17.481217434707624</v>
      </c>
      <c r="X160" s="684">
        <f t="shared" si="79"/>
        <v>-108.79505371808068</v>
      </c>
      <c r="Y160" s="687">
        <f t="shared" si="80"/>
        <v>71.20494628191932</v>
      </c>
      <c r="AA160" s="170">
        <f t="shared" si="81"/>
        <v>9016.2999999999993</v>
      </c>
      <c r="AB160" s="170">
        <f t="shared" si="82"/>
        <v>81293665.689999983</v>
      </c>
      <c r="AD160" s="686">
        <f t="shared" si="83"/>
        <v>17.145998169191458</v>
      </c>
      <c r="AE160" s="687">
        <f t="shared" si="84"/>
        <v>-7.7141961804618395</v>
      </c>
      <c r="AG160" s="686">
        <f t="shared" si="85"/>
        <v>6.5322483312744044</v>
      </c>
      <c r="AH160" s="687">
        <f t="shared" si="86"/>
        <v>-81.459573552569566</v>
      </c>
      <c r="AJ160" s="170">
        <f t="shared" si="87"/>
        <v>0</v>
      </c>
      <c r="AK160" s="170">
        <f t="shared" si="99"/>
        <v>0</v>
      </c>
      <c r="AM160" s="170" t="str">
        <f t="shared" si="91"/>
        <v>0.030053512085469+0.243318331784244i</v>
      </c>
      <c r="AN160" s="170" t="str">
        <f t="shared" si="92"/>
        <v>0.245785540244628i</v>
      </c>
      <c r="AO160" s="170" t="str">
        <f t="shared" si="93"/>
        <v>0.989961946264502-0.122275346448603i</v>
      </c>
      <c r="AP160" s="170" t="str">
        <f t="shared" si="94"/>
        <v>0.161657747985755-0.040553055297374i</v>
      </c>
      <c r="AQ160" s="170" t="str">
        <f t="shared" si="95"/>
        <v>0.838342252014245+0.040553055297374i</v>
      </c>
      <c r="AR160" s="170" t="str">
        <f t="shared" si="96"/>
        <v>0.991308000390452-0.0479524538575686i</v>
      </c>
    </row>
    <row r="161" spans="7:44">
      <c r="G161" s="688">
        <v>9068.2000000000007</v>
      </c>
      <c r="H161" s="676">
        <f t="shared" si="88"/>
        <v>9.0682000000000009</v>
      </c>
      <c r="I161" s="677">
        <f t="shared" si="66"/>
        <v>74.589833474774707</v>
      </c>
      <c r="J161" s="678">
        <f t="shared" si="67"/>
        <v>1.5573892723448919</v>
      </c>
      <c r="K161" s="678">
        <f t="shared" si="68"/>
        <v>1.0000785597735524</v>
      </c>
      <c r="L161" s="679">
        <f t="shared" si="69"/>
        <v>1.2534323345557707E-2</v>
      </c>
      <c r="M161" s="678">
        <f t="shared" si="70"/>
        <v>1.0011720748123805</v>
      </c>
      <c r="N161" s="679">
        <f t="shared" si="71"/>
        <v>-4.8392791957821056E-2</v>
      </c>
      <c r="O161" s="677">
        <f t="shared" si="72"/>
        <v>376049.39418856561</v>
      </c>
      <c r="P161" s="680">
        <f t="shared" si="73"/>
        <v>1.5707936675697642</v>
      </c>
      <c r="Q161" s="689">
        <f t="shared" si="100"/>
        <v>15.075179434744371</v>
      </c>
      <c r="R161" s="690">
        <f t="shared" si="101"/>
        <v>1.5044133804851352</v>
      </c>
      <c r="S161" s="677">
        <f t="shared" si="76"/>
        <v>1.0023346820161994</v>
      </c>
      <c r="T161" s="680">
        <f t="shared" si="77"/>
        <v>6.8266371865405406E-2</v>
      </c>
      <c r="U161" s="681">
        <f t="shared" si="89"/>
        <v>0.98986122243412178</v>
      </c>
      <c r="V161" s="682">
        <f t="shared" si="90"/>
        <v>-0.17220420183170776</v>
      </c>
      <c r="W161" s="683">
        <f t="shared" si="78"/>
        <v>-17.532352688340012</v>
      </c>
      <c r="X161" s="684">
        <f t="shared" si="79"/>
        <v>-108.8676306627473</v>
      </c>
      <c r="Y161" s="687">
        <f t="shared" si="80"/>
        <v>71.132369337252698</v>
      </c>
      <c r="AA161" s="170">
        <f t="shared" si="81"/>
        <v>9068.2000000000007</v>
      </c>
      <c r="AB161" s="170">
        <f t="shared" si="82"/>
        <v>82232251.24000001</v>
      </c>
      <c r="AD161" s="686">
        <f t="shared" si="83"/>
        <v>17.145546881855417</v>
      </c>
      <c r="AE161" s="687">
        <f t="shared" si="84"/>
        <v>-7.7146852921896736</v>
      </c>
      <c r="AG161" s="686">
        <f t="shared" si="85"/>
        <v>6.4834884348939168</v>
      </c>
      <c r="AH161" s="687">
        <f t="shared" si="86"/>
        <v>-81.419797389257482</v>
      </c>
      <c r="AJ161" s="170">
        <f t="shared" si="87"/>
        <v>0</v>
      </c>
      <c r="AK161" s="170">
        <f t="shared" si="99"/>
        <v>0</v>
      </c>
      <c r="AM161" s="170" t="str">
        <f t="shared" si="91"/>
        <v>0.030398729722565+0.244690368989841i</v>
      </c>
      <c r="AN161" s="170" t="str">
        <f t="shared" si="92"/>
        <v>0.247200341165038i</v>
      </c>
      <c r="AO161" s="170" t="str">
        <f t="shared" si="93"/>
        <v>0.989846404890189-0.122972037899697i</v>
      </c>
      <c r="AP161" s="170" t="str">
        <f t="shared" si="94"/>
        <v>0.161600211712906-0.0407817281649735i</v>
      </c>
      <c r="AQ161" s="170" t="str">
        <f t="shared" si="95"/>
        <v>0.838399788287094+0.0407817281649735i</v>
      </c>
      <c r="AR161" s="170" t="str">
        <f t="shared" si="96"/>
        <v>0.9912141219547-0.0482149750507776i</v>
      </c>
    </row>
    <row r="162" spans="7:44">
      <c r="G162" s="688">
        <v>9120.1</v>
      </c>
      <c r="H162" s="676">
        <f t="shared" si="88"/>
        <v>9.1201000000000008</v>
      </c>
      <c r="I162" s="677">
        <f t="shared" si="66"/>
        <v>75.016656717703341</v>
      </c>
      <c r="J162" s="678">
        <f t="shared" si="67"/>
        <v>1.5574655591681161</v>
      </c>
      <c r="K162" s="678">
        <f t="shared" si="68"/>
        <v>1.0000794615528397</v>
      </c>
      <c r="L162" s="679">
        <f t="shared" si="69"/>
        <v>1.2606053420045341E-2</v>
      </c>
      <c r="M162" s="678">
        <f t="shared" si="70"/>
        <v>1.0011855215030441</v>
      </c>
      <c r="N162" s="679">
        <f t="shared" si="71"/>
        <v>-4.8669322349586E-2</v>
      </c>
      <c r="O162" s="677">
        <f t="shared" si="72"/>
        <v>378201.63648122014</v>
      </c>
      <c r="P162" s="680">
        <f t="shared" si="73"/>
        <v>1.5707936827026887</v>
      </c>
      <c r="Q162" s="689">
        <f t="shared" si="100"/>
        <v>15.161080586083457</v>
      </c>
      <c r="R162" s="690">
        <f t="shared" si="101"/>
        <v>1.5047900483034276</v>
      </c>
      <c r="S162" s="677">
        <f t="shared" si="76"/>
        <v>1.0023614510774799</v>
      </c>
      <c r="T162" s="680">
        <f t="shared" si="77"/>
        <v>6.8655857432396106E-2</v>
      </c>
      <c r="U162" s="681">
        <f t="shared" si="89"/>
        <v>0.9897509863744115</v>
      </c>
      <c r="V162" s="682">
        <f t="shared" si="90"/>
        <v>-0.17318023948611441</v>
      </c>
      <c r="W162" s="683">
        <f t="shared" si="78"/>
        <v>-17.583205758287978</v>
      </c>
      <c r="X162" s="684">
        <f t="shared" si="79"/>
        <v>-108.9403938778559</v>
      </c>
      <c r="Y162" s="687">
        <f t="shared" si="80"/>
        <v>71.059606122144103</v>
      </c>
      <c r="AA162" s="170">
        <f t="shared" si="81"/>
        <v>9120.1</v>
      </c>
      <c r="AB162" s="170">
        <f t="shared" si="82"/>
        <v>83176224.010000005</v>
      </c>
      <c r="AD162" s="686">
        <f t="shared" si="83"/>
        <v>17.145098027959289</v>
      </c>
      <c r="AE162" s="687">
        <f t="shared" si="84"/>
        <v>-7.7154205621464973</v>
      </c>
      <c r="AG162" s="686">
        <f t="shared" si="85"/>
        <v>6.4350189376632825</v>
      </c>
      <c r="AH162" s="687">
        <f t="shared" si="86"/>
        <v>-81.379979657794777</v>
      </c>
      <c r="AJ162" s="170">
        <f t="shared" si="87"/>
        <v>0</v>
      </c>
      <c r="AK162" s="170">
        <f t="shared" si="99"/>
        <v>0</v>
      </c>
      <c r="AM162" s="170" t="str">
        <f t="shared" si="91"/>
        <v>0.03074588817301+0.246061916408195i</v>
      </c>
      <c r="AN162" s="170" t="str">
        <f t="shared" si="92"/>
        <v>0.248615142085449i</v>
      </c>
      <c r="AO162" s="170" t="str">
        <f t="shared" si="93"/>
        <v>0.98973020848273-0.123668606485934i</v>
      </c>
      <c r="AP162" s="170" t="str">
        <f t="shared" si="94"/>
        <v>0.161542351971165-0.0410103194013658i</v>
      </c>
      <c r="AQ162" s="170" t="str">
        <f t="shared" si="95"/>
        <v>0.838457648028835+0.0410103194013658i</v>
      </c>
      <c r="AR162" s="170" t="str">
        <f t="shared" si="96"/>
        <v>0.991119746653151-0.0484772695088454i</v>
      </c>
    </row>
    <row r="163" spans="7:44">
      <c r="G163" s="688">
        <v>9173.2000000000007</v>
      </c>
      <c r="H163" s="676">
        <f t="shared" si="88"/>
        <v>9.1732000000000014</v>
      </c>
      <c r="I163" s="677">
        <f t="shared" si="66"/>
        <v>75.453349152793152</v>
      </c>
      <c r="J163" s="678">
        <f t="shared" si="67"/>
        <v>1.5575427166080413</v>
      </c>
      <c r="K163" s="678">
        <f t="shared" si="68"/>
        <v>1.000080389507954</v>
      </c>
      <c r="L163" s="679">
        <f t="shared" si="69"/>
        <v>1.2679441859097201E-2</v>
      </c>
      <c r="M163" s="678">
        <f t="shared" si="70"/>
        <v>1.0011993583331216</v>
      </c>
      <c r="N163" s="679">
        <f t="shared" si="71"/>
        <v>-4.8952238797882811E-2</v>
      </c>
      <c r="O163" s="677">
        <f t="shared" si="72"/>
        <v>380403.64160145045</v>
      </c>
      <c r="P163" s="680">
        <f t="shared" si="73"/>
        <v>1.5707936980082851</v>
      </c>
      <c r="Q163" s="689">
        <f t="shared" si="100"/>
        <v>15.248970092049877</v>
      </c>
      <c r="R163" s="690">
        <f t="shared" si="101"/>
        <v>1.5051710331107693</v>
      </c>
      <c r="S163" s="677">
        <f t="shared" si="76"/>
        <v>1.0023889964396198</v>
      </c>
      <c r="T163" s="680">
        <f t="shared" si="77"/>
        <v>6.9054326854266643E-2</v>
      </c>
      <c r="U163" s="681">
        <f t="shared" si="89"/>
        <v>0.98963758675169422</v>
      </c>
      <c r="V163" s="682">
        <f t="shared" si="90"/>
        <v>-0.17417867814933127</v>
      </c>
      <c r="W163" s="683">
        <f t="shared" si="78"/>
        <v>-17.634946023913429</v>
      </c>
      <c r="X163" s="684">
        <f t="shared" si="79"/>
        <v>-109.01502873729643</v>
      </c>
      <c r="Y163" s="687">
        <f t="shared" si="80"/>
        <v>70.984971262703567</v>
      </c>
      <c r="AA163" s="170">
        <f t="shared" si="81"/>
        <v>9173.2000000000007</v>
      </c>
      <c r="AB163" s="170">
        <f t="shared" si="82"/>
        <v>84147598.24000001</v>
      </c>
      <c r="AD163" s="686">
        <f t="shared" si="83"/>
        <v>17.144641226824774</v>
      </c>
      <c r="AE163" s="687">
        <f t="shared" si="84"/>
        <v>-7.7164232337126348</v>
      </c>
      <c r="AG163" s="686">
        <f t="shared" si="85"/>
        <v>6.3857259395666155</v>
      </c>
      <c r="AH163" s="687">
        <f t="shared" si="86"/>
        <v>-81.339199202528434</v>
      </c>
      <c r="AJ163" s="170">
        <f t="shared" si="87"/>
        <v>0</v>
      </c>
      <c r="AK163" s="170">
        <f t="shared" si="99"/>
        <v>0</v>
      </c>
      <c r="AM163" s="170" t="str">
        <f t="shared" si="91"/>
        <v>0.031103081327264+0.247464666137364i</v>
      </c>
      <c r="AN163" s="170" t="str">
        <f t="shared" si="92"/>
        <v>0.250062655165868i</v>
      </c>
      <c r="AO163" s="170" t="str">
        <f t="shared" si="93"/>
        <v>0.989610647672357-0.124381152822012i</v>
      </c>
      <c r="AP163" s="170" t="str">
        <f t="shared" si="94"/>
        <v>0.161482819778789-0.041244111022894i</v>
      </c>
      <c r="AQ163" s="170" t="str">
        <f t="shared" si="95"/>
        <v>0.838517180221211+0.041244111022894i</v>
      </c>
      <c r="AR163" s="170" t="str">
        <f t="shared" si="96"/>
        <v>0.99102267575597-0.0487453927351872i</v>
      </c>
    </row>
    <row r="164" spans="7:44">
      <c r="G164" s="688">
        <v>9226.2999999999993</v>
      </c>
      <c r="H164" s="676">
        <f t="shared" si="88"/>
        <v>9.2262999999999984</v>
      </c>
      <c r="I164" s="677">
        <f t="shared" si="66"/>
        <v>75.890042031907569</v>
      </c>
      <c r="J164" s="678">
        <f t="shared" si="67"/>
        <v>1.5576189860767222</v>
      </c>
      <c r="K164" s="678">
        <f t="shared" si="68"/>
        <v>1.0000813228493539</v>
      </c>
      <c r="L164" s="679">
        <f t="shared" si="69"/>
        <v>1.2752830161562518E-2</v>
      </c>
      <c r="M164" s="678">
        <f t="shared" si="70"/>
        <v>1.0012132752986955</v>
      </c>
      <c r="N164" s="679">
        <f t="shared" si="71"/>
        <v>-4.9235147403689207E-2</v>
      </c>
      <c r="O164" s="677">
        <f t="shared" si="72"/>
        <v>382605.64672168082</v>
      </c>
      <c r="P164" s="680">
        <f t="shared" si="73"/>
        <v>1.5707937131377052</v>
      </c>
      <c r="Q164" s="689">
        <f t="shared" si="100"/>
        <v>15.336861786027317</v>
      </c>
      <c r="R164" s="690">
        <f t="shared" si="101"/>
        <v>1.5055476513162129</v>
      </c>
      <c r="S164" s="677">
        <f t="shared" si="76"/>
        <v>1.0024167009501976</v>
      </c>
      <c r="T164" s="680">
        <f t="shared" si="77"/>
        <v>6.9452774313827501E-2</v>
      </c>
      <c r="U164" s="681">
        <f t="shared" si="89"/>
        <v>0.98952356596779578</v>
      </c>
      <c r="V164" s="682">
        <f t="shared" si="90"/>
        <v>-0.17517694768067005</v>
      </c>
      <c r="W164" s="683">
        <f t="shared" si="78"/>
        <v>-17.68639784629357</v>
      </c>
      <c r="X164" s="684">
        <f t="shared" si="79"/>
        <v>-109.08985150709177</v>
      </c>
      <c r="Y164" s="687">
        <f t="shared" si="80"/>
        <v>70.910148492908235</v>
      </c>
      <c r="AA164" s="170">
        <f t="shared" si="81"/>
        <v>9226.2999999999993</v>
      </c>
      <c r="AB164" s="170">
        <f t="shared" si="82"/>
        <v>85124611.689999983</v>
      </c>
      <c r="AD164" s="686">
        <f t="shared" si="83"/>
        <v>17.144186797608196</v>
      </c>
      <c r="AE164" s="687">
        <f t="shared" si="84"/>
        <v>-7.7176748246968208</v>
      </c>
      <c r="AG164" s="686">
        <f t="shared" si="85"/>
        <v>6.336730145808172</v>
      </c>
      <c r="AH164" s="687">
        <f t="shared" si="86"/>
        <v>-81.298377119284439</v>
      </c>
      <c r="AJ164" s="170">
        <f t="shared" si="87"/>
        <v>0</v>
      </c>
      <c r="AK164" s="170">
        <f t="shared" si="99"/>
        <v>0</v>
      </c>
      <c r="AM164" s="170" t="str">
        <f t="shared" si="91"/>
        <v>0.031462304605177+0.248866897355365i</v>
      </c>
      <c r="AN164" s="170" t="str">
        <f t="shared" si="92"/>
        <v>0.251510168246288i</v>
      </c>
      <c r="AO164" s="170" t="str">
        <f t="shared" si="93"/>
        <v>0.989490401484147-0.125093569077366i</v>
      </c>
      <c r="AP164" s="170" t="str">
        <f t="shared" si="94"/>
        <v>0.16142294923247-0.0414778162258942i</v>
      </c>
      <c r="AQ164" s="170" t="str">
        <f t="shared" si="95"/>
        <v>0.83857705076753+0.0414778162258942i</v>
      </c>
      <c r="AR164" s="170" t="str">
        <f t="shared" si="96"/>
        <v>0.990925086222911-0.0490132762187602i</v>
      </c>
    </row>
    <row r="165" spans="7:44">
      <c r="G165" s="688">
        <v>9279.4</v>
      </c>
      <c r="H165" s="676">
        <f t="shared" si="88"/>
        <v>9.279399999999999</v>
      </c>
      <c r="I165" s="677">
        <f t="shared" si="66"/>
        <v>76.326735347425341</v>
      </c>
      <c r="J165" s="678">
        <f t="shared" si="67"/>
        <v>1.5576943828144938</v>
      </c>
      <c r="K165" s="678">
        <f t="shared" si="68"/>
        <v>1.0000822615770248</v>
      </c>
      <c r="L165" s="679">
        <f t="shared" si="69"/>
        <v>1.2826218326651168E-2</v>
      </c>
      <c r="M165" s="678">
        <f t="shared" si="70"/>
        <v>1.0012272723964248</v>
      </c>
      <c r="N165" s="679">
        <f t="shared" si="71"/>
        <v>-4.9518048122046722E-2</v>
      </c>
      <c r="O165" s="677">
        <f t="shared" si="72"/>
        <v>384807.65184191137</v>
      </c>
      <c r="P165" s="680">
        <f t="shared" si="73"/>
        <v>1.5707937280939737</v>
      </c>
      <c r="Q165" s="689">
        <f t="shared" si="100"/>
        <v>15.424755630613312</v>
      </c>
      <c r="R165" s="690">
        <f t="shared" si="101"/>
        <v>1.5059199774577345</v>
      </c>
      <c r="S165" s="677">
        <f t="shared" si="76"/>
        <v>1.0024445645960189</v>
      </c>
      <c r="T165" s="680">
        <f t="shared" si="77"/>
        <v>6.9851199686389559E-2</v>
      </c>
      <c r="U165" s="681">
        <f t="shared" si="89"/>
        <v>0.98940892464735075</v>
      </c>
      <c r="V165" s="682">
        <f t="shared" si="90"/>
        <v>-0.17617504717955298</v>
      </c>
      <c r="W165" s="683">
        <f t="shared" si="78"/>
        <v>-17.737564643923186</v>
      </c>
      <c r="X165" s="684">
        <f t="shared" si="79"/>
        <v>-109.16485872863647</v>
      </c>
      <c r="Y165" s="687">
        <f t="shared" si="80"/>
        <v>70.835141271363526</v>
      </c>
      <c r="AA165" s="170">
        <f t="shared" si="81"/>
        <v>9279.4</v>
      </c>
      <c r="AB165" s="170">
        <f t="shared" si="82"/>
        <v>86107264.359999999</v>
      </c>
      <c r="AD165" s="686">
        <f t="shared" si="83"/>
        <v>17.14373465537798</v>
      </c>
      <c r="AE165" s="687">
        <f t="shared" si="84"/>
        <v>-7.7191710574167391</v>
      </c>
      <c r="AG165" s="686">
        <f t="shared" si="85"/>
        <v>6.2880282156799661</v>
      </c>
      <c r="AH165" s="687">
        <f t="shared" si="86"/>
        <v>-81.25751433033831</v>
      </c>
      <c r="AJ165" s="170">
        <f t="shared" si="87"/>
        <v>0</v>
      </c>
      <c r="AK165" s="170">
        <f t="shared" si="99"/>
        <v>0</v>
      </c>
      <c r="AM165" s="170" t="str">
        <f t="shared" si="91"/>
        <v>0.031823557254073+0.250268607124111i</v>
      </c>
      <c r="AN165" s="170" t="str">
        <f t="shared" si="92"/>
        <v>0.252957681326708i</v>
      </c>
      <c r="AO165" s="170" t="str">
        <f t="shared" si="93"/>
        <v>0.989369470069091-0.125805854509598i</v>
      </c>
      <c r="AP165" s="170" t="str">
        <f t="shared" si="94"/>
        <v>0.161362740457655-0.0417114345206852i</v>
      </c>
      <c r="AQ165" s="170" t="str">
        <f t="shared" si="95"/>
        <v>0.838637259542345+0.0417114345206852i</v>
      </c>
      <c r="AR165" s="170" t="str">
        <f t="shared" si="96"/>
        <v>0.990826978803593-0.0492809187493626i</v>
      </c>
    </row>
    <row r="166" spans="7:44">
      <c r="G166" s="688">
        <v>9332.5</v>
      </c>
      <c r="H166" s="676">
        <f t="shared" si="88"/>
        <v>9.3324999999999996</v>
      </c>
      <c r="I166" s="677">
        <f t="shared" si="66"/>
        <v>76.763429091898601</v>
      </c>
      <c r="J166" s="678">
        <f t="shared" si="67"/>
        <v>1.5577689217149326</v>
      </c>
      <c r="K166" s="678">
        <f t="shared" si="68"/>
        <v>1.0000832056909514</v>
      </c>
      <c r="L166" s="679">
        <f t="shared" si="69"/>
        <v>1.2899606353573024E-2</v>
      </c>
      <c r="M166" s="678">
        <f t="shared" si="70"/>
        <v>1.0012413496229482</v>
      </c>
      <c r="N166" s="679">
        <f t="shared" si="71"/>
        <v>-4.980094090800441E-2</v>
      </c>
      <c r="O166" s="677">
        <f t="shared" si="72"/>
        <v>387009.65696214198</v>
      </c>
      <c r="P166" s="680">
        <f t="shared" si="73"/>
        <v>1.5707937428800458</v>
      </c>
      <c r="Q166" s="689">
        <f t="shared" si="100"/>
        <v>15.512651589252163</v>
      </c>
      <c r="R166" s="690">
        <f t="shared" si="101"/>
        <v>1.506288084388778</v>
      </c>
      <c r="S166" s="677">
        <f t="shared" si="76"/>
        <v>1.0024725873638138</v>
      </c>
      <c r="T166" s="680">
        <f t="shared" si="77"/>
        <v>7.0249602847305498E-2</v>
      </c>
      <c r="U166" s="681">
        <f t="shared" si="89"/>
        <v>0.98929366341800518</v>
      </c>
      <c r="V166" s="682">
        <f t="shared" si="90"/>
        <v>-0.17717297574669011</v>
      </c>
      <c r="W166" s="683">
        <f t="shared" si="78"/>
        <v>-17.788449775786951</v>
      </c>
      <c r="X166" s="684">
        <f t="shared" si="79"/>
        <v>-109.24004702004665</v>
      </c>
      <c r="Y166" s="687">
        <f t="shared" si="80"/>
        <v>70.759952979953354</v>
      </c>
      <c r="AA166" s="170">
        <f t="shared" si="81"/>
        <v>9332.5</v>
      </c>
      <c r="AB166" s="170">
        <f t="shared" si="82"/>
        <v>87095556.25</v>
      </c>
      <c r="AD166" s="686">
        <f t="shared" si="83"/>
        <v>17.14328471760949</v>
      </c>
      <c r="AE166" s="687">
        <f t="shared" si="84"/>
        <v>-7.7209077507050985</v>
      </c>
      <c r="AG166" s="686">
        <f t="shared" si="85"/>
        <v>6.2396168655414694</v>
      </c>
      <c r="AH166" s="687">
        <f t="shared" si="86"/>
        <v>-81.216611738024426</v>
      </c>
      <c r="AJ166" s="170">
        <f t="shared" si="87"/>
        <v>0</v>
      </c>
      <c r="AK166" s="170">
        <f t="shared" si="99"/>
        <v>0</v>
      </c>
      <c r="AM166" s="170" t="str">
        <f t="shared" si="91"/>
        <v>0.03218683851702+0.251669792506608i</v>
      </c>
      <c r="AN166" s="170" t="str">
        <f t="shared" si="92"/>
        <v>0.254405194407128i</v>
      </c>
      <c r="AO166" s="170" t="str">
        <f t="shared" si="93"/>
        <v>0.989247853579033-0.126518008376476i</v>
      </c>
      <c r="AP166" s="170" t="str">
        <f t="shared" si="94"/>
        <v>0.161302193580497-0.041944965417768i</v>
      </c>
      <c r="AQ166" s="170" t="str">
        <f t="shared" si="95"/>
        <v>0.838697806419503+0.041944965417768i</v>
      </c>
      <c r="AR166" s="170" t="str">
        <f t="shared" si="96"/>
        <v>0.990728354251116-0.0495483191196993i</v>
      </c>
    </row>
    <row r="167" spans="7:44">
      <c r="G167" s="688">
        <v>9386.85</v>
      </c>
      <c r="H167" s="676">
        <f t="shared" si="88"/>
        <v>9.3868500000000008</v>
      </c>
      <c r="I167" s="677">
        <f t="shared" si="66"/>
        <v>77.210403257564977</v>
      </c>
      <c r="J167" s="678">
        <f t="shared" si="67"/>
        <v>1.5578443421226276</v>
      </c>
      <c r="K167" s="678">
        <f t="shared" si="68"/>
        <v>1.000084177607707</v>
      </c>
      <c r="L167" s="679">
        <f t="shared" si="69"/>
        <v>1.2974721826673995E-2</v>
      </c>
      <c r="M167" s="678">
        <f t="shared" si="70"/>
        <v>1.0012558412111521</v>
      </c>
      <c r="N167" s="679">
        <f t="shared" si="71"/>
        <v>-5.0090484867055259E-2</v>
      </c>
      <c r="O167" s="677">
        <f t="shared" si="72"/>
        <v>389263.49836109753</v>
      </c>
      <c r="P167" s="680">
        <f t="shared" si="73"/>
        <v>1.570793757840951</v>
      </c>
      <c r="Q167" s="689">
        <f t="shared" si="100"/>
        <v>15.602618813792519</v>
      </c>
      <c r="R167" s="690">
        <f t="shared" si="101"/>
        <v>1.5066605616937463</v>
      </c>
      <c r="S167" s="677">
        <f t="shared" si="76"/>
        <v>1.0025014345721326</v>
      </c>
      <c r="T167" s="680">
        <f t="shared" si="77"/>
        <v>7.0657361481542502E-2</v>
      </c>
      <c r="U167" s="681">
        <f t="shared" si="89"/>
        <v>0.98917504757104058</v>
      </c>
      <c r="V167" s="682">
        <f t="shared" si="90"/>
        <v>-0.17819421808887928</v>
      </c>
      <c r="W167" s="683">
        <f t="shared" si="78"/>
        <v>-17.840244523728607</v>
      </c>
      <c r="X167" s="684">
        <f t="shared" si="79"/>
        <v>-109.3171893429641</v>
      </c>
      <c r="Y167" s="687">
        <f t="shared" si="80"/>
        <v>70.682810657035901</v>
      </c>
      <c r="AA167" s="170">
        <f t="shared" si="81"/>
        <v>9386.85</v>
      </c>
      <c r="AB167" s="170">
        <f t="shared" si="82"/>
        <v>88112952.922499999</v>
      </c>
      <c r="AD167" s="686">
        <f t="shared" si="83"/>
        <v>17.142826387308713</v>
      </c>
      <c r="AE167" s="687">
        <f t="shared" si="84"/>
        <v>-7.7229300791668463</v>
      </c>
      <c r="AG167" s="686">
        <f t="shared" si="85"/>
        <v>6.1903634409781585</v>
      </c>
      <c r="AH167" s="687">
        <f t="shared" si="86"/>
        <v>-81.174705980211428</v>
      </c>
      <c r="AJ167" s="170">
        <f t="shared" si="87"/>
        <v>0</v>
      </c>
      <c r="AK167" s="170">
        <f t="shared" si="99"/>
        <v>0</v>
      </c>
      <c r="AM167" s="170" t="str">
        <f t="shared" si="91"/>
        <v>0.03256077161228+0.253103416366854i</v>
      </c>
      <c r="AN167" s="170" t="str">
        <f t="shared" si="92"/>
        <v>0.255886782654225i</v>
      </c>
      <c r="AO167" s="170" t="str">
        <f t="shared" si="93"/>
        <v>0.98912266488132-0.127246789672129i</v>
      </c>
      <c r="AP167" s="170" t="str">
        <f t="shared" si="94"/>
        <v>0.161239871397953-0.042183902727809i</v>
      </c>
      <c r="AQ167" s="170" t="str">
        <f t="shared" si="95"/>
        <v>0.838760128602047+0.042183902727809i</v>
      </c>
      <c r="AR167" s="170" t="str">
        <f t="shared" si="96"/>
        <v>0.990626873281256-0.0498217621904591i</v>
      </c>
    </row>
    <row r="168" spans="7:44">
      <c r="G168" s="688">
        <v>9441.2000000000007</v>
      </c>
      <c r="H168" s="676">
        <f t="shared" si="88"/>
        <v>9.4412000000000003</v>
      </c>
      <c r="I168" s="677">
        <f t="shared" si="66"/>
        <v>77.657377857366768</v>
      </c>
      <c r="J168" s="678">
        <f t="shared" si="67"/>
        <v>1.5579188943323181</v>
      </c>
      <c r="K168" s="678">
        <f t="shared" si="68"/>
        <v>1.0000851551672609</v>
      </c>
      <c r="L168" s="679">
        <f t="shared" si="69"/>
        <v>1.3049837153351597E-2</v>
      </c>
      <c r="M168" s="678">
        <f t="shared" si="70"/>
        <v>1.0012704167379105</v>
      </c>
      <c r="N168" s="679">
        <f t="shared" si="71"/>
        <v>-5.0380020420576856E-2</v>
      </c>
      <c r="O168" s="677">
        <f t="shared" si="72"/>
        <v>391517.33976005315</v>
      </c>
      <c r="P168" s="680">
        <f t="shared" si="73"/>
        <v>1.5707937726296057</v>
      </c>
      <c r="Q168" s="689">
        <f t="shared" si="100"/>
        <v>15.692588178208917</v>
      </c>
      <c r="R168" s="690">
        <f t="shared" si="101"/>
        <v>1.5070287680462111</v>
      </c>
      <c r="S168" s="677">
        <f t="shared" si="76"/>
        <v>1.0025304484538533</v>
      </c>
      <c r="T168" s="680">
        <f t="shared" si="77"/>
        <v>7.1065096581970244E-2</v>
      </c>
      <c r="U168" s="681">
        <f t="shared" si="89"/>
        <v>0.98905578362596491</v>
      </c>
      <c r="V168" s="682">
        <f t="shared" si="90"/>
        <v>-0.17921527945476615</v>
      </c>
      <c r="W168" s="683">
        <f t="shared" si="78"/>
        <v>-17.891751124454185</v>
      </c>
      <c r="X168" s="684">
        <f t="shared" si="79"/>
        <v>-109.3945144287059</v>
      </c>
      <c r="Y168" s="687">
        <f t="shared" si="80"/>
        <v>70.605485571294096</v>
      </c>
      <c r="AA168" s="170">
        <f t="shared" si="81"/>
        <v>9441.2000000000007</v>
      </c>
      <c r="AB168" s="170">
        <f t="shared" si="82"/>
        <v>89136257.440000013</v>
      </c>
      <c r="AD168" s="686">
        <f t="shared" si="83"/>
        <v>17.142370198911006</v>
      </c>
      <c r="AE168" s="687">
        <f t="shared" si="84"/>
        <v>-7.7251957569246583</v>
      </c>
      <c r="AG168" s="686">
        <f t="shared" si="85"/>
        <v>6.1414076547164553</v>
      </c>
      <c r="AH168" s="687">
        <f t="shared" si="86"/>
        <v>-81.132760374283365</v>
      </c>
      <c r="AJ168" s="170">
        <f t="shared" si="87"/>
        <v>0</v>
      </c>
      <c r="AK168" s="170">
        <f t="shared" si="99"/>
        <v>0</v>
      </c>
      <c r="AM168" s="170" t="str">
        <f t="shared" si="91"/>
        <v>0.032936828336614+0.254536484638946i</v>
      </c>
      <c r="AN168" s="170" t="str">
        <f t="shared" si="92"/>
        <v>0.257368370901321i</v>
      </c>
      <c r="AO168" s="170" t="str">
        <f t="shared" si="93"/>
        <v>0.988996758799624-0.127975431562422i</v>
      </c>
      <c r="AP168" s="170" t="str">
        <f t="shared" si="94"/>
        <v>0.161177195277231-0.0424227474398243i</v>
      </c>
      <c r="AQ168" s="170" t="str">
        <f t="shared" si="95"/>
        <v>0.838822804722769+0.0424227474398243i</v>
      </c>
      <c r="AR168" s="170" t="str">
        <f t="shared" si="96"/>
        <v>0.990524852152182-0.0500949490156139i</v>
      </c>
    </row>
    <row r="169" spans="7:44">
      <c r="G169" s="688">
        <v>9495.5499999999993</v>
      </c>
      <c r="H169" s="676">
        <f t="shared" si="88"/>
        <v>9.4955499999999997</v>
      </c>
      <c r="I169" s="677">
        <f t="shared" si="66"/>
        <v>78.104352883850567</v>
      </c>
      <c r="J169" s="678">
        <f t="shared" si="67"/>
        <v>1.5579925932487202</v>
      </c>
      <c r="K169" s="678">
        <f t="shared" si="68"/>
        <v>1.0000861383695965</v>
      </c>
      <c r="L169" s="679">
        <f t="shared" si="69"/>
        <v>1.3124952332758613E-2</v>
      </c>
      <c r="M169" s="678">
        <f t="shared" si="70"/>
        <v>1.0012850761995582</v>
      </c>
      <c r="N169" s="679">
        <f t="shared" si="71"/>
        <v>-5.0669547520393307E-2</v>
      </c>
      <c r="O169" s="677">
        <f t="shared" si="72"/>
        <v>393771.18115900882</v>
      </c>
      <c r="P169" s="680">
        <f t="shared" si="73"/>
        <v>1.5707937872489679</v>
      </c>
      <c r="Q169" s="689">
        <f t="shared" si="100"/>
        <v>15.782559645905902</v>
      </c>
      <c r="R169" s="690">
        <f t="shared" si="101"/>
        <v>1.5073927763875876</v>
      </c>
      <c r="S169" s="677">
        <f t="shared" si="76"/>
        <v>1.0025596289945047</v>
      </c>
      <c r="T169" s="680">
        <f t="shared" si="77"/>
        <v>7.1472808015067585E-2</v>
      </c>
      <c r="U169" s="681">
        <f t="shared" si="89"/>
        <v>0.98893587226557766</v>
      </c>
      <c r="V169" s="682">
        <f t="shared" si="90"/>
        <v>-0.18023615888434247</v>
      </c>
      <c r="W169" s="683">
        <f t="shared" si="78"/>
        <v>-17.942972994967732</v>
      </c>
      <c r="X169" s="684">
        <f t="shared" si="79"/>
        <v>-109.47201888681722</v>
      </c>
      <c r="Y169" s="687">
        <f t="shared" si="80"/>
        <v>70.527981113182776</v>
      </c>
      <c r="AA169" s="170">
        <f t="shared" si="81"/>
        <v>9495.5499999999993</v>
      </c>
      <c r="AB169" s="170">
        <f t="shared" si="82"/>
        <v>90165469.80249998</v>
      </c>
      <c r="AD169" s="686">
        <f t="shared" si="83"/>
        <v>17.141916071240836</v>
      </c>
      <c r="AE169" s="687">
        <f t="shared" si="84"/>
        <v>-7.7277005972625377</v>
      </c>
      <c r="AG169" s="686">
        <f t="shared" si="85"/>
        <v>6.0927461631119995</v>
      </c>
      <c r="AH169" s="687">
        <f t="shared" si="86"/>
        <v>-81.090775826510239</v>
      </c>
      <c r="AJ169" s="170">
        <f t="shared" si="87"/>
        <v>0</v>
      </c>
      <c r="AK169" s="170">
        <f t="shared" si="99"/>
        <v>0</v>
      </c>
      <c r="AM169" s="170" t="str">
        <f t="shared" si="91"/>
        <v>0.033315007864539+0.255968994177152i</v>
      </c>
      <c r="AN169" s="170" t="str">
        <f t="shared" si="92"/>
        <v>0.258849959148417i</v>
      </c>
      <c r="AO169" s="170" t="str">
        <f t="shared" si="93"/>
        <v>0.988870135499565-0.12870393325207i</v>
      </c>
      <c r="AP169" s="170" t="str">
        <f t="shared" si="94"/>
        <v>0.16111416535591-0.0426614990295253i</v>
      </c>
      <c r="AQ169" s="170" t="str">
        <f t="shared" si="95"/>
        <v>0.83888583464409+0.0426614990295253i</v>
      </c>
      <c r="AR169" s="170" t="str">
        <f t="shared" si="96"/>
        <v>0.990422291682699-0.0503678783101256i</v>
      </c>
    </row>
    <row r="170" spans="7:44">
      <c r="G170" s="688">
        <v>9549.9</v>
      </c>
      <c r="H170" s="676">
        <f t="shared" si="88"/>
        <v>9.5498999999999992</v>
      </c>
      <c r="I170" s="677">
        <f t="shared" si="66"/>
        <v>78.551328329732641</v>
      </c>
      <c r="J170" s="678">
        <f t="shared" si="67"/>
        <v>1.5580654534373419</v>
      </c>
      <c r="K170" s="678">
        <f t="shared" si="68"/>
        <v>1.0000871272146969</v>
      </c>
      <c r="L170" s="679">
        <f t="shared" si="69"/>
        <v>1.3200067364047836E-2</v>
      </c>
      <c r="M170" s="678">
        <f t="shared" si="70"/>
        <v>1.0012998195924081</v>
      </c>
      <c r="N170" s="679">
        <f t="shared" si="71"/>
        <v>-5.0959066118337247E-2</v>
      </c>
      <c r="O170" s="677">
        <f t="shared" si="72"/>
        <v>396025.02255796455</v>
      </c>
      <c r="P170" s="680">
        <f t="shared" si="73"/>
        <v>1.5707938017019276</v>
      </c>
      <c r="Q170" s="689">
        <f t="shared" si="100"/>
        <v>15.872533181116935</v>
      </c>
      <c r="R170" s="690">
        <f t="shared" si="101"/>
        <v>1.5077526580099241</v>
      </c>
      <c r="S170" s="677">
        <f t="shared" si="76"/>
        <v>1.0025889761795352</v>
      </c>
      <c r="T170" s="680">
        <f t="shared" si="77"/>
        <v>7.1880495647360432E-2</v>
      </c>
      <c r="U170" s="681">
        <f t="shared" si="89"/>
        <v>0.98881531417595014</v>
      </c>
      <c r="V170" s="682">
        <f t="shared" si="90"/>
        <v>-0.18125685541905612</v>
      </c>
      <c r="W170" s="683">
        <f t="shared" si="78"/>
        <v>-17.993913492806076</v>
      </c>
      <c r="X170" s="684">
        <f t="shared" si="79"/>
        <v>-109.54969940199254</v>
      </c>
      <c r="Y170" s="687">
        <f t="shared" si="80"/>
        <v>70.450300598007459</v>
      </c>
      <c r="AA170" s="170">
        <f t="shared" si="81"/>
        <v>9549.9</v>
      </c>
      <c r="AB170" s="170">
        <f t="shared" si="82"/>
        <v>91200590.00999999</v>
      </c>
      <c r="AD170" s="686">
        <f t="shared" si="83"/>
        <v>17.141463925425246</v>
      </c>
      <c r="AE170" s="687">
        <f t="shared" si="84"/>
        <v>-7.7304405079651275</v>
      </c>
      <c r="AG170" s="686">
        <f t="shared" si="85"/>
        <v>6.0443756796461345</v>
      </c>
      <c r="AH170" s="687">
        <f t="shared" si="86"/>
        <v>-81.048753223643914</v>
      </c>
      <c r="AJ170" s="170">
        <f t="shared" si="87"/>
        <v>0</v>
      </c>
      <c r="AK170" s="170">
        <f t="shared" si="99"/>
        <v>0</v>
      </c>
      <c r="AM170" s="170" t="str">
        <f t="shared" si="91"/>
        <v>0.033695309365911+0.257400941836967i</v>
      </c>
      <c r="AN170" s="170" t="str">
        <f t="shared" si="92"/>
        <v>0.260331547395514i</v>
      </c>
      <c r="AO170" s="170" t="str">
        <f t="shared" si="93"/>
        <v>0.988742795147702-0.129432293945992i</v>
      </c>
      <c r="AP170" s="170" t="str">
        <f t="shared" si="94"/>
        <v>0.161050781772348-0.0429001569728278i</v>
      </c>
      <c r="AQ170" s="170" t="str">
        <f t="shared" si="95"/>
        <v>0.838949218227652+0.0429001569728278i</v>
      </c>
      <c r="AR170" s="170" t="str">
        <f t="shared" si="96"/>
        <v>0.990319192695375-0.0506405487922003i</v>
      </c>
    </row>
    <row r="171" spans="7:44">
      <c r="G171" s="688">
        <v>9605.5249999999996</v>
      </c>
      <c r="H171" s="676">
        <f t="shared" si="88"/>
        <v>9.6055250000000001</v>
      </c>
      <c r="I171" s="677">
        <f t="shared" si="66"/>
        <v>79.008789826993805</v>
      </c>
      <c r="J171" s="678">
        <f t="shared" si="67"/>
        <v>1.5581391692394517</v>
      </c>
      <c r="K171" s="678">
        <f t="shared" si="68"/>
        <v>1.0000881451000372</v>
      </c>
      <c r="L171" s="679">
        <f t="shared" si="69"/>
        <v>1.3276944369231275E-2</v>
      </c>
      <c r="M171" s="678">
        <f t="shared" si="70"/>
        <v>1.0013149957552689</v>
      </c>
      <c r="N171" s="679">
        <f t="shared" si="71"/>
        <v>-5.1255367697278058E-2</v>
      </c>
      <c r="O171" s="677">
        <f t="shared" si="72"/>
        <v>398331.73696121975</v>
      </c>
      <c r="P171" s="680">
        <f t="shared" si="73"/>
        <v>1.5707938163245845</v>
      </c>
      <c r="Q171" s="689">
        <f t="shared" si="100"/>
        <v>15.964619515393023</v>
      </c>
      <c r="R171" s="690">
        <f t="shared" si="101"/>
        <v>1.508116781764516</v>
      </c>
      <c r="S171" s="677">
        <f t="shared" si="76"/>
        <v>1.0026191843609316</v>
      </c>
      <c r="T171" s="680">
        <f t="shared" si="77"/>
        <v>7.2297722464838829E-2</v>
      </c>
      <c r="U171" s="681">
        <f t="shared" si="89"/>
        <v>0.98869125896135635</v>
      </c>
      <c r="V171" s="682">
        <f t="shared" si="90"/>
        <v>-0.18230130615692564</v>
      </c>
      <c r="W171" s="683">
        <f t="shared" si="78"/>
        <v>-18.045761098536573</v>
      </c>
      <c r="X171" s="684">
        <f t="shared" si="79"/>
        <v>-109.62938114681407</v>
      </c>
      <c r="Y171" s="687">
        <f t="shared" si="80"/>
        <v>70.370618853185931</v>
      </c>
      <c r="AA171" s="170">
        <f t="shared" si="81"/>
        <v>9605.5249999999996</v>
      </c>
      <c r="AB171" s="170">
        <f t="shared" si="82"/>
        <v>92266110.52562499</v>
      </c>
      <c r="AD171" s="686">
        <f t="shared" si="83"/>
        <v>17.141003144858157</v>
      </c>
      <c r="AE171" s="687">
        <f t="shared" si="84"/>
        <v>-7.733483927167744</v>
      </c>
      <c r="AG171" s="686">
        <f t="shared" si="85"/>
        <v>5.9951684273226622</v>
      </c>
      <c r="AH171" s="687">
        <f t="shared" si="86"/>
        <v>-81.005706310747527</v>
      </c>
      <c r="AJ171" s="170">
        <f t="shared" si="87"/>
        <v>0</v>
      </c>
      <c r="AK171" s="170">
        <f t="shared" si="99"/>
        <v>0</v>
      </c>
      <c r="AM171" s="170" t="str">
        <f t="shared" si="91"/>
        <v>0.0340867287390469+0.258865896560295i</v>
      </c>
      <c r="AN171" s="170" t="str">
        <f t="shared" si="92"/>
        <v>0.26184789231262i</v>
      </c>
      <c r="AO171" s="170" t="str">
        <f t="shared" si="93"/>
        <v>0.988611725204323-0.130177594472866i</v>
      </c>
      <c r="AP171" s="170" t="str">
        <f t="shared" si="94"/>
        <v>0.160985545210159-0.0431443160933825i</v>
      </c>
      <c r="AQ171" s="170" t="str">
        <f t="shared" si="95"/>
        <v>0.839014454789841+0.0431443160933825i</v>
      </c>
      <c r="AR171" s="170" t="str">
        <f t="shared" si="96"/>
        <v>0.990213118349183-0.0509193465428105i</v>
      </c>
    </row>
    <row r="172" spans="7:44">
      <c r="G172" s="688">
        <v>9661.15</v>
      </c>
      <c r="H172" s="676">
        <f t="shared" si="88"/>
        <v>9.6611499999999992</v>
      </c>
      <c r="I172" s="677">
        <f t="shared" si="66"/>
        <v>79.466251748647181</v>
      </c>
      <c r="J172" s="678">
        <f t="shared" si="67"/>
        <v>1.5582120363251275</v>
      </c>
      <c r="K172" s="678">
        <f t="shared" si="68"/>
        <v>1.0000891688959601</v>
      </c>
      <c r="L172" s="679">
        <f t="shared" si="69"/>
        <v>1.3353821217470365E-2</v>
      </c>
      <c r="M172" s="678">
        <f t="shared" si="70"/>
        <v>1.0013302598255358</v>
      </c>
      <c r="N172" s="679">
        <f t="shared" si="71"/>
        <v>-5.1551660268711788E-2</v>
      </c>
      <c r="O172" s="677">
        <f t="shared" si="72"/>
        <v>400638.45136447501</v>
      </c>
      <c r="P172" s="680">
        <f t="shared" si="73"/>
        <v>1.5707938307788587</v>
      </c>
      <c r="Q172" s="689">
        <f t="shared" si="100"/>
        <v>16.056707942077033</v>
      </c>
      <c r="R172" s="690">
        <f t="shared" si="101"/>
        <v>1.5084767289214753</v>
      </c>
      <c r="S172" s="677">
        <f t="shared" si="76"/>
        <v>1.0026495670659539</v>
      </c>
      <c r="T172" s="680">
        <f t="shared" si="77"/>
        <v>7.2714924068977491E-2</v>
      </c>
      <c r="U172" s="681">
        <f t="shared" si="89"/>
        <v>0.98856652778287069</v>
      </c>
      <c r="V172" s="682">
        <f t="shared" si="90"/>
        <v>-0.18334556329126217</v>
      </c>
      <c r="W172" s="683">
        <f t="shared" si="78"/>
        <v>-18.097320906687923</v>
      </c>
      <c r="X172" s="684">
        <f t="shared" si="79"/>
        <v>-109.70924051115234</v>
      </c>
      <c r="Y172" s="687">
        <f t="shared" si="80"/>
        <v>70.290759488847655</v>
      </c>
      <c r="AA172" s="170">
        <f t="shared" si="81"/>
        <v>9661.15</v>
      </c>
      <c r="AB172" s="170">
        <f t="shared" si="82"/>
        <v>93337819.32249999</v>
      </c>
      <c r="AD172" s="686">
        <f t="shared" si="83"/>
        <v>17.140544280105662</v>
      </c>
      <c r="AE172" s="687">
        <f t="shared" si="84"/>
        <v>-7.7367651935221309</v>
      </c>
      <c r="AG172" s="686">
        <f t="shared" si="85"/>
        <v>5.9462592087650581</v>
      </c>
      <c r="AH172" s="687">
        <f t="shared" si="86"/>
        <v>-80.962621355546901</v>
      </c>
      <c r="AJ172" s="170">
        <f t="shared" si="87"/>
        <v>0</v>
      </c>
      <c r="AK172" s="170">
        <f t="shared" si="99"/>
        <v>0</v>
      </c>
      <c r="AM172" s="170" t="str">
        <f t="shared" si="91"/>
        <v>0.034480369037986+0.260330256072888i</v>
      </c>
      <c r="AN172" s="170" t="str">
        <f t="shared" si="92"/>
        <v>0.263364237229727i</v>
      </c>
      <c r="AO172" s="170" t="str">
        <f t="shared" si="93"/>
        <v>0.98847990452784-0.130922745626657i</v>
      </c>
      <c r="AP172" s="170" t="str">
        <f t="shared" si="94"/>
        <v>0.160919938493669-0.043388376012148i</v>
      </c>
      <c r="AQ172" s="170" t="str">
        <f t="shared" si="95"/>
        <v>0.839080061506331+0.043388376012148i</v>
      </c>
      <c r="AR172" s="170" t="str">
        <f t="shared" si="96"/>
        <v>0.990106481677998-0.0511978704892462i</v>
      </c>
    </row>
    <row r="173" spans="7:44">
      <c r="G173" s="688">
        <v>9716.7749999999996</v>
      </c>
      <c r="H173" s="676">
        <f t="shared" si="88"/>
        <v>9.7167750000000002</v>
      </c>
      <c r="I173" s="677">
        <f t="shared" si="66"/>
        <v>79.923714087405443</v>
      </c>
      <c r="J173" s="678">
        <f t="shared" si="67"/>
        <v>1.5582840692670783</v>
      </c>
      <c r="K173" s="678">
        <f t="shared" si="68"/>
        <v>1.0000901986024475</v>
      </c>
      <c r="L173" s="679">
        <f t="shared" si="69"/>
        <v>1.3430697907856897E-2</v>
      </c>
      <c r="M173" s="678">
        <f t="shared" si="70"/>
        <v>1.0013456117991886</v>
      </c>
      <c r="N173" s="679">
        <f t="shared" si="71"/>
        <v>-5.184794378102893E-2</v>
      </c>
      <c r="O173" s="677">
        <f t="shared" si="72"/>
        <v>402945.16576773039</v>
      </c>
      <c r="P173" s="680">
        <f t="shared" si="73"/>
        <v>1.570793845067642</v>
      </c>
      <c r="Q173" s="689">
        <f t="shared" si="100"/>
        <v>16.148798425373137</v>
      </c>
      <c r="R173" s="690">
        <f t="shared" si="101"/>
        <v>1.5088325708393893</v>
      </c>
      <c r="S173" s="677">
        <f t="shared" si="76"/>
        <v>1.0026801242787364</v>
      </c>
      <c r="T173" s="680">
        <f t="shared" si="77"/>
        <v>7.3132100316841198E-2</v>
      </c>
      <c r="U173" s="681">
        <f t="shared" si="89"/>
        <v>0.98844112138656637</v>
      </c>
      <c r="V173" s="682">
        <f t="shared" si="90"/>
        <v>-0.18438962579924481</v>
      </c>
      <c r="W173" s="683">
        <f t="shared" si="78"/>
        <v>-18.148596332032302</v>
      </c>
      <c r="X173" s="684">
        <f t="shared" si="79"/>
        <v>-109.78927417188413</v>
      </c>
      <c r="Y173" s="687">
        <f t="shared" si="80"/>
        <v>70.210725828115869</v>
      </c>
      <c r="AA173" s="170">
        <f t="shared" si="81"/>
        <v>9716.7749999999996</v>
      </c>
      <c r="AB173" s="170">
        <f t="shared" si="82"/>
        <v>94415716.40062499</v>
      </c>
      <c r="AD173" s="686">
        <f t="shared" si="83"/>
        <v>17.140087253608719</v>
      </c>
      <c r="AE173" s="687">
        <f t="shared" si="84"/>
        <v>-7.7402802104585104</v>
      </c>
      <c r="AG173" s="686">
        <f t="shared" si="85"/>
        <v>5.8976446782134717</v>
      </c>
      <c r="AH173" s="687">
        <f t="shared" si="86"/>
        <v>-80.919499248695075</v>
      </c>
      <c r="AJ173" s="170">
        <f t="shared" si="87"/>
        <v>0</v>
      </c>
      <c r="AK173" s="170">
        <f t="shared" si="99"/>
        <v>0</v>
      </c>
      <c r="AM173" s="170" t="str">
        <f t="shared" si="91"/>
        <v>0.034876229357628+0.261794017007741i</v>
      </c>
      <c r="AN173" s="170" t="str">
        <f t="shared" si="92"/>
        <v>0.264880582146833i</v>
      </c>
      <c r="AO173" s="170" t="str">
        <f t="shared" si="93"/>
        <v>0.988347333299875-0.131667746555672i</v>
      </c>
      <c r="AP173" s="170" t="str">
        <f t="shared" si="94"/>
        <v>0.160853961773729-0.0436323361679568i</v>
      </c>
      <c r="AQ173" s="170" t="str">
        <f t="shared" si="95"/>
        <v>0.839146038226271+0.0436323361679568i</v>
      </c>
      <c r="AR173" s="170" t="str">
        <f t="shared" si="96"/>
        <v>0.989999283575796-0.0514761192680123i</v>
      </c>
    </row>
    <row r="174" spans="7:44">
      <c r="G174" s="688">
        <v>9772.4</v>
      </c>
      <c r="H174" s="676">
        <f t="shared" si="88"/>
        <v>9.7723999999999993</v>
      </c>
      <c r="I174" s="677">
        <f t="shared" si="66"/>
        <v>80.381176836147162</v>
      </c>
      <c r="J174" s="678">
        <f t="shared" si="67"/>
        <v>1.5583552823063054</v>
      </c>
      <c r="K174" s="678">
        <f t="shared" si="68"/>
        <v>1.0000912342194814</v>
      </c>
      <c r="L174" s="679">
        <f t="shared" si="69"/>
        <v>1.3507574439482681E-2</v>
      </c>
      <c r="M174" s="678">
        <f t="shared" si="70"/>
        <v>1.0013610516721843</v>
      </c>
      <c r="N174" s="679">
        <f t="shared" si="71"/>
        <v>-5.214421818262948E-2</v>
      </c>
      <c r="O174" s="677">
        <f t="shared" si="72"/>
        <v>405251.88017098577</v>
      </c>
      <c r="P174" s="680">
        <f t="shared" si="73"/>
        <v>1.5707938591937602</v>
      </c>
      <c r="Q174" s="689">
        <f t="shared" si="100"/>
        <v>16.240890930296601</v>
      </c>
      <c r="R174" s="690">
        <f t="shared" si="101"/>
        <v>1.5091843772625277</v>
      </c>
      <c r="S174" s="677">
        <f t="shared" si="76"/>
        <v>1.0027108559833258</v>
      </c>
      <c r="T174" s="680">
        <f t="shared" si="77"/>
        <v>7.3549251065547369E-2</v>
      </c>
      <c r="U174" s="681">
        <f t="shared" si="89"/>
        <v>0.98831504052205787</v>
      </c>
      <c r="V174" s="682">
        <f t="shared" si="90"/>
        <v>-0.18543349265969461</v>
      </c>
      <c r="W174" s="683">
        <f t="shared" si="78"/>
        <v>-18.199590729933163</v>
      </c>
      <c r="X174" s="684">
        <f t="shared" si="79"/>
        <v>-109.86947887946796</v>
      </c>
      <c r="Y174" s="687">
        <f t="shared" si="80"/>
        <v>70.130521120532038</v>
      </c>
      <c r="AA174" s="170">
        <f t="shared" si="81"/>
        <v>9772.4</v>
      </c>
      <c r="AB174" s="170">
        <f t="shared" si="82"/>
        <v>95499801.75999999</v>
      </c>
      <c r="AD174" s="686">
        <f t="shared" si="83"/>
        <v>17.139631990010237</v>
      </c>
      <c r="AE174" s="687">
        <f t="shared" si="84"/>
        <v>-7.7440249738998999</v>
      </c>
      <c r="AG174" s="686">
        <f t="shared" si="85"/>
        <v>5.8493215470726012</v>
      </c>
      <c r="AH174" s="687">
        <f t="shared" si="86"/>
        <v>-80.876340861746144</v>
      </c>
      <c r="AJ174" s="170">
        <f t="shared" si="87"/>
        <v>0</v>
      </c>
      <c r="AK174" s="170">
        <f t="shared" si="99"/>
        <v>0</v>
      </c>
      <c r="AM174" s="170" t="str">
        <f t="shared" si="91"/>
        <v>0.035274308787771+0.263257175999227i</v>
      </c>
      <c r="AN174" s="170" t="str">
        <f t="shared" si="92"/>
        <v>0.26639692706394i</v>
      </c>
      <c r="AO174" s="170" t="str">
        <f t="shared" si="93"/>
        <v>0.988214011703073-0.132412596408458i</v>
      </c>
      <c r="AP174" s="170" t="str">
        <f t="shared" si="94"/>
        <v>0.160787615202038-0.0438761959998712i</v>
      </c>
      <c r="AQ174" s="170" t="str">
        <f t="shared" si="95"/>
        <v>0.839212384797962+0.0438761959998712i</v>
      </c>
      <c r="AR174" s="170" t="str">
        <f t="shared" si="96"/>
        <v>0.989891524940618-0.0517540915192311i</v>
      </c>
    </row>
    <row r="175" spans="7:44">
      <c r="G175" s="688">
        <v>9829.2999999999993</v>
      </c>
      <c r="H175" s="676">
        <f t="shared" si="88"/>
        <v>9.8292999999999999</v>
      </c>
      <c r="I175" s="677">
        <f t="shared" si="66"/>
        <v>80.849125664825507</v>
      </c>
      <c r="J175" s="678">
        <f t="shared" si="67"/>
        <v>1.5584272938454213</v>
      </c>
      <c r="K175" s="678">
        <f t="shared" si="68"/>
        <v>1.0000922996895505</v>
      </c>
      <c r="L175" s="679">
        <f t="shared" si="69"/>
        <v>1.3586212919659271E-2</v>
      </c>
      <c r="M175" s="678">
        <f t="shared" si="70"/>
        <v>1.0013769363882388</v>
      </c>
      <c r="N175" s="679">
        <f t="shared" si="71"/>
        <v>-5.2447274112845499E-2</v>
      </c>
      <c r="O175" s="677">
        <f t="shared" si="72"/>
        <v>407611.46757854067</v>
      </c>
      <c r="P175" s="680">
        <f t="shared" si="73"/>
        <v>1.5707938734782469</v>
      </c>
      <c r="Q175" s="689">
        <f t="shared" si="100"/>
        <v>16.335096375621749</v>
      </c>
      <c r="R175" s="690">
        <f t="shared" si="101"/>
        <v>1.50954014332686</v>
      </c>
      <c r="S175" s="677">
        <f t="shared" si="76"/>
        <v>1.0027424726203193</v>
      </c>
      <c r="T175" s="680">
        <f t="shared" si="77"/>
        <v>7.3975936940389078E-2</v>
      </c>
      <c r="U175" s="681">
        <f t="shared" si="89"/>
        <v>0.98818537266438378</v>
      </c>
      <c r="V175" s="682">
        <f t="shared" si="90"/>
        <v>-0.18650108286745681</v>
      </c>
      <c r="W175" s="683">
        <f t="shared" si="78"/>
        <v>-18.251466661917547</v>
      </c>
      <c r="X175" s="684">
        <f t="shared" si="79"/>
        <v>-109.95169564698695</v>
      </c>
      <c r="Y175" s="687">
        <f t="shared" si="80"/>
        <v>70.048304353013052</v>
      </c>
      <c r="AA175" s="170">
        <f t="shared" si="81"/>
        <v>9829.2999999999993</v>
      </c>
      <c r="AB175" s="170">
        <f t="shared" si="82"/>
        <v>96615138.48999998</v>
      </c>
      <c r="AD175" s="686">
        <f t="shared" si="83"/>
        <v>17.139168038796917</v>
      </c>
      <c r="AE175" s="687">
        <f t="shared" si="84"/>
        <v>-7.7480891981714093</v>
      </c>
      <c r="AG175" s="686">
        <f t="shared" si="85"/>
        <v>5.8001889095194041</v>
      </c>
      <c r="AH175" s="687">
        <f t="shared" si="86"/>
        <v>-80.832156578545323</v>
      </c>
      <c r="AJ175" s="170">
        <f t="shared" si="87"/>
        <v>0</v>
      </c>
      <c r="AK175" s="170">
        <f t="shared" si="99"/>
        <v>0</v>
      </c>
      <c r="AM175" s="170" t="str">
        <f t="shared" si="91"/>
        <v>0.035683807771865+0.264753246262687i</v>
      </c>
      <c r="AN175" s="170" t="str">
        <f t="shared" si="92"/>
        <v>0.267948028651056i</v>
      </c>
      <c r="AO175" s="170" t="str">
        <f t="shared" si="93"/>
        <v>0.988076858021861-0.133174362026508i</v>
      </c>
      <c r="AP175" s="170" t="str">
        <f t="shared" si="94"/>
        <v>0.160719365371356-0.0441255410437812i</v>
      </c>
      <c r="AQ175" s="170" t="str">
        <f t="shared" si="95"/>
        <v>0.839280634628644+0.0441255410437812i</v>
      </c>
      <c r="AR175" s="170" t="str">
        <f t="shared" si="96"/>
        <v>0.989780717320237-0.0520381477475434i</v>
      </c>
    </row>
    <row r="176" spans="7:44">
      <c r="G176" s="688">
        <v>9886.2000000000007</v>
      </c>
      <c r="H176" s="676">
        <f t="shared" si="88"/>
        <v>9.8862000000000005</v>
      </c>
      <c r="I176" s="677">
        <f t="shared" si="66"/>
        <v>81.317074907934753</v>
      </c>
      <c r="J176" s="678">
        <f t="shared" si="67"/>
        <v>1.5584984765861478</v>
      </c>
      <c r="K176" s="678">
        <f t="shared" si="68"/>
        <v>1.000093371344188</v>
      </c>
      <c r="L176" s="679">
        <f t="shared" si="69"/>
        <v>1.3664851231791317E-2</v>
      </c>
      <c r="M176" s="678">
        <f t="shared" si="70"/>
        <v>1.0013929130707291</v>
      </c>
      <c r="N176" s="679">
        <f t="shared" si="71"/>
        <v>-5.275032040070643E-2</v>
      </c>
      <c r="O176" s="677">
        <f t="shared" si="72"/>
        <v>409971.0549860957</v>
      </c>
      <c r="P176" s="680">
        <f t="shared" si="73"/>
        <v>1.570793887598305</v>
      </c>
      <c r="Q176" s="689">
        <f t="shared" si="100"/>
        <v>16.42930386476127</v>
      </c>
      <c r="R176" s="690">
        <f t="shared" si="101"/>
        <v>1.5098918294294665</v>
      </c>
      <c r="S176" s="677">
        <f t="shared" si="76"/>
        <v>1.0027742718059141</v>
      </c>
      <c r="T176" s="680">
        <f t="shared" si="77"/>
        <v>7.4402595831453727E-2</v>
      </c>
      <c r="U176" s="681">
        <f t="shared" si="89"/>
        <v>0.98805500066273233</v>
      </c>
      <c r="V176" s="682">
        <f t="shared" si="90"/>
        <v>-0.18756846619959358</v>
      </c>
      <c r="W176" s="683">
        <f t="shared" si="78"/>
        <v>-18.303055453668485</v>
      </c>
      <c r="X176" s="684">
        <f t="shared" si="79"/>
        <v>-110.03408474102798</v>
      </c>
      <c r="Y176" s="687">
        <f t="shared" si="80"/>
        <v>69.965915258972018</v>
      </c>
      <c r="AA176" s="170">
        <f t="shared" si="81"/>
        <v>9886.2000000000007</v>
      </c>
      <c r="AB176" s="170">
        <f t="shared" si="82"/>
        <v>97736950.440000013</v>
      </c>
      <c r="AD176" s="686">
        <f t="shared" si="83"/>
        <v>17.138705779452021</v>
      </c>
      <c r="AE176" s="687">
        <f t="shared" si="84"/>
        <v>-7.7523856315530271</v>
      </c>
      <c r="AG176" s="686">
        <f t="shared" si="85"/>
        <v>5.7513543995518557</v>
      </c>
      <c r="AH176" s="687">
        <f t="shared" si="86"/>
        <v>-80.787936118956878</v>
      </c>
      <c r="AJ176" s="170">
        <f t="shared" si="87"/>
        <v>0</v>
      </c>
      <c r="AK176" s="170">
        <f t="shared" si="99"/>
        <v>0</v>
      </c>
      <c r="AM176" s="170" t="str">
        <f t="shared" si="91"/>
        <v>0.0360956268193789+0.26624867955217i</v>
      </c>
      <c r="AN176" s="170" t="str">
        <f t="shared" si="92"/>
        <v>0.269499130238173i</v>
      </c>
      <c r="AO176" s="170" t="str">
        <f t="shared" si="93"/>
        <v>0.98793891956857-0.133935967761673i</v>
      </c>
      <c r="AP176" s="170" t="str">
        <f t="shared" si="94"/>
        <v>0.160650728863437-0.0443747799253617i</v>
      </c>
      <c r="AQ176" s="170" t="str">
        <f t="shared" si="95"/>
        <v>0.839349271136563+0.0443747799253617i</v>
      </c>
      <c r="AR176" s="170" t="str">
        <f t="shared" si="96"/>
        <v>0.989669325089876-0.0523219117594244i</v>
      </c>
    </row>
    <row r="177" spans="7:44">
      <c r="G177" s="688">
        <v>9943.1</v>
      </c>
      <c r="H177" s="676">
        <f t="shared" si="88"/>
        <v>9.9431000000000012</v>
      </c>
      <c r="I177" s="677">
        <f t="shared" si="66"/>
        <v>81.785024558361158</v>
      </c>
      <c r="J177" s="678">
        <f t="shared" si="67"/>
        <v>1.558568844754173</v>
      </c>
      <c r="K177" s="678">
        <f t="shared" si="68"/>
        <v>1.0000944491833734</v>
      </c>
      <c r="L177" s="679">
        <f t="shared" si="69"/>
        <v>1.3743489374906758E-2</v>
      </c>
      <c r="M177" s="678">
        <f t="shared" si="70"/>
        <v>1.0014089817152538</v>
      </c>
      <c r="N177" s="679">
        <f t="shared" si="71"/>
        <v>-5.305335699101333E-2</v>
      </c>
      <c r="O177" s="677">
        <f t="shared" si="72"/>
        <v>412330.64239365066</v>
      </c>
      <c r="P177" s="680">
        <f t="shared" si="73"/>
        <v>1.5707939015567571</v>
      </c>
      <c r="Q177" s="689">
        <f t="shared" si="100"/>
        <v>16.523513362757239</v>
      </c>
      <c r="R177" s="690">
        <f t="shared" si="101"/>
        <v>1.5102395052688138</v>
      </c>
      <c r="S177" s="677">
        <f t="shared" si="76"/>
        <v>1.0028062535227444</v>
      </c>
      <c r="T177" s="680">
        <f t="shared" si="77"/>
        <v>7.4829227585979652E-2</v>
      </c>
      <c r="U177" s="681">
        <f t="shared" si="89"/>
        <v>0.98792392533086948</v>
      </c>
      <c r="V177" s="682">
        <f t="shared" si="90"/>
        <v>-0.18863564156842758</v>
      </c>
      <c r="W177" s="683">
        <f t="shared" si="78"/>
        <v>-18.354360512475665</v>
      </c>
      <c r="X177" s="684">
        <f t="shared" si="79"/>
        <v>-110.11664290921784</v>
      </c>
      <c r="Y177" s="687">
        <f t="shared" si="80"/>
        <v>69.883357090782155</v>
      </c>
      <c r="AA177" s="170">
        <f t="shared" si="81"/>
        <v>9943.1</v>
      </c>
      <c r="AB177" s="170">
        <f t="shared" si="82"/>
        <v>98865237.610000014</v>
      </c>
      <c r="AD177" s="686">
        <f t="shared" si="83"/>
        <v>17.138245137994762</v>
      </c>
      <c r="AE177" s="687">
        <f t="shared" si="84"/>
        <v>-7.7569102720259222</v>
      </c>
      <c r="AG177" s="686">
        <f t="shared" si="85"/>
        <v>5.7028146745314467</v>
      </c>
      <c r="AH177" s="687">
        <f t="shared" si="86"/>
        <v>-80.743680357265077</v>
      </c>
      <c r="AJ177" s="170">
        <f t="shared" si="87"/>
        <v>0</v>
      </c>
      <c r="AK177" s="170">
        <f t="shared" si="99"/>
        <v>0</v>
      </c>
      <c r="AM177" s="170" t="str">
        <f t="shared" si="91"/>
        <v>0.03650976493951+0.267743472269787i</v>
      </c>
      <c r="AN177" s="170" t="str">
        <f t="shared" si="92"/>
        <v>0.27105023182529i</v>
      </c>
      <c r="AO177" s="170" t="str">
        <f t="shared" si="93"/>
        <v>0.98780019654204-0.134697412703351i</v>
      </c>
      <c r="AP177" s="170" t="str">
        <f t="shared" si="94"/>
        <v>0.160581705843415-0.0446239120449645i</v>
      </c>
      <c r="AQ177" s="170" t="str">
        <f t="shared" si="95"/>
        <v>0.839418294156585+0.0446239120449645i</v>
      </c>
      <c r="AR177" s="170" t="str">
        <f t="shared" si="96"/>
        <v>0.98955734922383-0.0526053821111685i</v>
      </c>
    </row>
    <row r="178" spans="7:44" s="327" customFormat="1">
      <c r="G178" s="762">
        <v>10000</v>
      </c>
      <c r="H178" s="763">
        <f t="shared" si="88"/>
        <v>10</v>
      </c>
      <c r="I178" s="764">
        <f t="shared" si="66"/>
        <v>82.25297460915283</v>
      </c>
      <c r="J178" s="765">
        <f t="shared" si="67"/>
        <v>1.5586384122514885</v>
      </c>
      <c r="K178" s="765">
        <f t="shared" si="68"/>
        <v>1.0000955332070873</v>
      </c>
      <c r="L178" s="766">
        <f t="shared" si="69"/>
        <v>1.3822127348033553E-2</v>
      </c>
      <c r="M178" s="765">
        <f t="shared" si="70"/>
        <v>1.0014251423173857</v>
      </c>
      <c r="N178" s="766">
        <f t="shared" si="71"/>
        <v>-5.3356383828577957E-2</v>
      </c>
      <c r="O178" s="764">
        <f t="shared" si="72"/>
        <v>414690.22980120574</v>
      </c>
      <c r="P178" s="767">
        <f t="shared" si="73"/>
        <v>1.5707939153563621</v>
      </c>
      <c r="Q178" s="768">
        <f t="shared" si="100"/>
        <v>16.61772483544372</v>
      </c>
      <c r="R178" s="769">
        <f t="shared" si="101"/>
        <v>1.5105832389667202</v>
      </c>
      <c r="S178" s="764">
        <f t="shared" si="76"/>
        <v>1.0028384177533465</v>
      </c>
      <c r="T178" s="767">
        <f t="shared" si="77"/>
        <v>7.5255832051264071E-2</v>
      </c>
      <c r="U178" s="770">
        <f t="shared" si="89"/>
        <v>0.98779214748640265</v>
      </c>
      <c r="V178" s="771">
        <f t="shared" si="90"/>
        <v>-0.18970260788810214</v>
      </c>
      <c r="W178" s="772">
        <f t="shared" si="78"/>
        <v>-18.405385186398114</v>
      </c>
      <c r="X178" s="773">
        <f t="shared" si="79"/>
        <v>-110.19936697107671</v>
      </c>
      <c r="Y178" s="774">
        <f t="shared" si="80"/>
        <v>69.800633028923286</v>
      </c>
      <c r="AA178" s="327">
        <f t="shared" si="81"/>
        <v>10000</v>
      </c>
      <c r="AB178" s="327">
        <f t="shared" si="82"/>
        <v>100000000</v>
      </c>
      <c r="AD178" s="775">
        <f t="shared" si="83"/>
        <v>17.137786042545592</v>
      </c>
      <c r="AE178" s="774">
        <f t="shared" si="84"/>
        <v>-7.7616592079062388</v>
      </c>
      <c r="AG178" s="775">
        <f>20*LOG10((K178*M178/(I178*U178))*Acs*Am)</f>
        <v>5.6545664489029948</v>
      </c>
      <c r="AH178" s="774">
        <f t="shared" si="86"/>
        <v>-80.699390149103991</v>
      </c>
      <c r="AJ178" s="327">
        <f t="shared" si="87"/>
        <v>0</v>
      </c>
      <c r="AK178" s="170">
        <f t="shared" si="99"/>
        <v>0</v>
      </c>
      <c r="AM178" s="327" t="str">
        <f t="shared" si="91"/>
        <v>0.036926221135878+0.269237620819193i</v>
      </c>
      <c r="AN178" s="327" t="str">
        <f t="shared" si="92"/>
        <v>0.272601333412406i</v>
      </c>
      <c r="AO178" s="327" t="str">
        <f t="shared" si="93"/>
        <v>0.987660689142249-0.135458695941204i</v>
      </c>
      <c r="AP178" s="327" t="str">
        <f t="shared" si="94"/>
        <v>0.160512296477354-0.0448729368031988i</v>
      </c>
      <c r="AQ178" s="327" t="str">
        <f t="shared" si="95"/>
        <v>0.839487703522646+0.0448729368031988i</v>
      </c>
      <c r="AR178" s="327" t="str">
        <f t="shared" si="96"/>
        <v>0.989444790700769-0.0528885573630944i</v>
      </c>
    </row>
    <row r="179" spans="7:44">
      <c r="G179" s="688">
        <v>10058.25</v>
      </c>
      <c r="H179" s="676">
        <f t="shared" si="88"/>
        <v>10.058249999999999</v>
      </c>
      <c r="I179" s="677">
        <f t="shared" si="66"/>
        <v>82.732027573176737</v>
      </c>
      <c r="J179" s="678">
        <f t="shared" si="67"/>
        <v>1.5587088150890609</v>
      </c>
      <c r="K179" s="678">
        <f t="shared" si="68"/>
        <v>1.0000966493565164</v>
      </c>
      <c r="L179" s="679">
        <f t="shared" si="69"/>
        <v>1.3902630895618563E-2</v>
      </c>
      <c r="M179" s="678">
        <f t="shared" si="70"/>
        <v>1.0014417815947922</v>
      </c>
      <c r="N179" s="679">
        <f t="shared" si="71"/>
        <v>-5.3666590070646072E-2</v>
      </c>
      <c r="O179" s="677">
        <f t="shared" si="72"/>
        <v>417105.80038978375</v>
      </c>
      <c r="P179" s="680">
        <f t="shared" si="73"/>
        <v>1.570793929321644</v>
      </c>
      <c r="Q179" s="689">
        <f t="shared" si="100"/>
        <v>16.71417356462722</v>
      </c>
      <c r="R179" s="690">
        <f t="shared" si="101"/>
        <v>1.5109311140009472</v>
      </c>
      <c r="S179" s="677">
        <f t="shared" si="76"/>
        <v>1.0028715341494143</v>
      </c>
      <c r="T179" s="680">
        <f t="shared" si="77"/>
        <v>7.5692529636134584E-2</v>
      </c>
      <c r="U179" s="681">
        <f t="shared" si="89"/>
        <v>0.9876565162483143</v>
      </c>
      <c r="V179" s="682">
        <f t="shared" si="90"/>
        <v>-0.1907946711948269</v>
      </c>
      <c r="W179" s="683">
        <f t="shared" si="78"/>
        <v>-18.457333455772336</v>
      </c>
      <c r="X179" s="684">
        <f t="shared" si="79"/>
        <v>-110.28422232743461</v>
      </c>
      <c r="Y179" s="687">
        <f t="shared" si="80"/>
        <v>69.715777672565395</v>
      </c>
      <c r="AA179" s="170">
        <f t="shared" si="81"/>
        <v>10058.25</v>
      </c>
      <c r="AB179" s="170">
        <f t="shared" si="82"/>
        <v>101168393.0625</v>
      </c>
      <c r="AD179" s="686">
        <f t="shared" si="83"/>
        <v>17.137317583222803</v>
      </c>
      <c r="AE179" s="687">
        <f t="shared" si="84"/>
        <v>-7.7667491653412331</v>
      </c>
      <c r="AG179" s="686">
        <f t="shared" si="85"/>
        <v>5.6054720776412159</v>
      </c>
      <c r="AH179" s="687">
        <f t="shared" si="86"/>
        <v>-80.654014311011011</v>
      </c>
      <c r="AJ179" s="170">
        <f t="shared" si="87"/>
        <v>0</v>
      </c>
      <c r="AK179" s="170">
        <f t="shared" si="99"/>
        <v>0</v>
      </c>
      <c r="AM179" s="170" t="str">
        <f t="shared" si="91"/>
        <v>0.037354958283136+0.270766548262405i</v>
      </c>
      <c r="AN179" s="170" t="str">
        <f t="shared" si="92"/>
        <v>0.274189236179533i</v>
      </c>
      <c r="AO179" s="170" t="str">
        <f t="shared" si="93"/>
        <v>0.987517059514011-0.136237872805032i</v>
      </c>
      <c r="AP179" s="170" t="str">
        <f t="shared" si="94"/>
        <v>0.160440840286144-0.0451277580437342i</v>
      </c>
      <c r="AQ179" s="170" t="str">
        <f t="shared" si="95"/>
        <v>0.839559159713856+0.0451277580437342i</v>
      </c>
      <c r="AR179" s="170" t="str">
        <f t="shared" si="96"/>
        <v>0.989328959102097-0.0531781440002816i</v>
      </c>
    </row>
    <row r="180" spans="7:44">
      <c r="G180" s="688">
        <v>10116.5</v>
      </c>
      <c r="H180" s="676">
        <f t="shared" si="88"/>
        <v>10.1165</v>
      </c>
      <c r="I180" s="677">
        <f t="shared" si="66"/>
        <v>83.211080942545294</v>
      </c>
      <c r="J180" s="678">
        <f t="shared" si="67"/>
        <v>1.5587784072965594</v>
      </c>
      <c r="K180" s="678">
        <f t="shared" si="68"/>
        <v>1.0000977719873785</v>
      </c>
      <c r="L180" s="679">
        <f t="shared" si="69"/>
        <v>1.3983134262991437E-2</v>
      </c>
      <c r="M180" s="678">
        <f t="shared" si="70"/>
        <v>1.0014585172356432</v>
      </c>
      <c r="N180" s="679">
        <f t="shared" si="71"/>
        <v>-5.3976785974684076E-2</v>
      </c>
      <c r="O180" s="677">
        <f t="shared" si="72"/>
        <v>419521.37097836187</v>
      </c>
      <c r="P180" s="680">
        <f t="shared" si="73"/>
        <v>1.5707939431261035</v>
      </c>
      <c r="Q180" s="689">
        <f t="shared" si="100"/>
        <v>16.810624293300439</v>
      </c>
      <c r="R180" s="690">
        <f t="shared" si="101"/>
        <v>1.5112749972198201</v>
      </c>
      <c r="S180" s="677">
        <f t="shared" si="76"/>
        <v>1.0029048417852264</v>
      </c>
      <c r="T180" s="680">
        <f t="shared" si="77"/>
        <v>7.6129198297806289E-2</v>
      </c>
      <c r="U180" s="681">
        <f t="shared" si="89"/>
        <v>0.98752015051303144</v>
      </c>
      <c r="V180" s="682">
        <f t="shared" si="90"/>
        <v>-0.19188651311786664</v>
      </c>
      <c r="W180" s="683">
        <f t="shared" si="78"/>
        <v>-18.508994794254143</v>
      </c>
      <c r="X180" s="684">
        <f t="shared" si="79"/>
        <v>-110.36924501954049</v>
      </c>
      <c r="Y180" s="687">
        <f t="shared" si="80"/>
        <v>69.630754980459514</v>
      </c>
      <c r="AA180" s="170">
        <f t="shared" si="81"/>
        <v>10116.5</v>
      </c>
      <c r="AB180" s="170">
        <f t="shared" si="82"/>
        <v>102343572.25</v>
      </c>
      <c r="AD180" s="686">
        <f t="shared" si="83"/>
        <v>17.136850598134405</v>
      </c>
      <c r="AE180" s="687">
        <f t="shared" si="84"/>
        <v>-7.7720661705572027</v>
      </c>
      <c r="AG180" s="686">
        <f t="shared" si="85"/>
        <v>5.5566764114111278</v>
      </c>
      <c r="AH180" s="687">
        <f t="shared" si="86"/>
        <v>-80.608604129586723</v>
      </c>
      <c r="AJ180" s="170">
        <f t="shared" si="87"/>
        <v>0</v>
      </c>
      <c r="AK180" s="170">
        <f t="shared" si="99"/>
        <v>0</v>
      </c>
      <c r="AM180" s="170" t="str">
        <f t="shared" si="91"/>
        <v>0.037786122676976+0.272294792985457i</v>
      </c>
      <c r="AN180" s="170" t="str">
        <f t="shared" si="92"/>
        <v>0.275777138946661i</v>
      </c>
      <c r="AO180" s="170" t="str">
        <f t="shared" si="93"/>
        <v>0.987372608278899-0.137016878270988i</v>
      </c>
      <c r="AP180" s="170" t="str">
        <f t="shared" si="94"/>
        <v>0.160368979553837-0.0453824654975762i</v>
      </c>
      <c r="AQ180" s="170" t="str">
        <f t="shared" si="95"/>
        <v>0.839631020446163+0.0453824654975762i</v>
      </c>
      <c r="AR180" s="170" t="str">
        <f t="shared" si="96"/>
        <v>0.98921251895997-0.0534674183281319i</v>
      </c>
    </row>
    <row r="181" spans="7:44">
      <c r="G181" s="688">
        <v>10174.75</v>
      </c>
      <c r="H181" s="676">
        <f t="shared" si="88"/>
        <v>10.17475</v>
      </c>
      <c r="I181" s="677">
        <f t="shared" si="66"/>
        <v>83.690134710297741</v>
      </c>
      <c r="J181" s="678">
        <f t="shared" si="67"/>
        <v>1.5588472027937763</v>
      </c>
      <c r="K181" s="678">
        <f t="shared" si="68"/>
        <v>1.0000989010996517</v>
      </c>
      <c r="L181" s="679">
        <f t="shared" si="69"/>
        <v>1.4063637449109332E-2</v>
      </c>
      <c r="M181" s="678">
        <f t="shared" si="70"/>
        <v>1.0014753492351076</v>
      </c>
      <c r="N181" s="679">
        <f t="shared" si="71"/>
        <v>-5.4286971481516719E-2</v>
      </c>
      <c r="O181" s="677">
        <f t="shared" si="72"/>
        <v>421936.94156693999</v>
      </c>
      <c r="P181" s="680">
        <f t="shared" si="73"/>
        <v>1.5707939567725036</v>
      </c>
      <c r="Q181" s="689">
        <f t="shared" si="100"/>
        <v>16.907076987243581</v>
      </c>
      <c r="R181" s="690">
        <f t="shared" si="101"/>
        <v>1.5116149568596779</v>
      </c>
      <c r="S181" s="677">
        <f t="shared" si="76"/>
        <v>1.0029383406417294</v>
      </c>
      <c r="T181" s="680">
        <f t="shared" si="77"/>
        <v>7.6565837872641568E-2</v>
      </c>
      <c r="U181" s="681">
        <f t="shared" si="89"/>
        <v>0.98738305117009773</v>
      </c>
      <c r="V181" s="682">
        <f t="shared" si="90"/>
        <v>-0.19297813249820084</v>
      </c>
      <c r="W181" s="683">
        <f t="shared" si="78"/>
        <v>-18.560372609815698</v>
      </c>
      <c r="X181" s="684">
        <f t="shared" si="79"/>
        <v>-110.45443185633032</v>
      </c>
      <c r="Y181" s="687">
        <f t="shared" si="80"/>
        <v>69.545568143669684</v>
      </c>
      <c r="AA181" s="170">
        <f t="shared" si="81"/>
        <v>10174.75</v>
      </c>
      <c r="AB181" s="170">
        <f t="shared" si="82"/>
        <v>103525537.5625</v>
      </c>
      <c r="AD181" s="686">
        <f t="shared" si="83"/>
        <v>17.136385016552389</v>
      </c>
      <c r="AE181" s="687">
        <f t="shared" si="84"/>
        <v>-7.7776063046824584</v>
      </c>
      <c r="AG181" s="686">
        <f t="shared" si="85"/>
        <v>5.5081761027615457</v>
      </c>
      <c r="AH181" s="687">
        <f t="shared" si="86"/>
        <v>-80.563160465452739</v>
      </c>
      <c r="AJ181" s="170">
        <f t="shared" si="87"/>
        <v>0</v>
      </c>
      <c r="AK181" s="170">
        <f t="shared" si="99"/>
        <v>0</v>
      </c>
      <c r="AM181" s="170" t="str">
        <f t="shared" si="91"/>
        <v>0.038219713230244+0.273822351134976i</v>
      </c>
      <c r="AN181" s="170" t="str">
        <f t="shared" si="92"/>
        <v>0.277365041713788i</v>
      </c>
      <c r="AO181" s="170" t="str">
        <f t="shared" si="93"/>
        <v>0.987227335655127-0.137795711363232i</v>
      </c>
      <c r="AP181" s="170" t="str">
        <f t="shared" si="94"/>
        <v>0.160296714461626-0.045637058522496i</v>
      </c>
      <c r="AQ181" s="170" t="str">
        <f t="shared" si="95"/>
        <v>0.839703285538374+0.045637058522496i</v>
      </c>
      <c r="AR181" s="170" t="str">
        <f t="shared" si="96"/>
        <v>0.989095471338483-0.0537563788152491i</v>
      </c>
    </row>
    <row r="182" spans="7:44">
      <c r="G182" s="688">
        <v>10233</v>
      </c>
      <c r="H182" s="676">
        <f t="shared" si="88"/>
        <v>10.233000000000001</v>
      </c>
      <c r="I182" s="677">
        <f t="shared" si="66"/>
        <v>84.169188869631853</v>
      </c>
      <c r="J182" s="678">
        <f t="shared" si="67"/>
        <v>1.5589152151836327</v>
      </c>
      <c r="K182" s="678">
        <f t="shared" si="68"/>
        <v>1.0001000366933144</v>
      </c>
      <c r="L182" s="679">
        <f t="shared" si="69"/>
        <v>1.4144140452929419E-2</v>
      </c>
      <c r="M182" s="678">
        <f t="shared" si="70"/>
        <v>1.0014922775883275</v>
      </c>
      <c r="N182" s="679">
        <f t="shared" si="71"/>
        <v>-5.4597146531980723E-2</v>
      </c>
      <c r="O182" s="677">
        <f t="shared" si="72"/>
        <v>424352.51215551828</v>
      </c>
      <c r="P182" s="680">
        <f t="shared" si="73"/>
        <v>1.5707939702635427</v>
      </c>
      <c r="Q182" s="689">
        <f t="shared" si="100"/>
        <v>17.003531613012601</v>
      </c>
      <c r="R182" s="690">
        <f t="shared" si="101"/>
        <v>1.5119510596122192</v>
      </c>
      <c r="S182" s="677">
        <f t="shared" si="76"/>
        <v>1.0029720306997632</v>
      </c>
      <c r="T182" s="680">
        <f t="shared" si="77"/>
        <v>7.7002448197069029E-2</v>
      </c>
      <c r="U182" s="681">
        <f t="shared" si="89"/>
        <v>0.98724521911320484</v>
      </c>
      <c r="V182" s="682">
        <f t="shared" si="90"/>
        <v>-0.19406952817884099</v>
      </c>
      <c r="W182" s="683">
        <f t="shared" si="78"/>
        <v>-18.61147025118634</v>
      </c>
      <c r="X182" s="684">
        <f t="shared" si="79"/>
        <v>-110.53977971720334</v>
      </c>
      <c r="Y182" s="687">
        <f t="shared" si="80"/>
        <v>69.460220282796655</v>
      </c>
      <c r="AA182" s="170">
        <f t="shared" si="81"/>
        <v>10233</v>
      </c>
      <c r="AB182" s="170">
        <f t="shared" si="82"/>
        <v>104714289</v>
      </c>
      <c r="AD182" s="686">
        <f t="shared" si="83"/>
        <v>17.135920769760173</v>
      </c>
      <c r="AE182" s="687">
        <f t="shared" si="84"/>
        <v>-7.7833657373468377</v>
      </c>
      <c r="AG182" s="686">
        <f t="shared" si="85"/>
        <v>5.4599678614227809</v>
      </c>
      <c r="AH182" s="687">
        <f t="shared" si="86"/>
        <v>-80.51768416095949</v>
      </c>
      <c r="AJ182" s="170">
        <f t="shared" si="87"/>
        <v>0</v>
      </c>
      <c r="AK182" s="170">
        <f t="shared" si="99"/>
        <v>0</v>
      </c>
      <c r="AM182" s="170" t="str">
        <f t="shared" si="91"/>
        <v>0.0386557288496699+0.275349218859327i</v>
      </c>
      <c r="AN182" s="170" t="str">
        <f t="shared" si="92"/>
        <v>0.278952944480915i</v>
      </c>
      <c r="AO182" s="170" t="str">
        <f t="shared" si="93"/>
        <v>0.987081241862157-0.138574371106216i</v>
      </c>
      <c r="AP182" s="170" t="str">
        <f t="shared" si="94"/>
        <v>0.160224045191722-0.0458915364765545i</v>
      </c>
      <c r="AQ182" s="170" t="str">
        <f t="shared" si="95"/>
        <v>0.839775954808278+0.0458915364765545i</v>
      </c>
      <c r="AR182" s="170" t="str">
        <f t="shared" si="96"/>
        <v>0.988977817306441-0.0540450239347272i</v>
      </c>
    </row>
    <row r="183" spans="7:44">
      <c r="G183" s="688">
        <v>10292.5</v>
      </c>
      <c r="H183" s="676">
        <f t="shared" si="88"/>
        <v>10.2925</v>
      </c>
      <c r="I183" s="677">
        <f t="shared" si="66"/>
        <v>84.658523558504768</v>
      </c>
      <c r="J183" s="678">
        <f t="shared" si="67"/>
        <v>1.5589838923943773</v>
      </c>
      <c r="K183" s="678">
        <f t="shared" si="68"/>
        <v>1.0001012033474266</v>
      </c>
      <c r="L183" s="679">
        <f t="shared" si="69"/>
        <v>1.4226370799728265E-2</v>
      </c>
      <c r="M183" s="678">
        <f t="shared" si="70"/>
        <v>1.0015096686833049</v>
      </c>
      <c r="N183" s="679">
        <f t="shared" si="71"/>
        <v>-5.4913966842547235E-2</v>
      </c>
      <c r="O183" s="677">
        <f t="shared" si="72"/>
        <v>426819.91902282147</v>
      </c>
      <c r="P183" s="680">
        <f t="shared" si="73"/>
        <v>1.5707939838864347</v>
      </c>
      <c r="Q183" s="689">
        <f t="shared" si="100"/>
        <v>17.102058041003037</v>
      </c>
      <c r="R183" s="690">
        <f t="shared" si="101"/>
        <v>1.5122904607232126</v>
      </c>
      <c r="S183" s="677">
        <f t="shared" si="76"/>
        <v>1.0030066411004919</v>
      </c>
      <c r="T183" s="680">
        <f t="shared" si="77"/>
        <v>7.7448397473071029E-2</v>
      </c>
      <c r="U183" s="681">
        <f t="shared" si="89"/>
        <v>0.98710367375252883</v>
      </c>
      <c r="V183" s="682">
        <f t="shared" si="90"/>
        <v>-0.19518411221491441</v>
      </c>
      <c r="W183" s="683">
        <f t="shared" si="78"/>
        <v>-18.663378572807837</v>
      </c>
      <c r="X183" s="684">
        <f t="shared" si="79"/>
        <v>-110.62712214835129</v>
      </c>
      <c r="Y183" s="687">
        <f t="shared" si="80"/>
        <v>69.37287785164871</v>
      </c>
      <c r="AA183" s="170">
        <f t="shared" si="81"/>
        <v>10292.5</v>
      </c>
      <c r="AB183" s="170">
        <f t="shared" si="82"/>
        <v>105935556.25</v>
      </c>
      <c r="AD183" s="686">
        <f t="shared" si="83"/>
        <v>17.135447869232749</v>
      </c>
      <c r="AE183" s="687">
        <f t="shared" si="84"/>
        <v>-7.7894712780578859</v>
      </c>
      <c r="AG183" s="686">
        <f t="shared" si="85"/>
        <v>5.4110232815131827</v>
      </c>
      <c r="AH183" s="687">
        <f t="shared" si="86"/>
        <v>-80.471199128891101</v>
      </c>
      <c r="AJ183" s="170">
        <f t="shared" si="87"/>
        <v>0</v>
      </c>
      <c r="AK183" s="170">
        <f t="shared" si="99"/>
        <v>0</v>
      </c>
      <c r="AM183" s="170" t="str">
        <f t="shared" si="91"/>
        <v>0.039103603568872+0.276908135174233i</v>
      </c>
      <c r="AN183" s="170" t="str">
        <f t="shared" si="92"/>
        <v>0.280574922414719i</v>
      </c>
      <c r="AO183" s="170" t="str">
        <f t="shared" si="93"/>
        <v>0.986931165447972-0.139369560302588i</v>
      </c>
      <c r="AP183" s="170" t="str">
        <f t="shared" si="94"/>
        <v>0.160149399405188-0.0461513558623722i</v>
      </c>
      <c r="AQ183" s="170" t="str">
        <f t="shared" si="95"/>
        <v>0.839850600594812+0.0461513558623722i</v>
      </c>
      <c r="AR183" s="170" t="str">
        <f t="shared" si="96"/>
        <v>0.988857013556177-0.0543395359809375i</v>
      </c>
    </row>
    <row r="184" spans="7:44">
      <c r="G184" s="688">
        <v>10352</v>
      </c>
      <c r="H184" s="676">
        <f t="shared" si="88"/>
        <v>10.352</v>
      </c>
      <c r="I184" s="677">
        <f t="shared" si="66"/>
        <v>85.147858642085225</v>
      </c>
      <c r="J184" s="678">
        <f t="shared" si="67"/>
        <v>1.5590517802451616</v>
      </c>
      <c r="K184" s="678">
        <f t="shared" si="68"/>
        <v>1.0001023767640373</v>
      </c>
      <c r="L184" s="679">
        <f t="shared" si="69"/>
        <v>1.4308600954121981E-2</v>
      </c>
      <c r="M184" s="678">
        <f t="shared" si="70"/>
        <v>1.001527160301428</v>
      </c>
      <c r="N184" s="679">
        <f t="shared" si="71"/>
        <v>-5.5230776118413143E-2</v>
      </c>
      <c r="O184" s="677">
        <f t="shared" si="72"/>
        <v>429287.32589012478</v>
      </c>
      <c r="P184" s="680">
        <f t="shared" si="73"/>
        <v>1.5707939973527265</v>
      </c>
      <c r="Q184" s="689">
        <f t="shared" si="100"/>
        <v>17.200586416463558</v>
      </c>
      <c r="R184" s="690">
        <f t="shared" si="101"/>
        <v>1.5126259735585319</v>
      </c>
      <c r="S184" s="677">
        <f t="shared" si="76"/>
        <v>1.0030414509561216</v>
      </c>
      <c r="T184" s="680">
        <f t="shared" si="77"/>
        <v>7.7894315885029403E-2</v>
      </c>
      <c r="U184" s="681">
        <f t="shared" si="89"/>
        <v>0.98696136579157656</v>
      </c>
      <c r="V184" s="682">
        <f t="shared" si="90"/>
        <v>-0.196298460413697</v>
      </c>
      <c r="W184" s="683">
        <f t="shared" si="78"/>
        <v>-18.715001446355561</v>
      </c>
      <c r="X184" s="684">
        <f t="shared" si="79"/>
        <v>-110.71462622323973</v>
      </c>
      <c r="Y184" s="687">
        <f t="shared" si="80"/>
        <v>69.285373776760267</v>
      </c>
      <c r="AA184" s="170">
        <f t="shared" si="81"/>
        <v>10352</v>
      </c>
      <c r="AB184" s="170">
        <f t="shared" si="82"/>
        <v>107163904</v>
      </c>
      <c r="AD184" s="686">
        <f t="shared" si="83"/>
        <v>17.134976222592929</v>
      </c>
      <c r="AE184" s="687">
        <f t="shared" si="84"/>
        <v>-7.7957978232029266</v>
      </c>
      <c r="AG184" s="686">
        <f t="shared" si="85"/>
        <v>5.3623766757212614</v>
      </c>
      <c r="AH184" s="687">
        <f t="shared" si="86"/>
        <v>-80.424681761092103</v>
      </c>
      <c r="AJ184" s="170">
        <f t="shared" si="87"/>
        <v>0</v>
      </c>
      <c r="AK184" s="170">
        <f t="shared" si="99"/>
        <v>0</v>
      </c>
      <c r="AM184" s="170" t="str">
        <f t="shared" si="91"/>
        <v>0.0395540062256901+0.27846632299594i</v>
      </c>
      <c r="AN184" s="170" t="str">
        <f t="shared" si="92"/>
        <v>0.282196900348523i</v>
      </c>
      <c r="AO184" s="170" t="str">
        <f t="shared" si="93"/>
        <v>0.986780232709942-0.140164566573338i</v>
      </c>
      <c r="AP184" s="170" t="str">
        <f t="shared" si="94"/>
        <v>0.160074332295718-0.0464110538326567i</v>
      </c>
      <c r="AQ184" s="170" t="str">
        <f t="shared" si="95"/>
        <v>0.839925667704282+0.0464110538326567i</v>
      </c>
      <c r="AR184" s="170" t="str">
        <f t="shared" si="96"/>
        <v>0.988735579359104-0.0546337157731136i</v>
      </c>
    </row>
    <row r="185" spans="7:44">
      <c r="G185" s="688">
        <v>10411.5</v>
      </c>
      <c r="H185" s="676">
        <f t="shared" si="88"/>
        <v>10.4115</v>
      </c>
      <c r="I185" s="677">
        <f t="shared" si="66"/>
        <v>85.637194113607038</v>
      </c>
      <c r="J185" s="678">
        <f t="shared" si="67"/>
        <v>1.5591188922666885</v>
      </c>
      <c r="K185" s="678">
        <f t="shared" si="68"/>
        <v>1.0001035569431227</v>
      </c>
      <c r="L185" s="679">
        <f t="shared" si="69"/>
        <v>1.4390830914999198E-2</v>
      </c>
      <c r="M185" s="678">
        <f t="shared" si="70"/>
        <v>1.0015447524374295</v>
      </c>
      <c r="N185" s="679">
        <f t="shared" si="71"/>
        <v>-5.5547574296563158E-2</v>
      </c>
      <c r="O185" s="677">
        <f t="shared" si="72"/>
        <v>431754.73275742814</v>
      </c>
      <c r="P185" s="680">
        <f t="shared" si="73"/>
        <v>1.5707940106651033</v>
      </c>
      <c r="Q185" s="689">
        <f t="shared" si="100"/>
        <v>17.299116706118298</v>
      </c>
      <c r="R185" s="690">
        <f t="shared" si="101"/>
        <v>1.512957664481148</v>
      </c>
      <c r="S185" s="677">
        <f t="shared" si="76"/>
        <v>1.0030764602458875</v>
      </c>
      <c r="T185" s="680">
        <f t="shared" si="77"/>
        <v>7.8340203258830926E-2</v>
      </c>
      <c r="U185" s="681">
        <f t="shared" si="89"/>
        <v>0.98681829619606976</v>
      </c>
      <c r="V185" s="682">
        <f t="shared" si="90"/>
        <v>-0.19741257154874325</v>
      </c>
      <c r="W185" s="683">
        <f t="shared" si="78"/>
        <v>-18.766342258086311</v>
      </c>
      <c r="X185" s="684">
        <f t="shared" si="79"/>
        <v>-110.80228883116361</v>
      </c>
      <c r="Y185" s="687">
        <f t="shared" si="80"/>
        <v>69.197711168836392</v>
      </c>
      <c r="AA185" s="170">
        <f t="shared" si="81"/>
        <v>10411.5</v>
      </c>
      <c r="AB185" s="170">
        <f t="shared" si="82"/>
        <v>108399332.25</v>
      </c>
      <c r="AD185" s="686">
        <f t="shared" si="83"/>
        <v>17.134505762674561</v>
      </c>
      <c r="AE185" s="687">
        <f t="shared" si="84"/>
        <v>-7.8023415606417075</v>
      </c>
      <c r="AG185" s="686">
        <f t="shared" si="85"/>
        <v>5.3140247138654582</v>
      </c>
      <c r="AH185" s="687">
        <f t="shared" si="86"/>
        <v>-80.378132899537974</v>
      </c>
      <c r="AJ185" s="170">
        <f t="shared" si="87"/>
        <v>0</v>
      </c>
      <c r="AK185" s="170">
        <f t="shared" si="99"/>
        <v>0</v>
      </c>
      <c r="AM185" s="170" t="str">
        <f t="shared" si="91"/>
        <v>0.040006935635202+0.280023778225146i</v>
      </c>
      <c r="AN185" s="170" t="str">
        <f t="shared" si="92"/>
        <v>0.283818878282327i</v>
      </c>
      <c r="AO185" s="170" t="str">
        <f t="shared" si="93"/>
        <v>0.986628443885943-0.140959388879711i</v>
      </c>
      <c r="AP185" s="170" t="str">
        <f t="shared" si="94"/>
        <v>0.1599988440608-0.046670629704191i</v>
      </c>
      <c r="AQ185" s="170" t="str">
        <f t="shared" si="95"/>
        <v>0.8400011559392+0.046670629704191i</v>
      </c>
      <c r="AR185" s="170" t="str">
        <f t="shared" si="96"/>
        <v>0.9886135158694-0.0549275616985445i</v>
      </c>
    </row>
    <row r="186" spans="7:44">
      <c r="G186" s="688">
        <v>10471</v>
      </c>
      <c r="H186" s="676">
        <f t="shared" si="88"/>
        <v>10.471</v>
      </c>
      <c r="I186" s="677">
        <f t="shared" si="66"/>
        <v>86.126529966457895</v>
      </c>
      <c r="J186" s="678">
        <f t="shared" si="67"/>
        <v>1.5591852416821856</v>
      </c>
      <c r="K186" s="678">
        <f t="shared" si="68"/>
        <v>1.0001047438846589</v>
      </c>
      <c r="L186" s="679">
        <f t="shared" si="69"/>
        <v>1.4473060681248567E-2</v>
      </c>
      <c r="M186" s="678">
        <f t="shared" si="70"/>
        <v>1.0015624450860126</v>
      </c>
      <c r="N186" s="679">
        <f t="shared" si="71"/>
        <v>-5.5864361313995338E-2</v>
      </c>
      <c r="O186" s="677">
        <f t="shared" si="72"/>
        <v>434222.13962473156</v>
      </c>
      <c r="P186" s="680">
        <f t="shared" si="73"/>
        <v>1.5707940238261884</v>
      </c>
      <c r="Q186" s="689">
        <f t="shared" si="100"/>
        <v>17.397648877444553</v>
      </c>
      <c r="R186" s="690">
        <f t="shared" si="101"/>
        <v>1.5132855983540434</v>
      </c>
      <c r="S186" s="677">
        <f t="shared" si="76"/>
        <v>1.0031116689489081</v>
      </c>
      <c r="T186" s="680">
        <f t="shared" si="77"/>
        <v>7.8786059420435983E-2</v>
      </c>
      <c r="U186" s="681">
        <f t="shared" si="89"/>
        <v>0.98667446593616848</v>
      </c>
      <c r="V186" s="682">
        <f t="shared" si="90"/>
        <v>-0.19852644439585346</v>
      </c>
      <c r="W186" s="683">
        <f t="shared" si="78"/>
        <v>-18.8174043355172</v>
      </c>
      <c r="X186" s="684">
        <f t="shared" si="79"/>
        <v>-110.89010692987392</v>
      </c>
      <c r="Y186" s="687">
        <f t="shared" si="80"/>
        <v>69.109893070126077</v>
      </c>
      <c r="AA186" s="170">
        <f t="shared" si="81"/>
        <v>10471</v>
      </c>
      <c r="AB186" s="170">
        <f t="shared" si="82"/>
        <v>109641841</v>
      </c>
      <c r="AD186" s="686">
        <f t="shared" si="83"/>
        <v>17.134036424220142</v>
      </c>
      <c r="AE186" s="687">
        <f t="shared" si="84"/>
        <v>-7.8090987641776399</v>
      </c>
      <c r="AG186" s="686">
        <f t="shared" si="85"/>
        <v>5.2659641225417131</v>
      </c>
      <c r="AH186" s="687">
        <f t="shared" si="86"/>
        <v>-80.331553368459211</v>
      </c>
      <c r="AJ186" s="170">
        <f t="shared" si="87"/>
        <v>0</v>
      </c>
      <c r="AK186" s="170">
        <f t="shared" si="99"/>
        <v>0</v>
      </c>
      <c r="AM186" s="170" t="str">
        <f t="shared" si="91"/>
        <v>0.040462390605835+0.28158049676448i</v>
      </c>
      <c r="AN186" s="170" t="str">
        <f t="shared" si="92"/>
        <v>0.285440856216131i</v>
      </c>
      <c r="AO186" s="170" t="str">
        <f t="shared" si="93"/>
        <v>0.986475799215204-0.141754026183265i</v>
      </c>
      <c r="AP186" s="170" t="str">
        <f t="shared" si="94"/>
        <v>0.159922934899028-0.04693008279408i</v>
      </c>
      <c r="AQ186" s="170" t="str">
        <f t="shared" si="95"/>
        <v>0.840077065100972+0.04693008279408i</v>
      </c>
      <c r="AR186" s="170" t="str">
        <f t="shared" si="96"/>
        <v>0.98849082424627-0.0552210721494819i</v>
      </c>
    </row>
    <row r="187" spans="7:44">
      <c r="G187" s="688">
        <v>10532</v>
      </c>
      <c r="H187" s="676">
        <f t="shared" si="88"/>
        <v>10.532</v>
      </c>
      <c r="I187" s="677">
        <f t="shared" si="66"/>
        <v>86.628202406385142</v>
      </c>
      <c r="J187" s="678">
        <f t="shared" si="67"/>
        <v>1.5592524856137195</v>
      </c>
      <c r="K187" s="678">
        <f t="shared" si="68"/>
        <v>1.0001059677693882</v>
      </c>
      <c r="L187" s="679">
        <f t="shared" si="69"/>
        <v>1.4557363263602159E-2</v>
      </c>
      <c r="M187" s="678">
        <f t="shared" si="70"/>
        <v>1.0015806881075948</v>
      </c>
      <c r="N187" s="679">
        <f t="shared" si="71"/>
        <v>-5.6189122906509459E-2</v>
      </c>
      <c r="O187" s="677">
        <f t="shared" si="72"/>
        <v>436751.75002650486</v>
      </c>
      <c r="P187" s="680">
        <f t="shared" si="73"/>
        <v>1.5707940371646891</v>
      </c>
      <c r="Q187" s="689">
        <f t="shared" si="100"/>
        <v>17.498666973239516</v>
      </c>
      <c r="R187" s="690">
        <f t="shared" si="101"/>
        <v>1.5136179655171518</v>
      </c>
      <c r="S187" s="677">
        <f t="shared" si="76"/>
        <v>1.0031479722617695</v>
      </c>
      <c r="T187" s="680">
        <f t="shared" si="77"/>
        <v>7.9243123068817437E-2</v>
      </c>
      <c r="U187" s="681">
        <f t="shared" si="89"/>
        <v>0.98652622105287502</v>
      </c>
      <c r="V187" s="682">
        <f t="shared" si="90"/>
        <v>-0.19966814941731184</v>
      </c>
      <c r="W187" s="683">
        <f t="shared" si="78"/>
        <v>-18.869467751948051</v>
      </c>
      <c r="X187" s="684">
        <f t="shared" si="79"/>
        <v>-110.98029723562433</v>
      </c>
      <c r="Y187" s="687">
        <f t="shared" si="80"/>
        <v>69.019702764375666</v>
      </c>
      <c r="AA187" s="170">
        <f t="shared" si="81"/>
        <v>10532</v>
      </c>
      <c r="AB187" s="170">
        <f t="shared" si="82"/>
        <v>110923024</v>
      </c>
      <c r="AD187" s="686">
        <f t="shared" si="83"/>
        <v>17.133556351559946</v>
      </c>
      <c r="AE187" s="687">
        <f t="shared" si="84"/>
        <v>-7.8162441107518754</v>
      </c>
      <c r="AG187" s="686">
        <f t="shared" si="85"/>
        <v>5.2169910326729738</v>
      </c>
      <c r="AH187" s="687">
        <f t="shared" si="86"/>
        <v>-80.283768569128995</v>
      </c>
      <c r="AJ187" s="170">
        <f t="shared" si="87"/>
        <v>0</v>
      </c>
      <c r="AK187" s="170">
        <f t="shared" si="99"/>
        <v>0</v>
      </c>
      <c r="AM187" s="170" t="str">
        <f t="shared" si="91"/>
        <v>0.040931948248238+0.283175691239696i</v>
      </c>
      <c r="AN187" s="170" t="str">
        <f t="shared" si="92"/>
        <v>0.287103724349946i</v>
      </c>
      <c r="AO187" s="170" t="str">
        <f t="shared" si="93"/>
        <v>0.986318418128696-0.142568503215746i</v>
      </c>
      <c r="AP187" s="170" t="str">
        <f t="shared" si="94"/>
        <v>0.15984467529196-0.0471959485399493i</v>
      </c>
      <c r="AQ187" s="170" t="str">
        <f t="shared" si="95"/>
        <v>0.84015532470804+0.0471959485399493i</v>
      </c>
      <c r="AR187" s="170" t="str">
        <f t="shared" si="96"/>
        <v>0.988364388689826-0.0555216320786083i</v>
      </c>
    </row>
    <row r="188" spans="7:44">
      <c r="G188" s="688">
        <v>10593</v>
      </c>
      <c r="H188" s="676">
        <f t="shared" si="88"/>
        <v>10.593</v>
      </c>
      <c r="I188" s="677">
        <f t="shared" si="66"/>
        <v>87.129875233512394</v>
      </c>
      <c r="J188" s="678">
        <f t="shared" si="67"/>
        <v>1.5593189551968414</v>
      </c>
      <c r="K188" s="678">
        <f t="shared" si="68"/>
        <v>1.0001071987617787</v>
      </c>
      <c r="L188" s="679">
        <f t="shared" si="69"/>
        <v>1.4641665639025456E-2</v>
      </c>
      <c r="M188" s="678">
        <f t="shared" si="70"/>
        <v>1.0015990367621299</v>
      </c>
      <c r="N188" s="679">
        <f t="shared" si="71"/>
        <v>-5.6513872634424089E-2</v>
      </c>
      <c r="O188" s="677">
        <f t="shared" si="72"/>
        <v>439281.36042827828</v>
      </c>
      <c r="P188" s="680">
        <f t="shared" si="73"/>
        <v>1.5707940503495701</v>
      </c>
      <c r="Q188" s="689">
        <f t="shared" si="100"/>
        <v>17.599686979885472</v>
      </c>
      <c r="R188" s="690">
        <f t="shared" si="101"/>
        <v>1.5139465172241413</v>
      </c>
      <c r="S188" s="677">
        <f t="shared" si="76"/>
        <v>1.0031844851242504</v>
      </c>
      <c r="T188" s="680">
        <f t="shared" si="77"/>
        <v>7.9700153541218219E-2</v>
      </c>
      <c r="U188" s="681">
        <f t="shared" si="89"/>
        <v>0.98637717874823372</v>
      </c>
      <c r="V188" s="682">
        <f t="shared" si="90"/>
        <v>-0.20080960138632781</v>
      </c>
      <c r="W188" s="683">
        <f t="shared" si="78"/>
        <v>-18.92124510250294</v>
      </c>
      <c r="X188" s="684">
        <f t="shared" si="79"/>
        <v>-111.07064470759398</v>
      </c>
      <c r="Y188" s="687">
        <f t="shared" si="80"/>
        <v>68.929355292406015</v>
      </c>
      <c r="AA188" s="170">
        <f t="shared" si="81"/>
        <v>10593</v>
      </c>
      <c r="AB188" s="170">
        <f t="shared" si="82"/>
        <v>112211649</v>
      </c>
      <c r="AD188" s="686">
        <f t="shared" si="83"/>
        <v>17.133077324591653</v>
      </c>
      <c r="AE188" s="687">
        <f t="shared" si="84"/>
        <v>-7.8236061572134341</v>
      </c>
      <c r="AG188" s="686">
        <f t="shared" si="85"/>
        <v>5.1683173991996618</v>
      </c>
      <c r="AH188" s="687">
        <f t="shared" si="86"/>
        <v>-80.235953233804565</v>
      </c>
      <c r="AJ188" s="170">
        <f t="shared" si="87"/>
        <v>0</v>
      </c>
      <c r="AK188" s="170">
        <f t="shared" si="99"/>
        <v>0</v>
      </c>
      <c r="AM188" s="170" t="str">
        <f t="shared" si="91"/>
        <v>0.041404157838284+0.284770102697371i</v>
      </c>
      <c r="AN188" s="170" t="str">
        <f t="shared" si="92"/>
        <v>0.288766592483762i</v>
      </c>
      <c r="AO188" s="170" t="str">
        <f t="shared" si="93"/>
        <v>0.98616013801314-0.143382783590565i</v>
      </c>
      <c r="AP188" s="170" t="str">
        <f t="shared" si="94"/>
        <v>0.159765973693619-0.0474616837828952i</v>
      </c>
      <c r="AQ188" s="170" t="str">
        <f t="shared" si="95"/>
        <v>0.840234026306381+0.0474616837828952i</v>
      </c>
      <c r="AR188" s="170" t="str">
        <f t="shared" si="96"/>
        <v>0.988237295413754-0.055821835999163i</v>
      </c>
    </row>
    <row r="189" spans="7:44">
      <c r="G189" s="688">
        <v>10654</v>
      </c>
      <c r="H189" s="676">
        <f t="shared" si="88"/>
        <v>10.654</v>
      </c>
      <c r="I189" s="677">
        <f t="shared" si="66"/>
        <v>87.631548441189736</v>
      </c>
      <c r="J189" s="678">
        <f t="shared" si="67"/>
        <v>1.5593846637299309</v>
      </c>
      <c r="K189" s="678">
        <f t="shared" si="68"/>
        <v>1.0001084368618041</v>
      </c>
      <c r="L189" s="679">
        <f t="shared" si="69"/>
        <v>1.4725967806320964E-2</v>
      </c>
      <c r="M189" s="678">
        <f t="shared" si="70"/>
        <v>1.0016174910438125</v>
      </c>
      <c r="N189" s="679">
        <f t="shared" si="71"/>
        <v>-5.6838610429895402E-2</v>
      </c>
      <c r="O189" s="677">
        <f t="shared" si="72"/>
        <v>441810.97083005175</v>
      </c>
      <c r="P189" s="680">
        <f t="shared" si="73"/>
        <v>1.5707940633834696</v>
      </c>
      <c r="Q189" s="689">
        <f t="shared" si="100"/>
        <v>17.700708864666083</v>
      </c>
      <c r="R189" s="690">
        <f t="shared" si="101"/>
        <v>1.5142713187304375</v>
      </c>
      <c r="S189" s="677">
        <f t="shared" si="76"/>
        <v>1.0032212075134708</v>
      </c>
      <c r="T189" s="680">
        <f t="shared" si="77"/>
        <v>8.0157150650345024E-2</v>
      </c>
      <c r="U189" s="681">
        <f t="shared" si="89"/>
        <v>0.98622734008204427</v>
      </c>
      <c r="V189" s="682">
        <f t="shared" si="90"/>
        <v>-0.20195079899120075</v>
      </c>
      <c r="W189" s="683">
        <f t="shared" si="78"/>
        <v>-18.97273978924288</v>
      </c>
      <c r="X189" s="684">
        <f t="shared" si="79"/>
        <v>-111.16114627930993</v>
      </c>
      <c r="Y189" s="687">
        <f t="shared" si="80"/>
        <v>68.838853720690068</v>
      </c>
      <c r="AA189" s="170">
        <f t="shared" si="81"/>
        <v>10654</v>
      </c>
      <c r="AB189" s="170">
        <f t="shared" si="82"/>
        <v>113507716</v>
      </c>
      <c r="AD189" s="686">
        <f t="shared" si="83"/>
        <v>17.132599278831073</v>
      </c>
      <c r="AE189" s="687">
        <f t="shared" si="84"/>
        <v>-7.8311811541219054</v>
      </c>
      <c r="AG189" s="686">
        <f t="shared" si="85"/>
        <v>5.1199398723622744</v>
      </c>
      <c r="AH189" s="687">
        <f t="shared" si="86"/>
        <v>-80.18810819576332</v>
      </c>
      <c r="AJ189" s="170">
        <f t="shared" si="87"/>
        <v>0</v>
      </c>
      <c r="AK189" s="170">
        <f t="shared" si="99"/>
        <v>0</v>
      </c>
      <c r="AM189" s="170" t="str">
        <f t="shared" si="91"/>
        <v>0.041879018070254+0.286363726728751i</v>
      </c>
      <c r="AN189" s="170" t="str">
        <f t="shared" si="92"/>
        <v>0.290429460617578i</v>
      </c>
      <c r="AO189" s="170" t="str">
        <f t="shared" si="93"/>
        <v>0.986000959130725-0.144196866189818i</v>
      </c>
      <c r="AP189" s="170" t="str">
        <f t="shared" si="94"/>
        <v>0.159686830321624-0.0477272877881252i</v>
      </c>
      <c r="AQ189" s="170" t="str">
        <f t="shared" si="95"/>
        <v>0.840313169678376+0.0477272877881252i</v>
      </c>
      <c r="AR189" s="170" t="str">
        <f t="shared" si="96"/>
        <v>0.988109545683452-0.0561216821950772i</v>
      </c>
    </row>
    <row r="190" spans="7:44">
      <c r="G190" s="688">
        <v>10715</v>
      </c>
      <c r="H190" s="676">
        <f t="shared" si="88"/>
        <v>10.715</v>
      </c>
      <c r="I190" s="677">
        <f t="shared" si="66"/>
        <v>88.133222022918645</v>
      </c>
      <c r="J190" s="678">
        <f t="shared" si="67"/>
        <v>1.559449624208606</v>
      </c>
      <c r="K190" s="678">
        <f t="shared" si="68"/>
        <v>1.0001096820694377</v>
      </c>
      <c r="L190" s="679">
        <f t="shared" si="69"/>
        <v>1.4810269764291213E-2</v>
      </c>
      <c r="M190" s="678">
        <f t="shared" si="70"/>
        <v>1.0016360509468041</v>
      </c>
      <c r="N190" s="679">
        <f t="shared" si="71"/>
        <v>-5.7163336225094605E-2</v>
      </c>
      <c r="O190" s="677">
        <f t="shared" si="72"/>
        <v>444340.58123182529</v>
      </c>
      <c r="P190" s="680">
        <f t="shared" si="73"/>
        <v>1.5707940762689663</v>
      </c>
      <c r="Q190" s="689">
        <f t="shared" si="100"/>
        <v>17.801732595607039</v>
      </c>
      <c r="R190" s="690">
        <f t="shared" si="101"/>
        <v>1.51459243381339</v>
      </c>
      <c r="S190" s="677">
        <f t="shared" si="76"/>
        <v>1.0032581394064231</v>
      </c>
      <c r="T190" s="680">
        <f t="shared" si="77"/>
        <v>8.0614114208987606E-2</v>
      </c>
      <c r="U190" s="681">
        <f t="shared" si="89"/>
        <v>0.98607670611891962</v>
      </c>
      <c r="V190" s="682">
        <f t="shared" si="90"/>
        <v>-0.20309174092275528</v>
      </c>
      <c r="W190" s="683">
        <f t="shared" si="78"/>
        <v>-19.023955155124497</v>
      </c>
      <c r="X190" s="684">
        <f t="shared" si="79"/>
        <v>-111.2517989517868</v>
      </c>
      <c r="Y190" s="687">
        <f t="shared" si="80"/>
        <v>68.748201048213204</v>
      </c>
      <c r="AA190" s="170">
        <f t="shared" si="81"/>
        <v>10715</v>
      </c>
      <c r="AB190" s="170">
        <f t="shared" si="82"/>
        <v>114811225</v>
      </c>
      <c r="AD190" s="686">
        <f t="shared" si="83"/>
        <v>17.13212215163184</v>
      </c>
      <c r="AE190" s="687">
        <f t="shared" si="84"/>
        <v>-7.8389654367256947</v>
      </c>
      <c r="AG190" s="686">
        <f t="shared" si="85"/>
        <v>5.0718551596096439</v>
      </c>
      <c r="AH190" s="687">
        <f t="shared" si="86"/>
        <v>-80.140234270791822</v>
      </c>
      <c r="AJ190" s="170">
        <f t="shared" si="87"/>
        <v>0</v>
      </c>
      <c r="AK190" s="170">
        <f t="shared" si="99"/>
        <v>0</v>
      </c>
      <c r="AM190" s="170" t="str">
        <f t="shared" si="91"/>
        <v>0.042356527631096+0.287956558927258i</v>
      </c>
      <c r="AN190" s="170" t="str">
        <f t="shared" si="92"/>
        <v>0.292092328751393i</v>
      </c>
      <c r="AO190" s="170" t="str">
        <f t="shared" si="93"/>
        <v>0.985840881745118-0.145010749895957i</v>
      </c>
      <c r="AP190" s="170" t="str">
        <f t="shared" si="94"/>
        <v>0.159607245394817-0.0479927598212097i</v>
      </c>
      <c r="AQ190" s="170" t="str">
        <f t="shared" si="95"/>
        <v>0.840392754605183+0.0479927598212097i</v>
      </c>
      <c r="AR190" s="170" t="str">
        <f t="shared" si="96"/>
        <v>0.987981140769761-0.056421168955846i</v>
      </c>
    </row>
    <row r="191" spans="7:44">
      <c r="G191" s="688">
        <v>10777.5</v>
      </c>
      <c r="H191" s="676">
        <f t="shared" si="88"/>
        <v>10.7775</v>
      </c>
      <c r="I191" s="677">
        <f t="shared" si="66"/>
        <v>88.647232221584815</v>
      </c>
      <c r="J191" s="678">
        <f t="shared" si="67"/>
        <v>1.5595154194832408</v>
      </c>
      <c r="K191" s="678">
        <f t="shared" si="68"/>
        <v>1.0001109652688265</v>
      </c>
      <c r="L191" s="679">
        <f t="shared" si="69"/>
        <v>1.489664450286622E-2</v>
      </c>
      <c r="M191" s="678">
        <f t="shared" si="70"/>
        <v>1.0016551767838233</v>
      </c>
      <c r="N191" s="679">
        <f t="shared" si="71"/>
        <v>-5.7496034563386388E-2</v>
      </c>
      <c r="O191" s="677">
        <f t="shared" si="72"/>
        <v>446932.39516806876</v>
      </c>
      <c r="P191" s="680">
        <f t="shared" si="73"/>
        <v>1.5707940893200327</v>
      </c>
      <c r="Q191" s="689">
        <f t="shared" si="100"/>
        <v>17.905242398791113</v>
      </c>
      <c r="R191" s="690">
        <f t="shared" si="101"/>
        <v>1.5149176868364702</v>
      </c>
      <c r="S191" s="677">
        <f t="shared" si="76"/>
        <v>1.0032961967311527</v>
      </c>
      <c r="T191" s="680">
        <f t="shared" si="77"/>
        <v>8.10822795826278E-2</v>
      </c>
      <c r="U191" s="681">
        <f t="shared" si="89"/>
        <v>0.98592154428813494</v>
      </c>
      <c r="V191" s="682">
        <f t="shared" si="90"/>
        <v>-0.20426047225594104</v>
      </c>
      <c r="W191" s="683">
        <f t="shared" si="78"/>
        <v>-19.076143642070235</v>
      </c>
      <c r="X191" s="684">
        <f t="shared" si="79"/>
        <v>-111.34483444117447</v>
      </c>
      <c r="Y191" s="687">
        <f t="shared" si="80"/>
        <v>68.65516555882553</v>
      </c>
      <c r="AA191" s="170">
        <f t="shared" si="81"/>
        <v>10777.5</v>
      </c>
      <c r="AB191" s="170">
        <f t="shared" si="82"/>
        <v>116154506.25</v>
      </c>
      <c r="AD191" s="686">
        <f t="shared" si="83"/>
        <v>17.131634180876524</v>
      </c>
      <c r="AE191" s="687">
        <f t="shared" si="84"/>
        <v>-7.8471544590334643</v>
      </c>
      <c r="AG191" s="686">
        <f t="shared" si="85"/>
        <v>5.0228883548527659</v>
      </c>
      <c r="AH191" s="687">
        <f t="shared" si="86"/>
        <v>-80.091153992166213</v>
      </c>
      <c r="AJ191" s="170">
        <f t="shared" si="87"/>
        <v>0</v>
      </c>
      <c r="AK191" s="170">
        <f t="shared" si="99"/>
        <v>0</v>
      </c>
      <c r="AM191" s="170" t="str">
        <f t="shared" si="91"/>
        <v>0.042848525700582+0.289587733245817i</v>
      </c>
      <c r="AN191" s="170" t="str">
        <f t="shared" si="92"/>
        <v>0.293796087085221i</v>
      </c>
      <c r="AO191" s="170" t="str">
        <f t="shared" si="93"/>
        <v>0.985675936391272-0.145844439678167i</v>
      </c>
      <c r="AP191" s="170" t="str">
        <f t="shared" si="94"/>
        <v>0.15952524571657-0.0482646222076362i</v>
      </c>
      <c r="AQ191" s="170" t="str">
        <f t="shared" si="95"/>
        <v>0.84047475428343+0.0482646222076362i</v>
      </c>
      <c r="AR191" s="170" t="str">
        <f t="shared" si="96"/>
        <v>0.987848900144712-0.0567276455607079i</v>
      </c>
    </row>
    <row r="192" spans="7:44">
      <c r="G192" s="688">
        <v>10840</v>
      </c>
      <c r="H192" s="676">
        <f t="shared" si="88"/>
        <v>10.84</v>
      </c>
      <c r="I192" s="677">
        <f t="shared" si="66"/>
        <v>89.1612427995818</v>
      </c>
      <c r="J192" s="678">
        <f t="shared" si="67"/>
        <v>1.5595804561445217</v>
      </c>
      <c r="K192" s="678">
        <f t="shared" si="68"/>
        <v>1.0001122559296196</v>
      </c>
      <c r="L192" s="679">
        <f t="shared" si="69"/>
        <v>1.498301901914968E-2</v>
      </c>
      <c r="M192" s="678">
        <f t="shared" si="70"/>
        <v>1.0016744134879947</v>
      </c>
      <c r="N192" s="679">
        <f t="shared" si="71"/>
        <v>-5.7828720159859071E-2</v>
      </c>
      <c r="O192" s="677">
        <f t="shared" si="72"/>
        <v>449524.20910431229</v>
      </c>
      <c r="P192" s="680">
        <f t="shared" si="73"/>
        <v>1.5707941022206029</v>
      </c>
      <c r="Q192" s="689">
        <f t="shared" si="100"/>
        <v>18.0087540743876</v>
      </c>
      <c r="R192" s="690">
        <f t="shared" si="101"/>
        <v>1.5152392008799478</v>
      </c>
      <c r="S192" s="677">
        <f t="shared" si="76"/>
        <v>1.0033344739404457</v>
      </c>
      <c r="T192" s="680">
        <f t="shared" si="77"/>
        <v>8.1550409337848434E-2</v>
      </c>
      <c r="U192" s="681">
        <f t="shared" si="89"/>
        <v>0.98576554984467835</v>
      </c>
      <c r="V192" s="682">
        <f t="shared" si="90"/>
        <v>-0.20542893241281207</v>
      </c>
      <c r="W192" s="683">
        <f t="shared" si="78"/>
        <v>-19.12804582284658</v>
      </c>
      <c r="X192" s="684">
        <f t="shared" si="79"/>
        <v>-111.43802238898743</v>
      </c>
      <c r="Y192" s="687">
        <f t="shared" si="80"/>
        <v>68.561977611012566</v>
      </c>
      <c r="AA192" s="170">
        <f t="shared" si="81"/>
        <v>10840</v>
      </c>
      <c r="AB192" s="170">
        <f t="shared" si="82"/>
        <v>117505600</v>
      </c>
      <c r="AD192" s="686">
        <f t="shared" si="83"/>
        <v>17.131147046915547</v>
      </c>
      <c r="AE192" s="687">
        <f t="shared" si="84"/>
        <v>-7.8555556596844749</v>
      </c>
      <c r="AG192" s="686">
        <f t="shared" si="85"/>
        <v>4.9742221225462986</v>
      </c>
      <c r="AH192" s="687">
        <f t="shared" si="86"/>
        <v>-80.042045068139359</v>
      </c>
      <c r="AJ192" s="170">
        <f t="shared" si="87"/>
        <v>0</v>
      </c>
      <c r="AK192" s="170">
        <f t="shared" si="99"/>
        <v>0</v>
      </c>
      <c r="AM192" s="170" t="str">
        <f t="shared" si="91"/>
        <v>0.043343302181479+0.29121806695149i</v>
      </c>
      <c r="AN192" s="170" t="str">
        <f t="shared" si="92"/>
        <v>0.295499845419048i</v>
      </c>
      <c r="AO192" s="170" t="str">
        <f t="shared" si="93"/>
        <v>0.985510048367416-0.146677918291341i</v>
      </c>
      <c r="AP192" s="170" t="str">
        <f t="shared" si="94"/>
        <v>0.159442782969754-0.048536344491915i</v>
      </c>
      <c r="AQ192" s="170" t="str">
        <f t="shared" si="95"/>
        <v>0.840557217030246+0.048536344491915i</v>
      </c>
      <c r="AR192" s="170" t="str">
        <f t="shared" si="96"/>
        <v>0.987715974436376-0.0570337412184594i</v>
      </c>
    </row>
    <row r="193" spans="7:44">
      <c r="G193" s="688">
        <v>10902.5</v>
      </c>
      <c r="H193" s="676">
        <f t="shared" si="88"/>
        <v>10.9025</v>
      </c>
      <c r="I193" s="677">
        <f t="shared" si="66"/>
        <v>89.675253750386716</v>
      </c>
      <c r="J193" s="678">
        <f t="shared" si="67"/>
        <v>1.5596447472368162</v>
      </c>
      <c r="K193" s="678">
        <f t="shared" si="68"/>
        <v>1.000113554051788</v>
      </c>
      <c r="L193" s="679">
        <f t="shared" si="69"/>
        <v>1.5069393311853649E-2</v>
      </c>
      <c r="M193" s="678">
        <f t="shared" si="70"/>
        <v>1.0016937610529302</v>
      </c>
      <c r="N193" s="679">
        <f t="shared" si="71"/>
        <v>-5.8161392941605772E-2</v>
      </c>
      <c r="O193" s="677">
        <f t="shared" si="72"/>
        <v>452116.023040556</v>
      </c>
      <c r="P193" s="680">
        <f t="shared" si="73"/>
        <v>1.5707941149732645</v>
      </c>
      <c r="Q193" s="689">
        <f t="shared" si="100"/>
        <v>18.112267590293975</v>
      </c>
      <c r="R193" s="690">
        <f t="shared" si="101"/>
        <v>1.515557039982762</v>
      </c>
      <c r="S193" s="677">
        <f t="shared" si="76"/>
        <v>1.003372971009137</v>
      </c>
      <c r="T193" s="680">
        <f t="shared" si="77"/>
        <v>8.2018503273560639E-2</v>
      </c>
      <c r="U193" s="681">
        <f t="shared" si="89"/>
        <v>0.98560872394923793</v>
      </c>
      <c r="V193" s="682">
        <f t="shared" si="90"/>
        <v>-0.2065971199935589</v>
      </c>
      <c r="W193" s="683">
        <f t="shared" si="78"/>
        <v>-19.179665108880627</v>
      </c>
      <c r="X193" s="684">
        <f t="shared" si="79"/>
        <v>-111.53135977777204</v>
      </c>
      <c r="Y193" s="687">
        <f t="shared" si="80"/>
        <v>68.468640222227961</v>
      </c>
      <c r="AA193" s="170">
        <f t="shared" si="81"/>
        <v>10902.5</v>
      </c>
      <c r="AB193" s="170">
        <f t="shared" si="82"/>
        <v>118864506.25</v>
      </c>
      <c r="AD193" s="686">
        <f t="shared" si="83"/>
        <v>17.130660687971737</v>
      </c>
      <c r="AE193" s="687">
        <f t="shared" si="84"/>
        <v>-7.8641653581444988</v>
      </c>
      <c r="AG193" s="686">
        <f t="shared" si="85"/>
        <v>4.9258530996850451</v>
      </c>
      <c r="AH193" s="687">
        <f t="shared" si="86"/>
        <v>-79.99290832219819</v>
      </c>
      <c r="AJ193" s="170">
        <f t="shared" si="87"/>
        <v>0</v>
      </c>
      <c r="AK193" s="170">
        <f t="shared" si="99"/>
        <v>0</v>
      </c>
      <c r="AM193" s="170" t="str">
        <f t="shared" si="91"/>
        <v>0.043840855637553+0.292847555311759i</v>
      </c>
      <c r="AN193" s="170" t="str">
        <f t="shared" si="92"/>
        <v>0.297203603752876i</v>
      </c>
      <c r="AO193" s="170" t="str">
        <f t="shared" si="93"/>
        <v>0.98534321796199-0.147511184534648i</v>
      </c>
      <c r="AP193" s="170" t="str">
        <f t="shared" si="94"/>
        <v>0.159359857393741-0.0488079258852932i</v>
      </c>
      <c r="AQ193" s="170" t="str">
        <f t="shared" si="95"/>
        <v>0.840640142606259+0.0488079258852932i</v>
      </c>
      <c r="AR193" s="170" t="str">
        <f t="shared" si="96"/>
        <v>0.987582365029248-0.0573394541075907i</v>
      </c>
    </row>
    <row r="194" spans="7:44">
      <c r="G194" s="688">
        <v>10965</v>
      </c>
      <c r="H194" s="676">
        <f t="shared" si="88"/>
        <v>10.965</v>
      </c>
      <c r="I194" s="677">
        <f t="shared" si="66"/>
        <v>90.189265067625414</v>
      </c>
      <c r="J194" s="678">
        <f t="shared" si="67"/>
        <v>1.5597083055071441</v>
      </c>
      <c r="K194" s="678">
        <f t="shared" si="68"/>
        <v>1.0001148596353027</v>
      </c>
      <c r="L194" s="679">
        <f t="shared" si="69"/>
        <v>1.515576737969021E-2</v>
      </c>
      <c r="M194" s="678">
        <f t="shared" si="70"/>
        <v>1.0017132194722065</v>
      </c>
      <c r="N194" s="679">
        <f t="shared" si="71"/>
        <v>-5.8494052835736603E-2</v>
      </c>
      <c r="O194" s="677">
        <f t="shared" si="72"/>
        <v>454707.83697679965</v>
      </c>
      <c r="P194" s="680">
        <f t="shared" si="73"/>
        <v>1.5707941275805468</v>
      </c>
      <c r="Q194" s="689">
        <f t="shared" si="100"/>
        <v>18.215782915136852</v>
      </c>
      <c r="R194" s="690">
        <f t="shared" si="101"/>
        <v>1.5158712667311973</v>
      </c>
      <c r="S194" s="677">
        <f t="shared" si="76"/>
        <v>1.0034116879119217</v>
      </c>
      <c r="T194" s="680">
        <f t="shared" si="77"/>
        <v>8.2486561188769111E-2</v>
      </c>
      <c r="U194" s="681">
        <f t="shared" si="89"/>
        <v>0.98545106776772673</v>
      </c>
      <c r="V194" s="682">
        <f t="shared" si="90"/>
        <v>-0.20776503360121876</v>
      </c>
      <c r="W194" s="683">
        <f t="shared" si="78"/>
        <v>-19.231004852276541</v>
      </c>
      <c r="X194" s="684">
        <f t="shared" si="79"/>
        <v>-111.62484365643488</v>
      </c>
      <c r="Y194" s="687">
        <f t="shared" si="80"/>
        <v>68.375156343565124</v>
      </c>
      <c r="AA194" s="170">
        <f t="shared" si="81"/>
        <v>10965</v>
      </c>
      <c r="AB194" s="170">
        <f t="shared" si="82"/>
        <v>120231225</v>
      </c>
      <c r="AD194" s="686">
        <f t="shared" si="83"/>
        <v>17.130175044032914</v>
      </c>
      <c r="AE194" s="687">
        <f t="shared" si="84"/>
        <v>-7.8729799571123067</v>
      </c>
      <c r="AG194" s="686">
        <f t="shared" si="85"/>
        <v>4.8777779807582053</v>
      </c>
      <c r="AH194" s="687">
        <f t="shared" si="86"/>
        <v>-79.943744560630705</v>
      </c>
      <c r="AJ194" s="170">
        <f t="shared" si="87"/>
        <v>0</v>
      </c>
      <c r="AK194" s="170">
        <f t="shared" si="99"/>
        <v>0</v>
      </c>
      <c r="AM194" s="170" t="str">
        <f t="shared" si="91"/>
        <v>0.044341184624511+0.294476193596557i</v>
      </c>
      <c r="AN194" s="170" t="str">
        <f t="shared" si="92"/>
        <v>0.298907362086703i</v>
      </c>
      <c r="AO194" s="170" t="str">
        <f t="shared" si="93"/>
        <v>0.985175445465071-0.148344237207677i</v>
      </c>
      <c r="AP194" s="170" t="str">
        <f t="shared" si="94"/>
        <v>0.159276469229248-0.0490793655994262i</v>
      </c>
      <c r="AQ194" s="170" t="str">
        <f t="shared" si="95"/>
        <v>0.840723530770752+0.0490793655994262i</v>
      </c>
      <c r="AR194" s="170" t="str">
        <f t="shared" si="96"/>
        <v>0.98744807331369-0.0576447824128127i</v>
      </c>
    </row>
    <row r="195" spans="7:44">
      <c r="G195" s="688">
        <v>11028.75</v>
      </c>
      <c r="H195" s="676">
        <f t="shared" si="88"/>
        <v>11.02875</v>
      </c>
      <c r="I195" s="677">
        <f t="shared" si="66"/>
        <v>90.71355698224906</v>
      </c>
      <c r="J195" s="678">
        <f t="shared" si="67"/>
        <v>1.5597723929081173</v>
      </c>
      <c r="K195" s="678">
        <f t="shared" si="68"/>
        <v>1.0001161990171361</v>
      </c>
      <c r="L195" s="679">
        <f t="shared" si="69"/>
        <v>1.524386869588946E-2</v>
      </c>
      <c r="M195" s="678">
        <f t="shared" si="70"/>
        <v>1.0017331812553105</v>
      </c>
      <c r="N195" s="679">
        <f t="shared" si="71"/>
        <v>-5.8833352575354159E-2</v>
      </c>
      <c r="O195" s="677">
        <f t="shared" si="72"/>
        <v>457351.4871917683</v>
      </c>
      <c r="P195" s="680">
        <f t="shared" si="73"/>
        <v>1.5707941402927685</v>
      </c>
      <c r="Q195" s="689">
        <f t="shared" si="100"/>
        <v>18.32137037824506</v>
      </c>
      <c r="R195" s="690">
        <f t="shared" si="101"/>
        <v>1.5161881200021305</v>
      </c>
      <c r="S195" s="677">
        <f t="shared" si="76"/>
        <v>1.0034514055994548</v>
      </c>
      <c r="T195" s="680">
        <f t="shared" si="77"/>
        <v>8.2963942945611088E-2</v>
      </c>
      <c r="U195" s="681">
        <f t="shared" si="89"/>
        <v>0.98528940431642309</v>
      </c>
      <c r="V195" s="682">
        <f t="shared" si="90"/>
        <v>-0.20895602178817613</v>
      </c>
      <c r="W195" s="683">
        <f t="shared" si="78"/>
        <v>-19.283086821675163</v>
      </c>
      <c r="X195" s="684">
        <f t="shared" si="79"/>
        <v>-111.72034513327542</v>
      </c>
      <c r="Y195" s="687">
        <f t="shared" si="80"/>
        <v>68.279654866724584</v>
      </c>
      <c r="AA195" s="170">
        <f t="shared" si="81"/>
        <v>11028.75</v>
      </c>
      <c r="AB195" s="170">
        <f t="shared" si="82"/>
        <v>121633326.5625</v>
      </c>
      <c r="AD195" s="686">
        <f t="shared" si="83"/>
        <v>17.129680363353973</v>
      </c>
      <c r="AE195" s="687">
        <f t="shared" si="84"/>
        <v>-7.882178290213667</v>
      </c>
      <c r="AG195" s="686">
        <f t="shared" si="85"/>
        <v>4.8290407698028357</v>
      </c>
      <c r="AH195" s="687">
        <f t="shared" si="86"/>
        <v>-79.893570511088711</v>
      </c>
      <c r="AJ195" s="170">
        <f t="shared" si="87"/>
        <v>0</v>
      </c>
      <c r="AK195" s="170">
        <f t="shared" si="99"/>
        <v>0</v>
      </c>
      <c r="AM195" s="170" t="str">
        <f t="shared" si="91"/>
        <v>0.044854378036896+0.296136523996476i</v>
      </c>
      <c r="AN195" s="170" t="str">
        <f t="shared" si="92"/>
        <v>0.300645195587207i</v>
      </c>
      <c r="AO195" s="170" t="str">
        <f t="shared" si="93"/>
        <v>0.985003347278094-0.149193729669581i</v>
      </c>
      <c r="AP195" s="170" t="str">
        <f t="shared" si="94"/>
        <v>0.159190936993851-0.049356087332746i</v>
      </c>
      <c r="AQ195" s="170" t="str">
        <f t="shared" si="95"/>
        <v>0.840809063006149+0.049356087332746i</v>
      </c>
      <c r="AR195" s="170" t="str">
        <f t="shared" si="96"/>
        <v>0.987310394297656-0.0579558192097254i</v>
      </c>
    </row>
    <row r="196" spans="7:44">
      <c r="G196" s="688">
        <v>11092.5</v>
      </c>
      <c r="H196" s="676">
        <f t="shared" si="88"/>
        <v>11.092499999999999</v>
      </c>
      <c r="I196" s="677">
        <f t="shared" si="66"/>
        <v>91.23784926516899</v>
      </c>
      <c r="J196" s="678">
        <f t="shared" si="67"/>
        <v>1.5598357437613031</v>
      </c>
      <c r="K196" s="678">
        <f t="shared" si="68"/>
        <v>1.0001175461616927</v>
      </c>
      <c r="L196" s="679">
        <f t="shared" si="69"/>
        <v>1.5331969775430014E-2</v>
      </c>
      <c r="M196" s="678">
        <f t="shared" si="70"/>
        <v>1.0017532583576554</v>
      </c>
      <c r="N196" s="679">
        <f t="shared" si="71"/>
        <v>-5.9172638753564433E-2</v>
      </c>
      <c r="O196" s="677">
        <f t="shared" si="72"/>
        <v>459995.13740673702</v>
      </c>
      <c r="P196" s="680">
        <f t="shared" si="73"/>
        <v>1.5707941528588727</v>
      </c>
      <c r="Q196" s="689">
        <f t="shared" si="100"/>
        <v>18.426959659665741</v>
      </c>
      <c r="R196" s="690">
        <f t="shared" si="101"/>
        <v>1.5165013420693447</v>
      </c>
      <c r="S196" s="677">
        <f t="shared" si="76"/>
        <v>1.0034913519487494</v>
      </c>
      <c r="T196" s="680">
        <f t="shared" si="77"/>
        <v>8.3441286804607009E-2</v>
      </c>
      <c r="U196" s="681">
        <f t="shared" si="89"/>
        <v>0.98512687950224187</v>
      </c>
      <c r="V196" s="682">
        <f t="shared" si="90"/>
        <v>-0.2101467220067201</v>
      </c>
      <c r="W196" s="683">
        <f t="shared" si="78"/>
        <v>-19.334884817041115</v>
      </c>
      <c r="X196" s="684">
        <f t="shared" si="79"/>
        <v>-111.81599301909897</v>
      </c>
      <c r="Y196" s="687">
        <f t="shared" si="80"/>
        <v>68.184006980901032</v>
      </c>
      <c r="AA196" s="170">
        <f t="shared" si="81"/>
        <v>11092.5</v>
      </c>
      <c r="AB196" s="170">
        <f t="shared" si="82"/>
        <v>123043556.25</v>
      </c>
      <c r="AD196" s="686">
        <f t="shared" si="83"/>
        <v>17.129186305800033</v>
      </c>
      <c r="AE196" s="687">
        <f t="shared" si="84"/>
        <v>-7.8915824962043697</v>
      </c>
      <c r="AG196" s="686">
        <f t="shared" si="85"/>
        <v>4.7806025667377812</v>
      </c>
      <c r="AH196" s="687">
        <f t="shared" si="86"/>
        <v>-79.84336999638991</v>
      </c>
      <c r="AJ196" s="170">
        <f t="shared" si="87"/>
        <v>0</v>
      </c>
      <c r="AK196" s="170">
        <f t="shared" si="99"/>
        <v>0</v>
      </c>
      <c r="AM196" s="170" t="str">
        <f t="shared" si="91"/>
        <v>0.045370456050681+0.297795960044987i</v>
      </c>
      <c r="AN196" s="170" t="str">
        <f t="shared" si="92"/>
        <v>0.302383029087712i</v>
      </c>
      <c r="AO196" s="170" t="str">
        <f t="shared" si="93"/>
        <v>0.984830269553936-0.150042997411473i</v>
      </c>
      <c r="AP196" s="170" t="str">
        <f t="shared" si="94"/>
        <v>0.159104923991553-0.0496326600074978i</v>
      </c>
      <c r="AQ196" s="170" t="str">
        <f t="shared" si="95"/>
        <v>0.840895076008447+0.0496326600074978i</v>
      </c>
      <c r="AR196" s="170" t="str">
        <f t="shared" si="96"/>
        <v>0.987172008348419-0.058266452090372i</v>
      </c>
    </row>
    <row r="197" spans="7:44">
      <c r="G197" s="688">
        <v>11156.25</v>
      </c>
      <c r="H197" s="676">
        <f t="shared" si="88"/>
        <v>11.15625</v>
      </c>
      <c r="I197" s="677">
        <f t="shared" si="66"/>
        <v>91.762141910072287</v>
      </c>
      <c r="J197" s="678">
        <f t="shared" si="67"/>
        <v>1.5598983706912182</v>
      </c>
      <c r="K197" s="678">
        <f t="shared" si="68"/>
        <v>1.0001189010689406</v>
      </c>
      <c r="L197" s="679">
        <f t="shared" si="69"/>
        <v>1.5420070616945189E-2</v>
      </c>
      <c r="M197" s="678">
        <f t="shared" si="70"/>
        <v>1.0017734507723075</v>
      </c>
      <c r="N197" s="679">
        <f t="shared" si="71"/>
        <v>-5.9511911293071235E-2</v>
      </c>
      <c r="O197" s="677">
        <f t="shared" si="72"/>
        <v>462638.78762170579</v>
      </c>
      <c r="P197" s="680">
        <f t="shared" si="73"/>
        <v>1.5707941652813644</v>
      </c>
      <c r="Q197" s="689">
        <f t="shared" si="100"/>
        <v>18.532550728319372</v>
      </c>
      <c r="R197" s="690">
        <f t="shared" si="101"/>
        <v>1.5168109949382922</v>
      </c>
      <c r="S197" s="677">
        <f t="shared" si="76"/>
        <v>1.0035315269324994</v>
      </c>
      <c r="T197" s="680">
        <f t="shared" si="77"/>
        <v>8.3918592552763197E-2</v>
      </c>
      <c r="U197" s="681">
        <f t="shared" si="89"/>
        <v>0.98496349457908705</v>
      </c>
      <c r="V197" s="682">
        <f t="shared" si="90"/>
        <v>-0.2113371327835793</v>
      </c>
      <c r="W197" s="683">
        <f t="shared" si="78"/>
        <v>-19.386402213595474</v>
      </c>
      <c r="X197" s="684">
        <f t="shared" si="79"/>
        <v>-111.91178438376362</v>
      </c>
      <c r="Y197" s="687">
        <f t="shared" si="80"/>
        <v>68.088215616236383</v>
      </c>
      <c r="AA197" s="170">
        <f t="shared" si="81"/>
        <v>11156.25</v>
      </c>
      <c r="AB197" s="170">
        <f t="shared" si="82"/>
        <v>124461914.0625</v>
      </c>
      <c r="AD197" s="686">
        <f t="shared" si="83"/>
        <v>17.128692812984873</v>
      </c>
      <c r="AE197" s="687">
        <f t="shared" si="84"/>
        <v>-7.9011890103735682</v>
      </c>
      <c r="AG197" s="686">
        <f t="shared" si="85"/>
        <v>4.732460040285579</v>
      </c>
      <c r="AH197" s="687">
        <f t="shared" si="86"/>
        <v>-79.793143819927664</v>
      </c>
      <c r="AJ197" s="170">
        <f t="shared" si="87"/>
        <v>0</v>
      </c>
      <c r="AK197" s="170">
        <f t="shared" si="99"/>
        <v>0</v>
      </c>
      <c r="AM197" s="170" t="str">
        <f t="shared" si="91"/>
        <v>0.045889417107277+0.299454496730486i</v>
      </c>
      <c r="AN197" s="170" t="str">
        <f t="shared" si="92"/>
        <v>0.304120862588216i</v>
      </c>
      <c r="AO197" s="170" t="str">
        <f t="shared" si="93"/>
        <v>0.984656212605683-0.150892039160799i</v>
      </c>
      <c r="AP197" s="170" t="str">
        <f t="shared" si="94"/>
        <v>0.15901843048212-0.0499090827884143i</v>
      </c>
      <c r="AQ197" s="170" t="str">
        <f t="shared" si="95"/>
        <v>0.84098156951788+0.0499090827884143i</v>
      </c>
      <c r="AR197" s="170" t="str">
        <f t="shared" si="96"/>
        <v>0.987032916960089-0.0585766791485004i</v>
      </c>
    </row>
    <row r="198" spans="7:44">
      <c r="G198" s="688">
        <v>11220</v>
      </c>
      <c r="H198" s="676">
        <f t="shared" si="88"/>
        <v>11.22</v>
      </c>
      <c r="I198" s="677">
        <f t="shared" si="66"/>
        <v>92.286434910789538</v>
      </c>
      <c r="J198" s="678">
        <f t="shared" si="67"/>
        <v>1.5599602860355153</v>
      </c>
      <c r="K198" s="678">
        <f t="shared" si="68"/>
        <v>1.0001202637388489</v>
      </c>
      <c r="L198" s="679">
        <f t="shared" si="69"/>
        <v>1.5508171219068318E-2</v>
      </c>
      <c r="M198" s="678">
        <f t="shared" si="70"/>
        <v>1.001793758492294</v>
      </c>
      <c r="N198" s="679">
        <f t="shared" si="71"/>
        <v>-5.9851170116597137E-2</v>
      </c>
      <c r="O198" s="677">
        <f t="shared" si="72"/>
        <v>465282.43783667468</v>
      </c>
      <c r="P198" s="680">
        <f t="shared" si="73"/>
        <v>1.5707941775626912</v>
      </c>
      <c r="Q198" s="689">
        <f t="shared" si="100"/>
        <v>18.638143553830204</v>
      </c>
      <c r="R198" s="690">
        <f t="shared" si="101"/>
        <v>1.5171171392120535</v>
      </c>
      <c r="S198" s="677">
        <f t="shared" si="76"/>
        <v>1.0035719305232469</v>
      </c>
      <c r="T198" s="680">
        <f t="shared" si="77"/>
        <v>8.4395859977189375E-2</v>
      </c>
      <c r="U198" s="681">
        <f t="shared" si="89"/>
        <v>0.98479925080638608</v>
      </c>
      <c r="V198" s="682">
        <f t="shared" si="90"/>
        <v>-0.21252725264860503</v>
      </c>
      <c r="W198" s="683">
        <f t="shared" si="78"/>
        <v>-19.437642328068332</v>
      </c>
      <c r="X198" s="684">
        <f t="shared" si="79"/>
        <v>-112.00771636122387</v>
      </c>
      <c r="Y198" s="687">
        <f t="shared" si="80"/>
        <v>67.992283638776129</v>
      </c>
      <c r="AA198" s="170">
        <f t="shared" si="81"/>
        <v>11220</v>
      </c>
      <c r="AB198" s="170">
        <f t="shared" si="82"/>
        <v>125888400</v>
      </c>
      <c r="AD198" s="686">
        <f t="shared" si="83"/>
        <v>17.128199828187345</v>
      </c>
      <c r="AE198" s="687">
        <f t="shared" si="84"/>
        <v>-7.9109943483630492</v>
      </c>
      <c r="AG198" s="686">
        <f t="shared" si="85"/>
        <v>4.6846099159273962</v>
      </c>
      <c r="AH198" s="687">
        <f t="shared" si="86"/>
        <v>-79.742892768481298</v>
      </c>
      <c r="AJ198" s="170">
        <f t="shared" si="87"/>
        <v>0</v>
      </c>
      <c r="AK198" s="170">
        <f t="shared" si="99"/>
        <v>0</v>
      </c>
      <c r="AM198" s="170" t="str">
        <f t="shared" si="91"/>
        <v>0.046411259639388+0.301112129044085i</v>
      </c>
      <c r="AN198" s="170" t="str">
        <f t="shared" si="92"/>
        <v>0.30585869608872i</v>
      </c>
      <c r="AO198" s="170" t="str">
        <f t="shared" si="93"/>
        <v>0.984481176748173-0.151740853645454i</v>
      </c>
      <c r="AP198" s="170" t="str">
        <f t="shared" si="94"/>
        <v>0.158931456726769-0.0501853548406808i</v>
      </c>
      <c r="AQ198" s="170" t="str">
        <f t="shared" si="95"/>
        <v>0.841068543273231+0.0501853548406808i</v>
      </c>
      <c r="AR198" s="170" t="str">
        <f t="shared" si="96"/>
        <v>0.986893121632978-0.0588864984846884i</v>
      </c>
    </row>
    <row r="199" spans="7:44">
      <c r="G199" s="688">
        <v>11285.5</v>
      </c>
      <c r="H199" s="676">
        <f t="shared" si="88"/>
        <v>11.285500000000001</v>
      </c>
      <c r="I199" s="677">
        <f t="shared" si="66"/>
        <v>92.825120632651277</v>
      </c>
      <c r="J199" s="678">
        <f t="shared" si="67"/>
        <v>1.5600231725353415</v>
      </c>
      <c r="K199" s="678">
        <f t="shared" si="68"/>
        <v>1.0001216719005726</v>
      </c>
      <c r="L199" s="679">
        <f t="shared" si="69"/>
        <v>1.5598690018316848E-2</v>
      </c>
      <c r="M199" s="678">
        <f t="shared" si="70"/>
        <v>1.0018147437683789</v>
      </c>
      <c r="N199" s="679">
        <f t="shared" si="71"/>
        <v>-6.0199727560305991E-2</v>
      </c>
      <c r="O199" s="677">
        <f t="shared" si="72"/>
        <v>467998.65884185844</v>
      </c>
      <c r="P199" s="680">
        <f t="shared" si="73"/>
        <v>1.5707941900366365</v>
      </c>
      <c r="Q199" s="689">
        <f t="shared" si="100"/>
        <v>18.746636804580312</v>
      </c>
      <c r="R199" s="690">
        <f t="shared" si="101"/>
        <v>1.5174280953142485</v>
      </c>
      <c r="S199" s="677">
        <f t="shared" si="76"/>
        <v>1.0036136813095111</v>
      </c>
      <c r="T199" s="680">
        <f t="shared" si="77"/>
        <v>8.4886188720464398E-2</v>
      </c>
      <c r="U199" s="681">
        <f t="shared" si="89"/>
        <v>0.98462960517317522</v>
      </c>
      <c r="V199" s="682">
        <f t="shared" si="90"/>
        <v>-0.21374973792861884</v>
      </c>
      <c r="W199" s="683">
        <f t="shared" si="78"/>
        <v>-19.490003655554574</v>
      </c>
      <c r="X199" s="684">
        <f t="shared" si="79"/>
        <v>-112.10642527470401</v>
      </c>
      <c r="Y199" s="687">
        <f t="shared" si="80"/>
        <v>67.893574725295991</v>
      </c>
      <c r="AA199" s="170">
        <f t="shared" si="81"/>
        <v>11285.5</v>
      </c>
      <c r="AB199" s="170">
        <f t="shared" si="82"/>
        <v>127362510.25</v>
      </c>
      <c r="AD199" s="686">
        <f t="shared" si="83"/>
        <v>17.127693781685135</v>
      </c>
      <c r="AE199" s="687">
        <f t="shared" si="84"/>
        <v>-7.9212723583732023</v>
      </c>
      <c r="AG199" s="686">
        <f t="shared" si="85"/>
        <v>4.6357474279997266</v>
      </c>
      <c r="AH199" s="687">
        <f t="shared" si="86"/>
        <v>-79.691237177667858</v>
      </c>
      <c r="AJ199" s="170">
        <f t="shared" si="87"/>
        <v>0</v>
      </c>
      <c r="AK199" s="170">
        <f t="shared" si="99"/>
        <v>0</v>
      </c>
      <c r="AM199" s="170" t="str">
        <f t="shared" si="91"/>
        <v>0.046950426814231+0.302814317776461i</v>
      </c>
      <c r="AN199" s="170" t="str">
        <f t="shared" si="92"/>
        <v>0.307644234822571i</v>
      </c>
      <c r="AO199" s="170" t="str">
        <f t="shared" si="93"/>
        <v>0.984300316731449-0.152612730875028i</v>
      </c>
      <c r="AP199" s="170" t="str">
        <f t="shared" si="94"/>
        <v>0.158841595530961-0.0504690529627435i</v>
      </c>
      <c r="AQ199" s="170" t="str">
        <f t="shared" si="95"/>
        <v>0.841158404469039+0.0504690529627435i</v>
      </c>
      <c r="AR199" s="170" t="str">
        <f t="shared" si="96"/>
        <v>0.986748757180835-0.0592043960120878i</v>
      </c>
    </row>
    <row r="200" spans="7:44">
      <c r="G200" s="688">
        <v>11351</v>
      </c>
      <c r="H200" s="676">
        <f t="shared" si="88"/>
        <v>11.351000000000001</v>
      </c>
      <c r="I200" s="677">
        <f t="shared" si="66"/>
        <v>93.363806717373521</v>
      </c>
      <c r="J200" s="678">
        <f t="shared" si="67"/>
        <v>1.560085333356295</v>
      </c>
      <c r="K200" s="678">
        <f t="shared" si="68"/>
        <v>1.000123088256923</v>
      </c>
      <c r="L200" s="679">
        <f t="shared" si="69"/>
        <v>1.568920856192486E-2</v>
      </c>
      <c r="M200" s="678">
        <f t="shared" si="70"/>
        <v>1.0018358507521252</v>
      </c>
      <c r="N200" s="679">
        <f t="shared" si="71"/>
        <v>-6.0548270359329207E-2</v>
      </c>
      <c r="O200" s="677">
        <f t="shared" si="72"/>
        <v>470714.8798470422</v>
      </c>
      <c r="P200" s="680">
        <f t="shared" si="73"/>
        <v>1.5707942023666221</v>
      </c>
      <c r="Q200" s="689">
        <f t="shared" si="100"/>
        <v>18.855131847151448</v>
      </c>
      <c r="R200" s="690">
        <f t="shared" si="101"/>
        <v>1.5177354728768397</v>
      </c>
      <c r="S200" s="677">
        <f t="shared" si="76"/>
        <v>1.0036556733667528</v>
      </c>
      <c r="T200" s="680">
        <f t="shared" si="77"/>
        <v>8.5376476551773689E-2</v>
      </c>
      <c r="U200" s="681">
        <f t="shared" si="89"/>
        <v>0.9844590556041346</v>
      </c>
      <c r="V200" s="682">
        <f t="shared" si="90"/>
        <v>-0.21497191296960153</v>
      </c>
      <c r="W200" s="683">
        <f t="shared" si="78"/>
        <v>-19.542079183473795</v>
      </c>
      <c r="X200" s="684">
        <f t="shared" si="79"/>
        <v>-112.20527669291376</v>
      </c>
      <c r="Y200" s="687">
        <f t="shared" si="80"/>
        <v>67.794723307086244</v>
      </c>
      <c r="AA200" s="170">
        <f t="shared" si="81"/>
        <v>11351</v>
      </c>
      <c r="AB200" s="170">
        <f t="shared" si="82"/>
        <v>128845201</v>
      </c>
      <c r="AD200" s="686">
        <f t="shared" si="83"/>
        <v>17.127188155235636</v>
      </c>
      <c r="AE200" s="687">
        <f t="shared" si="84"/>
        <v>-7.93175305126847</v>
      </c>
      <c r="AG200" s="686">
        <f t="shared" si="85"/>
        <v>4.5871867861285507</v>
      </c>
      <c r="AH200" s="687">
        <f t="shared" si="86"/>
        <v>-79.639556959473268</v>
      </c>
      <c r="AJ200" s="170">
        <f t="shared" si="87"/>
        <v>0</v>
      </c>
      <c r="AK200" s="170">
        <f t="shared" si="99"/>
        <v>0</v>
      </c>
      <c r="AM200" s="170" t="str">
        <f t="shared" si="91"/>
        <v>0.0474926324519011+0.30451554109206i</v>
      </c>
      <c r="AN200" s="170" t="str">
        <f t="shared" si="92"/>
        <v>0.309429773556422i</v>
      </c>
      <c r="AO200" s="170" t="str">
        <f t="shared" si="93"/>
        <v>0.984118424003352-0.153484365470219i</v>
      </c>
      <c r="AP200" s="170" t="str">
        <f t="shared" si="94"/>
        <v>0.158751227924683-0.05075259018201i</v>
      </c>
      <c r="AQ200" s="170" t="str">
        <f t="shared" si="95"/>
        <v>0.841248772075317+0.05075259018201i</v>
      </c>
      <c r="AR200" s="170" t="str">
        <f t="shared" si="96"/>
        <v>0.986603652842902-0.0595218590825198i</v>
      </c>
    </row>
    <row r="201" spans="7:44">
      <c r="G201" s="688">
        <v>11416.5</v>
      </c>
      <c r="H201" s="676">
        <f t="shared" si="88"/>
        <v>11.416499999999999</v>
      </c>
      <c r="I201" s="677">
        <f t="shared" si="66"/>
        <v>93.902493158711451</v>
      </c>
      <c r="J201" s="678">
        <f t="shared" si="67"/>
        <v>1.5601467809868044</v>
      </c>
      <c r="K201" s="678">
        <f t="shared" si="68"/>
        <v>1.0001245128078655</v>
      </c>
      <c r="L201" s="679">
        <f t="shared" si="69"/>
        <v>1.5779726848410097E-2</v>
      </c>
      <c r="M201" s="678">
        <f t="shared" si="70"/>
        <v>1.0018570794358403</v>
      </c>
      <c r="N201" s="679">
        <f t="shared" si="71"/>
        <v>-6.0896798429911678E-2</v>
      </c>
      <c r="O201" s="677">
        <f t="shared" si="72"/>
        <v>473431.10085222614</v>
      </c>
      <c r="P201" s="680">
        <f t="shared" si="73"/>
        <v>1.5707942145551257</v>
      </c>
      <c r="Q201" s="689">
        <f t="shared" si="100"/>
        <v>18.963628650789417</v>
      </c>
      <c r="R201" s="690">
        <f t="shared" si="101"/>
        <v>1.5180393332630466</v>
      </c>
      <c r="S201" s="677">
        <f t="shared" si="76"/>
        <v>1.0036979066646892</v>
      </c>
      <c r="T201" s="680">
        <f t="shared" si="77"/>
        <v>8.5866723240554166E-2</v>
      </c>
      <c r="U201" s="681">
        <f t="shared" si="89"/>
        <v>0.98428760348338684</v>
      </c>
      <c r="V201" s="682">
        <f t="shared" si="90"/>
        <v>-0.21619377618736954</v>
      </c>
      <c r="W201" s="683">
        <f t="shared" si="78"/>
        <v>-19.593872325112741</v>
      </c>
      <c r="X201" s="684">
        <f t="shared" si="79"/>
        <v>-112.30426770698472</v>
      </c>
      <c r="Y201" s="687">
        <f t="shared" si="80"/>
        <v>67.695732293015283</v>
      </c>
      <c r="AA201" s="170">
        <f t="shared" si="81"/>
        <v>11416.5</v>
      </c>
      <c r="AB201" s="170">
        <f t="shared" si="82"/>
        <v>130336472.25</v>
      </c>
      <c r="AD201" s="686">
        <f t="shared" si="83"/>
        <v>17.126682892445693</v>
      </c>
      <c r="AE201" s="687">
        <f t="shared" si="84"/>
        <v>-7.9424328981269952</v>
      </c>
      <c r="AG201" s="686">
        <f t="shared" si="85"/>
        <v>4.5389246174610358</v>
      </c>
      <c r="AH201" s="687">
        <f t="shared" si="86"/>
        <v>-79.58785291548493</v>
      </c>
      <c r="AJ201" s="170">
        <f t="shared" si="87"/>
        <v>0</v>
      </c>
      <c r="AK201" s="170">
        <f t="shared" si="99"/>
        <v>0</v>
      </c>
      <c r="AM201" s="170" t="str">
        <f t="shared" si="91"/>
        <v>0.048037874823766+0.306215793567131i</v>
      </c>
      <c r="AN201" s="170" t="str">
        <f t="shared" si="92"/>
        <v>0.311215312290274i</v>
      </c>
      <c r="AO201" s="170" t="str">
        <f t="shared" si="93"/>
        <v>0.983935498911185-0.154355756052776i</v>
      </c>
      <c r="AP201" s="170" t="str">
        <f t="shared" si="94"/>
        <v>0.158660354196039-0.0510359655945218i</v>
      </c>
      <c r="AQ201" s="170" t="str">
        <f t="shared" si="95"/>
        <v>0.841339645803961+0.0510359655945218i</v>
      </c>
      <c r="AR201" s="170" t="str">
        <f t="shared" si="96"/>
        <v>0.986457810266679-0.0598388856584898i</v>
      </c>
    </row>
    <row r="202" spans="7:44">
      <c r="G202" s="688">
        <v>11482</v>
      </c>
      <c r="H202" s="676">
        <f t="shared" si="88"/>
        <v>11.481999999999999</v>
      </c>
      <c r="I202" s="677">
        <f t="shared" si="66"/>
        <v>94.441179950562727</v>
      </c>
      <c r="J202" s="678">
        <f t="shared" si="67"/>
        <v>1.5602075276303879</v>
      </c>
      <c r="K202" s="678">
        <f t="shared" si="68"/>
        <v>1.0001259455533649</v>
      </c>
      <c r="L202" s="679">
        <f t="shared" si="69"/>
        <v>1.5870244876290324E-2</v>
      </c>
      <c r="M202" s="678">
        <f t="shared" si="70"/>
        <v>1.0018784298117884</v>
      </c>
      <c r="N202" s="679">
        <f t="shared" si="71"/>
        <v>-6.1245311688319669E-2</v>
      </c>
      <c r="O202" s="677">
        <f t="shared" si="72"/>
        <v>476147.32185741013</v>
      </c>
      <c r="P202" s="680">
        <f t="shared" si="73"/>
        <v>1.5707942266045687</v>
      </c>
      <c r="Q202" s="689">
        <f t="shared" si="100"/>
        <v>19.072127185439349</v>
      </c>
      <c r="R202" s="690">
        <f t="shared" si="101"/>
        <v>1.518339736442375</v>
      </c>
      <c r="S202" s="677">
        <f t="shared" si="76"/>
        <v>1.0037403811728693</v>
      </c>
      <c r="T202" s="680">
        <f t="shared" si="77"/>
        <v>8.6356928556360568E-2</v>
      </c>
      <c r="U202" s="681">
        <f t="shared" si="89"/>
        <v>0.98411525020112434</v>
      </c>
      <c r="V202" s="682">
        <f t="shared" si="90"/>
        <v>-0.21741532600127342</v>
      </c>
      <c r="W202" s="683">
        <f t="shared" si="78"/>
        <v>-19.645386434382146</v>
      </c>
      <c r="X202" s="684">
        <f t="shared" si="79"/>
        <v>-112.40339547178532</v>
      </c>
      <c r="Y202" s="687">
        <f t="shared" si="80"/>
        <v>67.596604528214684</v>
      </c>
      <c r="AA202" s="170">
        <f t="shared" si="81"/>
        <v>11482</v>
      </c>
      <c r="AB202" s="170">
        <f t="shared" si="82"/>
        <v>131836324</v>
      </c>
      <c r="AD202" s="686">
        <f t="shared" si="83"/>
        <v>17.126177938539303</v>
      </c>
      <c r="AE202" s="687">
        <f t="shared" si="84"/>
        <v>-7.953308449884414</v>
      </c>
      <c r="AG202" s="686">
        <f t="shared" si="85"/>
        <v>4.4909576068287365</v>
      </c>
      <c r="AH202" s="687">
        <f t="shared" si="86"/>
        <v>-79.536125830764817</v>
      </c>
      <c r="AJ202" s="170">
        <f t="shared" si="87"/>
        <v>0</v>
      </c>
      <c r="AK202" s="170">
        <f t="shared" si="99"/>
        <v>0</v>
      </c>
      <c r="AM202" s="170" t="str">
        <f t="shared" si="91"/>
        <v>0.048586152191512+0.307915069781016i</v>
      </c>
      <c r="AN202" s="170" t="str">
        <f t="shared" si="92"/>
        <v>0.313000851024125i</v>
      </c>
      <c r="AO202" s="170" t="str">
        <f t="shared" si="93"/>
        <v>0.98375154180422-0.155226901244965i</v>
      </c>
      <c r="AP202" s="170" t="str">
        <f t="shared" si="94"/>
        <v>0.158568974634748-0.051319178296836i</v>
      </c>
      <c r="AQ202" s="170" t="str">
        <f t="shared" si="95"/>
        <v>0.841431025365252+0.051319178296836i</v>
      </c>
      <c r="AR202" s="170" t="str">
        <f t="shared" si="96"/>
        <v>0.986311231106415-0.0601554737102189i</v>
      </c>
    </row>
    <row r="203" spans="7:44">
      <c r="G203" s="688">
        <v>11548.75</v>
      </c>
      <c r="H203" s="676">
        <f t="shared" si="88"/>
        <v>11.54875</v>
      </c>
      <c r="I203" s="677">
        <f t="shared" si="66"/>
        <v>94.990147379138079</v>
      </c>
      <c r="J203" s="678">
        <f t="shared" si="67"/>
        <v>1.5602687247270564</v>
      </c>
      <c r="K203" s="678">
        <f t="shared" si="68"/>
        <v>1.0001274140719254</v>
      </c>
      <c r="L203" s="679">
        <f t="shared" si="69"/>
        <v>1.5962490079861186E-2</v>
      </c>
      <c r="M203" s="678">
        <f t="shared" si="70"/>
        <v>1.0019003128275534</v>
      </c>
      <c r="N203" s="679">
        <f t="shared" si="71"/>
        <v>-6.1600460637553534E-2</v>
      </c>
      <c r="O203" s="677">
        <f t="shared" si="72"/>
        <v>478915.37914131902</v>
      </c>
      <c r="P203" s="680">
        <f t="shared" si="73"/>
        <v>1.570794238743346</v>
      </c>
      <c r="Q203" s="689">
        <f t="shared" si="100"/>
        <v>19.182698053280134</v>
      </c>
      <c r="R203" s="690">
        <f t="shared" si="101"/>
        <v>1.5186423763852885</v>
      </c>
      <c r="S203" s="677">
        <f t="shared" si="76"/>
        <v>1.0037839143906047</v>
      </c>
      <c r="T203" s="680">
        <f t="shared" si="77"/>
        <v>8.685644613212784E-2</v>
      </c>
      <c r="U203" s="681">
        <f t="shared" si="89"/>
        <v>0.98393868205746404</v>
      </c>
      <c r="V203" s="682">
        <f t="shared" si="90"/>
        <v>-0.21865986376928817</v>
      </c>
      <c r="W203" s="683">
        <f t="shared" si="78"/>
        <v>-19.69759997873097</v>
      </c>
      <c r="X203" s="684">
        <f t="shared" si="79"/>
        <v>-112.50455279679875</v>
      </c>
      <c r="Y203" s="687">
        <f t="shared" si="80"/>
        <v>67.495447203201252</v>
      </c>
      <c r="AA203" s="170">
        <f t="shared" si="81"/>
        <v>11548.75</v>
      </c>
      <c r="AB203" s="170">
        <f t="shared" si="82"/>
        <v>133373626.5625</v>
      </c>
      <c r="AD203" s="686">
        <f t="shared" si="83"/>
        <v>17.12566361080269</v>
      </c>
      <c r="AE203" s="687">
        <f t="shared" si="84"/>
        <v>-7.9645894028410629</v>
      </c>
      <c r="AG203" s="686">
        <f t="shared" si="85"/>
        <v>4.442375482463663</v>
      </c>
      <c r="AH203" s="687">
        <f t="shared" si="86"/>
        <v>-79.483388679554892</v>
      </c>
      <c r="AJ203" s="170">
        <f t="shared" si="87"/>
        <v>0</v>
      </c>
      <c r="AK203" s="170">
        <f t="shared" si="99"/>
        <v>0</v>
      </c>
      <c r="AM203" s="170" t="str">
        <f t="shared" si="91"/>
        <v>0.049148013486175+0.309645764935859i</v>
      </c>
      <c r="AN203" s="170" t="str">
        <f t="shared" si="92"/>
        <v>0.314820464924653i</v>
      </c>
      <c r="AO203" s="170" t="str">
        <f t="shared" si="93"/>
        <v>0.983563012683967-0.156114417459925i</v>
      </c>
      <c r="AP203" s="170" t="str">
        <f t="shared" si="94"/>
        <v>0.158475331085637-0.0516076274893098i</v>
      </c>
      <c r="AQ203" s="170" t="str">
        <f t="shared" si="95"/>
        <v>0.841524668914363+0.0516076274893098i</v>
      </c>
      <c r="AR203" s="170" t="str">
        <f t="shared" si="96"/>
        <v>0.986161098550038-0.0604776502679068i</v>
      </c>
    </row>
    <row r="204" spans="7:44">
      <c r="G204" s="688">
        <v>11615.5</v>
      </c>
      <c r="H204" s="676">
        <f t="shared" si="88"/>
        <v>11.615500000000001</v>
      </c>
      <c r="I204" s="677">
        <f t="shared" si="66"/>
        <v>95.539115159371377</v>
      </c>
      <c r="J204" s="678">
        <f t="shared" si="67"/>
        <v>1.5603292185468829</v>
      </c>
      <c r="K204" s="678">
        <f t="shared" si="68"/>
        <v>1.0001288911007229</v>
      </c>
      <c r="L204" s="679">
        <f t="shared" si="69"/>
        <v>1.6054735011754452E-2</v>
      </c>
      <c r="M204" s="678">
        <f t="shared" si="70"/>
        <v>1.0019223222082529</v>
      </c>
      <c r="N204" s="679">
        <f t="shared" si="71"/>
        <v>-6.1955594028356577E-2</v>
      </c>
      <c r="O204" s="677">
        <f t="shared" si="72"/>
        <v>481683.43642522802</v>
      </c>
      <c r="P204" s="680">
        <f t="shared" si="73"/>
        <v>1.5707942507426091</v>
      </c>
      <c r="Q204" s="689">
        <f t="shared" si="100"/>
        <v>19.293270657943584</v>
      </c>
      <c r="R204" s="690">
        <f t="shared" si="101"/>
        <v>1.5189415474062609</v>
      </c>
      <c r="S204" s="677">
        <f t="shared" si="76"/>
        <v>1.0038276980485423</v>
      </c>
      <c r="T204" s="680">
        <f t="shared" si="77"/>
        <v>8.7355920257890934E-2</v>
      </c>
      <c r="U204" s="681">
        <f t="shared" si="89"/>
        <v>0.98376118096273857</v>
      </c>
      <c r="V204" s="682">
        <f t="shared" si="90"/>
        <v>-0.21990407275416707</v>
      </c>
      <c r="W204" s="683">
        <f t="shared" si="78"/>
        <v>-19.749530589384438</v>
      </c>
      <c r="X204" s="684">
        <f t="shared" si="79"/>
        <v>-112.60584637035626</v>
      </c>
      <c r="Y204" s="687">
        <f t="shared" si="80"/>
        <v>67.394153629643739</v>
      </c>
      <c r="AA204" s="170">
        <f t="shared" si="81"/>
        <v>11615.5</v>
      </c>
      <c r="AB204" s="170">
        <f t="shared" si="82"/>
        <v>134919840.25</v>
      </c>
      <c r="AD204" s="686">
        <f t="shared" si="83"/>
        <v>17.125149493887125</v>
      </c>
      <c r="AE204" s="687">
        <f t="shared" si="84"/>
        <v>-7.9760666128891797</v>
      </c>
      <c r="AG204" s="686">
        <f t="shared" si="85"/>
        <v>4.3940931149257532</v>
      </c>
      <c r="AH204" s="687">
        <f t="shared" si="86"/>
        <v>-79.430629195569708</v>
      </c>
      <c r="AJ204" s="170">
        <f t="shared" si="87"/>
        <v>0</v>
      </c>
      <c r="AK204" s="170">
        <f t="shared" si="99"/>
        <v>0</v>
      </c>
      <c r="AM204" s="170" t="str">
        <f t="shared" si="91"/>
        <v>0.049713023045902+0.311375434855483i</v>
      </c>
      <c r="AN204" s="170" t="str">
        <f t="shared" si="92"/>
        <v>0.31664007882518i</v>
      </c>
      <c r="AO204" s="170" t="str">
        <f t="shared" si="93"/>
        <v>0.983373412521781-0.157001675941816i</v>
      </c>
      <c r="AP204" s="170" t="str">
        <f t="shared" si="94"/>
        <v>0.158381162825683-0.0518959058092472i</v>
      </c>
      <c r="AQ204" s="170" t="str">
        <f t="shared" si="95"/>
        <v>0.841618837174317+0.0518959058092472i</v>
      </c>
      <c r="AR204" s="170" t="str">
        <f t="shared" si="96"/>
        <v>0.986010204517416-0.060799367172427i</v>
      </c>
    </row>
    <row r="205" spans="7:44">
      <c r="G205" s="688">
        <v>11682.25</v>
      </c>
      <c r="H205" s="676">
        <f t="shared" si="88"/>
        <v>11.68225</v>
      </c>
      <c r="I205" s="677">
        <f t="shared" ref="I205:I268" si="102">SQRT(1+(G205/pole1)^2)</f>
        <v>96.088083285235328</v>
      </c>
      <c r="J205" s="678">
        <f t="shared" ref="J205:J268" si="103">ATAN(G205/pole1)</f>
        <v>1.5603890211432541</v>
      </c>
      <c r="K205" s="678">
        <f t="shared" ref="K205:K268" si="104">SQRT(1+(G205/Zero1)^2)</f>
        <v>1.0001303766397192</v>
      </c>
      <c r="L205" s="679">
        <f t="shared" ref="L205:L268" si="105">ATAN(G205/Zero1)</f>
        <v>1.6146979670401473E-2</v>
      </c>
      <c r="M205" s="678">
        <f t="shared" ref="M205:M268" si="106">SQRT(1+(G205/z_RHP)^2)</f>
        <v>1.0019444579455599</v>
      </c>
      <c r="N205" s="679">
        <f t="shared" ref="N205:N268" si="107">-ATAN(G205/z_RHP)</f>
        <v>-6.2310711772178416E-2</v>
      </c>
      <c r="O205" s="677">
        <f t="shared" ref="O205:O268" si="108">SQRT(1+(G205/Pole2)^2)</f>
        <v>484451.49370913714</v>
      </c>
      <c r="P205" s="680">
        <f t="shared" ref="P205:P268" si="109">ATAN(G205/Pole2)</f>
        <v>1.5707942626047497</v>
      </c>
      <c r="Q205" s="689">
        <f t="shared" si="100"/>
        <v>19.403844969737897</v>
      </c>
      <c r="R205" s="690">
        <f t="shared" si="101"/>
        <v>1.5192373087550353</v>
      </c>
      <c r="S205" s="677">
        <f t="shared" ref="S205:S268" si="110">SQRT(1+(G205/pole4)^2)</f>
        <v>1.0038717321139135</v>
      </c>
      <c r="T205" s="680">
        <f t="shared" ref="T205:T268" si="111">ATAN(G205/pole4)</f>
        <v>8.7855350690139375E-2</v>
      </c>
      <c r="U205" s="681">
        <f t="shared" si="89"/>
        <v>0.98358274840746507</v>
      </c>
      <c r="V205" s="682">
        <f t="shared" si="90"/>
        <v>-0.2211479512944679</v>
      </c>
      <c r="W205" s="683">
        <f t="shared" ref="W205:W268" si="112">20*LOG10(((K205*Q205*M205*U205)/(I205*O205*S205))*Adc)</f>
        <v>-19.801181634303873</v>
      </c>
      <c r="X205" s="684">
        <f t="shared" ref="X205:X268" si="113">((L205+R205+N205+V205)-(J205+P205+T205))*radconv</f>
        <v>-112.70727337431333</v>
      </c>
      <c r="Y205" s="687">
        <f t="shared" ref="Y205:Y268" si="114">IF(X205&gt;0,X205,X205+180)</f>
        <v>67.292726625686669</v>
      </c>
      <c r="AA205" s="170">
        <f t="shared" ref="AA205:AA268" si="115">IF(W205&lt;0,G205,1000000000)</f>
        <v>11682.25</v>
      </c>
      <c r="AB205" s="170">
        <f t="shared" ref="AB205:AB268" si="116">G205^2</f>
        <v>136474965.0625</v>
      </c>
      <c r="AD205" s="686">
        <f t="shared" ref="AD205:AD268" si="117">20*LOG10((Q205/(O205*S205))*Aea)</f>
        <v>17.12463553466031</v>
      </c>
      <c r="AE205" s="687">
        <f t="shared" ref="AE205:AE268" si="118">(R205-(P205+T205))*radconv</f>
        <v>-7.9877366714534723</v>
      </c>
      <c r="AG205" s="686">
        <f t="shared" ref="AG205:AG268" si="119">20*LOG10((K205*M205/(I205*U205))*Acs*Am)</f>
        <v>4.3461071721808535</v>
      </c>
      <c r="AH205" s="687">
        <f t="shared" ref="AH205:AH268" si="120">(L205+N205-(J205+V205))*radconv</f>
        <v>-79.377848159627362</v>
      </c>
      <c r="AJ205" s="170">
        <f t="shared" ref="AJ205:AJ268" si="121">SUM((W206&lt;0)*(W205&gt;0))*G205</f>
        <v>0</v>
      </c>
      <c r="AK205" s="170">
        <f t="shared" si="99"/>
        <v>0</v>
      </c>
      <c r="AM205" s="170" t="str">
        <f t="shared" si="91"/>
        <v>0.050281178999949+0.313104073812963i</v>
      </c>
      <c r="AN205" s="170" t="str">
        <f t="shared" si="92"/>
        <v>0.318459692725708i</v>
      </c>
      <c r="AO205" s="170" t="str">
        <f t="shared" si="93"/>
        <v>0.9831827416936-0.157888675234189i</v>
      </c>
      <c r="AP205" s="170" t="str">
        <f t="shared" si="94"/>
        <v>0.158286470166675-0.0521840123021605i</v>
      </c>
      <c r="AQ205" s="170" t="str">
        <f t="shared" si="95"/>
        <v>0.841713529833325+0.0521840123021605i</v>
      </c>
      <c r="AR205" s="170" t="str">
        <f t="shared" si="96"/>
        <v>0.985858550780662-0.0611206223004583i</v>
      </c>
    </row>
    <row r="206" spans="7:44">
      <c r="G206" s="688">
        <v>11749</v>
      </c>
      <c r="H206" s="676">
        <f t="shared" ref="H206:H269" si="122">G206/1000</f>
        <v>11.749000000000001</v>
      </c>
      <c r="I206" s="677">
        <f t="shared" si="102"/>
        <v>96.637051750839632</v>
      </c>
      <c r="J206" s="678">
        <f t="shared" si="103"/>
        <v>1.5604481442956881</v>
      </c>
      <c r="K206" s="678">
        <f t="shared" si="104"/>
        <v>1.0001318706888769</v>
      </c>
      <c r="L206" s="679">
        <f t="shared" si="105"/>
        <v>1.6239224054233645E-2</v>
      </c>
      <c r="M206" s="678">
        <f t="shared" si="106"/>
        <v>1.0019667200310995</v>
      </c>
      <c r="N206" s="679">
        <f t="shared" si="107"/>
        <v>-6.2665813780492255E-2</v>
      </c>
      <c r="O206" s="677">
        <f t="shared" si="108"/>
        <v>487219.55099304632</v>
      </c>
      <c r="P206" s="680">
        <f t="shared" si="109"/>
        <v>1.5707942743321046</v>
      </c>
      <c r="Q206" s="689">
        <f t="shared" si="100"/>
        <v>19.514420959643793</v>
      </c>
      <c r="R206" s="690">
        <f t="shared" si="101"/>
        <v>1.5195297183408485</v>
      </c>
      <c r="S206" s="677">
        <f t="shared" si="110"/>
        <v>1.0039160165537682</v>
      </c>
      <c r="T206" s="680">
        <f t="shared" si="111"/>
        <v>8.8354737185492513E-2</v>
      </c>
      <c r="U206" s="681">
        <f t="shared" ref="U206:U269" si="123">IMABS(IMPRODUCT(AO206, AR206))</f>
        <v>0.98340338588857157</v>
      </c>
      <c r="V206" s="682">
        <f t="shared" ref="V206:V269" si="124">IMARGUMENT(IMPRODUCT(AO206, AR206))</f>
        <v>-0.22239149773262828</v>
      </c>
      <c r="W206" s="683">
        <f t="shared" si="112"/>
        <v>-19.852556423112368</v>
      </c>
      <c r="X206" s="684">
        <f t="shared" si="113"/>
        <v>-112.80883105186733</v>
      </c>
      <c r="Y206" s="687">
        <f t="shared" si="114"/>
        <v>67.19116894813267</v>
      </c>
      <c r="AA206" s="170">
        <f t="shared" si="115"/>
        <v>11749</v>
      </c>
      <c r="AB206" s="170">
        <f t="shared" si="116"/>
        <v>138039001</v>
      </c>
      <c r="AD206" s="686">
        <f t="shared" si="117"/>
        <v>17.124121681510061</v>
      </c>
      <c r="AE206" s="687">
        <f t="shared" si="118"/>
        <v>-7.9995962467682578</v>
      </c>
      <c r="AG206" s="686">
        <f t="shared" si="119"/>
        <v>4.2984143789339164</v>
      </c>
      <c r="AH206" s="687">
        <f t="shared" si="120"/>
        <v>-79.32504633663352</v>
      </c>
      <c r="AJ206" s="170">
        <f t="shared" si="121"/>
        <v>0</v>
      </c>
      <c r="AK206" s="170">
        <f t="shared" si="99"/>
        <v>0</v>
      </c>
      <c r="AM206" s="170" t="str">
        <f t="shared" ref="AM206:AM269" si="125">IMSUB(1,IMEXP(COMPLEX(0,-2*Pi*G206*Tsw)))</f>
        <v>0.050852479467156+0.314831676084786i</v>
      </c>
      <c r="AN206" s="170" t="str">
        <f t="shared" ref="AN206:AN269" si="126">COMPLEX(0, 2*Pi*G206*Tsw)</f>
        <v>0.320279306626236i</v>
      </c>
      <c r="AO206" s="170" t="str">
        <f t="shared" ref="AO206:AO269" si="127">IMDIV(AM206, AN206)</f>
        <v>0.982991000577482-0.158775413881174i</v>
      </c>
      <c r="AP206" s="170" t="str">
        <f t="shared" ref="AP206:AP269" si="128">IMDIV(IMEXP(COMPLEX(0,-2*Pi*G206*Tsw)),6)</f>
        <v>0.158191253422141-0.052471946014131i</v>
      </c>
      <c r="AQ206" s="170" t="str">
        <f t="shared" ref="AQ206:AQ269" si="129">IMSUB(1, AP206)</f>
        <v>0.841808746577859+0.052471946014131i</v>
      </c>
      <c r="AR206" s="170" t="str">
        <f t="shared" ref="AR206:AR269" si="130">IMDIV(0.833, AQ206)</f>
        <v>0.985706139118979-0.0614414135371125i</v>
      </c>
    </row>
    <row r="207" spans="7:44">
      <c r="G207" s="688">
        <v>11817.5</v>
      </c>
      <c r="H207" s="676">
        <f t="shared" si="122"/>
        <v>11.817500000000001</v>
      </c>
      <c r="I207" s="677">
        <f t="shared" si="102"/>
        <v>97.200412995307147</v>
      </c>
      <c r="J207" s="678">
        <f t="shared" si="103"/>
        <v>1.5605081231691043</v>
      </c>
      <c r="K207" s="678">
        <f t="shared" si="104"/>
        <v>1.0001334127555774</v>
      </c>
      <c r="L207" s="679">
        <f t="shared" si="105"/>
        <v>1.6333886542789618E-2</v>
      </c>
      <c r="M207" s="678">
        <f t="shared" si="106"/>
        <v>1.0019896971183948</v>
      </c>
      <c r="N207" s="679">
        <f t="shared" si="107"/>
        <v>-6.3030209126740344E-2</v>
      </c>
      <c r="O207" s="677">
        <f t="shared" si="108"/>
        <v>490060.17906717031</v>
      </c>
      <c r="P207" s="680">
        <f t="shared" si="109"/>
        <v>1.570794286229181</v>
      </c>
      <c r="Q207" s="689">
        <f t="shared" si="100"/>
        <v>19.627897660476918</v>
      </c>
      <c r="R207" s="690">
        <f t="shared" si="101"/>
        <v>1.5198263687273081</v>
      </c>
      <c r="S207" s="677">
        <f t="shared" si="110"/>
        <v>1.0039617222808688</v>
      </c>
      <c r="T207" s="680">
        <f t="shared" si="111"/>
        <v>8.8867170275726784E-2</v>
      </c>
      <c r="U207" s="681">
        <f t="shared" si="123"/>
        <v>0.98321835570333904</v>
      </c>
      <c r="V207" s="682">
        <f t="shared" si="124"/>
        <v>-0.22366729950112829</v>
      </c>
      <c r="W207" s="683">
        <f t="shared" si="112"/>
        <v>-19.904994312259973</v>
      </c>
      <c r="X207" s="684">
        <f t="shared" si="113"/>
        <v>-112.9131843193359</v>
      </c>
      <c r="Y207" s="687">
        <f t="shared" si="114"/>
        <v>67.086815680664103</v>
      </c>
      <c r="AA207" s="170">
        <f t="shared" si="115"/>
        <v>11817.5</v>
      </c>
      <c r="AB207" s="170">
        <f t="shared" si="116"/>
        <v>139653306.25</v>
      </c>
      <c r="AD207" s="686">
        <f t="shared" si="117"/>
        <v>17.123594414260825</v>
      </c>
      <c r="AE207" s="687">
        <f t="shared" si="118"/>
        <v>-8.0119603666528683</v>
      </c>
      <c r="AG207" s="686">
        <f t="shared" si="119"/>
        <v>4.2497726149748143</v>
      </c>
      <c r="AH207" s="687">
        <f t="shared" si="120"/>
        <v>-79.270839370389666</v>
      </c>
      <c r="AJ207" s="170">
        <f t="shared" si="121"/>
        <v>0</v>
      </c>
      <c r="AK207" s="170">
        <f t="shared" si="99"/>
        <v>0</v>
      </c>
      <c r="AM207" s="170" t="str">
        <f t="shared" si="125"/>
        <v>0.051442025119836+0.316603487490649i</v>
      </c>
      <c r="AN207" s="170" t="str">
        <f t="shared" si="126"/>
        <v>0.322146625760111i</v>
      </c>
      <c r="AO207" s="170" t="str">
        <f t="shared" si="127"/>
        <v>0.982793120193692-0.159685127846544i</v>
      </c>
      <c r="AP207" s="170" t="str">
        <f t="shared" si="128"/>
        <v>0.158092995813361-0.0527672479151082i</v>
      </c>
      <c r="AQ207" s="170" t="str">
        <f t="shared" si="129"/>
        <v>0.841907004186639+0.0527672479151082i</v>
      </c>
      <c r="AR207" s="170" t="str">
        <f t="shared" si="130"/>
        <v>0.985548945527875-0.0617701305281149i</v>
      </c>
    </row>
    <row r="208" spans="7:44">
      <c r="G208" s="688">
        <v>11886</v>
      </c>
      <c r="H208" s="676">
        <f t="shared" si="122"/>
        <v>11.885999999999999</v>
      </c>
      <c r="I208" s="677">
        <f t="shared" si="102"/>
        <v>97.763774585419796</v>
      </c>
      <c r="J208" s="678">
        <f t="shared" si="103"/>
        <v>1.5605674107888672</v>
      </c>
      <c r="K208" s="678">
        <f t="shared" si="104"/>
        <v>1.0001349637844326</v>
      </c>
      <c r="L208" s="679">
        <f t="shared" si="105"/>
        <v>1.6428548738584976E-2</v>
      </c>
      <c r="M208" s="678">
        <f t="shared" si="106"/>
        <v>1.0020128072477463</v>
      </c>
      <c r="N208" s="679">
        <f t="shared" si="107"/>
        <v>-6.3394587712755565E-2</v>
      </c>
      <c r="O208" s="677">
        <f t="shared" si="108"/>
        <v>492900.80714129441</v>
      </c>
      <c r="P208" s="680">
        <f t="shared" si="109"/>
        <v>1.5707942979891298</v>
      </c>
      <c r="Q208" s="689">
        <f t="shared" si="100"/>
        <v>19.74137606873602</v>
      </c>
      <c r="R208" s="690">
        <f t="shared" si="101"/>
        <v>1.5201196086968585</v>
      </c>
      <c r="S208" s="677">
        <f t="shared" si="110"/>
        <v>1.0040076916118983</v>
      </c>
      <c r="T208" s="680">
        <f t="shared" si="111"/>
        <v>8.9379556576142771E-2</v>
      </c>
      <c r="U208" s="681">
        <f t="shared" si="123"/>
        <v>0.98303234936790007</v>
      </c>
      <c r="V208" s="682">
        <f t="shared" si="124"/>
        <v>-0.22494274800123235</v>
      </c>
      <c r="W208" s="683">
        <f t="shared" si="112"/>
        <v>-19.957148149465297</v>
      </c>
      <c r="X208" s="684">
        <f t="shared" si="113"/>
        <v>-113.01766951036224</v>
      </c>
      <c r="Y208" s="687">
        <f t="shared" si="114"/>
        <v>66.982330489637761</v>
      </c>
      <c r="AA208" s="170">
        <f t="shared" si="115"/>
        <v>11886</v>
      </c>
      <c r="AB208" s="170">
        <f t="shared" si="116"/>
        <v>141276996</v>
      </c>
      <c r="AD208" s="686">
        <f t="shared" si="117"/>
        <v>17.123067153285408</v>
      </c>
      <c r="AE208" s="687">
        <f t="shared" si="118"/>
        <v>-8.0245172003170282</v>
      </c>
      <c r="AG208" s="686">
        <f t="shared" si="119"/>
        <v>4.2014327620549237</v>
      </c>
      <c r="AH208" s="687">
        <f t="shared" si="120"/>
        <v>-79.216612095500338</v>
      </c>
      <c r="AJ208" s="170">
        <f t="shared" si="121"/>
        <v>0</v>
      </c>
      <c r="AK208" s="170">
        <f t="shared" si="99"/>
        <v>0</v>
      </c>
      <c r="AM208" s="170" t="str">
        <f t="shared" si="125"/>
        <v>0.052034878280095+0.318374194938228i</v>
      </c>
      <c r="AN208" s="170" t="str">
        <f t="shared" si="126"/>
        <v>0.324013944893986i</v>
      </c>
      <c r="AO208" s="170" t="str">
        <f t="shared" si="127"/>
        <v>0.98259411347989-0.16059456421581i</v>
      </c>
      <c r="AP208" s="170" t="str">
        <f t="shared" si="128"/>
        <v>0.157994186953317-0.053062365823038i</v>
      </c>
      <c r="AQ208" s="170" t="str">
        <f t="shared" si="129"/>
        <v>0.842005813046683+0.053062365823038i</v>
      </c>
      <c r="AR208" s="170" t="str">
        <f t="shared" si="130"/>
        <v>0.985390957568765-0.0620983544995177i</v>
      </c>
    </row>
    <row r="209" spans="7:44">
      <c r="G209" s="688">
        <v>11954.5</v>
      </c>
      <c r="H209" s="676">
        <f t="shared" si="122"/>
        <v>11.954499999999999</v>
      </c>
      <c r="I209" s="677">
        <f t="shared" si="102"/>
        <v>98.327136515236475</v>
      </c>
      <c r="J209" s="678">
        <f t="shared" si="103"/>
        <v>1.5606260190360981</v>
      </c>
      <c r="K209" s="678">
        <f t="shared" si="104"/>
        <v>1.0001365237754007</v>
      </c>
      <c r="L209" s="679">
        <f t="shared" si="105"/>
        <v>1.6523210639924568E-2</v>
      </c>
      <c r="M209" s="678">
        <f t="shared" si="106"/>
        <v>1.0020360504099488</v>
      </c>
      <c r="N209" s="679">
        <f t="shared" si="107"/>
        <v>-6.3758949442942497E-2</v>
      </c>
      <c r="O209" s="677">
        <f t="shared" si="108"/>
        <v>495741.43521541863</v>
      </c>
      <c r="P209" s="680">
        <f t="shared" si="109"/>
        <v>1.5707943096143082</v>
      </c>
      <c r="Q209" s="689">
        <f t="shared" si="100"/>
        <v>19.854856155145246</v>
      </c>
      <c r="R209" s="690">
        <f t="shared" si="101"/>
        <v>1.5204094966751669</v>
      </c>
      <c r="S209" s="677">
        <f t="shared" si="110"/>
        <v>1.0040539245106499</v>
      </c>
      <c r="T209" s="680">
        <f t="shared" si="111"/>
        <v>8.9891895824142157E-2</v>
      </c>
      <c r="U209" s="681">
        <f t="shared" si="123"/>
        <v>0.98284536852082094</v>
      </c>
      <c r="V209" s="682">
        <f t="shared" si="124"/>
        <v>-0.22621784145440094</v>
      </c>
      <c r="W209" s="683">
        <f t="shared" si="112"/>
        <v>-20.009021328629775</v>
      </c>
      <c r="X209" s="684">
        <f t="shared" si="113"/>
        <v>-113.12228383594672</v>
      </c>
      <c r="Y209" s="687">
        <f t="shared" si="114"/>
        <v>66.877716164053282</v>
      </c>
      <c r="AA209" s="170">
        <f t="shared" si="115"/>
        <v>11954.5</v>
      </c>
      <c r="AB209" s="170">
        <f t="shared" si="116"/>
        <v>142910070.25</v>
      </c>
      <c r="AD209" s="686">
        <f t="shared" si="117"/>
        <v>17.122539847467408</v>
      </c>
      <c r="AE209" s="687">
        <f t="shared" si="118"/>
        <v>-8.0372633853058648</v>
      </c>
      <c r="AG209" s="686">
        <f t="shared" si="119"/>
        <v>4.1533914584531049</v>
      </c>
      <c r="AH209" s="687">
        <f t="shared" si="120"/>
        <v>-79.162365289226372</v>
      </c>
      <c r="AJ209" s="170">
        <f t="shared" si="121"/>
        <v>0</v>
      </c>
      <c r="AK209" s="170">
        <f t="shared" si="99"/>
        <v>0</v>
      </c>
      <c r="AM209" s="170" t="str">
        <f t="shared" si="125"/>
        <v>0.052631036880725+0.320143792253279i</v>
      </c>
      <c r="AN209" s="170" t="str">
        <f t="shared" si="126"/>
        <v>0.325881264027861i</v>
      </c>
      <c r="AO209" s="170" t="str">
        <f t="shared" si="127"/>
        <v>0.982393980851592-0.161503721417459i</v>
      </c>
      <c r="AP209" s="170" t="str">
        <f t="shared" si="128"/>
        <v>0.157894827186546-0.0533572987088798i</v>
      </c>
      <c r="AQ209" s="170" t="str">
        <f t="shared" si="129"/>
        <v>0.842105172813454+0.0533572987088798i</v>
      </c>
      <c r="AR209" s="170" t="str">
        <f t="shared" si="130"/>
        <v>0.985232177187452-0.062426083193573i</v>
      </c>
    </row>
    <row r="210" spans="7:44">
      <c r="G210" s="688">
        <v>12023</v>
      </c>
      <c r="H210" s="676">
        <f t="shared" si="122"/>
        <v>12.023</v>
      </c>
      <c r="I210" s="677">
        <f t="shared" si="102"/>
        <v>98.890498778951482</v>
      </c>
      <c r="J210" s="678">
        <f t="shared" si="103"/>
        <v>1.5606839595211983</v>
      </c>
      <c r="K210" s="678">
        <f t="shared" si="104"/>
        <v>1.0001380927284398</v>
      </c>
      <c r="L210" s="679">
        <f t="shared" si="105"/>
        <v>1.6617872245113265E-2</v>
      </c>
      <c r="M210" s="678">
        <f t="shared" si="106"/>
        <v>1.0020594265957452</v>
      </c>
      <c r="N210" s="679">
        <f t="shared" si="107"/>
        <v>-6.412329422173256E-2</v>
      </c>
      <c r="O210" s="677">
        <f t="shared" si="108"/>
        <v>498582.06328954292</v>
      </c>
      <c r="P210" s="680">
        <f t="shared" si="109"/>
        <v>1.5707943211070197</v>
      </c>
      <c r="Q210" s="689">
        <f t="shared" si="100"/>
        <v>19.9683378910938</v>
      </c>
      <c r="R210" s="690">
        <f t="shared" si="101"/>
        <v>1.5206960897620321</v>
      </c>
      <c r="S210" s="677">
        <f t="shared" si="110"/>
        <v>1.0041004209407165</v>
      </c>
      <c r="T210" s="680">
        <f t="shared" si="111"/>
        <v>9.0404187757273671E-2</v>
      </c>
      <c r="U210" s="681">
        <f t="shared" si="123"/>
        <v>0.98265741480760538</v>
      </c>
      <c r="V210" s="682">
        <f t="shared" si="124"/>
        <v>-0.22749257808647141</v>
      </c>
      <c r="W210" s="683">
        <f t="shared" si="112"/>
        <v>-20.06061718470815</v>
      </c>
      <c r="X210" s="684">
        <f t="shared" si="113"/>
        <v>-113.22702456780289</v>
      </c>
      <c r="Y210" s="687">
        <f t="shared" si="114"/>
        <v>66.772975432197114</v>
      </c>
      <c r="AA210" s="170">
        <f t="shared" si="115"/>
        <v>12023</v>
      </c>
      <c r="AB210" s="170">
        <f t="shared" si="116"/>
        <v>144552529</v>
      </c>
      <c r="AD210" s="686">
        <f t="shared" si="117"/>
        <v>17.122012447159868</v>
      </c>
      <c r="AE210" s="687">
        <f t="shared" si="118"/>
        <v>-8.0501956351365358</v>
      </c>
      <c r="AG210" s="686">
        <f t="shared" si="119"/>
        <v>4.1056453998396325</v>
      </c>
      <c r="AH210" s="687">
        <f t="shared" si="120"/>
        <v>-79.108099713068242</v>
      </c>
      <c r="AJ210" s="170">
        <f t="shared" si="121"/>
        <v>0</v>
      </c>
      <c r="AK210" s="170">
        <f t="shared" si="99"/>
        <v>0</v>
      </c>
      <c r="AM210" s="170" t="str">
        <f t="shared" si="125"/>
        <v>0.053230498842995+0.321912273265428i</v>
      </c>
      <c r="AN210" s="170" t="str">
        <f t="shared" si="126"/>
        <v>0.327748583161736i</v>
      </c>
      <c r="AO210" s="170" t="str">
        <f t="shared" si="127"/>
        <v>0.982192722726652-0.162412597880635i</v>
      </c>
      <c r="AP210" s="170" t="str">
        <f t="shared" si="128"/>
        <v>0.157794916859501-0.053652045544238i</v>
      </c>
      <c r="AQ210" s="170" t="str">
        <f t="shared" si="129"/>
        <v>0.842205083140499+0.053652045544238i</v>
      </c>
      <c r="AR210" s="170" t="str">
        <f t="shared" si="130"/>
        <v>0.985072606337376-0.0627533143620048i</v>
      </c>
    </row>
    <row r="211" spans="7:44">
      <c r="G211" s="688">
        <v>12093</v>
      </c>
      <c r="H211" s="676">
        <f t="shared" si="122"/>
        <v>12.093</v>
      </c>
      <c r="I211" s="677">
        <f t="shared" si="102"/>
        <v>99.466197781643757</v>
      </c>
      <c r="J211" s="678">
        <f t="shared" si="103"/>
        <v>1.5607424907269163</v>
      </c>
      <c r="K211" s="678">
        <f t="shared" si="104"/>
        <v>1.000139705296665</v>
      </c>
      <c r="L211" s="679">
        <f t="shared" si="105"/>
        <v>1.6714606424453972E-2</v>
      </c>
      <c r="M211" s="678">
        <f t="shared" si="106"/>
        <v>1.002083452084009</v>
      </c>
      <c r="N211" s="679">
        <f t="shared" si="107"/>
        <v>-6.4495599741660845E-2</v>
      </c>
      <c r="O211" s="677">
        <f t="shared" si="108"/>
        <v>501484.89489813708</v>
      </c>
      <c r="P211" s="680">
        <f t="shared" si="109"/>
        <v>1.5707943327168892</v>
      </c>
      <c r="Q211" s="689">
        <f t="shared" si="100"/>
        <v>20.084306303579247</v>
      </c>
      <c r="R211" s="690">
        <f t="shared" si="101"/>
        <v>1.5209856127737287</v>
      </c>
      <c r="S211" s="677">
        <f t="shared" si="110"/>
        <v>1.004148207753325</v>
      </c>
      <c r="T211" s="680">
        <f t="shared" si="111"/>
        <v>9.0927648608624373E-2</v>
      </c>
      <c r="U211" s="681">
        <f t="shared" si="123"/>
        <v>0.98246434198439314</v>
      </c>
      <c r="V211" s="682">
        <f t="shared" si="124"/>
        <v>-0.22879485819068118</v>
      </c>
      <c r="W211" s="683">
        <f t="shared" si="112"/>
        <v>-20.113059788512654</v>
      </c>
      <c r="X211" s="684">
        <f t="shared" si="113"/>
        <v>-113.3341867035454</v>
      </c>
      <c r="Y211" s="687">
        <f t="shared" si="114"/>
        <v>66.665813296454601</v>
      </c>
      <c r="AA211" s="170">
        <f t="shared" si="115"/>
        <v>12093</v>
      </c>
      <c r="AB211" s="170">
        <f t="shared" si="116"/>
        <v>146240649</v>
      </c>
      <c r="AD211" s="686">
        <f t="shared" si="117"/>
        <v>17.121473350146093</v>
      </c>
      <c r="AE211" s="687">
        <f t="shared" si="118"/>
        <v>-8.0635999512289622</v>
      </c>
      <c r="AG211" s="686">
        <f t="shared" si="119"/>
        <v>4.0571554408031449</v>
      </c>
      <c r="AH211" s="687">
        <f t="shared" si="120"/>
        <v>-79.052627225117661</v>
      </c>
      <c r="AJ211" s="170">
        <f t="shared" si="121"/>
        <v>0</v>
      </c>
      <c r="AK211" s="170">
        <f t="shared" si="99"/>
        <v>0</v>
      </c>
      <c r="AM211" s="170" t="str">
        <f t="shared" si="125"/>
        <v>0.053846498192532+0.323718320484746i</v>
      </c>
      <c r="AN211" s="170" t="str">
        <f t="shared" si="126"/>
        <v>0.329656792495623i</v>
      </c>
      <c r="AO211" s="170" t="str">
        <f t="shared" si="127"/>
        <v>0.981985895191418-0.163341085086991i</v>
      </c>
      <c r="AP211" s="170" t="str">
        <f t="shared" si="128"/>
        <v>0.157692250301245-0.0539530534141243i</v>
      </c>
      <c r="AQ211" s="170" t="str">
        <f t="shared" si="129"/>
        <v>0.842307749698755+0.0539530534141243i</v>
      </c>
      <c r="AR211" s="170" t="str">
        <f t="shared" si="130"/>
        <v>0.98490872665327-0.0630871948597953i</v>
      </c>
    </row>
    <row r="212" spans="7:44">
      <c r="G212" s="688">
        <v>12163</v>
      </c>
      <c r="H212" s="676">
        <f t="shared" si="122"/>
        <v>12.163</v>
      </c>
      <c r="I212" s="677">
        <f t="shared" si="102"/>
        <v>100.04189712117559</v>
      </c>
      <c r="J212" s="678">
        <f t="shared" si="103"/>
        <v>1.5608003482875392</v>
      </c>
      <c r="K212" s="678">
        <f t="shared" si="104"/>
        <v>1.0001413272236688</v>
      </c>
      <c r="L212" s="679">
        <f t="shared" si="105"/>
        <v>1.6811340290952641E-2</v>
      </c>
      <c r="M212" s="678">
        <f t="shared" si="106"/>
        <v>1.0021076164657916</v>
      </c>
      <c r="N212" s="679">
        <f t="shared" si="107"/>
        <v>-6.4867887357967627E-2</v>
      </c>
      <c r="O212" s="677">
        <f t="shared" si="108"/>
        <v>504387.7265067313</v>
      </c>
      <c r="P212" s="680">
        <f t="shared" si="109"/>
        <v>1.5707943441931254</v>
      </c>
      <c r="Q212" s="689">
        <f t="shared" si="100"/>
        <v>20.20027638027279</v>
      </c>
      <c r="R212" s="690">
        <f t="shared" si="101"/>
        <v>1.5212718114976533</v>
      </c>
      <c r="S212" s="677">
        <f t="shared" si="110"/>
        <v>1.004196269687621</v>
      </c>
      <c r="T212" s="680">
        <f t="shared" si="111"/>
        <v>9.1451059496563791E-2</v>
      </c>
      <c r="U212" s="681">
        <f t="shared" si="123"/>
        <v>0.98227025671762924</v>
      </c>
      <c r="V212" s="682">
        <f t="shared" si="124"/>
        <v>-0.23009676194350454</v>
      </c>
      <c r="W212" s="683">
        <f t="shared" si="112"/>
        <v>-20.165219649679745</v>
      </c>
      <c r="X212" s="684">
        <f t="shared" si="113"/>
        <v>-113.44147526835377</v>
      </c>
      <c r="Y212" s="687">
        <f t="shared" si="114"/>
        <v>66.55852473164623</v>
      </c>
      <c r="AA212" s="170">
        <f t="shared" si="115"/>
        <v>12163</v>
      </c>
      <c r="AB212" s="170">
        <f t="shared" si="116"/>
        <v>147938569</v>
      </c>
      <c r="AD212" s="686">
        <f t="shared" si="117"/>
        <v>17.120934054116983</v>
      </c>
      <c r="AE212" s="687">
        <f t="shared" si="118"/>
        <v>-8.0771918646316081</v>
      </c>
      <c r="AG212" s="686">
        <f t="shared" si="119"/>
        <v>4.0089669997069182</v>
      </c>
      <c r="AH212" s="687">
        <f t="shared" si="120"/>
        <v>-78.997136695614842</v>
      </c>
      <c r="AJ212" s="170">
        <f t="shared" si="121"/>
        <v>0</v>
      </c>
      <c r="AK212" s="170">
        <f t="shared" si="99"/>
        <v>0</v>
      </c>
      <c r="AM212" s="170" t="str">
        <f t="shared" si="125"/>
        <v>0.05446594273463+0.325523188960923i</v>
      </c>
      <c r="AN212" s="170" t="str">
        <f t="shared" si="126"/>
        <v>0.33156500182951i</v>
      </c>
      <c r="AO212" s="170" t="str">
        <f t="shared" si="127"/>
        <v>0.981777893217772-0.164269275810468i</v>
      </c>
      <c r="AP212" s="170" t="str">
        <f t="shared" si="128"/>
        <v>0.157589009544228-0.0542538648268205i</v>
      </c>
      <c r="AQ212" s="170" t="str">
        <f t="shared" si="129"/>
        <v>0.842410990455772+0.0542538648268205i</v>
      </c>
      <c r="AR212" s="170" t="str">
        <f t="shared" si="130"/>
        <v>0.984744025651006-0.0634205510872827i</v>
      </c>
    </row>
    <row r="213" spans="7:44">
      <c r="G213" s="688">
        <v>12233</v>
      </c>
      <c r="H213" s="676">
        <f t="shared" si="122"/>
        <v>12.233000000000001</v>
      </c>
      <c r="I213" s="677">
        <f t="shared" si="102"/>
        <v>100.61759679176518</v>
      </c>
      <c r="J213" s="678">
        <f t="shared" si="103"/>
        <v>1.5608575437657808</v>
      </c>
      <c r="K213" s="678">
        <f t="shared" si="104"/>
        <v>1.0001429585094055</v>
      </c>
      <c r="L213" s="679">
        <f t="shared" si="105"/>
        <v>1.690807384280045E-2</v>
      </c>
      <c r="M213" s="678">
        <f t="shared" si="106"/>
        <v>1.0021319197310459</v>
      </c>
      <c r="N213" s="679">
        <f t="shared" si="107"/>
        <v>-6.5240156968755139E-2</v>
      </c>
      <c r="O213" s="677">
        <f t="shared" si="108"/>
        <v>507290.55811532564</v>
      </c>
      <c r="P213" s="680">
        <f t="shared" si="109"/>
        <v>1.5707943555380222</v>
      </c>
      <c r="Q213" s="689">
        <f t="shared" si="100"/>
        <v>20.316248092675327</v>
      </c>
      <c r="R213" s="690">
        <f t="shared" si="101"/>
        <v>1.521554742814843</v>
      </c>
      <c r="S213" s="677">
        <f t="shared" si="110"/>
        <v>1.0042446067041035</v>
      </c>
      <c r="T213" s="680">
        <f t="shared" si="111"/>
        <v>9.1974420141499966E-2</v>
      </c>
      <c r="U213" s="681">
        <f t="shared" si="123"/>
        <v>0.98207516078552437</v>
      </c>
      <c r="V213" s="682">
        <f t="shared" si="124"/>
        <v>-0.23139828746591443</v>
      </c>
      <c r="W213" s="683">
        <f t="shared" si="112"/>
        <v>-20.217100144976897</v>
      </c>
      <c r="X213" s="684">
        <f t="shared" si="113"/>
        <v>-113.54888753639625</v>
      </c>
      <c r="Y213" s="687">
        <f t="shared" si="114"/>
        <v>66.451112463603749</v>
      </c>
      <c r="AA213" s="170">
        <f t="shared" si="115"/>
        <v>12233</v>
      </c>
      <c r="AB213" s="170">
        <f t="shared" si="116"/>
        <v>149646289</v>
      </c>
      <c r="AD213" s="686">
        <f t="shared" si="117"/>
        <v>17.120394510532872</v>
      </c>
      <c r="AE213" s="687">
        <f t="shared" si="118"/>
        <v>-8.0909681004130967</v>
      </c>
      <c r="AG213" s="686">
        <f t="shared" si="119"/>
        <v>3.9610767277482068</v>
      </c>
      <c r="AH213" s="687">
        <f t="shared" si="120"/>
        <v>-78.941628888980162</v>
      </c>
      <c r="AJ213" s="170">
        <f t="shared" si="121"/>
        <v>0</v>
      </c>
      <c r="AK213" s="170">
        <f t="shared" si="99"/>
        <v>0</v>
      </c>
      <c r="AM213" s="170" t="str">
        <f t="shared" si="125"/>
        <v>0.055088830213732+0.327326872121961i</v>
      </c>
      <c r="AN213" s="170" t="str">
        <f t="shared" si="126"/>
        <v>0.333473211163397i</v>
      </c>
      <c r="AO213" s="170" t="str">
        <f t="shared" si="127"/>
        <v>0.981568717259197-0.16519716837686i</v>
      </c>
      <c r="AP213" s="170" t="str">
        <f t="shared" si="128"/>
        <v>0.157485194964378-0.0545544786869935i</v>
      </c>
      <c r="AQ213" s="170" t="str">
        <f t="shared" si="129"/>
        <v>0.842514805035622+0.0545544786869935i</v>
      </c>
      <c r="AR213" s="170" t="str">
        <f t="shared" si="130"/>
        <v>0.984578505439569-0.0637533806760866i</v>
      </c>
    </row>
    <row r="214" spans="7:44">
      <c r="G214" s="688">
        <v>12303</v>
      </c>
      <c r="H214" s="676">
        <f t="shared" si="122"/>
        <v>12.303000000000001</v>
      </c>
      <c r="I214" s="677">
        <f t="shared" si="102"/>
        <v>101.19329678776222</v>
      </c>
      <c r="J214" s="678">
        <f t="shared" si="103"/>
        <v>1.5609140884612458</v>
      </c>
      <c r="K214" s="678">
        <f t="shared" si="104"/>
        <v>1.0001445991538296</v>
      </c>
      <c r="L214" s="679">
        <f t="shared" si="105"/>
        <v>1.7004807078188588E-2</v>
      </c>
      <c r="M214" s="678">
        <f t="shared" si="106"/>
        <v>1.0021563618696672</v>
      </c>
      <c r="N214" s="679">
        <f t="shared" si="107"/>
        <v>-6.5612408472155354E-2</v>
      </c>
      <c r="O214" s="677">
        <f t="shared" si="108"/>
        <v>510193.38972392009</v>
      </c>
      <c r="P214" s="680">
        <f t="shared" si="109"/>
        <v>1.5707943667538218</v>
      </c>
      <c r="Q214" s="689">
        <f t="shared" si="100"/>
        <v>20.432221412934378</v>
      </c>
      <c r="R214" s="690">
        <f t="shared" si="101"/>
        <v>1.5218344623170272</v>
      </c>
      <c r="S214" s="677">
        <f t="shared" si="110"/>
        <v>1.0042932187630533</v>
      </c>
      <c r="T214" s="680">
        <f t="shared" si="111"/>
        <v>9.2497730264004721E-2</v>
      </c>
      <c r="U214" s="681">
        <f t="shared" si="123"/>
        <v>0.98187905597368585</v>
      </c>
      <c r="V214" s="682">
        <f t="shared" si="124"/>
        <v>-0.23269943288371417</v>
      </c>
      <c r="W214" s="683">
        <f t="shared" si="112"/>
        <v>-20.268704592607225</v>
      </c>
      <c r="X214" s="684">
        <f t="shared" si="113"/>
        <v>-113.65642084092305</v>
      </c>
      <c r="Y214" s="687">
        <f t="shared" si="114"/>
        <v>66.343579159076953</v>
      </c>
      <c r="AA214" s="170">
        <f t="shared" si="115"/>
        <v>12303</v>
      </c>
      <c r="AB214" s="170">
        <f t="shared" si="116"/>
        <v>151363809</v>
      </c>
      <c r="AD214" s="686">
        <f t="shared" si="117"/>
        <v>17.119854672250696</v>
      </c>
      <c r="AE214" s="687">
        <f t="shared" si="118"/>
        <v>-8.1049254575203609</v>
      </c>
      <c r="AG214" s="686">
        <f t="shared" si="119"/>
        <v>3.9134813331999689</v>
      </c>
      <c r="AH214" s="687">
        <f t="shared" si="120"/>
        <v>-78.886104554283847</v>
      </c>
      <c r="AJ214" s="170">
        <f t="shared" si="121"/>
        <v>0</v>
      </c>
      <c r="AK214" s="170">
        <f t="shared" si="99"/>
        <v>0</v>
      </c>
      <c r="AM214" s="170" t="str">
        <f t="shared" si="125"/>
        <v>0.05571515836174+0.329129363400177i</v>
      </c>
      <c r="AN214" s="170" t="str">
        <f t="shared" si="126"/>
        <v>0.335381420497283i</v>
      </c>
      <c r="AO214" s="170" t="str">
        <f t="shared" si="127"/>
        <v>0.981358367771727-0.166124761112673i</v>
      </c>
      <c r="AP214" s="170" t="str">
        <f t="shared" si="128"/>
        <v>0.15738080693971-0.0548548939000295i</v>
      </c>
      <c r="AQ214" s="170" t="str">
        <f t="shared" si="129"/>
        <v>0.84261919306029+0.0548548939000295i</v>
      </c>
      <c r="AR214" s="170" t="str">
        <f t="shared" si="130"/>
        <v>0.984412168136036-0.0640856812682838i</v>
      </c>
    </row>
    <row r="215" spans="7:44">
      <c r="G215" s="688">
        <v>12374.5</v>
      </c>
      <c r="H215" s="676">
        <f t="shared" si="122"/>
        <v>12.374499999999999</v>
      </c>
      <c r="I215" s="677">
        <f t="shared" si="102"/>
        <v>101.78133354244538</v>
      </c>
      <c r="J215" s="678">
        <f t="shared" si="103"/>
        <v>1.5609711844600518</v>
      </c>
      <c r="K215" s="678">
        <f t="shared" si="104"/>
        <v>1.0001462846165228</v>
      </c>
      <c r="L215" s="679">
        <f t="shared" si="105"/>
        <v>1.7103612840035861E-2</v>
      </c>
      <c r="M215" s="678">
        <f t="shared" si="106"/>
        <v>1.0021814711268753</v>
      </c>
      <c r="N215" s="679">
        <f t="shared" si="107"/>
        <v>-6.5992617994032263E-2</v>
      </c>
      <c r="O215" s="677">
        <f t="shared" si="108"/>
        <v>513158.42486698437</v>
      </c>
      <c r="P215" s="680">
        <f t="shared" si="109"/>
        <v>1.5707943780789611</v>
      </c>
      <c r="Q215" s="689">
        <f t="shared" ref="Q215:Q278" si="131">SQRT(1+(G215/Zero2)^2)</f>
        <v>20.550681507374474</v>
      </c>
      <c r="R215" s="690">
        <f t="shared" ref="R215:R278" si="132">ATAN(G215/Zero2)</f>
        <v>1.5221169165108936</v>
      </c>
      <c r="S215" s="677">
        <f t="shared" si="110"/>
        <v>1.0043431564137195</v>
      </c>
      <c r="T215" s="680">
        <f t="shared" si="111"/>
        <v>9.30322017265202E-2</v>
      </c>
      <c r="U215" s="681">
        <f t="shared" si="123"/>
        <v>0.98167770924049902</v>
      </c>
      <c r="V215" s="682">
        <f t="shared" si="124"/>
        <v>-0.23402806563590103</v>
      </c>
      <c r="W215" s="683">
        <f t="shared" si="112"/>
        <v>-20.321133256105451</v>
      </c>
      <c r="X215" s="684">
        <f t="shared" si="113"/>
        <v>-113.76638067256002</v>
      </c>
      <c r="Y215" s="687">
        <f t="shared" si="114"/>
        <v>66.233619327439982</v>
      </c>
      <c r="AA215" s="170">
        <f t="shared" si="115"/>
        <v>12374.5</v>
      </c>
      <c r="AB215" s="170">
        <f t="shared" si="116"/>
        <v>153128250.25</v>
      </c>
      <c r="AD215" s="686">
        <f t="shared" si="117"/>
        <v>17.119302914160876</v>
      </c>
      <c r="AE215" s="687">
        <f t="shared" si="118"/>
        <v>-8.1193656322775514</v>
      </c>
      <c r="AG215" s="686">
        <f t="shared" si="119"/>
        <v>3.865167096394905</v>
      </c>
      <c r="AH215" s="687">
        <f t="shared" si="120"/>
        <v>-78.829374112543348</v>
      </c>
      <c r="AJ215" s="170">
        <f t="shared" si="121"/>
        <v>0</v>
      </c>
      <c r="AK215" s="170">
        <f t="shared" ref="AK215:AK278" si="133">IF(AJ215&gt;0,Y215,0)</f>
        <v>0</v>
      </c>
      <c r="AM215" s="170" t="str">
        <f t="shared" si="125"/>
        <v>0.056358457507649+0.330969242200322i</v>
      </c>
      <c r="AN215" s="170" t="str">
        <f t="shared" si="126"/>
        <v>0.337330520031182i</v>
      </c>
      <c r="AO215" s="170" t="str">
        <f t="shared" si="127"/>
        <v>0.981142299753156-0.167071919559604i</v>
      </c>
      <c r="AP215" s="170" t="str">
        <f t="shared" si="128"/>
        <v>0.157273590415392-0.0551615403667203i</v>
      </c>
      <c r="AQ215" s="170" t="str">
        <f t="shared" si="129"/>
        <v>0.842726409584608+0.0551615403667203i</v>
      </c>
      <c r="AR215" s="170" t="str">
        <f t="shared" si="130"/>
        <v>0.984241425127965-0.0644245540252572i</v>
      </c>
    </row>
    <row r="216" spans="7:44">
      <c r="G216" s="688">
        <v>12446</v>
      </c>
      <c r="H216" s="676">
        <f t="shared" si="122"/>
        <v>12.446</v>
      </c>
      <c r="I216" s="677">
        <f t="shared" si="102"/>
        <v>102.369370625119</v>
      </c>
      <c r="J216" s="678">
        <f t="shared" si="103"/>
        <v>1.5610276245096213</v>
      </c>
      <c r="K216" s="678">
        <f t="shared" si="104"/>
        <v>1.0001479798431896</v>
      </c>
      <c r="L216" s="679">
        <f t="shared" si="105"/>
        <v>1.7202418267900969E-2</v>
      </c>
      <c r="M216" s="678">
        <f t="shared" si="106"/>
        <v>1.0022067252514442</v>
      </c>
      <c r="N216" s="679">
        <f t="shared" si="107"/>
        <v>-6.6372808409433687E-2</v>
      </c>
      <c r="O216" s="677">
        <f t="shared" si="108"/>
        <v>516123.46001004876</v>
      </c>
      <c r="P216" s="680">
        <f t="shared" si="109"/>
        <v>1.5707943892739786</v>
      </c>
      <c r="Q216" s="689">
        <f t="shared" si="131"/>
        <v>20.669143222562255</v>
      </c>
      <c r="R216" s="690">
        <f t="shared" si="132"/>
        <v>1.5223961330494891</v>
      </c>
      <c r="S216" s="677">
        <f t="shared" si="110"/>
        <v>1.0043933809362184</v>
      </c>
      <c r="T216" s="680">
        <f t="shared" si="111"/>
        <v>9.3566619889373134E-2</v>
      </c>
      <c r="U216" s="681">
        <f t="shared" si="123"/>
        <v>0.98147531371585361</v>
      </c>
      <c r="V216" s="682">
        <f t="shared" si="124"/>
        <v>-0.23535629788160228</v>
      </c>
      <c r="W216" s="683">
        <f t="shared" si="112"/>
        <v>-20.373280731518577</v>
      </c>
      <c r="X216" s="684">
        <f t="shared" si="113"/>
        <v>-113.87646134083977</v>
      </c>
      <c r="Y216" s="687">
        <f t="shared" si="114"/>
        <v>66.123538659160232</v>
      </c>
      <c r="AA216" s="170">
        <f t="shared" si="115"/>
        <v>12446</v>
      </c>
      <c r="AB216" s="170">
        <f t="shared" si="116"/>
        <v>154902916</v>
      </c>
      <c r="AD216" s="686">
        <f t="shared" si="117"/>
        <v>17.118750753439166</v>
      </c>
      <c r="AE216" s="687">
        <f t="shared" si="118"/>
        <v>-8.1339882497163654</v>
      </c>
      <c r="AG216" s="686">
        <f t="shared" si="119"/>
        <v>3.8171537443441546</v>
      </c>
      <c r="AH216" s="687">
        <f t="shared" si="120"/>
        <v>-78.772627959426671</v>
      </c>
      <c r="AJ216" s="170">
        <f t="shared" si="121"/>
        <v>0</v>
      </c>
      <c r="AK216" s="170">
        <f t="shared" si="133"/>
        <v>0</v>
      </c>
      <c r="AM216" s="170" t="str">
        <f t="shared" si="125"/>
        <v>0.057005341536256+0.332807863652358i</v>
      </c>
      <c r="AN216" s="170" t="str">
        <f t="shared" si="126"/>
        <v>0.339279619565081i</v>
      </c>
      <c r="AO216" s="170" t="str">
        <f t="shared" si="127"/>
        <v>0.98092500834262-0.168018761661342i</v>
      </c>
      <c r="AP216" s="170" t="str">
        <f t="shared" si="128"/>
        <v>0.157165776410624-0.055467977275393i</v>
      </c>
      <c r="AQ216" s="170" t="str">
        <f t="shared" si="129"/>
        <v>0.842834223589376+0.055467977275393i</v>
      </c>
      <c r="AR216" s="170" t="str">
        <f t="shared" si="130"/>
        <v>0.984069834124819-0.0647628699320928i</v>
      </c>
    </row>
    <row r="217" spans="7:44">
      <c r="G217" s="688">
        <v>12517.5</v>
      </c>
      <c r="H217" s="676">
        <f t="shared" si="122"/>
        <v>12.5175</v>
      </c>
      <c r="I217" s="677">
        <f t="shared" si="102"/>
        <v>102.95740803016315</v>
      </c>
      <c r="J217" s="678">
        <f t="shared" si="103"/>
        <v>1.5610834198488808</v>
      </c>
      <c r="K217" s="678">
        <f t="shared" si="104"/>
        <v>1.0001496848337803</v>
      </c>
      <c r="L217" s="679">
        <f t="shared" si="105"/>
        <v>1.7301223359856434E-2</v>
      </c>
      <c r="M217" s="678">
        <f t="shared" si="106"/>
        <v>1.0022321242324228</v>
      </c>
      <c r="N217" s="679">
        <f t="shared" si="107"/>
        <v>-6.675297960989908E-2</v>
      </c>
      <c r="O217" s="677">
        <f t="shared" si="108"/>
        <v>519088.49515311327</v>
      </c>
      <c r="P217" s="680">
        <f t="shared" si="109"/>
        <v>1.5707944003411043</v>
      </c>
      <c r="Q217" s="689">
        <f t="shared" si="131"/>
        <v>20.787606530789393</v>
      </c>
      <c r="R217" s="690">
        <f t="shared" si="132"/>
        <v>1.5226721672406345</v>
      </c>
      <c r="S217" s="677">
        <f t="shared" si="110"/>
        <v>1.0044438922875167</v>
      </c>
      <c r="T217" s="680">
        <f t="shared" si="111"/>
        <v>9.4100984455319212E-2</v>
      </c>
      <c r="U217" s="681">
        <f t="shared" si="123"/>
        <v>0.98127187132623594</v>
      </c>
      <c r="V217" s="682">
        <f t="shared" si="124"/>
        <v>-0.23668412763930385</v>
      </c>
      <c r="W217" s="683">
        <f t="shared" si="112"/>
        <v>-20.425150374316985</v>
      </c>
      <c r="X217" s="684">
        <f t="shared" si="113"/>
        <v>-113.98666018426128</v>
      </c>
      <c r="Y217" s="687">
        <f t="shared" si="114"/>
        <v>66.013339815738718</v>
      </c>
      <c r="AA217" s="170">
        <f t="shared" si="115"/>
        <v>12517.5</v>
      </c>
      <c r="AB217" s="170">
        <f t="shared" si="116"/>
        <v>156687806.25</v>
      </c>
      <c r="AD217" s="686">
        <f t="shared" si="117"/>
        <v>17.118198144060777</v>
      </c>
      <c r="AE217" s="687">
        <f t="shared" si="118"/>
        <v>-8.1487901240289702</v>
      </c>
      <c r="AG217" s="686">
        <f t="shared" si="119"/>
        <v>3.7694379452832361</v>
      </c>
      <c r="AH217" s="687">
        <f t="shared" si="120"/>
        <v>-78.715866846305332</v>
      </c>
      <c r="AJ217" s="170">
        <f t="shared" si="121"/>
        <v>0</v>
      </c>
      <c r="AK217" s="170">
        <f t="shared" si="133"/>
        <v>0</v>
      </c>
      <c r="AM217" s="170" t="str">
        <f t="shared" si="125"/>
        <v>0.057655807990057+0.334645220771382i</v>
      </c>
      <c r="AN217" s="170" t="str">
        <f t="shared" si="126"/>
        <v>0.341228719098979i</v>
      </c>
      <c r="AO217" s="170" t="str">
        <f t="shared" si="127"/>
        <v>0.980706494034321-0.168965285636855i</v>
      </c>
      <c r="AP217" s="170" t="str">
        <f t="shared" si="128"/>
        <v>0.157057365334991-0.055774203461897i</v>
      </c>
      <c r="AQ217" s="170" t="str">
        <f t="shared" si="129"/>
        <v>0.842942634665009+0.055774203461897i</v>
      </c>
      <c r="AR217" s="170" t="str">
        <f t="shared" si="130"/>
        <v>0.983897397408461-0.0651006265100099i</v>
      </c>
    </row>
    <row r="218" spans="7:44">
      <c r="G218" s="688">
        <v>12589</v>
      </c>
      <c r="H218" s="676">
        <f t="shared" si="122"/>
        <v>12.589</v>
      </c>
      <c r="I218" s="677">
        <f t="shared" si="102"/>
        <v>103.5454457520856</v>
      </c>
      <c r="J218" s="678">
        <f t="shared" si="103"/>
        <v>1.561138581461468</v>
      </c>
      <c r="K218" s="678">
        <f t="shared" si="104"/>
        <v>1.0001513995882454</v>
      </c>
      <c r="L218" s="679">
        <f t="shared" si="105"/>
        <v>1.7400028113974821E-2</v>
      </c>
      <c r="M218" s="678">
        <f t="shared" si="106"/>
        <v>1.0022576680587985</v>
      </c>
      <c r="N218" s="679">
        <f t="shared" si="107"/>
        <v>-6.7133131487001035E-2</v>
      </c>
      <c r="O218" s="677">
        <f t="shared" si="108"/>
        <v>522053.53029617778</v>
      </c>
      <c r="P218" s="680">
        <f t="shared" si="109"/>
        <v>1.5707944112825172</v>
      </c>
      <c r="Q218" s="689">
        <f t="shared" si="131"/>
        <v>20.906071404975243</v>
      </c>
      <c r="R218" s="690">
        <f t="shared" si="132"/>
        <v>1.5229450731405025</v>
      </c>
      <c r="S218" s="677">
        <f t="shared" si="110"/>
        <v>1.004494690424345</v>
      </c>
      <c r="T218" s="680">
        <f t="shared" si="111"/>
        <v>9.463529512729621E-2</v>
      </c>
      <c r="U218" s="681">
        <f t="shared" si="123"/>
        <v>0.98106738400599935</v>
      </c>
      <c r="V218" s="682">
        <f t="shared" si="124"/>
        <v>-0.2380115529328323</v>
      </c>
      <c r="W218" s="683">
        <f t="shared" si="112"/>
        <v>-20.476745481881839</v>
      </c>
      <c r="X218" s="684">
        <f t="shared" si="113"/>
        <v>-114.09697459872612</v>
      </c>
      <c r="Y218" s="687">
        <f t="shared" si="114"/>
        <v>65.903025401273879</v>
      </c>
      <c r="AA218" s="170">
        <f t="shared" si="115"/>
        <v>12589</v>
      </c>
      <c r="AB218" s="170">
        <f t="shared" si="116"/>
        <v>158482921</v>
      </c>
      <c r="AD218" s="686">
        <f t="shared" si="117"/>
        <v>17.117645041326185</v>
      </c>
      <c r="AE218" s="687">
        <f t="shared" si="118"/>
        <v>-8.1637681411292924</v>
      </c>
      <c r="AG218" s="686">
        <f t="shared" si="119"/>
        <v>3.7220164241131055</v>
      </c>
      <c r="AH218" s="687">
        <f t="shared" si="120"/>
        <v>-78.659091509619842</v>
      </c>
      <c r="AJ218" s="170">
        <f t="shared" si="121"/>
        <v>0</v>
      </c>
      <c r="AK218" s="170">
        <f t="shared" si="133"/>
        <v>0</v>
      </c>
      <c r="AM218" s="170" t="str">
        <f t="shared" si="125"/>
        <v>0.058309854397937+0.336481306577299i</v>
      </c>
      <c r="AN218" s="170" t="str">
        <f t="shared" si="126"/>
        <v>0.343177818632878i</v>
      </c>
      <c r="AO218" s="170" t="str">
        <f t="shared" si="127"/>
        <v>0.980486757325237-0.16991148970591i</v>
      </c>
      <c r="AP218" s="170" t="str">
        <f t="shared" si="128"/>
        <v>0.156948357600344-0.0560802177628832i</v>
      </c>
      <c r="AQ218" s="170" t="str">
        <f t="shared" si="129"/>
        <v>0.843051642399656+0.0560802177628832i</v>
      </c>
      <c r="AR218" s="170" t="str">
        <f t="shared" si="130"/>
        <v>0.983724117269294-0.0654378212917465i</v>
      </c>
    </row>
    <row r="219" spans="7:44">
      <c r="G219" s="688">
        <v>12662.25</v>
      </c>
      <c r="H219" s="676">
        <f t="shared" si="122"/>
        <v>12.66225</v>
      </c>
      <c r="I219" s="677">
        <f t="shared" si="102"/>
        <v>104.14787632865877</v>
      </c>
      <c r="J219" s="678">
        <f t="shared" si="103"/>
        <v>1.5611944472229622</v>
      </c>
      <c r="K219" s="678">
        <f t="shared" si="104"/>
        <v>1.0001531664374355</v>
      </c>
      <c r="L219" s="679">
        <f t="shared" si="105"/>
        <v>1.7501250813914515E-2</v>
      </c>
      <c r="M219" s="678">
        <f t="shared" si="106"/>
        <v>1.002283987278676</v>
      </c>
      <c r="N219" s="679">
        <f t="shared" si="107"/>
        <v>-6.7522567628777147E-2</v>
      </c>
      <c r="O219" s="677">
        <f t="shared" si="108"/>
        <v>525091.13622945722</v>
      </c>
      <c r="P219" s="680">
        <f t="shared" si="109"/>
        <v>1.5707944223635875</v>
      </c>
      <c r="Q219" s="689">
        <f t="shared" si="131"/>
        <v>21.027437365337409</v>
      </c>
      <c r="R219" s="690">
        <f t="shared" si="132"/>
        <v>1.5232214697121607</v>
      </c>
      <c r="S219" s="677">
        <f t="shared" si="110"/>
        <v>1.0045470292269969</v>
      </c>
      <c r="T219" s="680">
        <f t="shared" si="111"/>
        <v>9.5182627134088094E-2</v>
      </c>
      <c r="U219" s="681">
        <f t="shared" si="123"/>
        <v>0.98085681017544102</v>
      </c>
      <c r="V219" s="682">
        <f t="shared" si="124"/>
        <v>-0.23937104616171517</v>
      </c>
      <c r="W219" s="683">
        <f t="shared" si="112"/>
        <v>-20.529322097836364</v>
      </c>
      <c r="X219" s="684">
        <f t="shared" si="113"/>
        <v>-114.21010620116833</v>
      </c>
      <c r="Y219" s="687">
        <f t="shared" si="114"/>
        <v>65.78989379883167</v>
      </c>
      <c r="AA219" s="170">
        <f t="shared" si="115"/>
        <v>12662.25</v>
      </c>
      <c r="AB219" s="170">
        <f t="shared" si="116"/>
        <v>160332575.0625</v>
      </c>
      <c r="AD219" s="686">
        <f t="shared" si="117"/>
        <v>17.117077844110142</v>
      </c>
      <c r="AE219" s="687">
        <f t="shared" si="118"/>
        <v>-8.1792922329992965</v>
      </c>
      <c r="AG219" s="686">
        <f t="shared" si="119"/>
        <v>3.6737360405031754</v>
      </c>
      <c r="AH219" s="687">
        <f t="shared" si="120"/>
        <v>-78.60091257143084</v>
      </c>
      <c r="AJ219" s="170">
        <f t="shared" si="121"/>
        <v>0</v>
      </c>
      <c r="AK219" s="170">
        <f t="shared" si="133"/>
        <v>0</v>
      </c>
      <c r="AM219" s="170" t="str">
        <f t="shared" si="125"/>
        <v>0.058983618795141+0.338361005885892i</v>
      </c>
      <c r="AN219" s="170" t="str">
        <f t="shared" si="126"/>
        <v>0.345174623400124i</v>
      </c>
      <c r="AO219" s="170" t="str">
        <f t="shared" si="127"/>
        <v>0.980260375322164-0.170880519008397i</v>
      </c>
      <c r="AP219" s="170" t="str">
        <f t="shared" si="128"/>
        <v>0.156836063534143-0.056393500980982i</v>
      </c>
      <c r="AQ219" s="170" t="str">
        <f t="shared" si="129"/>
        <v>0.843163936465857+0.056393500980982i</v>
      </c>
      <c r="AR219" s="170" t="str">
        <f t="shared" si="130"/>
        <v>0.983545723771043-0.0657826839354733i</v>
      </c>
    </row>
    <row r="220" spans="7:44">
      <c r="G220" s="688">
        <v>12735.5</v>
      </c>
      <c r="H220" s="676">
        <f t="shared" si="122"/>
        <v>12.7355</v>
      </c>
      <c r="I220" s="677">
        <f t="shared" si="102"/>
        <v>104.75030722653702</v>
      </c>
      <c r="J220" s="678">
        <f t="shared" si="103"/>
        <v>1.5612496704039656</v>
      </c>
      <c r="K220" s="678">
        <f t="shared" si="104"/>
        <v>1.0001549435341937</v>
      </c>
      <c r="L220" s="679">
        <f t="shared" si="105"/>
        <v>1.7602473155182E-2</v>
      </c>
      <c r="M220" s="678">
        <f t="shared" si="106"/>
        <v>1.0023104584974563</v>
      </c>
      <c r="N220" s="679">
        <f t="shared" si="107"/>
        <v>-6.791198325943755E-2</v>
      </c>
      <c r="O220" s="677">
        <f t="shared" si="108"/>
        <v>528128.74216273671</v>
      </c>
      <c r="P220" s="680">
        <f t="shared" si="109"/>
        <v>1.570794433317189</v>
      </c>
      <c r="Q220" s="689">
        <f t="shared" si="131"/>
        <v>21.148804913654843</v>
      </c>
      <c r="R220" s="690">
        <f t="shared" si="132"/>
        <v>1.5234946939669161</v>
      </c>
      <c r="S220" s="677">
        <f t="shared" si="110"/>
        <v>1.004599668932729</v>
      </c>
      <c r="T220" s="680">
        <f t="shared" si="111"/>
        <v>9.5729901945854776E-2</v>
      </c>
      <c r="U220" s="681">
        <f t="shared" si="123"/>
        <v>0.9806451437730046</v>
      </c>
      <c r="V220" s="682">
        <f t="shared" si="124"/>
        <v>-0.240730110703543</v>
      </c>
      <c r="W220" s="683">
        <f t="shared" si="112"/>
        <v>-20.581617400347419</v>
      </c>
      <c r="X220" s="684">
        <f t="shared" si="113"/>
        <v>-114.32335374588443</v>
      </c>
      <c r="Y220" s="687">
        <f t="shared" si="114"/>
        <v>65.676646254115568</v>
      </c>
      <c r="AA220" s="170">
        <f t="shared" si="115"/>
        <v>12735.5</v>
      </c>
      <c r="AB220" s="170">
        <f t="shared" si="116"/>
        <v>162192960.25</v>
      </c>
      <c r="AD220" s="686">
        <f t="shared" si="117"/>
        <v>17.11651003818849</v>
      </c>
      <c r="AE220" s="687">
        <f t="shared" si="118"/>
        <v>-8.1949948009023412</v>
      </c>
      <c r="AG220" s="686">
        <f t="shared" si="119"/>
        <v>3.6257577342015206</v>
      </c>
      <c r="AH220" s="687">
        <f t="shared" si="120"/>
        <v>-78.542720223400707</v>
      </c>
      <c r="AJ220" s="170">
        <f t="shared" si="121"/>
        <v>0</v>
      </c>
      <c r="AK220" s="170">
        <f t="shared" si="133"/>
        <v>0</v>
      </c>
      <c r="AM220" s="170" t="str">
        <f t="shared" si="125"/>
        <v>0.0596611352391651+0.340239356072023i</v>
      </c>
      <c r="AN220" s="170" t="str">
        <f t="shared" si="126"/>
        <v>0.34717142816737i</v>
      </c>
      <c r="AO220" s="170" t="str">
        <f t="shared" si="127"/>
        <v>0.980032711413092-0.171849208773029i</v>
      </c>
      <c r="AP220" s="170" t="str">
        <f t="shared" si="128"/>
        <v>0.156723144126806-0.0567065593453372i</v>
      </c>
      <c r="AQ220" s="170" t="str">
        <f t="shared" si="129"/>
        <v>0.843276855873194+0.0567065593453372i</v>
      </c>
      <c r="AR220" s="170" t="str">
        <f t="shared" si="130"/>
        <v>0.983366449952094-0.0661269517407546i</v>
      </c>
    </row>
    <row r="221" spans="7:44">
      <c r="G221" s="688">
        <v>12808.75</v>
      </c>
      <c r="H221" s="676">
        <f t="shared" si="122"/>
        <v>12.80875</v>
      </c>
      <c r="I221" s="677">
        <f t="shared" si="102"/>
        <v>105.35273844020844</v>
      </c>
      <c r="J221" s="678">
        <f t="shared" si="103"/>
        <v>1.5613042620274078</v>
      </c>
      <c r="K221" s="678">
        <f t="shared" si="104"/>
        <v>1.0001567308784651</v>
      </c>
      <c r="L221" s="679">
        <f t="shared" si="105"/>
        <v>1.770369513570496E-2</v>
      </c>
      <c r="M221" s="678">
        <f t="shared" si="106"/>
        <v>1.0023370817030965</v>
      </c>
      <c r="N221" s="679">
        <f t="shared" si="107"/>
        <v>-6.8301378262506499E-2</v>
      </c>
      <c r="O221" s="677">
        <f t="shared" si="108"/>
        <v>531166.34809601633</v>
      </c>
      <c r="P221" s="680">
        <f t="shared" si="109"/>
        <v>1.5707944441455088</v>
      </c>
      <c r="Q221" s="689">
        <f t="shared" si="131"/>
        <v>21.270174022744936</v>
      </c>
      <c r="R221" s="690">
        <f t="shared" si="132"/>
        <v>1.5237648001680122</v>
      </c>
      <c r="S221" s="677">
        <f t="shared" si="110"/>
        <v>1.0046526094942432</v>
      </c>
      <c r="T221" s="680">
        <f t="shared" si="111"/>
        <v>9.6277119243784223E-2</v>
      </c>
      <c r="U221" s="681">
        <f t="shared" si="123"/>
        <v>0.9804323869039191</v>
      </c>
      <c r="V221" s="682">
        <f t="shared" si="124"/>
        <v>-0.24208874445106413</v>
      </c>
      <c r="W221" s="683">
        <f t="shared" si="112"/>
        <v>-20.633634753812366</v>
      </c>
      <c r="X221" s="684">
        <f t="shared" si="113"/>
        <v>-114.43671460995421</v>
      </c>
      <c r="Y221" s="687">
        <f t="shared" si="114"/>
        <v>65.563285390045792</v>
      </c>
      <c r="AA221" s="170">
        <f t="shared" si="115"/>
        <v>12808.75</v>
      </c>
      <c r="AB221" s="170">
        <f t="shared" si="116"/>
        <v>164064076.5625</v>
      </c>
      <c r="AD221" s="686">
        <f t="shared" si="117"/>
        <v>17.115941579539804</v>
      </c>
      <c r="AE221" s="687">
        <f t="shared" si="118"/>
        <v>-8.2108727176422871</v>
      </c>
      <c r="AG221" s="686">
        <f t="shared" si="119"/>
        <v>3.5780781604099769</v>
      </c>
      <c r="AH221" s="687">
        <f t="shared" si="120"/>
        <v>-78.48451521127862</v>
      </c>
      <c r="AJ221" s="170">
        <f t="shared" si="121"/>
        <v>0</v>
      </c>
      <c r="AK221" s="170">
        <f t="shared" si="133"/>
        <v>0</v>
      </c>
      <c r="AM221" s="170" t="str">
        <f t="shared" si="125"/>
        <v>0.060342401028597+0.342116349646283i</v>
      </c>
      <c r="AN221" s="170" t="str">
        <f t="shared" si="126"/>
        <v>0.349168232934616i</v>
      </c>
      <c r="AO221" s="170" t="str">
        <f t="shared" si="127"/>
        <v>0.979803766141425-0.172817557088295i</v>
      </c>
      <c r="AP221" s="170" t="str">
        <f t="shared" si="128"/>
        <v>0.156609599828567-0.0570193916077138i</v>
      </c>
      <c r="AQ221" s="170" t="str">
        <f t="shared" si="129"/>
        <v>0.843390400171433+0.0570193916077138i</v>
      </c>
      <c r="AR221" s="170" t="str">
        <f t="shared" si="130"/>
        <v>0.983186298302598-0.0664706220925198i</v>
      </c>
    </row>
    <row r="222" spans="7:44">
      <c r="G222" s="688">
        <v>12882</v>
      </c>
      <c r="H222" s="676">
        <f t="shared" si="122"/>
        <v>12.882</v>
      </c>
      <c r="I222" s="677">
        <f t="shared" si="102"/>
        <v>105.95516996428651</v>
      </c>
      <c r="J222" s="678">
        <f t="shared" si="103"/>
        <v>1.5613582328655409</v>
      </c>
      <c r="K222" s="678">
        <f t="shared" si="104"/>
        <v>1.0001585284701953</v>
      </c>
      <c r="L222" s="679">
        <f t="shared" si="105"/>
        <v>1.7804916753411112E-2</v>
      </c>
      <c r="M222" s="678">
        <f t="shared" si="106"/>
        <v>1.0023638568834865</v>
      </c>
      <c r="N222" s="679">
        <f t="shared" si="107"/>
        <v>-6.8690752521545634E-2</v>
      </c>
      <c r="O222" s="677">
        <f t="shared" si="108"/>
        <v>534203.95402929606</v>
      </c>
      <c r="P222" s="680">
        <f t="shared" si="109"/>
        <v>1.5707944548506843</v>
      </c>
      <c r="Q222" s="689">
        <f t="shared" si="131"/>
        <v>21.391544666041646</v>
      </c>
      <c r="R222" s="690">
        <f t="shared" si="132"/>
        <v>1.5240318413490286</v>
      </c>
      <c r="S222" s="677">
        <f t="shared" si="110"/>
        <v>1.0047058508639806</v>
      </c>
      <c r="T222" s="680">
        <f t="shared" si="111"/>
        <v>9.682427870926924E-2</v>
      </c>
      <c r="U222" s="681">
        <f t="shared" si="123"/>
        <v>0.98021854168184475</v>
      </c>
      <c r="V222" s="682">
        <f t="shared" si="124"/>
        <v>-0.2434469453029984</v>
      </c>
      <c r="W222" s="683">
        <f t="shared" si="112"/>
        <v>-20.685377464315803</v>
      </c>
      <c r="X222" s="684">
        <f t="shared" si="113"/>
        <v>-114.55018622690235</v>
      </c>
      <c r="Y222" s="687">
        <f t="shared" si="114"/>
        <v>65.449813773097645</v>
      </c>
      <c r="AA222" s="170">
        <f t="shared" si="115"/>
        <v>12882</v>
      </c>
      <c r="AB222" s="170">
        <f t="shared" si="116"/>
        <v>165945924</v>
      </c>
      <c r="AD222" s="686">
        <f t="shared" si="117"/>
        <v>17.115372425415408</v>
      </c>
      <c r="AE222" s="687">
        <f t="shared" si="118"/>
        <v>-8.2269229264865</v>
      </c>
      <c r="AG222" s="686">
        <f t="shared" si="119"/>
        <v>3.5306940312642037</v>
      </c>
      <c r="AH222" s="687">
        <f t="shared" si="120"/>
        <v>-78.426298266110933</v>
      </c>
      <c r="AJ222" s="170">
        <f t="shared" si="121"/>
        <v>0</v>
      </c>
      <c r="AK222" s="170">
        <f t="shared" si="133"/>
        <v>0</v>
      </c>
      <c r="AM222" s="170" t="str">
        <f t="shared" si="125"/>
        <v>0.061027413447074+0.343991979124671i</v>
      </c>
      <c r="AN222" s="170" t="str">
        <f t="shared" si="126"/>
        <v>0.351165037701862i</v>
      </c>
      <c r="AO222" s="170" t="str">
        <f t="shared" si="127"/>
        <v>0.979573540053606-0.173785562043583i</v>
      </c>
      <c r="AP222" s="170" t="str">
        <f t="shared" si="128"/>
        <v>0.156495431092154-0.0573319965207785i</v>
      </c>
      <c r="AQ222" s="170" t="str">
        <f t="shared" si="129"/>
        <v>0.843504568907846+0.0573319965207785i</v>
      </c>
      <c r="AR222" s="170" t="str">
        <f t="shared" si="130"/>
        <v>0.983005271321806-0.0668136923885304i</v>
      </c>
    </row>
    <row r="223" spans="7:44">
      <c r="G223" s="688">
        <v>12957.25</v>
      </c>
      <c r="H223" s="676">
        <f t="shared" si="122"/>
        <v>12.95725</v>
      </c>
      <c r="I223" s="677">
        <f t="shared" si="102"/>
        <v>106.5740504483641</v>
      </c>
      <c r="J223" s="678">
        <f t="shared" si="103"/>
        <v>1.5614130419306849</v>
      </c>
      <c r="K223" s="678">
        <f t="shared" si="104"/>
        <v>1.0001603858138393</v>
      </c>
      <c r="L223" s="679">
        <f t="shared" si="105"/>
        <v>1.790890172130459E-2</v>
      </c>
      <c r="M223" s="678">
        <f t="shared" si="106"/>
        <v>1.0023915213696444</v>
      </c>
      <c r="N223" s="679">
        <f t="shared" si="107"/>
        <v>-6.9090736436009825E-2</v>
      </c>
      <c r="O223" s="677">
        <f t="shared" si="108"/>
        <v>537324.49800853559</v>
      </c>
      <c r="P223" s="680">
        <f t="shared" si="109"/>
        <v>1.5707944657221116</v>
      </c>
      <c r="Q223" s="689">
        <f t="shared" si="131"/>
        <v>21.516230753889019</v>
      </c>
      <c r="R223" s="690">
        <f t="shared" si="132"/>
        <v>1.5243030365282837</v>
      </c>
      <c r="S223" s="677">
        <f t="shared" si="110"/>
        <v>1.0047608591128838</v>
      </c>
      <c r="T223" s="680">
        <f t="shared" si="111"/>
        <v>9.7386317125202126E-2</v>
      </c>
      <c r="U223" s="681">
        <f t="shared" si="123"/>
        <v>0.97999772657942885</v>
      </c>
      <c r="V223" s="682">
        <f t="shared" si="124"/>
        <v>-0.24484177714909913</v>
      </c>
      <c r="W223" s="683">
        <f t="shared" si="112"/>
        <v>-20.738250365341141</v>
      </c>
      <c r="X223" s="684">
        <f t="shared" si="113"/>
        <v>-114.66686873628682</v>
      </c>
      <c r="Y223" s="687">
        <f t="shared" si="114"/>
        <v>65.333131263713184</v>
      </c>
      <c r="AA223" s="170">
        <f t="shared" si="115"/>
        <v>12957.25</v>
      </c>
      <c r="AB223" s="170">
        <f t="shared" si="116"/>
        <v>167890327.5625</v>
      </c>
      <c r="AD223" s="686">
        <f t="shared" si="117"/>
        <v>17.11478696340852</v>
      </c>
      <c r="AE223" s="687">
        <f t="shared" si="118"/>
        <v>-8.2435876393540024</v>
      </c>
      <c r="AG223" s="686">
        <f t="shared" si="119"/>
        <v>3.482320396348225</v>
      </c>
      <c r="AH223" s="687">
        <f t="shared" si="120"/>
        <v>-78.366480106621196</v>
      </c>
      <c r="AJ223" s="170">
        <f t="shared" si="121"/>
        <v>0</v>
      </c>
      <c r="AK223" s="170">
        <f t="shared" si="133"/>
        <v>0</v>
      </c>
      <c r="AM223" s="170" t="str">
        <f t="shared" si="125"/>
        <v>0.061735027877271+0.345917391999209i</v>
      </c>
      <c r="AN223" s="170" t="str">
        <f t="shared" si="126"/>
        <v>0.35321636273579i</v>
      </c>
      <c r="AO223" s="170" t="str">
        <f t="shared" si="127"/>
        <v>0.979335694756472-0.174779637611097i</v>
      </c>
      <c r="AP223" s="170" t="str">
        <f t="shared" si="128"/>
        <v>0.156377495353788-0.0576528986665348i</v>
      </c>
      <c r="AQ223" s="170" t="str">
        <f t="shared" si="129"/>
        <v>0.843622504646212+0.0576528986665348i</v>
      </c>
      <c r="AR223" s="170" t="str">
        <f t="shared" si="130"/>
        <v>0.982818392753263-0.0671655022156774i</v>
      </c>
    </row>
    <row r="224" spans="7:44">
      <c r="G224" s="688">
        <v>13032.5</v>
      </c>
      <c r="H224" s="676">
        <f t="shared" si="122"/>
        <v>13.032500000000001</v>
      </c>
      <c r="I224" s="677">
        <f t="shared" si="102"/>
        <v>107.19293124889693</v>
      </c>
      <c r="J224" s="678">
        <f t="shared" si="103"/>
        <v>1.5614672181132483</v>
      </c>
      <c r="K224" s="678">
        <f t="shared" si="104"/>
        <v>1.0001622539720509</v>
      </c>
      <c r="L224" s="679">
        <f t="shared" si="105"/>
        <v>1.8012886301864723E-2</v>
      </c>
      <c r="M224" s="678">
        <f t="shared" si="106"/>
        <v>1.0024193462166802</v>
      </c>
      <c r="N224" s="679">
        <f t="shared" si="107"/>
        <v>-6.949069820919955E-2</v>
      </c>
      <c r="O224" s="677">
        <f t="shared" si="108"/>
        <v>540445.04198777524</v>
      </c>
      <c r="P224" s="680">
        <f t="shared" si="109"/>
        <v>1.5707944764679951</v>
      </c>
      <c r="Q224" s="689">
        <f t="shared" si="131"/>
        <v>21.640918405951929</v>
      </c>
      <c r="R224" s="690">
        <f t="shared" si="132"/>
        <v>1.5245711066572771</v>
      </c>
      <c r="S224" s="677">
        <f t="shared" si="110"/>
        <v>1.004816184718053</v>
      </c>
      <c r="T224" s="680">
        <f t="shared" si="111"/>
        <v>9.7948293826493046E-2</v>
      </c>
      <c r="U224" s="681">
        <f t="shared" si="123"/>
        <v>0.97977576742975203</v>
      </c>
      <c r="V224" s="682">
        <f t="shared" si="124"/>
        <v>-0.24623614766130938</v>
      </c>
      <c r="W224" s="683">
        <f t="shared" si="112"/>
        <v>-20.79084031118132</v>
      </c>
      <c r="X224" s="684">
        <f t="shared" si="113"/>
        <v>-114.78366281428582</v>
      </c>
      <c r="Y224" s="687">
        <f t="shared" si="114"/>
        <v>65.216337185714181</v>
      </c>
      <c r="AA224" s="170">
        <f t="shared" si="115"/>
        <v>13032.5</v>
      </c>
      <c r="AB224" s="170">
        <f t="shared" si="116"/>
        <v>169846056.25</v>
      </c>
      <c r="AD224" s="686">
        <f t="shared" si="117"/>
        <v>17.114200679910702</v>
      </c>
      <c r="AE224" s="687">
        <f t="shared" si="118"/>
        <v>-8.2604278612308253</v>
      </c>
      <c r="AG224" s="686">
        <f t="shared" si="119"/>
        <v>3.4342517044346224</v>
      </c>
      <c r="AH224" s="687">
        <f t="shared" si="120"/>
        <v>-78.306650871706509</v>
      </c>
      <c r="AJ224" s="170">
        <f t="shared" si="121"/>
        <v>0</v>
      </c>
      <c r="AK224" s="170">
        <f t="shared" si="133"/>
        <v>0</v>
      </c>
      <c r="AM224" s="170" t="str">
        <f t="shared" si="125"/>
        <v>0.062446590463531+0.347841349276566i</v>
      </c>
      <c r="AN224" s="170" t="str">
        <f t="shared" si="126"/>
        <v>0.355267687769718i</v>
      </c>
      <c r="AO224" s="170" t="str">
        <f t="shared" si="127"/>
        <v>0.979096498925155-0.175773346727802i</v>
      </c>
      <c r="AP224" s="170" t="str">
        <f t="shared" si="128"/>
        <v>0.156258901589411-0.057973558212761i</v>
      </c>
      <c r="AQ224" s="170" t="str">
        <f t="shared" si="129"/>
        <v>0.843741098410589+0.057973558212761i</v>
      </c>
      <c r="AR224" s="170" t="str">
        <f t="shared" si="130"/>
        <v>0.982630595777569-0.0675166732464054i</v>
      </c>
    </row>
    <row r="225" spans="7:44">
      <c r="G225" s="688">
        <v>13107.75</v>
      </c>
      <c r="H225" s="676">
        <f t="shared" si="122"/>
        <v>13.107749999999999</v>
      </c>
      <c r="I225" s="677">
        <f t="shared" si="102"/>
        <v>107.81181236043524</v>
      </c>
      <c r="J225" s="678">
        <f t="shared" si="103"/>
        <v>1.5615207723118758</v>
      </c>
      <c r="K225" s="678">
        <f t="shared" si="104"/>
        <v>1.0001641329447697</v>
      </c>
      <c r="L225" s="679">
        <f t="shared" si="105"/>
        <v>1.8116870492844956E-2</v>
      </c>
      <c r="M225" s="678">
        <f t="shared" si="106"/>
        <v>1.0024473314112405</v>
      </c>
      <c r="N225" s="679">
        <f t="shared" si="107"/>
        <v>-6.989063771500055E-2</v>
      </c>
      <c r="O225" s="677">
        <f t="shared" si="108"/>
        <v>543565.58596701478</v>
      </c>
      <c r="P225" s="680">
        <f t="shared" si="109"/>
        <v>1.5707944870904971</v>
      </c>
      <c r="Q225" s="689">
        <f t="shared" si="131"/>
        <v>21.76560759534782</v>
      </c>
      <c r="R225" s="690">
        <f t="shared" si="132"/>
        <v>1.5248361054048107</v>
      </c>
      <c r="S225" s="677">
        <f t="shared" si="110"/>
        <v>1.0048718276270698</v>
      </c>
      <c r="T225" s="680">
        <f t="shared" si="111"/>
        <v>9.8510208468400459E-2</v>
      </c>
      <c r="U225" s="681">
        <f t="shared" si="123"/>
        <v>0.97955266655181328</v>
      </c>
      <c r="V225" s="682">
        <f t="shared" si="124"/>
        <v>-0.24763005458135789</v>
      </c>
      <c r="W225" s="683">
        <f t="shared" si="112"/>
        <v>-20.843150702667156</v>
      </c>
      <c r="X225" s="684">
        <f t="shared" si="113"/>
        <v>-114.90056585423498</v>
      </c>
      <c r="Y225" s="687">
        <f t="shared" si="114"/>
        <v>65.099434145765017</v>
      </c>
      <c r="AA225" s="170">
        <f t="shared" si="115"/>
        <v>13107.75</v>
      </c>
      <c r="AB225" s="170">
        <f t="shared" si="116"/>
        <v>171813110.0625</v>
      </c>
      <c r="AD225" s="686">
        <f t="shared" si="117"/>
        <v>17.113613532493417</v>
      </c>
      <c r="AE225" s="687">
        <f t="shared" si="118"/>
        <v>-8.2774404974927638</v>
      </c>
      <c r="AG225" s="686">
        <f t="shared" si="119"/>
        <v>3.3864845701814477</v>
      </c>
      <c r="AH225" s="687">
        <f t="shared" si="120"/>
        <v>-78.246811308105521</v>
      </c>
      <c r="AJ225" s="170">
        <f t="shared" si="121"/>
        <v>0</v>
      </c>
      <c r="AK225" s="170">
        <f t="shared" si="133"/>
        <v>0</v>
      </c>
      <c r="AM225" s="170" t="str">
        <f t="shared" si="125"/>
        <v>0.063162098211647+0.34976384286086i</v>
      </c>
      <c r="AN225" s="170" t="str">
        <f t="shared" si="126"/>
        <v>0.357319012803647i</v>
      </c>
      <c r="AO225" s="170" t="str">
        <f t="shared" si="127"/>
        <v>0.978855953162115-0.1767666873253i</v>
      </c>
      <c r="AP225" s="170" t="str">
        <f t="shared" si="128"/>
        <v>0.156139650298059-0.0582939738101433i</v>
      </c>
      <c r="AQ225" s="170" t="str">
        <f t="shared" si="129"/>
        <v>0.843860349701941+0.0582939738101433i</v>
      </c>
      <c r="AR225" s="170" t="str">
        <f t="shared" si="130"/>
        <v>0.982441883133801-0.0678672027019851i</v>
      </c>
    </row>
    <row r="226" spans="7:44">
      <c r="G226" s="688">
        <v>13183</v>
      </c>
      <c r="H226" s="676">
        <f t="shared" si="122"/>
        <v>13.183</v>
      </c>
      <c r="I226" s="677">
        <f t="shared" si="102"/>
        <v>108.43069377765377</v>
      </c>
      <c r="J226" s="678">
        <f t="shared" si="103"/>
        <v>1.5615737151764053</v>
      </c>
      <c r="K226" s="678">
        <f t="shared" si="104"/>
        <v>1.0001660227319344</v>
      </c>
      <c r="L226" s="679">
        <f t="shared" si="105"/>
        <v>1.8220854291998791E-2</v>
      </c>
      <c r="M226" s="678">
        <f t="shared" si="106"/>
        <v>1.0024754769398962</v>
      </c>
      <c r="N226" s="679">
        <f t="shared" si="107"/>
        <v>-7.0290554827341159E-2</v>
      </c>
      <c r="O226" s="677">
        <f t="shared" si="108"/>
        <v>546686.12994625454</v>
      </c>
      <c r="P226" s="680">
        <f t="shared" si="109"/>
        <v>1.5707944975917301</v>
      </c>
      <c r="Q226" s="689">
        <f t="shared" si="131"/>
        <v>21.890298295806321</v>
      </c>
      <c r="R226" s="690">
        <f t="shared" si="132"/>
        <v>1.5250980852186096</v>
      </c>
      <c r="S226" s="677">
        <f t="shared" si="110"/>
        <v>1.0049277877872267</v>
      </c>
      <c r="T226" s="680">
        <f t="shared" si="111"/>
        <v>9.9072060706415777E-2</v>
      </c>
      <c r="U226" s="681">
        <f t="shared" si="123"/>
        <v>0.97932842627375161</v>
      </c>
      <c r="V226" s="682">
        <f t="shared" si="124"/>
        <v>-0.24902349565772255</v>
      </c>
      <c r="W226" s="683">
        <f t="shared" si="112"/>
        <v>-20.895184881454377</v>
      </c>
      <c r="X226" s="684">
        <f t="shared" si="113"/>
        <v>-115.01757530557666</v>
      </c>
      <c r="Y226" s="687">
        <f t="shared" si="114"/>
        <v>64.982424694423344</v>
      </c>
      <c r="AA226" s="170">
        <f t="shared" si="115"/>
        <v>13183</v>
      </c>
      <c r="AB226" s="170">
        <f t="shared" si="116"/>
        <v>173791489</v>
      </c>
      <c r="AD226" s="686">
        <f t="shared" si="117"/>
        <v>17.113025479963625</v>
      </c>
      <c r="AE226" s="687">
        <f t="shared" si="118"/>
        <v>-8.2946225234886892</v>
      </c>
      <c r="AG226" s="686">
        <f t="shared" si="119"/>
        <v>3.3390156660704644</v>
      </c>
      <c r="AH226" s="687">
        <f t="shared" si="120"/>
        <v>-78.186962147917072</v>
      </c>
      <c r="AJ226" s="170">
        <f t="shared" si="121"/>
        <v>0</v>
      </c>
      <c r="AK226" s="170">
        <f t="shared" si="133"/>
        <v>0</v>
      </c>
      <c r="AM226" s="170" t="str">
        <f t="shared" si="125"/>
        <v>0.06388154811081+0.351684864662364i</v>
      </c>
      <c r="AN226" s="170" t="str">
        <f t="shared" si="126"/>
        <v>0.359370337837575i</v>
      </c>
      <c r="AO226" s="170" t="str">
        <f t="shared" si="127"/>
        <v>0.978614058073194-0.177759657336223i</v>
      </c>
      <c r="AP226" s="170" t="str">
        <f t="shared" si="128"/>
        <v>0.156019741981532-0.058614144110394i</v>
      </c>
      <c r="AQ226" s="170" t="str">
        <f t="shared" si="129"/>
        <v>0.843980258018468+0.058614144110394i</v>
      </c>
      <c r="AR226" s="170" t="str">
        <f t="shared" si="130"/>
        <v>0.982252257570812-0.0682170878181319i</v>
      </c>
    </row>
    <row r="227" spans="7:44">
      <c r="G227" s="688">
        <v>13259.75</v>
      </c>
      <c r="H227" s="676">
        <f t="shared" si="122"/>
        <v>13.25975</v>
      </c>
      <c r="I227" s="677">
        <f t="shared" si="102"/>
        <v>109.06191201101261</v>
      </c>
      <c r="J227" s="678">
        <f t="shared" si="103"/>
        <v>1.561627094437162</v>
      </c>
      <c r="K227" s="678">
        <f t="shared" si="104"/>
        <v>1.0001679613291616</v>
      </c>
      <c r="L227" s="679">
        <f t="shared" si="105"/>
        <v>1.8326910451963749E-2</v>
      </c>
      <c r="M227" s="678">
        <f t="shared" si="106"/>
        <v>1.0025043486549794</v>
      </c>
      <c r="N227" s="679">
        <f t="shared" si="107"/>
        <v>-7.0698420511197027E-2</v>
      </c>
      <c r="O227" s="677">
        <f t="shared" si="108"/>
        <v>549868.87745996437</v>
      </c>
      <c r="P227" s="680">
        <f t="shared" si="109"/>
        <v>1.5707945081795121</v>
      </c>
      <c r="Q227" s="689">
        <f t="shared" si="131"/>
        <v>22.017476055100641</v>
      </c>
      <c r="R227" s="690">
        <f t="shared" si="132"/>
        <v>1.5253622305696801</v>
      </c>
      <c r="S227" s="677">
        <f t="shared" si="110"/>
        <v>1.0049851901774323</v>
      </c>
      <c r="T227" s="680">
        <f t="shared" si="111"/>
        <v>9.9645048017637558E-2</v>
      </c>
      <c r="U227" s="681">
        <f t="shared" si="123"/>
        <v>0.97909854481849146</v>
      </c>
      <c r="V227" s="682">
        <f t="shared" si="124"/>
        <v>-0.250444230775418</v>
      </c>
      <c r="W227" s="683">
        <f t="shared" si="112"/>
        <v>-20.947975164833906</v>
      </c>
      <c r="X227" s="684">
        <f t="shared" si="113"/>
        <v>-115.13702419754223</v>
      </c>
      <c r="Y227" s="687">
        <f t="shared" si="114"/>
        <v>64.862975802457768</v>
      </c>
      <c r="AA227" s="170">
        <f t="shared" si="115"/>
        <v>13259.75</v>
      </c>
      <c r="AB227" s="170">
        <f t="shared" si="116"/>
        <v>175820970.0625</v>
      </c>
      <c r="AD227" s="686">
        <f t="shared" si="117"/>
        <v>17.112424731630004</v>
      </c>
      <c r="AE227" s="687">
        <f t="shared" si="118"/>
        <v>-8.3123184709973508</v>
      </c>
      <c r="AG227" s="686">
        <f t="shared" si="119"/>
        <v>3.2909043529626181</v>
      </c>
      <c r="AH227" s="687">
        <f t="shared" si="120"/>
        <v>-78.125910840088025</v>
      </c>
      <c r="AJ227" s="170">
        <f t="shared" si="121"/>
        <v>0</v>
      </c>
      <c r="AK227" s="170">
        <f t="shared" si="133"/>
        <v>0</v>
      </c>
      <c r="AM227" s="170" t="str">
        <f t="shared" si="125"/>
        <v>0.064619396870523+0.353642654793135i</v>
      </c>
      <c r="AN227" s="170" t="str">
        <f t="shared" si="126"/>
        <v>0.361462553071515i</v>
      </c>
      <c r="AO227" s="170" t="str">
        <f t="shared" si="127"/>
        <v>0.978365951847762-0.178772036885763i</v>
      </c>
      <c r="AP227" s="170" t="str">
        <f t="shared" si="128"/>
        <v>0.155896767188246-0.0589404424655225i</v>
      </c>
      <c r="AQ227" s="170" t="str">
        <f t="shared" si="129"/>
        <v>0.844103232811754+0.0589404424655225i</v>
      </c>
      <c r="AR227" s="170" t="str">
        <f t="shared" si="130"/>
        <v>0.982057914559588-0.0685732808036989i</v>
      </c>
    </row>
    <row r="228" spans="7:44">
      <c r="G228" s="688">
        <v>13336.5</v>
      </c>
      <c r="H228" s="676">
        <f t="shared" si="122"/>
        <v>13.336499999999999</v>
      </c>
      <c r="I228" s="677">
        <f t="shared" si="102"/>
        <v>109.69313055155008</v>
      </c>
      <c r="J228" s="678">
        <f t="shared" si="103"/>
        <v>1.5616798593664516</v>
      </c>
      <c r="K228" s="678">
        <f t="shared" si="104"/>
        <v>1.0001699111761433</v>
      </c>
      <c r="L228" s="679">
        <f t="shared" si="105"/>
        <v>1.8432966199605303E-2</v>
      </c>
      <c r="M228" s="678">
        <f t="shared" si="106"/>
        <v>1.0025333871314661</v>
      </c>
      <c r="N228" s="679">
        <f t="shared" si="107"/>
        <v>-7.1106262635158027E-2</v>
      </c>
      <c r="O228" s="677">
        <f t="shared" si="108"/>
        <v>553051.62497367407</v>
      </c>
      <c r="P228" s="680">
        <f t="shared" si="109"/>
        <v>1.5707945186454313</v>
      </c>
      <c r="Q228" s="689">
        <f t="shared" si="131"/>
        <v>22.144655332969947</v>
      </c>
      <c r="R228" s="690">
        <f t="shared" si="132"/>
        <v>1.5256233419051202</v>
      </c>
      <c r="S228" s="677">
        <f t="shared" si="110"/>
        <v>1.0050429224810535</v>
      </c>
      <c r="T228" s="680">
        <f t="shared" si="111"/>
        <v>0.10021796968914946</v>
      </c>
      <c r="U228" s="681">
        <f t="shared" si="123"/>
        <v>0.97886748300657977</v>
      </c>
      <c r="V228" s="682">
        <f t="shared" si="124"/>
        <v>-0.25186447658302052</v>
      </c>
      <c r="W228" s="683">
        <f t="shared" si="112"/>
        <v>-21.000484953456315</v>
      </c>
      <c r="X228" s="684">
        <f t="shared" si="113"/>
        <v>-115.25657859767635</v>
      </c>
      <c r="Y228" s="687">
        <f t="shared" si="114"/>
        <v>64.743421402323648</v>
      </c>
      <c r="AA228" s="170">
        <f t="shared" si="115"/>
        <v>13336.5</v>
      </c>
      <c r="AB228" s="170">
        <f t="shared" si="116"/>
        <v>177862232.25</v>
      </c>
      <c r="AD228" s="686">
        <f t="shared" si="117"/>
        <v>17.111822958930873</v>
      </c>
      <c r="AE228" s="687">
        <f t="shared" si="118"/>
        <v>-8.3301844869362345</v>
      </c>
      <c r="AG228" s="686">
        <f t="shared" si="119"/>
        <v>3.243096464168473</v>
      </c>
      <c r="AH228" s="687">
        <f t="shared" si="120"/>
        <v>-78.064851042803738</v>
      </c>
      <c r="AJ228" s="170">
        <f t="shared" si="121"/>
        <v>0</v>
      </c>
      <c r="AK228" s="170">
        <f t="shared" si="133"/>
        <v>0</v>
      </c>
      <c r="AM228" s="170" t="str">
        <f t="shared" si="125"/>
        <v>0.06536134013067+0.355598896901638i</v>
      </c>
      <c r="AN228" s="170" t="str">
        <f t="shared" si="126"/>
        <v>0.363554768305456i</v>
      </c>
      <c r="AO228" s="170" t="str">
        <f t="shared" si="127"/>
        <v>0.978116443250351-0.179784026586481i</v>
      </c>
      <c r="AP228" s="170" t="str">
        <f t="shared" si="128"/>
        <v>0.155773109978222-0.0592664828169397i</v>
      </c>
      <c r="AQ228" s="170" t="str">
        <f t="shared" si="129"/>
        <v>0.844226890021778+0.0592664828169397i</v>
      </c>
      <c r="AR228" s="170" t="str">
        <f t="shared" si="130"/>
        <v>0.981862627677691-0.0689287977434052i</v>
      </c>
    </row>
    <row r="229" spans="7:44">
      <c r="G229" s="688">
        <v>13413.25</v>
      </c>
      <c r="H229" s="676">
        <f t="shared" si="122"/>
        <v>13.41325</v>
      </c>
      <c r="I229" s="677">
        <f t="shared" si="102"/>
        <v>110.32434939399367</v>
      </c>
      <c r="J229" s="678">
        <f t="shared" si="103"/>
        <v>1.5617320205086382</v>
      </c>
      <c r="K229" s="678">
        <f t="shared" si="104"/>
        <v>1.0001718722728139</v>
      </c>
      <c r="L229" s="679">
        <f t="shared" si="105"/>
        <v>1.8539021532540077E-2</v>
      </c>
      <c r="M229" s="678">
        <f t="shared" si="106"/>
        <v>1.0025625923548664</v>
      </c>
      <c r="N229" s="679">
        <f t="shared" si="107"/>
        <v>-7.1514081065600268E-2</v>
      </c>
      <c r="O229" s="677">
        <f t="shared" si="108"/>
        <v>556234.37248738389</v>
      </c>
      <c r="P229" s="680">
        <f t="shared" si="109"/>
        <v>1.5707945289915795</v>
      </c>
      <c r="Q229" s="689">
        <f t="shared" si="131"/>
        <v>22.271836103399604</v>
      </c>
      <c r="R229" s="690">
        <f t="shared" si="132"/>
        <v>1.5258814711652131</v>
      </c>
      <c r="S229" s="677">
        <f t="shared" si="110"/>
        <v>1.0051009846412404</v>
      </c>
      <c r="T229" s="680">
        <f t="shared" si="111"/>
        <v>0.10079082535618417</v>
      </c>
      <c r="U229" s="681">
        <f t="shared" si="123"/>
        <v>0.97863524333714236</v>
      </c>
      <c r="V229" s="682">
        <f t="shared" si="124"/>
        <v>-0.25328423071353601</v>
      </c>
      <c r="W229" s="683">
        <f t="shared" si="112"/>
        <v>-21.052717611231181</v>
      </c>
      <c r="X229" s="684">
        <f t="shared" si="113"/>
        <v>-115.37623597024945</v>
      </c>
      <c r="Y229" s="687">
        <f t="shared" si="114"/>
        <v>64.623764029750546</v>
      </c>
      <c r="AA229" s="170">
        <f t="shared" si="115"/>
        <v>13413.25</v>
      </c>
      <c r="AB229" s="170">
        <f t="shared" si="116"/>
        <v>179915275.5625</v>
      </c>
      <c r="AD229" s="686">
        <f t="shared" si="117"/>
        <v>17.111220121868939</v>
      </c>
      <c r="AE229" s="687">
        <f t="shared" si="118"/>
        <v>-8.348217574566549</v>
      </c>
      <c r="AG229" s="686">
        <f t="shared" si="119"/>
        <v>3.1955886467010703</v>
      </c>
      <c r="AH229" s="687">
        <f t="shared" si="120"/>
        <v>-78.003783488311015</v>
      </c>
      <c r="AJ229" s="170">
        <f t="shared" si="121"/>
        <v>0</v>
      </c>
      <c r="AK229" s="170">
        <f t="shared" si="133"/>
        <v>0</v>
      </c>
      <c r="AM229" s="170" t="str">
        <f t="shared" si="125"/>
        <v>0.066107374643493+0.357553582424691i</v>
      </c>
      <c r="AN229" s="170" t="str">
        <f t="shared" si="126"/>
        <v>0.365646983539396i</v>
      </c>
      <c r="AO229" s="170" t="str">
        <f t="shared" si="127"/>
        <v>0.977865532934629-0.180795624248245i</v>
      </c>
      <c r="AP229" s="170" t="str">
        <f t="shared" si="128"/>
        <v>0.155648770892751-0.0595922637374485i</v>
      </c>
      <c r="AQ229" s="170" t="str">
        <f t="shared" si="129"/>
        <v>0.844351229107249+0.0595922637374485i</v>
      </c>
      <c r="AR229" s="170" t="str">
        <f t="shared" si="130"/>
        <v>0.981666399872503-0.0692836357510213i</v>
      </c>
    </row>
    <row r="230" spans="7:44">
      <c r="G230" s="688">
        <v>13490</v>
      </c>
      <c r="H230" s="676">
        <f t="shared" si="122"/>
        <v>13.49</v>
      </c>
      <c r="I230" s="677">
        <f t="shared" si="102"/>
        <v>110.95556853319077</v>
      </c>
      <c r="J230" s="678">
        <f t="shared" si="103"/>
        <v>1.5617835881681545</v>
      </c>
      <c r="K230" s="678">
        <f t="shared" si="104"/>
        <v>1.0001738446191073</v>
      </c>
      <c r="L230" s="679">
        <f t="shared" si="105"/>
        <v>1.8645076448384756E-2</v>
      </c>
      <c r="M230" s="678">
        <f t="shared" si="106"/>
        <v>1.0025919643106083</v>
      </c>
      <c r="N230" s="679">
        <f t="shared" si="107"/>
        <v>-7.1921875668946922E-2</v>
      </c>
      <c r="O230" s="677">
        <f t="shared" si="108"/>
        <v>559417.12000109383</v>
      </c>
      <c r="P230" s="680">
        <f t="shared" si="109"/>
        <v>1.5707945392200009</v>
      </c>
      <c r="Q230" s="689">
        <f t="shared" si="131"/>
        <v>22.399018340965505</v>
      </c>
      <c r="R230" s="690">
        <f t="shared" si="132"/>
        <v>1.5261366691121796</v>
      </c>
      <c r="S230" s="677">
        <f t="shared" si="110"/>
        <v>1.0051593766008315</v>
      </c>
      <c r="T230" s="680">
        <f t="shared" si="111"/>
        <v>0.1013636146542317</v>
      </c>
      <c r="U230" s="681">
        <f t="shared" si="123"/>
        <v>0.97840182831890266</v>
      </c>
      <c r="V230" s="682">
        <f t="shared" si="124"/>
        <v>-0.25470349080739701</v>
      </c>
      <c r="W230" s="683">
        <f t="shared" si="112"/>
        <v>-21.104676443721559</v>
      </c>
      <c r="X230" s="684">
        <f t="shared" si="113"/>
        <v>-115.49599383372315</v>
      </c>
      <c r="Y230" s="687">
        <f t="shared" si="114"/>
        <v>64.504006166276852</v>
      </c>
      <c r="AA230" s="170">
        <f t="shared" si="115"/>
        <v>13490</v>
      </c>
      <c r="AB230" s="170">
        <f t="shared" si="116"/>
        <v>181980100</v>
      </c>
      <c r="AD230" s="686">
        <f t="shared" si="117"/>
        <v>17.11061618161218</v>
      </c>
      <c r="AE230" s="687">
        <f t="shared" si="118"/>
        <v>-8.3664148046595148</v>
      </c>
      <c r="AG230" s="686">
        <f t="shared" si="119"/>
        <v>3.1483776046321132</v>
      </c>
      <c r="AH230" s="687">
        <f t="shared" si="120"/>
        <v>-77.942708894686746</v>
      </c>
      <c r="AJ230" s="170">
        <f t="shared" si="121"/>
        <v>0</v>
      </c>
      <c r="AK230" s="170">
        <f t="shared" si="133"/>
        <v>0</v>
      </c>
      <c r="AM230" s="170" t="str">
        <f t="shared" si="125"/>
        <v>0.066857497143329+0.359506702805925i</v>
      </c>
      <c r="AN230" s="170" t="str">
        <f t="shared" si="126"/>
        <v>0.367739198773336i</v>
      </c>
      <c r="AO230" s="170" t="str">
        <f t="shared" si="127"/>
        <v>0.977613221557908-0.181806827682077i</v>
      </c>
      <c r="AP230" s="170" t="str">
        <f t="shared" si="128"/>
        <v>0.155523750476112-0.0599177838009875i</v>
      </c>
      <c r="AQ230" s="170" t="str">
        <f t="shared" si="129"/>
        <v>0.844476249523888+0.0599177838009875i</v>
      </c>
      <c r="AR230" s="170" t="str">
        <f t="shared" si="130"/>
        <v>0.981469234101592-0.0696377919561094i</v>
      </c>
    </row>
    <row r="231" spans="7:44">
      <c r="G231" s="688">
        <v>13568.5</v>
      </c>
      <c r="H231" s="676">
        <f t="shared" si="122"/>
        <v>13.5685</v>
      </c>
      <c r="I231" s="677">
        <f t="shared" si="102"/>
        <v>111.6011805929287</v>
      </c>
      <c r="J231" s="678">
        <f t="shared" si="103"/>
        <v>1.5618357281984758</v>
      </c>
      <c r="K231" s="678">
        <f t="shared" si="104"/>
        <v>1.0001758735747024</v>
      </c>
      <c r="L231" s="679">
        <f t="shared" si="105"/>
        <v>1.8753549120545051E-2</v>
      </c>
      <c r="M231" s="678">
        <f t="shared" si="106"/>
        <v>1.0026221784481921</v>
      </c>
      <c r="N231" s="679">
        <f t="shared" si="107"/>
        <v>-7.2338943733174857E-2</v>
      </c>
      <c r="O231" s="677">
        <f t="shared" si="108"/>
        <v>562672.43830501859</v>
      </c>
      <c r="P231" s="680">
        <f t="shared" si="109"/>
        <v>1.570794549561942</v>
      </c>
      <c r="Q231" s="689">
        <f t="shared" si="131"/>
        <v>22.529101991055569</v>
      </c>
      <c r="R231" s="690">
        <f t="shared" si="132"/>
        <v>1.5263947052838007</v>
      </c>
      <c r="S231" s="677">
        <f t="shared" si="110"/>
        <v>1.0052194410781945</v>
      </c>
      <c r="T231" s="680">
        <f t="shared" si="111"/>
        <v>0.10194939525872475</v>
      </c>
      <c r="U231" s="681">
        <f t="shared" si="123"/>
        <v>0.97816187790547604</v>
      </c>
      <c r="V231" s="682">
        <f t="shared" si="124"/>
        <v>-0.25615459836686205</v>
      </c>
      <c r="W231" s="683">
        <f t="shared" si="112"/>
        <v>-21.15754012917801</v>
      </c>
      <c r="X231" s="684">
        <f t="shared" si="113"/>
        <v>-115.61858375517591</v>
      </c>
      <c r="Y231" s="687">
        <f t="shared" si="114"/>
        <v>64.381416244824095</v>
      </c>
      <c r="AA231" s="170">
        <f t="shared" si="115"/>
        <v>13568.5</v>
      </c>
      <c r="AB231" s="170">
        <f t="shared" si="116"/>
        <v>184104192.25</v>
      </c>
      <c r="AD231" s="686">
        <f t="shared" si="117"/>
        <v>17.109997290222385</v>
      </c>
      <c r="AE231" s="687">
        <f t="shared" si="118"/>
        <v>-8.3851937699930232</v>
      </c>
      <c r="AG231" s="686">
        <f t="shared" si="119"/>
        <v>3.1003937151574275</v>
      </c>
      <c r="AH231" s="687">
        <f t="shared" si="120"/>
        <v>-77.880235173062246</v>
      </c>
      <c r="AJ231" s="170">
        <f t="shared" si="121"/>
        <v>0</v>
      </c>
      <c r="AK231" s="170">
        <f t="shared" si="133"/>
        <v>0</v>
      </c>
      <c r="AM231" s="170" t="str">
        <f t="shared" si="125"/>
        <v>0.067628948857711+0.361502728885721i</v>
      </c>
      <c r="AN231" s="170" t="str">
        <f t="shared" si="126"/>
        <v>0.369879119240623i</v>
      </c>
      <c r="AO231" s="170" t="str">
        <f t="shared" si="127"/>
        <v>0.977353708497795-0.182840677777529i</v>
      </c>
      <c r="AP231" s="170" t="str">
        <f t="shared" si="128"/>
        <v>0.155395175190382-0.0602504548142868i</v>
      </c>
      <c r="AQ231" s="170" t="str">
        <f t="shared" si="129"/>
        <v>0.844604824809618+0.0602504548142868i</v>
      </c>
      <c r="AR231" s="170" t="str">
        <f t="shared" si="130"/>
        <v>0.981266605497721-0.0699993151100406i</v>
      </c>
    </row>
    <row r="232" spans="7:44">
      <c r="G232" s="688">
        <v>13647</v>
      </c>
      <c r="H232" s="676">
        <f t="shared" si="122"/>
        <v>13.647</v>
      </c>
      <c r="I232" s="677">
        <f t="shared" si="102"/>
        <v>112.24679295257356</v>
      </c>
      <c r="J232" s="678">
        <f t="shared" si="103"/>
        <v>1.5618872684390068</v>
      </c>
      <c r="K232" s="678">
        <f t="shared" si="104"/>
        <v>1.0001779142986398</v>
      </c>
      <c r="L232" s="679">
        <f t="shared" si="105"/>
        <v>1.8862021351334853E-2</v>
      </c>
      <c r="M232" s="678">
        <f t="shared" si="106"/>
        <v>1.0026525669771342</v>
      </c>
      <c r="N232" s="679">
        <f t="shared" si="107"/>
        <v>-7.275598658883195E-2</v>
      </c>
      <c r="O232" s="677">
        <f t="shared" si="108"/>
        <v>565927.75660894345</v>
      </c>
      <c r="P232" s="680">
        <f t="shared" si="109"/>
        <v>1.5707945597849058</v>
      </c>
      <c r="Q232" s="689">
        <f t="shared" si="131"/>
        <v>22.65918712397006</v>
      </c>
      <c r="R232" s="690">
        <f t="shared" si="132"/>
        <v>1.5266497787296258</v>
      </c>
      <c r="S232" s="677">
        <f t="shared" si="110"/>
        <v>1.0052798504441796</v>
      </c>
      <c r="T232" s="680">
        <f t="shared" si="111"/>
        <v>0.10253510566261759</v>
      </c>
      <c r="U232" s="681">
        <f t="shared" si="123"/>
        <v>0.97792070327238623</v>
      </c>
      <c r="V232" s="682">
        <f t="shared" si="124"/>
        <v>-0.25760518413424</v>
      </c>
      <c r="W232" s="683">
        <f t="shared" si="112"/>
        <v>-21.210124173594718</v>
      </c>
      <c r="X232" s="684">
        <f t="shared" si="113"/>
        <v>-115.74127371833373</v>
      </c>
      <c r="Y232" s="687">
        <f t="shared" si="114"/>
        <v>64.25872628166627</v>
      </c>
      <c r="AA232" s="170">
        <f t="shared" si="115"/>
        <v>13647</v>
      </c>
      <c r="AB232" s="170">
        <f t="shared" si="116"/>
        <v>186240609</v>
      </c>
      <c r="AD232" s="686">
        <f t="shared" si="117"/>
        <v>17.109377166148072</v>
      </c>
      <c r="AE232" s="687">
        <f t="shared" si="118"/>
        <v>-8.4041384579956784</v>
      </c>
      <c r="AG232" s="686">
        <f t="shared" si="119"/>
        <v>3.0527134917862995</v>
      </c>
      <c r="AH232" s="687">
        <f t="shared" si="120"/>
        <v>-77.817755563442475</v>
      </c>
      <c r="AJ232" s="170">
        <f t="shared" si="121"/>
        <v>0</v>
      </c>
      <c r="AK232" s="170">
        <f t="shared" si="133"/>
        <v>0</v>
      </c>
      <c r="AM232" s="170" t="str">
        <f t="shared" si="125"/>
        <v>0.068404670139556+0.363497099551305i</v>
      </c>
      <c r="AN232" s="170" t="str">
        <f t="shared" si="126"/>
        <v>0.372019039707911i</v>
      </c>
      <c r="AO232" s="170" t="str">
        <f t="shared" si="127"/>
        <v>0.977092731158876-0.183874110833853i</v>
      </c>
      <c r="AP232" s="170" t="str">
        <f t="shared" si="128"/>
        <v>0.155265888310074-0.0605828499252175i</v>
      </c>
      <c r="AQ232" s="170" t="str">
        <f t="shared" si="129"/>
        <v>0.844734111689926+0.0605828499252175i</v>
      </c>
      <c r="AR232" s="170" t="str">
        <f t="shared" si="130"/>
        <v>0.981063001957488-0.0703601189916085i</v>
      </c>
    </row>
    <row r="233" spans="7:44">
      <c r="G233" s="688">
        <v>13725.5</v>
      </c>
      <c r="H233" s="676">
        <f t="shared" si="122"/>
        <v>13.7255</v>
      </c>
      <c r="I233" s="677">
        <f t="shared" si="102"/>
        <v>112.89240560698001</v>
      </c>
      <c r="J233" s="678">
        <f t="shared" si="103"/>
        <v>1.5619382191797613</v>
      </c>
      <c r="K233" s="678">
        <f t="shared" si="104"/>
        <v>1.0001799667908471</v>
      </c>
      <c r="L233" s="679">
        <f t="shared" si="105"/>
        <v>1.8970493138204259E-2</v>
      </c>
      <c r="M233" s="678">
        <f t="shared" si="106"/>
        <v>1.0026831298815788</v>
      </c>
      <c r="N233" s="679">
        <f t="shared" si="107"/>
        <v>-7.3173004093148655E-2</v>
      </c>
      <c r="O233" s="677">
        <f t="shared" si="108"/>
        <v>569183.07491286856</v>
      </c>
      <c r="P233" s="680">
        <f t="shared" si="109"/>
        <v>1.5707945698909336</v>
      </c>
      <c r="Q233" s="689">
        <f t="shared" si="131"/>
        <v>22.789273714316323</v>
      </c>
      <c r="R233" s="690">
        <f t="shared" si="132"/>
        <v>1.526901940152005</v>
      </c>
      <c r="S233" s="677">
        <f t="shared" si="110"/>
        <v>1.0053406046366158</v>
      </c>
      <c r="T233" s="680">
        <f t="shared" si="111"/>
        <v>0.10312074547673764</v>
      </c>
      <c r="U233" s="681">
        <f t="shared" si="123"/>
        <v>0.97767830713463222</v>
      </c>
      <c r="V233" s="682">
        <f t="shared" si="124"/>
        <v>-0.25905524560908993</v>
      </c>
      <c r="W233" s="683">
        <f t="shared" si="112"/>
        <v>-21.262431933003583</v>
      </c>
      <c r="X233" s="684">
        <f t="shared" si="113"/>
        <v>-115.86406123426063</v>
      </c>
      <c r="Y233" s="687">
        <f t="shared" si="114"/>
        <v>64.135938765739368</v>
      </c>
      <c r="AA233" s="170">
        <f t="shared" si="115"/>
        <v>13725.5</v>
      </c>
      <c r="AB233" s="170">
        <f t="shared" si="116"/>
        <v>188389350.25</v>
      </c>
      <c r="AD233" s="686">
        <f t="shared" si="117"/>
        <v>17.108755771372984</v>
      </c>
      <c r="AE233" s="687">
        <f t="shared" si="118"/>
        <v>-8.4232459414558107</v>
      </c>
      <c r="AG233" s="686">
        <f t="shared" si="119"/>
        <v>3.0053335848686435</v>
      </c>
      <c r="AH233" s="687">
        <f t="shared" si="120"/>
        <v>-77.755270790632522</v>
      </c>
      <c r="AJ233" s="170">
        <f t="shared" si="121"/>
        <v>0</v>
      </c>
      <c r="AK233" s="170">
        <f t="shared" si="133"/>
        <v>0</v>
      </c>
      <c r="AM233" s="170" t="str">
        <f t="shared" si="125"/>
        <v>0.069184657436637+0.365489805669938i</v>
      </c>
      <c r="AN233" s="170" t="str">
        <f t="shared" si="126"/>
        <v>0.374158960175198i</v>
      </c>
      <c r="AO233" s="170" t="str">
        <f t="shared" si="127"/>
        <v>0.976830290256311-0.184907124512645i</v>
      </c>
      <c r="AP233" s="170" t="str">
        <f t="shared" si="128"/>
        <v>0.155135890427227-0.0609149676116563i</v>
      </c>
      <c r="AQ233" s="170" t="str">
        <f t="shared" si="129"/>
        <v>0.844864109572773+0.0609149676116563i</v>
      </c>
      <c r="AR233" s="170" t="str">
        <f t="shared" si="130"/>
        <v>0.980858426677831-0.0707202005810305i</v>
      </c>
    </row>
    <row r="234" spans="7:44">
      <c r="G234" s="688">
        <v>13804</v>
      </c>
      <c r="H234" s="676">
        <f t="shared" si="122"/>
        <v>13.804</v>
      </c>
      <c r="I234" s="677">
        <f t="shared" si="102"/>
        <v>113.53801855111972</v>
      </c>
      <c r="J234" s="678">
        <f t="shared" si="103"/>
        <v>1.5619885904767168</v>
      </c>
      <c r="K234" s="678">
        <f t="shared" si="104"/>
        <v>1.0001820310512524</v>
      </c>
      <c r="L234" s="679">
        <f t="shared" si="105"/>
        <v>1.9078964478603425E-2</v>
      </c>
      <c r="M234" s="678">
        <f t="shared" si="106"/>
        <v>1.0027138671455811</v>
      </c>
      <c r="N234" s="679">
        <f t="shared" si="107"/>
        <v>-7.358999610340812E-2</v>
      </c>
      <c r="O234" s="677">
        <f t="shared" si="108"/>
        <v>572438.39321679354</v>
      </c>
      <c r="P234" s="680">
        <f t="shared" si="109"/>
        <v>1.5707945798820204</v>
      </c>
      <c r="Q234" s="689">
        <f t="shared" si="131"/>
        <v>22.919361737277914</v>
      </c>
      <c r="R234" s="690">
        <f t="shared" si="132"/>
        <v>1.5271512391036628</v>
      </c>
      <c r="S234" s="677">
        <f t="shared" si="110"/>
        <v>1.0054017035929919</v>
      </c>
      <c r="T234" s="680">
        <f t="shared" si="111"/>
        <v>0.1037063143121998</v>
      </c>
      <c r="U234" s="681">
        <f t="shared" si="123"/>
        <v>0.97743469221739943</v>
      </c>
      <c r="V234" s="682">
        <f t="shared" si="124"/>
        <v>-0.26050478029919738</v>
      </c>
      <c r="W234" s="683">
        <f t="shared" si="112"/>
        <v>-21.314466705244406</v>
      </c>
      <c r="X234" s="684">
        <f t="shared" si="113"/>
        <v>-115.98694386696815</v>
      </c>
      <c r="Y234" s="687">
        <f t="shared" si="114"/>
        <v>64.013056133031853</v>
      </c>
      <c r="AA234" s="170">
        <f t="shared" si="115"/>
        <v>13804</v>
      </c>
      <c r="AB234" s="170">
        <f t="shared" si="116"/>
        <v>190550416</v>
      </c>
      <c r="AD234" s="686">
        <f t="shared" si="117"/>
        <v>17.108133068992718</v>
      </c>
      <c r="AE234" s="687">
        <f t="shared" si="118"/>
        <v>-8.4425133590442893</v>
      </c>
      <c r="AG234" s="686">
        <f t="shared" si="119"/>
        <v>2.9582507017035335</v>
      </c>
      <c r="AH234" s="687">
        <f t="shared" si="120"/>
        <v>-77.692781565559855</v>
      </c>
      <c r="AJ234" s="170">
        <f t="shared" si="121"/>
        <v>0</v>
      </c>
      <c r="AK234" s="170">
        <f t="shared" si="133"/>
        <v>0</v>
      </c>
      <c r="AM234" s="170" t="str">
        <f t="shared" si="125"/>
        <v>0.069968907177191+0.367480838116507i</v>
      </c>
      <c r="AN234" s="170" t="str">
        <f t="shared" si="126"/>
        <v>0.376298880642486i</v>
      </c>
      <c r="AO234" s="170" t="str">
        <f t="shared" si="127"/>
        <v>0.976566386509247-0.185939716476773i</v>
      </c>
      <c r="AP234" s="170" t="str">
        <f t="shared" si="128"/>
        <v>0.155005182137135-0.0612468063527512i</v>
      </c>
      <c r="AQ234" s="170" t="str">
        <f t="shared" si="129"/>
        <v>0.844994817862865+0.0612468063527512i</v>
      </c>
      <c r="AR234" s="170" t="str">
        <f t="shared" si="130"/>
        <v>0.980652882866389-0.0710795568759718i</v>
      </c>
    </row>
    <row r="235" spans="7:44">
      <c r="G235" s="688">
        <v>13884.25</v>
      </c>
      <c r="H235" s="676">
        <f t="shared" si="122"/>
        <v>13.88425</v>
      </c>
      <c r="I235" s="677">
        <f t="shared" si="102"/>
        <v>114.19802443488749</v>
      </c>
      <c r="J235" s="678">
        <f t="shared" si="103"/>
        <v>1.5620394959704527</v>
      </c>
      <c r="K235" s="678">
        <f t="shared" si="104"/>
        <v>1.0001841534947702</v>
      </c>
      <c r="L235" s="679">
        <f t="shared" si="105"/>
        <v>1.9189853505737018E-2</v>
      </c>
      <c r="M235" s="678">
        <f t="shared" si="106"/>
        <v>1.0027454698518947</v>
      </c>
      <c r="N235" s="679">
        <f t="shared" si="107"/>
        <v>-7.4016257612430192E-2</v>
      </c>
      <c r="O235" s="677">
        <f t="shared" si="108"/>
        <v>575766.28231093334</v>
      </c>
      <c r="P235" s="680">
        <f t="shared" si="109"/>
        <v>1.5707945899790554</v>
      </c>
      <c r="Q235" s="689">
        <f t="shared" si="131"/>
        <v>23.052351267327282</v>
      </c>
      <c r="R235" s="690">
        <f t="shared" si="132"/>
        <v>1.5274031872065701</v>
      </c>
      <c r="S235" s="677">
        <f t="shared" si="110"/>
        <v>1.0054645209409003</v>
      </c>
      <c r="T235" s="680">
        <f t="shared" si="111"/>
        <v>0.10430486345552528</v>
      </c>
      <c r="U235" s="681">
        <f t="shared" si="123"/>
        <v>0.97718438940519081</v>
      </c>
      <c r="V235" s="682">
        <f t="shared" si="124"/>
        <v>-0.26198608233918408</v>
      </c>
      <c r="W235" s="683">
        <f t="shared" si="112"/>
        <v>-21.36738267950847</v>
      </c>
      <c r="X235" s="684">
        <f t="shared" si="113"/>
        <v>-116.1126617596273</v>
      </c>
      <c r="Y235" s="687">
        <f t="shared" si="114"/>
        <v>63.887338240372699</v>
      </c>
      <c r="AA235" s="170">
        <f t="shared" si="115"/>
        <v>13884.25</v>
      </c>
      <c r="AB235" s="170">
        <f t="shared" si="116"/>
        <v>192772398.0625</v>
      </c>
      <c r="AD235" s="686">
        <f t="shared" si="117"/>
        <v>17.107495095750387</v>
      </c>
      <c r="AE235" s="687">
        <f t="shared" si="118"/>
        <v>-8.4623727143752703</v>
      </c>
      <c r="AG235" s="686">
        <f t="shared" si="119"/>
        <v>2.9104218593649742</v>
      </c>
      <c r="AH235" s="687">
        <f t="shared" si="120"/>
        <v>-77.628895392543356</v>
      </c>
      <c r="AJ235" s="170">
        <f t="shared" si="121"/>
        <v>0</v>
      </c>
      <c r="AK235" s="170">
        <f t="shared" si="133"/>
        <v>0</v>
      </c>
      <c r="AM235" s="170" t="str">
        <f t="shared" si="125"/>
        <v>0.07077504248883+0.369514517087442i</v>
      </c>
      <c r="AN235" s="170" t="str">
        <f t="shared" si="126"/>
        <v>0.37848650634312i</v>
      </c>
      <c r="AO235" s="170" t="str">
        <f t="shared" si="127"/>
        <v>0.976295088185933-0.186994889653129i</v>
      </c>
      <c r="AP235" s="170" t="str">
        <f t="shared" si="128"/>
        <v>0.154870826251862-0.061585752847907i</v>
      </c>
      <c r="AQ235" s="170" t="str">
        <f t="shared" si="129"/>
        <v>0.845129173748138+0.061585752847907i</v>
      </c>
      <c r="AR235" s="170" t="str">
        <f t="shared" si="130"/>
        <v>0.980441759059831-0.0714461714620924i</v>
      </c>
    </row>
    <row r="236" spans="7:44">
      <c r="G236" s="688">
        <v>13964.5</v>
      </c>
      <c r="H236" s="676">
        <f t="shared" si="122"/>
        <v>13.964499999999999</v>
      </c>
      <c r="I236" s="677">
        <f t="shared" si="102"/>
        <v>114.85803061118354</v>
      </c>
      <c r="J236" s="678">
        <f t="shared" si="103"/>
        <v>1.5620898164300787</v>
      </c>
      <c r="K236" s="678">
        <f t="shared" si="104"/>
        <v>1.0001862882368766</v>
      </c>
      <c r="L236" s="679">
        <f t="shared" si="105"/>
        <v>1.9300742060883364E-2</v>
      </c>
      <c r="M236" s="678">
        <f t="shared" si="106"/>
        <v>1.0027772547444278</v>
      </c>
      <c r="N236" s="679">
        <f t="shared" si="107"/>
        <v>-7.4442492176589839E-2</v>
      </c>
      <c r="O236" s="677">
        <f t="shared" si="108"/>
        <v>579094.17140507349</v>
      </c>
      <c r="P236" s="680">
        <f t="shared" si="109"/>
        <v>1.5707945999600408</v>
      </c>
      <c r="Q236" s="689">
        <f t="shared" si="131"/>
        <v>23.185342243903275</v>
      </c>
      <c r="R236" s="690">
        <f t="shared" si="132"/>
        <v>1.5276522449796841</v>
      </c>
      <c r="S236" s="677">
        <f t="shared" si="110"/>
        <v>1.0055276984625285</v>
      </c>
      <c r="T236" s="680">
        <f t="shared" si="111"/>
        <v>0.10490333759929547</v>
      </c>
      <c r="U236" s="681">
        <f t="shared" si="123"/>
        <v>0.97693281865913506</v>
      </c>
      <c r="V236" s="682">
        <f t="shared" si="124"/>
        <v>-0.26346682860462894</v>
      </c>
      <c r="W236" s="683">
        <f t="shared" si="112"/>
        <v>-21.420020148990563</v>
      </c>
      <c r="X236" s="684">
        <f t="shared" si="113"/>
        <v>-116.23847407187304</v>
      </c>
      <c r="Y236" s="687">
        <f t="shared" si="114"/>
        <v>63.761525928126957</v>
      </c>
      <c r="AA236" s="170">
        <f t="shared" si="115"/>
        <v>13964.5</v>
      </c>
      <c r="AB236" s="170">
        <f t="shared" si="116"/>
        <v>195007260.25</v>
      </c>
      <c r="AD236" s="686">
        <f t="shared" si="117"/>
        <v>17.106855681352553</v>
      </c>
      <c r="AE236" s="687">
        <f t="shared" si="118"/>
        <v>-8.4823933695978582</v>
      </c>
      <c r="AG236" s="686">
        <f t="shared" si="119"/>
        <v>2.862896649081347</v>
      </c>
      <c r="AH236" s="687">
        <f t="shared" si="120"/>
        <v>-77.565006026293105</v>
      </c>
      <c r="AJ236" s="170">
        <f t="shared" si="121"/>
        <v>0</v>
      </c>
      <c r="AK236" s="170">
        <f t="shared" si="133"/>
        <v>0</v>
      </c>
      <c r="AM236" s="170" t="str">
        <f t="shared" si="125"/>
        <v>0.071585624796343+0.371546427671164i</v>
      </c>
      <c r="AN236" s="170" t="str">
        <f t="shared" si="126"/>
        <v>0.380674132043755i</v>
      </c>
      <c r="AO236" s="170" t="str">
        <f t="shared" si="127"/>
        <v>0.976022262601385-0.188049617167354i</v>
      </c>
      <c r="AP236" s="170" t="str">
        <f t="shared" si="128"/>
        <v>0.154735729200609-0.0619244046118607i</v>
      </c>
      <c r="AQ236" s="170" t="str">
        <f t="shared" si="129"/>
        <v>0.845264270799391+0.0619244046118607i</v>
      </c>
      <c r="AR236" s="170" t="str">
        <f t="shared" si="130"/>
        <v>0.980229629870175-0.0718120217659375i</v>
      </c>
    </row>
    <row r="237" spans="7:44">
      <c r="G237" s="688">
        <v>14044.75</v>
      </c>
      <c r="H237" s="676">
        <f t="shared" si="122"/>
        <v>14.044750000000001</v>
      </c>
      <c r="I237" s="677">
        <f t="shared" si="102"/>
        <v>115.5180370749938</v>
      </c>
      <c r="J237" s="678">
        <f t="shared" si="103"/>
        <v>1.5621395618830258</v>
      </c>
      <c r="K237" s="678">
        <f t="shared" si="104"/>
        <v>1.0001884352774926</v>
      </c>
      <c r="L237" s="679">
        <f t="shared" si="105"/>
        <v>1.9411630141318463E-2</v>
      </c>
      <c r="M237" s="678">
        <f t="shared" si="106"/>
        <v>1.0028092218058569</v>
      </c>
      <c r="N237" s="679">
        <f t="shared" si="107"/>
        <v>-7.4868699643583461E-2</v>
      </c>
      <c r="O237" s="677">
        <f t="shared" si="108"/>
        <v>582422.06049921352</v>
      </c>
      <c r="P237" s="680">
        <f t="shared" si="109"/>
        <v>1.5707946098269658</v>
      </c>
      <c r="Q237" s="689">
        <f t="shared" si="131"/>
        <v>23.318334642256065</v>
      </c>
      <c r="R237" s="690">
        <f t="shared" si="132"/>
        <v>1.5278984618454434</v>
      </c>
      <c r="S237" s="677">
        <f t="shared" si="110"/>
        <v>1.0055912360899912</v>
      </c>
      <c r="T237" s="680">
        <f t="shared" si="111"/>
        <v>0.10550173632897424</v>
      </c>
      <c r="U237" s="681">
        <f t="shared" si="123"/>
        <v>0.97667998292327962</v>
      </c>
      <c r="V237" s="682">
        <f t="shared" si="124"/>
        <v>-0.26494701645973179</v>
      </c>
      <c r="W237" s="683">
        <f t="shared" si="112"/>
        <v>-21.472382456983915</v>
      </c>
      <c r="X237" s="684">
        <f t="shared" si="113"/>
        <v>-116.3643783633099</v>
      </c>
      <c r="Y237" s="687">
        <f t="shared" si="114"/>
        <v>63.635621636690104</v>
      </c>
      <c r="AA237" s="170">
        <f t="shared" si="115"/>
        <v>14044.75</v>
      </c>
      <c r="AB237" s="170">
        <f t="shared" si="116"/>
        <v>197255002.5625</v>
      </c>
      <c r="AD237" s="686">
        <f t="shared" si="117"/>
        <v>17.106214789736683</v>
      </c>
      <c r="AE237" s="687">
        <f t="shared" si="118"/>
        <v>-8.5025724693777232</v>
      </c>
      <c r="AG237" s="686">
        <f t="shared" si="119"/>
        <v>2.8156717292638422</v>
      </c>
      <c r="AH237" s="687">
        <f t="shared" si="120"/>
        <v>-77.501114183788459</v>
      </c>
      <c r="AJ237" s="170">
        <f t="shared" si="121"/>
        <v>0</v>
      </c>
      <c r="AK237" s="170">
        <f t="shared" si="133"/>
        <v>0</v>
      </c>
      <c r="AM237" s="170" t="str">
        <f t="shared" si="125"/>
        <v>0.072400650220521+0.37357656014355i</v>
      </c>
      <c r="AN237" s="170" t="str">
        <f t="shared" si="126"/>
        <v>0.382861757744389i</v>
      </c>
      <c r="AO237" s="170" t="str">
        <f t="shared" si="127"/>
        <v>0.975747910536842-0.189103896526688i</v>
      </c>
      <c r="AP237" s="170" t="str">
        <f t="shared" si="128"/>
        <v>0.154599891629913-0.062262760023925i</v>
      </c>
      <c r="AQ237" s="170" t="str">
        <f t="shared" si="129"/>
        <v>0.845400108370087+0.062262760023925i</v>
      </c>
      <c r="AR237" s="170" t="str">
        <f t="shared" si="130"/>
        <v>0.980016498758354-0.0721771046366684i</v>
      </c>
    </row>
    <row r="238" spans="7:44">
      <c r="G238" s="688">
        <v>14125</v>
      </c>
      <c r="H238" s="676">
        <f t="shared" si="122"/>
        <v>14.125</v>
      </c>
      <c r="I238" s="677">
        <f t="shared" si="102"/>
        <v>116.17804382141821</v>
      </c>
      <c r="J238" s="678">
        <f t="shared" si="103"/>
        <v>1.5621887421288743</v>
      </c>
      <c r="K238" s="678">
        <f t="shared" si="104"/>
        <v>1.0001905946165393</v>
      </c>
      <c r="L238" s="679">
        <f t="shared" si="105"/>
        <v>1.9522517744318384E-2</v>
      </c>
      <c r="M238" s="678">
        <f t="shared" si="106"/>
        <v>1.0028413710187611</v>
      </c>
      <c r="N238" s="679">
        <f t="shared" si="107"/>
        <v>-7.5294879861166258E-2</v>
      </c>
      <c r="O238" s="677">
        <f t="shared" si="108"/>
        <v>585749.94959335355</v>
      </c>
      <c r="P238" s="680">
        <f t="shared" si="109"/>
        <v>1.5707946195817748</v>
      </c>
      <c r="Q238" s="689">
        <f t="shared" si="131"/>
        <v>23.451328438196974</v>
      </c>
      <c r="R238" s="690">
        <f t="shared" si="132"/>
        <v>1.5281418861065716</v>
      </c>
      <c r="S238" s="677">
        <f t="shared" si="110"/>
        <v>1.0056551337550339</v>
      </c>
      <c r="T238" s="680">
        <f t="shared" si="111"/>
        <v>0.10610005923034597</v>
      </c>
      <c r="U238" s="681">
        <f t="shared" si="123"/>
        <v>0.97642588515243267</v>
      </c>
      <c r="V238" s="682">
        <f t="shared" si="124"/>
        <v>-0.26642664327780252</v>
      </c>
      <c r="W238" s="683">
        <f t="shared" si="112"/>
        <v>-21.524472888852827</v>
      </c>
      <c r="X238" s="684">
        <f t="shared" si="113"/>
        <v>-116.49037224518376</v>
      </c>
      <c r="Y238" s="687">
        <f t="shared" si="114"/>
        <v>63.509627754816236</v>
      </c>
      <c r="AA238" s="170">
        <f t="shared" si="115"/>
        <v>14125</v>
      </c>
      <c r="AB238" s="170">
        <f t="shared" si="116"/>
        <v>199515625</v>
      </c>
      <c r="AD238" s="686">
        <f t="shared" si="117"/>
        <v>17.105572385899141</v>
      </c>
      <c r="AE238" s="687">
        <f t="shared" si="118"/>
        <v>-8.5229072225512272</v>
      </c>
      <c r="AG238" s="686">
        <f t="shared" si="119"/>
        <v>2.7687438150540187</v>
      </c>
      <c r="AH238" s="687">
        <f t="shared" si="120"/>
        <v>-77.437220568435393</v>
      </c>
      <c r="AJ238" s="170">
        <f t="shared" si="121"/>
        <v>0</v>
      </c>
      <c r="AK238" s="170">
        <f t="shared" si="133"/>
        <v>0</v>
      </c>
      <c r="AM238" s="170" t="str">
        <f t="shared" si="125"/>
        <v>0.073220114860894+0.375604904788988i</v>
      </c>
      <c r="AN238" s="170" t="str">
        <f t="shared" si="126"/>
        <v>0.385049383445024i</v>
      </c>
      <c r="AO238" s="170" t="str">
        <f t="shared" si="127"/>
        <v>0.975472032777883-0.190157725239802i</v>
      </c>
      <c r="AP238" s="170" t="str">
        <f t="shared" si="128"/>
        <v>0.154463314189851-0.0626008174648313i</v>
      </c>
      <c r="AQ238" s="170" t="str">
        <f t="shared" si="129"/>
        <v>0.845536685810149+0.0626008174648313i</v>
      </c>
      <c r="AR238" s="170" t="str">
        <f t="shared" si="130"/>
        <v>0.979802369196489-0.0725414169426715i</v>
      </c>
    </row>
    <row r="239" spans="7:44">
      <c r="G239" s="688">
        <v>14207.25</v>
      </c>
      <c r="H239" s="676">
        <f t="shared" si="122"/>
        <v>14.20725</v>
      </c>
      <c r="I239" s="677">
        <f t="shared" si="102"/>
        <v>116.85449962236508</v>
      </c>
      <c r="J239" s="678">
        <f t="shared" si="103"/>
        <v>1.5622385715591254</v>
      </c>
      <c r="K239" s="678">
        <f t="shared" si="104"/>
        <v>1.0001928205328101</v>
      </c>
      <c r="L239" s="679">
        <f t="shared" si="105"/>
        <v>1.9636168403005638E-2</v>
      </c>
      <c r="M239" s="678">
        <f t="shared" si="106"/>
        <v>1.0028745104572698</v>
      </c>
      <c r="N239" s="679">
        <f t="shared" si="107"/>
        <v>-7.5731652956806242E-2</v>
      </c>
      <c r="O239" s="677">
        <f t="shared" si="108"/>
        <v>589160.77673345373</v>
      </c>
      <c r="P239" s="680">
        <f t="shared" si="109"/>
        <v>1.5707946294653399</v>
      </c>
      <c r="Q239" s="689">
        <f t="shared" si="131"/>
        <v>23.587638146797708</v>
      </c>
      <c r="R239" s="690">
        <f t="shared" si="132"/>
        <v>1.5283885285419212</v>
      </c>
      <c r="S239" s="677">
        <f t="shared" si="110"/>
        <v>1.0057209974221843</v>
      </c>
      <c r="T239" s="680">
        <f t="shared" si="111"/>
        <v>0.10671321448627562</v>
      </c>
      <c r="U239" s="681">
        <f t="shared" si="123"/>
        <v>0.97616414822396247</v>
      </c>
      <c r="V239" s="682">
        <f t="shared" si="124"/>
        <v>-0.2679425606072447</v>
      </c>
      <c r="W239" s="683">
        <f t="shared" si="112"/>
        <v>-21.577582778413735</v>
      </c>
      <c r="X239" s="684">
        <f t="shared" si="113"/>
        <v>-116.61959668239471</v>
      </c>
      <c r="Y239" s="687">
        <f t="shared" si="114"/>
        <v>63.380403317605285</v>
      </c>
      <c r="AA239" s="170">
        <f t="shared" si="115"/>
        <v>14207.25</v>
      </c>
      <c r="AB239" s="170">
        <f t="shared" si="116"/>
        <v>201845952.5625</v>
      </c>
      <c r="AD239" s="686">
        <f t="shared" si="117"/>
        <v>17.104912367226664</v>
      </c>
      <c r="AE239" s="687">
        <f t="shared" si="118"/>
        <v>-8.543907426618464</v>
      </c>
      <c r="AG239" s="686">
        <f t="shared" si="119"/>
        <v>2.7209511800413306</v>
      </c>
      <c r="AH239" s="687">
        <f t="shared" si="120"/>
        <v>-77.371733471245108</v>
      </c>
      <c r="AJ239" s="170">
        <f t="shared" si="121"/>
        <v>0</v>
      </c>
      <c r="AK239" s="170">
        <f t="shared" si="133"/>
        <v>0</v>
      </c>
      <c r="AM239" s="170" t="str">
        <f t="shared" si="125"/>
        <v>0.074064604739384+0.377681934706396i</v>
      </c>
      <c r="AN239" s="170" t="str">
        <f t="shared" si="126"/>
        <v>0.387291529412341i</v>
      </c>
      <c r="AO239" s="170" t="str">
        <f t="shared" si="127"/>
        <v>0.975187697183757-0.191237347358891i</v>
      </c>
      <c r="AP239" s="170" t="str">
        <f t="shared" si="128"/>
        <v>0.154322565876769-0.0629469891177327i</v>
      </c>
      <c r="AQ239" s="170" t="str">
        <f t="shared" si="129"/>
        <v>0.845677434123231+0.0629469891177327i</v>
      </c>
      <c r="AR239" s="170" t="str">
        <f t="shared" si="130"/>
        <v>0.979581870631564-0.0729140058165346i</v>
      </c>
    </row>
    <row r="240" spans="7:44">
      <c r="G240" s="688">
        <v>14289.5</v>
      </c>
      <c r="H240" s="676">
        <f t="shared" si="122"/>
        <v>14.2895</v>
      </c>
      <c r="I240" s="677">
        <f t="shared" si="102"/>
        <v>117.53095571011852</v>
      </c>
      <c r="J240" s="678">
        <f t="shared" si="103"/>
        <v>1.5622878273972682</v>
      </c>
      <c r="K240" s="678">
        <f t="shared" si="104"/>
        <v>1.000195059367986</v>
      </c>
      <c r="L240" s="679">
        <f t="shared" si="105"/>
        <v>1.9749818554369906E-2</v>
      </c>
      <c r="M240" s="678">
        <f t="shared" si="106"/>
        <v>1.0029078412022232</v>
      </c>
      <c r="N240" s="679">
        <f t="shared" si="107"/>
        <v>-7.6168397104233412E-2</v>
      </c>
      <c r="O240" s="677">
        <f t="shared" si="108"/>
        <v>592571.6038735538</v>
      </c>
      <c r="P240" s="680">
        <f t="shared" si="109"/>
        <v>1.5707946392351257</v>
      </c>
      <c r="Q240" s="689">
        <f t="shared" si="131"/>
        <v>23.723949273804344</v>
      </c>
      <c r="R240" s="690">
        <f t="shared" si="132"/>
        <v>1.5286323367161037</v>
      </c>
      <c r="S240" s="677">
        <f t="shared" si="110"/>
        <v>1.0057872391499614</v>
      </c>
      <c r="T240" s="680">
        <f t="shared" si="111"/>
        <v>0.10732628920715348</v>
      </c>
      <c r="U240" s="681">
        <f t="shared" si="123"/>
        <v>0.9759010918909824</v>
      </c>
      <c r="V240" s="682">
        <f t="shared" si="124"/>
        <v>-0.26945788302891183</v>
      </c>
      <c r="W240" s="683">
        <f t="shared" si="112"/>
        <v>-21.630413878920685</v>
      </c>
      <c r="X240" s="684">
        <f t="shared" si="113"/>
        <v>-116.74891031031646</v>
      </c>
      <c r="Y240" s="687">
        <f t="shared" si="114"/>
        <v>63.251089689683539</v>
      </c>
      <c r="AA240" s="170">
        <f t="shared" si="115"/>
        <v>14289.5</v>
      </c>
      <c r="AB240" s="170">
        <f t="shared" si="116"/>
        <v>204189810.25</v>
      </c>
      <c r="AD240" s="686">
        <f t="shared" si="117"/>
        <v>17.104250688820354</v>
      </c>
      <c r="AE240" s="687">
        <f t="shared" si="118"/>
        <v>-8.5650654010511573</v>
      </c>
      <c r="AG240" s="686">
        <f t="shared" si="119"/>
        <v>2.6734637291038164</v>
      </c>
      <c r="AH240" s="687">
        <f t="shared" si="120"/>
        <v>-77.30624596580958</v>
      </c>
      <c r="AJ240" s="170">
        <f t="shared" si="121"/>
        <v>0</v>
      </c>
      <c r="AK240" s="170">
        <f t="shared" si="133"/>
        <v>0</v>
      </c>
      <c r="AM240" s="170" t="str">
        <f t="shared" si="125"/>
        <v>0.074913749495508+0.379757065934975i</v>
      </c>
      <c r="AN240" s="170" t="str">
        <f t="shared" si="126"/>
        <v>0.389533675379658i</v>
      </c>
      <c r="AO240" s="170" t="str">
        <f t="shared" si="127"/>
        <v>0.974901760585515-0.192316490795035i</v>
      </c>
      <c r="AP240" s="170" t="str">
        <f t="shared" si="128"/>
        <v>0.154181041750749-0.0632928443224958i</v>
      </c>
      <c r="AQ240" s="170" t="str">
        <f t="shared" si="129"/>
        <v>0.845818958249251+0.0632928443224958i</v>
      </c>
      <c r="AR240" s="170" t="str">
        <f t="shared" si="130"/>
        <v>0.979360330650569-0.0732857786396742i</v>
      </c>
    </row>
    <row r="241" spans="7:44">
      <c r="G241" s="688">
        <v>14371.75</v>
      </c>
      <c r="H241" s="676">
        <f t="shared" si="122"/>
        <v>14.37175</v>
      </c>
      <c r="I241" s="677">
        <f t="shared" si="102"/>
        <v>118.20741207975465</v>
      </c>
      <c r="J241" s="678">
        <f t="shared" si="103"/>
        <v>1.5623365194904149</v>
      </c>
      <c r="K241" s="678">
        <f t="shared" si="104"/>
        <v>1.0001973111219806</v>
      </c>
      <c r="L241" s="679">
        <f t="shared" si="105"/>
        <v>1.9863468195478715E-2</v>
      </c>
      <c r="M241" s="678">
        <f t="shared" si="106"/>
        <v>1.0029413632345483</v>
      </c>
      <c r="N241" s="679">
        <f t="shared" si="107"/>
        <v>-7.660511213972826E-2</v>
      </c>
      <c r="O241" s="677">
        <f t="shared" si="108"/>
        <v>595982.43101365387</v>
      </c>
      <c r="P241" s="680">
        <f t="shared" si="109"/>
        <v>1.5707946488930862</v>
      </c>
      <c r="Q241" s="689">
        <f t="shared" si="131"/>
        <v>23.860261794907274</v>
      </c>
      <c r="R241" s="690">
        <f t="shared" si="132"/>
        <v>1.528873359175873</v>
      </c>
      <c r="S241" s="677">
        <f t="shared" si="110"/>
        <v>1.0058538588636723</v>
      </c>
      <c r="T241" s="680">
        <f t="shared" si="111"/>
        <v>0.10793928294807524</v>
      </c>
      <c r="U241" s="681">
        <f t="shared" si="123"/>
        <v>0.97563671936939556</v>
      </c>
      <c r="V241" s="682">
        <f t="shared" si="124"/>
        <v>-0.27097260774475351</v>
      </c>
      <c r="W241" s="683">
        <f t="shared" si="112"/>
        <v>-21.682969546679409</v>
      </c>
      <c r="X241" s="684">
        <f t="shared" si="113"/>
        <v>-116.87831071671468</v>
      </c>
      <c r="Y241" s="687">
        <f t="shared" si="114"/>
        <v>63.12168928328532</v>
      </c>
      <c r="AA241" s="170">
        <f t="shared" si="115"/>
        <v>14371.75</v>
      </c>
      <c r="AB241" s="170">
        <f t="shared" si="116"/>
        <v>206547198.0625</v>
      </c>
      <c r="AD241" s="686">
        <f t="shared" si="117"/>
        <v>17.103587316228079</v>
      </c>
      <c r="AE241" s="687">
        <f t="shared" si="118"/>
        <v>-8.586378338945984</v>
      </c>
      <c r="AG241" s="686">
        <f t="shared" si="119"/>
        <v>2.6262781027943856</v>
      </c>
      <c r="AH241" s="687">
        <f t="shared" si="120"/>
        <v>-77.24075876743089</v>
      </c>
      <c r="AJ241" s="170">
        <f t="shared" si="121"/>
        <v>0</v>
      </c>
      <c r="AK241" s="170">
        <f t="shared" si="133"/>
        <v>0</v>
      </c>
      <c r="AM241" s="170" t="str">
        <f t="shared" si="125"/>
        <v>0.075767544860433+0.381830288042592i</v>
      </c>
      <c r="AN241" s="170" t="str">
        <f t="shared" si="126"/>
        <v>0.391775821346975i</v>
      </c>
      <c r="AO241" s="170" t="str">
        <f t="shared" si="127"/>
        <v>0.974614223843143-0.193395152870676i</v>
      </c>
      <c r="AP241" s="170" t="str">
        <f t="shared" si="128"/>
        <v>0.154038742523261-0.063638381340432i</v>
      </c>
      <c r="AQ241" s="170" t="str">
        <f t="shared" si="129"/>
        <v>0.845961257476739+0.063638381340432i</v>
      </c>
      <c r="AR241" s="170" t="str">
        <f t="shared" si="130"/>
        <v>0.979137753027511-0.0736567321035878i</v>
      </c>
    </row>
    <row r="242" spans="7:44">
      <c r="G242" s="688">
        <v>14454</v>
      </c>
      <c r="H242" s="676">
        <f t="shared" si="122"/>
        <v>14.454000000000001</v>
      </c>
      <c r="I242" s="677">
        <f t="shared" si="102"/>
        <v>118.8838687264617</v>
      </c>
      <c r="J242" s="678">
        <f t="shared" si="103"/>
        <v>1.5623846574615652</v>
      </c>
      <c r="K242" s="678">
        <f t="shared" si="104"/>
        <v>1.0001995757947062</v>
      </c>
      <c r="L242" s="679">
        <f t="shared" si="105"/>
        <v>1.9977117323399664E-2</v>
      </c>
      <c r="M242" s="678">
        <f t="shared" si="106"/>
        <v>1.0029750765350647</v>
      </c>
      <c r="N242" s="679">
        <f t="shared" si="107"/>
        <v>-7.7041797899637568E-2</v>
      </c>
      <c r="O242" s="677">
        <f t="shared" si="108"/>
        <v>599393.25815375417</v>
      </c>
      <c r="P242" s="680">
        <f t="shared" si="109"/>
        <v>1.5707946584411299</v>
      </c>
      <c r="Q242" s="689">
        <f t="shared" si="131"/>
        <v>23.996575686349022</v>
      </c>
      <c r="R242" s="690">
        <f t="shared" si="132"/>
        <v>1.5291116433662051</v>
      </c>
      <c r="S242" s="677">
        <f t="shared" si="110"/>
        <v>1.0059208564882176</v>
      </c>
      <c r="T242" s="680">
        <f t="shared" si="111"/>
        <v>0.10855219526449747</v>
      </c>
      <c r="U242" s="681">
        <f t="shared" si="123"/>
        <v>0.9753710338865883</v>
      </c>
      <c r="V242" s="682">
        <f t="shared" si="124"/>
        <v>-0.27248673196689005</v>
      </c>
      <c r="W242" s="683">
        <f t="shared" si="112"/>
        <v>-21.735253079732388</v>
      </c>
      <c r="X242" s="684">
        <f t="shared" si="113"/>
        <v>-117.00779554024636</v>
      </c>
      <c r="Y242" s="687">
        <f t="shared" si="114"/>
        <v>62.992204459753637</v>
      </c>
      <c r="AA242" s="170">
        <f t="shared" si="115"/>
        <v>14454</v>
      </c>
      <c r="AB242" s="170">
        <f t="shared" si="116"/>
        <v>208918116</v>
      </c>
      <c r="AD242" s="686">
        <f t="shared" si="117"/>
        <v>17.102922216016708</v>
      </c>
      <c r="AE242" s="687">
        <f t="shared" si="118"/>
        <v>-8.6078434965449766</v>
      </c>
      <c r="AG242" s="686">
        <f t="shared" si="119"/>
        <v>2.5793909987596781</v>
      </c>
      <c r="AH242" s="687">
        <f t="shared" si="120"/>
        <v>-77.175272577991393</v>
      </c>
      <c r="AJ242" s="170">
        <f t="shared" si="121"/>
        <v>0</v>
      </c>
      <c r="AK242" s="170">
        <f t="shared" si="133"/>
        <v>0</v>
      </c>
      <c r="AM242" s="170" t="str">
        <f t="shared" si="125"/>
        <v>0.076625986541944+0.383901590606711i</v>
      </c>
      <c r="AN242" s="170" t="str">
        <f t="shared" si="126"/>
        <v>0.394017967314292i</v>
      </c>
      <c r="AO242" s="170" t="str">
        <f t="shared" si="127"/>
        <v>0.97432508782141-0.194473330909863i</v>
      </c>
      <c r="AP242" s="170" t="str">
        <f t="shared" si="128"/>
        <v>0.153895668909676-0.0639835984344518i</v>
      </c>
      <c r="AQ242" s="170" t="str">
        <f t="shared" si="129"/>
        <v>0.846104331090324+0.0639835984344518i</v>
      </c>
      <c r="AR242" s="170" t="str">
        <f t="shared" si="130"/>
        <v>0.97891414154819-0.0740268629211627i</v>
      </c>
    </row>
    <row r="243" spans="7:44">
      <c r="G243" s="688">
        <v>14622.5</v>
      </c>
      <c r="H243" s="676">
        <f t="shared" si="122"/>
        <v>14.6225</v>
      </c>
      <c r="I243" s="677">
        <f t="shared" si="102"/>
        <v>120.26968045308188</v>
      </c>
      <c r="J243" s="678">
        <f t="shared" si="103"/>
        <v>1.5624815834712391</v>
      </c>
      <c r="K243" s="678">
        <f t="shared" si="104"/>
        <v>1.0002042556179835</v>
      </c>
      <c r="L243" s="679">
        <f t="shared" si="105"/>
        <v>2.0209940973580458E-2</v>
      </c>
      <c r="M243" s="678">
        <f t="shared" si="106"/>
        <v>1.0030447398925575</v>
      </c>
      <c r="N243" s="679">
        <f t="shared" si="107"/>
        <v>-7.7936314306850427E-2</v>
      </c>
      <c r="O243" s="677">
        <f t="shared" si="108"/>
        <v>606380.78852587461</v>
      </c>
      <c r="P243" s="680">
        <f t="shared" si="109"/>
        <v>1.570794677666133</v>
      </c>
      <c r="Q243" s="689">
        <f t="shared" si="131"/>
        <v>24.275836898191962</v>
      </c>
      <c r="R243" s="690">
        <f t="shared" si="132"/>
        <v>1.5295914433548954</v>
      </c>
      <c r="S243" s="677">
        <f t="shared" si="110"/>
        <v>1.0060592897878033</v>
      </c>
      <c r="T243" s="680">
        <f t="shared" si="111"/>
        <v>0.10980757104231476</v>
      </c>
      <c r="U243" s="681">
        <f t="shared" si="123"/>
        <v>0.97482265564113291</v>
      </c>
      <c r="V243" s="682">
        <f t="shared" si="124"/>
        <v>-0.27558672873745638</v>
      </c>
      <c r="W243" s="683">
        <f t="shared" si="112"/>
        <v>-21.841526595424796</v>
      </c>
      <c r="X243" s="684">
        <f t="shared" si="113"/>
        <v>-117.2733162465201</v>
      </c>
      <c r="Y243" s="687">
        <f t="shared" si="114"/>
        <v>62.726683753479904</v>
      </c>
      <c r="AA243" s="170">
        <f t="shared" si="115"/>
        <v>14622.5</v>
      </c>
      <c r="AB243" s="170">
        <f t="shared" si="116"/>
        <v>213817506.25</v>
      </c>
      <c r="AD243" s="686">
        <f t="shared" si="117"/>
        <v>17.101554139653768</v>
      </c>
      <c r="AE243" s="687">
        <f t="shared" si="118"/>
        <v>-8.6522818175168013</v>
      </c>
      <c r="AG243" s="686">
        <f t="shared" si="119"/>
        <v>2.4842551593854503</v>
      </c>
      <c r="AH243" s="687">
        <f t="shared" si="120"/>
        <v>-77.041121499972135</v>
      </c>
      <c r="AJ243" s="170">
        <f t="shared" si="121"/>
        <v>0</v>
      </c>
      <c r="AK243" s="170">
        <f t="shared" si="133"/>
        <v>0</v>
      </c>
      <c r="AM243" s="170" t="str">
        <f t="shared" si="125"/>
        <v>0.078399108961717+0.388138889622573i</v>
      </c>
      <c r="AN243" s="170" t="str">
        <f t="shared" si="126"/>
        <v>0.398611299782291i</v>
      </c>
      <c r="AO243" s="170" t="str">
        <f t="shared" si="127"/>
        <v>0.973727763950902-0.196680598378762i</v>
      </c>
      <c r="AP243" s="170" t="str">
        <f t="shared" si="128"/>
        <v>0.153600148506381-0.0646898149370955i</v>
      </c>
      <c r="AQ243" s="170" t="str">
        <f t="shared" si="129"/>
        <v>0.846399851493619+0.0646898149370955i</v>
      </c>
      <c r="AR243" s="170" t="str">
        <f t="shared" si="130"/>
        <v>0.978452831395248-0.0747825421707472i</v>
      </c>
    </row>
    <row r="244" spans="7:44">
      <c r="G244" s="688">
        <v>14706.75</v>
      </c>
      <c r="H244" s="676">
        <f t="shared" si="122"/>
        <v>14.70675</v>
      </c>
      <c r="I244" s="677">
        <f t="shared" si="102"/>
        <v>120.96258673282</v>
      </c>
      <c r="J244" s="678">
        <f t="shared" si="103"/>
        <v>1.5625292136489155</v>
      </c>
      <c r="K244" s="678">
        <f t="shared" si="104"/>
        <v>1.0002066158612009</v>
      </c>
      <c r="L244" s="679">
        <f t="shared" si="105"/>
        <v>2.0326351978504374E-2</v>
      </c>
      <c r="M244" s="678">
        <f t="shared" si="106"/>
        <v>1.0030798725133403</v>
      </c>
      <c r="N244" s="679">
        <f t="shared" si="107"/>
        <v>-7.8383525738775731E-2</v>
      </c>
      <c r="O244" s="677">
        <f t="shared" si="108"/>
        <v>609874.55371193483</v>
      </c>
      <c r="P244" s="680">
        <f t="shared" si="109"/>
        <v>1.5707946871134344</v>
      </c>
      <c r="Q244" s="689">
        <f t="shared" si="131"/>
        <v>24.415469563842731</v>
      </c>
      <c r="R244" s="690">
        <f t="shared" si="132"/>
        <v>1.5298272274011071</v>
      </c>
      <c r="S244" s="677">
        <f t="shared" si="110"/>
        <v>1.0061291008837294</v>
      </c>
      <c r="T244" s="680">
        <f t="shared" si="111"/>
        <v>0.11043512889136448</v>
      </c>
      <c r="U244" s="681">
        <f t="shared" si="123"/>
        <v>0.97454641397605957</v>
      </c>
      <c r="V244" s="682">
        <f t="shared" si="124"/>
        <v>-0.27713577024902958</v>
      </c>
      <c r="W244" s="683">
        <f t="shared" si="112"/>
        <v>-21.894248655952179</v>
      </c>
      <c r="X244" s="684">
        <f t="shared" si="113"/>
        <v>-117.40619979077918</v>
      </c>
      <c r="Y244" s="687">
        <f t="shared" si="114"/>
        <v>62.593800209220817</v>
      </c>
      <c r="AA244" s="170">
        <f t="shared" si="115"/>
        <v>14706.75</v>
      </c>
      <c r="AB244" s="170">
        <f t="shared" si="116"/>
        <v>216288495.5625</v>
      </c>
      <c r="AD244" s="686">
        <f t="shared" si="117"/>
        <v>17.100867247838682</v>
      </c>
      <c r="AE244" s="687">
        <f t="shared" si="118"/>
        <v>-8.6747293442593598</v>
      </c>
      <c r="AG244" s="686">
        <f t="shared" si="119"/>
        <v>2.4371434393309159</v>
      </c>
      <c r="AH244" s="687">
        <f t="shared" si="120"/>
        <v>-76.974050435478404</v>
      </c>
      <c r="AJ244" s="170">
        <f t="shared" si="121"/>
        <v>0</v>
      </c>
      <c r="AK244" s="170">
        <f t="shared" si="133"/>
        <v>0</v>
      </c>
      <c r="AM244" s="170" t="str">
        <f t="shared" si="125"/>
        <v>0.079292964231838+0.390254473756554i</v>
      </c>
      <c r="AN244" s="170" t="str">
        <f t="shared" si="126"/>
        <v>0.40090796601629i</v>
      </c>
      <c r="AO244" s="170" t="str">
        <f t="shared" si="127"/>
        <v>0.97342658873657-0.19778345893136i</v>
      </c>
      <c r="AP244" s="170" t="str">
        <f t="shared" si="128"/>
        <v>0.153451172628027-0.065042412292759i</v>
      </c>
      <c r="AQ244" s="170" t="str">
        <f t="shared" si="129"/>
        <v>0.846548827371973+0.065042412292759i</v>
      </c>
      <c r="AR244" s="170" t="str">
        <f t="shared" si="130"/>
        <v>0.978220565422866-0.0751590732539432i</v>
      </c>
    </row>
    <row r="245" spans="7:44">
      <c r="G245" s="688">
        <v>14791</v>
      </c>
      <c r="H245" s="676">
        <f t="shared" si="122"/>
        <v>14.791</v>
      </c>
      <c r="I245" s="677">
        <f t="shared" si="102"/>
        <v>121.65549328385194</v>
      </c>
      <c r="J245" s="678">
        <f t="shared" si="103"/>
        <v>1.5625763012574927</v>
      </c>
      <c r="K245" s="678">
        <f t="shared" si="104"/>
        <v>1.0002089896586761</v>
      </c>
      <c r="L245" s="679">
        <f t="shared" si="105"/>
        <v>2.0442762432449E-2</v>
      </c>
      <c r="M245" s="678">
        <f t="shared" si="106"/>
        <v>1.0031152057340809</v>
      </c>
      <c r="N245" s="679">
        <f t="shared" si="107"/>
        <v>-7.883070575543405E-2</v>
      </c>
      <c r="O245" s="677">
        <f t="shared" si="108"/>
        <v>613368.31889799517</v>
      </c>
      <c r="P245" s="680">
        <f t="shared" si="109"/>
        <v>1.5707946964531114</v>
      </c>
      <c r="Q245" s="689">
        <f t="shared" si="131"/>
        <v>24.555103571412694</v>
      </c>
      <c r="R245" s="690">
        <f t="shared" si="132"/>
        <v>1.5300603298610982</v>
      </c>
      <c r="S245" s="677">
        <f t="shared" si="110"/>
        <v>1.0061993081672518</v>
      </c>
      <c r="T245" s="680">
        <f t="shared" si="111"/>
        <v>0.1110625994121445</v>
      </c>
      <c r="U245" s="681">
        <f t="shared" si="123"/>
        <v>0.97426880863539844</v>
      </c>
      <c r="V245" s="682">
        <f t="shared" si="124"/>
        <v>-0.27868416990569983</v>
      </c>
      <c r="W245" s="683">
        <f t="shared" si="112"/>
        <v>-21.946698677147559</v>
      </c>
      <c r="X245" s="684">
        <f t="shared" si="113"/>
        <v>-117.5391623380136</v>
      </c>
      <c r="Y245" s="687">
        <f t="shared" si="114"/>
        <v>62.460837661986403</v>
      </c>
      <c r="AA245" s="170">
        <f t="shared" si="115"/>
        <v>14791</v>
      </c>
      <c r="AB245" s="170">
        <f t="shared" si="116"/>
        <v>218773681</v>
      </c>
      <c r="AD245" s="686">
        <f t="shared" si="117"/>
        <v>17.100178410811314</v>
      </c>
      <c r="AE245" s="687">
        <f t="shared" si="118"/>
        <v>-8.6973255048672229</v>
      </c>
      <c r="AG245" s="686">
        <f t="shared" si="119"/>
        <v>2.3903314147143115</v>
      </c>
      <c r="AH245" s="687">
        <f t="shared" si="120"/>
        <v>-76.906983291248778</v>
      </c>
      <c r="AJ245" s="170">
        <f t="shared" si="121"/>
        <v>0</v>
      </c>
      <c r="AK245" s="170">
        <f t="shared" si="133"/>
        <v>0</v>
      </c>
      <c r="AM245" s="170" t="str">
        <f t="shared" si="125"/>
        <v>0.080191675930936+0.392367999425616i</v>
      </c>
      <c r="AN245" s="170" t="str">
        <f t="shared" si="126"/>
        <v>0.40320463225029i</v>
      </c>
      <c r="AO245" s="170" t="str">
        <f t="shared" si="127"/>
        <v>0.973123739268087-0.198885800203696i</v>
      </c>
      <c r="AP245" s="170" t="str">
        <f t="shared" si="128"/>
        <v>0.153301387344844-0.065394666570936i</v>
      </c>
      <c r="AQ245" s="170" t="str">
        <f t="shared" si="129"/>
        <v>0.846698612655156+0.065394666570936i</v>
      </c>
      <c r="AR245" s="170" t="str">
        <f t="shared" si="130"/>
        <v>0.977987231007221-0.0755347273828567i</v>
      </c>
    </row>
    <row r="246" spans="7:44">
      <c r="G246" s="688">
        <v>14877.25</v>
      </c>
      <c r="H246" s="676">
        <f t="shared" si="122"/>
        <v>14.87725</v>
      </c>
      <c r="I246" s="677">
        <f t="shared" si="102"/>
        <v>122.3648489313051</v>
      </c>
      <c r="J246" s="678">
        <f t="shared" si="103"/>
        <v>1.5626239542540947</v>
      </c>
      <c r="K246" s="678">
        <f t="shared" si="104"/>
        <v>1.0002114338480472</v>
      </c>
      <c r="L246" s="679">
        <f t="shared" si="105"/>
        <v>2.0561935765262249E-2</v>
      </c>
      <c r="M246" s="678">
        <f t="shared" si="106"/>
        <v>1.0031515855030131</v>
      </c>
      <c r="N246" s="679">
        <f t="shared" si="107"/>
        <v>-7.9288468595432343E-2</v>
      </c>
      <c r="O246" s="677">
        <f t="shared" si="108"/>
        <v>616945.02213001554</v>
      </c>
      <c r="P246" s="680">
        <f t="shared" si="109"/>
        <v>1.5707947059049241</v>
      </c>
      <c r="Q246" s="689">
        <f t="shared" si="131"/>
        <v>24.698053699188698</v>
      </c>
      <c r="R246" s="690">
        <f t="shared" si="132"/>
        <v>1.5302962355432528</v>
      </c>
      <c r="S246" s="677">
        <f t="shared" si="110"/>
        <v>1.0062715924127341</v>
      </c>
      <c r="T246" s="680">
        <f t="shared" si="111"/>
        <v>0.11170487441633004</v>
      </c>
      <c r="U246" s="681">
        <f t="shared" si="123"/>
        <v>0.9739832043242258</v>
      </c>
      <c r="V246" s="682">
        <f t="shared" si="124"/>
        <v>-0.28026865886346131</v>
      </c>
      <c r="W246" s="683">
        <f t="shared" si="112"/>
        <v>-22.000115390109023</v>
      </c>
      <c r="X246" s="684">
        <f t="shared" si="113"/>
        <v>-117.67536072209454</v>
      </c>
      <c r="Y246" s="687">
        <f t="shared" si="114"/>
        <v>62.324639277905462</v>
      </c>
      <c r="AA246" s="170">
        <f t="shared" si="115"/>
        <v>14877.25</v>
      </c>
      <c r="AB246" s="170">
        <f t="shared" si="116"/>
        <v>221332567.5625</v>
      </c>
      <c r="AD246" s="686">
        <f t="shared" si="117"/>
        <v>17.099471174284297</v>
      </c>
      <c r="AE246" s="687">
        <f t="shared" si="118"/>
        <v>-8.7206092935187627</v>
      </c>
      <c r="AG246" s="686">
        <f t="shared" si="119"/>
        <v>2.3427151757630416</v>
      </c>
      <c r="AH246" s="687">
        <f t="shared" si="120"/>
        <v>-76.838328826541087</v>
      </c>
      <c r="AJ246" s="170">
        <f t="shared" si="121"/>
        <v>0</v>
      </c>
      <c r="AK246" s="170">
        <f t="shared" si="133"/>
        <v>0</v>
      </c>
      <c r="AM246" s="170" t="str">
        <f t="shared" si="125"/>
        <v>0.081116747809407+0.394529553827895i</v>
      </c>
      <c r="AN246" s="170" t="str">
        <f t="shared" si="126"/>
        <v>0.405555818750972i</v>
      </c>
      <c r="AO246" s="170" t="str">
        <f t="shared" si="127"/>
        <v>0.972811967149095-0.200013768904191i</v>
      </c>
      <c r="AP246" s="170" t="str">
        <f t="shared" si="128"/>
        <v>0.153147208698432-0.0657549256379825i</v>
      </c>
      <c r="AQ246" s="170" t="str">
        <f t="shared" si="129"/>
        <v>0.846852791301568+0.0657549256379825i</v>
      </c>
      <c r="AR246" s="170" t="str">
        <f t="shared" si="130"/>
        <v>0.977747255018839-0.0759183871233303i</v>
      </c>
    </row>
    <row r="247" spans="7:44">
      <c r="G247" s="688">
        <v>14963.5</v>
      </c>
      <c r="H247" s="676">
        <f t="shared" si="122"/>
        <v>14.9635</v>
      </c>
      <c r="I247" s="677">
        <f t="shared" si="102"/>
        <v>123.07420485342232</v>
      </c>
      <c r="J247" s="678">
        <f t="shared" si="103"/>
        <v>1.5626710579409717</v>
      </c>
      <c r="K247" s="678">
        <f t="shared" si="104"/>
        <v>1.0002138922426349</v>
      </c>
      <c r="L247" s="679">
        <f t="shared" si="105"/>
        <v>2.0681108513943166E-2</v>
      </c>
      <c r="M247" s="678">
        <f t="shared" si="106"/>
        <v>1.0031881754638963</v>
      </c>
      <c r="N247" s="679">
        <f t="shared" si="107"/>
        <v>-7.9746198138753194E-2</v>
      </c>
      <c r="O247" s="677">
        <f t="shared" si="108"/>
        <v>620521.7253620358</v>
      </c>
      <c r="P247" s="680">
        <f t="shared" si="109"/>
        <v>1.5707947152477757</v>
      </c>
      <c r="Q247" s="689">
        <f t="shared" si="131"/>
        <v>24.841005185628951</v>
      </c>
      <c r="R247" s="690">
        <f t="shared" si="132"/>
        <v>1.5305294261252711</v>
      </c>
      <c r="S247" s="677">
        <f t="shared" si="110"/>
        <v>1.0063442917028045</v>
      </c>
      <c r="T247" s="680">
        <f t="shared" si="111"/>
        <v>0.11234705688825353</v>
      </c>
      <c r="U247" s="681">
        <f t="shared" si="123"/>
        <v>0.97369617832385513</v>
      </c>
      <c r="V247" s="682">
        <f t="shared" si="124"/>
        <v>-0.28185246890734278</v>
      </c>
      <c r="W247" s="683">
        <f t="shared" si="112"/>
        <v>-22.05325382147192</v>
      </c>
      <c r="X247" s="684">
        <f t="shared" si="113"/>
        <v>-117.8116371156836</v>
      </c>
      <c r="Y247" s="687">
        <f t="shared" si="114"/>
        <v>62.188362884316405</v>
      </c>
      <c r="AA247" s="170">
        <f t="shared" si="115"/>
        <v>14963.5</v>
      </c>
      <c r="AB247" s="170">
        <f t="shared" si="116"/>
        <v>223906332.25</v>
      </c>
      <c r="AD247" s="686">
        <f t="shared" si="117"/>
        <v>17.09876183454687</v>
      </c>
      <c r="AE247" s="687">
        <f t="shared" si="118"/>
        <v>-8.7440433379981588</v>
      </c>
      <c r="AG247" s="686">
        <f t="shared" si="119"/>
        <v>2.2954061797811005</v>
      </c>
      <c r="AH247" s="687">
        <f t="shared" si="120"/>
        <v>-76.769679913313709</v>
      </c>
      <c r="AJ247" s="170">
        <f t="shared" si="121"/>
        <v>0</v>
      </c>
      <c r="AK247" s="170">
        <f t="shared" si="133"/>
        <v>0</v>
      </c>
      <c r="AM247" s="170" t="str">
        <f t="shared" si="125"/>
        <v>0.0820468993437919+0.396688927241049i</v>
      </c>
      <c r="AN247" s="170" t="str">
        <f t="shared" si="126"/>
        <v>0.407907005251654i</v>
      </c>
      <c r="AO247" s="170" t="str">
        <f t="shared" si="127"/>
        <v>0.972498442374913-0.201141187298742i</v>
      </c>
      <c r="AP247" s="170" t="str">
        <f t="shared" si="128"/>
        <v>0.152992183442701-0.0661148212068415i</v>
      </c>
      <c r="AQ247" s="170" t="str">
        <f t="shared" si="129"/>
        <v>0.847007816557299+0.0661148212068415i</v>
      </c>
      <c r="AR247" s="170" t="str">
        <f t="shared" si="130"/>
        <v>0.977506168032107-0.0763011205619205i</v>
      </c>
    </row>
    <row r="248" spans="7:44">
      <c r="G248" s="688">
        <v>15049.75</v>
      </c>
      <c r="H248" s="676">
        <f t="shared" si="122"/>
        <v>15.04975</v>
      </c>
      <c r="I248" s="677">
        <f t="shared" si="102"/>
        <v>123.78356104548156</v>
      </c>
      <c r="J248" s="678">
        <f t="shared" si="103"/>
        <v>1.5627176217615637</v>
      </c>
      <c r="K248" s="678">
        <f t="shared" si="104"/>
        <v>1.0002163648423346</v>
      </c>
      <c r="L248" s="679">
        <f t="shared" si="105"/>
        <v>2.0800280675111055E-2</v>
      </c>
      <c r="M248" s="678">
        <f t="shared" si="106"/>
        <v>1.0032249755937315</v>
      </c>
      <c r="N248" s="679">
        <f t="shared" si="107"/>
        <v>-8.0203894197246758E-2</v>
      </c>
      <c r="O248" s="677">
        <f t="shared" si="108"/>
        <v>624098.42859405617</v>
      </c>
      <c r="P248" s="680">
        <f t="shared" si="109"/>
        <v>1.5707947244835396</v>
      </c>
      <c r="Q248" s="689">
        <f t="shared" si="131"/>
        <v>24.983958007411726</v>
      </c>
      <c r="R248" s="690">
        <f t="shared" si="132"/>
        <v>1.5307599481872256</v>
      </c>
      <c r="S248" s="677">
        <f t="shared" si="110"/>
        <v>1.0064174059475197</v>
      </c>
      <c r="T248" s="680">
        <f t="shared" si="111"/>
        <v>0.1129891463183551</v>
      </c>
      <c r="U248" s="681">
        <f t="shared" si="123"/>
        <v>0.973407734447166</v>
      </c>
      <c r="V248" s="682">
        <f t="shared" si="124"/>
        <v>-0.28343559690778813</v>
      </c>
      <c r="W248" s="683">
        <f t="shared" si="112"/>
        <v>-22.106117334989719</v>
      </c>
      <c r="X248" s="684">
        <f t="shared" si="113"/>
        <v>-117.94798917202334</v>
      </c>
      <c r="Y248" s="687">
        <f t="shared" si="114"/>
        <v>62.052010827976659</v>
      </c>
      <c r="AA248" s="170">
        <f t="shared" si="115"/>
        <v>15049.75</v>
      </c>
      <c r="AB248" s="170">
        <f t="shared" si="116"/>
        <v>226494975.0625</v>
      </c>
      <c r="AD248" s="686">
        <f t="shared" si="117"/>
        <v>17.098050360404308</v>
      </c>
      <c r="AE248" s="687">
        <f t="shared" si="118"/>
        <v>-8.7676249403755193</v>
      </c>
      <c r="AG248" s="686">
        <f t="shared" si="119"/>
        <v>2.2484010494775242</v>
      </c>
      <c r="AH248" s="687">
        <f t="shared" si="120"/>
        <v>-76.701037261359772</v>
      </c>
      <c r="AJ248" s="170">
        <f t="shared" si="121"/>
        <v>0</v>
      </c>
      <c r="AK248" s="170">
        <f t="shared" si="133"/>
        <v>0</v>
      </c>
      <c r="AM248" s="170" t="str">
        <f t="shared" si="125"/>
        <v>0.082982125392145+0.398846107727896i</v>
      </c>
      <c r="AN248" s="170" t="str">
        <f t="shared" si="126"/>
        <v>0.410258191752336i</v>
      </c>
      <c r="AO248" s="170" t="str">
        <f t="shared" si="127"/>
        <v>0.972183165982145-0.202268052315308i</v>
      </c>
      <c r="AP248" s="170" t="str">
        <f t="shared" si="128"/>
        <v>0.152836312434642-0.0664743512879827i</v>
      </c>
      <c r="AQ248" s="170" t="str">
        <f t="shared" si="129"/>
        <v>0.847163687565358+0.0664743512879827i</v>
      </c>
      <c r="AR248" s="170" t="str">
        <f t="shared" si="130"/>
        <v>0.977263974505066-0.0766829240864129i</v>
      </c>
    </row>
    <row r="249" spans="7:44">
      <c r="G249" s="688">
        <v>15136</v>
      </c>
      <c r="H249" s="676">
        <f t="shared" si="122"/>
        <v>15.135999999999999</v>
      </c>
      <c r="I249" s="677">
        <f t="shared" si="102"/>
        <v>124.49291750286851</v>
      </c>
      <c r="J249" s="678">
        <f t="shared" si="103"/>
        <v>1.5627636549440869</v>
      </c>
      <c r="K249" s="678">
        <f t="shared" si="104"/>
        <v>1.0002188516470405</v>
      </c>
      <c r="L249" s="679">
        <f t="shared" si="105"/>
        <v>2.0919452245385318E-2</v>
      </c>
      <c r="M249" s="678">
        <f t="shared" si="106"/>
        <v>1.0032619858693916</v>
      </c>
      <c r="N249" s="679">
        <f t="shared" si="107"/>
        <v>-8.0661556582846794E-2</v>
      </c>
      <c r="O249" s="677">
        <f t="shared" si="108"/>
        <v>627675.13182607654</v>
      </c>
      <c r="P249" s="680">
        <f t="shared" si="109"/>
        <v>1.5707947336140466</v>
      </c>
      <c r="Q249" s="689">
        <f t="shared" si="131"/>
        <v>25.126912141745795</v>
      </c>
      <c r="R249" s="690">
        <f t="shared" si="132"/>
        <v>1.5309878472503082</v>
      </c>
      <c r="S249" s="677">
        <f t="shared" si="110"/>
        <v>1.0064909350564495</v>
      </c>
      <c r="T249" s="680">
        <f t="shared" si="111"/>
        <v>0.11363114219752934</v>
      </c>
      <c r="U249" s="681">
        <f t="shared" si="123"/>
        <v>0.97311787651989612</v>
      </c>
      <c r="V249" s="682">
        <f t="shared" si="124"/>
        <v>-0.28501803974783041</v>
      </c>
      <c r="W249" s="683">
        <f t="shared" si="112"/>
        <v>-22.158709235900108</v>
      </c>
      <c r="X249" s="684">
        <f t="shared" si="113"/>
        <v>-118.08441459344397</v>
      </c>
      <c r="Y249" s="687">
        <f t="shared" si="114"/>
        <v>61.915585406556033</v>
      </c>
      <c r="AA249" s="170">
        <f t="shared" si="115"/>
        <v>15136</v>
      </c>
      <c r="AB249" s="170">
        <f t="shared" si="116"/>
        <v>229098496</v>
      </c>
      <c r="AD249" s="686">
        <f t="shared" si="117"/>
        <v>17.097336721598747</v>
      </c>
      <c r="AE249" s="687">
        <f t="shared" si="118"/>
        <v>-8.7913514634140082</v>
      </c>
      <c r="AG249" s="686">
        <f t="shared" si="119"/>
        <v>2.2016964649681152</v>
      </c>
      <c r="AH249" s="687">
        <f t="shared" si="120"/>
        <v>-76.632401567424481</v>
      </c>
      <c r="AJ249" s="170">
        <f t="shared" si="121"/>
        <v>0</v>
      </c>
      <c r="AK249" s="170">
        <f t="shared" si="133"/>
        <v>0</v>
      </c>
      <c r="AM249" s="170" t="str">
        <f t="shared" si="125"/>
        <v>0.083922420784465+0.401001083363381i</v>
      </c>
      <c r="AN249" s="170" t="str">
        <f t="shared" si="126"/>
        <v>0.412609378253018i</v>
      </c>
      <c r="AO249" s="170" t="str">
        <f t="shared" si="127"/>
        <v>0.97186613901316-0.203394360883873i</v>
      </c>
      <c r="AP249" s="170" t="str">
        <f t="shared" si="128"/>
        <v>0.152679596535923-0.0668335138938968i</v>
      </c>
      <c r="AQ249" s="170" t="str">
        <f t="shared" si="129"/>
        <v>0.847320403464077+0.0668335138938968i</v>
      </c>
      <c r="AR249" s="170" t="str">
        <f t="shared" si="130"/>
        <v>0.977020678908595-0.0770637941108312i</v>
      </c>
    </row>
    <row r="250" spans="7:44">
      <c r="G250" s="688">
        <v>15224</v>
      </c>
      <c r="H250" s="676">
        <f t="shared" si="122"/>
        <v>15.224</v>
      </c>
      <c r="I250" s="677">
        <f t="shared" si="102"/>
        <v>125.21666696874918</v>
      </c>
      <c r="J250" s="678">
        <f t="shared" si="103"/>
        <v>1.562810084593294</v>
      </c>
      <c r="K250" s="678">
        <f t="shared" si="104"/>
        <v>1.0002214035488002</v>
      </c>
      <c r="L250" s="679">
        <f t="shared" si="105"/>
        <v>2.1041041177042589E-2</v>
      </c>
      <c r="M250" s="678">
        <f t="shared" si="106"/>
        <v>1.0032999636388733</v>
      </c>
      <c r="N250" s="679">
        <f t="shared" si="107"/>
        <v>-8.1128469972218939E-2</v>
      </c>
      <c r="O250" s="677">
        <f t="shared" si="108"/>
        <v>631324.40584831196</v>
      </c>
      <c r="P250" s="680">
        <f t="shared" si="109"/>
        <v>1.5707947428231845</v>
      </c>
      <c r="Q250" s="689">
        <f t="shared" si="131"/>
        <v>25.272768124405342</v>
      </c>
      <c r="R250" s="690">
        <f t="shared" si="132"/>
        <v>1.5312177131434896</v>
      </c>
      <c r="S250" s="677">
        <f t="shared" si="110"/>
        <v>1.0065663835419163</v>
      </c>
      <c r="T250" s="680">
        <f t="shared" si="111"/>
        <v>0.11428606713488626</v>
      </c>
      <c r="U250" s="681">
        <f t="shared" si="123"/>
        <v>0.97282068402219135</v>
      </c>
      <c r="V250" s="682">
        <f t="shared" si="124"/>
        <v>-0.28663188074860318</v>
      </c>
      <c r="W250" s="683">
        <f t="shared" si="112"/>
        <v>-22.212091653799803</v>
      </c>
      <c r="X250" s="684">
        <f t="shared" si="113"/>
        <v>-118.22368134560597</v>
      </c>
      <c r="Y250" s="687">
        <f t="shared" si="114"/>
        <v>61.776318654394032</v>
      </c>
      <c r="AA250" s="170">
        <f t="shared" si="115"/>
        <v>15224</v>
      </c>
      <c r="AB250" s="170">
        <f t="shared" si="116"/>
        <v>231770176</v>
      </c>
      <c r="AD250" s="686">
        <f t="shared" si="117"/>
        <v>17.096606341723877</v>
      </c>
      <c r="AE250" s="687">
        <f t="shared" si="118"/>
        <v>-8.8157060803616893</v>
      </c>
      <c r="AG250" s="686">
        <f t="shared" si="119"/>
        <v>2.1543506196643478</v>
      </c>
      <c r="AH250" s="687">
        <f t="shared" si="120"/>
        <v>-76.562381146128544</v>
      </c>
      <c r="AJ250" s="170">
        <f t="shared" si="121"/>
        <v>0</v>
      </c>
      <c r="AK250" s="170">
        <f t="shared" si="133"/>
        <v>0</v>
      </c>
      <c r="AM250" s="170" t="str">
        <f t="shared" si="125"/>
        <v>0.084887013912164+0.403197498371956i</v>
      </c>
      <c r="AN250" s="170" t="str">
        <f t="shared" si="126"/>
        <v>0.415008269987047i</v>
      </c>
      <c r="AO250" s="170" t="str">
        <f t="shared" si="127"/>
        <v>0.971540876485523-0.204542945408807i</v>
      </c>
      <c r="AP250" s="170" t="str">
        <f t="shared" si="128"/>
        <v>0.152518831014639-0.0671995830619927i</v>
      </c>
      <c r="AQ250" s="170" t="str">
        <f t="shared" si="129"/>
        <v>0.847481168985361+0.0671995830619927i</v>
      </c>
      <c r="AR250" s="170" t="str">
        <f t="shared" si="130"/>
        <v>0.976771315694429-0.0774514261363057i</v>
      </c>
    </row>
    <row r="251" spans="7:44">
      <c r="G251" s="688">
        <v>15312</v>
      </c>
      <c r="H251" s="676">
        <f t="shared" si="122"/>
        <v>15.311999999999999</v>
      </c>
      <c r="I251" s="677">
        <f t="shared" si="102"/>
        <v>125.94041670145852</v>
      </c>
      <c r="J251" s="678">
        <f t="shared" si="103"/>
        <v>1.5628559806022144</v>
      </c>
      <c r="K251" s="678">
        <f t="shared" si="104"/>
        <v>1.0002239702376261</v>
      </c>
      <c r="L251" s="679">
        <f t="shared" si="105"/>
        <v>2.1162629486475255E-2</v>
      </c>
      <c r="M251" s="678">
        <f t="shared" si="106"/>
        <v>1.003338160119301</v>
      </c>
      <c r="N251" s="679">
        <f t="shared" si="107"/>
        <v>-8.1595347913143879E-2</v>
      </c>
      <c r="O251" s="677">
        <f t="shared" si="108"/>
        <v>634973.67987054749</v>
      </c>
      <c r="P251" s="680">
        <f t="shared" si="109"/>
        <v>1.5707947519264702</v>
      </c>
      <c r="Q251" s="689">
        <f t="shared" si="131"/>
        <v>25.418625427110555</v>
      </c>
      <c r="R251" s="690">
        <f t="shared" si="132"/>
        <v>1.5314449410129807</v>
      </c>
      <c r="S251" s="677">
        <f t="shared" si="110"/>
        <v>1.0066422637057266</v>
      </c>
      <c r="T251" s="680">
        <f t="shared" si="111"/>
        <v>0.11494089361728664</v>
      </c>
      <c r="U251" s="681">
        <f t="shared" si="123"/>
        <v>0.97252202759618545</v>
      </c>
      <c r="V251" s="682">
        <f t="shared" si="124"/>
        <v>-0.28824500198821928</v>
      </c>
      <c r="W251" s="683">
        <f t="shared" si="112"/>
        <v>-22.265198096189955</v>
      </c>
      <c r="X251" s="684">
        <f t="shared" si="113"/>
        <v>-118.36301978826506</v>
      </c>
      <c r="Y251" s="687">
        <f t="shared" si="114"/>
        <v>61.636980211734937</v>
      </c>
      <c r="AA251" s="170">
        <f t="shared" si="115"/>
        <v>15312</v>
      </c>
      <c r="AB251" s="170">
        <f t="shared" si="116"/>
        <v>234457344</v>
      </c>
      <c r="AD251" s="686">
        <f t="shared" si="117"/>
        <v>17.09587364766411</v>
      </c>
      <c r="AE251" s="687">
        <f t="shared" si="118"/>
        <v>-8.8402061978148918</v>
      </c>
      <c r="AG251" s="686">
        <f t="shared" si="119"/>
        <v>2.1073108348785365</v>
      </c>
      <c r="AH251" s="687">
        <f t="shared" si="120"/>
        <v>-76.492369393377416</v>
      </c>
      <c r="AJ251" s="170">
        <f t="shared" si="121"/>
        <v>0</v>
      </c>
      <c r="AK251" s="170">
        <f t="shared" si="133"/>
        <v>0</v>
      </c>
      <c r="AM251" s="170" t="str">
        <f t="shared" si="125"/>
        <v>0.085856873221155+0.405391593108438i</v>
      </c>
      <c r="AN251" s="170" t="str">
        <f t="shared" si="126"/>
        <v>0.417407161721076i</v>
      </c>
      <c r="AO251" s="170" t="str">
        <f t="shared" si="127"/>
        <v>0.971213793833592-0.205690944226125i</v>
      </c>
      <c r="AP251" s="170" t="str">
        <f t="shared" si="128"/>
        <v>0.152357187796474-0.067565265518073i</v>
      </c>
      <c r="AQ251" s="170" t="str">
        <f t="shared" si="129"/>
        <v>0.847642812203526+0.067565265518073i</v>
      </c>
      <c r="AR251" s="170" t="str">
        <f t="shared" si="130"/>
        <v>0.976520814678222-0.0778380789381565i</v>
      </c>
    </row>
    <row r="252" spans="7:44">
      <c r="G252" s="688">
        <v>15400</v>
      </c>
      <c r="H252" s="676">
        <f t="shared" si="122"/>
        <v>15.4</v>
      </c>
      <c r="I252" s="677">
        <f t="shared" si="102"/>
        <v>126.66416669642258</v>
      </c>
      <c r="J252" s="678">
        <f t="shared" si="103"/>
        <v>1.5629013521182005</v>
      </c>
      <c r="K252" s="678">
        <f t="shared" si="104"/>
        <v>1.0002265517134037</v>
      </c>
      <c r="L252" s="679">
        <f t="shared" si="105"/>
        <v>2.1284217170093066E-2</v>
      </c>
      <c r="M252" s="678">
        <f t="shared" si="106"/>
        <v>1.0033765752856971</v>
      </c>
      <c r="N252" s="679">
        <f t="shared" si="107"/>
        <v>-8.2062190206146204E-2</v>
      </c>
      <c r="O252" s="677">
        <f t="shared" si="108"/>
        <v>638622.95389278291</v>
      </c>
      <c r="P252" s="680">
        <f t="shared" si="109"/>
        <v>1.5707947609257185</v>
      </c>
      <c r="Q252" s="689">
        <f t="shared" si="131"/>
        <v>25.564484027267003</v>
      </c>
      <c r="R252" s="690">
        <f t="shared" si="132"/>
        <v>1.5316695759889811</v>
      </c>
      <c r="S252" s="677">
        <f t="shared" si="110"/>
        <v>1.0067185754502694</v>
      </c>
      <c r="T252" s="680">
        <f t="shared" si="111"/>
        <v>0.11559562110548083</v>
      </c>
      <c r="U252" s="681">
        <f t="shared" si="123"/>
        <v>0.97222191134571379</v>
      </c>
      <c r="V252" s="682">
        <f t="shared" si="124"/>
        <v>-0.28985740019690853</v>
      </c>
      <c r="W252" s="683">
        <f t="shared" si="112"/>
        <v>-22.318031893786507</v>
      </c>
      <c r="X252" s="684">
        <f t="shared" si="113"/>
        <v>-118.5024276303958</v>
      </c>
      <c r="Y252" s="687">
        <f t="shared" si="114"/>
        <v>61.4975723696042</v>
      </c>
      <c r="AA252" s="170">
        <f t="shared" si="115"/>
        <v>15400</v>
      </c>
      <c r="AB252" s="170">
        <f t="shared" si="116"/>
        <v>237160000</v>
      </c>
      <c r="AD252" s="686">
        <f t="shared" si="117"/>
        <v>17.095138610098971</v>
      </c>
      <c r="AE252" s="687">
        <f t="shared" si="118"/>
        <v>-8.8648491992108802</v>
      </c>
      <c r="AG252" s="686">
        <f t="shared" si="119"/>
        <v>2.0605737609769696</v>
      </c>
      <c r="AH252" s="687">
        <f t="shared" si="120"/>
        <v>-76.422367009396353</v>
      </c>
      <c r="AJ252" s="170">
        <f t="shared" si="121"/>
        <v>0</v>
      </c>
      <c r="AK252" s="170">
        <f t="shared" si="133"/>
        <v>0</v>
      </c>
      <c r="AM252" s="170" t="str">
        <f t="shared" si="125"/>
        <v>0.0868319931302119+0.407583354946518i</v>
      </c>
      <c r="AN252" s="170" t="str">
        <f t="shared" si="126"/>
        <v>0.419806053455106i</v>
      </c>
      <c r="AO252" s="170" t="str">
        <f t="shared" si="127"/>
        <v>0.970884892182968-0.206838354081756i</v>
      </c>
      <c r="AP252" s="170" t="str">
        <f t="shared" si="128"/>
        <v>0.152194667811631-0.067930559157753i</v>
      </c>
      <c r="AQ252" s="170" t="str">
        <f t="shared" si="129"/>
        <v>0.847805332188369+0.067930559157753i</v>
      </c>
      <c r="AR252" s="170" t="str">
        <f t="shared" si="130"/>
        <v>0.976269180648676-0.0782237487923832i</v>
      </c>
    </row>
    <row r="253" spans="7:44">
      <c r="G253" s="688">
        <v>15488</v>
      </c>
      <c r="H253" s="676">
        <f t="shared" si="122"/>
        <v>15.488</v>
      </c>
      <c r="I253" s="677">
        <f t="shared" si="102"/>
        <v>127.3879169491714</v>
      </c>
      <c r="J253" s="678">
        <f t="shared" si="103"/>
        <v>1.5629462080807319</v>
      </c>
      <c r="K253" s="678">
        <f t="shared" si="104"/>
        <v>1.000229147976019</v>
      </c>
      <c r="L253" s="679">
        <f t="shared" si="105"/>
        <v>2.1405804224305883E-2</v>
      </c>
      <c r="M253" s="678">
        <f t="shared" si="106"/>
        <v>1.0034152091129445</v>
      </c>
      <c r="N253" s="679">
        <f t="shared" si="107"/>
        <v>-8.2528996651843101E-2</v>
      </c>
      <c r="O253" s="677">
        <f t="shared" si="108"/>
        <v>642272.22791501856</v>
      </c>
      <c r="P253" s="680">
        <f t="shared" si="109"/>
        <v>1.5707947698227023</v>
      </c>
      <c r="Q253" s="689">
        <f t="shared" si="131"/>
        <v>25.71034390279279</v>
      </c>
      <c r="R253" s="690">
        <f t="shared" si="132"/>
        <v>1.5318916621786209</v>
      </c>
      <c r="S253" s="677">
        <f t="shared" si="110"/>
        <v>1.0067953186774068</v>
      </c>
      <c r="T253" s="680">
        <f t="shared" si="111"/>
        <v>0.11625024906072166</v>
      </c>
      <c r="U253" s="681">
        <f t="shared" si="123"/>
        <v>0.97192033938794464</v>
      </c>
      <c r="V253" s="682">
        <f t="shared" si="124"/>
        <v>-0.2914690721187036</v>
      </c>
      <c r="W253" s="683">
        <f t="shared" si="112"/>
        <v>-22.370596319506539</v>
      </c>
      <c r="X253" s="684">
        <f t="shared" si="113"/>
        <v>-118.64190262850265</v>
      </c>
      <c r="Y253" s="687">
        <f t="shared" si="114"/>
        <v>61.358097371497351</v>
      </c>
      <c r="AA253" s="170">
        <f t="shared" si="115"/>
        <v>15488</v>
      </c>
      <c r="AB253" s="170">
        <f t="shared" si="116"/>
        <v>239878144</v>
      </c>
      <c r="AD253" s="686">
        <f t="shared" si="117"/>
        <v>17.094401200593556</v>
      </c>
      <c r="AE253" s="687">
        <f t="shared" si="118"/>
        <v>-8.8896325266308853</v>
      </c>
      <c r="AG253" s="686">
        <f t="shared" si="119"/>
        <v>2.014136105058673</v>
      </c>
      <c r="AH253" s="687">
        <f t="shared" si="120"/>
        <v>-76.352374681714949</v>
      </c>
      <c r="AJ253" s="170">
        <f t="shared" si="121"/>
        <v>0</v>
      </c>
      <c r="AK253" s="170">
        <f t="shared" si="133"/>
        <v>0</v>
      </c>
      <c r="AM253" s="170" t="str">
        <f t="shared" si="125"/>
        <v>0.087812368027831+0.409772771273308i</v>
      </c>
      <c r="AN253" s="170" t="str">
        <f t="shared" si="126"/>
        <v>0.422204945189135i</v>
      </c>
      <c r="AO253" s="170" t="str">
        <f t="shared" si="127"/>
        <v>0.970554172665463-0.207985171723874i</v>
      </c>
      <c r="AP253" s="170" t="str">
        <f t="shared" si="128"/>
        <v>0.152031271995362-0.0682954618788847i</v>
      </c>
      <c r="AQ253" s="170" t="str">
        <f t="shared" si="129"/>
        <v>0.847968728004638+0.0682954618788847i</v>
      </c>
      <c r="AR253" s="170" t="str">
        <f t="shared" si="130"/>
        <v>0.976016418407606-0.0786084320035888i</v>
      </c>
    </row>
    <row r="254" spans="7:44">
      <c r="G254" s="688">
        <v>15578.25</v>
      </c>
      <c r="H254" s="676">
        <f t="shared" si="122"/>
        <v>15.578250000000001</v>
      </c>
      <c r="I254" s="677">
        <f t="shared" si="102"/>
        <v>128.13017244315313</v>
      </c>
      <c r="J254" s="678">
        <f t="shared" si="103"/>
        <v>1.5629916845855127</v>
      </c>
      <c r="K254" s="678">
        <f t="shared" si="104"/>
        <v>1.0002318259790082</v>
      </c>
      <c r="L254" s="679">
        <f t="shared" si="105"/>
        <v>2.1530499380917049E-2</v>
      </c>
      <c r="M254" s="678">
        <f t="shared" si="106"/>
        <v>1.003455057828919</v>
      </c>
      <c r="N254" s="679">
        <f t="shared" si="107"/>
        <v>-8.3007701047007512E-2</v>
      </c>
      <c r="O254" s="677">
        <f t="shared" si="108"/>
        <v>646014.80723895913</v>
      </c>
      <c r="P254" s="680">
        <f t="shared" si="109"/>
        <v>1.5707947788427619</v>
      </c>
      <c r="Q254" s="689">
        <f t="shared" si="131"/>
        <v>25.859934452229048</v>
      </c>
      <c r="R254" s="690">
        <f t="shared" si="132"/>
        <v>1.5321168244927013</v>
      </c>
      <c r="S254" s="677">
        <f t="shared" si="110"/>
        <v>1.0068744721579441</v>
      </c>
      <c r="T254" s="680">
        <f t="shared" si="111"/>
        <v>0.11692151071592093</v>
      </c>
      <c r="U254" s="681">
        <f t="shared" si="123"/>
        <v>0.97160954909748376</v>
      </c>
      <c r="V254" s="682">
        <f t="shared" si="124"/>
        <v>-0.29312119378605056</v>
      </c>
      <c r="W254" s="683">
        <f t="shared" si="112"/>
        <v>-22.424228300018711</v>
      </c>
      <c r="X254" s="684">
        <f t="shared" si="113"/>
        <v>-118.78501120081698</v>
      </c>
      <c r="Y254" s="687">
        <f t="shared" si="114"/>
        <v>61.214988799183018</v>
      </c>
      <c r="AA254" s="170">
        <f t="shared" si="115"/>
        <v>15578.25</v>
      </c>
      <c r="AB254" s="170">
        <f t="shared" si="116"/>
        <v>242681873.0625</v>
      </c>
      <c r="AD254" s="686">
        <f t="shared" si="117"/>
        <v>17.093642444298748</v>
      </c>
      <c r="AE254" s="687">
        <f t="shared" si="118"/>
        <v>-8.9151926529611263</v>
      </c>
      <c r="AG254" s="686">
        <f t="shared" si="119"/>
        <v>1.9668187309520295</v>
      </c>
      <c r="AH254" s="687">
        <f t="shared" si="120"/>
        <v>-76.280603929920531</v>
      </c>
      <c r="AJ254" s="170">
        <f t="shared" si="121"/>
        <v>0</v>
      </c>
      <c r="AK254" s="170">
        <f t="shared" si="133"/>
        <v>0</v>
      </c>
      <c r="AM254" s="170" t="str">
        <f t="shared" si="125"/>
        <v>0.088823261665971+0.412015717563007i</v>
      </c>
      <c r="AN254" s="170" t="str">
        <f t="shared" si="126"/>
        <v>0.424665172223182i</v>
      </c>
      <c r="AO254" s="170" t="str">
        <f t="shared" si="127"/>
        <v>0.970213110262955-0.209160692884158i</v>
      </c>
      <c r="AP254" s="170" t="str">
        <f t="shared" si="128"/>
        <v>0.151862789722338-0.0686692862605012i</v>
      </c>
      <c r="AQ254" s="170" t="str">
        <f t="shared" si="129"/>
        <v>0.848137210277662+0.0686692862605012i</v>
      </c>
      <c r="AR254" s="170" t="str">
        <f t="shared" si="130"/>
        <v>0.975756026689482-0.0790019222187097i</v>
      </c>
    </row>
    <row r="255" spans="7:44">
      <c r="G255" s="688">
        <v>15668.5</v>
      </c>
      <c r="H255" s="676">
        <f t="shared" si="122"/>
        <v>15.6685</v>
      </c>
      <c r="I255" s="677">
        <f t="shared" si="102"/>
        <v>128.87242819907004</v>
      </c>
      <c r="J255" s="678">
        <f t="shared" si="103"/>
        <v>1.5630366372359363</v>
      </c>
      <c r="K255" s="678">
        <f t="shared" si="104"/>
        <v>1.0002345195344007</v>
      </c>
      <c r="L255" s="679">
        <f t="shared" si="105"/>
        <v>2.1655193867877943E-2</v>
      </c>
      <c r="M255" s="678">
        <f t="shared" si="106"/>
        <v>1.0034951364762519</v>
      </c>
      <c r="N255" s="679">
        <f t="shared" si="107"/>
        <v>-8.3486367313852575E-2</v>
      </c>
      <c r="O255" s="677">
        <f t="shared" si="108"/>
        <v>649757.38656289957</v>
      </c>
      <c r="P255" s="680">
        <f t="shared" si="109"/>
        <v>1.5707947877589108</v>
      </c>
      <c r="Q255" s="689">
        <f t="shared" si="131"/>
        <v>26.009526297633315</v>
      </c>
      <c r="R255" s="690">
        <f t="shared" si="132"/>
        <v>1.532339396809536</v>
      </c>
      <c r="S255" s="677">
        <f t="shared" si="110"/>
        <v>1.006954079256829</v>
      </c>
      <c r="T255" s="680">
        <f t="shared" si="111"/>
        <v>0.11759266653719239</v>
      </c>
      <c r="U255" s="681">
        <f t="shared" si="123"/>
        <v>0.97129723652242006</v>
      </c>
      <c r="V255" s="682">
        <f t="shared" si="124"/>
        <v>-0.29477254466001934</v>
      </c>
      <c r="W255" s="683">
        <f t="shared" si="112"/>
        <v>-22.477583749849188</v>
      </c>
      <c r="X255" s="684">
        <f t="shared" si="113"/>
        <v>-118.92818577517663</v>
      </c>
      <c r="Y255" s="687">
        <f t="shared" si="114"/>
        <v>61.07181422482337</v>
      </c>
      <c r="AA255" s="170">
        <f t="shared" si="115"/>
        <v>15668.5</v>
      </c>
      <c r="AB255" s="170">
        <f t="shared" si="116"/>
        <v>245501892.25</v>
      </c>
      <c r="AD255" s="686">
        <f t="shared" si="117"/>
        <v>17.092881135371986</v>
      </c>
      <c r="AE255" s="687">
        <f t="shared" si="118"/>
        <v>-8.940895105411613</v>
      </c>
      <c r="AG255" s="686">
        <f t="shared" si="119"/>
        <v>1.9198094438416669</v>
      </c>
      <c r="AH255" s="687">
        <f t="shared" si="120"/>
        <v>-76.208845180466184</v>
      </c>
      <c r="AJ255" s="170">
        <f t="shared" si="121"/>
        <v>0</v>
      </c>
      <c r="AK255" s="170">
        <f t="shared" si="133"/>
        <v>0</v>
      </c>
      <c r="AM255" s="170" t="str">
        <f t="shared" si="125"/>
        <v>0.089839670396316+0.414256170039402i</v>
      </c>
      <c r="AN255" s="170" t="str">
        <f t="shared" si="126"/>
        <v>0.427125399257229i</v>
      </c>
      <c r="AO255" s="170" t="str">
        <f t="shared" si="127"/>
        <v>0.969870138277409-0.21033558423954i</v>
      </c>
      <c r="AP255" s="170" t="str">
        <f t="shared" si="128"/>
        <v>0.151693388267281-0.069042695006567i</v>
      </c>
      <c r="AQ255" s="170" t="str">
        <f t="shared" si="129"/>
        <v>0.848306611732719+0.069042695006567i</v>
      </c>
      <c r="AR255" s="170" t="str">
        <f t="shared" si="130"/>
        <v>0.975494458601232-0.0793943669120212i</v>
      </c>
    </row>
    <row r="256" spans="7:44">
      <c r="G256" s="688">
        <v>15758.75</v>
      </c>
      <c r="H256" s="676">
        <f t="shared" si="122"/>
        <v>15.758749999999999</v>
      </c>
      <c r="I256" s="677">
        <f t="shared" si="102"/>
        <v>129.61468421242211</v>
      </c>
      <c r="J256" s="678">
        <f t="shared" si="103"/>
        <v>1.5630810750315884</v>
      </c>
      <c r="K256" s="678">
        <f t="shared" si="104"/>
        <v>1.0002372286420707</v>
      </c>
      <c r="L256" s="679">
        <f t="shared" si="105"/>
        <v>2.1779887681316317E-2</v>
      </c>
      <c r="M256" s="678">
        <f t="shared" si="106"/>
        <v>1.0035354450273946</v>
      </c>
      <c r="N256" s="679">
        <f t="shared" si="107"/>
        <v>-8.3964995237614373E-2</v>
      </c>
      <c r="O256" s="677">
        <f t="shared" si="108"/>
        <v>653499.96588684013</v>
      </c>
      <c r="P256" s="680">
        <f t="shared" si="109"/>
        <v>1.5707947965729345</v>
      </c>
      <c r="Q256" s="689">
        <f t="shared" si="131"/>
        <v>26.159119416772462</v>
      </c>
      <c r="R256" s="690">
        <f t="shared" si="132"/>
        <v>1.5325594235402316</v>
      </c>
      <c r="S256" s="677">
        <f t="shared" si="110"/>
        <v>1.007034139866485</v>
      </c>
      <c r="T256" s="680">
        <f t="shared" si="111"/>
        <v>0.11826371594506245</v>
      </c>
      <c r="U256" s="681">
        <f t="shared" si="123"/>
        <v>0.97098340614658962</v>
      </c>
      <c r="V256" s="682">
        <f t="shared" si="124"/>
        <v>-0.29642312127396697</v>
      </c>
      <c r="W256" s="683">
        <f t="shared" si="112"/>
        <v>-22.530666018567441</v>
      </c>
      <c r="X256" s="684">
        <f t="shared" si="113"/>
        <v>-119.07142407884467</v>
      </c>
      <c r="Y256" s="687">
        <f t="shared" si="114"/>
        <v>60.928575921155328</v>
      </c>
      <c r="AA256" s="170">
        <f t="shared" si="115"/>
        <v>15758.75</v>
      </c>
      <c r="AB256" s="170">
        <f t="shared" si="116"/>
        <v>248338201.5625</v>
      </c>
      <c r="AD256" s="686">
        <f t="shared" si="117"/>
        <v>17.092117245852535</v>
      </c>
      <c r="AE256" s="687">
        <f t="shared" si="118"/>
        <v>-8.9667373063142843</v>
      </c>
      <c r="AG256" s="686">
        <f t="shared" si="119"/>
        <v>1.8731048693081114</v>
      </c>
      <c r="AH256" s="687">
        <f t="shared" si="120"/>
        <v>-76.137099135530974</v>
      </c>
      <c r="AJ256" s="170">
        <f t="shared" si="121"/>
        <v>0</v>
      </c>
      <c r="AK256" s="170">
        <f t="shared" si="133"/>
        <v>0</v>
      </c>
      <c r="AM256" s="170" t="str">
        <f t="shared" si="125"/>
        <v>0.090861588066837+0.416494115141675i</v>
      </c>
      <c r="AN256" s="170" t="str">
        <f t="shared" si="126"/>
        <v>0.429585626291276i</v>
      </c>
      <c r="AO256" s="170" t="str">
        <f t="shared" si="127"/>
        <v>0.969525257950031-0.21150984228981i</v>
      </c>
      <c r="AP256" s="170" t="str">
        <f t="shared" si="128"/>
        <v>0.151523068655527-0.0694156858569458i</v>
      </c>
      <c r="AQ256" s="170" t="str">
        <f t="shared" si="129"/>
        <v>0.848476931344473+0.0694156858569458i</v>
      </c>
      <c r="AR256" s="170" t="str">
        <f t="shared" si="130"/>
        <v>0.975231719364125-0.079785762191365i</v>
      </c>
    </row>
    <row r="257" spans="7:44">
      <c r="G257" s="688">
        <v>15849</v>
      </c>
      <c r="H257" s="676">
        <f t="shared" si="122"/>
        <v>15.849</v>
      </c>
      <c r="I257" s="677">
        <f t="shared" si="102"/>
        <v>130.35694047881174</v>
      </c>
      <c r="J257" s="678">
        <f t="shared" si="103"/>
        <v>1.5631250067670863</v>
      </c>
      <c r="K257" s="678">
        <f t="shared" si="104"/>
        <v>1.0002399533018922</v>
      </c>
      <c r="L257" s="679">
        <f t="shared" si="105"/>
        <v>2.1904580817360037E-2</v>
      </c>
      <c r="M257" s="678">
        <f t="shared" si="106"/>
        <v>1.0035759834546447</v>
      </c>
      <c r="N257" s="679">
        <f t="shared" si="107"/>
        <v>-8.4443584603633645E-2</v>
      </c>
      <c r="O257" s="677">
        <f t="shared" si="108"/>
        <v>657242.54521078081</v>
      </c>
      <c r="P257" s="680">
        <f t="shared" si="109"/>
        <v>1.5707948052865779</v>
      </c>
      <c r="Q257" s="689">
        <f t="shared" si="131"/>
        <v>26.308713787918872</v>
      </c>
      <c r="R257" s="690">
        <f t="shared" si="132"/>
        <v>1.5327769480867866</v>
      </c>
      <c r="S257" s="677">
        <f t="shared" si="110"/>
        <v>1.0071146538787563</v>
      </c>
      <c r="T257" s="680">
        <f t="shared" si="111"/>
        <v>0.11893465836062461</v>
      </c>
      <c r="U257" s="681">
        <f t="shared" si="123"/>
        <v>0.9706680624679298</v>
      </c>
      <c r="V257" s="682">
        <f t="shared" si="124"/>
        <v>-0.29807292017668352</v>
      </c>
      <c r="W257" s="683">
        <f t="shared" si="112"/>
        <v>-22.583478397457547</v>
      </c>
      <c r="X257" s="684">
        <f t="shared" si="113"/>
        <v>-119.21472388607815</v>
      </c>
      <c r="Y257" s="687">
        <f t="shared" si="114"/>
        <v>60.785276113921853</v>
      </c>
      <c r="AA257" s="170">
        <f t="shared" si="115"/>
        <v>15849</v>
      </c>
      <c r="AB257" s="170">
        <f t="shared" si="116"/>
        <v>251190801</v>
      </c>
      <c r="AD257" s="686">
        <f t="shared" si="117"/>
        <v>17.091350748634412</v>
      </c>
      <c r="AE257" s="687">
        <f t="shared" si="118"/>
        <v>-8.9927167358488873</v>
      </c>
      <c r="AG257" s="686">
        <f t="shared" si="119"/>
        <v>1.8267016901690134</v>
      </c>
      <c r="AH257" s="687">
        <f t="shared" si="120"/>
        <v>-76.065366484671941</v>
      </c>
      <c r="AJ257" s="170">
        <f t="shared" si="121"/>
        <v>0</v>
      </c>
      <c r="AK257" s="170">
        <f t="shared" si="133"/>
        <v>0</v>
      </c>
      <c r="AM257" s="170" t="str">
        <f t="shared" si="125"/>
        <v>0.091889008492157+0.418729539324183i</v>
      </c>
      <c r="AN257" s="170" t="str">
        <f t="shared" si="126"/>
        <v>0.432045853325323i</v>
      </c>
      <c r="AO257" s="170" t="str">
        <f t="shared" si="127"/>
        <v>0.969178470528884-0.212683463537298i</v>
      </c>
      <c r="AP257" s="170" t="str">
        <f t="shared" si="128"/>
        <v>0.151351831917974-0.0697882565540305i</v>
      </c>
      <c r="AQ257" s="170" t="str">
        <f t="shared" si="129"/>
        <v>0.848648168082026+0.0697882565540305i</v>
      </c>
      <c r="AR257" s="170" t="str">
        <f t="shared" si="130"/>
        <v>0.974967814213047-0.0801761041963929i</v>
      </c>
    </row>
    <row r="258" spans="7:44">
      <c r="G258" s="688">
        <v>15941.25</v>
      </c>
      <c r="H258" s="676">
        <f t="shared" si="122"/>
        <v>15.94125</v>
      </c>
      <c r="I258" s="677">
        <f t="shared" si="102"/>
        <v>131.11564589456819</v>
      </c>
      <c r="J258" s="678">
        <f t="shared" si="103"/>
        <v>1.5631693980004715</v>
      </c>
      <c r="K258" s="678">
        <f t="shared" si="104"/>
        <v>1.0002427544147932</v>
      </c>
      <c r="L258" s="679">
        <f t="shared" si="105"/>
        <v>2.2032036532087493E-2</v>
      </c>
      <c r="M258" s="678">
        <f t="shared" si="106"/>
        <v>1.003617657785256</v>
      </c>
      <c r="N258" s="679">
        <f t="shared" si="107"/>
        <v>-8.4932739755895548E-2</v>
      </c>
      <c r="O258" s="677">
        <f t="shared" si="108"/>
        <v>661068.06258068141</v>
      </c>
      <c r="P258" s="680">
        <f t="shared" si="109"/>
        <v>1.5707948140913544</v>
      </c>
      <c r="Q258" s="689">
        <f t="shared" si="131"/>
        <v>26.461624541608948</v>
      </c>
      <c r="R258" s="690">
        <f t="shared" si="132"/>
        <v>1.5329967513085156</v>
      </c>
      <c r="S258" s="677">
        <f t="shared" si="110"/>
        <v>1.0071974206073611</v>
      </c>
      <c r="T258" s="680">
        <f t="shared" si="111"/>
        <v>0.11962035812894596</v>
      </c>
      <c r="U258" s="681">
        <f t="shared" si="123"/>
        <v>0.97034417128305805</v>
      </c>
      <c r="V258" s="682">
        <f t="shared" si="124"/>
        <v>-0.29975847238889475</v>
      </c>
      <c r="W258" s="683">
        <f t="shared" si="112"/>
        <v>-22.637185573274582</v>
      </c>
      <c r="X258" s="684">
        <f t="shared" si="113"/>
        <v>-119.36126060598357</v>
      </c>
      <c r="Y258" s="687">
        <f t="shared" si="114"/>
        <v>60.638739394016426</v>
      </c>
      <c r="AA258" s="170">
        <f t="shared" si="115"/>
        <v>15941.25</v>
      </c>
      <c r="AB258" s="170">
        <f t="shared" si="116"/>
        <v>254123451.5625</v>
      </c>
      <c r="AD258" s="686">
        <f t="shared" si="117"/>
        <v>17.090564542950975</v>
      </c>
      <c r="AE258" s="687">
        <f t="shared" si="118"/>
        <v>-9.0194111461653765</v>
      </c>
      <c r="AG258" s="686">
        <f t="shared" si="119"/>
        <v>1.7795782787807584</v>
      </c>
      <c r="AH258" s="687">
        <f t="shared" si="120"/>
        <v>-75.992058738222866</v>
      </c>
      <c r="AJ258" s="170">
        <f t="shared" si="121"/>
        <v>0</v>
      </c>
      <c r="AK258" s="170">
        <f t="shared" si="133"/>
        <v>0</v>
      </c>
      <c r="AM258" s="170" t="str">
        <f t="shared" si="125"/>
        <v>0.092944877785605+0.421011882569398i</v>
      </c>
      <c r="AN258" s="170" t="str">
        <f t="shared" si="126"/>
        <v>0.434560600626052i</v>
      </c>
      <c r="AO258" s="170" t="str">
        <f t="shared" si="127"/>
        <v>0.968822028418741-0.213882431245961i</v>
      </c>
      <c r="AP258" s="170" t="str">
        <f t="shared" si="128"/>
        <v>0.151175853702399-0.0701686470948997i</v>
      </c>
      <c r="AQ258" s="170" t="str">
        <f t="shared" si="129"/>
        <v>0.848824146297601+0.0701686470948997i</v>
      </c>
      <c r="AR258" s="170" t="str">
        <f t="shared" si="130"/>
        <v>0.974696861256116-0.0805740039091771i</v>
      </c>
    </row>
    <row r="259" spans="7:44">
      <c r="G259" s="688">
        <v>16033.5</v>
      </c>
      <c r="H259" s="676">
        <f t="shared" si="122"/>
        <v>16.0335</v>
      </c>
      <c r="I259" s="677">
        <f t="shared" si="102"/>
        <v>131.87435156572579</v>
      </c>
      <c r="J259" s="678">
        <f t="shared" si="103"/>
        <v>1.5632132784465127</v>
      </c>
      <c r="K259" s="678">
        <f t="shared" si="104"/>
        <v>1.000245571776506</v>
      </c>
      <c r="L259" s="679">
        <f t="shared" si="105"/>
        <v>2.2159491530884059E-2</v>
      </c>
      <c r="M259" s="678">
        <f t="shared" si="106"/>
        <v>1.0036595722342612</v>
      </c>
      <c r="N259" s="679">
        <f t="shared" si="107"/>
        <v>-8.542185416935856E-2</v>
      </c>
      <c r="O259" s="677">
        <f t="shared" si="108"/>
        <v>664893.57995058212</v>
      </c>
      <c r="P259" s="680">
        <f t="shared" si="109"/>
        <v>1.5707948227948128</v>
      </c>
      <c r="Q259" s="689">
        <f t="shared" si="131"/>
        <v>26.614536559061133</v>
      </c>
      <c r="R259" s="690">
        <f t="shared" si="132"/>
        <v>1.5332140288115914</v>
      </c>
      <c r="S259" s="677">
        <f t="shared" si="110"/>
        <v>1.0072806608262967</v>
      </c>
      <c r="T259" s="680">
        <f t="shared" si="111"/>
        <v>0.12030594488909817</v>
      </c>
      <c r="U259" s="681">
        <f t="shared" si="123"/>
        <v>0.97001870852804717</v>
      </c>
      <c r="V259" s="682">
        <f t="shared" si="124"/>
        <v>-0.30144320479663816</v>
      </c>
      <c r="W259" s="683">
        <f t="shared" si="112"/>
        <v>-22.69061753796521</v>
      </c>
      <c r="X259" s="684">
        <f t="shared" si="113"/>
        <v>-119.50785702777537</v>
      </c>
      <c r="Y259" s="687">
        <f t="shared" si="114"/>
        <v>60.492142972224627</v>
      </c>
      <c r="AA259" s="170">
        <f t="shared" si="115"/>
        <v>16033.5</v>
      </c>
      <c r="AB259" s="170">
        <f t="shared" si="116"/>
        <v>257073122.25</v>
      </c>
      <c r="AD259" s="686">
        <f t="shared" si="117"/>
        <v>17.089775558053212</v>
      </c>
      <c r="AE259" s="687">
        <f t="shared" si="118"/>
        <v>-9.0462437888048637</v>
      </c>
      <c r="AG259" s="686">
        <f t="shared" si="119"/>
        <v>1.7327629379872822</v>
      </c>
      <c r="AH259" s="687">
        <f t="shared" si="120"/>
        <v>-75.918766404009375</v>
      </c>
      <c r="AJ259" s="170">
        <f t="shared" si="121"/>
        <v>0</v>
      </c>
      <c r="AK259" s="170">
        <f t="shared" si="133"/>
        <v>0</v>
      </c>
      <c r="AM259" s="170" t="str">
        <f t="shared" si="125"/>
        <v>0.094006483250886+0.423291563356243i</v>
      </c>
      <c r="AN259" s="170" t="str">
        <f t="shared" si="126"/>
        <v>0.437075347926781i</v>
      </c>
      <c r="AO259" s="170" t="str">
        <f t="shared" si="127"/>
        <v>0.968463596412106-0.215080726233578i</v>
      </c>
      <c r="AP259" s="170" t="str">
        <f t="shared" si="128"/>
        <v>0.150998919458186-0.0705485938927072i</v>
      </c>
      <c r="AQ259" s="170" t="str">
        <f t="shared" si="129"/>
        <v>0.849001080541814+0.0705485938927072i</v>
      </c>
      <c r="AR259" s="170" t="str">
        <f t="shared" si="130"/>
        <v>0.974424701240441-0.080970795093645i</v>
      </c>
    </row>
    <row r="260" spans="7:44">
      <c r="G260" s="688">
        <v>16125.75</v>
      </c>
      <c r="H260" s="676">
        <f t="shared" si="122"/>
        <v>16.12575</v>
      </c>
      <c r="I260" s="677">
        <f t="shared" si="102"/>
        <v>132.63305748790151</v>
      </c>
      <c r="J260" s="678">
        <f t="shared" si="103"/>
        <v>1.5632566568706687</v>
      </c>
      <c r="K260" s="678">
        <f t="shared" si="104"/>
        <v>1.0002484053868932</v>
      </c>
      <c r="L260" s="679">
        <f t="shared" si="105"/>
        <v>2.228694580961485E-2</v>
      </c>
      <c r="M260" s="678">
        <f t="shared" si="106"/>
        <v>1.0037017267715789</v>
      </c>
      <c r="N260" s="679">
        <f t="shared" si="107"/>
        <v>-8.5910927615116581E-2</v>
      </c>
      <c r="O260" s="677">
        <f t="shared" si="108"/>
        <v>668719.09732048283</v>
      </c>
      <c r="P260" s="680">
        <f t="shared" si="109"/>
        <v>1.5707948313986921</v>
      </c>
      <c r="Q260" s="689">
        <f t="shared" si="131"/>
        <v>26.767449818617276</v>
      </c>
      <c r="R260" s="690">
        <f t="shared" si="132"/>
        <v>1.5334288238610136</v>
      </c>
      <c r="S260" s="677">
        <f t="shared" si="110"/>
        <v>1.0073643744181875</v>
      </c>
      <c r="T260" s="680">
        <f t="shared" si="111"/>
        <v>0.12099141802468402</v>
      </c>
      <c r="U260" s="681">
        <f t="shared" si="123"/>
        <v>0.96969167905108866</v>
      </c>
      <c r="V260" s="682">
        <f t="shared" si="124"/>
        <v>-0.30312711376442281</v>
      </c>
      <c r="W260" s="683">
        <f t="shared" si="112"/>
        <v>-22.743777626238433</v>
      </c>
      <c r="X260" s="684">
        <f t="shared" si="113"/>
        <v>-119.65451091838146</v>
      </c>
      <c r="Y260" s="687">
        <f t="shared" si="114"/>
        <v>60.345489081618538</v>
      </c>
      <c r="AA260" s="170">
        <f t="shared" si="115"/>
        <v>16125.75</v>
      </c>
      <c r="AB260" s="170">
        <f t="shared" si="116"/>
        <v>260039813.0625</v>
      </c>
      <c r="AD260" s="686">
        <f t="shared" si="117"/>
        <v>17.088983767579574</v>
      </c>
      <c r="AE260" s="687">
        <f t="shared" si="118"/>
        <v>-9.0732121496481266</v>
      </c>
      <c r="AG260" s="686">
        <f t="shared" si="119"/>
        <v>1.6862523022188065</v>
      </c>
      <c r="AH260" s="687">
        <f t="shared" si="120"/>
        <v>-75.845490179675124</v>
      </c>
      <c r="AJ260" s="170">
        <f t="shared" si="121"/>
        <v>0</v>
      </c>
      <c r="AK260" s="170">
        <f t="shared" si="133"/>
        <v>0</v>
      </c>
      <c r="AM260" s="170" t="str">
        <f t="shared" si="125"/>
        <v>0.09507381817446+0.42556856726813i</v>
      </c>
      <c r="AN260" s="170" t="str">
        <f t="shared" si="126"/>
        <v>0.439590095227511i</v>
      </c>
      <c r="AO260" s="170" t="str">
        <f t="shared" si="127"/>
        <v>0.968103175864042-0.21627834477311i</v>
      </c>
      <c r="AP260" s="170" t="str">
        <f t="shared" si="128"/>
        <v>0.150821030304257-0.0709280945446883i</v>
      </c>
      <c r="AQ260" s="170" t="str">
        <f t="shared" si="129"/>
        <v>0.849178969695743+0.0709280945446883i</v>
      </c>
      <c r="AR260" s="170" t="str">
        <f t="shared" si="130"/>
        <v>0.974151339799286-0.0813664737303549i</v>
      </c>
    </row>
    <row r="261" spans="7:44">
      <c r="G261" s="688">
        <v>16218</v>
      </c>
      <c r="H261" s="676">
        <f t="shared" si="122"/>
        <v>16.218</v>
      </c>
      <c r="I261" s="677">
        <f t="shared" si="102"/>
        <v>133.39176365681217</v>
      </c>
      <c r="J261" s="678">
        <f t="shared" si="103"/>
        <v>1.5632995418389803</v>
      </c>
      <c r="K261" s="678">
        <f t="shared" si="104"/>
        <v>1.0002512552458163</v>
      </c>
      <c r="L261" s="679">
        <f t="shared" si="105"/>
        <v>2.2414399364145115E-2</v>
      </c>
      <c r="M261" s="678">
        <f t="shared" si="106"/>
        <v>1.0037441213669596</v>
      </c>
      <c r="N261" s="679">
        <f t="shared" si="107"/>
        <v>-8.639995986438033E-2</v>
      </c>
      <c r="O261" s="677">
        <f t="shared" si="108"/>
        <v>672544.61469038343</v>
      </c>
      <c r="P261" s="680">
        <f t="shared" si="109"/>
        <v>1.5707948399046916</v>
      </c>
      <c r="Q261" s="689">
        <f t="shared" si="131"/>
        <v>26.920364299111153</v>
      </c>
      <c r="R261" s="690">
        <f t="shared" si="132"/>
        <v>1.5336411787396864</v>
      </c>
      <c r="S261" s="677">
        <f t="shared" si="110"/>
        <v>1.0074485612650288</v>
      </c>
      <c r="T261" s="680">
        <f t="shared" si="111"/>
        <v>0.12167677691993779</v>
      </c>
      <c r="U261" s="681">
        <f t="shared" si="123"/>
        <v>0.96936308771501045</v>
      </c>
      <c r="V261" s="682">
        <f t="shared" si="124"/>
        <v>-0.3048101956737776</v>
      </c>
      <c r="W261" s="683">
        <f t="shared" si="112"/>
        <v>-22.796669114805965</v>
      </c>
      <c r="X261" s="684">
        <f t="shared" si="113"/>
        <v>-119.80122009058954</v>
      </c>
      <c r="Y261" s="687">
        <f t="shared" si="114"/>
        <v>60.198779909410462</v>
      </c>
      <c r="AA261" s="170">
        <f t="shared" si="115"/>
        <v>16218</v>
      </c>
      <c r="AB261" s="170">
        <f t="shared" si="116"/>
        <v>263023524</v>
      </c>
      <c r="AD261" s="686">
        <f t="shared" si="117"/>
        <v>17.088189145982643</v>
      </c>
      <c r="AE261" s="687">
        <f t="shared" si="118"/>
        <v>-9.1003137708797919</v>
      </c>
      <c r="AG261" s="686">
        <f t="shared" si="119"/>
        <v>1.6400430628850042</v>
      </c>
      <c r="AH261" s="687">
        <f t="shared" si="120"/>
        <v>-75.772230750469447</v>
      </c>
      <c r="AJ261" s="170">
        <f t="shared" si="121"/>
        <v>0</v>
      </c>
      <c r="AK261" s="170">
        <f t="shared" si="133"/>
        <v>0</v>
      </c>
      <c r="AM261" s="170" t="str">
        <f t="shared" si="125"/>
        <v>0.096146875806553+0.427842879905397i</v>
      </c>
      <c r="AN261" s="170" t="str">
        <f t="shared" si="126"/>
        <v>0.44210484252824i</v>
      </c>
      <c r="AO261" s="170" t="str">
        <f t="shared" si="127"/>
        <v>0.967740768137069-0.217475283140359i</v>
      </c>
      <c r="AP261" s="170" t="str">
        <f t="shared" si="128"/>
        <v>0.150642187365574-0.0713071466508995i</v>
      </c>
      <c r="AQ261" s="170" t="str">
        <f t="shared" si="129"/>
        <v>0.849357812634426+0.0713071466508995i</v>
      </c>
      <c r="AR261" s="170" t="str">
        <f t="shared" si="130"/>
        <v>0.973876782579766-0.0817610358347422i</v>
      </c>
    </row>
    <row r="262" spans="7:44">
      <c r="G262" s="688">
        <v>16312.5</v>
      </c>
      <c r="H262" s="676">
        <f t="shared" si="122"/>
        <v>16.3125</v>
      </c>
      <c r="I262" s="677">
        <f t="shared" si="102"/>
        <v>134.16897510569265</v>
      </c>
      <c r="J262" s="678">
        <f t="shared" si="103"/>
        <v>1.5633429698766736</v>
      </c>
      <c r="K262" s="678">
        <f t="shared" si="104"/>
        <v>1.0002541914611764</v>
      </c>
      <c r="L262" s="679">
        <f t="shared" si="105"/>
        <v>2.2544960786723574E-2</v>
      </c>
      <c r="M262" s="678">
        <f t="shared" si="106"/>
        <v>1.0037877988571444</v>
      </c>
      <c r="N262" s="679">
        <f t="shared" si="107"/>
        <v>-8.6900876774510152E-2</v>
      </c>
      <c r="O262" s="677">
        <f t="shared" si="108"/>
        <v>676463.43736198917</v>
      </c>
      <c r="P262" s="680">
        <f t="shared" si="109"/>
        <v>1.5707948485184005</v>
      </c>
      <c r="Q262" s="689">
        <f t="shared" si="131"/>
        <v>27.077009645427179</v>
      </c>
      <c r="R262" s="690">
        <f t="shared" si="132"/>
        <v>1.5338562260298123</v>
      </c>
      <c r="S262" s="677">
        <f t="shared" si="110"/>
        <v>1.0075352920355085</v>
      </c>
      <c r="T262" s="680">
        <f t="shared" si="111"/>
        <v>0.12237873278897066</v>
      </c>
      <c r="U262" s="681">
        <f t="shared" si="123"/>
        <v>0.96902486758962048</v>
      </c>
      <c r="V262" s="682">
        <f t="shared" si="124"/>
        <v>-0.30653346703426304</v>
      </c>
      <c r="W262" s="683">
        <f t="shared" si="112"/>
        <v>-22.85057549885423</v>
      </c>
      <c r="X262" s="684">
        <f t="shared" si="113"/>
        <v>-119.95156261641075</v>
      </c>
      <c r="Y262" s="687">
        <f t="shared" si="114"/>
        <v>60.048437383589246</v>
      </c>
      <c r="AA262" s="170">
        <f t="shared" si="115"/>
        <v>16312.5</v>
      </c>
      <c r="AB262" s="170">
        <f t="shared" si="116"/>
        <v>266097656.25</v>
      </c>
      <c r="AD262" s="686">
        <f t="shared" si="117"/>
        <v>17.087372181950514</v>
      </c>
      <c r="AE262" s="687">
        <f t="shared" si="118"/>
        <v>-9.1282120710209167</v>
      </c>
      <c r="AG262" s="686">
        <f t="shared" si="119"/>
        <v>1.5930158817602802</v>
      </c>
      <c r="AH262" s="687">
        <f t="shared" si="120"/>
        <v>-75.697202624100711</v>
      </c>
      <c r="AJ262" s="170">
        <f t="shared" si="121"/>
        <v>0</v>
      </c>
      <c r="AK262" s="170">
        <f t="shared" si="133"/>
        <v>0</v>
      </c>
      <c r="AM262" s="170" t="str">
        <f t="shared" si="125"/>
        <v>0.097252032260407+0.430169858011966i</v>
      </c>
      <c r="AN262" s="170" t="str">
        <f t="shared" si="126"/>
        <v>0.444680925128988i</v>
      </c>
      <c r="AO262" s="170" t="str">
        <f t="shared" si="127"/>
        <v>0.967367462157697-0.218700705977431i</v>
      </c>
      <c r="AP262" s="170" t="str">
        <f t="shared" si="128"/>
        <v>0.150457994623266-0.0716949763353277i</v>
      </c>
      <c r="AQ262" s="170" t="str">
        <f t="shared" si="129"/>
        <v>0.849542005376734+0.0716949763353277i</v>
      </c>
      <c r="AR262" s="170" t="str">
        <f t="shared" si="130"/>
        <v>0.973594294877971-0.08216405956352i</v>
      </c>
    </row>
    <row r="263" spans="7:44">
      <c r="G263" s="688">
        <v>16407</v>
      </c>
      <c r="H263" s="676">
        <f t="shared" si="122"/>
        <v>16.407</v>
      </c>
      <c r="I263" s="677">
        <f t="shared" si="102"/>
        <v>134.94618680470032</v>
      </c>
      <c r="J263" s="678">
        <f t="shared" si="103"/>
        <v>1.5633858976738733</v>
      </c>
      <c r="K263" s="678">
        <f t="shared" si="104"/>
        <v>1.0002571447270543</v>
      </c>
      <c r="L263" s="679">
        <f t="shared" si="105"/>
        <v>2.2675521440560654E-2</v>
      </c>
      <c r="M263" s="678">
        <f t="shared" si="106"/>
        <v>1.0038317281935516</v>
      </c>
      <c r="N263" s="679">
        <f t="shared" si="107"/>
        <v>-8.7401749968404149E-2</v>
      </c>
      <c r="O263" s="677">
        <f t="shared" si="108"/>
        <v>680382.26003359491</v>
      </c>
      <c r="P263" s="680">
        <f t="shared" si="109"/>
        <v>1.5707948570328838</v>
      </c>
      <c r="Q263" s="689">
        <f t="shared" si="131"/>
        <v>27.233656229523714</v>
      </c>
      <c r="R263" s="690">
        <f t="shared" si="132"/>
        <v>1.5340687994478621</v>
      </c>
      <c r="S263" s="677">
        <f t="shared" si="110"/>
        <v>1.0076225191753787</v>
      </c>
      <c r="T263" s="680">
        <f t="shared" si="111"/>
        <v>0.12308056747095793</v>
      </c>
      <c r="U263" s="681">
        <f t="shared" si="123"/>
        <v>0.96868501886435976</v>
      </c>
      <c r="V263" s="682">
        <f t="shared" si="124"/>
        <v>-0.30825586286807954</v>
      </c>
      <c r="W263" s="683">
        <f t="shared" si="112"/>
        <v>-22.904206800966843</v>
      </c>
      <c r="X263" s="684">
        <f t="shared" si="113"/>
        <v>-120.10195864910739</v>
      </c>
      <c r="Y263" s="687">
        <f t="shared" si="114"/>
        <v>59.898041350892612</v>
      </c>
      <c r="AA263" s="170">
        <f t="shared" si="115"/>
        <v>16407</v>
      </c>
      <c r="AB263" s="170">
        <f t="shared" si="116"/>
        <v>269189649</v>
      </c>
      <c r="AD263" s="686">
        <f t="shared" si="117"/>
        <v>17.08655219523833</v>
      </c>
      <c r="AE263" s="687">
        <f t="shared" si="118"/>
        <v>-9.1562451643997544</v>
      </c>
      <c r="AG263" s="686">
        <f t="shared" si="119"/>
        <v>1.5462981277792409</v>
      </c>
      <c r="AH263" s="687">
        <f t="shared" si="120"/>
        <v>-75.622193539335754</v>
      </c>
      <c r="AJ263" s="170">
        <f t="shared" si="121"/>
        <v>0</v>
      </c>
      <c r="AK263" s="170">
        <f t="shared" si="133"/>
        <v>0</v>
      </c>
      <c r="AM263" s="170" t="str">
        <f t="shared" si="125"/>
        <v>0.098363179528426+0.432493981426227i</v>
      </c>
      <c r="AN263" s="170" t="str">
        <f t="shared" si="126"/>
        <v>0.447257007729735i</v>
      </c>
      <c r="AO263" s="170" t="str">
        <f t="shared" si="127"/>
        <v>0.966992073800152-0.219925407156201i</v>
      </c>
      <c r="AP263" s="170" t="str">
        <f t="shared" si="128"/>
        <v>0.150272803411929-0.0720823302377045i</v>
      </c>
      <c r="AQ263" s="170" t="str">
        <f t="shared" si="129"/>
        <v>0.849727196588071+0.0720823302377045i</v>
      </c>
      <c r="AR263" s="170" t="str">
        <f t="shared" si="130"/>
        <v>0.973310564395691-0.0825659032785178i</v>
      </c>
    </row>
    <row r="264" spans="7:44">
      <c r="G264" s="688">
        <v>16501.5</v>
      </c>
      <c r="H264" s="676">
        <f t="shared" si="122"/>
        <v>16.5015</v>
      </c>
      <c r="I264" s="677">
        <f t="shared" si="102"/>
        <v>135.72339874953818</v>
      </c>
      <c r="J264" s="678">
        <f t="shared" si="103"/>
        <v>1.5634283338242119</v>
      </c>
      <c r="K264" s="678">
        <f t="shared" si="104"/>
        <v>1.000260115043299</v>
      </c>
      <c r="L264" s="679">
        <f t="shared" si="105"/>
        <v>2.2806081321212097E-2</v>
      </c>
      <c r="M264" s="678">
        <f t="shared" si="106"/>
        <v>1.0038759093431184</v>
      </c>
      <c r="N264" s="679">
        <f t="shared" si="107"/>
        <v>-8.7902579200505856E-2</v>
      </c>
      <c r="O264" s="677">
        <f t="shared" si="108"/>
        <v>684301.08270520077</v>
      </c>
      <c r="P264" s="680">
        <f t="shared" si="109"/>
        <v>1.5707948654498465</v>
      </c>
      <c r="Q264" s="689">
        <f t="shared" si="131"/>
        <v>27.390304030163957</v>
      </c>
      <c r="R264" s="690">
        <f t="shared" si="132"/>
        <v>1.5342789414193996</v>
      </c>
      <c r="S264" s="677">
        <f t="shared" si="110"/>
        <v>1.007710242555742</v>
      </c>
      <c r="T264" s="680">
        <f t="shared" si="111"/>
        <v>0.12378228030605141</v>
      </c>
      <c r="U264" s="681">
        <f t="shared" si="123"/>
        <v>0.96834354681319057</v>
      </c>
      <c r="V264" s="682">
        <f t="shared" si="124"/>
        <v>-0.30997737934132863</v>
      </c>
      <c r="W264" s="683">
        <f t="shared" si="112"/>
        <v>-22.957566362749784</v>
      </c>
      <c r="X264" s="684">
        <f t="shared" si="113"/>
        <v>-120.25240597906283</v>
      </c>
      <c r="Y264" s="687">
        <f t="shared" si="114"/>
        <v>59.747594020937171</v>
      </c>
      <c r="AA264" s="170">
        <f t="shared" si="115"/>
        <v>16501.5</v>
      </c>
      <c r="AB264" s="170">
        <f t="shared" si="116"/>
        <v>272299502.25</v>
      </c>
      <c r="AD264" s="686">
        <f t="shared" si="117"/>
        <v>17.085729160866389</v>
      </c>
      <c r="AE264" s="687">
        <f t="shared" si="118"/>
        <v>-9.1844105825017373</v>
      </c>
      <c r="AG264" s="686">
        <f t="shared" si="119"/>
        <v>1.4998864219309609</v>
      </c>
      <c r="AH264" s="687">
        <f t="shared" si="120"/>
        <v>-75.547204194404983</v>
      </c>
      <c r="AJ264" s="170">
        <f t="shared" si="121"/>
        <v>0</v>
      </c>
      <c r="AK264" s="170">
        <f t="shared" si="133"/>
        <v>0</v>
      </c>
      <c r="AM264" s="170" t="str">
        <f t="shared" si="125"/>
        <v>0.099480310236815+0.434815234724839i</v>
      </c>
      <c r="AN264" s="170" t="str">
        <f t="shared" si="126"/>
        <v>0.449833090330482i</v>
      </c>
      <c r="AO264" s="170" t="str">
        <f t="shared" si="127"/>
        <v>0.966614604553414-0.22114938268265i</v>
      </c>
      <c r="AP264" s="170" t="str">
        <f t="shared" si="128"/>
        <v>0.150086614960531-0.0724692057874732i</v>
      </c>
      <c r="AQ264" s="170" t="str">
        <f t="shared" si="129"/>
        <v>0.849913385039469+0.0724692057874732i</v>
      </c>
      <c r="AR264" s="170" t="str">
        <f t="shared" si="130"/>
        <v>0.97302559724695-0.0829665628105076i</v>
      </c>
    </row>
    <row r="265" spans="7:44">
      <c r="G265" s="688">
        <v>16596</v>
      </c>
      <c r="H265" s="676">
        <f t="shared" si="122"/>
        <v>16.596</v>
      </c>
      <c r="I265" s="677">
        <f t="shared" si="102"/>
        <v>136.50061093600706</v>
      </c>
      <c r="J265" s="678">
        <f t="shared" si="103"/>
        <v>1.5634702867256058</v>
      </c>
      <c r="K265" s="678">
        <f t="shared" si="104"/>
        <v>1.0002631024097588</v>
      </c>
      <c r="L265" s="679">
        <f t="shared" si="105"/>
        <v>2.2936640424233785E-2</v>
      </c>
      <c r="M265" s="678">
        <f t="shared" si="106"/>
        <v>1.0039203422725993</v>
      </c>
      <c r="N265" s="679">
        <f t="shared" si="107"/>
        <v>-8.8403364225390094E-2</v>
      </c>
      <c r="O265" s="677">
        <f t="shared" si="108"/>
        <v>688219.90537680662</v>
      </c>
      <c r="P265" s="680">
        <f t="shared" si="109"/>
        <v>1.5707948737709545</v>
      </c>
      <c r="Q265" s="689">
        <f t="shared" si="131"/>
        <v>27.546953026594011</v>
      </c>
      <c r="R265" s="690">
        <f t="shared" si="132"/>
        <v>1.534486693405827</v>
      </c>
      <c r="S265" s="677">
        <f t="shared" si="110"/>
        <v>1.0077984620470137</v>
      </c>
      <c r="T265" s="680">
        <f t="shared" si="111"/>
        <v>0.12448387063511204</v>
      </c>
      <c r="U265" s="681">
        <f t="shared" si="123"/>
        <v>0.96800045672535606</v>
      </c>
      <c r="V265" s="682">
        <f t="shared" si="124"/>
        <v>-0.31169801263905089</v>
      </c>
      <c r="W265" s="683">
        <f t="shared" si="112"/>
        <v>-23.010657467591201</v>
      </c>
      <c r="X265" s="684">
        <f t="shared" si="113"/>
        <v>-120.4029024418202</v>
      </c>
      <c r="Y265" s="687">
        <f t="shared" si="114"/>
        <v>59.597097558179797</v>
      </c>
      <c r="AA265" s="170">
        <f t="shared" si="115"/>
        <v>16596</v>
      </c>
      <c r="AB265" s="170">
        <f t="shared" si="116"/>
        <v>275427216</v>
      </c>
      <c r="AD265" s="686">
        <f t="shared" si="117"/>
        <v>17.08490305463739</v>
      </c>
      <c r="AE265" s="687">
        <f t="shared" si="118"/>
        <v>-9.2127059120930692</v>
      </c>
      <c r="AG265" s="686">
        <f t="shared" si="119"/>
        <v>1.4537774424237935</v>
      </c>
      <c r="AH265" s="687">
        <f t="shared" si="120"/>
        <v>-75.472235275247414</v>
      </c>
      <c r="AJ265" s="170">
        <f t="shared" si="121"/>
        <v>0</v>
      </c>
      <c r="AK265" s="170">
        <f t="shared" si="133"/>
        <v>0</v>
      </c>
      <c r="AM265" s="170" t="str">
        <f t="shared" si="125"/>
        <v>0.100603416972075+0.437133602503505i</v>
      </c>
      <c r="AN265" s="170" t="str">
        <f t="shared" si="126"/>
        <v>0.452409172931229i</v>
      </c>
      <c r="AO265" s="170" t="str">
        <f t="shared" si="127"/>
        <v>0.966235055914646-0.222372628565972i</v>
      </c>
      <c r="AP265" s="170" t="str">
        <f t="shared" si="128"/>
        <v>0.149899430504654-0.0728556004172508i</v>
      </c>
      <c r="AQ265" s="170" t="str">
        <f t="shared" si="129"/>
        <v>0.850100569495346+0.0728556004172508i</v>
      </c>
      <c r="AR265" s="170" t="str">
        <f t="shared" si="130"/>
        <v>0.972739399559894-0.083366034028801i</v>
      </c>
    </row>
    <row r="266" spans="7:44">
      <c r="G266" s="688">
        <v>16692.5</v>
      </c>
      <c r="H266" s="676">
        <f t="shared" si="122"/>
        <v>16.692499999999999</v>
      </c>
      <c r="I266" s="677">
        <f t="shared" si="102"/>
        <v>137.29427230273063</v>
      </c>
      <c r="J266" s="678">
        <f t="shared" si="103"/>
        <v>1.5635126373495589</v>
      </c>
      <c r="K266" s="678">
        <f t="shared" si="104"/>
        <v>1.0002661705960567</v>
      </c>
      <c r="L266" s="679">
        <f t="shared" si="105"/>
        <v>2.3069961875766043E-2</v>
      </c>
      <c r="M266" s="678">
        <f t="shared" si="106"/>
        <v>1.0039659753761128</v>
      </c>
      <c r="N266" s="679">
        <f t="shared" si="107"/>
        <v>-8.8914701999697671E-2</v>
      </c>
      <c r="O266" s="677">
        <f t="shared" si="108"/>
        <v>692221.6660943724</v>
      </c>
      <c r="P266" s="680">
        <f t="shared" si="109"/>
        <v>1.570794882170943</v>
      </c>
      <c r="Q266" s="689">
        <f t="shared" si="131"/>
        <v>27.70691855864073</v>
      </c>
      <c r="R266" s="690">
        <f t="shared" si="132"/>
        <v>1.5346964179768041</v>
      </c>
      <c r="S266" s="677">
        <f t="shared" si="110"/>
        <v>1.007889060453645</v>
      </c>
      <c r="T266" s="680">
        <f t="shared" si="111"/>
        <v>0.12520018232992985</v>
      </c>
      <c r="U266" s="681">
        <f t="shared" si="123"/>
        <v>0.96764844121896254</v>
      </c>
      <c r="V266" s="682">
        <f t="shared" si="124"/>
        <v>-0.31345414610078132</v>
      </c>
      <c r="W266" s="683">
        <f t="shared" si="112"/>
        <v>-23.064598507024783</v>
      </c>
      <c r="X266" s="684">
        <f t="shared" si="113"/>
        <v>-120.55663251494467</v>
      </c>
      <c r="Y266" s="687">
        <f t="shared" si="114"/>
        <v>59.443367485055333</v>
      </c>
      <c r="AA266" s="170">
        <f t="shared" si="115"/>
        <v>16692.5</v>
      </c>
      <c r="AB266" s="170">
        <f t="shared" si="116"/>
        <v>278639556.25</v>
      </c>
      <c r="AD266" s="686">
        <f t="shared" si="117"/>
        <v>17.084056270257349</v>
      </c>
      <c r="AE266" s="687">
        <f t="shared" si="118"/>
        <v>-9.2417316975618586</v>
      </c>
      <c r="AG266" s="686">
        <f t="shared" si="119"/>
        <v>1.4070016222400794</v>
      </c>
      <c r="AH266" s="687">
        <f t="shared" si="120"/>
        <v>-75.395701491435446</v>
      </c>
      <c r="AJ266" s="170">
        <f t="shared" si="121"/>
        <v>0</v>
      </c>
      <c r="AK266" s="170">
        <f t="shared" si="133"/>
        <v>0</v>
      </c>
      <c r="AM266" s="170" t="str">
        <f t="shared" si="125"/>
        <v>0.101756452496522+0.439498042508004i</v>
      </c>
      <c r="AN266" s="170" t="str">
        <f t="shared" si="126"/>
        <v>0.455039775798659i</v>
      </c>
      <c r="AO266" s="170" t="str">
        <f t="shared" si="127"/>
        <v>0.965845330194757-0.223621006137156i</v>
      </c>
      <c r="AP266" s="170" t="str">
        <f t="shared" si="128"/>
        <v>0.149707257917246-0.073249673751334i</v>
      </c>
      <c r="AQ266" s="170" t="str">
        <f t="shared" si="129"/>
        <v>0.850292742082754+0.073249673751334i</v>
      </c>
      <c r="AR266" s="170" t="str">
        <f t="shared" si="130"/>
        <v>0.97244588128346-0.0837727291078176i</v>
      </c>
    </row>
    <row r="267" spans="7:44">
      <c r="G267" s="688">
        <v>16789</v>
      </c>
      <c r="H267" s="676">
        <f t="shared" si="122"/>
        <v>16.789000000000001</v>
      </c>
      <c r="I267" s="677">
        <f t="shared" si="102"/>
        <v>138.08793391287122</v>
      </c>
      <c r="J267" s="678">
        <f t="shared" si="103"/>
        <v>1.5635545011524219</v>
      </c>
      <c r="K267" s="678">
        <f t="shared" si="104"/>
        <v>1.0002692565615858</v>
      </c>
      <c r="L267" s="679">
        <f t="shared" si="105"/>
        <v>2.3203282507038698E-2</v>
      </c>
      <c r="M267" s="678">
        <f t="shared" si="106"/>
        <v>1.0040118709590127</v>
      </c>
      <c r="N267" s="679">
        <f t="shared" si="107"/>
        <v>-8.9425993158940009E-2</v>
      </c>
      <c r="O267" s="677">
        <f t="shared" si="108"/>
        <v>696223.42681193817</v>
      </c>
      <c r="P267" s="680">
        <f t="shared" si="109"/>
        <v>1.5707948904743687</v>
      </c>
      <c r="Q267" s="689">
        <f t="shared" si="131"/>
        <v>27.866885295368284</v>
      </c>
      <c r="R267" s="690">
        <f t="shared" si="132"/>
        <v>1.53490373475595</v>
      </c>
      <c r="S267" s="677">
        <f t="shared" si="110"/>
        <v>1.0079801759174978</v>
      </c>
      <c r="T267" s="680">
        <f t="shared" si="111"/>
        <v>0.12591636489146124</v>
      </c>
      <c r="U267" s="681">
        <f t="shared" si="123"/>
        <v>0.96729474965839557</v>
      </c>
      <c r="V267" s="682">
        <f t="shared" si="124"/>
        <v>-0.31520935062832767</v>
      </c>
      <c r="W267" s="683">
        <f t="shared" si="112"/>
        <v>-23.118266346230264</v>
      </c>
      <c r="X267" s="684">
        <f t="shared" si="113"/>
        <v>-120.71040939940305</v>
      </c>
      <c r="Y267" s="687">
        <f t="shared" si="114"/>
        <v>59.289590600596952</v>
      </c>
      <c r="AA267" s="170">
        <f t="shared" si="115"/>
        <v>16789</v>
      </c>
      <c r="AB267" s="170">
        <f t="shared" si="116"/>
        <v>281870521</v>
      </c>
      <c r="AD267" s="686">
        <f t="shared" si="117"/>
        <v>17.083206234003143</v>
      </c>
      <c r="AE267" s="687">
        <f t="shared" si="118"/>
        <v>-9.2708880350157354</v>
      </c>
      <c r="AG267" s="686">
        <f t="shared" si="119"/>
        <v>1.3605346535865757</v>
      </c>
      <c r="AH267" s="687">
        <f t="shared" si="120"/>
        <v>-75.319190414988768</v>
      </c>
      <c r="AJ267" s="170">
        <f t="shared" si="121"/>
        <v>0</v>
      </c>
      <c r="AK267" s="170">
        <f t="shared" si="133"/>
        <v>0</v>
      </c>
      <c r="AM267" s="170" t="str">
        <f t="shared" si="125"/>
        <v>0.10291570392691+0.441859441156403i</v>
      </c>
      <c r="AN267" s="170" t="str">
        <f t="shared" si="126"/>
        <v>0.457670378666089i</v>
      </c>
      <c r="AO267" s="170" t="str">
        <f t="shared" si="127"/>
        <v>0.965453439316374-0.224868614453189i</v>
      </c>
      <c r="AP267" s="170" t="str">
        <f t="shared" si="128"/>
        <v>0.149514049345515-0.0736432401927338i</v>
      </c>
      <c r="AQ267" s="170" t="str">
        <f t="shared" si="129"/>
        <v>0.850485950654485+0.0736432401927338i</v>
      </c>
      <c r="AR267" s="170" t="str">
        <f t="shared" si="130"/>
        <v>0.972151092790881-0.0841781764589223i</v>
      </c>
    </row>
    <row r="268" spans="7:44">
      <c r="G268" s="688">
        <v>16885.5</v>
      </c>
      <c r="H268" s="676">
        <f t="shared" si="122"/>
        <v>16.8855</v>
      </c>
      <c r="I268" s="677">
        <f t="shared" si="102"/>
        <v>138.88159576225567</v>
      </c>
      <c r="J268" s="678">
        <f t="shared" si="103"/>
        <v>1.5635958864801056</v>
      </c>
      <c r="K268" s="678">
        <f t="shared" si="104"/>
        <v>1.0002723603061816</v>
      </c>
      <c r="L268" s="679">
        <f t="shared" si="105"/>
        <v>2.3336602313319982E-2</v>
      </c>
      <c r="M268" s="678">
        <f t="shared" si="106"/>
        <v>1.0040580289853052</v>
      </c>
      <c r="N268" s="679">
        <f t="shared" si="107"/>
        <v>-8.9937237442205747E-2</v>
      </c>
      <c r="O268" s="677">
        <f t="shared" si="108"/>
        <v>700225.18752950418</v>
      </c>
      <c r="P268" s="680">
        <f t="shared" si="109"/>
        <v>1.5707948986828866</v>
      </c>
      <c r="Q268" s="689">
        <f t="shared" si="131"/>
        <v>28.026853216149092</v>
      </c>
      <c r="R268" s="690">
        <f t="shared" si="132"/>
        <v>1.5351086849539048</v>
      </c>
      <c r="S268" s="677">
        <f t="shared" si="110"/>
        <v>1.008071808298368</v>
      </c>
      <c r="T268" s="680">
        <f t="shared" si="111"/>
        <v>0.12663241762013663</v>
      </c>
      <c r="U268" s="681">
        <f t="shared" si="123"/>
        <v>0.96693938772386856</v>
      </c>
      <c r="V268" s="682">
        <f t="shared" si="124"/>
        <v>-0.31696362222073476</v>
      </c>
      <c r="W268" s="683">
        <f t="shared" si="112"/>
        <v>-23.171664302051212</v>
      </c>
      <c r="X268" s="684">
        <f t="shared" si="113"/>
        <v>-120.86423092828156</v>
      </c>
      <c r="Y268" s="687">
        <f t="shared" si="114"/>
        <v>59.135769071718443</v>
      </c>
      <c r="AA268" s="170">
        <f t="shared" si="115"/>
        <v>16885.5</v>
      </c>
      <c r="AB268" s="170">
        <f t="shared" si="116"/>
        <v>285120110.25</v>
      </c>
      <c r="AD268" s="686">
        <f t="shared" si="117"/>
        <v>17.082352922468701</v>
      </c>
      <c r="AE268" s="687">
        <f t="shared" si="118"/>
        <v>-9.3001725232713692</v>
      </c>
      <c r="AG268" s="686">
        <f t="shared" si="119"/>
        <v>1.3143731756809049</v>
      </c>
      <c r="AH268" s="687">
        <f t="shared" si="120"/>
        <v>-75.242702738652682</v>
      </c>
      <c r="AJ268" s="170">
        <f t="shared" si="121"/>
        <v>0</v>
      </c>
      <c r="AK268" s="170">
        <f t="shared" si="133"/>
        <v>0</v>
      </c>
      <c r="AM268" s="170" t="str">
        <f t="shared" si="125"/>
        <v>0.10408116324114+0.444217782107663i</v>
      </c>
      <c r="AN268" s="170" t="str">
        <f t="shared" si="126"/>
        <v>0.460300981533519i</v>
      </c>
      <c r="AO268" s="170" t="str">
        <f t="shared" si="127"/>
        <v>0.965059384900128-0.226115449274924i</v>
      </c>
      <c r="AP268" s="170" t="str">
        <f t="shared" si="128"/>
        <v>0.149319806126477-0.0740362970179438i</v>
      </c>
      <c r="AQ268" s="170" t="str">
        <f t="shared" si="129"/>
        <v>0.850680193873523+0.0740362970179438i</v>
      </c>
      <c r="AR268" s="170" t="str">
        <f t="shared" si="130"/>
        <v>0.971855040651441-0.0845823718081694i</v>
      </c>
    </row>
    <row r="269" spans="7:44">
      <c r="G269" s="688">
        <v>16982</v>
      </c>
      <c r="H269" s="676">
        <f t="shared" si="122"/>
        <v>16.981999999999999</v>
      </c>
      <c r="I269" s="677">
        <f t="shared" ref="I269:I332" si="134">SQRT(1+(G269/pole1)^2)</f>
        <v>139.67525784680569</v>
      </c>
      <c r="J269" s="678">
        <f t="shared" ref="J269:J332" si="135">ATAN(G269/pole1)</f>
        <v>1.5636368014888351</v>
      </c>
      <c r="K269" s="678">
        <f t="shared" ref="K269:K332" si="136">SQRT(1+(G269/Zero1)^2)</f>
        <v>1.0002754818296788</v>
      </c>
      <c r="L269" s="679">
        <f t="shared" ref="L269:L332" si="137">ATAN(G269/Zero1)</f>
        <v>2.34699212898783E-2</v>
      </c>
      <c r="M269" s="678">
        <f t="shared" ref="M269:M332" si="138">SQRT(1+(G269/z_RHP)^2)</f>
        <v>1.0041044494187972</v>
      </c>
      <c r="N269" s="679">
        <f t="shared" ref="N269:N332" si="139">-ATAN(G269/z_RHP)</f>
        <v>-9.0448434588729434E-2</v>
      </c>
      <c r="O269" s="677">
        <f t="shared" ref="O269:O332" si="140">SQRT(1+(G269/Pole2)^2)</f>
        <v>704226.94824707008</v>
      </c>
      <c r="P269" s="680">
        <f t="shared" ref="P269:P332" si="141">ATAN(G269/Pole2)</f>
        <v>1.5707949067981151</v>
      </c>
      <c r="Q269" s="689">
        <f t="shared" si="131"/>
        <v>28.186822300823668</v>
      </c>
      <c r="R269" s="690">
        <f t="shared" si="132"/>
        <v>1.5353113088465811</v>
      </c>
      <c r="S269" s="677">
        <f t="shared" ref="S269:S332" si="142">SQRT(1+(G269/pole4)^2)</f>
        <v>1.0081639574553072</v>
      </c>
      <c r="T269" s="680">
        <f t="shared" ref="T269:T332" si="143">ATAN(G269/pole4)</f>
        <v>0.12734833981717264</v>
      </c>
      <c r="U269" s="681">
        <f t="shared" si="123"/>
        <v>0.96658236111128393</v>
      </c>
      <c r="V269" s="682">
        <f t="shared" si="124"/>
        <v>-0.31871695689781249</v>
      </c>
      <c r="W269" s="683">
        <f t="shared" ref="W269:W332" si="144">20*LOG10(((K269*Q269*M269*U269)/(I269*O269*S269))*Adc)</f>
        <v>-23.22479563362046</v>
      </c>
      <c r="X269" s="684">
        <f t="shared" ref="X269:X332" si="145">((L269+R269+N269+V269)-(J269+P269+T269))*radconv</f>
        <v>-121.01809497859531</v>
      </c>
      <c r="Y269" s="687">
        <f t="shared" ref="Y269:Y332" si="146">IF(X269&gt;0,X269,X269+180)</f>
        <v>58.981905021404685</v>
      </c>
      <c r="AA269" s="170">
        <f t="shared" ref="AA269:AA332" si="147">IF(W269&lt;0,G269,1000000000)</f>
        <v>16982</v>
      </c>
      <c r="AB269" s="170">
        <f t="shared" ref="AB269:AB332" si="148">G269^2</f>
        <v>288388324</v>
      </c>
      <c r="AD269" s="686">
        <f t="shared" ref="AD269:AD332" si="149">20*LOG10((Q269/(O269*S269))*Aea)</f>
        <v>17.081496312990627</v>
      </c>
      <c r="AE269" s="687">
        <f t="shared" ref="AE269:AE332" si="150">(R269-(P269+T269))*radconv</f>
        <v>-9.3295828147443594</v>
      </c>
      <c r="AG269" s="686">
        <f t="shared" ref="AG269:AG332" si="151">20*LOG10((K269*M269/(I269*U269))*Acs*Am)</f>
        <v>1.2685138844828696</v>
      </c>
      <c r="AH269" s="687">
        <f t="shared" ref="AH269:AH332" si="152">(L269+N269-(J269+V269))*radconv</f>
        <v>-75.166239143122908</v>
      </c>
      <c r="AJ269" s="170">
        <f t="shared" ref="AJ269:AJ332" si="153">SUM((W270&lt;0)*(W269&gt;0))*G269</f>
        <v>0</v>
      </c>
      <c r="AK269" s="170">
        <f t="shared" si="133"/>
        <v>0</v>
      </c>
      <c r="AM269" s="170" t="str">
        <f t="shared" si="125"/>
        <v>0.105252822374155+0.446573049041905i</v>
      </c>
      <c r="AN269" s="170" t="str">
        <f t="shared" si="126"/>
        <v>0.462931584400948i</v>
      </c>
      <c r="AO269" s="170" t="str">
        <f t="shared" si="127"/>
        <v>0.964663168575521-0.22736150636677i</v>
      </c>
      <c r="AP269" s="170" t="str">
        <f t="shared" si="128"/>
        <v>0.149124529604307-0.0744288415069842i</v>
      </c>
      <c r="AQ269" s="170" t="str">
        <f t="shared" si="129"/>
        <v>0.850875470395693+0.0744288415069842i</v>
      </c>
      <c r="AR269" s="170" t="str">
        <f t="shared" si="130"/>
        <v>0.971557731448533-0.0849853109236301i</v>
      </c>
    </row>
    <row r="270" spans="7:44">
      <c r="G270" s="688">
        <v>17081</v>
      </c>
      <c r="H270" s="676">
        <f t="shared" ref="H270:H333" si="154">G270/1000</f>
        <v>17.081</v>
      </c>
      <c r="I270" s="677">
        <f t="shared" si="134"/>
        <v>140.4894813654615</v>
      </c>
      <c r="J270" s="678">
        <f t="shared" si="135"/>
        <v>1.5636782960731366</v>
      </c>
      <c r="K270" s="678">
        <f t="shared" si="136"/>
        <v>1.0002787026972431</v>
      </c>
      <c r="L270" s="679">
        <f t="shared" si="137"/>
        <v>2.3606693258729092E-2</v>
      </c>
      <c r="M270" s="678">
        <f t="shared" si="138"/>
        <v>1.0041523451084757</v>
      </c>
      <c r="N270" s="679">
        <f t="shared" si="139"/>
        <v>-9.0972825927174233E-2</v>
      </c>
      <c r="O270" s="677">
        <f t="shared" si="140"/>
        <v>708332.38152208587</v>
      </c>
      <c r="P270" s="680">
        <f t="shared" si="141"/>
        <v>1.5707949150282936</v>
      </c>
      <c r="Q270" s="689">
        <f t="shared" si="131"/>
        <v>28.350936851165958</v>
      </c>
      <c r="R270" s="690">
        <f t="shared" si="132"/>
        <v>1.5355168058343212</v>
      </c>
      <c r="S270" s="677">
        <f t="shared" si="142"/>
        <v>1.0082590307790433</v>
      </c>
      <c r="T270" s="680">
        <f t="shared" si="143"/>
        <v>0.12808267284185945</v>
      </c>
      <c r="U270" s="681">
        <f t="shared" ref="U270:U333" si="155">IMABS(IMPRODUCT(AO270, AR270))</f>
        <v>0.96621436116494164</v>
      </c>
      <c r="V270" s="682">
        <f t="shared" ref="V270:V333" si="156">IMARGUMENT(IMPRODUCT(AO270, AR270))</f>
        <v>-0.32051473696472926</v>
      </c>
      <c r="W270" s="683">
        <f t="shared" si="144"/>
        <v>-23.279029706420648</v>
      </c>
      <c r="X270" s="684">
        <f t="shared" si="145"/>
        <v>-121.17598715211716</v>
      </c>
      <c r="Y270" s="687">
        <f t="shared" si="146"/>
        <v>58.824012847882841</v>
      </c>
      <c r="AA270" s="170">
        <f t="shared" si="147"/>
        <v>17081</v>
      </c>
      <c r="AB270" s="170">
        <f t="shared" si="148"/>
        <v>291760561</v>
      </c>
      <c r="AD270" s="686">
        <f t="shared" si="149"/>
        <v>17.080614061350637</v>
      </c>
      <c r="AE270" s="687">
        <f t="shared" si="150"/>
        <v>-9.3598833593049449</v>
      </c>
      <c r="AG270" s="686">
        <f t="shared" si="151"/>
        <v>1.2217771551686498</v>
      </c>
      <c r="AH270" s="687">
        <f t="shared" si="152"/>
        <v>-75.087820351194623</v>
      </c>
      <c r="AJ270" s="170">
        <f t="shared" si="153"/>
        <v>0</v>
      </c>
      <c r="AK270" s="170">
        <f t="shared" si="133"/>
        <v>0</v>
      </c>
      <c r="AM270" s="170" t="str">
        <f t="shared" ref="AM270:AM333" si="157">IMSUB(1,IMEXP(COMPLEX(0,-2*Pi*G270*Tsw)))</f>
        <v>0.106461269696827+0.448986121665463i</v>
      </c>
      <c r="AN270" s="170" t="str">
        <f t="shared" ref="AN270:AN333" si="158">COMPLEX(0, 2*Pi*G270*Tsw)</f>
        <v>0.465630337601731i</v>
      </c>
      <c r="AO270" s="170" t="str">
        <f t="shared" ref="AO270:AO333" si="159">IMDIV(AM270, AN270)</f>
        <v>0.964254442650804-0.228639032081039i</v>
      </c>
      <c r="AP270" s="170" t="str">
        <f t="shared" ref="AP270:AP333" si="160">IMDIV(IMEXP(COMPLEX(0,-2*Pi*G270*Tsw)),6)</f>
        <v>0.148923121717195-0.0748310202775772i</v>
      </c>
      <c r="AQ270" s="170" t="str">
        <f t="shared" ref="AQ270:AQ333" si="161">IMSUB(1, AP270)</f>
        <v>0.851076878282805+0.0748310202775772i</v>
      </c>
      <c r="AR270" s="170" t="str">
        <f t="shared" ref="AR270:AR333" si="162">IMDIV(0.833, AQ270)</f>
        <v>0.971251420514819-0.0853973790121217i</v>
      </c>
    </row>
    <row r="271" spans="7:44">
      <c r="G271" s="688">
        <v>17180</v>
      </c>
      <c r="H271" s="676">
        <f t="shared" si="154"/>
        <v>17.18</v>
      </c>
      <c r="I271" s="677">
        <f t="shared" si="134"/>
        <v>141.30370512322449</v>
      </c>
      <c r="J271" s="678">
        <f t="shared" si="135"/>
        <v>1.5637193124552369</v>
      </c>
      <c r="K271" s="678">
        <f t="shared" si="136"/>
        <v>1.0002819422764719</v>
      </c>
      <c r="L271" s="679">
        <f t="shared" si="137"/>
        <v>2.3743464344220904E-2</v>
      </c>
      <c r="M271" s="678">
        <f t="shared" si="138"/>
        <v>1.0042005168998835</v>
      </c>
      <c r="N271" s="679">
        <f t="shared" si="139"/>
        <v>-9.1497167099383561E-2</v>
      </c>
      <c r="O271" s="677">
        <f t="shared" si="140"/>
        <v>712437.81479710178</v>
      </c>
      <c r="P271" s="680">
        <f t="shared" si="141"/>
        <v>1.5707949231636193</v>
      </c>
      <c r="Q271" s="689">
        <f t="shared" si="131"/>
        <v>28.515052584959253</v>
      </c>
      <c r="R271" s="690">
        <f t="shared" si="132"/>
        <v>1.5357199373929462</v>
      </c>
      <c r="S271" s="677">
        <f t="shared" si="142"/>
        <v>1.0083546476987146</v>
      </c>
      <c r="T271" s="680">
        <f t="shared" si="143"/>
        <v>0.12881686699658745</v>
      </c>
      <c r="U271" s="681">
        <f t="shared" si="155"/>
        <v>0.96584462136525229</v>
      </c>
      <c r="V271" s="682">
        <f t="shared" si="156"/>
        <v>-0.32231152252324613</v>
      </c>
      <c r="W271" s="683">
        <f t="shared" si="144"/>
        <v>-23.33298992975984</v>
      </c>
      <c r="X271" s="684">
        <f t="shared" si="145"/>
        <v>-121.33391968884415</v>
      </c>
      <c r="Y271" s="687">
        <f t="shared" si="146"/>
        <v>58.666080311155852</v>
      </c>
      <c r="AA271" s="170">
        <f t="shared" si="147"/>
        <v>17180</v>
      </c>
      <c r="AB271" s="170">
        <f t="shared" si="148"/>
        <v>295152400</v>
      </c>
      <c r="AD271" s="686">
        <f t="shared" si="149"/>
        <v>17.079728292645196</v>
      </c>
      <c r="AE271" s="687">
        <f t="shared" si="150"/>
        <v>-9.3903114708735078</v>
      </c>
      <c r="AG271" s="686">
        <f t="shared" si="151"/>
        <v>1.1753516054868602</v>
      </c>
      <c r="AH271" s="687">
        <f t="shared" si="152"/>
        <v>-75.009428317731633</v>
      </c>
      <c r="AJ271" s="170">
        <f t="shared" si="153"/>
        <v>0</v>
      </c>
      <c r="AK271" s="170">
        <f t="shared" si="133"/>
        <v>0</v>
      </c>
      <c r="AM271" s="170" t="str">
        <f t="shared" si="157"/>
        <v>0.10767622489834+0.451395924204376i</v>
      </c>
      <c r="AN271" s="170" t="str">
        <f t="shared" si="158"/>
        <v>0.468329090802514i</v>
      </c>
      <c r="AO271" s="170" t="str">
        <f t="shared" si="159"/>
        <v>0.96384344485387-0.229915730226857i</v>
      </c>
      <c r="AP271" s="170" t="str">
        <f t="shared" si="160"/>
        <v>0.14872062918361-0.0752326540340627i</v>
      </c>
      <c r="AQ271" s="170" t="str">
        <f t="shared" si="161"/>
        <v>0.85127937081639+0.0752326540340627i</v>
      </c>
      <c r="AR271" s="170" t="str">
        <f t="shared" si="162"/>
        <v>0.970943800622716-0.0858081160462209i</v>
      </c>
    </row>
    <row r="272" spans="7:44">
      <c r="G272" s="688">
        <v>17279</v>
      </c>
      <c r="H272" s="676">
        <f t="shared" si="154"/>
        <v>17.279</v>
      </c>
      <c r="I272" s="677">
        <f t="shared" si="134"/>
        <v>142.11792911598494</v>
      </c>
      <c r="J272" s="678">
        <f t="shared" si="135"/>
        <v>1.5637598588541646</v>
      </c>
      <c r="K272" s="678">
        <f t="shared" si="136"/>
        <v>1.0002852005671832</v>
      </c>
      <c r="L272" s="679">
        <f t="shared" si="137"/>
        <v>2.3880234541245379E-2</v>
      </c>
      <c r="M272" s="678">
        <f t="shared" si="138"/>
        <v>1.0042489647532886</v>
      </c>
      <c r="N272" s="679">
        <f t="shared" si="139"/>
        <v>-9.2021457824279285E-2</v>
      </c>
      <c r="O272" s="677">
        <f t="shared" si="140"/>
        <v>716543.2480721178</v>
      </c>
      <c r="P272" s="680">
        <f t="shared" si="141"/>
        <v>1.5707949312057221</v>
      </c>
      <c r="Q272" s="689">
        <f t="shared" si="131"/>
        <v>28.679169481886763</v>
      </c>
      <c r="R272" s="690">
        <f t="shared" si="132"/>
        <v>1.5359207441141378</v>
      </c>
      <c r="S272" s="677">
        <f t="shared" si="142"/>
        <v>1.008450808059697</v>
      </c>
      <c r="T272" s="680">
        <f t="shared" si="143"/>
        <v>0.12955092152944928</v>
      </c>
      <c r="U272" s="681">
        <f t="shared" si="155"/>
        <v>0.96547314791233507</v>
      </c>
      <c r="V272" s="682">
        <f t="shared" si="156"/>
        <v>-0.32410730934418225</v>
      </c>
      <c r="W272" s="683">
        <f t="shared" si="144"/>
        <v>-23.386679641879375</v>
      </c>
      <c r="X272" s="684">
        <f t="shared" si="145"/>
        <v>-121.49189043284605</v>
      </c>
      <c r="Y272" s="687">
        <f t="shared" si="146"/>
        <v>58.508109567153952</v>
      </c>
      <c r="AA272" s="170">
        <f t="shared" si="147"/>
        <v>17279</v>
      </c>
      <c r="AB272" s="170">
        <f t="shared" si="148"/>
        <v>298563841</v>
      </c>
      <c r="AD272" s="686">
        <f t="shared" si="149"/>
        <v>17.078838984681038</v>
      </c>
      <c r="AE272" s="687">
        <f t="shared" si="150"/>
        <v>-9.4208647807302555</v>
      </c>
      <c r="AG272" s="686">
        <f t="shared" si="151"/>
        <v>1.1292338457033779</v>
      </c>
      <c r="AH272" s="687">
        <f t="shared" si="152"/>
        <v>-74.931063740151956</v>
      </c>
      <c r="AJ272" s="170">
        <f t="shared" si="153"/>
        <v>0</v>
      </c>
      <c r="AK272" s="170">
        <f t="shared" si="133"/>
        <v>0</v>
      </c>
      <c r="AM272" s="170" t="str">
        <f t="shared" si="157"/>
        <v>0.108897679129854+0.453802439107416i</v>
      </c>
      <c r="AN272" s="170" t="str">
        <f t="shared" si="158"/>
        <v>0.471027844003297i</v>
      </c>
      <c r="AO272" s="170" t="str">
        <f t="shared" si="159"/>
        <v>0.963430176973231-0.231191596242645i</v>
      </c>
      <c r="AP272" s="170" t="str">
        <f t="shared" si="160"/>
        <v>0.148517053478358-0.075633739851236i</v>
      </c>
      <c r="AQ272" s="170" t="str">
        <f t="shared" si="161"/>
        <v>0.851482946521642+0.075633739851236i</v>
      </c>
      <c r="AR272" s="170" t="str">
        <f t="shared" si="162"/>
        <v>0.970634878924885-0.0862175175944934i</v>
      </c>
    </row>
    <row r="273" spans="7:44">
      <c r="G273" s="688">
        <v>17378</v>
      </c>
      <c r="H273" s="676">
        <f t="shared" si="154"/>
        <v>17.378</v>
      </c>
      <c r="I273" s="677">
        <f t="shared" si="134"/>
        <v>142.93215333972677</v>
      </c>
      <c r="J273" s="678">
        <f t="shared" si="135"/>
        <v>1.5637999433016734</v>
      </c>
      <c r="K273" s="678">
        <f t="shared" si="136"/>
        <v>1.000288477569194</v>
      </c>
      <c r="L273" s="679">
        <f t="shared" si="137"/>
        <v>2.4017003844694355E-2</v>
      </c>
      <c r="M273" s="678">
        <f t="shared" si="138"/>
        <v>1.0042976886287389</v>
      </c>
      <c r="N273" s="679">
        <f t="shared" si="139"/>
        <v>-9.2545697820948292E-2</v>
      </c>
      <c r="O273" s="677">
        <f t="shared" si="140"/>
        <v>720648.68134713382</v>
      </c>
      <c r="P273" s="680">
        <f t="shared" si="141"/>
        <v>1.5707949391561957</v>
      </c>
      <c r="Q273" s="689">
        <f t="shared" si="131"/>
        <v>28.843287522093952</v>
      </c>
      <c r="R273" s="690">
        <f t="shared" si="132"/>
        <v>1.5361192656664724</v>
      </c>
      <c r="S273" s="677">
        <f t="shared" si="142"/>
        <v>1.0085475117065466</v>
      </c>
      <c r="T273" s="680">
        <f t="shared" si="143"/>
        <v>0.13028483568942542</v>
      </c>
      <c r="U273" s="681">
        <f t="shared" si="155"/>
        <v>0.96509994702265367</v>
      </c>
      <c r="V273" s="682">
        <f t="shared" si="156"/>
        <v>-0.32590209322155567</v>
      </c>
      <c r="W273" s="683">
        <f t="shared" si="144"/>
        <v>-23.44010212274199</v>
      </c>
      <c r="X273" s="684">
        <f t="shared" si="145"/>
        <v>-121.64989727174009</v>
      </c>
      <c r="Y273" s="687">
        <f t="shared" si="146"/>
        <v>58.350102728259913</v>
      </c>
      <c r="AA273" s="170">
        <f t="shared" si="147"/>
        <v>17378</v>
      </c>
      <c r="AB273" s="170">
        <f t="shared" si="148"/>
        <v>301994884</v>
      </c>
      <c r="AD273" s="686">
        <f t="shared" si="149"/>
        <v>17.077946115983245</v>
      </c>
      <c r="AE273" s="687">
        <f t="shared" si="150"/>
        <v>-9.4515409730942643</v>
      </c>
      <c r="AG273" s="686">
        <f t="shared" si="151"/>
        <v>1.0834205434042261</v>
      </c>
      <c r="AH273" s="687">
        <f t="shared" si="152"/>
        <v>-74.852727303823698</v>
      </c>
      <c r="AJ273" s="170">
        <f t="shared" si="153"/>
        <v>0</v>
      </c>
      <c r="AK273" s="170">
        <f t="shared" si="133"/>
        <v>0</v>
      </c>
      <c r="AM273" s="170" t="str">
        <f t="shared" si="157"/>
        <v>0.110125623495195+0.456205648847298i</v>
      </c>
      <c r="AN273" s="170" t="str">
        <f t="shared" si="158"/>
        <v>0.47372659720408i</v>
      </c>
      <c r="AO273" s="170" t="str">
        <f t="shared" si="159"/>
        <v>0.963014640807187-0.232466625570853i</v>
      </c>
      <c r="AP273" s="170" t="str">
        <f t="shared" si="160"/>
        <v>0.148312396084134-0.076034274807883i</v>
      </c>
      <c r="AQ273" s="170" t="str">
        <f t="shared" si="161"/>
        <v>0.851687603915866+0.076034274807883i</v>
      </c>
      <c r="AR273" s="170" t="str">
        <f t="shared" si="162"/>
        <v>0.970324662588219-0.0866255792721237i</v>
      </c>
    </row>
    <row r="274" spans="7:44">
      <c r="G274" s="688">
        <v>17479.25</v>
      </c>
      <c r="H274" s="676">
        <f t="shared" si="154"/>
        <v>17.47925</v>
      </c>
      <c r="I274" s="677">
        <f t="shared" si="134"/>
        <v>143.76488289428815</v>
      </c>
      <c r="J274" s="678">
        <f t="shared" si="135"/>
        <v>1.5638404691201577</v>
      </c>
      <c r="K274" s="678">
        <f t="shared" si="136"/>
        <v>1.0002918484023491</v>
      </c>
      <c r="L274" s="679">
        <f t="shared" si="137"/>
        <v>2.4156880611811007E-2</v>
      </c>
      <c r="M274" s="678">
        <f t="shared" si="138"/>
        <v>1.0043478053263013</v>
      </c>
      <c r="N274" s="679">
        <f t="shared" si="139"/>
        <v>-9.3081799599707193E-2</v>
      </c>
      <c r="O274" s="677">
        <f t="shared" si="140"/>
        <v>724847.41992385476</v>
      </c>
      <c r="P274" s="680">
        <f t="shared" si="141"/>
        <v>1.5707949471942075</v>
      </c>
      <c r="Q274" s="689">
        <f t="shared" si="131"/>
        <v>29.011136680089436</v>
      </c>
      <c r="R274" s="690">
        <f t="shared" si="132"/>
        <v>1.5363199758116963</v>
      </c>
      <c r="S274" s="677">
        <f t="shared" si="142"/>
        <v>1.0086469749479803</v>
      </c>
      <c r="T274" s="680">
        <f t="shared" si="143"/>
        <v>0.13103528374032899</v>
      </c>
      <c r="U274" s="681">
        <f t="shared" si="155"/>
        <v>0.96471648401732635</v>
      </c>
      <c r="V274" s="682">
        <f t="shared" si="156"/>
        <v>-0.32773662588869112</v>
      </c>
      <c r="W274" s="683">
        <f t="shared" si="144"/>
        <v>-23.49446569911396</v>
      </c>
      <c r="X274" s="684">
        <f t="shared" si="145"/>
        <v>-121.81153035277357</v>
      </c>
      <c r="Y274" s="687">
        <f t="shared" si="146"/>
        <v>58.188469647226427</v>
      </c>
      <c r="AA274" s="170">
        <f t="shared" si="147"/>
        <v>17479.25</v>
      </c>
      <c r="AB274" s="170">
        <f t="shared" si="148"/>
        <v>305524180.5625</v>
      </c>
      <c r="AD274" s="686">
        <f t="shared" si="149"/>
        <v>17.077029250120109</v>
      </c>
      <c r="AE274" s="687">
        <f t="shared" si="150"/>
        <v>-9.4830390955082091</v>
      </c>
      <c r="AG274" s="686">
        <f t="shared" si="151"/>
        <v>1.0368775307493816</v>
      </c>
      <c r="AH274" s="687">
        <f t="shared" si="152"/>
        <v>-74.772640303791547</v>
      </c>
      <c r="AJ274" s="170">
        <f t="shared" si="153"/>
        <v>0</v>
      </c>
      <c r="AK274" s="170">
        <f t="shared" si="133"/>
        <v>0</v>
      </c>
      <c r="AM274" s="170" t="str">
        <f t="shared" si="157"/>
        <v>0.111388179430576+0.458660040056134i</v>
      </c>
      <c r="AN274" s="170" t="str">
        <f t="shared" si="158"/>
        <v>0.47648668570488i</v>
      </c>
      <c r="AO274" s="170" t="str">
        <f t="shared" si="159"/>
        <v>0.962587316322649-0.233769762665658i</v>
      </c>
      <c r="AP274" s="170" t="str">
        <f t="shared" si="160"/>
        <v>0.148101970094904-0.0764433400093557i</v>
      </c>
      <c r="AQ274" s="170" t="str">
        <f t="shared" si="161"/>
        <v>0.851898029905096+0.0764433400093557i</v>
      </c>
      <c r="AR274" s="170" t="str">
        <f t="shared" si="162"/>
        <v>0.970006064255426-0.0870415246637852i</v>
      </c>
    </row>
    <row r="275" spans="7:44">
      <c r="G275" s="688">
        <v>17580.5</v>
      </c>
      <c r="H275" s="676">
        <f t="shared" si="154"/>
        <v>17.580500000000001</v>
      </c>
      <c r="I275" s="677">
        <f t="shared" si="134"/>
        <v>144.59761268224108</v>
      </c>
      <c r="J275" s="678">
        <f t="shared" si="135"/>
        <v>1.5638805281667376</v>
      </c>
      <c r="K275" s="678">
        <f t="shared" si="136"/>
        <v>1.000295238806592</v>
      </c>
      <c r="L275" s="679">
        <f t="shared" si="137"/>
        <v>2.4296756433466758E-2</v>
      </c>
      <c r="M275" s="678">
        <f t="shared" si="138"/>
        <v>1.0043982106497078</v>
      </c>
      <c r="N275" s="679">
        <f t="shared" si="139"/>
        <v>-9.3617847724408537E-2</v>
      </c>
      <c r="O275" s="677">
        <f t="shared" si="140"/>
        <v>729046.15850057581</v>
      </c>
      <c r="P275" s="680">
        <f t="shared" si="141"/>
        <v>1.5707949551396341</v>
      </c>
      <c r="Q275" s="689">
        <f t="shared" si="131"/>
        <v>29.178986993340171</v>
      </c>
      <c r="R275" s="690">
        <f t="shared" si="132"/>
        <v>1.5365183768195083</v>
      </c>
      <c r="S275" s="677">
        <f t="shared" si="142"/>
        <v>1.0087470061192223</v>
      </c>
      <c r="T275" s="680">
        <f t="shared" si="143"/>
        <v>0.13178558337917251</v>
      </c>
      <c r="U275" s="681">
        <f t="shared" si="155"/>
        <v>0.96433122736653365</v>
      </c>
      <c r="V275" s="682">
        <f t="shared" si="156"/>
        <v>-0.32957010068167297</v>
      </c>
      <c r="W275" s="683">
        <f t="shared" si="144"/>
        <v>-23.548556517876769</v>
      </c>
      <c r="X275" s="684">
        <f t="shared" si="145"/>
        <v>-121.97319685318114</v>
      </c>
      <c r="Y275" s="687">
        <f t="shared" si="146"/>
        <v>58.026803146818864</v>
      </c>
      <c r="AA275" s="170">
        <f t="shared" si="147"/>
        <v>17580.5</v>
      </c>
      <c r="AB275" s="170">
        <f t="shared" si="148"/>
        <v>309073980.25</v>
      </c>
      <c r="AD275" s="686">
        <f t="shared" si="149"/>
        <v>17.076108616596098</v>
      </c>
      <c r="AE275" s="687">
        <f t="shared" si="150"/>
        <v>-9.5146610130609055</v>
      </c>
      <c r="AG275" s="686">
        <f t="shared" si="151"/>
        <v>0.99064609933373826</v>
      </c>
      <c r="AH275" s="687">
        <f t="shared" si="152"/>
        <v>-74.692584151443413</v>
      </c>
      <c r="AJ275" s="170">
        <f t="shared" si="153"/>
        <v>0</v>
      </c>
      <c r="AK275" s="170">
        <f t="shared" si="133"/>
        <v>0</v>
      </c>
      <c r="AM275" s="170" t="str">
        <f t="shared" si="157"/>
        <v>0.112657504885181+0.461110937154398i</v>
      </c>
      <c r="AN275" s="170" t="str">
        <f t="shared" si="158"/>
        <v>0.479246774205681i</v>
      </c>
      <c r="AO275" s="170" t="str">
        <f t="shared" si="159"/>
        <v>0.962157623113182-0.235072014979972i</v>
      </c>
      <c r="AP275" s="170" t="str">
        <f t="shared" si="160"/>
        <v>0.14789041585247-0.0768518228590663i</v>
      </c>
      <c r="AQ275" s="170" t="str">
        <f t="shared" si="161"/>
        <v>0.85210958414753+0.0768518228590663i</v>
      </c>
      <c r="AR275" s="170" t="str">
        <f t="shared" si="162"/>
        <v>0.969686126974992-0.0874560594618002i</v>
      </c>
    </row>
    <row r="276" spans="7:44">
      <c r="G276" s="688">
        <v>17681.75</v>
      </c>
      <c r="H276" s="676">
        <f t="shared" si="154"/>
        <v>17.681750000000001</v>
      </c>
      <c r="I276" s="677">
        <f t="shared" si="134"/>
        <v>145.43034269957644</v>
      </c>
      <c r="J276" s="678">
        <f t="shared" si="135"/>
        <v>1.5639201284594513</v>
      </c>
      <c r="K276" s="678">
        <f t="shared" si="136"/>
        <v>1.0002986487817243</v>
      </c>
      <c r="L276" s="679">
        <f t="shared" si="137"/>
        <v>2.4436631304197848E-2</v>
      </c>
      <c r="M276" s="678">
        <f t="shared" si="138"/>
        <v>1.0044489045555069</v>
      </c>
      <c r="N276" s="679">
        <f t="shared" si="139"/>
        <v>-9.4153841895088741E-2</v>
      </c>
      <c r="O276" s="677">
        <f t="shared" si="140"/>
        <v>733244.89707729698</v>
      </c>
      <c r="P276" s="680">
        <f t="shared" si="141"/>
        <v>1.5707949629940656</v>
      </c>
      <c r="Q276" s="689">
        <f t="shared" si="131"/>
        <v>29.346838442023586</v>
      </c>
      <c r="R276" s="690">
        <f t="shared" si="132"/>
        <v>1.5367145082960083</v>
      </c>
      <c r="S276" s="677">
        <f t="shared" si="142"/>
        <v>1.0088476050513353</v>
      </c>
      <c r="T276" s="680">
        <f t="shared" si="143"/>
        <v>0.1325357338054674</v>
      </c>
      <c r="U276" s="681">
        <f t="shared" si="155"/>
        <v>0.9639441837715863</v>
      </c>
      <c r="V276" s="682">
        <f t="shared" si="156"/>
        <v>-0.33140251317675162</v>
      </c>
      <c r="W276" s="683">
        <f t="shared" si="144"/>
        <v>-23.602377907143079</v>
      </c>
      <c r="X276" s="684">
        <f t="shared" si="145"/>
        <v>-122.13489464699097</v>
      </c>
      <c r="Y276" s="687">
        <f t="shared" si="146"/>
        <v>57.865105353009028</v>
      </c>
      <c r="AA276" s="170">
        <f t="shared" si="147"/>
        <v>17681.75</v>
      </c>
      <c r="AB276" s="170">
        <f t="shared" si="148"/>
        <v>312644283.0625</v>
      </c>
      <c r="AD276" s="686">
        <f t="shared" si="149"/>
        <v>17.075184194617808</v>
      </c>
      <c r="AE276" s="687">
        <f t="shared" si="150"/>
        <v>-9.5464044107164678</v>
      </c>
      <c r="AG276" s="686">
        <f t="shared" si="151"/>
        <v>0.9447228619943866</v>
      </c>
      <c r="AH276" s="687">
        <f t="shared" si="152"/>
        <v>-74.61255954276767</v>
      </c>
      <c r="AJ276" s="170">
        <f t="shared" si="153"/>
        <v>0</v>
      </c>
      <c r="AK276" s="170">
        <f t="shared" si="133"/>
        <v>0</v>
      </c>
      <c r="AM276" s="170" t="str">
        <f t="shared" si="157"/>
        <v>0.113933590189179+0.463558321470948i</v>
      </c>
      <c r="AN276" s="170" t="str">
        <f t="shared" si="158"/>
        <v>0.482006862706481i</v>
      </c>
      <c r="AO276" s="170" t="str">
        <f t="shared" si="159"/>
        <v>0.961725563134218-0.236373377651594i</v>
      </c>
      <c r="AP276" s="170" t="str">
        <f t="shared" si="160"/>
        <v>0.14767773496847-0.077259720245158i</v>
      </c>
      <c r="AQ276" s="170" t="str">
        <f t="shared" si="161"/>
        <v>0.85232226503153+0.077259720245158i</v>
      </c>
      <c r="AR276" s="170" t="str">
        <f t="shared" si="162"/>
        <v>0.969364858457521-0.0878691791269171i</v>
      </c>
    </row>
    <row r="277" spans="7:44">
      <c r="G277" s="688">
        <v>17783</v>
      </c>
      <c r="H277" s="676">
        <f t="shared" si="154"/>
        <v>17.783000000000001</v>
      </c>
      <c r="I277" s="677">
        <f t="shared" si="134"/>
        <v>146.2630729423764</v>
      </c>
      <c r="J277" s="678">
        <f t="shared" si="135"/>
        <v>1.5639592778337446</v>
      </c>
      <c r="K277" s="678">
        <f t="shared" si="136"/>
        <v>1.0003020783275451</v>
      </c>
      <c r="L277" s="679">
        <f t="shared" si="137"/>
        <v>2.4576505218540726E-2</v>
      </c>
      <c r="M277" s="678">
        <f t="shared" si="138"/>
        <v>1.004499887000007</v>
      </c>
      <c r="N277" s="679">
        <f t="shared" si="139"/>
        <v>-9.468978181196866E-2</v>
      </c>
      <c r="O277" s="677">
        <f t="shared" si="140"/>
        <v>737443.63565401803</v>
      </c>
      <c r="P277" s="680">
        <f t="shared" si="141"/>
        <v>1.5707949707590565</v>
      </c>
      <c r="Q277" s="689">
        <f t="shared" si="131"/>
        <v>29.514691006767897</v>
      </c>
      <c r="R277" s="690">
        <f t="shared" si="132"/>
        <v>1.5369084089470311</v>
      </c>
      <c r="S277" s="677">
        <f t="shared" si="142"/>
        <v>1.0089487715744905</v>
      </c>
      <c r="T277" s="680">
        <f t="shared" si="143"/>
        <v>0.13328573421971518</v>
      </c>
      <c r="U277" s="681">
        <f t="shared" si="155"/>
        <v>0.96355535995049801</v>
      </c>
      <c r="V277" s="682">
        <f t="shared" si="156"/>
        <v>-0.3332338589757648</v>
      </c>
      <c r="W277" s="683">
        <f t="shared" si="144"/>
        <v>-23.655933136903755</v>
      </c>
      <c r="X277" s="684">
        <f t="shared" si="145"/>
        <v>-122.29662165088206</v>
      </c>
      <c r="Y277" s="687">
        <f t="shared" si="146"/>
        <v>57.703378349117941</v>
      </c>
      <c r="AA277" s="170">
        <f t="shared" si="147"/>
        <v>17783</v>
      </c>
      <c r="AB277" s="170">
        <f t="shared" si="148"/>
        <v>316235089</v>
      </c>
      <c r="AD277" s="686">
        <f t="shared" si="149"/>
        <v>17.074255964078187</v>
      </c>
      <c r="AE277" s="687">
        <f t="shared" si="150"/>
        <v>-9.5782670250750979</v>
      </c>
      <c r="AG277" s="686">
        <f t="shared" si="151"/>
        <v>0.8991044887528965</v>
      </c>
      <c r="AH277" s="687">
        <f t="shared" si="152"/>
        <v>-74.532567161835374</v>
      </c>
      <c r="AJ277" s="170">
        <f t="shared" si="153"/>
        <v>0</v>
      </c>
      <c r="AK277" s="170">
        <f t="shared" si="133"/>
        <v>0</v>
      </c>
      <c r="AM277" s="170" t="str">
        <f t="shared" si="157"/>
        <v>0.115216425621248+0.466002174361408i</v>
      </c>
      <c r="AN277" s="170" t="str">
        <f t="shared" si="158"/>
        <v>0.484766951207282i</v>
      </c>
      <c r="AO277" s="170" t="str">
        <f t="shared" si="159"/>
        <v>0.961291138351859-0.237673845822841i</v>
      </c>
      <c r="AP277" s="170" t="str">
        <f t="shared" si="160"/>
        <v>0.147463929063125-0.0776670290602347i</v>
      </c>
      <c r="AQ277" s="170" t="str">
        <f t="shared" si="161"/>
        <v>0.852536070936875+0.0776670290602347i</v>
      </c>
      <c r="AR277" s="170" t="str">
        <f t="shared" si="162"/>
        <v>0.969042266427622-0.0882808791709208i</v>
      </c>
    </row>
    <row r="278" spans="7:44">
      <c r="G278" s="688">
        <v>17886.5</v>
      </c>
      <c r="H278" s="676">
        <f t="shared" si="154"/>
        <v>17.886500000000002</v>
      </c>
      <c r="I278" s="677">
        <f t="shared" si="134"/>
        <v>147.11430853073207</v>
      </c>
      <c r="J278" s="678">
        <f t="shared" si="135"/>
        <v>1.5639988391065678</v>
      </c>
      <c r="K278" s="678">
        <f t="shared" si="136"/>
        <v>1.0003056043131633</v>
      </c>
      <c r="L278" s="679">
        <f t="shared" si="137"/>
        <v>2.4719486447898651E-2</v>
      </c>
      <c r="M278" s="678">
        <f t="shared" si="138"/>
        <v>1.0045523005698762</v>
      </c>
      <c r="N278" s="679">
        <f t="shared" si="139"/>
        <v>-9.523757511717601E-2</v>
      </c>
      <c r="O278" s="677">
        <f t="shared" si="140"/>
        <v>741735.6795324441</v>
      </c>
      <c r="P278" s="680">
        <f t="shared" si="141"/>
        <v>1.5707949786057402</v>
      </c>
      <c r="Q278" s="689">
        <f t="shared" si="131"/>
        <v>29.686274762333024</v>
      </c>
      <c r="R278" s="690">
        <f t="shared" si="132"/>
        <v>1.5371043521503249</v>
      </c>
      <c r="S278" s="677">
        <f t="shared" si="142"/>
        <v>1.0090527727157308</v>
      </c>
      <c r="T278" s="680">
        <f t="shared" si="143"/>
        <v>0.13405224542892108</v>
      </c>
      <c r="U278" s="681">
        <f t="shared" si="155"/>
        <v>0.96315606260569819</v>
      </c>
      <c r="V278" s="682">
        <f t="shared" si="156"/>
        <v>-0.33510479427939271</v>
      </c>
      <c r="W278" s="683">
        <f t="shared" si="144"/>
        <v>-23.710406731046412</v>
      </c>
      <c r="X278" s="684">
        <f t="shared" si="145"/>
        <v>-122.46197065336376</v>
      </c>
      <c r="Y278" s="687">
        <f t="shared" si="146"/>
        <v>57.538029346636236</v>
      </c>
      <c r="AA278" s="170">
        <f t="shared" si="147"/>
        <v>17886.5</v>
      </c>
      <c r="AB278" s="170">
        <f t="shared" si="148"/>
        <v>319926882.25</v>
      </c>
      <c r="AD278" s="686">
        <f t="shared" si="149"/>
        <v>17.073303149498017</v>
      </c>
      <c r="AE278" s="687">
        <f t="shared" si="150"/>
        <v>-9.610958613358271</v>
      </c>
      <c r="AG278" s="686">
        <f t="shared" si="151"/>
        <v>0.85278406660513217</v>
      </c>
      <c r="AH278" s="687">
        <f t="shared" si="152"/>
        <v>-74.450831182509106</v>
      </c>
      <c r="AJ278" s="170">
        <f t="shared" si="153"/>
        <v>0</v>
      </c>
      <c r="AK278" s="170">
        <f t="shared" si="133"/>
        <v>0</v>
      </c>
      <c r="AM278" s="170" t="str">
        <f t="shared" si="157"/>
        <v>0.116534735130363+0.468496665696589i</v>
      </c>
      <c r="AN278" s="170" t="str">
        <f t="shared" si="158"/>
        <v>0.4875883750081i</v>
      </c>
      <c r="AO278" s="170" t="str">
        <f t="shared" si="159"/>
        <v>0.960844617529707-0.239002283695601i</v>
      </c>
      <c r="AP278" s="170" t="str">
        <f t="shared" si="160"/>
        <v>0.147244210811606-0.0780827776160982i</v>
      </c>
      <c r="AQ278" s="170" t="str">
        <f t="shared" si="161"/>
        <v>0.852755789188394+0.0780827776160982i</v>
      </c>
      <c r="AR278" s="170" t="str">
        <f t="shared" si="162"/>
        <v>0.968711145787043-0.0887002561925906i</v>
      </c>
    </row>
    <row r="279" spans="7:44">
      <c r="G279" s="688">
        <v>17990</v>
      </c>
      <c r="H279" s="676">
        <f t="shared" si="154"/>
        <v>17.989999999999998</v>
      </c>
      <c r="I279" s="677">
        <f t="shared" si="134"/>
        <v>147.96554434668636</v>
      </c>
      <c r="J279" s="678">
        <f t="shared" si="135"/>
        <v>1.5640379451927728</v>
      </c>
      <c r="K279" s="678">
        <f t="shared" si="136"/>
        <v>1.0003091507485165</v>
      </c>
      <c r="L279" s="679">
        <f t="shared" si="137"/>
        <v>2.4862466666345649E-2</v>
      </c>
      <c r="M279" s="678">
        <f t="shared" si="138"/>
        <v>1.0046050155517861</v>
      </c>
      <c r="N279" s="679">
        <f t="shared" si="139"/>
        <v>-9.5785311097642059E-2</v>
      </c>
      <c r="O279" s="677">
        <f t="shared" si="140"/>
        <v>746027.7234108703</v>
      </c>
      <c r="P279" s="680">
        <f t="shared" si="141"/>
        <v>1.5707949863621371</v>
      </c>
      <c r="Q279" s="689">
        <f t="shared" ref="Q279:Q342" si="163">SQRT(1+(G279/Zero2)^2)</f>
        <v>29.857859644565441</v>
      </c>
      <c r="R279" s="690">
        <f t="shared" ref="R279:R342" si="164">ATAN(G279/Zero2)</f>
        <v>1.5372980432979186</v>
      </c>
      <c r="S279" s="677">
        <f t="shared" si="142"/>
        <v>1.0091573665928659</v>
      </c>
      <c r="T279" s="680">
        <f t="shared" si="143"/>
        <v>0.13481859819856506</v>
      </c>
      <c r="U279" s="681">
        <f t="shared" si="155"/>
        <v>0.96275491928243029</v>
      </c>
      <c r="V279" s="682">
        <f t="shared" si="156"/>
        <v>-0.33697460573966437</v>
      </c>
      <c r="W279" s="683">
        <f t="shared" si="144"/>
        <v>-23.764608934575712</v>
      </c>
      <c r="X279" s="684">
        <f t="shared" si="145"/>
        <v>-122.62734590774299</v>
      </c>
      <c r="Y279" s="687">
        <f t="shared" si="146"/>
        <v>57.372654092257008</v>
      </c>
      <c r="AA279" s="170">
        <f t="shared" si="147"/>
        <v>17990</v>
      </c>
      <c r="AB279" s="170">
        <f t="shared" si="148"/>
        <v>323640100</v>
      </c>
      <c r="AD279" s="686">
        <f t="shared" si="149"/>
        <v>17.072346314815871</v>
      </c>
      <c r="AE279" s="687">
        <f t="shared" si="150"/>
        <v>-9.643770151837165</v>
      </c>
      <c r="AG279" s="686">
        <f t="shared" si="151"/>
        <v>0.80677534933347328</v>
      </c>
      <c r="AH279" s="687">
        <f t="shared" si="152"/>
        <v>-74.369130287847099</v>
      </c>
      <c r="AJ279" s="170">
        <f t="shared" si="153"/>
        <v>0</v>
      </c>
      <c r="AK279" s="170">
        <f t="shared" ref="AK279:AK342" si="165">IF(AJ279&gt;0,Y279,0)</f>
        <v>0</v>
      </c>
      <c r="AM279" s="170" t="str">
        <f t="shared" si="157"/>
        <v>0.117860077400211+0.470987427598273i</v>
      </c>
      <c r="AN279" s="170" t="str">
        <f t="shared" si="158"/>
        <v>0.490409798808919i</v>
      </c>
      <c r="AO279" s="170" t="str">
        <f t="shared" si="159"/>
        <v>0.960395629822614-0.240329776620417i</v>
      </c>
      <c r="AP279" s="170" t="str">
        <f t="shared" si="160"/>
        <v>0.147023320433298-0.0784979045997122i</v>
      </c>
      <c r="AQ279" s="170" t="str">
        <f t="shared" si="161"/>
        <v>0.852976679566702+0.0784979045997122i</v>
      </c>
      <c r="AR279" s="170" t="str">
        <f t="shared" si="162"/>
        <v>0.968378658523623-0.0891181404769464i</v>
      </c>
    </row>
    <row r="280" spans="7:44">
      <c r="G280" s="688">
        <v>18093.5</v>
      </c>
      <c r="H280" s="676">
        <f t="shared" si="154"/>
        <v>18.093499999999999</v>
      </c>
      <c r="I280" s="677">
        <f t="shared" si="134"/>
        <v>148.81678038633359</v>
      </c>
      <c r="J280" s="678">
        <f t="shared" si="135"/>
        <v>1.5640766039032785</v>
      </c>
      <c r="K280" s="678">
        <f t="shared" si="136"/>
        <v>1.0003127176333877</v>
      </c>
      <c r="L280" s="679">
        <f t="shared" si="137"/>
        <v>2.5005445868046518E-2</v>
      </c>
      <c r="M280" s="678">
        <f t="shared" si="138"/>
        <v>1.0046580318982912</v>
      </c>
      <c r="N280" s="679">
        <f t="shared" si="139"/>
        <v>-9.6332989433758703E-2</v>
      </c>
      <c r="O280" s="677">
        <f t="shared" si="140"/>
        <v>750319.76728929637</v>
      </c>
      <c r="P280" s="680">
        <f t="shared" si="141"/>
        <v>1.5707949940297963</v>
      </c>
      <c r="Q280" s="689">
        <f t="shared" si="163"/>
        <v>30.029445634152193</v>
      </c>
      <c r="R280" s="690">
        <f t="shared" si="164"/>
        <v>1.5374895209793829</v>
      </c>
      <c r="S280" s="677">
        <f t="shared" si="142"/>
        <v>1.0092625530216133</v>
      </c>
      <c r="T280" s="680">
        <f t="shared" si="143"/>
        <v>0.13558479167789414</v>
      </c>
      <c r="U280" s="681">
        <f t="shared" si="155"/>
        <v>0.96235193720878309</v>
      </c>
      <c r="V280" s="682">
        <f t="shared" si="156"/>
        <v>-0.33884328874178177</v>
      </c>
      <c r="W280" s="683">
        <f t="shared" si="144"/>
        <v>-23.818543060546293</v>
      </c>
      <c r="X280" s="684">
        <f t="shared" si="145"/>
        <v>-122.79274531949088</v>
      </c>
      <c r="Y280" s="687">
        <f t="shared" si="146"/>
        <v>57.207254680509124</v>
      </c>
      <c r="AA280" s="170">
        <f t="shared" si="147"/>
        <v>18093.5</v>
      </c>
      <c r="AB280" s="170">
        <f t="shared" si="148"/>
        <v>327374742.25</v>
      </c>
      <c r="AD280" s="686">
        <f t="shared" si="149"/>
        <v>17.071385440633247</v>
      </c>
      <c r="AE280" s="687">
        <f t="shared" si="150"/>
        <v>-9.6766993808364496</v>
      </c>
      <c r="AG280" s="686">
        <f t="shared" si="151"/>
        <v>0.76107495693437044</v>
      </c>
      <c r="AH280" s="687">
        <f t="shared" si="152"/>
        <v>-74.287465171812642</v>
      </c>
      <c r="AJ280" s="170">
        <f t="shared" si="153"/>
        <v>0</v>
      </c>
      <c r="AK280" s="170">
        <f t="shared" si="165"/>
        <v>0</v>
      </c>
      <c r="AM280" s="170" t="str">
        <f t="shared" si="157"/>
        <v>0.119192441880501+0.473474440238927i</v>
      </c>
      <c r="AN280" s="170" t="str">
        <f t="shared" si="158"/>
        <v>0.493231222609737i</v>
      </c>
      <c r="AO280" s="170" t="str">
        <f t="shared" si="159"/>
        <v>0.959944177365182-0.241656319423255i</v>
      </c>
      <c r="AP280" s="170" t="str">
        <f t="shared" si="160"/>
        <v>0.146801259686583-0.0789124067064878i</v>
      </c>
      <c r="AQ280" s="170" t="str">
        <f t="shared" si="161"/>
        <v>0.853198740313417+0.0789124067064878i</v>
      </c>
      <c r="AR280" s="170" t="str">
        <f t="shared" si="162"/>
        <v>0.968044812931293-0.0895345273951981i</v>
      </c>
    </row>
    <row r="281" spans="7:44">
      <c r="G281" s="688">
        <v>18197</v>
      </c>
      <c r="H281" s="676">
        <f t="shared" si="154"/>
        <v>18.196999999999999</v>
      </c>
      <c r="I281" s="677">
        <f t="shared" si="134"/>
        <v>149.66801664585702</v>
      </c>
      <c r="J281" s="678">
        <f t="shared" si="135"/>
        <v>1.5641148228713113</v>
      </c>
      <c r="K281" s="678">
        <f t="shared" si="136"/>
        <v>1.0003163049675576</v>
      </c>
      <c r="L281" s="679">
        <f t="shared" si="137"/>
        <v>2.5148424047166294E-2</v>
      </c>
      <c r="M281" s="678">
        <f t="shared" si="138"/>
        <v>1.0047113495616842</v>
      </c>
      <c r="N281" s="679">
        <f t="shared" si="139"/>
        <v>-9.6880609806123424E-2</v>
      </c>
      <c r="O281" s="677">
        <f t="shared" si="140"/>
        <v>754611.81116772268</v>
      </c>
      <c r="P281" s="680">
        <f t="shared" si="141"/>
        <v>1.5707950016102319</v>
      </c>
      <c r="Q281" s="689">
        <f t="shared" si="163"/>
        <v>30.201032712219117</v>
      </c>
      <c r="R281" s="690">
        <f t="shared" si="164"/>
        <v>1.5376788229079597</v>
      </c>
      <c r="S281" s="677">
        <f t="shared" si="142"/>
        <v>1.0093683318167228</v>
      </c>
      <c r="T281" s="680">
        <f t="shared" si="143"/>
        <v>0.13635082501725704</v>
      </c>
      <c r="U281" s="681">
        <f t="shared" si="155"/>
        <v>0.96194712362980417</v>
      </c>
      <c r="V281" s="682">
        <f t="shared" si="156"/>
        <v>-0.34071083869906899</v>
      </c>
      <c r="W281" s="683">
        <f t="shared" si="144"/>
        <v>-23.872212364155978</v>
      </c>
      <c r="X281" s="684">
        <f t="shared" si="145"/>
        <v>-122.95816683579137</v>
      </c>
      <c r="Y281" s="687">
        <f t="shared" si="146"/>
        <v>57.041833164208626</v>
      </c>
      <c r="AA281" s="170">
        <f t="shared" si="147"/>
        <v>18197</v>
      </c>
      <c r="AB281" s="170">
        <f t="shared" si="148"/>
        <v>331130809</v>
      </c>
      <c r="AD281" s="686">
        <f t="shared" si="149"/>
        <v>17.070420508206428</v>
      </c>
      <c r="AE281" s="687">
        <f t="shared" si="150"/>
        <v>-9.709744090951844</v>
      </c>
      <c r="AG281" s="686">
        <f t="shared" si="151"/>
        <v>0.71567956634486807</v>
      </c>
      <c r="AH281" s="687">
        <f t="shared" si="152"/>
        <v>-74.205836516588462</v>
      </c>
      <c r="AJ281" s="170">
        <f t="shared" si="153"/>
        <v>0</v>
      </c>
      <c r="AK281" s="170">
        <f t="shared" si="165"/>
        <v>0</v>
      </c>
      <c r="AM281" s="170" t="str">
        <f t="shared" si="157"/>
        <v>0.120531817965045+0.475957683820873i</v>
      </c>
      <c r="AN281" s="170" t="str">
        <f t="shared" si="158"/>
        <v>0.496052646410556i</v>
      </c>
      <c r="AO281" s="170" t="str">
        <f t="shared" si="159"/>
        <v>0.959490262303628-0.242981906935111i</v>
      </c>
      <c r="AP281" s="170" t="str">
        <f t="shared" si="160"/>
        <v>0.146578030339159-0.0793262806368122i</v>
      </c>
      <c r="AQ281" s="170" t="str">
        <f t="shared" si="161"/>
        <v>0.853421969660841+0.0793262806368122i</v>
      </c>
      <c r="AR281" s="170" t="str">
        <f t="shared" si="162"/>
        <v>0.967709617317551-0.0899494123742577i</v>
      </c>
    </row>
    <row r="282" spans="7:44">
      <c r="G282" s="688">
        <v>18303</v>
      </c>
      <c r="H282" s="676">
        <f t="shared" si="154"/>
        <v>18.303000000000001</v>
      </c>
      <c r="I282" s="677">
        <f t="shared" si="134"/>
        <v>150.5398143916974</v>
      </c>
      <c r="J282" s="678">
        <f t="shared" si="135"/>
        <v>1.5641535169936112</v>
      </c>
      <c r="K282" s="678">
        <f t="shared" si="136"/>
        <v>1.0003200001482624</v>
      </c>
      <c r="L282" s="679">
        <f t="shared" si="137"/>
        <v>2.5294854739465928E-2</v>
      </c>
      <c r="M282" s="678">
        <f t="shared" si="138"/>
        <v>1.0047662673632882</v>
      </c>
      <c r="N282" s="679">
        <f t="shared" si="139"/>
        <v>-9.7441397309400518E-2</v>
      </c>
      <c r="O282" s="677">
        <f t="shared" si="140"/>
        <v>759007.52760359889</v>
      </c>
      <c r="P282" s="680">
        <f t="shared" si="141"/>
        <v>1.5707950092849068</v>
      </c>
      <c r="Q282" s="689">
        <f t="shared" si="163"/>
        <v>30.376765514660782</v>
      </c>
      <c r="R282" s="690">
        <f t="shared" si="164"/>
        <v>1.537870480638001</v>
      </c>
      <c r="S282" s="677">
        <f t="shared" si="142"/>
        <v>1.0094772794623341</v>
      </c>
      <c r="T282" s="680">
        <f t="shared" si="143"/>
        <v>0.13713519470191143</v>
      </c>
      <c r="U282" s="681">
        <f t="shared" si="155"/>
        <v>0.96153064113410414</v>
      </c>
      <c r="V282" s="682">
        <f t="shared" si="156"/>
        <v>-0.34262231936810544</v>
      </c>
      <c r="W282" s="683">
        <f t="shared" si="144"/>
        <v>-23.926906874958025</v>
      </c>
      <c r="X282" s="684">
        <f t="shared" si="145"/>
        <v>-123.12760485051565</v>
      </c>
      <c r="Y282" s="687">
        <f t="shared" si="146"/>
        <v>56.872395149484348</v>
      </c>
      <c r="AA282" s="170">
        <f t="shared" si="147"/>
        <v>18303</v>
      </c>
      <c r="AB282" s="170">
        <f t="shared" si="148"/>
        <v>334999809</v>
      </c>
      <c r="AD282" s="686">
        <f t="shared" si="149"/>
        <v>17.069428042847893</v>
      </c>
      <c r="AE282" s="687">
        <f t="shared" si="150"/>
        <v>-9.7437044241834165</v>
      </c>
      <c r="AG282" s="686">
        <f t="shared" si="151"/>
        <v>0.66950039663537197</v>
      </c>
      <c r="AH282" s="687">
        <f t="shared" si="152"/>
        <v>-74.122274647917578</v>
      </c>
      <c r="AJ282" s="170">
        <f t="shared" si="153"/>
        <v>0</v>
      </c>
      <c r="AK282" s="170">
        <f t="shared" si="165"/>
        <v>0</v>
      </c>
      <c r="AM282" s="170" t="str">
        <f t="shared" si="157"/>
        <v>0.121910802681496+0.478496981759076i</v>
      </c>
      <c r="AN282" s="170" t="str">
        <f t="shared" si="158"/>
        <v>0.498942220544727i</v>
      </c>
      <c r="AO282" s="170" t="str">
        <f t="shared" si="159"/>
        <v>0.959022832817536-0.244338517891707i</v>
      </c>
      <c r="AP282" s="170" t="str">
        <f t="shared" si="160"/>
        <v>0.146348199553084-0.079749496959846i</v>
      </c>
      <c r="AQ282" s="170" t="str">
        <f t="shared" si="161"/>
        <v>0.853651800446916+0.079749496959846i</v>
      </c>
      <c r="AR282" s="170" t="str">
        <f t="shared" si="162"/>
        <v>0.967364934556388-0.0903727572144488i</v>
      </c>
    </row>
    <row r="283" spans="7:44">
      <c r="G283" s="688">
        <v>18409</v>
      </c>
      <c r="H283" s="676">
        <f t="shared" si="154"/>
        <v>18.408999999999999</v>
      </c>
      <c r="I283" s="677">
        <f t="shared" si="134"/>
        <v>151.41161236033574</v>
      </c>
      <c r="J283" s="678">
        <f t="shared" si="135"/>
        <v>1.5641917655298374</v>
      </c>
      <c r="K283" s="678">
        <f t="shared" si="136"/>
        <v>1.0003237167776178</v>
      </c>
      <c r="L283" s="679">
        <f t="shared" si="137"/>
        <v>2.5441284346800298E-2</v>
      </c>
      <c r="M283" s="678">
        <f t="shared" si="138"/>
        <v>1.0048215011118269</v>
      </c>
      <c r="N283" s="679">
        <f t="shared" si="139"/>
        <v>-9.8002123337461194E-2</v>
      </c>
      <c r="O283" s="677">
        <f t="shared" si="140"/>
        <v>763403.24403947499</v>
      </c>
      <c r="P283" s="680">
        <f t="shared" si="141"/>
        <v>1.5707950168711993</v>
      </c>
      <c r="Q283" s="689">
        <f t="shared" si="163"/>
        <v>30.552499420086583</v>
      </c>
      <c r="R283" s="690">
        <f t="shared" si="164"/>
        <v>1.538059933595487</v>
      </c>
      <c r="S283" s="677">
        <f t="shared" si="142"/>
        <v>1.0095868480402439</v>
      </c>
      <c r="T283" s="680">
        <f t="shared" si="143"/>
        <v>0.13791939461658831</v>
      </c>
      <c r="U283" s="681">
        <f t="shared" si="155"/>
        <v>0.96111225302107728</v>
      </c>
      <c r="V283" s="682">
        <f t="shared" si="156"/>
        <v>-0.3445326019472732</v>
      </c>
      <c r="W283" s="683">
        <f t="shared" si="144"/>
        <v>-23.981330346382556</v>
      </c>
      <c r="X283" s="684">
        <f t="shared" si="145"/>
        <v>-123.29706182143408</v>
      </c>
      <c r="Y283" s="687">
        <f t="shared" si="146"/>
        <v>56.702938178565915</v>
      </c>
      <c r="AA283" s="170">
        <f t="shared" si="147"/>
        <v>18409</v>
      </c>
      <c r="AB283" s="170">
        <f t="shared" si="148"/>
        <v>338891281</v>
      </c>
      <c r="AD283" s="686">
        <f t="shared" si="149"/>
        <v>17.068431283044241</v>
      </c>
      <c r="AE283" s="687">
        <f t="shared" si="150"/>
        <v>-9.7777813494101729</v>
      </c>
      <c r="AG283" s="686">
        <f t="shared" si="151"/>
        <v>0.62363426330813554</v>
      </c>
      <c r="AH283" s="687">
        <f t="shared" si="152"/>
        <v>-74.038752434431785</v>
      </c>
      <c r="AJ283" s="170">
        <f t="shared" si="153"/>
        <v>0</v>
      </c>
      <c r="AK283" s="170">
        <f t="shared" si="165"/>
        <v>0</v>
      </c>
      <c r="AM283" s="170" t="str">
        <f t="shared" si="157"/>
        <v>0.12329711912037+0.481032284423154i</v>
      </c>
      <c r="AN283" s="170" t="str">
        <f t="shared" si="158"/>
        <v>0.501831794678899i</v>
      </c>
      <c r="AO283" s="170" t="str">
        <f t="shared" si="159"/>
        <v>0.958552824918051-0.245694115892483i</v>
      </c>
      <c r="AP283" s="170" t="str">
        <f t="shared" si="160"/>
        <v>0.146117146813272-0.080172047403859i</v>
      </c>
      <c r="AQ283" s="170" t="str">
        <f t="shared" si="161"/>
        <v>0.853882853186728+0.080172047403859i</v>
      </c>
      <c r="AR283" s="170" t="str">
        <f t="shared" si="162"/>
        <v>0.967018853447281-0.0907945171514609i</v>
      </c>
    </row>
    <row r="284" spans="7:44">
      <c r="G284" s="688">
        <v>18515</v>
      </c>
      <c r="H284" s="676">
        <f t="shared" si="154"/>
        <v>18.515000000000001</v>
      </c>
      <c r="I284" s="677">
        <f t="shared" si="134"/>
        <v>152.28341054794555</v>
      </c>
      <c r="J284" s="678">
        <f t="shared" si="135"/>
        <v>1.5642295761326042</v>
      </c>
      <c r="K284" s="678">
        <f t="shared" si="136"/>
        <v>1.0003274548553844</v>
      </c>
      <c r="L284" s="679">
        <f t="shared" si="137"/>
        <v>2.5587712862902151E-2</v>
      </c>
      <c r="M284" s="678">
        <f t="shared" si="138"/>
        <v>1.0048770507552016</v>
      </c>
      <c r="N284" s="679">
        <f t="shared" si="139"/>
        <v>-9.8562787547871844E-2</v>
      </c>
      <c r="O284" s="677">
        <f t="shared" si="140"/>
        <v>767798.96047535131</v>
      </c>
      <c r="P284" s="680">
        <f t="shared" si="141"/>
        <v>1.5707950243706275</v>
      </c>
      <c r="Q284" s="689">
        <f t="shared" si="163"/>
        <v>30.728234409572703</v>
      </c>
      <c r="R284" s="690">
        <f t="shared" si="164"/>
        <v>1.5382472195940287</v>
      </c>
      <c r="S284" s="677">
        <f t="shared" si="142"/>
        <v>1.0096970373483085</v>
      </c>
      <c r="T284" s="680">
        <f t="shared" si="143"/>
        <v>0.13870342385219575</v>
      </c>
      <c r="U284" s="681">
        <f t="shared" si="155"/>
        <v>0.96069196712661942</v>
      </c>
      <c r="V284" s="682">
        <f t="shared" si="156"/>
        <v>-0.34644168160141786</v>
      </c>
      <c r="W284" s="683">
        <f t="shared" si="144"/>
        <v>-24.03548609506646</v>
      </c>
      <c r="X284" s="684">
        <f t="shared" si="145"/>
        <v>-123.46653567215388</v>
      </c>
      <c r="Y284" s="687">
        <f t="shared" si="146"/>
        <v>56.533464327846119</v>
      </c>
      <c r="AA284" s="170">
        <f t="shared" si="147"/>
        <v>18515</v>
      </c>
      <c r="AB284" s="170">
        <f t="shared" si="148"/>
        <v>342805225</v>
      </c>
      <c r="AD284" s="686">
        <f t="shared" si="149"/>
        <v>17.067430210657385</v>
      </c>
      <c r="AE284" s="687">
        <f t="shared" si="150"/>
        <v>-9.8119726480716789</v>
      </c>
      <c r="AG284" s="686">
        <f t="shared" si="151"/>
        <v>0.57807777399730365</v>
      </c>
      <c r="AH284" s="687">
        <f t="shared" si="152"/>
        <v>-73.955270572366558</v>
      </c>
      <c r="AJ284" s="170">
        <f t="shared" si="153"/>
        <v>0</v>
      </c>
      <c r="AK284" s="170">
        <f t="shared" si="165"/>
        <v>0</v>
      </c>
      <c r="AM284" s="170" t="str">
        <f t="shared" si="157"/>
        <v>0.124690755706433+0.483563570644258i</v>
      </c>
      <c r="AN284" s="170" t="str">
        <f t="shared" si="158"/>
        <v>0.50472136881307i</v>
      </c>
      <c r="AO284" s="170" t="str">
        <f t="shared" si="159"/>
        <v>0.958080240948451-0.247048695401311i</v>
      </c>
      <c r="AP284" s="170" t="str">
        <f t="shared" si="160"/>
        <v>0.145884874048928-0.0805939284407097i</v>
      </c>
      <c r="AQ284" s="170" t="str">
        <f t="shared" si="161"/>
        <v>0.854115125951072+0.0805939284407097i</v>
      </c>
      <c r="AR284" s="170" t="str">
        <f t="shared" si="162"/>
        <v>0.966671382955772-0.0912146874543027i</v>
      </c>
    </row>
    <row r="285" spans="7:44">
      <c r="G285" s="688">
        <v>18621</v>
      </c>
      <c r="H285" s="676">
        <f t="shared" si="154"/>
        <v>18.620999999999999</v>
      </c>
      <c r="I285" s="677">
        <f t="shared" si="134"/>
        <v>153.15520895078754</v>
      </c>
      <c r="J285" s="678">
        <f t="shared" si="135"/>
        <v>1.5642669562802887</v>
      </c>
      <c r="K285" s="678">
        <f t="shared" si="136"/>
        <v>1.0003312143813219</v>
      </c>
      <c r="L285" s="679">
        <f t="shared" si="137"/>
        <v>2.5734140281504524E-2</v>
      </c>
      <c r="M285" s="678">
        <f t="shared" si="138"/>
        <v>1.0049329162410272</v>
      </c>
      <c r="N285" s="679">
        <f t="shared" si="139"/>
        <v>-9.9123389598429854E-2</v>
      </c>
      <c r="O285" s="677">
        <f t="shared" si="140"/>
        <v>772194.67691122752</v>
      </c>
      <c r="P285" s="680">
        <f t="shared" si="141"/>
        <v>1.5707950317846746</v>
      </c>
      <c r="Q285" s="689">
        <f t="shared" si="163"/>
        <v>30.903970464625676</v>
      </c>
      <c r="R285" s="690">
        <f t="shared" si="164"/>
        <v>1.5384323755877425</v>
      </c>
      <c r="S285" s="677">
        <f t="shared" si="142"/>
        <v>1.0098078471833272</v>
      </c>
      <c r="T285" s="680">
        <f t="shared" si="143"/>
        <v>0.13948728150087686</v>
      </c>
      <c r="U285" s="681">
        <f t="shared" si="155"/>
        <v>0.96026979130380585</v>
      </c>
      <c r="V285" s="682">
        <f t="shared" si="156"/>
        <v>-0.34834955352651292</v>
      </c>
      <c r="W285" s="683">
        <f t="shared" si="144"/>
        <v>-24.089377379615566</v>
      </c>
      <c r="X285" s="684">
        <f t="shared" si="145"/>
        <v>-123.63602436741009</v>
      </c>
      <c r="Y285" s="687">
        <f t="shared" si="146"/>
        <v>56.363975632589913</v>
      </c>
      <c r="AA285" s="170">
        <f t="shared" si="147"/>
        <v>18621</v>
      </c>
      <c r="AB285" s="170">
        <f t="shared" si="148"/>
        <v>346741641</v>
      </c>
      <c r="AD285" s="686">
        <f t="shared" si="149"/>
        <v>17.066424808178919</v>
      </c>
      <c r="AE285" s="687">
        <f t="shared" si="150"/>
        <v>-9.8462761509216143</v>
      </c>
      <c r="AG285" s="686">
        <f t="shared" si="151"/>
        <v>0.53282759346577613</v>
      </c>
      <c r="AH285" s="687">
        <f t="shared" si="152"/>
        <v>-73.871829746204099</v>
      </c>
      <c r="AJ285" s="170">
        <f t="shared" si="153"/>
        <v>0</v>
      </c>
      <c r="AK285" s="170">
        <f t="shared" si="165"/>
        <v>0</v>
      </c>
      <c r="AM285" s="170" t="str">
        <f t="shared" si="157"/>
        <v>0.126091700803331+0.486090819287081i</v>
      </c>
      <c r="AN285" s="170" t="str">
        <f t="shared" si="158"/>
        <v>0.507610942947242i</v>
      </c>
      <c r="AO285" s="170" t="str">
        <f t="shared" si="159"/>
        <v>0.957605083264728-0.248402250887716i</v>
      </c>
      <c r="AP285" s="170" t="str">
        <f t="shared" si="160"/>
        <v>0.145651383199445-0.0810151365478468i</v>
      </c>
      <c r="AQ285" s="170" t="str">
        <f t="shared" si="161"/>
        <v>0.854348616800555+0.0810151365478468i</v>
      </c>
      <c r="AR285" s="170" t="str">
        <f t="shared" si="162"/>
        <v>0.966322532060405-0.0916332634531678i</v>
      </c>
    </row>
    <row r="286" spans="7:44">
      <c r="G286" s="688">
        <v>18729.5</v>
      </c>
      <c r="H286" s="676">
        <f t="shared" si="154"/>
        <v>18.729500000000002</v>
      </c>
      <c r="I286" s="677">
        <f t="shared" si="134"/>
        <v>154.04756885580764</v>
      </c>
      <c r="J286" s="678">
        <f t="shared" si="135"/>
        <v>1.5643047798602341</v>
      </c>
      <c r="K286" s="678">
        <f t="shared" si="136"/>
        <v>1.000335084787987</v>
      </c>
      <c r="L286" s="679">
        <f t="shared" si="137"/>
        <v>2.5884020033788212E-2</v>
      </c>
      <c r="M286" s="678">
        <f t="shared" si="138"/>
        <v>1.0049904263580514</v>
      </c>
      <c r="N286" s="679">
        <f t="shared" si="139"/>
        <v>-9.9697148662324667E-2</v>
      </c>
      <c r="O286" s="677">
        <f t="shared" si="140"/>
        <v>776694.06590455386</v>
      </c>
      <c r="P286" s="680">
        <f t="shared" si="141"/>
        <v>1.5707950392866692</v>
      </c>
      <c r="Q286" s="689">
        <f t="shared" si="163"/>
        <v>31.083852322653893</v>
      </c>
      <c r="R286" s="690">
        <f t="shared" si="164"/>
        <v>1.5386197302127087</v>
      </c>
      <c r="S286" s="677">
        <f t="shared" si="142"/>
        <v>1.0099219128967856</v>
      </c>
      <c r="T286" s="680">
        <f t="shared" si="143"/>
        <v>0.14028944770699631</v>
      </c>
      <c r="U286" s="681">
        <f t="shared" si="155"/>
        <v>0.9598357094040374</v>
      </c>
      <c r="V286" s="682">
        <f t="shared" si="156"/>
        <v>-0.35030116665805583</v>
      </c>
      <c r="W286" s="683">
        <f t="shared" si="144"/>
        <v>-24.144269133085409</v>
      </c>
      <c r="X286" s="684">
        <f t="shared" si="145"/>
        <v>-123.80952372899173</v>
      </c>
      <c r="Y286" s="687">
        <f t="shared" si="146"/>
        <v>56.190476271008265</v>
      </c>
      <c r="AA286" s="170">
        <f t="shared" si="147"/>
        <v>18729.5</v>
      </c>
      <c r="AB286" s="170">
        <f t="shared" si="148"/>
        <v>350794170.25</v>
      </c>
      <c r="AD286" s="686">
        <f t="shared" si="149"/>
        <v>17.065391191258719</v>
      </c>
      <c r="AE286" s="687">
        <f t="shared" si="150"/>
        <v>-9.8815026895903291</v>
      </c>
      <c r="AG286" s="686">
        <f t="shared" si="151"/>
        <v>0.48682399936312953</v>
      </c>
      <c r="AH286" s="687">
        <f t="shared" si="152"/>
        <v>-73.786464177502012</v>
      </c>
      <c r="AJ286" s="170">
        <f t="shared" si="153"/>
        <v>0</v>
      </c>
      <c r="AK286" s="170">
        <f t="shared" si="165"/>
        <v>0</v>
      </c>
      <c r="AM286" s="170" t="str">
        <f t="shared" si="157"/>
        <v>0.127533243947421+0.488673469285054i</v>
      </c>
      <c r="AN286" s="170" t="str">
        <f t="shared" si="158"/>
        <v>0.510568667414766i</v>
      </c>
      <c r="AO286" s="170" t="str">
        <f t="shared" si="159"/>
        <v>0.957116056023224-0.249786663551404i</v>
      </c>
      <c r="AP286" s="170" t="str">
        <f t="shared" si="160"/>
        <v>0.145411126008763-0.0814455782141757i</v>
      </c>
      <c r="AQ286" s="170" t="str">
        <f t="shared" si="161"/>
        <v>0.854588873991237+0.0814455782141757i</v>
      </c>
      <c r="AR286" s="170" t="str">
        <f t="shared" si="162"/>
        <v>0.965964033311677-0.0920600555676946i</v>
      </c>
    </row>
    <row r="287" spans="7:44">
      <c r="G287" s="688">
        <v>18838</v>
      </c>
      <c r="H287" s="676">
        <f t="shared" si="154"/>
        <v>18.838000000000001</v>
      </c>
      <c r="I287" s="677">
        <f t="shared" si="134"/>
        <v>154.93992897867318</v>
      </c>
      <c r="J287" s="678">
        <f t="shared" si="135"/>
        <v>1.5643421677584213</v>
      </c>
      <c r="K287" s="678">
        <f t="shared" si="136"/>
        <v>1.0003389776659455</v>
      </c>
      <c r="L287" s="679">
        <f t="shared" si="137"/>
        <v>2.6033898622907007E-2</v>
      </c>
      <c r="M287" s="678">
        <f t="shared" si="138"/>
        <v>1.0050482672794587</v>
      </c>
      <c r="N287" s="679">
        <f t="shared" si="139"/>
        <v>-0.10027084187494323</v>
      </c>
      <c r="O287" s="677">
        <f t="shared" si="140"/>
        <v>781193.45489788009</v>
      </c>
      <c r="P287" s="680">
        <f t="shared" si="141"/>
        <v>1.5707950467022465</v>
      </c>
      <c r="Q287" s="689">
        <f t="shared" si="163"/>
        <v>31.263735259224191</v>
      </c>
      <c r="R287" s="690">
        <f t="shared" si="164"/>
        <v>1.5388049288701173</v>
      </c>
      <c r="S287" s="677">
        <f t="shared" si="142"/>
        <v>1.0100366283183024</v>
      </c>
      <c r="T287" s="680">
        <f t="shared" si="143"/>
        <v>0.14109143221620568</v>
      </c>
      <c r="U287" s="681">
        <f t="shared" si="155"/>
        <v>0.95939966408040711</v>
      </c>
      <c r="V287" s="682">
        <f t="shared" si="156"/>
        <v>-0.35225150433516028</v>
      </c>
      <c r="W287" s="683">
        <f t="shared" si="144"/>
        <v>-24.198890528779447</v>
      </c>
      <c r="X287" s="684">
        <f t="shared" si="145"/>
        <v>-123.98303445575969</v>
      </c>
      <c r="Y287" s="687">
        <f t="shared" si="146"/>
        <v>56.016965544240307</v>
      </c>
      <c r="AA287" s="170">
        <f t="shared" si="147"/>
        <v>18838</v>
      </c>
      <c r="AB287" s="170">
        <f t="shared" si="148"/>
        <v>354870244</v>
      </c>
      <c r="AD287" s="686">
        <f t="shared" si="149"/>
        <v>17.064353002400281</v>
      </c>
      <c r="AE287" s="687">
        <f t="shared" si="150"/>
        <v>-9.916842340683564</v>
      </c>
      <c r="AG287" s="686">
        <f t="shared" si="151"/>
        <v>0.44113443949910564</v>
      </c>
      <c r="AH287" s="687">
        <f t="shared" si="152"/>
        <v>-73.701143017874543</v>
      </c>
      <c r="AJ287" s="170">
        <f t="shared" si="153"/>
        <v>0</v>
      </c>
      <c r="AK287" s="170">
        <f t="shared" si="165"/>
        <v>0</v>
      </c>
      <c r="AM287" s="170" t="str">
        <f t="shared" si="157"/>
        <v>0.128982419542063+0.49125184430514i</v>
      </c>
      <c r="AN287" s="170" t="str">
        <f t="shared" si="158"/>
        <v>0.513526391882291i</v>
      </c>
      <c r="AO287" s="170" t="str">
        <f t="shared" si="159"/>
        <v>0.956624337270173-0.251169991612871i</v>
      </c>
      <c r="AP287" s="170" t="str">
        <f t="shared" si="160"/>
        <v>0.145169596742989-0.08187530738419i</v>
      </c>
      <c r="AQ287" s="170" t="str">
        <f t="shared" si="161"/>
        <v>0.854830403257011+0.08187530738419i</v>
      </c>
      <c r="AR287" s="170" t="str">
        <f t="shared" si="162"/>
        <v>0.96560410735347-0.0924851675838583i</v>
      </c>
    </row>
    <row r="288" spans="7:44">
      <c r="G288" s="688">
        <v>18946.5</v>
      </c>
      <c r="H288" s="676">
        <f t="shared" si="154"/>
        <v>18.9465</v>
      </c>
      <c r="I288" s="677">
        <f t="shared" si="134"/>
        <v>155.83228931564179</v>
      </c>
      <c r="J288" s="678">
        <f t="shared" si="135"/>
        <v>1.5643791274594281</v>
      </c>
      <c r="K288" s="678">
        <f t="shared" si="136"/>
        <v>1.000342893014935</v>
      </c>
      <c r="L288" s="679">
        <f t="shared" si="137"/>
        <v>2.6183776042140894E-2</v>
      </c>
      <c r="M288" s="678">
        <f t="shared" si="138"/>
        <v>1.0051064389481388</v>
      </c>
      <c r="N288" s="679">
        <f t="shared" si="139"/>
        <v>-0.10084446887005463</v>
      </c>
      <c r="O288" s="677">
        <f t="shared" si="140"/>
        <v>785692.84389120655</v>
      </c>
      <c r="P288" s="680">
        <f t="shared" si="141"/>
        <v>1.5707950540328908</v>
      </c>
      <c r="Q288" s="689">
        <f t="shared" si="163"/>
        <v>31.443619255826178</v>
      </c>
      <c r="R288" s="690">
        <f t="shared" si="164"/>
        <v>1.5389880085490075</v>
      </c>
      <c r="S288" s="677">
        <f t="shared" si="142"/>
        <v>1.0101519932265304</v>
      </c>
      <c r="T288" s="680">
        <f t="shared" si="143"/>
        <v>0.14189323405894394</v>
      </c>
      <c r="U288" s="681">
        <f t="shared" si="155"/>
        <v>0.95896166380833348</v>
      </c>
      <c r="V288" s="682">
        <f t="shared" si="156"/>
        <v>-0.35420056150740703</v>
      </c>
      <c r="W288" s="683">
        <f t="shared" si="144"/>
        <v>-24.253244880969934</v>
      </c>
      <c r="X288" s="684">
        <f t="shared" si="145"/>
        <v>-124.15655449180009</v>
      </c>
      <c r="Y288" s="687">
        <f t="shared" si="146"/>
        <v>55.843445508199906</v>
      </c>
      <c r="AA288" s="170">
        <f t="shared" si="147"/>
        <v>18946.5</v>
      </c>
      <c r="AB288" s="170">
        <f t="shared" si="148"/>
        <v>358969862.25</v>
      </c>
      <c r="AD288" s="686">
        <f t="shared" si="149"/>
        <v>17.063310224743823</v>
      </c>
      <c r="AE288" s="687">
        <f t="shared" si="150"/>
        <v>-9.9522929294187481</v>
      </c>
      <c r="AG288" s="686">
        <f t="shared" si="151"/>
        <v>0.39575551463952063</v>
      </c>
      <c r="AH288" s="687">
        <f t="shared" si="152"/>
        <v>-73.615866964925644</v>
      </c>
      <c r="AJ288" s="170">
        <f t="shared" si="153"/>
        <v>0</v>
      </c>
      <c r="AK288" s="170">
        <f t="shared" si="165"/>
        <v>0</v>
      </c>
      <c r="AM288" s="170" t="str">
        <f t="shared" si="157"/>
        <v>0.130439214909682+0.493825921791384i</v>
      </c>
      <c r="AN288" s="170" t="str">
        <f t="shared" si="158"/>
        <v>0.516484116349815i</v>
      </c>
      <c r="AO288" s="170" t="str">
        <f t="shared" si="159"/>
        <v>0.956129929573508-0.252552229159619i</v>
      </c>
      <c r="AP288" s="170" t="str">
        <f t="shared" si="160"/>
        <v>0.144926797515053-0.082304320298564i</v>
      </c>
      <c r="AQ288" s="170" t="str">
        <f t="shared" si="161"/>
        <v>0.855073202484947+0.082304320298564i</v>
      </c>
      <c r="AR288" s="170" t="str">
        <f t="shared" si="162"/>
        <v>0.965242763853856-0.0929085946925082i</v>
      </c>
    </row>
    <row r="289" spans="7:44">
      <c r="G289" s="688">
        <v>19055</v>
      </c>
      <c r="H289" s="676">
        <f t="shared" si="154"/>
        <v>19.055</v>
      </c>
      <c r="I289" s="677">
        <f t="shared" si="134"/>
        <v>156.72464986305624</v>
      </c>
      <c r="J289" s="678">
        <f t="shared" si="135"/>
        <v>1.5644156662773745</v>
      </c>
      <c r="K289" s="678">
        <f t="shared" si="136"/>
        <v>1.0003468308346917</v>
      </c>
      <c r="L289" s="679">
        <f t="shared" si="137"/>
        <v>2.6333652284770193E-2</v>
      </c>
      <c r="M289" s="678">
        <f t="shared" si="138"/>
        <v>1.0051649413066677</v>
      </c>
      <c r="N289" s="679">
        <f t="shared" si="139"/>
        <v>-0.10141802928168683</v>
      </c>
      <c r="O289" s="677">
        <f t="shared" si="140"/>
        <v>790192.23288453277</v>
      </c>
      <c r="P289" s="680">
        <f t="shared" si="141"/>
        <v>1.570795061280053</v>
      </c>
      <c r="Q289" s="689">
        <f t="shared" si="163"/>
        <v>31.623504294370509</v>
      </c>
      <c r="R289" s="690">
        <f t="shared" si="164"/>
        <v>1.5391690053973692</v>
      </c>
      <c r="S289" s="677">
        <f t="shared" si="142"/>
        <v>1.0102680073989703</v>
      </c>
      <c r="T289" s="680">
        <f t="shared" si="143"/>
        <v>0.14269485226703119</v>
      </c>
      <c r="U289" s="681">
        <f t="shared" si="155"/>
        <v>0.95852171708045508</v>
      </c>
      <c r="V289" s="682">
        <f t="shared" si="156"/>
        <v>-0.35614833315873101</v>
      </c>
      <c r="W289" s="683">
        <f t="shared" si="144"/>
        <v>-24.307335445854712</v>
      </c>
      <c r="X289" s="684">
        <f t="shared" si="145"/>
        <v>-124.3300818216813</v>
      </c>
      <c r="Y289" s="687">
        <f t="shared" si="146"/>
        <v>55.669918178318696</v>
      </c>
      <c r="AA289" s="170">
        <f t="shared" si="147"/>
        <v>19055</v>
      </c>
      <c r="AB289" s="170">
        <f t="shared" si="148"/>
        <v>363093025</v>
      </c>
      <c r="AD289" s="686">
        <f t="shared" si="149"/>
        <v>17.062262842033885</v>
      </c>
      <c r="AE289" s="687">
        <f t="shared" si="150"/>
        <v>-9.9878523292791321</v>
      </c>
      <c r="AG289" s="686">
        <f t="shared" si="151"/>
        <v>0.35068388273754364</v>
      </c>
      <c r="AH289" s="687">
        <f t="shared" si="152"/>
        <v>-73.530636704539276</v>
      </c>
      <c r="AJ289" s="170">
        <f t="shared" si="153"/>
        <v>0</v>
      </c>
      <c r="AK289" s="170">
        <f t="shared" si="165"/>
        <v>0</v>
      </c>
      <c r="AM289" s="170" t="str">
        <f t="shared" si="157"/>
        <v>0.131903617306048+0.496395679225429i</v>
      </c>
      <c r="AN289" s="170" t="str">
        <f t="shared" si="158"/>
        <v>0.51944184081734i</v>
      </c>
      <c r="AO289" s="170" t="str">
        <f t="shared" si="159"/>
        <v>0.955632835515044-0.253933370285494i</v>
      </c>
      <c r="AP289" s="170" t="str">
        <f t="shared" si="160"/>
        <v>0.144682730448992-0.0827326132042382i</v>
      </c>
      <c r="AQ289" s="170" t="str">
        <f t="shared" si="161"/>
        <v>0.855317269551008+0.0827326132042382i</v>
      </c>
      <c r="AR289" s="170" t="str">
        <f t="shared" si="162"/>
        <v>0.96488001249304-0.0933303321514737i</v>
      </c>
    </row>
    <row r="290" spans="7:44">
      <c r="G290" s="688">
        <v>19165.75</v>
      </c>
      <c r="H290" s="676">
        <f t="shared" si="154"/>
        <v>19.165749999999999</v>
      </c>
      <c r="I290" s="677">
        <f t="shared" si="134"/>
        <v>157.6355157964388</v>
      </c>
      <c r="J290" s="678">
        <f t="shared" si="135"/>
        <v>1.5644525361696751</v>
      </c>
      <c r="K290" s="678">
        <f t="shared" si="136"/>
        <v>1.0003508734886035</v>
      </c>
      <c r="L290" s="679">
        <f t="shared" si="137"/>
        <v>2.6486635339645983E-2</v>
      </c>
      <c r="M290" s="678">
        <f t="shared" si="138"/>
        <v>1.0052249978351768</v>
      </c>
      <c r="N290" s="679">
        <f t="shared" si="139"/>
        <v>-0.10200341475452462</v>
      </c>
      <c r="O290" s="677">
        <f t="shared" si="140"/>
        <v>794784.92717956414</v>
      </c>
      <c r="P290" s="680">
        <f t="shared" si="141"/>
        <v>1.5707950685928778</v>
      </c>
      <c r="Q290" s="689">
        <f t="shared" si="163"/>
        <v>31.807120724034739</v>
      </c>
      <c r="R290" s="690">
        <f t="shared" si="164"/>
        <v>1.5393516442545812</v>
      </c>
      <c r="S290" s="677">
        <f t="shared" si="142"/>
        <v>1.0103870967628301</v>
      </c>
      <c r="T290" s="680">
        <f t="shared" si="143"/>
        <v>0.14351290350394838</v>
      </c>
      <c r="U290" s="681">
        <f t="shared" si="155"/>
        <v>0.95807064844930501</v>
      </c>
      <c r="V290" s="682">
        <f t="shared" si="156"/>
        <v>-0.35813516543030316</v>
      </c>
      <c r="W290" s="683">
        <f t="shared" si="144"/>
        <v>-24.362278977256878</v>
      </c>
      <c r="X290" s="684">
        <f t="shared" si="145"/>
        <v>-124.50721311506706</v>
      </c>
      <c r="Y290" s="687">
        <f t="shared" si="146"/>
        <v>55.49278688493294</v>
      </c>
      <c r="AA290" s="170">
        <f t="shared" si="147"/>
        <v>19165.75</v>
      </c>
      <c r="AB290" s="170">
        <f t="shared" si="148"/>
        <v>367325973.0625</v>
      </c>
      <c r="AD290" s="686">
        <f t="shared" si="149"/>
        <v>17.061188973847173</v>
      </c>
      <c r="AE290" s="687">
        <f t="shared" si="150"/>
        <v>-10.024259195922202</v>
      </c>
      <c r="AG290" s="686">
        <f t="shared" si="151"/>
        <v>0.30499109112434519</v>
      </c>
      <c r="AH290" s="687">
        <f t="shared" si="152"/>
        <v>-73.443686923498845</v>
      </c>
      <c r="AJ290" s="170">
        <f t="shared" si="153"/>
        <v>0</v>
      </c>
      <c r="AK290" s="170">
        <f t="shared" si="165"/>
        <v>0</v>
      </c>
      <c r="AM290" s="170" t="str">
        <f t="shared" si="157"/>
        <v>0.133406219478895+0.499014247854847i</v>
      </c>
      <c r="AN290" s="170" t="str">
        <f t="shared" si="158"/>
        <v>0.522460900584882i</v>
      </c>
      <c r="AO290" s="170" t="str">
        <f t="shared" si="159"/>
        <v>0.955122665248659-0.255342015698304i</v>
      </c>
      <c r="AP290" s="170" t="str">
        <f t="shared" si="160"/>
        <v>0.144432296753518-0.0831690413091412i</v>
      </c>
      <c r="AQ290" s="170" t="str">
        <f t="shared" si="161"/>
        <v>0.855567703246482+0.0831690413091412i</v>
      </c>
      <c r="AR290" s="170" t="str">
        <f t="shared" si="162"/>
        <v>0.964508296746248-0.0937590678922439i</v>
      </c>
    </row>
    <row r="291" spans="7:44">
      <c r="G291" s="688">
        <v>19276.5</v>
      </c>
      <c r="H291" s="676">
        <f t="shared" si="154"/>
        <v>19.276499999999999</v>
      </c>
      <c r="I291" s="677">
        <f t="shared" si="134"/>
        <v>158.54638194164713</v>
      </c>
      <c r="J291" s="678">
        <f t="shared" si="135"/>
        <v>1.5644889824189714</v>
      </c>
      <c r="K291" s="678">
        <f t="shared" si="136"/>
        <v>1.0003549395543527</v>
      </c>
      <c r="L291" s="679">
        <f t="shared" si="137"/>
        <v>2.6639617154465202E-2</v>
      </c>
      <c r="M291" s="678">
        <f t="shared" si="138"/>
        <v>1.0052853987890937</v>
      </c>
      <c r="N291" s="679">
        <f t="shared" si="139"/>
        <v>-0.10258873008402955</v>
      </c>
      <c r="O291" s="677">
        <f t="shared" si="140"/>
        <v>799377.62147459551</v>
      </c>
      <c r="P291" s="680">
        <f t="shared" si="141"/>
        <v>1.5707950758216731</v>
      </c>
      <c r="Q291" s="689">
        <f t="shared" si="163"/>
        <v>31.990738202508094</v>
      </c>
      <c r="R291" s="690">
        <f t="shared" si="164"/>
        <v>1.5395321865305382</v>
      </c>
      <c r="S291" s="677">
        <f t="shared" si="142"/>
        <v>1.0105068621260065</v>
      </c>
      <c r="T291" s="680">
        <f t="shared" si="143"/>
        <v>0.14433076137706397</v>
      </c>
      <c r="U291" s="681">
        <f t="shared" si="155"/>
        <v>0.95761756973034418</v>
      </c>
      <c r="V291" s="682">
        <f t="shared" si="156"/>
        <v>-0.36012064786022169</v>
      </c>
      <c r="W291" s="683">
        <f t="shared" si="144"/>
        <v>-24.416954343807845</v>
      </c>
      <c r="X291" s="684">
        <f t="shared" si="145"/>
        <v>-124.68434788891304</v>
      </c>
      <c r="Y291" s="687">
        <f t="shared" si="146"/>
        <v>55.315652111086962</v>
      </c>
      <c r="AA291" s="170">
        <f t="shared" si="147"/>
        <v>19276.5</v>
      </c>
      <c r="AB291" s="170">
        <f t="shared" si="148"/>
        <v>371583452.25</v>
      </c>
      <c r="AD291" s="686">
        <f t="shared" si="149"/>
        <v>17.060110275249194</v>
      </c>
      <c r="AE291" s="687">
        <f t="shared" si="150"/>
        <v>-10.060775104078427</v>
      </c>
      <c r="AG291" s="686">
        <f t="shared" si="151"/>
        <v>0.25961160963475133</v>
      </c>
      <c r="AH291" s="687">
        <f t="shared" si="152"/>
        <v>-73.356786261865139</v>
      </c>
      <c r="AJ291" s="170">
        <f t="shared" si="153"/>
        <v>0</v>
      </c>
      <c r="AK291" s="170">
        <f t="shared" si="165"/>
        <v>0</v>
      </c>
      <c r="AM291" s="170" t="str">
        <f t="shared" si="157"/>
        <v>0.134916720407035+0.501628268111636i</v>
      </c>
      <c r="AN291" s="170" t="str">
        <f t="shared" si="158"/>
        <v>0.525479960352425i</v>
      </c>
      <c r="AO291" s="170" t="str">
        <f t="shared" si="159"/>
        <v>0.95460970152926-0.25674950633046i</v>
      </c>
      <c r="AP291" s="170" t="str">
        <f t="shared" si="160"/>
        <v>0.144180546598828-0.0836047113519393i</v>
      </c>
      <c r="AQ291" s="170" t="str">
        <f t="shared" si="161"/>
        <v>0.855819453401172+0.0836047113519393i</v>
      </c>
      <c r="AR291" s="170" t="str">
        <f t="shared" si="162"/>
        <v>0.964135134559474-0.0941860334078235i</v>
      </c>
    </row>
    <row r="292" spans="7:44">
      <c r="G292" s="688">
        <v>19387.25</v>
      </c>
      <c r="H292" s="676">
        <f t="shared" si="154"/>
        <v>19.387250000000002</v>
      </c>
      <c r="I292" s="677">
        <f t="shared" si="134"/>
        <v>159.45724829505122</v>
      </c>
      <c r="J292" s="678">
        <f t="shared" si="135"/>
        <v>1.5645250122850831</v>
      </c>
      <c r="K292" s="678">
        <f t="shared" si="136"/>
        <v>1.0003590290316537</v>
      </c>
      <c r="L292" s="679">
        <f t="shared" si="137"/>
        <v>2.6792597722082416E-2</v>
      </c>
      <c r="M292" s="678">
        <f t="shared" si="138"/>
        <v>1.0053461441063394</v>
      </c>
      <c r="N292" s="679">
        <f t="shared" si="139"/>
        <v>-0.1031739748818294</v>
      </c>
      <c r="O292" s="677">
        <f t="shared" si="140"/>
        <v>803970.31576962699</v>
      </c>
      <c r="P292" s="680">
        <f t="shared" si="141"/>
        <v>1.5707950829678792</v>
      </c>
      <c r="Q292" s="689">
        <f t="shared" si="163"/>
        <v>32.174356711834072</v>
      </c>
      <c r="R292" s="690">
        <f t="shared" si="164"/>
        <v>1.5397106681088299</v>
      </c>
      <c r="S292" s="677">
        <f t="shared" si="142"/>
        <v>1.0106273032481699</v>
      </c>
      <c r="T292" s="680">
        <f t="shared" si="143"/>
        <v>0.14514842486120111</v>
      </c>
      <c r="U292" s="681">
        <f t="shared" si="155"/>
        <v>0.95716249000846609</v>
      </c>
      <c r="V292" s="682">
        <f t="shared" si="156"/>
        <v>-0.36210477522483819</v>
      </c>
      <c r="W292" s="683">
        <f t="shared" si="144"/>
        <v>-24.471364829744601</v>
      </c>
      <c r="X292" s="684">
        <f t="shared" si="145"/>
        <v>-124.86148412340641</v>
      </c>
      <c r="Y292" s="687">
        <f t="shared" si="146"/>
        <v>55.138515876593587</v>
      </c>
      <c r="AA292" s="170">
        <f t="shared" si="147"/>
        <v>19387.25</v>
      </c>
      <c r="AB292" s="170">
        <f t="shared" si="148"/>
        <v>375865462.5625</v>
      </c>
      <c r="AD292" s="686">
        <f t="shared" si="149"/>
        <v>17.05902673077458</v>
      </c>
      <c r="AE292" s="687">
        <f t="shared" si="150"/>
        <v>-10.097397939113801</v>
      </c>
      <c r="AG292" s="686">
        <f t="shared" si="151"/>
        <v>0.21454206002307241</v>
      </c>
      <c r="AH292" s="687">
        <f t="shared" si="152"/>
        <v>-73.269935413045516</v>
      </c>
      <c r="AJ292" s="170">
        <f t="shared" si="153"/>
        <v>0</v>
      </c>
      <c r="AK292" s="170">
        <f t="shared" si="165"/>
        <v>0</v>
      </c>
      <c r="AM292" s="170" t="str">
        <f t="shared" si="157"/>
        <v>0.136435106322682+0.504237716169747i</v>
      </c>
      <c r="AN292" s="170" t="str">
        <f t="shared" si="158"/>
        <v>0.528499020119967i</v>
      </c>
      <c r="AO292" s="170" t="str">
        <f t="shared" si="159"/>
        <v>0.954093947147314-0.258155835921345i</v>
      </c>
      <c r="AP292" s="170" t="str">
        <f t="shared" si="160"/>
        <v>0.143927482279553-0.0840396193616245i</v>
      </c>
      <c r="AQ292" s="170" t="str">
        <f t="shared" si="161"/>
        <v>0.856072517720447+0.0840396193616245i</v>
      </c>
      <c r="AR292" s="170" t="str">
        <f t="shared" si="162"/>
        <v>0.963760536263375-0.0946112238703801i</v>
      </c>
    </row>
    <row r="293" spans="7:44">
      <c r="G293" s="688">
        <v>19498</v>
      </c>
      <c r="H293" s="676">
        <f t="shared" si="154"/>
        <v>19.498000000000001</v>
      </c>
      <c r="I293" s="677">
        <f t="shared" si="134"/>
        <v>160.36811485310346</v>
      </c>
      <c r="J293" s="678">
        <f t="shared" si="135"/>
        <v>1.564560632862896</v>
      </c>
      <c r="K293" s="678">
        <f t="shared" si="136"/>
        <v>1.0003631419202195</v>
      </c>
      <c r="L293" s="679">
        <f t="shared" si="137"/>
        <v>2.6945577035352542E-2</v>
      </c>
      <c r="M293" s="678">
        <f t="shared" si="138"/>
        <v>1.0054072337244959</v>
      </c>
      <c r="N293" s="679">
        <f t="shared" si="139"/>
        <v>-0.10375914875983887</v>
      </c>
      <c r="O293" s="677">
        <f t="shared" si="140"/>
        <v>808563.01006465848</v>
      </c>
      <c r="P293" s="680">
        <f t="shared" si="141"/>
        <v>1.5707950900329033</v>
      </c>
      <c r="Q293" s="689">
        <f t="shared" si="163"/>
        <v>32.357976234463635</v>
      </c>
      <c r="R293" s="690">
        <f t="shared" si="164"/>
        <v>1.5398871240590739</v>
      </c>
      <c r="S293" s="677">
        <f t="shared" si="142"/>
        <v>1.0107484198877488</v>
      </c>
      <c r="T293" s="680">
        <f t="shared" si="143"/>
        <v>0.14596589293271017</v>
      </c>
      <c r="U293" s="681">
        <f t="shared" si="155"/>
        <v>0.95670541838545886</v>
      </c>
      <c r="V293" s="682">
        <f t="shared" si="156"/>
        <v>-0.36408754233797203</v>
      </c>
      <c r="W293" s="683">
        <f t="shared" si="144"/>
        <v>-24.525513661823709</v>
      </c>
      <c r="X293" s="684">
        <f t="shared" si="145"/>
        <v>-125.03861983817059</v>
      </c>
      <c r="Y293" s="687">
        <f t="shared" si="146"/>
        <v>54.96138016182941</v>
      </c>
      <c r="AA293" s="170">
        <f t="shared" si="147"/>
        <v>19498</v>
      </c>
      <c r="AB293" s="170">
        <f t="shared" si="148"/>
        <v>380172004</v>
      </c>
      <c r="AD293" s="686">
        <f t="shared" si="149"/>
        <v>17.057938325531943</v>
      </c>
      <c r="AE293" s="687">
        <f t="shared" si="150"/>
        <v>-10.134125633117046</v>
      </c>
      <c r="AG293" s="686">
        <f t="shared" si="151"/>
        <v>0.16977912066146233</v>
      </c>
      <c r="AH293" s="687">
        <f t="shared" si="152"/>
        <v>-73.183135058866995</v>
      </c>
      <c r="AJ293" s="170">
        <f t="shared" si="153"/>
        <v>0</v>
      </c>
      <c r="AK293" s="170">
        <f t="shared" si="165"/>
        <v>0</v>
      </c>
      <c r="AM293" s="170" t="str">
        <f t="shared" si="157"/>
        <v>0.137961363386182+0.506842568244805i</v>
      </c>
      <c r="AN293" s="170" t="str">
        <f t="shared" si="158"/>
        <v>0.53151807988751i</v>
      </c>
      <c r="AO293" s="170" t="str">
        <f t="shared" si="159"/>
        <v>0.953575404908282-0.25956099821737i</v>
      </c>
      <c r="AP293" s="170" t="str">
        <f t="shared" si="160"/>
        <v>0.143673106102303-0.0844737613741342i</v>
      </c>
      <c r="AQ293" s="170" t="str">
        <f t="shared" si="161"/>
        <v>0.856326893897697+0.0844737613741342i</v>
      </c>
      <c r="AR293" s="170" t="str">
        <f t="shared" si="162"/>
        <v>0.963384512199445-0.0950346345245055i</v>
      </c>
    </row>
    <row r="294" spans="7:44">
      <c r="G294" s="688">
        <v>19611.75</v>
      </c>
      <c r="H294" s="676">
        <f t="shared" si="154"/>
        <v>19.611750000000001</v>
      </c>
      <c r="I294" s="677">
        <f t="shared" si="134"/>
        <v>161.30365520677526</v>
      </c>
      <c r="J294" s="678">
        <f t="shared" si="135"/>
        <v>1.5645967995465122</v>
      </c>
      <c r="K294" s="678">
        <f t="shared" si="136"/>
        <v>1.0003673905896575</v>
      </c>
      <c r="L294" s="679">
        <f t="shared" si="137"/>
        <v>2.7102698944506943E-2</v>
      </c>
      <c r="M294" s="678">
        <f t="shared" si="138"/>
        <v>1.0054703364913953</v>
      </c>
      <c r="N294" s="679">
        <f t="shared" si="139"/>
        <v>-0.10436009961422521</v>
      </c>
      <c r="O294" s="677">
        <f t="shared" si="140"/>
        <v>813280.11142862984</v>
      </c>
      <c r="P294" s="680">
        <f t="shared" si="141"/>
        <v>1.5707950972062397</v>
      </c>
      <c r="Q294" s="689">
        <f t="shared" si="163"/>
        <v>32.546570686187252</v>
      </c>
      <c r="R294" s="690">
        <f t="shared" si="164"/>
        <v>1.5400662871785071</v>
      </c>
      <c r="S294" s="677">
        <f t="shared" si="142"/>
        <v>1.0108735202970895</v>
      </c>
      <c r="T294" s="680">
        <f t="shared" si="143"/>
        <v>0.14680530011090936</v>
      </c>
      <c r="U294" s="681">
        <f t="shared" si="155"/>
        <v>0.95623390160078003</v>
      </c>
      <c r="V294" s="682">
        <f t="shared" si="156"/>
        <v>-0.36612259729002733</v>
      </c>
      <c r="W294" s="683">
        <f t="shared" si="144"/>
        <v>-24.580860228017865</v>
      </c>
      <c r="X294" s="684">
        <f t="shared" si="145"/>
        <v>-125.22055123094391</v>
      </c>
      <c r="Y294" s="687">
        <f t="shared" si="146"/>
        <v>54.779448769056089</v>
      </c>
      <c r="AA294" s="170">
        <f t="shared" si="147"/>
        <v>19611.75</v>
      </c>
      <c r="AB294" s="170">
        <f t="shared" si="148"/>
        <v>384620738.0625</v>
      </c>
      <c r="AD294" s="686">
        <f t="shared" si="149"/>
        <v>17.056815362419652</v>
      </c>
      <c r="AE294" s="687">
        <f t="shared" si="150"/>
        <v>-10.171955242178049</v>
      </c>
      <c r="AG294" s="686">
        <f t="shared" si="151"/>
        <v>0.12411939160188014</v>
      </c>
      <c r="AH294" s="687">
        <f t="shared" si="152"/>
        <v>-73.09403672265293</v>
      </c>
      <c r="AJ294" s="170">
        <f t="shared" si="153"/>
        <v>0</v>
      </c>
      <c r="AK294" s="170">
        <f t="shared" si="165"/>
        <v>0</v>
      </c>
      <c r="AM294" s="170" t="str">
        <f t="shared" si="157"/>
        <v>0.139537142999654+0.509513171294719i</v>
      </c>
      <c r="AN294" s="170" t="str">
        <f t="shared" si="158"/>
        <v>0.534618920055076i</v>
      </c>
      <c r="AO294" s="170" t="str">
        <f t="shared" si="159"/>
        <v>0.953039917184804-0.261003001886426i</v>
      </c>
      <c r="AP294" s="170" t="str">
        <f t="shared" si="160"/>
        <v>0.143410476166724-0.0849188618824532i</v>
      </c>
      <c r="AQ294" s="170" t="str">
        <f t="shared" si="161"/>
        <v>0.856589523833276+0.0849188618824532i</v>
      </c>
      <c r="AR294" s="170" t="str">
        <f t="shared" si="162"/>
        <v>0.962996829032826-0.0954676568444651i</v>
      </c>
    </row>
    <row r="295" spans="7:44">
      <c r="G295" s="688">
        <v>19725.5</v>
      </c>
      <c r="H295" s="676">
        <f t="shared" si="154"/>
        <v>19.7255</v>
      </c>
      <c r="I295" s="677">
        <f t="shared" si="134"/>
        <v>162.2391957690036</v>
      </c>
      <c r="J295" s="678">
        <f t="shared" si="135"/>
        <v>1.5646325491250557</v>
      </c>
      <c r="K295" s="678">
        <f t="shared" si="136"/>
        <v>1.0003716639552496</v>
      </c>
      <c r="L295" s="679">
        <f t="shared" si="137"/>
        <v>2.7259819515160391E-2</v>
      </c>
      <c r="M295" s="678">
        <f t="shared" si="138"/>
        <v>1.0055338023301401</v>
      </c>
      <c r="N295" s="679">
        <f t="shared" si="139"/>
        <v>-0.10496097482568371</v>
      </c>
      <c r="O295" s="677">
        <f t="shared" si="140"/>
        <v>817997.21279260132</v>
      </c>
      <c r="P295" s="680">
        <f t="shared" si="141"/>
        <v>1.5707951042968435</v>
      </c>
      <c r="Q295" s="689">
        <f t="shared" si="163"/>
        <v>32.735166170599207</v>
      </c>
      <c r="R295" s="690">
        <f t="shared" si="164"/>
        <v>1.5402433858964362</v>
      </c>
      <c r="S295" s="677">
        <f t="shared" si="142"/>
        <v>1.010999332795808</v>
      </c>
      <c r="T295" s="680">
        <f t="shared" si="143"/>
        <v>0.14764449896241758</v>
      </c>
      <c r="U295" s="681">
        <f t="shared" si="155"/>
        <v>0.95576030305608894</v>
      </c>
      <c r="V295" s="682">
        <f t="shared" si="156"/>
        <v>-0.3681562063308918</v>
      </c>
      <c r="W295" s="683">
        <f t="shared" si="144"/>
        <v>-24.635937492403855</v>
      </c>
      <c r="X295" s="684">
        <f t="shared" si="145"/>
        <v>-125.40247796393122</v>
      </c>
      <c r="Y295" s="687">
        <f t="shared" si="146"/>
        <v>54.597522036068781</v>
      </c>
      <c r="AA295" s="170">
        <f t="shared" si="147"/>
        <v>19725.5</v>
      </c>
      <c r="AB295" s="170">
        <f t="shared" si="148"/>
        <v>389095350.25</v>
      </c>
      <c r="AD295" s="686">
        <f t="shared" si="149"/>
        <v>17.055687241571377</v>
      </c>
      <c r="AE295" s="687">
        <f t="shared" si="150"/>
        <v>-10.209891191752206</v>
      </c>
      <c r="AG295" s="686">
        <f t="shared" si="151"/>
        <v>7.8776183722436166E-2</v>
      </c>
      <c r="AH295" s="687">
        <f t="shared" si="152"/>
        <v>-73.00499307535739</v>
      </c>
      <c r="AJ295" s="170">
        <f t="shared" si="153"/>
        <v>0</v>
      </c>
      <c r="AK295" s="170">
        <f t="shared" si="165"/>
        <v>0</v>
      </c>
      <c r="AM295" s="170" t="str">
        <f t="shared" si="157"/>
        <v>0.141121196137343+0.512178875272548i</v>
      </c>
      <c r="AN295" s="170" t="str">
        <f t="shared" si="158"/>
        <v>0.537719760222642i</v>
      </c>
      <c r="AO295" s="170" t="str">
        <f t="shared" si="159"/>
        <v>0.952501494571226-0.262443760814949i</v>
      </c>
      <c r="AP295" s="170" t="str">
        <f t="shared" si="160"/>
        <v>0.143146467310443-0.085363145878758i</v>
      </c>
      <c r="AQ295" s="170" t="str">
        <f t="shared" si="161"/>
        <v>0.856853532689557+0.085363145878758i</v>
      </c>
      <c r="AR295" s="170" t="str">
        <f t="shared" si="162"/>
        <v>0.962607663956491-0.0958987916924415i</v>
      </c>
    </row>
    <row r="296" spans="7:44">
      <c r="G296" s="688">
        <v>19839.25</v>
      </c>
      <c r="H296" s="676">
        <f t="shared" si="154"/>
        <v>19.83925</v>
      </c>
      <c r="I296" s="677">
        <f t="shared" si="134"/>
        <v>163.17473653620129</v>
      </c>
      <c r="J296" s="678">
        <f t="shared" si="135"/>
        <v>1.5646678887726848</v>
      </c>
      <c r="K296" s="678">
        <f t="shared" si="136"/>
        <v>1.0003759620166794</v>
      </c>
      <c r="L296" s="679">
        <f t="shared" si="137"/>
        <v>2.7416938739572457E-2</v>
      </c>
      <c r="M296" s="678">
        <f t="shared" si="138"/>
        <v>1.0055976311719874</v>
      </c>
      <c r="N296" s="679">
        <f t="shared" si="139"/>
        <v>-0.10556177397468448</v>
      </c>
      <c r="O296" s="677">
        <f t="shared" si="140"/>
        <v>822714.3141565728</v>
      </c>
      <c r="P296" s="680">
        <f t="shared" si="141"/>
        <v>1.5707951113061385</v>
      </c>
      <c r="Q296" s="689">
        <f t="shared" si="163"/>
        <v>32.923762669953021</v>
      </c>
      <c r="R296" s="690">
        <f t="shared" si="164"/>
        <v>1.5404184556780587</v>
      </c>
      <c r="S296" s="677">
        <f t="shared" si="142"/>
        <v>1.0111258571180926</v>
      </c>
      <c r="T296" s="680">
        <f t="shared" si="143"/>
        <v>0.14848348838320202</v>
      </c>
      <c r="U296" s="681">
        <f t="shared" si="155"/>
        <v>0.95528463266576202</v>
      </c>
      <c r="V296" s="682">
        <f t="shared" si="156"/>
        <v>-0.37018836396507532</v>
      </c>
      <c r="W296" s="683">
        <f t="shared" si="144"/>
        <v>-24.690748770298097</v>
      </c>
      <c r="X296" s="684">
        <f t="shared" si="145"/>
        <v>-125.58439801453815</v>
      </c>
      <c r="Y296" s="687">
        <f t="shared" si="146"/>
        <v>54.415601985461848</v>
      </c>
      <c r="AA296" s="170">
        <f t="shared" si="147"/>
        <v>19839.25</v>
      </c>
      <c r="AB296" s="170">
        <f t="shared" si="148"/>
        <v>393595840.5625</v>
      </c>
      <c r="AD296" s="686">
        <f t="shared" si="149"/>
        <v>17.054553948621944</v>
      </c>
      <c r="AE296" s="687">
        <f t="shared" si="150"/>
        <v>-10.247931386658522</v>
      </c>
      <c r="AG296" s="686">
        <f t="shared" si="151"/>
        <v>3.3746076224292917E-2</v>
      </c>
      <c r="AH296" s="687">
        <f t="shared" si="152"/>
        <v>-72.916004819303936</v>
      </c>
      <c r="AJ296" s="170">
        <f t="shared" si="153"/>
        <v>0</v>
      </c>
      <c r="AK296" s="170">
        <f t="shared" si="165"/>
        <v>0</v>
      </c>
      <c r="AM296" s="170" t="str">
        <f t="shared" si="157"/>
        <v>0.14271350756826+0.51483965454701i</v>
      </c>
      <c r="AN296" s="170" t="str">
        <f t="shared" si="158"/>
        <v>0.540820600390208i</v>
      </c>
      <c r="AO296" s="170" t="str">
        <f t="shared" si="159"/>
        <v>0.951960140156547-0.263883268250674i</v>
      </c>
      <c r="AP296" s="170" t="str">
        <f t="shared" si="160"/>
        <v>0.142881082071957-0.0858066090911683i</v>
      </c>
      <c r="AQ296" s="170" t="str">
        <f t="shared" si="161"/>
        <v>0.857118917928043+0.0858066090911683i</v>
      </c>
      <c r="AR296" s="170" t="str">
        <f t="shared" si="162"/>
        <v>0.962217028207121-0.0963280341540257i</v>
      </c>
    </row>
    <row r="297" spans="7:44">
      <c r="G297" s="688">
        <v>19953</v>
      </c>
      <c r="H297" s="676">
        <f t="shared" si="154"/>
        <v>19.952999999999999</v>
      </c>
      <c r="I297" s="677">
        <f t="shared" si="134"/>
        <v>164.11027750486295</v>
      </c>
      <c r="J297" s="678">
        <f t="shared" si="135"/>
        <v>1.5647028254999711</v>
      </c>
      <c r="K297" s="678">
        <f t="shared" si="136"/>
        <v>1.0003802847736285</v>
      </c>
      <c r="L297" s="679">
        <f t="shared" si="137"/>
        <v>2.757405661000311E-2</v>
      </c>
      <c r="M297" s="678">
        <f t="shared" si="138"/>
        <v>1.0056618229478183</v>
      </c>
      <c r="N297" s="679">
        <f t="shared" si="139"/>
        <v>-0.10616249664202347</v>
      </c>
      <c r="O297" s="677">
        <f t="shared" si="140"/>
        <v>827431.4155205444</v>
      </c>
      <c r="P297" s="680">
        <f t="shared" si="141"/>
        <v>1.5707951182355149</v>
      </c>
      <c r="Q297" s="689">
        <f t="shared" si="163"/>
        <v>33.112360166906413</v>
      </c>
      <c r="R297" s="690">
        <f t="shared" si="164"/>
        <v>1.5405915311810829</v>
      </c>
      <c r="S297" s="677">
        <f t="shared" si="142"/>
        <v>1.0112530929967607</v>
      </c>
      <c r="T297" s="680">
        <f t="shared" si="143"/>
        <v>0.14932226727096026</v>
      </c>
      <c r="U297" s="681">
        <f t="shared" si="155"/>
        <v>0.9548069003609686</v>
      </c>
      <c r="V297" s="682">
        <f t="shared" si="156"/>
        <v>-0.37221906473893074</v>
      </c>
      <c r="W297" s="683">
        <f t="shared" si="144"/>
        <v>-24.745297318698015</v>
      </c>
      <c r="X297" s="684">
        <f t="shared" si="145"/>
        <v>-125.76630939957684</v>
      </c>
      <c r="Y297" s="687">
        <f t="shared" si="146"/>
        <v>54.233690600423159</v>
      </c>
      <c r="AA297" s="170">
        <f t="shared" si="147"/>
        <v>19953</v>
      </c>
      <c r="AB297" s="170">
        <f t="shared" si="148"/>
        <v>398122209</v>
      </c>
      <c r="AD297" s="686">
        <f t="shared" si="149"/>
        <v>17.053415469765273</v>
      </c>
      <c r="AE297" s="687">
        <f t="shared" si="150"/>
        <v>-10.286073778078956</v>
      </c>
      <c r="AG297" s="686">
        <f t="shared" si="151"/>
        <v>-1.0974294232283783E-2</v>
      </c>
      <c r="AH297" s="687">
        <f t="shared" si="152"/>
        <v>-72.827072645064561</v>
      </c>
      <c r="AJ297" s="170">
        <f t="shared" si="153"/>
        <v>0</v>
      </c>
      <c r="AK297" s="170">
        <f t="shared" si="165"/>
        <v>0</v>
      </c>
      <c r="AM297" s="170" t="str">
        <f t="shared" si="157"/>
        <v>0.144314061982009+0.517495483534176i</v>
      </c>
      <c r="AN297" s="170" t="str">
        <f t="shared" si="158"/>
        <v>0.543921440557774i</v>
      </c>
      <c r="AO297" s="170" t="str">
        <f t="shared" si="159"/>
        <v>0.95141585704638-0.265321517449321i</v>
      </c>
      <c r="AP297" s="170" t="str">
        <f t="shared" si="160"/>
        <v>0.142614323002999-0.086249247255696i</v>
      </c>
      <c r="AQ297" s="170" t="str">
        <f t="shared" si="161"/>
        <v>0.857385676997001+0.086249247255696i</v>
      </c>
      <c r="AR297" s="170" t="str">
        <f t="shared" si="162"/>
        <v>0.961824933030842-0.0967553793949843i</v>
      </c>
    </row>
    <row r="298" spans="7:44">
      <c r="G298" s="688">
        <v>20069</v>
      </c>
      <c r="H298" s="676">
        <f t="shared" si="154"/>
        <v>20.068999999999999</v>
      </c>
      <c r="I298" s="677">
        <f t="shared" si="134"/>
        <v>165.06432388342787</v>
      </c>
      <c r="J298" s="678">
        <f t="shared" si="135"/>
        <v>1.564738045431437</v>
      </c>
      <c r="K298" s="678">
        <f t="shared" si="136"/>
        <v>1.0003847184684027</v>
      </c>
      <c r="L298" s="679">
        <f t="shared" si="137"/>
        <v>2.7734280903999591E-2</v>
      </c>
      <c r="M298" s="678">
        <f t="shared" si="138"/>
        <v>1.0057276581523942</v>
      </c>
      <c r="N298" s="679">
        <f t="shared" si="139"/>
        <v>-0.10677502253566019</v>
      </c>
      <c r="O298" s="677">
        <f t="shared" si="140"/>
        <v>832241.8221862209</v>
      </c>
      <c r="P298" s="680">
        <f t="shared" si="141"/>
        <v>1.5707951252210592</v>
      </c>
      <c r="Q298" s="689">
        <f t="shared" si="163"/>
        <v>33.304689173624574</v>
      </c>
      <c r="R298" s="690">
        <f t="shared" si="164"/>
        <v>1.5407660114267479</v>
      </c>
      <c r="S298" s="677">
        <f t="shared" si="142"/>
        <v>1.0113835781583684</v>
      </c>
      <c r="T298" s="680">
        <f t="shared" si="143"/>
        <v>0.15017741942777055</v>
      </c>
      <c r="U298" s="681">
        <f t="shared" si="155"/>
        <v>0.95431760522284459</v>
      </c>
      <c r="V298" s="682">
        <f t="shared" si="156"/>
        <v>-0.37428842723961225</v>
      </c>
      <c r="W298" s="683">
        <f t="shared" si="144"/>
        <v>-24.800657590234309</v>
      </c>
      <c r="X298" s="684">
        <f t="shared" si="145"/>
        <v>-125.95180809149858</v>
      </c>
      <c r="Y298" s="687">
        <f t="shared" si="146"/>
        <v>54.048191908501423</v>
      </c>
      <c r="AA298" s="170">
        <f t="shared" si="147"/>
        <v>20069</v>
      </c>
      <c r="AB298" s="170">
        <f t="shared" si="148"/>
        <v>402764761</v>
      </c>
      <c r="AD298" s="686">
        <f t="shared" si="149"/>
        <v>17.052249117008508</v>
      </c>
      <c r="AE298" s="687">
        <f t="shared" si="150"/>
        <v>-10.325073806107467</v>
      </c>
      <c r="AG298" s="686">
        <f t="shared" si="151"/>
        <v>-5.62636839445671E-2</v>
      </c>
      <c r="AH298" s="687">
        <f t="shared" si="152"/>
        <v>-72.736439833543443</v>
      </c>
      <c r="AJ298" s="170">
        <f t="shared" si="153"/>
        <v>0</v>
      </c>
      <c r="AK298" s="170">
        <f t="shared" si="165"/>
        <v>0</v>
      </c>
      <c r="AM298" s="170" t="str">
        <f t="shared" si="157"/>
        <v>0.145954748927056+0.520198720797882i</v>
      </c>
      <c r="AN298" s="170" t="str">
        <f t="shared" si="158"/>
        <v>0.547083616025358i</v>
      </c>
      <c r="AO298" s="170" t="str">
        <f t="shared" si="159"/>
        <v>0.950857794969627-0.266786912734544i</v>
      </c>
      <c r="AP298" s="170" t="str">
        <f t="shared" si="160"/>
        <v>0.142340875178824-0.086699786799647i</v>
      </c>
      <c r="AQ298" s="170" t="str">
        <f t="shared" si="161"/>
        <v>0.857659124821176+0.086699786799647i</v>
      </c>
      <c r="AR298" s="170" t="str">
        <f t="shared" si="162"/>
        <v>0.961423590779226-0.0971892188077516i</v>
      </c>
    </row>
    <row r="299" spans="7:44">
      <c r="G299" s="688">
        <v>20185</v>
      </c>
      <c r="H299" s="676">
        <f t="shared" si="154"/>
        <v>20.184999999999999</v>
      </c>
      <c r="I299" s="677">
        <f t="shared" si="134"/>
        <v>166.01837046439252</v>
      </c>
      <c r="J299" s="678">
        <f t="shared" si="135"/>
        <v>1.5647728605709326</v>
      </c>
      <c r="K299" s="678">
        <f t="shared" si="136"/>
        <v>1.0003891778446499</v>
      </c>
      <c r="L299" s="679">
        <f t="shared" si="137"/>
        <v>2.7894503773664352E-2</v>
      </c>
      <c r="M299" s="678">
        <f t="shared" si="138"/>
        <v>1.0057938706444085</v>
      </c>
      <c r="N299" s="679">
        <f t="shared" si="139"/>
        <v>-0.10738746801257751</v>
      </c>
      <c r="O299" s="677">
        <f t="shared" si="140"/>
        <v>837052.22885189741</v>
      </c>
      <c r="P299" s="680">
        <f t="shared" si="141"/>
        <v>1.5707951321263138</v>
      </c>
      <c r="Q299" s="689">
        <f t="shared" si="163"/>
        <v>33.497019182606188</v>
      </c>
      <c r="R299" s="690">
        <f t="shared" si="164"/>
        <v>1.5409384880493484</v>
      </c>
      <c r="S299" s="677">
        <f t="shared" si="142"/>
        <v>1.0115148027386953</v>
      </c>
      <c r="T299" s="680">
        <f t="shared" si="143"/>
        <v>0.1510323503305723</v>
      </c>
      <c r="U299" s="681">
        <f t="shared" si="155"/>
        <v>0.95382618670460051</v>
      </c>
      <c r="V299" s="682">
        <f t="shared" si="156"/>
        <v>-0.37635626335367967</v>
      </c>
      <c r="W299" s="683">
        <f t="shared" si="144"/>
        <v>-24.85575129749289</v>
      </c>
      <c r="X299" s="684">
        <f t="shared" si="145"/>
        <v>-126.13729372673166</v>
      </c>
      <c r="Y299" s="687">
        <f t="shared" si="146"/>
        <v>53.862706273268344</v>
      </c>
      <c r="AA299" s="170">
        <f t="shared" si="147"/>
        <v>20185</v>
      </c>
      <c r="AB299" s="170">
        <f t="shared" si="148"/>
        <v>407434225</v>
      </c>
      <c r="AD299" s="686">
        <f t="shared" si="149"/>
        <v>17.0510773438576</v>
      </c>
      <c r="AE299" s="687">
        <f t="shared" si="150"/>
        <v>-10.364175951760265</v>
      </c>
      <c r="AG299" s="686">
        <f t="shared" si="151"/>
        <v>-0.10123784980123804</v>
      </c>
      <c r="AH299" s="687">
        <f t="shared" si="152"/>
        <v>-72.645866758731387</v>
      </c>
      <c r="AJ299" s="170">
        <f t="shared" si="153"/>
        <v>0</v>
      </c>
      <c r="AK299" s="170">
        <f t="shared" si="165"/>
        <v>0</v>
      </c>
      <c r="AM299" s="170" t="str">
        <f t="shared" si="157"/>
        <v>0.147603975765518+0.522896756414925i</v>
      </c>
      <c r="AN299" s="170" t="str">
        <f t="shared" si="158"/>
        <v>0.550245791492942i</v>
      </c>
      <c r="AO299" s="170" t="str">
        <f t="shared" si="159"/>
        <v>0.950296693766957-0.268250985373345i</v>
      </c>
      <c r="AP299" s="170" t="str">
        <f t="shared" si="160"/>
        <v>0.14206600403908-0.0871494594024875i</v>
      </c>
      <c r="AQ299" s="170" t="str">
        <f t="shared" si="161"/>
        <v>0.85793399596092+0.0871494594024875i</v>
      </c>
      <c r="AR299" s="170" t="str">
        <f t="shared" si="162"/>
        <v>0.961020754443503-0.097621075302554i</v>
      </c>
    </row>
    <row r="300" spans="7:44">
      <c r="G300" s="688">
        <v>20301</v>
      </c>
      <c r="H300" s="676">
        <f t="shared" si="154"/>
        <v>20.300999999999998</v>
      </c>
      <c r="I300" s="677">
        <f t="shared" si="134"/>
        <v>166.97241724428744</v>
      </c>
      <c r="J300" s="678">
        <f t="shared" si="135"/>
        <v>1.5648072778570721</v>
      </c>
      <c r="K300" s="678">
        <f t="shared" si="136"/>
        <v>1.0003936629020262</v>
      </c>
      <c r="L300" s="679">
        <f t="shared" si="137"/>
        <v>2.8054725210790214E-2</v>
      </c>
      <c r="M300" s="678">
        <f t="shared" si="138"/>
        <v>1.0058604603493544</v>
      </c>
      <c r="N300" s="679">
        <f t="shared" si="139"/>
        <v>-0.10799983262925801</v>
      </c>
      <c r="O300" s="677">
        <f t="shared" si="140"/>
        <v>841862.63551757403</v>
      </c>
      <c r="P300" s="680">
        <f t="shared" si="141"/>
        <v>1.5707951389526551</v>
      </c>
      <c r="Q300" s="689">
        <f t="shared" si="163"/>
        <v>33.689350176685707</v>
      </c>
      <c r="R300" s="690">
        <f t="shared" si="164"/>
        <v>1.5411089953543173</v>
      </c>
      <c r="S300" s="677">
        <f t="shared" si="142"/>
        <v>1.0116467664500031</v>
      </c>
      <c r="T300" s="680">
        <f t="shared" si="143"/>
        <v>0.15188705881595915</v>
      </c>
      <c r="U300" s="681">
        <f t="shared" si="155"/>
        <v>0.95333265538914558</v>
      </c>
      <c r="V300" s="682">
        <f t="shared" si="156"/>
        <v>-0.37842256743208458</v>
      </c>
      <c r="W300" s="683">
        <f t="shared" si="144"/>
        <v>-24.910581715668076</v>
      </c>
      <c r="X300" s="684">
        <f t="shared" si="145"/>
        <v>-126.32276432208543</v>
      </c>
      <c r="Y300" s="687">
        <f t="shared" si="146"/>
        <v>53.677235677914567</v>
      </c>
      <c r="AA300" s="170">
        <f t="shared" si="147"/>
        <v>20301</v>
      </c>
      <c r="AB300" s="170">
        <f t="shared" si="148"/>
        <v>412130601</v>
      </c>
      <c r="AD300" s="686">
        <f t="shared" si="149"/>
        <v>17.049900137352207</v>
      </c>
      <c r="AE300" s="687">
        <f t="shared" si="150"/>
        <v>-10.403378182901411</v>
      </c>
      <c r="AG300" s="686">
        <f t="shared" si="151"/>
        <v>-0.14590018238944841</v>
      </c>
      <c r="AH300" s="687">
        <f t="shared" si="152"/>
        <v>-72.555354116906898</v>
      </c>
      <c r="AJ300" s="170">
        <f t="shared" si="153"/>
        <v>0</v>
      </c>
      <c r="AK300" s="170">
        <f t="shared" si="165"/>
        <v>0</v>
      </c>
      <c r="AM300" s="170" t="str">
        <f t="shared" si="157"/>
        <v>0.149261726006206+0.525589563406715i</v>
      </c>
      <c r="AN300" s="170" t="str">
        <f t="shared" si="158"/>
        <v>0.553407966960526i</v>
      </c>
      <c r="AO300" s="170" t="str">
        <f t="shared" si="159"/>
        <v>0.949732556785191-0.269713728239212i</v>
      </c>
      <c r="AP300" s="170" t="str">
        <f t="shared" si="160"/>
        <v>0.141789712332299-0.0875982605677858i</v>
      </c>
      <c r="AQ300" s="170" t="str">
        <f t="shared" si="161"/>
        <v>0.858210287667701+0.0875982605677858i</v>
      </c>
      <c r="AR300" s="170" t="str">
        <f t="shared" si="162"/>
        <v>0.960616435976542-0.0980509440093697i</v>
      </c>
    </row>
    <row r="301" spans="7:44">
      <c r="G301" s="688">
        <v>20417</v>
      </c>
      <c r="H301" s="676">
        <f t="shared" si="154"/>
        <v>20.417000000000002</v>
      </c>
      <c r="I301" s="677">
        <f t="shared" si="134"/>
        <v>167.92646421972211</v>
      </c>
      <c r="J301" s="678">
        <f t="shared" si="135"/>
        <v>1.5648413040707916</v>
      </c>
      <c r="K301" s="678">
        <f t="shared" si="136"/>
        <v>1.0003981736401866</v>
      </c>
      <c r="L301" s="679">
        <f t="shared" si="137"/>
        <v>2.8214945207170442E-2</v>
      </c>
      <c r="M301" s="678">
        <f t="shared" si="138"/>
        <v>1.0059274271923202</v>
      </c>
      <c r="N301" s="679">
        <f t="shared" si="139"/>
        <v>-0.108612115942544</v>
      </c>
      <c r="O301" s="677">
        <f t="shared" si="140"/>
        <v>846673.04218325065</v>
      </c>
      <c r="P301" s="680">
        <f t="shared" si="141"/>
        <v>1.5707951457014282</v>
      </c>
      <c r="Q301" s="689">
        <f t="shared" si="163"/>
        <v>33.88168213908726</v>
      </c>
      <c r="R301" s="690">
        <f t="shared" si="164"/>
        <v>1.5412775668686021</v>
      </c>
      <c r="S301" s="677">
        <f t="shared" si="142"/>
        <v>1.0117794690030826</v>
      </c>
      <c r="T301" s="680">
        <f t="shared" si="143"/>
        <v>0.15274154372242987</v>
      </c>
      <c r="U301" s="681">
        <f t="shared" si="155"/>
        <v>0.95283702187534436</v>
      </c>
      <c r="V301" s="682">
        <f t="shared" si="156"/>
        <v>-0.38048733387116129</v>
      </c>
      <c r="W301" s="683">
        <f t="shared" si="144"/>
        <v>-24.965152062450748</v>
      </c>
      <c r="X301" s="684">
        <f t="shared" si="145"/>
        <v>-126.50821793266698</v>
      </c>
      <c r="Y301" s="687">
        <f t="shared" si="146"/>
        <v>53.49178206733302</v>
      </c>
      <c r="AA301" s="170">
        <f t="shared" si="147"/>
        <v>20417</v>
      </c>
      <c r="AB301" s="170">
        <f t="shared" si="148"/>
        <v>416853889</v>
      </c>
      <c r="AD301" s="686">
        <f t="shared" si="149"/>
        <v>17.048717485061562</v>
      </c>
      <c r="AE301" s="687">
        <f t="shared" si="150"/>
        <v>-10.442678512106303</v>
      </c>
      <c r="AG301" s="686">
        <f t="shared" si="151"/>
        <v>-0.1902540156252239</v>
      </c>
      <c r="AH301" s="687">
        <f t="shared" si="152"/>
        <v>-72.464902592734489</v>
      </c>
      <c r="AJ301" s="170">
        <f t="shared" si="153"/>
        <v>0</v>
      </c>
      <c r="AK301" s="170">
        <f t="shared" si="165"/>
        <v>0</v>
      </c>
      <c r="AM301" s="170" t="str">
        <f t="shared" si="157"/>
        <v>0.150927983072703+0.528277114846946i</v>
      </c>
      <c r="AN301" s="170" t="str">
        <f t="shared" si="158"/>
        <v>0.55657014242811i</v>
      </c>
      <c r="AO301" s="170" t="str">
        <f t="shared" si="159"/>
        <v>0.949165387389032-0.271175134214458i</v>
      </c>
      <c r="AP301" s="170" t="str">
        <f t="shared" si="160"/>
        <v>0.141512002821216-0.0880461858078243i</v>
      </c>
      <c r="AQ301" s="170" t="str">
        <f t="shared" si="161"/>
        <v>0.858487997178784+0.0880461858078243i</v>
      </c>
      <c r="AR301" s="170" t="str">
        <f t="shared" si="162"/>
        <v>0.960210647338577-0.098478820144316i</v>
      </c>
    </row>
    <row r="302" spans="7:44">
      <c r="G302" s="688">
        <v>20536</v>
      </c>
      <c r="H302" s="676">
        <f t="shared" si="154"/>
        <v>20.536000000000001</v>
      </c>
      <c r="I302" s="677">
        <f t="shared" si="134"/>
        <v>168.90518502354968</v>
      </c>
      <c r="J302" s="678">
        <f t="shared" si="135"/>
        <v>1.564875810844073</v>
      </c>
      <c r="K302" s="678">
        <f t="shared" si="136"/>
        <v>1.0004028277206138</v>
      </c>
      <c r="L302" s="679">
        <f t="shared" si="137"/>
        <v>2.8379307318427367E-2</v>
      </c>
      <c r="M302" s="678">
        <f t="shared" si="138"/>
        <v>1.0059965177519554</v>
      </c>
      <c r="N302" s="679">
        <f t="shared" si="139"/>
        <v>-0.10924014922042348</v>
      </c>
      <c r="O302" s="677">
        <f t="shared" si="140"/>
        <v>851607.85591786716</v>
      </c>
      <c r="P302" s="680">
        <f t="shared" si="141"/>
        <v>1.5707951525455128</v>
      </c>
      <c r="Q302" s="689">
        <f t="shared" si="163"/>
        <v>34.078989192991671</v>
      </c>
      <c r="R302" s="690">
        <f t="shared" si="164"/>
        <v>1.541448520798814</v>
      </c>
      <c r="S302" s="677">
        <f t="shared" si="142"/>
        <v>1.0119163709649022</v>
      </c>
      <c r="T302" s="680">
        <f t="shared" si="143"/>
        <v>0.15361789383414157</v>
      </c>
      <c r="U302" s="681">
        <f t="shared" si="155"/>
        <v>0.95232639692602172</v>
      </c>
      <c r="V302" s="682">
        <f t="shared" si="156"/>
        <v>-0.38260389581372373</v>
      </c>
      <c r="W302" s="683">
        <f t="shared" si="144"/>
        <v>-25.020866777105837</v>
      </c>
      <c r="X302" s="684">
        <f t="shared" si="145"/>
        <v>-126.69844810889597</v>
      </c>
      <c r="Y302" s="687">
        <f t="shared" si="146"/>
        <v>53.301551891104026</v>
      </c>
      <c r="AA302" s="170">
        <f t="shared" si="147"/>
        <v>20536</v>
      </c>
      <c r="AB302" s="170">
        <f t="shared" si="148"/>
        <v>421727296</v>
      </c>
      <c r="AD302" s="686">
        <f t="shared" si="149"/>
        <v>17.047498575582402</v>
      </c>
      <c r="AE302" s="687">
        <f t="shared" si="150"/>
        <v>-10.483095128374218</v>
      </c>
      <c r="AG302" s="686">
        <f t="shared" si="151"/>
        <v>-0.23543779639696047</v>
      </c>
      <c r="AH302" s="687">
        <f t="shared" si="152"/>
        <v>-72.372176019644726</v>
      </c>
      <c r="AJ302" s="170">
        <f t="shared" si="153"/>
        <v>0</v>
      </c>
      <c r="AK302" s="170">
        <f t="shared" si="165"/>
        <v>0</v>
      </c>
      <c r="AM302" s="170" t="str">
        <f t="shared" si="157"/>
        <v>0.152646155208+0.531028682573941i</v>
      </c>
      <c r="AN302" s="170" t="str">
        <f t="shared" si="158"/>
        <v>0.559814098295717i</v>
      </c>
      <c r="AO302" s="170" t="str">
        <f t="shared" si="159"/>
        <v>0.948580402298889-0.272672938521398i</v>
      </c>
      <c r="AP302" s="170" t="str">
        <f t="shared" si="160"/>
        <v>0.141225640798667-0.0885047804289902i</v>
      </c>
      <c r="AQ302" s="170" t="str">
        <f t="shared" si="161"/>
        <v>0.858774359201333+0.0885047804289902i</v>
      </c>
      <c r="AR302" s="170" t="str">
        <f t="shared" si="162"/>
        <v>0.95979284901408-0.098915686581871i</v>
      </c>
    </row>
    <row r="303" spans="7:44">
      <c r="G303" s="688">
        <v>20655</v>
      </c>
      <c r="H303" s="676">
        <f t="shared" si="154"/>
        <v>20.655000000000001</v>
      </c>
      <c r="I303" s="677">
        <f t="shared" si="134"/>
        <v>169.88390602617827</v>
      </c>
      <c r="J303" s="678">
        <f t="shared" si="135"/>
        <v>1.5649099200223011</v>
      </c>
      <c r="K303" s="678">
        <f t="shared" si="136"/>
        <v>1.0004075088265749</v>
      </c>
      <c r="L303" s="679">
        <f t="shared" si="137"/>
        <v>2.8543667895958344E-2</v>
      </c>
      <c r="M303" s="678">
        <f t="shared" si="138"/>
        <v>1.0060660050479802</v>
      </c>
      <c r="N303" s="679">
        <f t="shared" si="139"/>
        <v>-0.10986809599153707</v>
      </c>
      <c r="O303" s="677">
        <f t="shared" si="140"/>
        <v>856542.66965248389</v>
      </c>
      <c r="P303" s="680">
        <f t="shared" si="141"/>
        <v>1.5707951593107357</v>
      </c>
      <c r="Q303" s="689">
        <f t="shared" si="163"/>
        <v>34.276297231396605</v>
      </c>
      <c r="R303" s="690">
        <f t="shared" si="164"/>
        <v>1.5416175065758984</v>
      </c>
      <c r="S303" s="677">
        <f t="shared" si="142"/>
        <v>1.0120540498572901</v>
      </c>
      <c r="T303" s="680">
        <f t="shared" si="143"/>
        <v>0.15449400618283665</v>
      </c>
      <c r="U303" s="681">
        <f t="shared" si="155"/>
        <v>0.95181358228386537</v>
      </c>
      <c r="V303" s="682">
        <f t="shared" si="156"/>
        <v>-0.38471882775514576</v>
      </c>
      <c r="W303" s="683">
        <f t="shared" si="144"/>
        <v>-25.076314474469591</v>
      </c>
      <c r="X303" s="684">
        <f t="shared" si="145"/>
        <v>-126.88865638335569</v>
      </c>
      <c r="Y303" s="687">
        <f t="shared" si="146"/>
        <v>53.111343616644305</v>
      </c>
      <c r="AA303" s="170">
        <f t="shared" si="147"/>
        <v>20655</v>
      </c>
      <c r="AB303" s="170">
        <f t="shared" si="148"/>
        <v>426629025</v>
      </c>
      <c r="AD303" s="686">
        <f t="shared" si="149"/>
        <v>17.046273910131521</v>
      </c>
      <c r="AE303" s="687">
        <f t="shared" si="150"/>
        <v>-10.523610884174081</v>
      </c>
      <c r="AG303" s="686">
        <f t="shared" si="151"/>
        <v>-0.28030384501474903</v>
      </c>
      <c r="AH303" s="687">
        <f t="shared" si="152"/>
        <v>-72.279515189625911</v>
      </c>
      <c r="AJ303" s="170">
        <f t="shared" si="153"/>
        <v>0</v>
      </c>
      <c r="AK303" s="170">
        <f t="shared" si="165"/>
        <v>0</v>
      </c>
      <c r="AM303" s="170" t="str">
        <f t="shared" si="157"/>
        <v>0.154373244251546+0.533774662158429i</v>
      </c>
      <c r="AN303" s="170" t="str">
        <f t="shared" si="158"/>
        <v>0.563058054163325i</v>
      </c>
      <c r="AO303" s="170" t="str">
        <f t="shared" si="159"/>
        <v>0.947992233148304-0.274169320747816i</v>
      </c>
      <c r="AP303" s="170" t="str">
        <f t="shared" si="160"/>
        <v>0.140937792624742-0.0889624436930715i</v>
      </c>
      <c r="AQ303" s="170" t="str">
        <f t="shared" si="161"/>
        <v>0.859062207375258+0.0889624436930715i</v>
      </c>
      <c r="AR303" s="170" t="str">
        <f t="shared" si="162"/>
        <v>0.95937352901191-0.0993504461290581i</v>
      </c>
    </row>
    <row r="304" spans="7:44">
      <c r="G304" s="688">
        <v>20774</v>
      </c>
      <c r="H304" s="676">
        <f t="shared" si="154"/>
        <v>20.774000000000001</v>
      </c>
      <c r="I304" s="677">
        <f t="shared" si="134"/>
        <v>170.86262722419158</v>
      </c>
      <c r="J304" s="678">
        <f t="shared" si="135"/>
        <v>1.5649436384378097</v>
      </c>
      <c r="K304" s="678">
        <f t="shared" si="136"/>
        <v>1.000412216957691</v>
      </c>
      <c r="L304" s="679">
        <f t="shared" si="137"/>
        <v>2.8708026930904757E-2</v>
      </c>
      <c r="M304" s="678">
        <f t="shared" si="138"/>
        <v>1.0061358889981946</v>
      </c>
      <c r="N304" s="679">
        <f t="shared" si="139"/>
        <v>-0.11049595577863934</v>
      </c>
      <c r="O304" s="677">
        <f t="shared" si="140"/>
        <v>861477.48338710039</v>
      </c>
      <c r="P304" s="680">
        <f t="shared" si="141"/>
        <v>1.5707951659984518</v>
      </c>
      <c r="Q304" s="689">
        <f t="shared" si="163"/>
        <v>34.473606237397846</v>
      </c>
      <c r="R304" s="690">
        <f t="shared" si="164"/>
        <v>1.5417845579841769</v>
      </c>
      <c r="S304" s="677">
        <f t="shared" si="142"/>
        <v>1.0121925053632108</v>
      </c>
      <c r="T304" s="680">
        <f t="shared" si="143"/>
        <v>0.15536987952085263</v>
      </c>
      <c r="U304" s="681">
        <f t="shared" si="155"/>
        <v>0.95129858944020251</v>
      </c>
      <c r="V304" s="682">
        <f t="shared" si="156"/>
        <v>-0.38683212379473192</v>
      </c>
      <c r="W304" s="683">
        <f t="shared" si="144"/>
        <v>-25.13149844824785</v>
      </c>
      <c r="X304" s="684">
        <f t="shared" si="145"/>
        <v>-127.07884077548137</v>
      </c>
      <c r="Y304" s="687">
        <f t="shared" si="146"/>
        <v>52.921159224518632</v>
      </c>
      <c r="AA304" s="170">
        <f t="shared" si="147"/>
        <v>20774</v>
      </c>
      <c r="AB304" s="170">
        <f t="shared" si="148"/>
        <v>431559076</v>
      </c>
      <c r="AD304" s="686">
        <f t="shared" si="149"/>
        <v>17.045043476915225</v>
      </c>
      <c r="AE304" s="687">
        <f t="shared" si="150"/>
        <v>-10.564223772398678</v>
      </c>
      <c r="AG304" s="686">
        <f t="shared" si="151"/>
        <v>-0.32485558324451552</v>
      </c>
      <c r="AH304" s="687">
        <f t="shared" si="152"/>
        <v>-72.186920805390287</v>
      </c>
      <c r="AJ304" s="170">
        <f t="shared" si="153"/>
        <v>0</v>
      </c>
      <c r="AK304" s="170">
        <f t="shared" si="165"/>
        <v>0</v>
      </c>
      <c r="AM304" s="170" t="str">
        <f t="shared" si="157"/>
        <v>0.156109232028768+0.536515024703804i</v>
      </c>
      <c r="AN304" s="170" t="str">
        <f t="shared" si="158"/>
        <v>0.566302010030933i</v>
      </c>
      <c r="AO304" s="170" t="str">
        <f t="shared" si="159"/>
        <v>0.947400883628328-0.275664273238657i</v>
      </c>
      <c r="AP304" s="170" t="str">
        <f t="shared" si="160"/>
        <v>0.140648461328539-0.0894191707839673i</v>
      </c>
      <c r="AQ304" s="170" t="str">
        <f t="shared" si="161"/>
        <v>0.859351538671461+0.0894191707839673i</v>
      </c>
      <c r="AR304" s="170" t="str">
        <f t="shared" si="162"/>
        <v>0.958952700263936-0.0997830939026574i</v>
      </c>
    </row>
    <row r="305" spans="7:44">
      <c r="G305" s="688">
        <v>20893</v>
      </c>
      <c r="H305" s="676">
        <f t="shared" si="154"/>
        <v>20.893000000000001</v>
      </c>
      <c r="I305" s="677">
        <f t="shared" si="134"/>
        <v>171.84134861425125</v>
      </c>
      <c r="J305" s="678">
        <f t="shared" si="135"/>
        <v>1.5649769727672813</v>
      </c>
      <c r="K305" s="678">
        <f t="shared" si="136"/>
        <v>1.0004169521135802</v>
      </c>
      <c r="L305" s="679">
        <f t="shared" si="137"/>
        <v>2.8872384414408495E-2</v>
      </c>
      <c r="M305" s="678">
        <f t="shared" si="138"/>
        <v>1.0062061695199525</v>
      </c>
      <c r="N305" s="679">
        <f t="shared" si="139"/>
        <v>-0.11112372810489138</v>
      </c>
      <c r="O305" s="677">
        <f t="shared" si="140"/>
        <v>866412.29712171713</v>
      </c>
      <c r="P305" s="680">
        <f t="shared" si="141"/>
        <v>1.5707951726099856</v>
      </c>
      <c r="Q305" s="689">
        <f t="shared" si="163"/>
        <v>34.670916194475865</v>
      </c>
      <c r="R305" s="690">
        <f t="shared" si="164"/>
        <v>1.5419497080393518</v>
      </c>
      <c r="S305" s="677">
        <f t="shared" si="142"/>
        <v>1.0123317371640148</v>
      </c>
      <c r="T305" s="680">
        <f t="shared" si="143"/>
        <v>0.15624551260267439</v>
      </c>
      <c r="U305" s="681">
        <f t="shared" si="155"/>
        <v>0.95078142990156944</v>
      </c>
      <c r="V305" s="682">
        <f t="shared" si="156"/>
        <v>-0.38894377808215036</v>
      </c>
      <c r="W305" s="683">
        <f t="shared" si="144"/>
        <v>-25.186421934079952</v>
      </c>
      <c r="X305" s="684">
        <f t="shared" si="145"/>
        <v>-127.26899934285879</v>
      </c>
      <c r="Y305" s="687">
        <f t="shared" si="146"/>
        <v>52.731000657141209</v>
      </c>
      <c r="AA305" s="170">
        <f t="shared" si="147"/>
        <v>20893</v>
      </c>
      <c r="AB305" s="170">
        <f t="shared" si="148"/>
        <v>436517449</v>
      </c>
      <c r="AD305" s="686">
        <f t="shared" si="149"/>
        <v>17.043807264653822</v>
      </c>
      <c r="AE305" s="687">
        <f t="shared" si="150"/>
        <v>-10.604931830100723</v>
      </c>
      <c r="AG305" s="686">
        <f t="shared" si="151"/>
        <v>-0.36909637560968905</v>
      </c>
      <c r="AH305" s="687">
        <f t="shared" si="152"/>
        <v>-72.094393557869594</v>
      </c>
      <c r="AJ305" s="170">
        <f t="shared" si="153"/>
        <v>0</v>
      </c>
      <c r="AK305" s="170">
        <f t="shared" si="165"/>
        <v>0</v>
      </c>
      <c r="AM305" s="170" t="str">
        <f t="shared" si="157"/>
        <v>0.157854100271447+0.539249741372573i</v>
      </c>
      <c r="AN305" s="170" t="str">
        <f t="shared" si="158"/>
        <v>0.56954596589854i</v>
      </c>
      <c r="AO305" s="170" t="str">
        <f t="shared" si="159"/>
        <v>0.946806357449709-0.277157788348847i</v>
      </c>
      <c r="AP305" s="170" t="str">
        <f t="shared" si="160"/>
        <v>0.140357649954759-0.0898749568954288i</v>
      </c>
      <c r="AQ305" s="170" t="str">
        <f t="shared" si="161"/>
        <v>0.859642350045241+0.0898749568954288i</v>
      </c>
      <c r="AR305" s="170" t="str">
        <f t="shared" si="162"/>
        <v>0.958530375707027-0.100213625114089i</v>
      </c>
    </row>
    <row r="306" spans="7:44">
      <c r="G306" s="688">
        <v>21014.75</v>
      </c>
      <c r="H306" s="676">
        <f t="shared" si="154"/>
        <v>21.014749999999999</v>
      </c>
      <c r="I306" s="677">
        <f t="shared" si="134"/>
        <v>172.84268771077799</v>
      </c>
      <c r="J306" s="678">
        <f t="shared" si="135"/>
        <v>1.5650106867299052</v>
      </c>
      <c r="K306" s="678">
        <f t="shared" si="136"/>
        <v>1.0004218246637129</v>
      </c>
      <c r="L306" s="679">
        <f t="shared" si="137"/>
        <v>2.9040538460178459E-2</v>
      </c>
      <c r="M306" s="678">
        <f t="shared" si="138"/>
        <v>1.006278484508893</v>
      </c>
      <c r="N306" s="679">
        <f t="shared" si="139"/>
        <v>-0.11176591676201408</v>
      </c>
      <c r="O306" s="677">
        <f t="shared" si="140"/>
        <v>871461.15066952875</v>
      </c>
      <c r="P306" s="680">
        <f t="shared" si="141"/>
        <v>1.5707951792968133</v>
      </c>
      <c r="Q306" s="689">
        <f t="shared" si="163"/>
        <v>34.872786802898538</v>
      </c>
      <c r="R306" s="690">
        <f t="shared" si="164"/>
        <v>1.5421167404671925</v>
      </c>
      <c r="S306" s="677">
        <f t="shared" si="142"/>
        <v>1.0124749895839731</v>
      </c>
      <c r="T306" s="680">
        <f t="shared" si="143"/>
        <v>0.1571411309575291</v>
      </c>
      <c r="U306" s="681">
        <f t="shared" si="155"/>
        <v>0.9502500888330816</v>
      </c>
      <c r="V306" s="682">
        <f t="shared" si="156"/>
        <v>-0.39110252595461464</v>
      </c>
      <c r="W306" s="683">
        <f t="shared" si="144"/>
        <v>-25.242348388055685</v>
      </c>
      <c r="X306" s="684">
        <f t="shared" si="145"/>
        <v>-127.46352361730629</v>
      </c>
      <c r="Y306" s="687">
        <f t="shared" si="146"/>
        <v>52.536476382693706</v>
      </c>
      <c r="AA306" s="170">
        <f t="shared" si="147"/>
        <v>21014.75</v>
      </c>
      <c r="AB306" s="170">
        <f t="shared" si="148"/>
        <v>441619717.5625</v>
      </c>
      <c r="AD306" s="686">
        <f t="shared" si="149"/>
        <v>17.042536492307871</v>
      </c>
      <c r="AE306" s="687">
        <f t="shared" si="150"/>
        <v>-10.646677111905953</v>
      </c>
      <c r="AG306" s="686">
        <f t="shared" si="151"/>
        <v>-0.41404118194728357</v>
      </c>
      <c r="AH306" s="687">
        <f t="shared" si="152"/>
        <v>-71.999798265979095</v>
      </c>
      <c r="AJ306" s="170">
        <f t="shared" si="153"/>
        <v>0</v>
      </c>
      <c r="AK306" s="170">
        <f t="shared" si="165"/>
        <v>0</v>
      </c>
      <c r="AM306" s="170" t="str">
        <f t="shared" si="157"/>
        <v>0.159648462617535+0.542041782170828i</v>
      </c>
      <c r="AN306" s="170" t="str">
        <f t="shared" si="158"/>
        <v>0.572864887132836i</v>
      </c>
      <c r="AO306" s="170" t="str">
        <f t="shared" si="159"/>
        <v>0.946194808489177-0.278684321911522i</v>
      </c>
      <c r="AP306" s="170" t="str">
        <f t="shared" si="160"/>
        <v>0.140058589563744-0.0903402970284713i</v>
      </c>
      <c r="AQ306" s="170" t="str">
        <f t="shared" si="161"/>
        <v>0.859941410436256+0.0903402970284713i</v>
      </c>
      <c r="AR306" s="170" t="str">
        <f t="shared" si="162"/>
        <v>0.958096756986465-0.100651910185674i</v>
      </c>
    </row>
    <row r="307" spans="7:44">
      <c r="G307" s="688">
        <v>21136.5</v>
      </c>
      <c r="H307" s="676">
        <f t="shared" si="154"/>
        <v>21.136500000000002</v>
      </c>
      <c r="I307" s="677">
        <f t="shared" si="134"/>
        <v>173.8440270015</v>
      </c>
      <c r="J307" s="678">
        <f t="shared" si="135"/>
        <v>1.5650440123086111</v>
      </c>
      <c r="K307" s="678">
        <f t="shared" si="136"/>
        <v>1.00042672550128</v>
      </c>
      <c r="L307" s="679">
        <f t="shared" si="137"/>
        <v>2.9208690863214721E-2</v>
      </c>
      <c r="M307" s="678">
        <f t="shared" si="138"/>
        <v>1.0063512144336493</v>
      </c>
      <c r="N307" s="679">
        <f t="shared" si="139"/>
        <v>-0.11240801286078358</v>
      </c>
      <c r="O307" s="677">
        <f t="shared" si="140"/>
        <v>876510.00421734049</v>
      </c>
      <c r="P307" s="680">
        <f t="shared" si="141"/>
        <v>1.5707951859066065</v>
      </c>
      <c r="Q307" s="689">
        <f t="shared" si="163"/>
        <v>35.074658373066612</v>
      </c>
      <c r="R307" s="690">
        <f t="shared" si="164"/>
        <v>1.542281850195282</v>
      </c>
      <c r="S307" s="677">
        <f t="shared" si="142"/>
        <v>1.0126190539125983</v>
      </c>
      <c r="T307" s="680">
        <f t="shared" si="143"/>
        <v>0.15803649519290869</v>
      </c>
      <c r="U307" s="681">
        <f t="shared" si="155"/>
        <v>0.94971650418455444</v>
      </c>
      <c r="V307" s="682">
        <f t="shared" si="156"/>
        <v>-0.39325954309116423</v>
      </c>
      <c r="W307" s="683">
        <f t="shared" si="144"/>
        <v>-25.298008847261201</v>
      </c>
      <c r="X307" s="684">
        <f t="shared" si="145"/>
        <v>-127.65801686424363</v>
      </c>
      <c r="Y307" s="687">
        <f t="shared" si="146"/>
        <v>52.341983135756365</v>
      </c>
      <c r="AA307" s="170">
        <f t="shared" si="147"/>
        <v>21136.5</v>
      </c>
      <c r="AB307" s="170">
        <f t="shared" si="148"/>
        <v>446751632.25</v>
      </c>
      <c r="AD307" s="686">
        <f t="shared" si="149"/>
        <v>17.041259648421804</v>
      </c>
      <c r="AE307" s="687">
        <f t="shared" si="150"/>
        <v>-10.688517991905153</v>
      </c>
      <c r="AG307" s="686">
        <f t="shared" si="151"/>
        <v>-0.45866745204066406</v>
      </c>
      <c r="AH307" s="687">
        <f t="shared" si="152"/>
        <v>-71.905274676111432</v>
      </c>
      <c r="AJ307" s="170">
        <f t="shared" si="153"/>
        <v>0</v>
      </c>
      <c r="AK307" s="170">
        <f t="shared" si="165"/>
        <v>0</v>
      </c>
      <c r="AM307" s="170" t="str">
        <f t="shared" si="157"/>
        <v>0.161452081627447+0.54482785225524i</v>
      </c>
      <c r="AN307" s="170" t="str">
        <f t="shared" si="158"/>
        <v>0.576183808367132i</v>
      </c>
      <c r="AO307" s="170" t="str">
        <f t="shared" si="159"/>
        <v>0.945579942274406-0.280209334734678i</v>
      </c>
      <c r="AP307" s="170" t="str">
        <f t="shared" si="160"/>
        <v>0.139757986395425-0.09080464204254i</v>
      </c>
      <c r="AQ307" s="170" t="str">
        <f t="shared" si="161"/>
        <v>0.860242013604575+0.09080464204254i</v>
      </c>
      <c r="AR307" s="170" t="str">
        <f t="shared" si="162"/>
        <v>0.957661599933101-0.101087969902135i</v>
      </c>
    </row>
    <row r="308" spans="7:44">
      <c r="G308" s="688">
        <v>21258.25</v>
      </c>
      <c r="H308" s="676">
        <f t="shared" si="154"/>
        <v>21.25825</v>
      </c>
      <c r="I308" s="677">
        <f t="shared" si="134"/>
        <v>174.84536648308071</v>
      </c>
      <c r="J308" s="678">
        <f t="shared" si="135"/>
        <v>1.5650769561761488</v>
      </c>
      <c r="K308" s="678">
        <f t="shared" si="136"/>
        <v>1.000431654625866</v>
      </c>
      <c r="L308" s="679">
        <f t="shared" si="137"/>
        <v>2.9376841614032399E-2</v>
      </c>
      <c r="M308" s="678">
        <f t="shared" si="138"/>
        <v>1.0064243592042645</v>
      </c>
      <c r="N308" s="679">
        <f t="shared" si="139"/>
        <v>-0.11305001589186765</v>
      </c>
      <c r="O308" s="677">
        <f t="shared" si="140"/>
        <v>881558.85776515224</v>
      </c>
      <c r="P308" s="680">
        <f t="shared" si="141"/>
        <v>1.5707951924406884</v>
      </c>
      <c r="Q308" s="689">
        <f t="shared" si="163"/>
        <v>35.276530888469182</v>
      </c>
      <c r="R308" s="690">
        <f t="shared" si="164"/>
        <v>1.5424450702229076</v>
      </c>
      <c r="S308" s="677">
        <f t="shared" si="142"/>
        <v>1.0127639298034117</v>
      </c>
      <c r="T308" s="680">
        <f t="shared" si="143"/>
        <v>0.15893160398197934</v>
      </c>
      <c r="U308" s="681">
        <f t="shared" si="155"/>
        <v>0.94918068832418079</v>
      </c>
      <c r="V308" s="682">
        <f t="shared" si="156"/>
        <v>-0.3954148233902427</v>
      </c>
      <c r="W308" s="683">
        <f t="shared" si="144"/>
        <v>-25.353406596687002</v>
      </c>
      <c r="X308" s="684">
        <f t="shared" si="145"/>
        <v>-127.85247712109258</v>
      </c>
      <c r="Y308" s="687">
        <f t="shared" si="146"/>
        <v>52.147522878907424</v>
      </c>
      <c r="AA308" s="170">
        <f t="shared" si="147"/>
        <v>21258.25</v>
      </c>
      <c r="AB308" s="170">
        <f t="shared" si="148"/>
        <v>451913193.0625</v>
      </c>
      <c r="AD308" s="686">
        <f t="shared" si="149"/>
        <v>17.039976722480318</v>
      </c>
      <c r="AE308" s="687">
        <f t="shared" si="150"/>
        <v>-10.730452503432238</v>
      </c>
      <c r="AG308" s="686">
        <f t="shared" si="151"/>
        <v>-0.50297861143739886</v>
      </c>
      <c r="AH308" s="687">
        <f t="shared" si="152"/>
        <v>-71.810823491541271</v>
      </c>
      <c r="AJ308" s="170">
        <f t="shared" si="153"/>
        <v>0</v>
      </c>
      <c r="AK308" s="170">
        <f t="shared" si="165"/>
        <v>0</v>
      </c>
      <c r="AM308" s="170" t="str">
        <f t="shared" si="157"/>
        <v>0.163264937433909+0.547607920936613i</v>
      </c>
      <c r="AN308" s="170" t="str">
        <f t="shared" si="158"/>
        <v>0.579502729601428i</v>
      </c>
      <c r="AO308" s="170" t="str">
        <f t="shared" si="159"/>
        <v>0.944961762843202-0.281732818663684i</v>
      </c>
      <c r="AP308" s="170" t="str">
        <f t="shared" si="160"/>
        <v>0.139455843761015-0.0912679868227688i</v>
      </c>
      <c r="AQ308" s="170" t="str">
        <f t="shared" si="161"/>
        <v>0.860544156238985+0.0912679868227688i</v>
      </c>
      <c r="AR308" s="170" t="str">
        <f t="shared" si="162"/>
        <v>0.957224918412672-0.101521799441343i</v>
      </c>
    </row>
    <row r="309" spans="7:44">
      <c r="G309" s="688">
        <v>21380</v>
      </c>
      <c r="H309" s="676">
        <f t="shared" si="154"/>
        <v>21.38</v>
      </c>
      <c r="I309" s="677">
        <f t="shared" si="134"/>
        <v>175.84670615225971</v>
      </c>
      <c r="J309" s="678">
        <f t="shared" si="135"/>
        <v>1.5651095248532829</v>
      </c>
      <c r="K309" s="678">
        <f t="shared" si="136"/>
        <v>1.0004366120370527</v>
      </c>
      <c r="L309" s="679">
        <f t="shared" si="137"/>
        <v>2.9544990703147166E-2</v>
      </c>
      <c r="M309" s="678">
        <f t="shared" si="138"/>
        <v>1.0064979187302951</v>
      </c>
      <c r="N309" s="679">
        <f t="shared" si="139"/>
        <v>-0.11369192534638857</v>
      </c>
      <c r="O309" s="677">
        <f t="shared" si="140"/>
        <v>886607.71131296409</v>
      </c>
      <c r="P309" s="680">
        <f t="shared" si="141"/>
        <v>1.570795198900353</v>
      </c>
      <c r="Q309" s="689">
        <f t="shared" si="163"/>
        <v>35.47840433297106</v>
      </c>
      <c r="R309" s="690">
        <f t="shared" si="164"/>
        <v>1.5426064327986961</v>
      </c>
      <c r="S309" s="677">
        <f t="shared" si="142"/>
        <v>1.012909616908181</v>
      </c>
      <c r="T309" s="680">
        <f t="shared" si="143"/>
        <v>0.1598264560003014</v>
      </c>
      <c r="U309" s="681">
        <f t="shared" si="155"/>
        <v>0.94864265363408273</v>
      </c>
      <c r="V309" s="682">
        <f t="shared" si="156"/>
        <v>-0.39756836080554481</v>
      </c>
      <c r="W309" s="683">
        <f t="shared" si="144"/>
        <v>-25.408544863321726</v>
      </c>
      <c r="X309" s="684">
        <f t="shared" si="145"/>
        <v>-128.0469024629036</v>
      </c>
      <c r="Y309" s="687">
        <f t="shared" si="146"/>
        <v>51.953097537096397</v>
      </c>
      <c r="AA309" s="170">
        <f t="shared" si="147"/>
        <v>21380</v>
      </c>
      <c r="AB309" s="170">
        <f t="shared" si="148"/>
        <v>457104400</v>
      </c>
      <c r="AD309" s="686">
        <f t="shared" si="149"/>
        <v>17.038687704462035</v>
      </c>
      <c r="AE309" s="687">
        <f t="shared" si="150"/>
        <v>-10.772478722966349</v>
      </c>
      <c r="AG309" s="686">
        <f t="shared" si="151"/>
        <v>-0.54697802848832899</v>
      </c>
      <c r="AH309" s="687">
        <f t="shared" si="152"/>
        <v>-71.716445403695573</v>
      </c>
      <c r="AJ309" s="170">
        <f t="shared" si="153"/>
        <v>0</v>
      </c>
      <c r="AK309" s="170">
        <f t="shared" si="165"/>
        <v>0</v>
      </c>
      <c r="AM309" s="170" t="str">
        <f t="shared" si="157"/>
        <v>0.165087010067902+0.550381957591856i</v>
      </c>
      <c r="AN309" s="170" t="str">
        <f t="shared" si="158"/>
        <v>0.582821650835724i</v>
      </c>
      <c r="AO309" s="170" t="str">
        <f t="shared" si="159"/>
        <v>0.944340274254823-0.283254765555087i</v>
      </c>
      <c r="AP309" s="170" t="str">
        <f t="shared" si="160"/>
        <v>0.139152164988683-0.0917303262653093i</v>
      </c>
      <c r="AQ309" s="170" t="str">
        <f t="shared" si="161"/>
        <v>0.860847835011317+0.0917303262653093i</v>
      </c>
      <c r="AR309" s="170" t="str">
        <f t="shared" si="162"/>
        <v>0.956786726292925-0.101953394083884i</v>
      </c>
    </row>
    <row r="310" spans="7:44">
      <c r="G310" s="688">
        <v>21504.5</v>
      </c>
      <c r="H310" s="676">
        <f t="shared" si="154"/>
        <v>21.5045</v>
      </c>
      <c r="I310" s="677">
        <f t="shared" si="134"/>
        <v>176.870663540583</v>
      </c>
      <c r="J310" s="678">
        <f t="shared" si="135"/>
        <v>1.5651424478093914</v>
      </c>
      <c r="K310" s="678">
        <f t="shared" si="136"/>
        <v>1.0004417106743733</v>
      </c>
      <c r="L310" s="679">
        <f t="shared" si="137"/>
        <v>2.9716936092660708E-2</v>
      </c>
      <c r="M310" s="678">
        <f t="shared" si="138"/>
        <v>1.006573568583887</v>
      </c>
      <c r="N310" s="679">
        <f t="shared" si="139"/>
        <v>-0.11434823648180382</v>
      </c>
      <c r="O310" s="677">
        <f t="shared" si="140"/>
        <v>891770.60467397072</v>
      </c>
      <c r="P310" s="680">
        <f t="shared" si="141"/>
        <v>1.5707952054302825</v>
      </c>
      <c r="Q310" s="689">
        <f t="shared" si="163"/>
        <v>35.684838491652542</v>
      </c>
      <c r="R310" s="690">
        <f t="shared" si="164"/>
        <v>1.5427695520929252</v>
      </c>
      <c r="S310" s="677">
        <f t="shared" si="142"/>
        <v>1.0130594332276641</v>
      </c>
      <c r="T310" s="680">
        <f t="shared" si="143"/>
        <v>0.16074125336855399</v>
      </c>
      <c r="U310" s="681">
        <f t="shared" si="155"/>
        <v>0.94809018455310423</v>
      </c>
      <c r="V310" s="682">
        <f t="shared" si="156"/>
        <v>-0.39976873212900099</v>
      </c>
      <c r="W310" s="683">
        <f t="shared" si="144"/>
        <v>-25.464663515209725</v>
      </c>
      <c r="X310" s="684">
        <f t="shared" si="145"/>
        <v>-128.24568126807284</v>
      </c>
      <c r="Y310" s="687">
        <f t="shared" si="146"/>
        <v>51.754318731927157</v>
      </c>
      <c r="AA310" s="170">
        <f t="shared" si="147"/>
        <v>21504.5</v>
      </c>
      <c r="AB310" s="170">
        <f t="shared" si="148"/>
        <v>462443520.25</v>
      </c>
      <c r="AD310" s="686">
        <f t="shared" si="149"/>
        <v>17.037363261070478</v>
      </c>
      <c r="AE310" s="687">
        <f t="shared" si="150"/>
        <v>-10.815547078347034</v>
      </c>
      <c r="AG310" s="686">
        <f t="shared" si="151"/>
        <v>-0.59165233922180294</v>
      </c>
      <c r="AH310" s="687">
        <f t="shared" si="152"/>
        <v>-71.620011872804696</v>
      </c>
      <c r="AJ310" s="170">
        <f t="shared" si="153"/>
        <v>0</v>
      </c>
      <c r="AK310" s="170">
        <f t="shared" si="165"/>
        <v>0</v>
      </c>
      <c r="AM310" s="170" t="str">
        <f t="shared" si="157"/>
        <v>0.16695974888718+0.553212382386629i</v>
      </c>
      <c r="AN310" s="170" t="str">
        <f t="shared" si="158"/>
        <v>0.586215537436709i</v>
      </c>
      <c r="AO310" s="170" t="str">
        <f t="shared" si="159"/>
        <v>0.943701330069841-0.284809491091331i</v>
      </c>
      <c r="AP310" s="170" t="str">
        <f t="shared" si="160"/>
        <v>0.138840041852137-0.0922020637311048i</v>
      </c>
      <c r="AQ310" s="170" t="str">
        <f t="shared" si="161"/>
        <v>0.861159958147863+0.0922020637311048i</v>
      </c>
      <c r="AR310" s="170" t="str">
        <f t="shared" si="162"/>
        <v>0.956337088895084-0.102392421273707i</v>
      </c>
    </row>
    <row r="311" spans="7:44">
      <c r="G311" s="688">
        <v>21629</v>
      </c>
      <c r="H311" s="676">
        <f t="shared" si="154"/>
        <v>21.629000000000001</v>
      </c>
      <c r="I311" s="677">
        <f t="shared" si="134"/>
        <v>177.89462111841308</v>
      </c>
      <c r="J311" s="678">
        <f t="shared" si="135"/>
        <v>1.5651749917578934</v>
      </c>
      <c r="K311" s="678">
        <f t="shared" si="136"/>
        <v>1.0004468388896679</v>
      </c>
      <c r="L311" s="679">
        <f t="shared" si="137"/>
        <v>2.9888879724499478E-2</v>
      </c>
      <c r="M311" s="678">
        <f t="shared" si="138"/>
        <v>1.006649651948037</v>
      </c>
      <c r="N311" s="679">
        <f t="shared" si="139"/>
        <v>-0.11500444869083042</v>
      </c>
      <c r="O311" s="677">
        <f t="shared" si="140"/>
        <v>896933.49803497747</v>
      </c>
      <c r="P311" s="680">
        <f t="shared" si="141"/>
        <v>1.5707952118850375</v>
      </c>
      <c r="Q311" s="689">
        <f t="shared" si="163"/>
        <v>35.891273588910401</v>
      </c>
      <c r="R311" s="690">
        <f t="shared" si="164"/>
        <v>1.5429307949716502</v>
      </c>
      <c r="S311" s="677">
        <f t="shared" si="142"/>
        <v>1.0132100970790889</v>
      </c>
      <c r="T311" s="680">
        <f t="shared" si="143"/>
        <v>0.16165577944208995</v>
      </c>
      <c r="U311" s="681">
        <f t="shared" si="155"/>
        <v>0.94753542150546877</v>
      </c>
      <c r="V311" s="682">
        <f t="shared" si="156"/>
        <v>-0.40196726833448648</v>
      </c>
      <c r="W311" s="683">
        <f t="shared" si="144"/>
        <v>-25.520517474966027</v>
      </c>
      <c r="X311" s="684">
        <f t="shared" si="145"/>
        <v>-128.44441960817352</v>
      </c>
      <c r="Y311" s="687">
        <f t="shared" si="146"/>
        <v>51.555580391826481</v>
      </c>
      <c r="AA311" s="170">
        <f t="shared" si="147"/>
        <v>21629</v>
      </c>
      <c r="AB311" s="170">
        <f t="shared" si="148"/>
        <v>467813641</v>
      </c>
      <c r="AD311" s="686">
        <f t="shared" si="149"/>
        <v>17.036032427605448</v>
      </c>
      <c r="AE311" s="687">
        <f t="shared" si="150"/>
        <v>-10.858707396067366</v>
      </c>
      <c r="AG311" s="686">
        <f t="shared" si="151"/>
        <v>-0.63600761226357272</v>
      </c>
      <c r="AH311" s="687">
        <f t="shared" si="152"/>
        <v>-71.523656203535097</v>
      </c>
      <c r="AJ311" s="170">
        <f t="shared" si="153"/>
        <v>0</v>
      </c>
      <c r="AK311" s="170">
        <f t="shared" si="165"/>
        <v>0</v>
      </c>
      <c r="AM311" s="170" t="str">
        <f t="shared" si="157"/>
        <v>0.168842083043273+0.556036435029355i</v>
      </c>
      <c r="AN311" s="170" t="str">
        <f t="shared" si="158"/>
        <v>0.589609424037693i</v>
      </c>
      <c r="AO311" s="170" t="str">
        <f t="shared" si="159"/>
        <v>0.943058934203549-0.286362592183532i</v>
      </c>
      <c r="AP311" s="170" t="str">
        <f t="shared" si="160"/>
        <v>0.138526319492788-0.0926727391715592i</v>
      </c>
      <c r="AQ311" s="170" t="str">
        <f t="shared" si="161"/>
        <v>0.861473680507212+0.0926727391715592i</v>
      </c>
      <c r="AR311" s="170" t="str">
        <f t="shared" si="162"/>
        <v>0.955885901219486-0.10282910181229i</v>
      </c>
    </row>
    <row r="312" spans="7:44">
      <c r="G312" s="688">
        <v>21753.5</v>
      </c>
      <c r="H312" s="676">
        <f t="shared" si="154"/>
        <v>21.753499999999999</v>
      </c>
      <c r="I312" s="677">
        <f t="shared" si="134"/>
        <v>178.91857888249638</v>
      </c>
      <c r="J312" s="678">
        <f t="shared" si="135"/>
        <v>1.5652071632059437</v>
      </c>
      <c r="K312" s="678">
        <f t="shared" si="136"/>
        <v>1.0004519966824821</v>
      </c>
      <c r="L312" s="679">
        <f t="shared" si="137"/>
        <v>3.0060821588523679E-2</v>
      </c>
      <c r="M312" s="678">
        <f t="shared" si="138"/>
        <v>1.0067261687244575</v>
      </c>
      <c r="N312" s="679">
        <f t="shared" si="139"/>
        <v>-0.11566056143081287</v>
      </c>
      <c r="O312" s="677">
        <f t="shared" si="140"/>
        <v>902096.39139598433</v>
      </c>
      <c r="P312" s="680">
        <f t="shared" si="141"/>
        <v>1.5707952182659084</v>
      </c>
      <c r="Q312" s="689">
        <f t="shared" si="163"/>
        <v>36.097709608642084</v>
      </c>
      <c r="R312" s="690">
        <f t="shared" si="164"/>
        <v>1.5430901936190169</v>
      </c>
      <c r="S312" s="677">
        <f t="shared" si="142"/>
        <v>1.013361608084429</v>
      </c>
      <c r="T312" s="680">
        <f t="shared" si="143"/>
        <v>0.1625700328125157</v>
      </c>
      <c r="U312" s="681">
        <f t="shared" si="155"/>
        <v>0.94697837777216032</v>
      </c>
      <c r="V312" s="682">
        <f t="shared" si="156"/>
        <v>-0.40416396313592967</v>
      </c>
      <c r="W312" s="683">
        <f t="shared" si="144"/>
        <v>-25.576110013549442</v>
      </c>
      <c r="X312" s="684">
        <f t="shared" si="145"/>
        <v>-128.64311554072503</v>
      </c>
      <c r="Y312" s="687">
        <f t="shared" si="146"/>
        <v>51.356884459274966</v>
      </c>
      <c r="AA312" s="170">
        <f t="shared" si="147"/>
        <v>21753.5</v>
      </c>
      <c r="AB312" s="170">
        <f t="shared" si="148"/>
        <v>473214762.25</v>
      </c>
      <c r="AD312" s="686">
        <f t="shared" si="149"/>
        <v>17.034695194852322</v>
      </c>
      <c r="AE312" s="687">
        <f t="shared" si="150"/>
        <v>-10.901957751490567</v>
      </c>
      <c r="AG312" s="686">
        <f t="shared" si="151"/>
        <v>-0.68004727219595806</v>
      </c>
      <c r="AH312" s="687">
        <f t="shared" si="152"/>
        <v>-71.427379098373734</v>
      </c>
      <c r="AJ312" s="170">
        <f t="shared" si="153"/>
        <v>0</v>
      </c>
      <c r="AK312" s="170">
        <f t="shared" si="165"/>
        <v>0</v>
      </c>
      <c r="AM312" s="170" t="str">
        <f t="shared" si="157"/>
        <v>0.170733990854601+0.558854082991314i</v>
      </c>
      <c r="AN312" s="170" t="str">
        <f t="shared" si="158"/>
        <v>0.593003310638678i</v>
      </c>
      <c r="AO312" s="170" t="str">
        <f t="shared" si="159"/>
        <v>0.942413091065909-0.287914060160502i</v>
      </c>
      <c r="AP312" s="170" t="str">
        <f t="shared" si="160"/>
        <v>0.138211001524233-0.093142347165219i</v>
      </c>
      <c r="AQ312" s="170" t="str">
        <f t="shared" si="161"/>
        <v>0.861788998475767+0.093142347165219i</v>
      </c>
      <c r="AR312" s="170" t="str">
        <f t="shared" si="162"/>
        <v>0.955433178095874-0.103263430984582i</v>
      </c>
    </row>
    <row r="313" spans="7:44">
      <c r="G313" s="688">
        <v>21878</v>
      </c>
      <c r="H313" s="676">
        <f t="shared" si="154"/>
        <v>21.878</v>
      </c>
      <c r="I313" s="677">
        <f t="shared" si="134"/>
        <v>179.94253682965322</v>
      </c>
      <c r="J313" s="678">
        <f t="shared" si="135"/>
        <v>1.5652389685125851</v>
      </c>
      <c r="K313" s="678">
        <f t="shared" si="136"/>
        <v>1.0004571840523582</v>
      </c>
      <c r="L313" s="679">
        <f t="shared" si="137"/>
        <v>3.0232761674594159E-2</v>
      </c>
      <c r="M313" s="678">
        <f t="shared" si="138"/>
        <v>1.0068031188143307</v>
      </c>
      <c r="N313" s="679">
        <f t="shared" si="139"/>
        <v>-0.11631657415960275</v>
      </c>
      <c r="O313" s="677">
        <f t="shared" si="140"/>
        <v>907259.2847569912</v>
      </c>
      <c r="P313" s="680">
        <f t="shared" si="141"/>
        <v>1.5707952245741568</v>
      </c>
      <c r="Q313" s="689">
        <f t="shared" si="163"/>
        <v>36.304146535111215</v>
      </c>
      <c r="R313" s="690">
        <f t="shared" si="164"/>
        <v>1.5432477794875146</v>
      </c>
      <c r="S313" s="677">
        <f t="shared" si="142"/>
        <v>1.0135139658637591</v>
      </c>
      <c r="T313" s="680">
        <f t="shared" si="143"/>
        <v>0.16348401207410101</v>
      </c>
      <c r="U313" s="681">
        <f t="shared" si="155"/>
        <v>0.94641906664639297</v>
      </c>
      <c r="V313" s="682">
        <f t="shared" si="156"/>
        <v>-0.40635881030766946</v>
      </c>
      <c r="W313" s="683">
        <f t="shared" si="144"/>
        <v>-25.631444344097659</v>
      </c>
      <c r="X313" s="684">
        <f t="shared" si="145"/>
        <v>-128.84176716032269</v>
      </c>
      <c r="Y313" s="687">
        <f t="shared" si="146"/>
        <v>51.158232839677311</v>
      </c>
      <c r="AA313" s="170">
        <f t="shared" si="147"/>
        <v>21878</v>
      </c>
      <c r="AB313" s="170">
        <f t="shared" si="148"/>
        <v>478646884</v>
      </c>
      <c r="AD313" s="686">
        <f t="shared" si="149"/>
        <v>17.033351554070485</v>
      </c>
      <c r="AE313" s="687">
        <f t="shared" si="150"/>
        <v>-10.945296262051597</v>
      </c>
      <c r="AG313" s="686">
        <f t="shared" si="151"/>
        <v>-0.72377468656310462</v>
      </c>
      <c r="AH313" s="687">
        <f t="shared" si="152"/>
        <v>-71.331181247889134</v>
      </c>
      <c r="AJ313" s="170">
        <f t="shared" si="153"/>
        <v>0</v>
      </c>
      <c r="AK313" s="170">
        <f t="shared" si="165"/>
        <v>0</v>
      </c>
      <c r="AM313" s="170" t="str">
        <f t="shared" si="157"/>
        <v>0.172635450529307+0.561665293817552i</v>
      </c>
      <c r="AN313" s="170" t="str">
        <f t="shared" si="158"/>
        <v>0.596397197239662i</v>
      </c>
      <c r="AO313" s="170" t="str">
        <f t="shared" si="159"/>
        <v>0.941763805090196-0.289463886363526i</v>
      </c>
      <c r="AP313" s="170" t="str">
        <f t="shared" si="160"/>
        <v>0.137894091578449-0.0936108823029253i</v>
      </c>
      <c r="AQ313" s="170" t="str">
        <f t="shared" si="161"/>
        <v>0.862105908421551+0.0936108823029253i</v>
      </c>
      <c r="AR313" s="170" t="str">
        <f t="shared" si="162"/>
        <v>0.954978934352414-0.10369540418661i</v>
      </c>
    </row>
    <row r="314" spans="7:44">
      <c r="G314" s="688">
        <v>22005.25</v>
      </c>
      <c r="H314" s="676">
        <f t="shared" si="154"/>
        <v>22.00525</v>
      </c>
      <c r="I314" s="677">
        <f t="shared" si="134"/>
        <v>180.98911250777687</v>
      </c>
      <c r="J314" s="678">
        <f t="shared" si="135"/>
        <v>1.5652711044532002</v>
      </c>
      <c r="K314" s="678">
        <f t="shared" si="136"/>
        <v>1.0004625165664547</v>
      </c>
      <c r="L314" s="679">
        <f t="shared" si="137"/>
        <v>3.0408497786202134E-2</v>
      </c>
      <c r="M314" s="678">
        <f t="shared" si="138"/>
        <v>1.0068822162774924</v>
      </c>
      <c r="N314" s="679">
        <f t="shared" si="139"/>
        <v>-0.11698697321634115</v>
      </c>
      <c r="O314" s="677">
        <f t="shared" si="140"/>
        <v>912536.21793119295</v>
      </c>
      <c r="P314" s="680">
        <f t="shared" si="141"/>
        <v>1.5707952309479809</v>
      </c>
      <c r="Q314" s="689">
        <f t="shared" si="163"/>
        <v>36.515144234362069</v>
      </c>
      <c r="R314" s="690">
        <f t="shared" si="164"/>
        <v>1.5434070048827719</v>
      </c>
      <c r="S314" s="677">
        <f t="shared" si="142"/>
        <v>1.0136705636144085</v>
      </c>
      <c r="T314" s="680">
        <f t="shared" si="143"/>
        <v>0.1644178949144566</v>
      </c>
      <c r="U314" s="681">
        <f t="shared" si="155"/>
        <v>0.94584507203882606</v>
      </c>
      <c r="V314" s="682">
        <f t="shared" si="156"/>
        <v>-0.40860022232476811</v>
      </c>
      <c r="W314" s="683">
        <f t="shared" si="144"/>
        <v>-25.687737378474562</v>
      </c>
      <c r="X314" s="684">
        <f t="shared" si="145"/>
        <v>-129.04475892945544</v>
      </c>
      <c r="Y314" s="687">
        <f t="shared" si="146"/>
        <v>50.95524107054456</v>
      </c>
      <c r="AA314" s="170">
        <f t="shared" si="147"/>
        <v>22005.25</v>
      </c>
      <c r="AB314" s="170">
        <f t="shared" si="148"/>
        <v>484231027.5625</v>
      </c>
      <c r="AD314" s="686">
        <f t="shared" si="149"/>
        <v>17.031971603951526</v>
      </c>
      <c r="AE314" s="687">
        <f t="shared" si="150"/>
        <v>-10.989681229468051</v>
      </c>
      <c r="AG314" s="686">
        <f t="shared" si="151"/>
        <v>-0.76814874750996132</v>
      </c>
      <c r="AH314" s="687">
        <f t="shared" si="152"/>
        <v>-71.232941151852643</v>
      </c>
      <c r="AJ314" s="170">
        <f t="shared" si="153"/>
        <v>0</v>
      </c>
      <c r="AK314" s="170">
        <f t="shared" si="165"/>
        <v>0</v>
      </c>
      <c r="AM314" s="170" t="str">
        <f t="shared" si="157"/>
        <v>0.174588758188086+0.564531913969896i</v>
      </c>
      <c r="AN314" s="170" t="str">
        <f t="shared" si="158"/>
        <v>0.599866049207335i</v>
      </c>
      <c r="AO314" s="170" t="str">
        <f t="shared" si="159"/>
        <v>0.941096624347836-0.291046240104417i</v>
      </c>
      <c r="AP314" s="170" t="str">
        <f t="shared" si="160"/>
        <v>0.137568540301986-0.094088652328316i</v>
      </c>
      <c r="AQ314" s="170" t="str">
        <f t="shared" si="161"/>
        <v>0.862431459698014+0.094088652328316i</v>
      </c>
      <c r="AR314" s="170" t="str">
        <f t="shared" si="162"/>
        <v>0.95451310117309-0.104134479684385i</v>
      </c>
    </row>
    <row r="315" spans="7:44">
      <c r="G315" s="688">
        <v>22132.5</v>
      </c>
      <c r="H315" s="676">
        <f t="shared" si="154"/>
        <v>22.1325</v>
      </c>
      <c r="I315" s="677">
        <f t="shared" si="134"/>
        <v>182.03568837066217</v>
      </c>
      <c r="J315" s="678">
        <f t="shared" si="135"/>
        <v>1.5653028708761989</v>
      </c>
      <c r="K315" s="678">
        <f t="shared" si="136"/>
        <v>1.000467879977686</v>
      </c>
      <c r="L315" s="679">
        <f t="shared" si="137"/>
        <v>3.0584232019028806E-2</v>
      </c>
      <c r="M315" s="678">
        <f t="shared" si="138"/>
        <v>1.0069617661974459</v>
      </c>
      <c r="N315" s="679">
        <f t="shared" si="139"/>
        <v>-0.11765726665132159</v>
      </c>
      <c r="O315" s="677">
        <f t="shared" si="140"/>
        <v>917813.15110539482</v>
      </c>
      <c r="P315" s="680">
        <f t="shared" si="141"/>
        <v>1.5707952372485126</v>
      </c>
      <c r="Q315" s="689">
        <f t="shared" si="163"/>
        <v>36.726142848734099</v>
      </c>
      <c r="R315" s="690">
        <f t="shared" si="164"/>
        <v>1.543564400722155</v>
      </c>
      <c r="S315" s="677">
        <f t="shared" si="142"/>
        <v>1.0138280451512673</v>
      </c>
      <c r="T315" s="680">
        <f t="shared" si="143"/>
        <v>0.16535148844209904</v>
      </c>
      <c r="U315" s="681">
        <f t="shared" si="155"/>
        <v>0.94526873688313495</v>
      </c>
      <c r="V315" s="682">
        <f t="shared" si="156"/>
        <v>-0.41083969123045749</v>
      </c>
      <c r="W315" s="683">
        <f t="shared" si="144"/>
        <v>-25.743767280327489</v>
      </c>
      <c r="X315" s="684">
        <f t="shared" si="145"/>
        <v>-129.24770049590387</v>
      </c>
      <c r="Y315" s="687">
        <f t="shared" si="146"/>
        <v>50.752299504096129</v>
      </c>
      <c r="AA315" s="170">
        <f t="shared" si="147"/>
        <v>22132.5</v>
      </c>
      <c r="AB315" s="170">
        <f t="shared" si="148"/>
        <v>489847556.25</v>
      </c>
      <c r="AD315" s="686">
        <f t="shared" si="149"/>
        <v>17.030584942578866</v>
      </c>
      <c r="AE315" s="687">
        <f t="shared" si="150"/>
        <v>-11.034154442117819</v>
      </c>
      <c r="AG315" s="686">
        <f t="shared" si="151"/>
        <v>-0.81220355341112271</v>
      </c>
      <c r="AH315" s="687">
        <f t="shared" si="152"/>
        <v>-71.134785272064519</v>
      </c>
      <c r="AJ315" s="170">
        <f t="shared" si="153"/>
        <v>0</v>
      </c>
      <c r="AK315" s="170">
        <f t="shared" si="165"/>
        <v>0</v>
      </c>
      <c r="AM315" s="170" t="str">
        <f t="shared" si="157"/>
        <v>0.17655199795588+0.567391741153806i</v>
      </c>
      <c r="AN315" s="170" t="str">
        <f t="shared" si="158"/>
        <v>0.603334901175008i</v>
      </c>
      <c r="AO315" s="170" t="str">
        <f t="shared" si="159"/>
        <v>0.940425856433629-0.292626860491646i</v>
      </c>
      <c r="AP315" s="170" t="str">
        <f t="shared" si="160"/>
        <v>0.13724133367402-0.094565290192301i</v>
      </c>
      <c r="AQ315" s="170" t="str">
        <f t="shared" si="161"/>
        <v>0.86275866632598+0.094565290192301i</v>
      </c>
      <c r="AR315" s="170" t="str">
        <f t="shared" si="162"/>
        <v>0.954045710770048-0.104571084611512i</v>
      </c>
    </row>
    <row r="316" spans="7:44">
      <c r="G316" s="688">
        <v>22259.75</v>
      </c>
      <c r="H316" s="676">
        <f t="shared" si="154"/>
        <v>22.25975</v>
      </c>
      <c r="I316" s="677">
        <f t="shared" si="134"/>
        <v>183.08226441514057</v>
      </c>
      <c r="J316" s="678">
        <f t="shared" si="135"/>
        <v>1.5653342741184759</v>
      </c>
      <c r="K316" s="678">
        <f t="shared" si="136"/>
        <v>1.0004732742855555</v>
      </c>
      <c r="L316" s="679">
        <f t="shared" si="137"/>
        <v>3.0759964362250244E-2</v>
      </c>
      <c r="M316" s="678">
        <f t="shared" si="138"/>
        <v>1.0070417684669681</v>
      </c>
      <c r="N316" s="679">
        <f t="shared" si="139"/>
        <v>-0.11832745388732947</v>
      </c>
      <c r="O316" s="677">
        <f t="shared" si="140"/>
        <v>923090.08427959669</v>
      </c>
      <c r="P316" s="680">
        <f t="shared" si="141"/>
        <v>1.5707952434770092</v>
      </c>
      <c r="Q316" s="689">
        <f t="shared" si="163"/>
        <v>36.937142362544783</v>
      </c>
      <c r="R316" s="690">
        <f t="shared" si="164"/>
        <v>1.5437199983512302</v>
      </c>
      <c r="S316" s="677">
        <f t="shared" si="142"/>
        <v>1.0139864100625549</v>
      </c>
      <c r="T316" s="680">
        <f t="shared" si="143"/>
        <v>0.16628479116477371</v>
      </c>
      <c r="U316" s="681">
        <f t="shared" si="155"/>
        <v>0.94469007540773964</v>
      </c>
      <c r="V316" s="682">
        <f t="shared" si="156"/>
        <v>-0.41307721057295516</v>
      </c>
      <c r="W316" s="683">
        <f t="shared" si="144"/>
        <v>-25.799537301637628</v>
      </c>
      <c r="X316" s="684">
        <f t="shared" si="145"/>
        <v>-129.45058993923715</v>
      </c>
      <c r="Y316" s="687">
        <f t="shared" si="146"/>
        <v>50.549410060762852</v>
      </c>
      <c r="AA316" s="170">
        <f t="shared" si="147"/>
        <v>22259.75</v>
      </c>
      <c r="AB316" s="170">
        <f t="shared" si="148"/>
        <v>495496470.0625</v>
      </c>
      <c r="AD316" s="686">
        <f t="shared" si="149"/>
        <v>17.029191562058873</v>
      </c>
      <c r="AE316" s="687">
        <f t="shared" si="150"/>
        <v>-11.078714018604384</v>
      </c>
      <c r="AG316" s="686">
        <f t="shared" si="151"/>
        <v>-0.85594252350187228</v>
      </c>
      <c r="AH316" s="687">
        <f t="shared" si="152"/>
        <v>-71.036714308810204</v>
      </c>
      <c r="AJ316" s="170">
        <f t="shared" si="153"/>
        <v>0</v>
      </c>
      <c r="AK316" s="170">
        <f t="shared" si="165"/>
        <v>0</v>
      </c>
      <c r="AM316" s="170" t="str">
        <f t="shared" si="157"/>
        <v>0.178525146209178+0.570244740957203i</v>
      </c>
      <c r="AN316" s="170" t="str">
        <f t="shared" si="158"/>
        <v>0.606803753142681i</v>
      </c>
      <c r="AO316" s="170" t="str">
        <f t="shared" si="159"/>
        <v>0.93975150615642-0.294205738320805i</v>
      </c>
      <c r="AP316" s="170" t="str">
        <f t="shared" si="160"/>
        <v>0.136912475631804-0.0950407901595338i</v>
      </c>
      <c r="AQ316" s="170" t="str">
        <f t="shared" si="161"/>
        <v>0.863087524368196+0.0950407901595338i</v>
      </c>
      <c r="AR316" s="170" t="str">
        <f t="shared" si="162"/>
        <v>0.953576778964692-0.105005214409663i</v>
      </c>
    </row>
    <row r="317" spans="7:44">
      <c r="G317" s="688">
        <v>22387</v>
      </c>
      <c r="H317" s="676">
        <f t="shared" si="154"/>
        <v>22.387</v>
      </c>
      <c r="I317" s="677">
        <f t="shared" si="134"/>
        <v>184.12884063811558</v>
      </c>
      <c r="J317" s="678">
        <f t="shared" si="135"/>
        <v>1.5653653203728548</v>
      </c>
      <c r="K317" s="678">
        <f t="shared" si="136"/>
        <v>1.0004786994895631</v>
      </c>
      <c r="L317" s="679">
        <f t="shared" si="137"/>
        <v>3.0935694805043223E-2</v>
      </c>
      <c r="M317" s="678">
        <f t="shared" si="138"/>
        <v>1.0071222229782595</v>
      </c>
      <c r="N317" s="679">
        <f t="shared" si="139"/>
        <v>-0.1189975343477146</v>
      </c>
      <c r="O317" s="677">
        <f t="shared" si="140"/>
        <v>928367.01745379867</v>
      </c>
      <c r="P317" s="680">
        <f t="shared" si="141"/>
        <v>1.5707952496346991</v>
      </c>
      <c r="Q317" s="689">
        <f t="shared" si="163"/>
        <v>37.148142760467834</v>
      </c>
      <c r="R317" s="690">
        <f t="shared" si="164"/>
        <v>1.543873828403749</v>
      </c>
      <c r="S317" s="677">
        <f t="shared" si="142"/>
        <v>1.0141456579344383</v>
      </c>
      <c r="T317" s="680">
        <f t="shared" si="143"/>
        <v>0.16721780159318175</v>
      </c>
      <c r="U317" s="681">
        <f t="shared" si="155"/>
        <v>0.94410910185112795</v>
      </c>
      <c r="V317" s="682">
        <f t="shared" si="156"/>
        <v>-0.41531277396634592</v>
      </c>
      <c r="W317" s="683">
        <f t="shared" si="144"/>
        <v>-25.855050636853466</v>
      </c>
      <c r="X317" s="684">
        <f t="shared" si="145"/>
        <v>-129.65342537552746</v>
      </c>
      <c r="Y317" s="687">
        <f t="shared" si="146"/>
        <v>50.346574624472538</v>
      </c>
      <c r="AA317" s="170">
        <f t="shared" si="147"/>
        <v>22387</v>
      </c>
      <c r="AB317" s="170">
        <f t="shared" si="148"/>
        <v>501177769</v>
      </c>
      <c r="AD317" s="686">
        <f t="shared" si="149"/>
        <v>17.027791454952407</v>
      </c>
      <c r="AE317" s="687">
        <f t="shared" si="150"/>
        <v>-11.123358118482908</v>
      </c>
      <c r="AG317" s="686">
        <f t="shared" si="151"/>
        <v>-0.89936902024189092</v>
      </c>
      <c r="AH317" s="687">
        <f t="shared" si="152"/>
        <v>-70.938728950378859</v>
      </c>
      <c r="AJ317" s="170">
        <f t="shared" si="153"/>
        <v>0</v>
      </c>
      <c r="AK317" s="170">
        <f t="shared" si="165"/>
        <v>0</v>
      </c>
      <c r="AM317" s="170" t="str">
        <f t="shared" si="157"/>
        <v>0.18050817920524+0.573090879050164i</v>
      </c>
      <c r="AN317" s="170" t="str">
        <f t="shared" si="158"/>
        <v>0.610272605110354i</v>
      </c>
      <c r="AO317" s="170" t="str">
        <f t="shared" si="159"/>
        <v>0.93907357835034-0.295782864401392i</v>
      </c>
      <c r="AP317" s="170" t="str">
        <f t="shared" si="160"/>
        <v>0.13658197013246-0.0955151465083607i</v>
      </c>
      <c r="AQ317" s="170" t="str">
        <f t="shared" si="161"/>
        <v>0.86341802986754+0.0955151465083607i</v>
      </c>
      <c r="AR317" s="170" t="str">
        <f t="shared" si="162"/>
        <v>0.953106321572596-0.105436864640199i</v>
      </c>
    </row>
    <row r="318" spans="7:44">
      <c r="G318" s="688">
        <v>22517.5</v>
      </c>
      <c r="H318" s="676">
        <f t="shared" si="154"/>
        <v>22.517499999999998</v>
      </c>
      <c r="I318" s="677">
        <f t="shared" si="134"/>
        <v>185.20214688790864</v>
      </c>
      <c r="J318" s="678">
        <f t="shared" si="135"/>
        <v>1.5653967951157157</v>
      </c>
      <c r="K318" s="678">
        <f t="shared" si="136"/>
        <v>1.000484295344106</v>
      </c>
      <c r="L318" s="679">
        <f t="shared" si="137"/>
        <v>3.1115911466488785E-2</v>
      </c>
      <c r="M318" s="678">
        <f t="shared" si="138"/>
        <v>1.0072052019212125</v>
      </c>
      <c r="N318" s="679">
        <f t="shared" si="139"/>
        <v>-0.11968461734286608</v>
      </c>
      <c r="O318" s="677">
        <f t="shared" si="140"/>
        <v>933778.72495268553</v>
      </c>
      <c r="P318" s="680">
        <f t="shared" si="141"/>
        <v>1.5707952558773728</v>
      </c>
      <c r="Q318" s="689">
        <f t="shared" si="163"/>
        <v>37.364533069171642</v>
      </c>
      <c r="R318" s="690">
        <f t="shared" si="164"/>
        <v>1.5440297828075931</v>
      </c>
      <c r="S318" s="677">
        <f t="shared" si="142"/>
        <v>1.0143098896802931</v>
      </c>
      <c r="T318" s="680">
        <f t="shared" si="143"/>
        <v>0.16817433622016187</v>
      </c>
      <c r="U318" s="681">
        <f t="shared" si="155"/>
        <v>0.94351090358225143</v>
      </c>
      <c r="V318" s="682">
        <f t="shared" si="156"/>
        <v>-0.41760339612374153</v>
      </c>
      <c r="W318" s="683">
        <f t="shared" si="144"/>
        <v>-25.911718481211757</v>
      </c>
      <c r="X318" s="684">
        <f t="shared" si="145"/>
        <v>-129.86138325509503</v>
      </c>
      <c r="Y318" s="687">
        <f t="shared" si="146"/>
        <v>50.138616744904965</v>
      </c>
      <c r="AA318" s="170">
        <f t="shared" si="147"/>
        <v>22517.5</v>
      </c>
      <c r="AB318" s="170">
        <f t="shared" si="148"/>
        <v>507037806.25</v>
      </c>
      <c r="AD318" s="686">
        <f t="shared" si="149"/>
        <v>17.026348594918264</v>
      </c>
      <c r="AE318" s="687">
        <f t="shared" si="150"/>
        <v>-11.169228344161507</v>
      </c>
      <c r="AG318" s="686">
        <f t="shared" si="151"/>
        <v>-0.9435835590227013</v>
      </c>
      <c r="AH318" s="687">
        <f t="shared" si="152"/>
        <v>-70.838330639812028</v>
      </c>
      <c r="AJ318" s="170">
        <f t="shared" si="153"/>
        <v>0</v>
      </c>
      <c r="AK318" s="170">
        <f t="shared" si="165"/>
        <v>0</v>
      </c>
      <c r="AM318" s="170" t="str">
        <f t="shared" si="157"/>
        <v>0.182552101069327+0.576002545596656i</v>
      </c>
      <c r="AN318" s="170" t="str">
        <f t="shared" si="158"/>
        <v>0.613830052511386i</v>
      </c>
      <c r="AO318" s="170" t="str">
        <f t="shared" si="159"/>
        <v>0.938374625419585-0.297398441673627i</v>
      </c>
      <c r="AP318" s="170" t="str">
        <f t="shared" si="160"/>
        <v>0.136241316488446-0.0960004242661093i</v>
      </c>
      <c r="AQ318" s="170" t="str">
        <f t="shared" si="161"/>
        <v>0.863758683511554+0.0960004242661093i</v>
      </c>
      <c r="AR318" s="170" t="str">
        <f t="shared" si="162"/>
        <v>0.952622280598408-0.10587695944312i</v>
      </c>
    </row>
    <row r="319" spans="7:44">
      <c r="G319" s="688">
        <v>22648</v>
      </c>
      <c r="H319" s="676">
        <f t="shared" si="154"/>
        <v>22.648</v>
      </c>
      <c r="I319" s="677">
        <f t="shared" si="134"/>
        <v>186.27545331905964</v>
      </c>
      <c r="J319" s="678">
        <f t="shared" si="135"/>
        <v>1.5654279071479724</v>
      </c>
      <c r="K319" s="678">
        <f t="shared" si="136"/>
        <v>1.0004899236920588</v>
      </c>
      <c r="L319" s="679">
        <f t="shared" si="137"/>
        <v>3.1296126106136551E-2</v>
      </c>
      <c r="M319" s="678">
        <f t="shared" si="138"/>
        <v>1.0072886562701913</v>
      </c>
      <c r="N319" s="679">
        <f t="shared" si="139"/>
        <v>-0.1203715868119672</v>
      </c>
      <c r="O319" s="677">
        <f t="shared" si="140"/>
        <v>939190.43245157239</v>
      </c>
      <c r="P319" s="680">
        <f t="shared" si="141"/>
        <v>1.5707952620481047</v>
      </c>
      <c r="Q319" s="689">
        <f t="shared" si="163"/>
        <v>37.580924276181854</v>
      </c>
      <c r="R319" s="690">
        <f t="shared" si="164"/>
        <v>1.5441839412422023</v>
      </c>
      <c r="S319" s="677">
        <f t="shared" si="142"/>
        <v>1.0144750491766188</v>
      </c>
      <c r="T319" s="680">
        <f t="shared" si="143"/>
        <v>0.16913056026855727</v>
      </c>
      <c r="U319" s="681">
        <f t="shared" si="155"/>
        <v>0.94291030398317499</v>
      </c>
      <c r="V319" s="682">
        <f t="shared" si="156"/>
        <v>-0.41989194775358912</v>
      </c>
      <c r="W319" s="683">
        <f t="shared" si="144"/>
        <v>-25.968122985559109</v>
      </c>
      <c r="X319" s="684">
        <f t="shared" si="145"/>
        <v>-130.06928043415598</v>
      </c>
      <c r="Y319" s="687">
        <f t="shared" si="146"/>
        <v>49.930719565844015</v>
      </c>
      <c r="AA319" s="170">
        <f t="shared" si="147"/>
        <v>22648</v>
      </c>
      <c r="AB319" s="170">
        <f t="shared" si="148"/>
        <v>512931904</v>
      </c>
      <c r="AD319" s="686">
        <f t="shared" si="149"/>
        <v>17.024898645869481</v>
      </c>
      <c r="AE319" s="687">
        <f t="shared" si="150"/>
        <v>-11.215183672333444</v>
      </c>
      <c r="AG319" s="686">
        <f t="shared" si="151"/>
        <v>-0.98747644476498886</v>
      </c>
      <c r="AH319" s="687">
        <f t="shared" si="152"/>
        <v>-70.738023791225274</v>
      </c>
      <c r="AJ319" s="170">
        <f t="shared" si="153"/>
        <v>0</v>
      </c>
      <c r="AK319" s="170">
        <f t="shared" si="165"/>
        <v>0</v>
      </c>
      <c r="AM319" s="170" t="str">
        <f t="shared" si="157"/>
        <v>0.18460636807881+0.578906922589781i</v>
      </c>
      <c r="AN319" s="170" t="str">
        <f t="shared" si="158"/>
        <v>0.617387499912417i</v>
      </c>
      <c r="AO319" s="170" t="str">
        <f t="shared" si="159"/>
        <v>0.937671920263862-0.299012157040754i</v>
      </c>
      <c r="AP319" s="170" t="str">
        <f t="shared" si="160"/>
        <v>0.135898938653532-0.0964844870982968i</v>
      </c>
      <c r="AQ319" s="170" t="str">
        <f t="shared" si="161"/>
        <v>0.864101061346468+0.0964844870982968i</v>
      </c>
      <c r="AR319" s="170" t="str">
        <f t="shared" si="162"/>
        <v>0.952136668783686-0.106314437332048i</v>
      </c>
    </row>
    <row r="320" spans="7:44">
      <c r="G320" s="688">
        <v>22778.5</v>
      </c>
      <c r="H320" s="676">
        <f t="shared" si="154"/>
        <v>22.778500000000001</v>
      </c>
      <c r="I320" s="677">
        <f t="shared" si="134"/>
        <v>187.34875992845159</v>
      </c>
      <c r="J320" s="678">
        <f t="shared" si="135"/>
        <v>1.565458662703388</v>
      </c>
      <c r="K320" s="678">
        <f t="shared" si="136"/>
        <v>1.0004955845328731</v>
      </c>
      <c r="L320" s="679">
        <f t="shared" si="137"/>
        <v>3.1476338712314963E-2</v>
      </c>
      <c r="M320" s="678">
        <f t="shared" si="138"/>
        <v>1.0073725859070426</v>
      </c>
      <c r="N320" s="679">
        <f t="shared" si="139"/>
        <v>-0.12105844213491471</v>
      </c>
      <c r="O320" s="677">
        <f t="shared" si="140"/>
        <v>944602.13995045936</v>
      </c>
      <c r="P320" s="680">
        <f t="shared" si="141"/>
        <v>1.5707952681481312</v>
      </c>
      <c r="Q320" s="689">
        <f t="shared" si="163"/>
        <v>37.797316366069957</v>
      </c>
      <c r="R320" s="690">
        <f t="shared" si="164"/>
        <v>1.5443363345463075</v>
      </c>
      <c r="S320" s="677">
        <f t="shared" si="142"/>
        <v>1.0146411359703682</v>
      </c>
      <c r="T320" s="680">
        <f t="shared" si="143"/>
        <v>0.17008647214178674</v>
      </c>
      <c r="U320" s="681">
        <f t="shared" si="155"/>
        <v>0.94230731843903759</v>
      </c>
      <c r="V320" s="682">
        <f t="shared" si="156"/>
        <v>-0.42217842218375951</v>
      </c>
      <c r="W320" s="683">
        <f t="shared" si="144"/>
        <v>-26.024267415376848</v>
      </c>
      <c r="X320" s="684">
        <f t="shared" si="145"/>
        <v>-130.27711499439761</v>
      </c>
      <c r="Y320" s="687">
        <f t="shared" si="146"/>
        <v>49.722885005602393</v>
      </c>
      <c r="AA320" s="170">
        <f t="shared" si="147"/>
        <v>22778.5</v>
      </c>
      <c r="AB320" s="170">
        <f t="shared" si="148"/>
        <v>518860062.25</v>
      </c>
      <c r="AD320" s="686">
        <f t="shared" si="149"/>
        <v>17.023441601179098</v>
      </c>
      <c r="AE320" s="687">
        <f t="shared" si="150"/>
        <v>-11.261222244663031</v>
      </c>
      <c r="AG320" s="686">
        <f t="shared" si="151"/>
        <v>-1.0310511264971853</v>
      </c>
      <c r="AH320" s="687">
        <f t="shared" si="152"/>
        <v>-70.637809109211233</v>
      </c>
      <c r="AJ320" s="170">
        <f t="shared" si="153"/>
        <v>0</v>
      </c>
      <c r="AK320" s="170">
        <f t="shared" si="165"/>
        <v>0</v>
      </c>
      <c r="AM320" s="170" t="str">
        <f t="shared" si="157"/>
        <v>0.186670954236082+0.581803973273434i</v>
      </c>
      <c r="AN320" s="170" t="str">
        <f t="shared" si="158"/>
        <v>0.620944947313449i</v>
      </c>
      <c r="AO320" s="170" t="str">
        <f t="shared" si="159"/>
        <v>0.936965468179811-0.300624000636004i</v>
      </c>
      <c r="AP320" s="170" t="str">
        <f t="shared" si="160"/>
        <v>0.135554840960653-0.0969673288789057i</v>
      </c>
      <c r="AQ320" s="170" t="str">
        <f t="shared" si="161"/>
        <v>0.864445159039347+0.0969673288789057i</v>
      </c>
      <c r="AR320" s="170" t="str">
        <f t="shared" si="162"/>
        <v>0.951649503161244-0.106749293908977i</v>
      </c>
    </row>
    <row r="321" spans="7:44">
      <c r="G321" s="688">
        <v>22909</v>
      </c>
      <c r="H321" s="676">
        <f t="shared" si="154"/>
        <v>22.908999999999999</v>
      </c>
      <c r="I321" s="677">
        <f t="shared" si="134"/>
        <v>188.42206671303865</v>
      </c>
      <c r="J321" s="678">
        <f t="shared" si="135"/>
        <v>1.5654890678736899</v>
      </c>
      <c r="K321" s="678">
        <f t="shared" si="136"/>
        <v>1.0005012778659974</v>
      </c>
      <c r="L321" s="679">
        <f t="shared" si="137"/>
        <v>3.165654927335327E-2</v>
      </c>
      <c r="M321" s="678">
        <f t="shared" si="138"/>
        <v>1.00745699071298</v>
      </c>
      <c r="N321" s="679">
        <f t="shared" si="139"/>
        <v>-0.12174518269224212</v>
      </c>
      <c r="O321" s="677">
        <f t="shared" si="140"/>
        <v>950013.84744934633</v>
      </c>
      <c r="P321" s="680">
        <f t="shared" si="141"/>
        <v>1.5707952741786608</v>
      </c>
      <c r="Q321" s="689">
        <f t="shared" si="163"/>
        <v>38.013709323758661</v>
      </c>
      <c r="R321" s="690">
        <f t="shared" si="164"/>
        <v>1.5444869928567735</v>
      </c>
      <c r="S321" s="677">
        <f t="shared" si="142"/>
        <v>1.0148081496062478</v>
      </c>
      <c r="T321" s="680">
        <f t="shared" si="143"/>
        <v>0.17104207024659332</v>
      </c>
      <c r="U321" s="681">
        <f t="shared" si="155"/>
        <v>0.94170196234248005</v>
      </c>
      <c r="V321" s="682">
        <f t="shared" si="156"/>
        <v>-0.42446281281484255</v>
      </c>
      <c r="W321" s="683">
        <f t="shared" si="144"/>
        <v>-26.080154978127219</v>
      </c>
      <c r="X321" s="684">
        <f t="shared" si="145"/>
        <v>-130.48488505397486</v>
      </c>
      <c r="Y321" s="687">
        <f t="shared" si="146"/>
        <v>49.515114946025136</v>
      </c>
      <c r="AA321" s="170">
        <f t="shared" si="147"/>
        <v>22909</v>
      </c>
      <c r="AB321" s="170">
        <f t="shared" si="148"/>
        <v>524822281</v>
      </c>
      <c r="AD321" s="686">
        <f t="shared" si="149"/>
        <v>17.02197745466227</v>
      </c>
      <c r="AE321" s="687">
        <f t="shared" si="150"/>
        <v>-11.307342243217471</v>
      </c>
      <c r="AG321" s="686">
        <f t="shared" si="151"/>
        <v>-1.074310995966882</v>
      </c>
      <c r="AH321" s="687">
        <f t="shared" si="152"/>
        <v>-70.537687286094368</v>
      </c>
      <c r="AJ321" s="170">
        <f t="shared" si="153"/>
        <v>0</v>
      </c>
      <c r="AK321" s="170">
        <f t="shared" si="165"/>
        <v>0</v>
      </c>
      <c r="AM321" s="170" t="str">
        <f t="shared" si="157"/>
        <v>0.18874583341294+0.584693660984224i</v>
      </c>
      <c r="AN321" s="170" t="str">
        <f t="shared" si="158"/>
        <v>0.624502394714481i</v>
      </c>
      <c r="AO321" s="170" t="str">
        <f t="shared" si="159"/>
        <v>0.93625527449185-0.302233962608316i</v>
      </c>
      <c r="AP321" s="170" t="str">
        <f t="shared" si="160"/>
        <v>0.13520902776451-0.0974489434973707i</v>
      </c>
      <c r="AQ321" s="170" t="str">
        <f t="shared" si="161"/>
        <v>0.86479097223549+0.0974489434973707i</v>
      </c>
      <c r="AR321" s="170" t="str">
        <f t="shared" si="162"/>
        <v>0.951160800752954-0.1071815249064i</v>
      </c>
    </row>
    <row r="322" spans="7:44">
      <c r="G322" s="688">
        <v>23042.25</v>
      </c>
      <c r="H322" s="676">
        <f t="shared" si="154"/>
        <v>23.042249999999999</v>
      </c>
      <c r="I322" s="677">
        <f t="shared" si="134"/>
        <v>189.51799125122491</v>
      </c>
      <c r="J322" s="678">
        <f t="shared" si="135"/>
        <v>1.5655197584133134</v>
      </c>
      <c r="K322" s="678">
        <f t="shared" si="136"/>
        <v>1.0005071246995785</v>
      </c>
      <c r="L322" s="679">
        <f t="shared" si="137"/>
        <v>3.1840555252584397E-2</v>
      </c>
      <c r="M322" s="678">
        <f t="shared" si="138"/>
        <v>1.0075436643344649</v>
      </c>
      <c r="N322" s="679">
        <f t="shared" si="139"/>
        <v>-0.12244627573212437</v>
      </c>
      <c r="O322" s="677">
        <f t="shared" si="140"/>
        <v>955539.59476142831</v>
      </c>
      <c r="P322" s="680">
        <f t="shared" si="141"/>
        <v>1.5707952802657883</v>
      </c>
      <c r="Q322" s="689">
        <f t="shared" si="163"/>
        <v>38.234663166416624</v>
      </c>
      <c r="R322" s="690">
        <f t="shared" si="164"/>
        <v>1.5446390663408776</v>
      </c>
      <c r="S322" s="677">
        <f t="shared" si="142"/>
        <v>1.0149796385557877</v>
      </c>
      <c r="T322" s="680">
        <f t="shared" si="143"/>
        <v>0.17201748006812401</v>
      </c>
      <c r="U322" s="681">
        <f t="shared" si="155"/>
        <v>0.94108141969085801</v>
      </c>
      <c r="V322" s="682">
        <f t="shared" si="156"/>
        <v>-0.42679318503544589</v>
      </c>
      <c r="W322" s="683">
        <f t="shared" si="144"/>
        <v>-26.136958478268614</v>
      </c>
      <c r="X322" s="684">
        <f t="shared" si="145"/>
        <v>-130.69696493778085</v>
      </c>
      <c r="Y322" s="687">
        <f t="shared" si="146"/>
        <v>49.303035062219152</v>
      </c>
      <c r="AA322" s="170">
        <f t="shared" si="147"/>
        <v>23042.25</v>
      </c>
      <c r="AB322" s="170">
        <f t="shared" si="148"/>
        <v>530945285.0625</v>
      </c>
      <c r="AD322" s="686">
        <f t="shared" si="149"/>
        <v>17.020475120617618</v>
      </c>
      <c r="AE322" s="687">
        <f t="shared" si="150"/>
        <v>-11.354516289292391</v>
      </c>
      <c r="AG322" s="686">
        <f t="shared" si="151"/>
        <v>-1.118161104582875</v>
      </c>
      <c r="AH322" s="687">
        <f t="shared" si="152"/>
        <v>-70.435552137650106</v>
      </c>
      <c r="AJ322" s="170">
        <f t="shared" si="153"/>
        <v>0</v>
      </c>
      <c r="AK322" s="170">
        <f t="shared" si="165"/>
        <v>0</v>
      </c>
      <c r="AM322" s="170" t="str">
        <f t="shared" si="157"/>
        <v>0.190875029471051+0.587636607153202i</v>
      </c>
      <c r="AN322" s="170" t="str">
        <f t="shared" si="158"/>
        <v>0.628134807482202i</v>
      </c>
      <c r="AO322" s="170" t="str">
        <f t="shared" si="159"/>
        <v>0.935526259894223-0.303875899245497i</v>
      </c>
      <c r="AP322" s="170" t="str">
        <f t="shared" si="160"/>
        <v>0.134854161754825-0.0979394345255337i</v>
      </c>
      <c r="AQ322" s="170" t="str">
        <f t="shared" si="161"/>
        <v>0.865145838245175+0.0979394345255337i</v>
      </c>
      <c r="AR322" s="170" t="str">
        <f t="shared" si="162"/>
        <v>0.950660231988891-0.107620150766441i</v>
      </c>
    </row>
    <row r="323" spans="7:44">
      <c r="G323" s="688">
        <v>23175.5</v>
      </c>
      <c r="H323" s="676">
        <f t="shared" si="154"/>
        <v>23.1755</v>
      </c>
      <c r="I323" s="677">
        <f t="shared" si="134"/>
        <v>190.61391596586728</v>
      </c>
      <c r="J323" s="678">
        <f t="shared" si="135"/>
        <v>1.5655500960456685</v>
      </c>
      <c r="K323" s="678">
        <f t="shared" si="136"/>
        <v>1.0005130054081333</v>
      </c>
      <c r="L323" s="679">
        <f t="shared" si="137"/>
        <v>3.2024559074984096E-2</v>
      </c>
      <c r="M323" s="678">
        <f t="shared" si="138"/>
        <v>1.0076308331100086</v>
      </c>
      <c r="N323" s="679">
        <f t="shared" si="139"/>
        <v>-0.12314724781529256</v>
      </c>
      <c r="O323" s="677">
        <f t="shared" si="140"/>
        <v>961065.34207351028</v>
      </c>
      <c r="P323" s="680">
        <f t="shared" si="141"/>
        <v>1.5707952862829186</v>
      </c>
      <c r="Q323" s="689">
        <f t="shared" si="163"/>
        <v>38.455617883141564</v>
      </c>
      <c r="R323" s="690">
        <f t="shared" si="164"/>
        <v>1.5447893922890301</v>
      </c>
      <c r="S323" s="677">
        <f t="shared" si="142"/>
        <v>1.0151520928548421</v>
      </c>
      <c r="T323" s="680">
        <f t="shared" si="143"/>
        <v>0.17299255941136335</v>
      </c>
      <c r="U323" s="681">
        <f t="shared" si="155"/>
        <v>0.94045843798040785</v>
      </c>
      <c r="V323" s="682">
        <f t="shared" si="156"/>
        <v>-0.42912137103423753</v>
      </c>
      <c r="W323" s="683">
        <f t="shared" si="144"/>
        <v>-26.193500750800762</v>
      </c>
      <c r="X323" s="684">
        <f t="shared" si="145"/>
        <v>-130.90897372088767</v>
      </c>
      <c r="Y323" s="687">
        <f t="shared" si="146"/>
        <v>49.091026279112327</v>
      </c>
      <c r="AA323" s="170">
        <f t="shared" si="147"/>
        <v>23175.5</v>
      </c>
      <c r="AB323" s="170">
        <f t="shared" si="148"/>
        <v>537103800.25</v>
      </c>
      <c r="AD323" s="686">
        <f t="shared" si="149"/>
        <v>17.018965370599808</v>
      </c>
      <c r="AE323" s="687">
        <f t="shared" si="150"/>
        <v>-11.401771522780116</v>
      </c>
      <c r="AG323" s="686">
        <f t="shared" si="151"/>
        <v>-1.1616899630973652</v>
      </c>
      <c r="AH323" s="687">
        <f t="shared" si="152"/>
        <v>-70.333515223659901</v>
      </c>
      <c r="AJ323" s="170">
        <f t="shared" si="153"/>
        <v>0</v>
      </c>
      <c r="AK323" s="170">
        <f t="shared" si="165"/>
        <v>0</v>
      </c>
      <c r="AM323" s="170" t="str">
        <f t="shared" si="157"/>
        <v>0.193014901454151+0.590571799805025i</v>
      </c>
      <c r="AN323" s="170" t="str">
        <f t="shared" si="158"/>
        <v>0.631767220249922i</v>
      </c>
      <c r="AO323" s="170" t="str">
        <f t="shared" si="159"/>
        <v>0.93479335564672-0.3055158534148i</v>
      </c>
      <c r="AP323" s="170" t="str">
        <f t="shared" si="160"/>
        <v>0.134497516424308-0.0984286333008375i</v>
      </c>
      <c r="AQ323" s="170" t="str">
        <f t="shared" si="161"/>
        <v>0.865502483575692+0.0984286333008375i</v>
      </c>
      <c r="AR323" s="170" t="str">
        <f t="shared" si="162"/>
        <v>0.950158096815787-0.108056030645837i</v>
      </c>
    </row>
    <row r="324" spans="7:44">
      <c r="G324" s="688">
        <v>23308.75</v>
      </c>
      <c r="H324" s="676">
        <f t="shared" si="154"/>
        <v>23.30875</v>
      </c>
      <c r="I324" s="677">
        <f t="shared" si="134"/>
        <v>191.70984085393957</v>
      </c>
      <c r="J324" s="678">
        <f t="shared" si="135"/>
        <v>1.5655800868229686</v>
      </c>
      <c r="K324" s="678">
        <f t="shared" si="136"/>
        <v>1.0005189199910651</v>
      </c>
      <c r="L324" s="679">
        <f t="shared" si="137"/>
        <v>3.220856072813072E-2</v>
      </c>
      <c r="M324" s="678">
        <f t="shared" si="138"/>
        <v>1.0077184969111166</v>
      </c>
      <c r="N324" s="679">
        <f t="shared" si="139"/>
        <v>-0.12384809828436327</v>
      </c>
      <c r="O324" s="677">
        <f t="shared" si="140"/>
        <v>966591.08938559226</v>
      </c>
      <c r="P324" s="680">
        <f t="shared" si="141"/>
        <v>1.5707952922312522</v>
      </c>
      <c r="Q324" s="689">
        <f t="shared" si="163"/>
        <v>38.676573458953179</v>
      </c>
      <c r="R324" s="690">
        <f t="shared" si="164"/>
        <v>1.5449380006448967</v>
      </c>
      <c r="S324" s="677">
        <f t="shared" si="142"/>
        <v>1.0153255120115134</v>
      </c>
      <c r="T324" s="680">
        <f t="shared" si="143"/>
        <v>0.17396730659101092</v>
      </c>
      <c r="U324" s="681">
        <f t="shared" si="155"/>
        <v>0.93983303361582538</v>
      </c>
      <c r="V324" s="682">
        <f t="shared" si="156"/>
        <v>-0.43144736402009809</v>
      </c>
      <c r="W324" s="683">
        <f t="shared" si="144"/>
        <v>-26.249785031467475</v>
      </c>
      <c r="X324" s="684">
        <f t="shared" si="145"/>
        <v>-131.12090951186806</v>
      </c>
      <c r="Y324" s="687">
        <f t="shared" si="146"/>
        <v>48.879090488131936</v>
      </c>
      <c r="AA324" s="170">
        <f t="shared" si="147"/>
        <v>23308.75</v>
      </c>
      <c r="AB324" s="170">
        <f t="shared" si="148"/>
        <v>543297826.5625</v>
      </c>
      <c r="AD324" s="686">
        <f t="shared" si="149"/>
        <v>17.017448199363482</v>
      </c>
      <c r="AE324" s="687">
        <f t="shared" si="150"/>
        <v>-11.449106131543175</v>
      </c>
      <c r="AG324" s="686">
        <f t="shared" si="151"/>
        <v>-1.2049010056683174</v>
      </c>
      <c r="AH324" s="687">
        <f t="shared" si="152"/>
        <v>-70.231577243038984</v>
      </c>
      <c r="AJ324" s="170">
        <f t="shared" si="153"/>
        <v>0</v>
      </c>
      <c r="AK324" s="170">
        <f t="shared" si="165"/>
        <v>0</v>
      </c>
      <c r="AM324" s="170" t="str">
        <f t="shared" si="157"/>
        <v>0.195165421127897+0.593499200211563i</v>
      </c>
      <c r="AN324" s="170" t="str">
        <f t="shared" si="158"/>
        <v>0.635399633017642i</v>
      </c>
      <c r="AO324" s="170" t="str">
        <f t="shared" si="159"/>
        <v>0.934056567506838-0.307153814680403i</v>
      </c>
      <c r="AP324" s="170" t="str">
        <f t="shared" si="160"/>
        <v>0.134139096478684-0.0989165333685938i</v>
      </c>
      <c r="AQ324" s="170" t="str">
        <f t="shared" si="161"/>
        <v>0.865860903521316+0.0989165333685938i</v>
      </c>
      <c r="AR324" s="170" t="str">
        <f t="shared" si="162"/>
        <v>0.949654413311898-0.108489160419386i</v>
      </c>
    </row>
    <row r="325" spans="7:44">
      <c r="G325" s="688">
        <v>23442</v>
      </c>
      <c r="H325" s="676">
        <f t="shared" si="154"/>
        <v>23.442</v>
      </c>
      <c r="I325" s="677">
        <f t="shared" si="134"/>
        <v>192.80576591248439</v>
      </c>
      <c r="J325" s="678">
        <f t="shared" si="135"/>
        <v>1.5656097366598234</v>
      </c>
      <c r="K325" s="678">
        <f t="shared" si="136"/>
        <v>1.000524868447773</v>
      </c>
      <c r="L325" s="679">
        <f t="shared" si="137"/>
        <v>3.2392560199603494E-2</v>
      </c>
      <c r="M325" s="678">
        <f t="shared" si="138"/>
        <v>1.00780665560861</v>
      </c>
      <c r="N325" s="679">
        <f t="shared" si="139"/>
        <v>-0.12454882648265901</v>
      </c>
      <c r="O325" s="677">
        <f t="shared" si="140"/>
        <v>972116.83669767436</v>
      </c>
      <c r="P325" s="680">
        <f t="shared" si="141"/>
        <v>1.5707952981119624</v>
      </c>
      <c r="Q325" s="689">
        <f t="shared" si="163"/>
        <v>38.897529879211461</v>
      </c>
      <c r="R325" s="690">
        <f t="shared" si="164"/>
        <v>1.5450849206720738</v>
      </c>
      <c r="S325" s="677">
        <f t="shared" si="142"/>
        <v>1.0154998955314893</v>
      </c>
      <c r="T325" s="680">
        <f t="shared" si="143"/>
        <v>0.17494171992543908</v>
      </c>
      <c r="U325" s="681">
        <f t="shared" si="155"/>
        <v>0.93920522300600306</v>
      </c>
      <c r="V325" s="682">
        <f t="shared" si="156"/>
        <v>-0.43377115728070353</v>
      </c>
      <c r="W325" s="683">
        <f t="shared" si="144"/>
        <v>-26.305814498517499</v>
      </c>
      <c r="X325" s="684">
        <f t="shared" si="145"/>
        <v>-131.33277045513961</v>
      </c>
      <c r="Y325" s="687">
        <f t="shared" si="146"/>
        <v>48.66722954486039</v>
      </c>
      <c r="AA325" s="170">
        <f t="shared" si="147"/>
        <v>23442</v>
      </c>
      <c r="AB325" s="170">
        <f t="shared" si="148"/>
        <v>549527364</v>
      </c>
      <c r="AD325" s="686">
        <f t="shared" si="149"/>
        <v>17.015923602086328</v>
      </c>
      <c r="AE325" s="687">
        <f t="shared" si="150"/>
        <v>-11.496518342618025</v>
      </c>
      <c r="AG325" s="686">
        <f t="shared" si="151"/>
        <v>-1.2477976096611412</v>
      </c>
      <c r="AH325" s="687">
        <f t="shared" si="152"/>
        <v>-70.129738882344128</v>
      </c>
      <c r="AJ325" s="170">
        <f t="shared" si="153"/>
        <v>0</v>
      </c>
      <c r="AK325" s="170">
        <f t="shared" si="165"/>
        <v>0</v>
      </c>
      <c r="AM325" s="170" t="str">
        <f t="shared" si="157"/>
        <v>0.197326560117456+0.596418769747502i</v>
      </c>
      <c r="AN325" s="170" t="str">
        <f t="shared" si="158"/>
        <v>0.639032045785363i</v>
      </c>
      <c r="AO325" s="170" t="str">
        <f t="shared" si="159"/>
        <v>0.933315901262057-0.308789772623913i</v>
      </c>
      <c r="AP325" s="170" t="str">
        <f t="shared" si="160"/>
        <v>0.133778906647091-0.0994031282912503i</v>
      </c>
      <c r="AQ325" s="170" t="str">
        <f t="shared" si="161"/>
        <v>0.866221093352909+0.0994031282912503i</v>
      </c>
      <c r="AR325" s="170" t="str">
        <f t="shared" si="162"/>
        <v>0.949149199538738-0.108919536101447i</v>
      </c>
    </row>
    <row r="326" spans="7:44">
      <c r="G326" s="688">
        <v>23578.5</v>
      </c>
      <c r="H326" s="676">
        <f t="shared" si="154"/>
        <v>23.578499999999998</v>
      </c>
      <c r="I326" s="677">
        <f t="shared" si="134"/>
        <v>193.9284210242449</v>
      </c>
      <c r="J326" s="678">
        <f t="shared" si="135"/>
        <v>1.5656397621901561</v>
      </c>
      <c r="K326" s="678">
        <f t="shared" si="136"/>
        <v>1.0005309971112952</v>
      </c>
      <c r="L326" s="679">
        <f t="shared" si="137"/>
        <v>3.258104518794068E-2</v>
      </c>
      <c r="M326" s="678">
        <f t="shared" si="138"/>
        <v>1.0078974775320395</v>
      </c>
      <c r="N326" s="679">
        <f t="shared" si="139"/>
        <v>-0.12526651814646883</v>
      </c>
      <c r="O326" s="677">
        <f t="shared" si="140"/>
        <v>977777.35833444144</v>
      </c>
      <c r="P326" s="680">
        <f t="shared" si="141"/>
        <v>1.5707953040671851</v>
      </c>
      <c r="Q326" s="689">
        <f t="shared" si="163"/>
        <v>39.123876341088263</v>
      </c>
      <c r="R326" s="690">
        <f t="shared" si="164"/>
        <v>1.5452337034102273</v>
      </c>
      <c r="S326" s="677">
        <f t="shared" si="142"/>
        <v>1.0156795317205367</v>
      </c>
      <c r="T326" s="680">
        <f t="shared" si="143"/>
        <v>0.17593955152643859</v>
      </c>
      <c r="U326" s="681">
        <f t="shared" si="155"/>
        <v>0.93855962210377264</v>
      </c>
      <c r="V326" s="682">
        <f t="shared" si="156"/>
        <v>-0.43614934063471833</v>
      </c>
      <c r="W326" s="683">
        <f t="shared" si="144"/>
        <v>-26.362949589256786</v>
      </c>
      <c r="X326" s="684">
        <f t="shared" si="145"/>
        <v>-131.54971922729186</v>
      </c>
      <c r="Y326" s="687">
        <f t="shared" si="146"/>
        <v>48.45028077270814</v>
      </c>
      <c r="AA326" s="170">
        <f t="shared" si="147"/>
        <v>23578.5</v>
      </c>
      <c r="AB326" s="170">
        <f t="shared" si="148"/>
        <v>555945662.25</v>
      </c>
      <c r="AD326" s="686">
        <f t="shared" si="149"/>
        <v>17.014354114965887</v>
      </c>
      <c r="AE326" s="687">
        <f t="shared" si="150"/>
        <v>-11.545165600324205</v>
      </c>
      <c r="AG326" s="686">
        <f t="shared" si="151"/>
        <v>-1.2914179083658666</v>
      </c>
      <c r="AH326" s="687">
        <f t="shared" si="152"/>
        <v>-70.02552065829218</v>
      </c>
      <c r="AJ326" s="170">
        <f t="shared" si="153"/>
        <v>0</v>
      </c>
      <c r="AK326" s="170">
        <f t="shared" si="165"/>
        <v>0</v>
      </c>
      <c r="AM326" s="170" t="str">
        <f t="shared" si="157"/>
        <v>0.199551390992142+0.599401388334549i</v>
      </c>
      <c r="AN326" s="170" t="str">
        <f t="shared" si="158"/>
        <v>0.642753053986442i</v>
      </c>
      <c r="AO326" s="170" t="str">
        <f t="shared" si="159"/>
        <v>0.932553154927822-0.310463543898387i</v>
      </c>
      <c r="AP326" s="170" t="str">
        <f t="shared" si="160"/>
        <v>0.13340810150131-0.0999002313890915i</v>
      </c>
      <c r="AQ326" s="170" t="str">
        <f t="shared" si="161"/>
        <v>0.86659189849869+0.0999002313890915i</v>
      </c>
      <c r="AR326" s="170" t="str">
        <f t="shared" si="162"/>
        <v>0.9486300956296-0.109357549061135i</v>
      </c>
    </row>
    <row r="327" spans="7:44">
      <c r="G327" s="688">
        <v>23715</v>
      </c>
      <c r="H327" s="676">
        <f t="shared" si="154"/>
        <v>23.715</v>
      </c>
      <c r="I327" s="677">
        <f t="shared" si="134"/>
        <v>195.0510763088256</v>
      </c>
      <c r="J327" s="678">
        <f t="shared" si="135"/>
        <v>1.5656694420846857</v>
      </c>
      <c r="K327" s="678">
        <f t="shared" si="136"/>
        <v>1.0005371613198368</v>
      </c>
      <c r="L327" s="679">
        <f t="shared" si="137"/>
        <v>3.2769527860499928E-2</v>
      </c>
      <c r="M327" s="678">
        <f t="shared" si="138"/>
        <v>1.0079888185109276</v>
      </c>
      <c r="N327" s="679">
        <f t="shared" si="139"/>
        <v>-0.12598408010961479</v>
      </c>
      <c r="O327" s="677">
        <f t="shared" si="140"/>
        <v>983437.87997120852</v>
      </c>
      <c r="P327" s="680">
        <f t="shared" si="141"/>
        <v>1.5707953099538532</v>
      </c>
      <c r="Q327" s="689">
        <f t="shared" si="163"/>
        <v>39.350223659059729</v>
      </c>
      <c r="R327" s="690">
        <f t="shared" si="164"/>
        <v>1.54538077451845</v>
      </c>
      <c r="S327" s="677">
        <f t="shared" si="142"/>
        <v>1.015860178830855</v>
      </c>
      <c r="T327" s="680">
        <f t="shared" si="143"/>
        <v>0.17693702923800708</v>
      </c>
      <c r="U327" s="681">
        <f t="shared" si="155"/>
        <v>0.93791153101447866</v>
      </c>
      <c r="V327" s="682">
        <f t="shared" si="156"/>
        <v>-0.43852520164506131</v>
      </c>
      <c r="W327" s="683">
        <f t="shared" si="144"/>
        <v>-26.41982385723113</v>
      </c>
      <c r="X327" s="684">
        <f t="shared" si="145"/>
        <v>-131.76658562573638</v>
      </c>
      <c r="Y327" s="687">
        <f t="shared" si="146"/>
        <v>48.233414374263617</v>
      </c>
      <c r="AA327" s="170">
        <f t="shared" si="147"/>
        <v>23715</v>
      </c>
      <c r="AB327" s="170">
        <f t="shared" si="148"/>
        <v>562401225</v>
      </c>
      <c r="AD327" s="686">
        <f t="shared" si="149"/>
        <v>17.012776826201467</v>
      </c>
      <c r="AE327" s="687">
        <f t="shared" si="150"/>
        <v>-11.59389064690288</v>
      </c>
      <c r="AG327" s="686">
        <f t="shared" si="151"/>
        <v>-1.3347152404903639</v>
      </c>
      <c r="AH327" s="687">
        <f t="shared" si="152"/>
        <v>-69.921408392642192</v>
      </c>
      <c r="AJ327" s="170">
        <f t="shared" si="153"/>
        <v>0</v>
      </c>
      <c r="AK327" s="170">
        <f t="shared" si="165"/>
        <v>0</v>
      </c>
      <c r="AM327" s="170" t="str">
        <f t="shared" si="157"/>
        <v>0.201787304787062+0.602375707678271i</v>
      </c>
      <c r="AN327" s="170" t="str">
        <f t="shared" si="158"/>
        <v>0.646474062187521i</v>
      </c>
      <c r="AO327" s="170" t="str">
        <f t="shared" si="159"/>
        <v>0.931786351396634-0.312135190860187i</v>
      </c>
      <c r="AP327" s="170" t="str">
        <f t="shared" si="160"/>
        <v>0.133035449202156-0.100395951279712i</v>
      </c>
      <c r="AQ327" s="170" t="str">
        <f t="shared" si="161"/>
        <v>0.866964550797844+0.100395951279712i</v>
      </c>
      <c r="AR327" s="170" t="str">
        <f t="shared" si="162"/>
        <v>0.948109424203477-0.10979266392446i</v>
      </c>
    </row>
    <row r="328" spans="7:44">
      <c r="G328" s="688">
        <v>23851.5</v>
      </c>
      <c r="H328" s="676">
        <f t="shared" si="154"/>
        <v>23.851500000000001</v>
      </c>
      <c r="I328" s="677">
        <f t="shared" si="134"/>
        <v>196.17373176325947</v>
      </c>
      <c r="J328" s="678">
        <f t="shared" si="135"/>
        <v>1.5656987822773329</v>
      </c>
      <c r="K328" s="678">
        <f t="shared" si="136"/>
        <v>1.0005433610727403</v>
      </c>
      <c r="L328" s="679">
        <f t="shared" si="137"/>
        <v>3.2958008203932208E-2</v>
      </c>
      <c r="M328" s="678">
        <f t="shared" si="138"/>
        <v>1.0080806784041816</v>
      </c>
      <c r="N328" s="679">
        <f t="shared" si="139"/>
        <v>-0.12670151166851551</v>
      </c>
      <c r="O328" s="677">
        <f t="shared" si="140"/>
        <v>989098.40160797548</v>
      </c>
      <c r="P328" s="680">
        <f t="shared" si="141"/>
        <v>1.5707953157731436</v>
      </c>
      <c r="Q328" s="689">
        <f t="shared" si="163"/>
        <v>39.576571818437273</v>
      </c>
      <c r="R328" s="690">
        <f t="shared" si="164"/>
        <v>1.5455261633580235</v>
      </c>
      <c r="S328" s="677">
        <f t="shared" si="142"/>
        <v>1.016041836323234</v>
      </c>
      <c r="T328" s="680">
        <f t="shared" si="143"/>
        <v>0.17793415126453108</v>
      </c>
      <c r="U328" s="681">
        <f t="shared" si="155"/>
        <v>0.93726096738445197</v>
      </c>
      <c r="V328" s="682">
        <f t="shared" si="156"/>
        <v>-0.44089873335287072</v>
      </c>
      <c r="W328" s="683">
        <f t="shared" si="144"/>
        <v>-26.476440539754819</v>
      </c>
      <c r="X328" s="684">
        <f t="shared" si="145"/>
        <v>-131.98336776710971</v>
      </c>
      <c r="Y328" s="687">
        <f t="shared" si="146"/>
        <v>48.016632232890288</v>
      </c>
      <c r="AA328" s="170">
        <f t="shared" si="147"/>
        <v>23851.5</v>
      </c>
      <c r="AB328" s="170">
        <f t="shared" si="148"/>
        <v>568894052.25</v>
      </c>
      <c r="AD328" s="686">
        <f t="shared" si="149"/>
        <v>17.011191731905765</v>
      </c>
      <c r="AE328" s="687">
        <f t="shared" si="150"/>
        <v>-11.64269169726292</v>
      </c>
      <c r="AG328" s="686">
        <f t="shared" si="151"/>
        <v>-1.3776930595328665</v>
      </c>
      <c r="AH328" s="687">
        <f t="shared" si="152"/>
        <v>-69.817402784548847</v>
      </c>
      <c r="AJ328" s="170">
        <f t="shared" si="153"/>
        <v>0</v>
      </c>
      <c r="AK328" s="170">
        <f t="shared" si="165"/>
        <v>0</v>
      </c>
      <c r="AM328" s="170" t="str">
        <f t="shared" si="157"/>
        <v>0.20403427054401+0.605341686596582i</v>
      </c>
      <c r="AN328" s="170" t="str">
        <f t="shared" si="158"/>
        <v>0.650195070388601i</v>
      </c>
      <c r="AO328" s="170" t="str">
        <f t="shared" si="159"/>
        <v>0.931015496987371-0.313804702367345i</v>
      </c>
      <c r="AP328" s="170" t="str">
        <f t="shared" si="160"/>
        <v>0.132660954909332-0.10089028109943i</v>
      </c>
      <c r="AQ328" s="170" t="str">
        <f t="shared" si="161"/>
        <v>0.867339045090668+0.10089028109943i</v>
      </c>
      <c r="AR328" s="170" t="str">
        <f t="shared" si="162"/>
        <v>0.947587204613487-0.110224876858488i</v>
      </c>
    </row>
    <row r="329" spans="7:44">
      <c r="G329" s="688">
        <v>23988</v>
      </c>
      <c r="H329" s="676">
        <f t="shared" si="154"/>
        <v>23.988</v>
      </c>
      <c r="I329" s="677">
        <f t="shared" si="134"/>
        <v>197.29638738464703</v>
      </c>
      <c r="J329" s="678">
        <f t="shared" si="135"/>
        <v>1.5657277885669605</v>
      </c>
      <c r="K329" s="678">
        <f t="shared" si="136"/>
        <v>1.0005495963693454</v>
      </c>
      <c r="L329" s="679">
        <f t="shared" si="137"/>
        <v>3.3146486204889483E-2</v>
      </c>
      <c r="M329" s="678">
        <f t="shared" si="138"/>
        <v>1.0081730570699579</v>
      </c>
      <c r="N329" s="679">
        <f t="shared" si="139"/>
        <v>-0.12741881212038222</v>
      </c>
      <c r="O329" s="677">
        <f t="shared" si="140"/>
        <v>994758.92324474279</v>
      </c>
      <c r="P329" s="680">
        <f t="shared" si="141"/>
        <v>1.5707953215262063</v>
      </c>
      <c r="Q329" s="689">
        <f t="shared" si="163"/>
        <v>39.802920804866368</v>
      </c>
      <c r="R329" s="690">
        <f t="shared" si="164"/>
        <v>1.5456698986226374</v>
      </c>
      <c r="S329" s="677">
        <f t="shared" si="142"/>
        <v>1.0162245036558344</v>
      </c>
      <c r="T329" s="680">
        <f t="shared" si="143"/>
        <v>0.17893091581450649</v>
      </c>
      <c r="U329" s="681">
        <f t="shared" si="155"/>
        <v>0.9366079488603074</v>
      </c>
      <c r="V329" s="682">
        <f t="shared" si="156"/>
        <v>-0.44326992888568817</v>
      </c>
      <c r="W329" s="683">
        <f t="shared" si="144"/>
        <v>-26.532802816421366</v>
      </c>
      <c r="X329" s="684">
        <f t="shared" si="145"/>
        <v>-132.20006380379039</v>
      </c>
      <c r="Y329" s="687">
        <f t="shared" si="146"/>
        <v>47.799936196209615</v>
      </c>
      <c r="AA329" s="170">
        <f t="shared" si="147"/>
        <v>23988</v>
      </c>
      <c r="AB329" s="170">
        <f t="shared" si="148"/>
        <v>575424144</v>
      </c>
      <c r="AD329" s="686">
        <f t="shared" si="149"/>
        <v>17.009598828602094</v>
      </c>
      <c r="AE329" s="687">
        <f t="shared" si="150"/>
        <v>-11.691567004797253</v>
      </c>
      <c r="AG329" s="686">
        <f t="shared" si="151"/>
        <v>-1.4203547619423049</v>
      </c>
      <c r="AH329" s="687">
        <f t="shared" si="152"/>
        <v>-69.713504520523259</v>
      </c>
      <c r="AJ329" s="170">
        <f t="shared" si="153"/>
        <v>0</v>
      </c>
      <c r="AK329" s="170">
        <f t="shared" si="165"/>
        <v>0</v>
      </c>
      <c r="AM329" s="170" t="str">
        <f t="shared" si="157"/>
        <v>0.206292257151753+0.608299284022874i</v>
      </c>
      <c r="AN329" s="170" t="str">
        <f t="shared" si="158"/>
        <v>0.65391607858968i</v>
      </c>
      <c r="AO329" s="170" t="str">
        <f t="shared" si="159"/>
        <v>0.930240598051681-0.315472067297488i</v>
      </c>
      <c r="AP329" s="170" t="str">
        <f t="shared" si="160"/>
        <v>0.132284623808041-0.101383214003812i</v>
      </c>
      <c r="AQ329" s="170" t="str">
        <f t="shared" si="161"/>
        <v>0.867715376191959+0.101383214003812i</v>
      </c>
      <c r="AR329" s="170" t="str">
        <f t="shared" si="162"/>
        <v>0.947063456189052-0.1106541841812i</v>
      </c>
    </row>
    <row r="330" spans="7:44">
      <c r="G330" s="688">
        <v>24127.75</v>
      </c>
      <c r="H330" s="676">
        <f t="shared" si="154"/>
        <v>24.127749999999999</v>
      </c>
      <c r="I330" s="677">
        <f t="shared" si="134"/>
        <v>198.44577307178673</v>
      </c>
      <c r="J330" s="678">
        <f t="shared" si="135"/>
        <v>1.5657571454772099</v>
      </c>
      <c r="K330" s="678">
        <f t="shared" si="136"/>
        <v>1.0005560169478938</v>
      </c>
      <c r="L330" s="679">
        <f t="shared" si="137"/>
        <v>3.333944933656207E-2</v>
      </c>
      <c r="M330" s="678">
        <f t="shared" si="138"/>
        <v>1.0082681725260321</v>
      </c>
      <c r="N330" s="679">
        <f t="shared" si="139"/>
        <v>-0.12815305459481693</v>
      </c>
      <c r="O330" s="677">
        <f t="shared" si="140"/>
        <v>1000554.2192061947</v>
      </c>
      <c r="P330" s="680">
        <f t="shared" si="141"/>
        <v>1.5707953273488089</v>
      </c>
      <c r="Q330" s="689">
        <f t="shared" si="163"/>
        <v>40.034659895052293</v>
      </c>
      <c r="R330" s="690">
        <f t="shared" si="164"/>
        <v>1.5458153723367138</v>
      </c>
      <c r="S330" s="677">
        <f t="shared" si="142"/>
        <v>1.0164125658342658</v>
      </c>
      <c r="T330" s="680">
        <f t="shared" si="143"/>
        <v>0.17995104064248291</v>
      </c>
      <c r="U330" s="681">
        <f t="shared" si="155"/>
        <v>0.93593685743744204</v>
      </c>
      <c r="V330" s="682">
        <f t="shared" si="156"/>
        <v>-0.44569515409728516</v>
      </c>
      <c r="W330" s="683">
        <f t="shared" si="144"/>
        <v>-26.590246749117178</v>
      </c>
      <c r="X330" s="684">
        <f t="shared" si="145"/>
        <v>-132.42182817295517</v>
      </c>
      <c r="Y330" s="687">
        <f t="shared" si="146"/>
        <v>47.578171827044827</v>
      </c>
      <c r="AA330" s="170">
        <f t="shared" si="147"/>
        <v>24127.75</v>
      </c>
      <c r="AB330" s="170">
        <f t="shared" si="148"/>
        <v>582148320.0625</v>
      </c>
      <c r="AD330" s="686">
        <f t="shared" si="149"/>
        <v>17.007959905702297</v>
      </c>
      <c r="AE330" s="687">
        <f t="shared" si="150"/>
        <v>-11.741681155837956</v>
      </c>
      <c r="AG330" s="686">
        <f t="shared" si="151"/>
        <v>-1.4637082111326329</v>
      </c>
      <c r="AH330" s="687">
        <f t="shared" si="152"/>
        <v>-69.607244400343347</v>
      </c>
      <c r="AJ330" s="170">
        <f t="shared" si="153"/>
        <v>0</v>
      </c>
      <c r="AK330" s="170">
        <f t="shared" si="165"/>
        <v>0</v>
      </c>
      <c r="AM330" s="170" t="str">
        <f t="shared" si="157"/>
        <v>0.208615390274572+0.611318574468117i</v>
      </c>
      <c r="AN330" s="170" t="str">
        <f t="shared" si="158"/>
        <v>0.657725682224118i</v>
      </c>
      <c r="AO330" s="170" t="str">
        <f t="shared" si="159"/>
        <v>0.929443065688002-0.317176895950198i</v>
      </c>
      <c r="AP330" s="170" t="str">
        <f t="shared" si="160"/>
        <v>0.131897434954238-0.101886429078019i</v>
      </c>
      <c r="AQ330" s="170" t="str">
        <f t="shared" si="161"/>
        <v>0.868102565045762+0.101886429078019i</v>
      </c>
      <c r="AR330" s="170" t="str">
        <f t="shared" si="162"/>
        <v>0.946525673852941-0.111090699213011i</v>
      </c>
    </row>
    <row r="331" spans="7:44">
      <c r="G331" s="688">
        <v>24267.5</v>
      </c>
      <c r="H331" s="676">
        <f t="shared" si="154"/>
        <v>24.267499999999998</v>
      </c>
      <c r="I331" s="677">
        <f t="shared" si="134"/>
        <v>199.59515892798288</v>
      </c>
      <c r="J331" s="678">
        <f t="shared" si="135"/>
        <v>1.5657861642789086</v>
      </c>
      <c r="K331" s="678">
        <f t="shared" si="136"/>
        <v>1.0005624747814363</v>
      </c>
      <c r="L331" s="679">
        <f t="shared" si="137"/>
        <v>3.3532409984572888E-2</v>
      </c>
      <c r="M331" s="678">
        <f t="shared" si="138"/>
        <v>1.0083638314488714</v>
      </c>
      <c r="N331" s="679">
        <f t="shared" si="139"/>
        <v>-0.12888715815641799</v>
      </c>
      <c r="O331" s="677">
        <f t="shared" si="140"/>
        <v>1006349.5151676469</v>
      </c>
      <c r="P331" s="680">
        <f t="shared" si="141"/>
        <v>1.5707953331043498</v>
      </c>
      <c r="Q331" s="689">
        <f t="shared" si="163"/>
        <v>40.266399822723812</v>
      </c>
      <c r="R331" s="690">
        <f t="shared" si="164"/>
        <v>1.5459591716022454</v>
      </c>
      <c r="S331" s="677">
        <f t="shared" si="142"/>
        <v>1.0166016853551905</v>
      </c>
      <c r="T331" s="680">
        <f t="shared" si="143"/>
        <v>0.18097078698146493</v>
      </c>
      <c r="U331" s="681">
        <f t="shared" si="155"/>
        <v>0.93526323025964553</v>
      </c>
      <c r="V331" s="682">
        <f t="shared" si="156"/>
        <v>-0.44811791626133252</v>
      </c>
      <c r="W331" s="683">
        <f t="shared" si="144"/>
        <v>-26.647430582403551</v>
      </c>
      <c r="X331" s="684">
        <f t="shared" si="145"/>
        <v>-132.64349848005213</v>
      </c>
      <c r="Y331" s="687">
        <f t="shared" si="146"/>
        <v>47.356501519947869</v>
      </c>
      <c r="AA331" s="170">
        <f t="shared" si="147"/>
        <v>24267.5</v>
      </c>
      <c r="AB331" s="170">
        <f t="shared" si="148"/>
        <v>588911556.25</v>
      </c>
      <c r="AD331" s="686">
        <f t="shared" si="149"/>
        <v>17.00631279139958</v>
      </c>
      <c r="AE331" s="687">
        <f t="shared" si="150"/>
        <v>-11.791869556049059</v>
      </c>
      <c r="AG331" s="686">
        <f t="shared" si="151"/>
        <v>-1.5067373386197458</v>
      </c>
      <c r="AH331" s="687">
        <f t="shared" si="152"/>
        <v>-69.501098213384154</v>
      </c>
      <c r="AJ331" s="170">
        <f t="shared" si="153"/>
        <v>0</v>
      </c>
      <c r="AK331" s="170">
        <f t="shared" si="165"/>
        <v>0</v>
      </c>
      <c r="AM331" s="170" t="str">
        <f t="shared" si="157"/>
        <v>0.210950008811534+0.614328992808806i</v>
      </c>
      <c r="AN331" s="170" t="str">
        <f t="shared" si="158"/>
        <v>0.661535285858557i</v>
      </c>
      <c r="AO331" s="170" t="str">
        <f t="shared" si="159"/>
        <v>0.928641307487498-0.318879451060207i</v>
      </c>
      <c r="AP331" s="170" t="str">
        <f t="shared" si="160"/>
        <v>0.131508331864744-0.102388165468134i</v>
      </c>
      <c r="AQ331" s="170" t="str">
        <f t="shared" si="161"/>
        <v>0.868491668135256+0.102388165468134i</v>
      </c>
      <c r="AR331" s="170" t="str">
        <f t="shared" si="162"/>
        <v>0.945986329936471-0.111524161294595i</v>
      </c>
    </row>
    <row r="332" spans="7:44">
      <c r="G332" s="688">
        <v>24407.25</v>
      </c>
      <c r="H332" s="676">
        <f t="shared" si="154"/>
        <v>24.407250000000001</v>
      </c>
      <c r="I332" s="677">
        <f t="shared" si="134"/>
        <v>200.7445449503316</v>
      </c>
      <c r="J332" s="678">
        <f t="shared" si="135"/>
        <v>1.5658148507796459</v>
      </c>
      <c r="K332" s="678">
        <f t="shared" si="136"/>
        <v>1.0005689698692519</v>
      </c>
      <c r="L332" s="679">
        <f t="shared" si="137"/>
        <v>3.372536813460085E-2</v>
      </c>
      <c r="M332" s="678">
        <f t="shared" si="138"/>
        <v>1.0084600336838223</v>
      </c>
      <c r="N332" s="679">
        <f t="shared" si="139"/>
        <v>-0.12962112205360019</v>
      </c>
      <c r="O332" s="677">
        <f t="shared" si="140"/>
        <v>1012144.811129099</v>
      </c>
      <c r="P332" s="680">
        <f t="shared" si="141"/>
        <v>1.570795338793981</v>
      </c>
      <c r="Q332" s="689">
        <f t="shared" si="163"/>
        <v>40.49814057350406</v>
      </c>
      <c r="R332" s="690">
        <f t="shared" si="164"/>
        <v>1.5461013251581059</v>
      </c>
      <c r="S332" s="677">
        <f t="shared" si="142"/>
        <v>1.0167918616286227</v>
      </c>
      <c r="T332" s="680">
        <f t="shared" si="143"/>
        <v>0.18199015292240653</v>
      </c>
      <c r="U332" s="681">
        <f t="shared" si="155"/>
        <v>0.93458708625814557</v>
      </c>
      <c r="V332" s="682">
        <f t="shared" si="156"/>
        <v>-0.45053820828342495</v>
      </c>
      <c r="W332" s="683">
        <f t="shared" si="144"/>
        <v>-26.704357548895238</v>
      </c>
      <c r="X332" s="684">
        <f t="shared" si="145"/>
        <v>-132.86507285317953</v>
      </c>
      <c r="Y332" s="687">
        <f t="shared" si="146"/>
        <v>47.134927146820473</v>
      </c>
      <c r="AA332" s="170">
        <f t="shared" si="147"/>
        <v>24407.25</v>
      </c>
      <c r="AB332" s="170">
        <f t="shared" si="148"/>
        <v>595713852.5625</v>
      </c>
      <c r="AD332" s="686">
        <f t="shared" si="149"/>
        <v>17.004657483219578</v>
      </c>
      <c r="AE332" s="687">
        <f t="shared" si="150"/>
        <v>-11.842130449500097</v>
      </c>
      <c r="AG332" s="686">
        <f t="shared" si="151"/>
        <v>-1.5494456117651143</v>
      </c>
      <c r="AH332" s="687">
        <f t="shared" si="152"/>
        <v>-69.395066656633404</v>
      </c>
      <c r="AJ332" s="170">
        <f t="shared" si="153"/>
        <v>0</v>
      </c>
      <c r="AK332" s="170">
        <f t="shared" si="165"/>
        <v>0</v>
      </c>
      <c r="AM332" s="170" t="str">
        <f t="shared" si="157"/>
        <v>0.213296078880175+0.617330495354549i</v>
      </c>
      <c r="AN332" s="170" t="str">
        <f t="shared" si="158"/>
        <v>0.665344889492995i</v>
      </c>
      <c r="AO332" s="170" t="str">
        <f t="shared" si="159"/>
        <v>0.927835330372743-0.320579720756119i</v>
      </c>
      <c r="AP332" s="170" t="str">
        <f t="shared" si="160"/>
        <v>0.131117320186637-0.102888415892425i</v>
      </c>
      <c r="AQ332" s="170" t="str">
        <f t="shared" si="161"/>
        <v>0.868882679813363+0.102888415892425i</v>
      </c>
      <c r="AR332" s="170" t="str">
        <f t="shared" si="162"/>
        <v>0.945445445097231-0.111954566961396i</v>
      </c>
    </row>
    <row r="333" spans="7:44">
      <c r="G333" s="688">
        <v>24547</v>
      </c>
      <c r="H333" s="676">
        <f t="shared" si="154"/>
        <v>24.547000000000001</v>
      </c>
      <c r="I333" s="677">
        <f t="shared" ref="I333:I396" si="166">SQRT(1+(G333/pole1)^2)</f>
        <v>201.89393113599516</v>
      </c>
      <c r="J333" s="678">
        <f t="shared" ref="J333:J396" si="167">ATAN(G333/pole1)</f>
        <v>1.565843210654762</v>
      </c>
      <c r="K333" s="678">
        <f t="shared" ref="K333:K396" si="168">SQRT(1+(G333/Zero1)^2)</f>
        <v>1.0005755022106153</v>
      </c>
      <c r="L333" s="679">
        <f t="shared" ref="L333:L396" si="169">ATAN(G333/Zero1)</f>
        <v>3.3918323772325995E-2</v>
      </c>
      <c r="M333" s="678">
        <f t="shared" ref="M333:M396" si="170">SQRT(1+(G333/z_RHP)^2)</f>
        <v>1.0085567790754115</v>
      </c>
      <c r="N333" s="679">
        <f t="shared" ref="N333:N396" si="171">-ATAN(G333/z_RHP)</f>
        <v>-0.13035494553566612</v>
      </c>
      <c r="O333" s="677">
        <f t="shared" ref="O333:O396" si="172">SQRT(1+(G333/Pole2)^2)</f>
        <v>1017940.1070905512</v>
      </c>
      <c r="P333" s="680">
        <f t="shared" ref="P333:P396" si="173">ATAN(G333/Pole2)</f>
        <v>1.5707953444188285</v>
      </c>
      <c r="Q333" s="689">
        <f t="shared" si="163"/>
        <v>40.729882133343288</v>
      </c>
      <c r="R333" s="690">
        <f t="shared" si="164"/>
        <v>1.5462418610893744</v>
      </c>
      <c r="S333" s="677">
        <f t="shared" ref="S333:S396" si="174">SQRT(1+(G333/pole4)^2)</f>
        <v>1.0169830940617233</v>
      </c>
      <c r="T333" s="680">
        <f t="shared" ref="T333:T396" si="175">ATAN(G333/pole4)</f>
        <v>0.18300913656084783</v>
      </c>
      <c r="U333" s="681">
        <f t="shared" si="155"/>
        <v>0.93390844435975284</v>
      </c>
      <c r="V333" s="682">
        <f t="shared" si="156"/>
        <v>-0.45295602316355316</v>
      </c>
      <c r="W333" s="683">
        <f t="shared" ref="W333:W396" si="176">20*LOG10(((K333*Q333*M333*U333)/(I333*O333*S333))*Adc)</f>
        <v>-26.761030823397547</v>
      </c>
      <c r="X333" s="684">
        <f t="shared" ref="X333:X396" si="177">((L333+R333+N333+V333)-(J333+P333+T333))*radconv</f>
        <v>-133.08654945603854</v>
      </c>
      <c r="Y333" s="687">
        <f t="shared" ref="Y333:Y396" si="178">IF(X333&gt;0,X333,X333+180)</f>
        <v>46.91345054396146</v>
      </c>
      <c r="AA333" s="170">
        <f t="shared" ref="AA333:AA396" si="179">IF(W333&lt;0,G333,1000000000)</f>
        <v>24547</v>
      </c>
      <c r="AB333" s="170">
        <f t="shared" ref="AB333:AB396" si="180">G333^2</f>
        <v>602555209</v>
      </c>
      <c r="AD333" s="686">
        <f t="shared" ref="AD333:AD396" si="181">20*LOG10((Q333/(O333*S333))*Aea)</f>
        <v>17.002993979086014</v>
      </c>
      <c r="AE333" s="687">
        <f t="shared" ref="AE333:AE396" si="182">(R333-(P333+T333))*radconv</f>
        <v>-11.892462117981564</v>
      </c>
      <c r="AG333" s="686">
        <f t="shared" ref="AG333:AG396" si="183">20*LOG10((K333*M333/(I333*U333))*Acs*Am)</f>
        <v>-1.5918364407538854</v>
      </c>
      <c r="AH333" s="687">
        <f t="shared" ref="AH333:AH396" si="184">(L333+N333-(J333+V333))*radconv</f>
        <v>-69.289150414143847</v>
      </c>
      <c r="AJ333" s="170">
        <f t="shared" ref="AJ333:AJ396" si="185">SUM((W334&lt;0)*(W333&gt;0))*G333</f>
        <v>0</v>
      </c>
      <c r="AK333" s="170">
        <f t="shared" si="165"/>
        <v>0</v>
      </c>
      <c r="AM333" s="170" t="str">
        <f t="shared" si="157"/>
        <v>0.215653566431835+0.620323038544354i</v>
      </c>
      <c r="AN333" s="170" t="str">
        <f t="shared" si="158"/>
        <v>0.669154493127434i</v>
      </c>
      <c r="AO333" s="170" t="str">
        <f t="shared" si="159"/>
        <v>0.927025141302039-0.322277693188508i</v>
      </c>
      <c r="AP333" s="170" t="str">
        <f t="shared" si="160"/>
        <v>0.130724405594694-0.103387173090726i</v>
      </c>
      <c r="AQ333" s="170" t="str">
        <f t="shared" si="161"/>
        <v>0.869275594405306+0.103387173090726i</v>
      </c>
      <c r="AR333" s="170" t="str">
        <f t="shared" si="162"/>
        <v>0.944903039961103-0.112381912911341i</v>
      </c>
    </row>
    <row r="334" spans="7:44">
      <c r="G334" s="688">
        <v>24690</v>
      </c>
      <c r="H334" s="676">
        <f t="shared" ref="H334:H397" si="186">G334/1000</f>
        <v>24.69</v>
      </c>
      <c r="I334" s="677">
        <f t="shared" si="166"/>
        <v>203.07004739911639</v>
      </c>
      <c r="J334" s="678">
        <f t="shared" si="167"/>
        <v>1.565871897739572</v>
      </c>
      <c r="K334" s="678">
        <f t="shared" si="168"/>
        <v>1.0005822250292968</v>
      </c>
      <c r="L334" s="679">
        <f t="shared" si="169"/>
        <v>3.4115764134905559E-2</v>
      </c>
      <c r="M334" s="678">
        <f t="shared" si="170"/>
        <v>1.0086563364476253</v>
      </c>
      <c r="N334" s="679">
        <f t="shared" si="171"/>
        <v>-0.13110568854664184</v>
      </c>
      <c r="O334" s="677">
        <f t="shared" si="172"/>
        <v>1023870.1773766885</v>
      </c>
      <c r="P334" s="680">
        <f t="shared" si="173"/>
        <v>1.5707953501085725</v>
      </c>
      <c r="Q334" s="689">
        <f t="shared" si="163"/>
        <v>40.967013854961337</v>
      </c>
      <c r="R334" s="690">
        <f t="shared" si="164"/>
        <v>1.5463840194385692</v>
      </c>
      <c r="S334" s="677">
        <f t="shared" si="174"/>
        <v>1.0171798664273375</v>
      </c>
      <c r="T334" s="680">
        <f t="shared" si="175"/>
        <v>0.1840514197693304</v>
      </c>
      <c r="U334" s="681">
        <f t="shared" ref="U334:U397" si="187">IMABS(IMPRODUCT(AO334, AR334))</f>
        <v>0.93321145412149997</v>
      </c>
      <c r="V334" s="682">
        <f t="shared" ref="V334:V397" si="188">IMARGUMENT(IMPRODUCT(AO334, AR334))</f>
        <v>-0.4554274948695915</v>
      </c>
      <c r="W334" s="683">
        <f t="shared" si="176"/>
        <v>-26.818762723339141</v>
      </c>
      <c r="X334" s="684">
        <f t="shared" si="177"/>
        <v>-133.3130735911424</v>
      </c>
      <c r="Y334" s="687">
        <f t="shared" si="178"/>
        <v>46.686926408857602</v>
      </c>
      <c r="AA334" s="170">
        <f t="shared" si="179"/>
        <v>24690</v>
      </c>
      <c r="AB334" s="170">
        <f t="shared" si="180"/>
        <v>609596100</v>
      </c>
      <c r="AD334" s="686">
        <f t="shared" si="181"/>
        <v>17.001283302973548</v>
      </c>
      <c r="AE334" s="687">
        <f t="shared" si="182"/>
        <v>-11.94403579951082</v>
      </c>
      <c r="AG334" s="686">
        <f t="shared" si="183"/>
        <v>-1.6348879981477542</v>
      </c>
      <c r="AH334" s="687">
        <f t="shared" si="184"/>
        <v>-69.180891071510814</v>
      </c>
      <c r="AJ334" s="170">
        <f t="shared" si="185"/>
        <v>0</v>
      </c>
      <c r="AK334" s="170">
        <f t="shared" si="165"/>
        <v>0</v>
      </c>
      <c r="AM334" s="170" t="str">
        <f t="shared" ref="AM334:AM397" si="189">IMSUB(1,IMEXP(COMPLEX(0,-2*Pi*G334*Tsw)))</f>
        <v>0.218077662437484+0.623375856141999i</v>
      </c>
      <c r="AN334" s="170" t="str">
        <f t="shared" ref="AN334:AN397" si="190">COMPLEX(0, 2*Pi*G334*Tsw)</f>
        <v>0.673052692195231i</v>
      </c>
      <c r="AO334" s="170" t="str">
        <f t="shared" ref="AO334:AO397" si="191">IMDIV(AM334, AN334)</f>
        <v>0.926191757897579-0.324012762992153i</v>
      </c>
      <c r="AP334" s="170" t="str">
        <f t="shared" ref="AP334:AP397" si="192">IMDIV(IMEXP(COMPLEX(0,-2*Pi*G334*Tsw)),6)</f>
        <v>0.130320389593753-0.103895976023667i</v>
      </c>
      <c r="AQ334" s="170" t="str">
        <f t="shared" ref="AQ334:AQ397" si="193">IMSUB(1, AP334)</f>
        <v>0.869679610406247+0.103895976023667i</v>
      </c>
      <c r="AR334" s="170" t="str">
        <f t="shared" ref="AR334:AR397" si="194">IMDIV(0.833, AQ334)</f>
        <v>0.944346468492167-0.112816026585544i</v>
      </c>
    </row>
    <row r="335" spans="7:44">
      <c r="G335" s="688">
        <v>24833</v>
      </c>
      <c r="H335" s="676">
        <f t="shared" si="186"/>
        <v>24.832999999999998</v>
      </c>
      <c r="I335" s="677">
        <f t="shared" si="166"/>
        <v>204.24616382742923</v>
      </c>
      <c r="J335" s="678">
        <f t="shared" si="167"/>
        <v>1.5659002544451111</v>
      </c>
      <c r="K335" s="678">
        <f t="shared" si="168"/>
        <v>1.0005889868528466</v>
      </c>
      <c r="L335" s="679">
        <f t="shared" si="169"/>
        <v>3.4313201836639648E-2</v>
      </c>
      <c r="M335" s="678">
        <f t="shared" si="170"/>
        <v>1.0087564622013494</v>
      </c>
      <c r="N335" s="679">
        <f t="shared" si="171"/>
        <v>-0.13185628294817123</v>
      </c>
      <c r="O335" s="677">
        <f t="shared" si="172"/>
        <v>1029800.2476628255</v>
      </c>
      <c r="P335" s="680">
        <f t="shared" si="173"/>
        <v>1.5707953557327881</v>
      </c>
      <c r="Q335" s="689">
        <f t="shared" si="163"/>
        <v>41.204146394952382</v>
      </c>
      <c r="R335" s="690">
        <f t="shared" si="164"/>
        <v>1.5465245415295019</v>
      </c>
      <c r="S335" s="677">
        <f t="shared" si="174"/>
        <v>1.017377743382514</v>
      </c>
      <c r="T335" s="680">
        <f t="shared" si="175"/>
        <v>0.185093298667308</v>
      </c>
      <c r="U335" s="681">
        <f t="shared" si="187"/>
        <v>0.93251188853053946</v>
      </c>
      <c r="V335" s="682">
        <f t="shared" si="188"/>
        <v>-0.45789635835088549</v>
      </c>
      <c r="W335" s="683">
        <f t="shared" si="176"/>
        <v>-26.876235540422524</v>
      </c>
      <c r="X335" s="684">
        <f t="shared" si="177"/>
        <v>-133.53949157605203</v>
      </c>
      <c r="Y335" s="687">
        <f t="shared" si="178"/>
        <v>46.460508423947971</v>
      </c>
      <c r="AA335" s="170">
        <f t="shared" si="179"/>
        <v>24833</v>
      </c>
      <c r="AB335" s="170">
        <f t="shared" si="180"/>
        <v>616677889</v>
      </c>
      <c r="AD335" s="686">
        <f t="shared" si="181"/>
        <v>16.999564042093944</v>
      </c>
      <c r="AE335" s="687">
        <f t="shared" si="182"/>
        <v>-11.995680062692701</v>
      </c>
      <c r="AG335" s="686">
        <f t="shared" si="183"/>
        <v>-1.6776142213841572</v>
      </c>
      <c r="AH335" s="687">
        <f t="shared" si="184"/>
        <v>-69.072753877571074</v>
      </c>
      <c r="AJ335" s="170">
        <f t="shared" si="185"/>
        <v>0</v>
      </c>
      <c r="AK335" s="170">
        <f t="shared" si="165"/>
        <v>0</v>
      </c>
      <c r="AM335" s="170" t="str">
        <f t="shared" si="189"/>
        <v>0.220513640485501+0.626419200959576i</v>
      </c>
      <c r="AN335" s="170" t="str">
        <f t="shared" si="190"/>
        <v>0.676950891263028i</v>
      </c>
      <c r="AO335" s="170" t="str">
        <f t="shared" si="191"/>
        <v>0.925353979209375-0.325745402408845i</v>
      </c>
      <c r="AP335" s="170" t="str">
        <f t="shared" si="192"/>
        <v>0.129914393252416-0.104403200159929i</v>
      </c>
      <c r="AQ335" s="170" t="str">
        <f t="shared" si="193"/>
        <v>0.870085606747584+0.104403200159929i</v>
      </c>
      <c r="AR335" s="170" t="str">
        <f t="shared" si="194"/>
        <v>0.943788348779971-0.113246930097615i</v>
      </c>
    </row>
    <row r="336" spans="7:44">
      <c r="G336" s="688">
        <v>24976</v>
      </c>
      <c r="H336" s="676">
        <f t="shared" si="186"/>
        <v>24.975999999999999</v>
      </c>
      <c r="I336" s="677">
        <f t="shared" si="166"/>
        <v>205.42228041809642</v>
      </c>
      <c r="J336" s="678">
        <f t="shared" si="167"/>
        <v>1.5659282864459543</v>
      </c>
      <c r="K336" s="678">
        <f t="shared" si="168"/>
        <v>1.0005957876804741</v>
      </c>
      <c r="L336" s="679">
        <f t="shared" si="169"/>
        <v>3.4510636862189456E-2</v>
      </c>
      <c r="M336" s="678">
        <f t="shared" si="170"/>
        <v>1.0088571561673538</v>
      </c>
      <c r="N336" s="679">
        <f t="shared" si="171"/>
        <v>-0.13260672793887002</v>
      </c>
      <c r="O336" s="677">
        <f t="shared" si="172"/>
        <v>1035730.3179489628</v>
      </c>
      <c r="P336" s="680">
        <f t="shared" si="173"/>
        <v>1.5707953612926007</v>
      </c>
      <c r="Q336" s="689">
        <f t="shared" si="163"/>
        <v>41.441279739267891</v>
      </c>
      <c r="R336" s="690">
        <f t="shared" si="164"/>
        <v>1.5466634554453356</v>
      </c>
      <c r="S336" s="677">
        <f t="shared" si="174"/>
        <v>1.0175767242828604</v>
      </c>
      <c r="T336" s="680">
        <f t="shared" si="175"/>
        <v>0.18613477122936536</v>
      </c>
      <c r="U336" s="681">
        <f t="shared" si="187"/>
        <v>0.9318097678430628</v>
      </c>
      <c r="V336" s="682">
        <f t="shared" si="188"/>
        <v>-0.46036260641356724</v>
      </c>
      <c r="W336" s="683">
        <f t="shared" si="176"/>
        <v>-26.933452496670938</v>
      </c>
      <c r="X336" s="684">
        <f t="shared" si="177"/>
        <v>-133.76580155365141</v>
      </c>
      <c r="Y336" s="687">
        <f t="shared" si="178"/>
        <v>46.234198446348586</v>
      </c>
      <c r="AA336" s="170">
        <f t="shared" si="179"/>
        <v>24976</v>
      </c>
      <c r="AB336" s="170">
        <f t="shared" si="180"/>
        <v>623800576</v>
      </c>
      <c r="AD336" s="686">
        <f t="shared" si="181"/>
        <v>16.997836195439444</v>
      </c>
      <c r="AE336" s="687">
        <f t="shared" si="182"/>
        <v>-12.047393182497249</v>
      </c>
      <c r="AG336" s="686">
        <f t="shared" si="183"/>
        <v>-1.7200185865692899</v>
      </c>
      <c r="AH336" s="687">
        <f t="shared" si="184"/>
        <v>-68.964739524595004</v>
      </c>
      <c r="AJ336" s="170">
        <f t="shared" si="185"/>
        <v>0</v>
      </c>
      <c r="AK336" s="170">
        <f t="shared" si="165"/>
        <v>0</v>
      </c>
      <c r="AM336" s="170" t="str">
        <f t="shared" si="189"/>
        <v>0.222961463558919+0.62945302675061i</v>
      </c>
      <c r="AN336" s="170" t="str">
        <f t="shared" si="190"/>
        <v>0.680849090330826i</v>
      </c>
      <c r="AO336" s="170" t="str">
        <f t="shared" si="191"/>
        <v>0.924511812808265-0.32747559881527i</v>
      </c>
      <c r="AP336" s="170" t="str">
        <f t="shared" si="192"/>
        <v>0.12950642274018-0.104908837791768i</v>
      </c>
      <c r="AQ336" s="170" t="str">
        <f t="shared" si="193"/>
        <v>0.87049357725982+0.104908837791768i</v>
      </c>
      <c r="AR336" s="170" t="str">
        <f t="shared" si="194"/>
        <v>0.943228702810936-0.113674620432262i</v>
      </c>
    </row>
    <row r="337" spans="7:44">
      <c r="G337" s="688">
        <v>25119</v>
      </c>
      <c r="H337" s="676">
        <f t="shared" si="186"/>
        <v>25.119</v>
      </c>
      <c r="I337" s="677">
        <f t="shared" si="166"/>
        <v>206.59839716834514</v>
      </c>
      <c r="J337" s="678">
        <f t="shared" si="167"/>
        <v>1.5659559992874625</v>
      </c>
      <c r="K337" s="678">
        <f t="shared" si="168"/>
        <v>1.000602627511384</v>
      </c>
      <c r="L337" s="679">
        <f t="shared" si="169"/>
        <v>3.4708069196217446E-2</v>
      </c>
      <c r="M337" s="678">
        <f t="shared" si="170"/>
        <v>1.008958418175516</v>
      </c>
      <c r="N337" s="679">
        <f t="shared" si="171"/>
        <v>-0.13335702271834612</v>
      </c>
      <c r="O337" s="677">
        <f t="shared" si="172"/>
        <v>1041660.3882351001</v>
      </c>
      <c r="P337" s="680">
        <f t="shared" si="173"/>
        <v>1.5707953667891104</v>
      </c>
      <c r="Q337" s="689">
        <f t="shared" si="163"/>
        <v>41.678413874179029</v>
      </c>
      <c r="R337" s="690">
        <f t="shared" si="164"/>
        <v>1.5468007886303548</v>
      </c>
      <c r="S337" s="677">
        <f t="shared" si="174"/>
        <v>1.0177768084808954</v>
      </c>
      <c r="T337" s="680">
        <f t="shared" si="175"/>
        <v>0.18717583543519256</v>
      </c>
      <c r="U337" s="681">
        <f t="shared" si="187"/>
        <v>0.93110511230526649</v>
      </c>
      <c r="V337" s="682">
        <f t="shared" si="188"/>
        <v>-0.46282623196656258</v>
      </c>
      <c r="W337" s="683">
        <f t="shared" si="176"/>
        <v>-26.990416756338792</v>
      </c>
      <c r="X337" s="684">
        <f t="shared" si="177"/>
        <v>-133.99200170226342</v>
      </c>
      <c r="Y337" s="687">
        <f t="shared" si="178"/>
        <v>46.007998297736577</v>
      </c>
      <c r="AA337" s="170">
        <f t="shared" si="179"/>
        <v>25119</v>
      </c>
      <c r="AB337" s="170">
        <f t="shared" si="180"/>
        <v>630964161</v>
      </c>
      <c r="AD337" s="686">
        <f t="shared" si="181"/>
        <v>16.996099762387949</v>
      </c>
      <c r="AE337" s="687">
        <f t="shared" si="182"/>
        <v>-12.099173470790584</v>
      </c>
      <c r="AG337" s="686">
        <f t="shared" si="183"/>
        <v>-1.7621045126269597</v>
      </c>
      <c r="AH337" s="687">
        <f t="shared" si="184"/>
        <v>-68.85684869161669</v>
      </c>
      <c r="AJ337" s="170">
        <f t="shared" si="185"/>
        <v>0</v>
      </c>
      <c r="AK337" s="170">
        <f t="shared" si="165"/>
        <v>0</v>
      </c>
      <c r="AM337" s="170" t="str">
        <f t="shared" si="189"/>
        <v>0.225421094460773+0.632477287413274i</v>
      </c>
      <c r="AN337" s="170" t="str">
        <f t="shared" si="190"/>
        <v>0.684747289398623i</v>
      </c>
      <c r="AO337" s="170" t="str">
        <f t="shared" si="191"/>
        <v>0.923665266303931-0.329203339612703i</v>
      </c>
      <c r="AP337" s="170" t="str">
        <f t="shared" si="192"/>
        <v>0.129096484256538-0.105412881235546i</v>
      </c>
      <c r="AQ337" s="170" t="str">
        <f t="shared" si="193"/>
        <v>0.870903515743462+0.105412881235546i</v>
      </c>
      <c r="AR337" s="170" t="str">
        <f t="shared" si="194"/>
        <v>0.942667552530624-0.114099094748383i</v>
      </c>
    </row>
    <row r="338" spans="7:44">
      <c r="G338" s="688">
        <v>25265.25</v>
      </c>
      <c r="H338" s="676">
        <f t="shared" si="186"/>
        <v>25.265250000000002</v>
      </c>
      <c r="I338" s="677">
        <f t="shared" si="166"/>
        <v>207.80124400697503</v>
      </c>
      <c r="J338" s="678">
        <f t="shared" si="167"/>
        <v>1.5659840174917965</v>
      </c>
      <c r="K338" s="678">
        <f t="shared" si="168"/>
        <v>1.0006096631351757</v>
      </c>
      <c r="L338" s="679">
        <f t="shared" si="169"/>
        <v>3.4909985828789458E-2</v>
      </c>
      <c r="M338" s="678">
        <f t="shared" si="170"/>
        <v>1.0090625689686576</v>
      </c>
      <c r="N338" s="679">
        <f t="shared" si="171"/>
        <v>-0.13412421344793538</v>
      </c>
      <c r="O338" s="677">
        <f t="shared" si="172"/>
        <v>1047725.2328459222</v>
      </c>
      <c r="P338" s="680">
        <f t="shared" si="173"/>
        <v>1.5707953723461836</v>
      </c>
      <c r="Q338" s="689">
        <f t="shared" si="163"/>
        <v>41.920938225016712</v>
      </c>
      <c r="R338" s="690">
        <f t="shared" si="164"/>
        <v>1.5469396359479406</v>
      </c>
      <c r="S338" s="677">
        <f t="shared" si="174"/>
        <v>1.0179825805640956</v>
      </c>
      <c r="T338" s="680">
        <f t="shared" si="175"/>
        <v>0.18824013570805739</v>
      </c>
      <c r="U338" s="681">
        <f t="shared" si="187"/>
        <v>0.93038184103702526</v>
      </c>
      <c r="V338" s="682">
        <f t="shared" si="188"/>
        <v>-0.46534312913599446</v>
      </c>
      <c r="W338" s="683">
        <f t="shared" si="176"/>
        <v>-27.048417520352807</v>
      </c>
      <c r="X338" s="684">
        <f t="shared" si="177"/>
        <v>-134.22322729956178</v>
      </c>
      <c r="Y338" s="687">
        <f t="shared" si="178"/>
        <v>45.776772700438215</v>
      </c>
      <c r="AA338" s="170">
        <f t="shared" si="179"/>
        <v>25265.25</v>
      </c>
      <c r="AB338" s="170">
        <f t="shared" si="180"/>
        <v>638332857.5625</v>
      </c>
      <c r="AD338" s="686">
        <f t="shared" si="181"/>
        <v>16.994314983359878</v>
      </c>
      <c r="AE338" s="687">
        <f t="shared" si="182"/>
        <v>-12.152198337723407</v>
      </c>
      <c r="AG338" s="686">
        <f t="shared" si="183"/>
        <v>-1.8048210643363307</v>
      </c>
      <c r="AH338" s="687">
        <f t="shared" si="184"/>
        <v>-68.746634251098911</v>
      </c>
      <c r="AJ338" s="170">
        <f t="shared" si="185"/>
        <v>0</v>
      </c>
      <c r="AK338" s="170">
        <f t="shared" si="165"/>
        <v>0</v>
      </c>
      <c r="AM338" s="170" t="str">
        <f t="shared" si="189"/>
        <v>0.227948800528342+0.635560339695905i</v>
      </c>
      <c r="AN338" s="170" t="str">
        <f t="shared" si="190"/>
        <v>0.68873408389978i</v>
      </c>
      <c r="AO338" s="170" t="str">
        <f t="shared" si="191"/>
        <v>0.922794957521498-0.330967794185007i</v>
      </c>
      <c r="AP338" s="170" t="str">
        <f t="shared" si="192"/>
        <v>0.128675199911943-0.105926723282651i</v>
      </c>
      <c r="AQ338" s="170" t="str">
        <f t="shared" si="193"/>
        <v>0.871324800088057+0.105926723282651i</v>
      </c>
      <c r="AR338" s="170" t="str">
        <f t="shared" si="194"/>
        <v>0.942092115678669-0.114529886942477i</v>
      </c>
    </row>
    <row r="339" spans="7:44">
      <c r="G339" s="688">
        <v>25411.5</v>
      </c>
      <c r="H339" s="676">
        <f t="shared" si="186"/>
        <v>25.4115</v>
      </c>
      <c r="I339" s="677">
        <f t="shared" si="166"/>
        <v>209.00409100685533</v>
      </c>
      <c r="J339" s="678">
        <f t="shared" si="167"/>
        <v>1.5660117131989906</v>
      </c>
      <c r="K339" s="678">
        <f t="shared" si="168"/>
        <v>1.0006167395535754</v>
      </c>
      <c r="L339" s="679">
        <f t="shared" si="169"/>
        <v>3.5111899613661693E-2</v>
      </c>
      <c r="M339" s="678">
        <f t="shared" si="170"/>
        <v>1.009167313554683</v>
      </c>
      <c r="N339" s="679">
        <f t="shared" si="171"/>
        <v>-0.13489124537072655</v>
      </c>
      <c r="O339" s="677">
        <f t="shared" si="172"/>
        <v>1053790.0774567446</v>
      </c>
      <c r="P339" s="680">
        <f t="shared" si="173"/>
        <v>1.570795377839292</v>
      </c>
      <c r="Q339" s="689">
        <f t="shared" si="163"/>
        <v>42.163463374733183</v>
      </c>
      <c r="R339" s="690">
        <f t="shared" si="164"/>
        <v>1.5470768859626229</v>
      </c>
      <c r="S339" s="677">
        <f t="shared" si="174"/>
        <v>1.0181895052850287</v>
      </c>
      <c r="T339" s="680">
        <f t="shared" si="175"/>
        <v>0.18930400459414726</v>
      </c>
      <c r="U339" s="681">
        <f t="shared" si="187"/>
        <v>0.92965596118637484</v>
      </c>
      <c r="V339" s="682">
        <f t="shared" si="188"/>
        <v>-0.46785726856172843</v>
      </c>
      <c r="W339" s="683">
        <f t="shared" si="176"/>
        <v>-27.106160486389971</v>
      </c>
      <c r="X339" s="684">
        <f t="shared" si="177"/>
        <v>-134.45433427467054</v>
      </c>
      <c r="Y339" s="687">
        <f t="shared" si="178"/>
        <v>45.545665725329457</v>
      </c>
      <c r="AA339" s="170">
        <f t="shared" si="179"/>
        <v>25411.5</v>
      </c>
      <c r="AB339" s="170">
        <f t="shared" si="180"/>
        <v>645744332.25</v>
      </c>
      <c r="AD339" s="686">
        <f t="shared" si="181"/>
        <v>16.992521223077873</v>
      </c>
      <c r="AE339" s="687">
        <f t="shared" si="182"/>
        <v>-12.205290003064823</v>
      </c>
      <c r="AG339" s="686">
        <f t="shared" si="183"/>
        <v>-1.8472115938414126</v>
      </c>
      <c r="AH339" s="687">
        <f t="shared" si="184"/>
        <v>-68.636550404133018</v>
      </c>
      <c r="AJ339" s="170">
        <f t="shared" si="185"/>
        <v>0</v>
      </c>
      <c r="AK339" s="170">
        <f t="shared" si="165"/>
        <v>0</v>
      </c>
      <c r="AM339" s="170" t="str">
        <f t="shared" si="189"/>
        <v>0.230488777970912+0.638633290058778i</v>
      </c>
      <c r="AN339" s="170" t="str">
        <f t="shared" si="190"/>
        <v>0.692720878400936i</v>
      </c>
      <c r="AO339" s="170" t="str">
        <f t="shared" si="191"/>
        <v>0.921920083501723-0.332729653685288i</v>
      </c>
      <c r="AP339" s="170" t="str">
        <f t="shared" si="192"/>
        <v>0.128251870338181-0.106438881676463i</v>
      </c>
      <c r="AQ339" s="170" t="str">
        <f t="shared" si="193"/>
        <v>0.871748129661819+0.106438881676463i</v>
      </c>
      <c r="AR339" s="170" t="str">
        <f t="shared" si="194"/>
        <v>0.941515151653952-0.114957309816505i</v>
      </c>
    </row>
    <row r="340" spans="7:44">
      <c r="G340" s="688">
        <v>25557.75</v>
      </c>
      <c r="H340" s="676">
        <f t="shared" si="186"/>
        <v>25.557749999999999</v>
      </c>
      <c r="I340" s="677">
        <f t="shared" si="166"/>
        <v>210.20693816521796</v>
      </c>
      <c r="J340" s="678">
        <f t="shared" si="167"/>
        <v>1.5660390919451861</v>
      </c>
      <c r="K340" s="678">
        <f t="shared" si="168"/>
        <v>1.000623856765718</v>
      </c>
      <c r="L340" s="679">
        <f t="shared" si="169"/>
        <v>3.5313810534431014E-2</v>
      </c>
      <c r="M340" s="678">
        <f t="shared" si="170"/>
        <v>1.0092726517487161</v>
      </c>
      <c r="N340" s="679">
        <f t="shared" si="171"/>
        <v>-0.13565811763375676</v>
      </c>
      <c r="O340" s="677">
        <f t="shared" si="172"/>
        <v>1059854.9220675668</v>
      </c>
      <c r="P340" s="680">
        <f t="shared" si="173"/>
        <v>1.5707953832695336</v>
      </c>
      <c r="Q340" s="689">
        <f t="shared" si="163"/>
        <v>42.405989309621781</v>
      </c>
      <c r="R340" s="690">
        <f t="shared" si="164"/>
        <v>1.5472125660747991</v>
      </c>
      <c r="S340" s="677">
        <f t="shared" si="174"/>
        <v>1.0183975819410935</v>
      </c>
      <c r="T340" s="680">
        <f t="shared" si="175"/>
        <v>0.19036743994894545</v>
      </c>
      <c r="U340" s="681">
        <f t="shared" si="187"/>
        <v>0.92892749437081146</v>
      </c>
      <c r="V340" s="682">
        <f t="shared" si="188"/>
        <v>-0.47036864299046904</v>
      </c>
      <c r="W340" s="683">
        <f t="shared" si="176"/>
        <v>-27.163648860372369</v>
      </c>
      <c r="X340" s="684">
        <f t="shared" si="177"/>
        <v>-134.68532078853661</v>
      </c>
      <c r="Y340" s="687">
        <f t="shared" si="178"/>
        <v>45.314679211463385</v>
      </c>
      <c r="AA340" s="170">
        <f t="shared" si="179"/>
        <v>25557.75</v>
      </c>
      <c r="AB340" s="170">
        <f t="shared" si="180"/>
        <v>653198585.0625</v>
      </c>
      <c r="AD340" s="686">
        <f t="shared" si="181"/>
        <v>16.990718482053854</v>
      </c>
      <c r="AE340" s="687">
        <f t="shared" si="182"/>
        <v>-12.258446774078871</v>
      </c>
      <c r="AG340" s="686">
        <f t="shared" si="183"/>
        <v>-1.8892795812319918</v>
      </c>
      <c r="AH340" s="687">
        <f t="shared" si="184"/>
        <v>-68.526597835568424</v>
      </c>
      <c r="AJ340" s="170">
        <f t="shared" si="185"/>
        <v>0</v>
      </c>
      <c r="AK340" s="170">
        <f t="shared" si="165"/>
        <v>0</v>
      </c>
      <c r="AM340" s="170" t="str">
        <f t="shared" si="189"/>
        <v>0.233040986416789+0.641696089658857i</v>
      </c>
      <c r="AN340" s="170" t="str">
        <f t="shared" si="190"/>
        <v>0.696707672902092i</v>
      </c>
      <c r="AO340" s="170" t="str">
        <f t="shared" si="191"/>
        <v>0.921040652510561-0.334488904716768i</v>
      </c>
      <c r="AP340" s="170" t="str">
        <f t="shared" si="192"/>
        <v>0.127826502263868-0.106949348276476i</v>
      </c>
      <c r="AQ340" s="170" t="str">
        <f t="shared" si="193"/>
        <v>0.872173497736132+0.106949348276476i</v>
      </c>
      <c r="AR340" s="170" t="str">
        <f t="shared" si="194"/>
        <v>0.940936683790257-0.115381360889782i</v>
      </c>
    </row>
    <row r="341" spans="7:44">
      <c r="G341" s="688">
        <v>25704</v>
      </c>
      <c r="H341" s="676">
        <f t="shared" si="186"/>
        <v>25.704000000000001</v>
      </c>
      <c r="I341" s="677">
        <f t="shared" si="166"/>
        <v>211.40978547935777</v>
      </c>
      <c r="J341" s="678">
        <f t="shared" si="167"/>
        <v>1.5660661591405314</v>
      </c>
      <c r="K341" s="678">
        <f t="shared" si="168"/>
        <v>1.0006310147707322</v>
      </c>
      <c r="L341" s="679">
        <f t="shared" si="169"/>
        <v>3.5515718574695695E-2</v>
      </c>
      <c r="M341" s="678">
        <f t="shared" si="170"/>
        <v>1.0093785833649112</v>
      </c>
      <c r="N341" s="679">
        <f t="shared" si="171"/>
        <v>-0.13642482938516934</v>
      </c>
      <c r="O341" s="677">
        <f t="shared" si="172"/>
        <v>1065919.7666783892</v>
      </c>
      <c r="P341" s="680">
        <f t="shared" si="173"/>
        <v>1.5707953886379815</v>
      </c>
      <c r="Q341" s="689">
        <f t="shared" si="163"/>
        <v>42.648516016287587</v>
      </c>
      <c r="R341" s="690">
        <f t="shared" si="164"/>
        <v>1.5473467030618357</v>
      </c>
      <c r="S341" s="677">
        <f t="shared" si="174"/>
        <v>1.0186068098263523</v>
      </c>
      <c r="T341" s="680">
        <f t="shared" si="175"/>
        <v>0.19143043963360487</v>
      </c>
      <c r="U341" s="681">
        <f t="shared" si="187"/>
        <v>0.92819646219132579</v>
      </c>
      <c r="V341" s="682">
        <f t="shared" si="188"/>
        <v>-0.47287724528048314</v>
      </c>
      <c r="W341" s="683">
        <f t="shared" si="176"/>
        <v>-27.220885790615025</v>
      </c>
      <c r="X341" s="684">
        <f t="shared" si="177"/>
        <v>-134.91618503736407</v>
      </c>
      <c r="Y341" s="687">
        <f t="shared" si="178"/>
        <v>45.083814962635927</v>
      </c>
      <c r="AA341" s="170">
        <f t="shared" si="179"/>
        <v>25704</v>
      </c>
      <c r="AB341" s="170">
        <f t="shared" si="180"/>
        <v>660695616</v>
      </c>
      <c r="AD341" s="686">
        <f t="shared" si="181"/>
        <v>16.988906761173098</v>
      </c>
      <c r="AE341" s="687">
        <f t="shared" si="182"/>
        <v>-12.311666994050009</v>
      </c>
      <c r="AG341" s="686">
        <f t="shared" si="183"/>
        <v>-1.9310284495216423</v>
      </c>
      <c r="AH341" s="687">
        <f t="shared" si="184"/>
        <v>-68.416777216706905</v>
      </c>
      <c r="AJ341" s="170">
        <f t="shared" si="185"/>
        <v>0</v>
      </c>
      <c r="AK341" s="170">
        <f t="shared" si="165"/>
        <v>0</v>
      </c>
      <c r="AM341" s="170" t="str">
        <f t="shared" si="189"/>
        <v>0.235605385299873+0.644748689814446i</v>
      </c>
      <c r="AN341" s="170" t="str">
        <f t="shared" si="190"/>
        <v>0.700694467403249i</v>
      </c>
      <c r="AO341" s="170" t="str">
        <f t="shared" si="191"/>
        <v>0.920156672856093-0.33624553391012i</v>
      </c>
      <c r="AP341" s="170" t="str">
        <f t="shared" si="192"/>
        <v>0.127399102450021-0.107458114969074i</v>
      </c>
      <c r="AQ341" s="170" t="str">
        <f t="shared" si="193"/>
        <v>0.872600897549979+0.107458114969074i</v>
      </c>
      <c r="AR341" s="170" t="str">
        <f t="shared" si="194"/>
        <v>0.940356735370166-0.115802037867561i</v>
      </c>
    </row>
    <row r="342" spans="7:44">
      <c r="G342" s="688">
        <v>25853.75</v>
      </c>
      <c r="H342" s="676">
        <f t="shared" si="186"/>
        <v>25.853750000000002</v>
      </c>
      <c r="I342" s="677">
        <f t="shared" si="166"/>
        <v>212.6414190417195</v>
      </c>
      <c r="J342" s="678">
        <f t="shared" si="167"/>
        <v>1.5660935567958829</v>
      </c>
      <c r="K342" s="678">
        <f t="shared" si="168"/>
        <v>1.0006383863464294</v>
      </c>
      <c r="L342" s="679">
        <f t="shared" si="169"/>
        <v>3.5722455600387233E-2</v>
      </c>
      <c r="M342" s="678">
        <f t="shared" si="170"/>
        <v>1.0094876647960125</v>
      </c>
      <c r="N342" s="679">
        <f t="shared" si="171"/>
        <v>-0.13720972258578959</v>
      </c>
      <c r="O342" s="677">
        <f t="shared" si="172"/>
        <v>1072129.7528696414</v>
      </c>
      <c r="P342" s="680">
        <f t="shared" si="173"/>
        <v>1.5707953940719708</v>
      </c>
      <c r="Q342" s="689">
        <f t="shared" si="163"/>
        <v>42.896847566921629</v>
      </c>
      <c r="R342" s="690">
        <f t="shared" si="164"/>
        <v>1.5474824785351133</v>
      </c>
      <c r="S342" s="677">
        <f t="shared" si="174"/>
        <v>1.0188222370189066</v>
      </c>
      <c r="T342" s="680">
        <f t="shared" si="175"/>
        <v>0.19251842496467936</v>
      </c>
      <c r="U342" s="681">
        <f t="shared" si="187"/>
        <v>0.92744529957846922</v>
      </c>
      <c r="V342" s="682">
        <f t="shared" si="188"/>
        <v>-0.47544300270962214</v>
      </c>
      <c r="W342" s="683">
        <f t="shared" si="176"/>
        <v>-27.279235180736411</v>
      </c>
      <c r="X342" s="684">
        <f t="shared" si="177"/>
        <v>-135.15244570572824</v>
      </c>
      <c r="Y342" s="687">
        <f t="shared" si="178"/>
        <v>44.84755429427176</v>
      </c>
      <c r="AA342" s="170">
        <f t="shared" si="179"/>
        <v>25853.75</v>
      </c>
      <c r="AB342" s="170">
        <f t="shared" si="180"/>
        <v>668416389.0625</v>
      </c>
      <c r="AD342" s="686">
        <f t="shared" si="181"/>
        <v>16.987042379392673</v>
      </c>
      <c r="AE342" s="687">
        <f t="shared" si="182"/>
        <v>-12.366224911519522</v>
      </c>
      <c r="AG342" s="686">
        <f t="shared" si="183"/>
        <v>-1.9734492865418143</v>
      </c>
      <c r="AH342" s="687">
        <f t="shared" si="184"/>
        <v>-68.304465823377626</v>
      </c>
      <c r="AJ342" s="170">
        <f t="shared" si="185"/>
        <v>0</v>
      </c>
      <c r="AK342" s="170">
        <f t="shared" si="165"/>
        <v>0</v>
      </c>
      <c r="AM342" s="170" t="str">
        <f t="shared" si="189"/>
        <v>0.23824374337332+0.647863724474605i</v>
      </c>
      <c r="AN342" s="170" t="str">
        <f t="shared" si="190"/>
        <v>0.7047766723711i</v>
      </c>
      <c r="AO342" s="170" t="str">
        <f t="shared" si="191"/>
        <v>0.919246833603302-0.338041471451928i</v>
      </c>
      <c r="AP342" s="170" t="str">
        <f t="shared" si="192"/>
        <v>0.126959376104447-0.107977287412434i</v>
      </c>
      <c r="AQ342" s="170" t="str">
        <f t="shared" si="193"/>
        <v>0.873040623895553+0.107977287412434i</v>
      </c>
      <c r="AR342" s="170" t="str">
        <f t="shared" si="194"/>
        <v>0.939761397976047-0.116229283942817i</v>
      </c>
    </row>
    <row r="343" spans="7:44">
      <c r="G343" s="688">
        <v>26003.5</v>
      </c>
      <c r="H343" s="676">
        <f t="shared" si="186"/>
        <v>26.003499999999999</v>
      </c>
      <c r="I343" s="677">
        <f t="shared" si="166"/>
        <v>213.87305276185819</v>
      </c>
      <c r="J343" s="678">
        <f t="shared" si="167"/>
        <v>1.5661206389007374</v>
      </c>
      <c r="K343" s="678">
        <f t="shared" si="168"/>
        <v>1.0006458006889778</v>
      </c>
      <c r="L343" s="679">
        <f t="shared" si="169"/>
        <v>3.5929189571254766E-2</v>
      </c>
      <c r="M343" s="678">
        <f t="shared" si="170"/>
        <v>1.0095973679947858</v>
      </c>
      <c r="N343" s="679">
        <f t="shared" si="171"/>
        <v>-0.13799444569622429</v>
      </c>
      <c r="O343" s="677">
        <f t="shared" si="172"/>
        <v>1078339.7390608939</v>
      </c>
      <c r="P343" s="680">
        <f t="shared" si="173"/>
        <v>1.570795399443373</v>
      </c>
      <c r="Q343" s="689">
        <f t="shared" ref="Q343:Q406" si="195">SQRT(1+(G343/Zero2)^2)</f>
        <v>43.14517989925487</v>
      </c>
      <c r="R343" s="690">
        <f t="shared" ref="R343:R406" si="196">ATAN(G343/Zero2)</f>
        <v>1.5476166910348597</v>
      </c>
      <c r="S343" s="677">
        <f t="shared" si="174"/>
        <v>1.0190388696929191</v>
      </c>
      <c r="T343" s="680">
        <f t="shared" si="175"/>
        <v>0.19360594900325923</v>
      </c>
      <c r="U343" s="681">
        <f t="shared" si="187"/>
        <v>0.92669149312336885</v>
      </c>
      <c r="V343" s="682">
        <f t="shared" si="188"/>
        <v>-0.47800583893159221</v>
      </c>
      <c r="W343" s="683">
        <f t="shared" si="176"/>
        <v>-27.33732744937647</v>
      </c>
      <c r="X343" s="684">
        <f t="shared" si="177"/>
        <v>-135.38857446920525</v>
      </c>
      <c r="Y343" s="687">
        <f t="shared" si="178"/>
        <v>44.611425530794747</v>
      </c>
      <c r="AA343" s="170">
        <f t="shared" si="179"/>
        <v>26003.5</v>
      </c>
      <c r="AB343" s="170">
        <f t="shared" si="180"/>
        <v>676182012.25</v>
      </c>
      <c r="AD343" s="686">
        <f t="shared" si="181"/>
        <v>16.985168585837872</v>
      </c>
      <c r="AE343" s="687">
        <f t="shared" si="182"/>
        <v>-12.420845947076899</v>
      </c>
      <c r="AG343" s="686">
        <f t="shared" si="183"/>
        <v>-2.0155426332892459</v>
      </c>
      <c r="AH343" s="687">
        <f t="shared" si="184"/>
        <v>-68.192294152757398</v>
      </c>
      <c r="AJ343" s="170">
        <f t="shared" si="185"/>
        <v>0</v>
      </c>
      <c r="AK343" s="170">
        <f t="shared" ref="AK343:AK406" si="197">IF(AJ343&gt;0,Y343,0)</f>
        <v>0</v>
      </c>
      <c r="AM343" s="170" t="str">
        <f t="shared" si="189"/>
        <v>0.240894795638119+0.650967962891191i</v>
      </c>
      <c r="AN343" s="170" t="str">
        <f t="shared" si="190"/>
        <v>0.70885887733895i</v>
      </c>
      <c r="AO343" s="170" t="str">
        <f t="shared" si="191"/>
        <v>0.91833224313268-0.339834631883903i</v>
      </c>
      <c r="AP343" s="170" t="str">
        <f t="shared" si="192"/>
        <v>0.126517534060313-0.108494660481865i</v>
      </c>
      <c r="AQ343" s="170" t="str">
        <f t="shared" si="193"/>
        <v>0.873482465939687+0.108494660481865i</v>
      </c>
      <c r="AR343" s="170" t="str">
        <f t="shared" si="194"/>
        <v>0.939164557546789-0.116652988217711i</v>
      </c>
    </row>
    <row r="344" spans="7:44">
      <c r="G344" s="688">
        <v>26153.25</v>
      </c>
      <c r="H344" s="676">
        <f t="shared" si="186"/>
        <v>26.15325</v>
      </c>
      <c r="I344" s="677">
        <f t="shared" si="166"/>
        <v>215.10468663706374</v>
      </c>
      <c r="J344" s="678">
        <f t="shared" si="167"/>
        <v>1.5661474108753368</v>
      </c>
      <c r="K344" s="678">
        <f t="shared" si="168"/>
        <v>1.000653257797427</v>
      </c>
      <c r="L344" s="679">
        <f t="shared" si="169"/>
        <v>3.6135920469695229E-2</v>
      </c>
      <c r="M344" s="678">
        <f t="shared" si="170"/>
        <v>1.0097076927585691</v>
      </c>
      <c r="N344" s="679">
        <f t="shared" si="171"/>
        <v>-0.13877899780562195</v>
      </c>
      <c r="O344" s="677">
        <f t="shared" si="172"/>
        <v>1084549.7252521461</v>
      </c>
      <c r="P344" s="680">
        <f t="shared" si="173"/>
        <v>1.5707954047532633</v>
      </c>
      <c r="Q344" s="689">
        <f t="shared" si="195"/>
        <v>43.393512999866793</v>
      </c>
      <c r="R344" s="690">
        <f t="shared" si="196"/>
        <v>1.5477493673900287</v>
      </c>
      <c r="S344" s="677">
        <f t="shared" si="174"/>
        <v>1.0192567070797514</v>
      </c>
      <c r="T344" s="680">
        <f t="shared" si="175"/>
        <v>0.1946930094718492</v>
      </c>
      <c r="U344" s="681">
        <f t="shared" si="187"/>
        <v>0.92593506595250152</v>
      </c>
      <c r="V344" s="682">
        <f t="shared" si="188"/>
        <v>-0.48056574664145152</v>
      </c>
      <c r="W344" s="683">
        <f t="shared" si="176"/>
        <v>-27.39516579708717</v>
      </c>
      <c r="X344" s="684">
        <f t="shared" si="177"/>
        <v>-135.62456950101526</v>
      </c>
      <c r="Y344" s="687">
        <f t="shared" si="178"/>
        <v>44.375430498984741</v>
      </c>
      <c r="AA344" s="170">
        <f t="shared" si="179"/>
        <v>26153.25</v>
      </c>
      <c r="AB344" s="170">
        <f t="shared" si="180"/>
        <v>683992485.5625</v>
      </c>
      <c r="AD344" s="686">
        <f t="shared" si="181"/>
        <v>16.983285382604553</v>
      </c>
      <c r="AE344" s="687">
        <f t="shared" si="182"/>
        <v>-12.47552843310703</v>
      </c>
      <c r="AG344" s="686">
        <f t="shared" si="183"/>
        <v>-2.057311986769931</v>
      </c>
      <c r="AH344" s="687">
        <f t="shared" si="184"/>
        <v>-68.08026288276622</v>
      </c>
      <c r="AJ344" s="170">
        <f t="shared" si="185"/>
        <v>0</v>
      </c>
      <c r="AK344" s="170">
        <f t="shared" si="197"/>
        <v>0</v>
      </c>
      <c r="AM344" s="170" t="str">
        <f t="shared" si="189"/>
        <v>0.243558497916146+0.654061353334014i</v>
      </c>
      <c r="AN344" s="170" t="str">
        <f t="shared" si="190"/>
        <v>0.712941082306801i</v>
      </c>
      <c r="AO344" s="170" t="str">
        <f t="shared" si="191"/>
        <v>0.917412910499876-0.341625000944096i</v>
      </c>
      <c r="AP344" s="170" t="str">
        <f t="shared" si="192"/>
        <v>0.126073583680642-0.109010225555669i</v>
      </c>
      <c r="AQ344" s="170" t="str">
        <f t="shared" si="193"/>
        <v>0.873926416319358+0.109010225555669i</v>
      </c>
      <c r="AR344" s="170" t="str">
        <f t="shared" si="194"/>
        <v>0.93856623889962-0.117073148826749i</v>
      </c>
    </row>
    <row r="345" spans="7:44">
      <c r="G345" s="688">
        <v>26303</v>
      </c>
      <c r="H345" s="676">
        <f t="shared" si="186"/>
        <v>26.303000000000001</v>
      </c>
      <c r="I345" s="677">
        <f t="shared" si="166"/>
        <v>216.33632066468763</v>
      </c>
      <c r="J345" s="678">
        <f t="shared" si="167"/>
        <v>1.5661738780164922</v>
      </c>
      <c r="K345" s="678">
        <f t="shared" si="168"/>
        <v>1.0006607576708209</v>
      </c>
      <c r="L345" s="679">
        <f t="shared" si="169"/>
        <v>3.6342648278107119E-2</v>
      </c>
      <c r="M345" s="678">
        <f t="shared" si="170"/>
        <v>1.0098186388836405</v>
      </c>
      <c r="N345" s="679">
        <f t="shared" si="171"/>
        <v>-0.13956337800436994</v>
      </c>
      <c r="O345" s="677">
        <f t="shared" si="172"/>
        <v>1090759.7114433986</v>
      </c>
      <c r="P345" s="680">
        <f t="shared" si="173"/>
        <v>1.5707954100026926</v>
      </c>
      <c r="Q345" s="689">
        <f t="shared" si="195"/>
        <v>43.641846855642321</v>
      </c>
      <c r="R345" s="690">
        <f t="shared" si="196"/>
        <v>1.5478805338191375</v>
      </c>
      <c r="S345" s="677">
        <f t="shared" si="174"/>
        <v>1.0194757484071491</v>
      </c>
      <c r="T345" s="680">
        <f t="shared" si="175"/>
        <v>0.19577960409927772</v>
      </c>
      <c r="U345" s="681">
        <f t="shared" si="187"/>
        <v>0.92517604116817853</v>
      </c>
      <c r="V345" s="682">
        <f t="shared" si="188"/>
        <v>-0.48312271865571188</v>
      </c>
      <c r="W345" s="683">
        <f t="shared" si="176"/>
        <v>-27.452753366708045</v>
      </c>
      <c r="X345" s="684">
        <f t="shared" si="177"/>
        <v>-135.86042900967252</v>
      </c>
      <c r="Y345" s="687">
        <f t="shared" si="178"/>
        <v>44.139570990327485</v>
      </c>
      <c r="AA345" s="170">
        <f t="shared" si="179"/>
        <v>26303</v>
      </c>
      <c r="AB345" s="170">
        <f t="shared" si="180"/>
        <v>691847809</v>
      </c>
      <c r="AD345" s="686">
        <f t="shared" si="181"/>
        <v>16.981392772152297</v>
      </c>
      <c r="AE345" s="687">
        <f t="shared" si="182"/>
        <v>-12.530270737331238</v>
      </c>
      <c r="AG345" s="686">
        <f t="shared" si="183"/>
        <v>-2.0987607867462508</v>
      </c>
      <c r="AH345" s="687">
        <f t="shared" si="184"/>
        <v>-67.968372677364059</v>
      </c>
      <c r="AJ345" s="170">
        <f t="shared" si="185"/>
        <v>0</v>
      </c>
      <c r="AK345" s="170">
        <f t="shared" si="197"/>
        <v>0</v>
      </c>
      <c r="AM345" s="170" t="str">
        <f t="shared" si="189"/>
        <v>0.246234805818467+0.657143844253658i</v>
      </c>
      <c r="AN345" s="170" t="str">
        <f t="shared" si="190"/>
        <v>0.717023287274652i</v>
      </c>
      <c r="AO345" s="170" t="str">
        <f t="shared" si="191"/>
        <v>0.916488844806434-0.34341256440134i</v>
      </c>
      <c r="AP345" s="170" t="str">
        <f t="shared" si="192"/>
        <v>0.125627532363589-0.109523974042276i</v>
      </c>
      <c r="AQ345" s="170" t="str">
        <f t="shared" si="193"/>
        <v>0.874372467636411+0.109523974042276i</v>
      </c>
      <c r="AR345" s="170" t="str">
        <f t="shared" si="194"/>
        <v>0.93796646678855-0.11748976410336i</v>
      </c>
    </row>
    <row r="346" spans="7:44">
      <c r="G346" s="688">
        <v>26456</v>
      </c>
      <c r="H346" s="676">
        <f t="shared" si="186"/>
        <v>26.456</v>
      </c>
      <c r="I346" s="677">
        <f t="shared" si="166"/>
        <v>217.59468480089024</v>
      </c>
      <c r="J346" s="678">
        <f t="shared" si="167"/>
        <v>1.5662006101255044</v>
      </c>
      <c r="K346" s="678">
        <f t="shared" si="168"/>
        <v>1.0006684644789492</v>
      </c>
      <c r="L346" s="679">
        <f t="shared" si="169"/>
        <v>3.6553859457009785E-2</v>
      </c>
      <c r="M346" s="678">
        <f t="shared" si="170"/>
        <v>1.0099326343770458</v>
      </c>
      <c r="N346" s="679">
        <f t="shared" si="171"/>
        <v>-0.14036460298705958</v>
      </c>
      <c r="O346" s="677">
        <f t="shared" si="172"/>
        <v>1097104.4719593357</v>
      </c>
      <c r="P346" s="680">
        <f t="shared" si="173"/>
        <v>1.5707954153046735</v>
      </c>
      <c r="Q346" s="689">
        <f t="shared" si="195"/>
        <v>43.895571027467874</v>
      </c>
      <c r="R346" s="690">
        <f t="shared" si="196"/>
        <v>1.5480130141496147</v>
      </c>
      <c r="S346" s="677">
        <f t="shared" si="174"/>
        <v>1.0197007861633827</v>
      </c>
      <c r="T346" s="680">
        <f t="shared" si="175"/>
        <v>0.1968892974419886</v>
      </c>
      <c r="U346" s="681">
        <f t="shared" si="187"/>
        <v>0.92439788460888905</v>
      </c>
      <c r="V346" s="682">
        <f t="shared" si="188"/>
        <v>-0.48573214491718097</v>
      </c>
      <c r="W346" s="683">
        <f t="shared" si="176"/>
        <v>-27.511334959382182</v>
      </c>
      <c r="X346" s="684">
        <f t="shared" si="177"/>
        <v>-136.10126554458316</v>
      </c>
      <c r="Y346" s="687">
        <f t="shared" si="178"/>
        <v>43.898734455416843</v>
      </c>
      <c r="AA346" s="170">
        <f t="shared" si="179"/>
        <v>26456</v>
      </c>
      <c r="AB346" s="170">
        <f t="shared" si="180"/>
        <v>699919936</v>
      </c>
      <c r="AD346" s="686">
        <f t="shared" si="181"/>
        <v>16.979449373930255</v>
      </c>
      <c r="AE346" s="687">
        <f t="shared" si="182"/>
        <v>-12.586261222462609</v>
      </c>
      <c r="AG346" s="686">
        <f t="shared" si="183"/>
        <v>-2.1407815986764129</v>
      </c>
      <c r="AH346" s="687">
        <f t="shared" si="184"/>
        <v>-67.854200503336145</v>
      </c>
      <c r="AJ346" s="170">
        <f t="shared" si="185"/>
        <v>0</v>
      </c>
      <c r="AK346" s="170">
        <f t="shared" si="197"/>
        <v>0</v>
      </c>
      <c r="AM346" s="170" t="str">
        <f t="shared" si="189"/>
        <v>0.248982169761747+0.66028192362371i</v>
      </c>
      <c r="AN346" s="170" t="str">
        <f t="shared" si="190"/>
        <v>0.721194087675862i</v>
      </c>
      <c r="AO346" s="170" t="str">
        <f t="shared" si="191"/>
        <v>0.915539845524179-0.345236010689055i</v>
      </c>
      <c r="AP346" s="170" t="str">
        <f t="shared" si="192"/>
        <v>0.125169638373042-0.110046987270618i</v>
      </c>
      <c r="AQ346" s="170" t="str">
        <f t="shared" si="193"/>
        <v>0.874830361626958+0.110046987270618i</v>
      </c>
      <c r="AR346" s="170" t="str">
        <f t="shared" si="194"/>
        <v>0.937352202480576-0.117911758003721i</v>
      </c>
    </row>
    <row r="347" spans="7:44">
      <c r="G347" s="688">
        <v>26609</v>
      </c>
      <c r="H347" s="676">
        <f t="shared" si="186"/>
        <v>26.609000000000002</v>
      </c>
      <c r="I347" s="677">
        <f t="shared" si="166"/>
        <v>218.85304909079909</v>
      </c>
      <c r="J347" s="678">
        <f t="shared" si="167"/>
        <v>1.5662270348252345</v>
      </c>
      <c r="K347" s="678">
        <f t="shared" si="168"/>
        <v>1.0006762159263711</v>
      </c>
      <c r="L347" s="679">
        <f t="shared" si="169"/>
        <v>3.6765067373162347E-2</v>
      </c>
      <c r="M347" s="678">
        <f t="shared" si="170"/>
        <v>1.0100472780617054</v>
      </c>
      <c r="N347" s="679">
        <f t="shared" si="171"/>
        <v>-0.14116564660055525</v>
      </c>
      <c r="O347" s="677">
        <f t="shared" si="172"/>
        <v>1103449.2324752731</v>
      </c>
      <c r="P347" s="680">
        <f t="shared" si="173"/>
        <v>1.5707954205456822</v>
      </c>
      <c r="Q347" s="689">
        <f t="shared" si="195"/>
        <v>44.149295960851191</v>
      </c>
      <c r="R347" s="690">
        <f t="shared" si="196"/>
        <v>1.5481439717598746</v>
      </c>
      <c r="S347" s="677">
        <f t="shared" si="174"/>
        <v>1.019927079043849</v>
      </c>
      <c r="T347" s="680">
        <f t="shared" si="175"/>
        <v>0.19799849973115391</v>
      </c>
      <c r="U347" s="681">
        <f t="shared" si="187"/>
        <v>0.92361706513327324</v>
      </c>
      <c r="V347" s="682">
        <f t="shared" si="188"/>
        <v>-0.488338491900767</v>
      </c>
      <c r="W347" s="683">
        <f t="shared" si="176"/>
        <v>-27.56966122471081</v>
      </c>
      <c r="X347" s="684">
        <f t="shared" si="177"/>
        <v>-136.34195693851782</v>
      </c>
      <c r="Y347" s="687">
        <f t="shared" si="178"/>
        <v>43.658043061482175</v>
      </c>
      <c r="AA347" s="170">
        <f t="shared" si="179"/>
        <v>26609</v>
      </c>
      <c r="AB347" s="170">
        <f t="shared" si="180"/>
        <v>708038881</v>
      </c>
      <c r="AD347" s="686">
        <f t="shared" si="181"/>
        <v>16.977496162038118</v>
      </c>
      <c r="AE347" s="687">
        <f t="shared" si="182"/>
        <v>-12.642310814246738</v>
      </c>
      <c r="AG347" s="686">
        <f t="shared" si="183"/>
        <v>-2.1824748743394999</v>
      </c>
      <c r="AH347" s="687">
        <f t="shared" si="184"/>
        <v>-67.740176940933083</v>
      </c>
      <c r="AJ347" s="170">
        <f t="shared" si="185"/>
        <v>0</v>
      </c>
      <c r="AK347" s="170">
        <f t="shared" si="197"/>
        <v>0</v>
      </c>
      <c r="AM347" s="170" t="str">
        <f t="shared" si="189"/>
        <v>0.251742598073821+0.663408517026037i</v>
      </c>
      <c r="AN347" s="170" t="str">
        <f t="shared" si="190"/>
        <v>0.725364888077072i</v>
      </c>
      <c r="AO347" s="170" t="str">
        <f t="shared" si="191"/>
        <v>0.91458592486427-0.34705649833863i</v>
      </c>
      <c r="AP347" s="170" t="str">
        <f t="shared" si="192"/>
        <v>0.124709566987696-0.110568086171006i</v>
      </c>
      <c r="AQ347" s="170" t="str">
        <f t="shared" si="193"/>
        <v>0.875290433012304+0.110568086171006i</v>
      </c>
      <c r="AR347" s="170" t="str">
        <f t="shared" si="194"/>
        <v>0.936736472967546-0.11833004812603i</v>
      </c>
    </row>
    <row r="348" spans="7:44">
      <c r="G348" s="688">
        <v>26762</v>
      </c>
      <c r="H348" s="676">
        <f t="shared" si="186"/>
        <v>26.762</v>
      </c>
      <c r="I348" s="677">
        <f t="shared" si="166"/>
        <v>220.11141353177803</v>
      </c>
      <c r="J348" s="678">
        <f t="shared" si="167"/>
        <v>1.5662531573879699</v>
      </c>
      <c r="K348" s="678">
        <f t="shared" si="168"/>
        <v>1.0006840120120495</v>
      </c>
      <c r="L348" s="679">
        <f t="shared" si="169"/>
        <v>3.6976272007797392E-2</v>
      </c>
      <c r="M348" s="678">
        <f t="shared" si="170"/>
        <v>1.0101625697169283</v>
      </c>
      <c r="N348" s="679">
        <f t="shared" si="171"/>
        <v>-0.14196650787877102</v>
      </c>
      <c r="O348" s="677">
        <f t="shared" si="172"/>
        <v>1109793.9929912107</v>
      </c>
      <c r="P348" s="680">
        <f t="shared" si="173"/>
        <v>1.5707954257267647</v>
      </c>
      <c r="Q348" s="689">
        <f t="shared" si="195"/>
        <v>44.403021642737336</v>
      </c>
      <c r="R348" s="690">
        <f t="shared" si="196"/>
        <v>1.5482734327485572</v>
      </c>
      <c r="S348" s="677">
        <f t="shared" si="174"/>
        <v>1.0201546262133057</v>
      </c>
      <c r="T348" s="680">
        <f t="shared" si="175"/>
        <v>0.19910720856509623</v>
      </c>
      <c r="U348" s="681">
        <f t="shared" si="187"/>
        <v>0.92283360729288855</v>
      </c>
      <c r="V348" s="682">
        <f t="shared" si="188"/>
        <v>-0.49094175233583148</v>
      </c>
      <c r="W348" s="683">
        <f t="shared" si="176"/>
        <v>-27.627735336427463</v>
      </c>
      <c r="X348" s="684">
        <f t="shared" si="177"/>
        <v>-136.5825013898139</v>
      </c>
      <c r="Y348" s="687">
        <f t="shared" si="178"/>
        <v>43.417498610186101</v>
      </c>
      <c r="AA348" s="170">
        <f t="shared" si="179"/>
        <v>26762</v>
      </c>
      <c r="AB348" s="170">
        <f t="shared" si="180"/>
        <v>716204644</v>
      </c>
      <c r="AD348" s="686">
        <f t="shared" si="181"/>
        <v>16.975533140207464</v>
      </c>
      <c r="AE348" s="687">
        <f t="shared" si="182"/>
        <v>-12.698417879795668</v>
      </c>
      <c r="AG348" s="686">
        <f t="shared" si="183"/>
        <v>-2.2238441054850298</v>
      </c>
      <c r="AH348" s="687">
        <f t="shared" si="184"/>
        <v>-67.6263026545342</v>
      </c>
      <c r="AJ348" s="170">
        <f t="shared" si="185"/>
        <v>0</v>
      </c>
      <c r="AK348" s="170">
        <f t="shared" si="197"/>
        <v>0</v>
      </c>
      <c r="AM348" s="170" t="str">
        <f t="shared" si="189"/>
        <v>0.254516042735519+0.666523570071824i</v>
      </c>
      <c r="AN348" s="170" t="str">
        <f t="shared" si="190"/>
        <v>0.729535688478281i</v>
      </c>
      <c r="AO348" s="170" t="str">
        <f t="shared" si="191"/>
        <v>0.913627092681521-0.348874012272665i</v>
      </c>
      <c r="AP348" s="170" t="str">
        <f t="shared" si="192"/>
        <v>0.124247326210747-0.111087261678637i</v>
      </c>
      <c r="AQ348" s="170" t="str">
        <f t="shared" si="193"/>
        <v>0.875752673789253+0.111087261678637i</v>
      </c>
      <c r="AR348" s="170" t="str">
        <f t="shared" si="194"/>
        <v>0.936119304434988-0.118744633326941i</v>
      </c>
    </row>
    <row r="349" spans="7:44">
      <c r="G349" s="688">
        <v>26915</v>
      </c>
      <c r="H349" s="676">
        <f t="shared" si="186"/>
        <v>26.914999999999999</v>
      </c>
      <c r="I349" s="677">
        <f t="shared" si="166"/>
        <v>221.36977812125082</v>
      </c>
      <c r="J349" s="678">
        <f t="shared" si="167"/>
        <v>1.5662789829661188</v>
      </c>
      <c r="K349" s="678">
        <f t="shared" si="168"/>
        <v>1.0006918527349407</v>
      </c>
      <c r="L349" s="679">
        <f t="shared" si="169"/>
        <v>3.7187473342149259E-2</v>
      </c>
      <c r="M349" s="678">
        <f t="shared" si="170"/>
        <v>1.0102785091208781</v>
      </c>
      <c r="N349" s="679">
        <f t="shared" si="171"/>
        <v>-0.14276718585699619</v>
      </c>
      <c r="O349" s="677">
        <f t="shared" si="172"/>
        <v>1116138.753507148</v>
      </c>
      <c r="P349" s="680">
        <f t="shared" si="173"/>
        <v>1.5707954308489429</v>
      </c>
      <c r="Q349" s="689">
        <f t="shared" si="195"/>
        <v>44.656748060368031</v>
      </c>
      <c r="R349" s="690">
        <f t="shared" si="196"/>
        <v>1.5484014226213678</v>
      </c>
      <c r="S349" s="677">
        <f t="shared" si="174"/>
        <v>1.0203834268326264</v>
      </c>
      <c r="T349" s="680">
        <f t="shared" si="175"/>
        <v>0.200215421549127</v>
      </c>
      <c r="U349" s="681">
        <f t="shared" si="187"/>
        <v>0.92204753560651043</v>
      </c>
      <c r="V349" s="682">
        <f t="shared" si="188"/>
        <v>-0.49354191908265138</v>
      </c>
      <c r="W349" s="683">
        <f t="shared" si="176"/>
        <v>-27.685560410951876</v>
      </c>
      <c r="X349" s="684">
        <f t="shared" si="177"/>
        <v>-136.82289713189181</v>
      </c>
      <c r="Y349" s="687">
        <f t="shared" si="178"/>
        <v>43.177102868108193</v>
      </c>
      <c r="AA349" s="170">
        <f t="shared" si="179"/>
        <v>26915</v>
      </c>
      <c r="AB349" s="170">
        <f t="shared" si="180"/>
        <v>724417225</v>
      </c>
      <c r="AD349" s="686">
        <f t="shared" si="181"/>
        <v>16.973560312521755</v>
      </c>
      <c r="AE349" s="687">
        <f t="shared" si="182"/>
        <v>-12.754580820593137</v>
      </c>
      <c r="AG349" s="686">
        <f t="shared" si="183"/>
        <v>-2.26489272694125</v>
      </c>
      <c r="AH349" s="687">
        <f t="shared" si="184"/>
        <v>-67.512578294228106</v>
      </c>
      <c r="AJ349" s="170">
        <f t="shared" si="185"/>
        <v>0</v>
      </c>
      <c r="AK349" s="170">
        <f t="shared" si="197"/>
        <v>0</v>
      </c>
      <c r="AM349" s="170" t="str">
        <f t="shared" si="189"/>
        <v>0.257302455501244+0.66962702857301i</v>
      </c>
      <c r="AN349" s="170" t="str">
        <f t="shared" si="190"/>
        <v>0.733706488879491i</v>
      </c>
      <c r="AO349" s="170" t="str">
        <f t="shared" si="191"/>
        <v>0.912663358880276-0.350688537447984i</v>
      </c>
      <c r="AP349" s="170" t="str">
        <f t="shared" si="192"/>
        <v>0.123782924083126-0.111604504762168i</v>
      </c>
      <c r="AQ349" s="170" t="str">
        <f t="shared" si="193"/>
        <v>0.876217075916874+0.111604504762168i</v>
      </c>
      <c r="AR349" s="170" t="str">
        <f t="shared" si="194"/>
        <v>0.935500722992244-0.119155512673556i</v>
      </c>
    </row>
    <row r="350" spans="7:44">
      <c r="G350" s="688">
        <v>27071.75</v>
      </c>
      <c r="H350" s="676">
        <f t="shared" si="186"/>
        <v>27.071750000000002</v>
      </c>
      <c r="I350" s="677">
        <f t="shared" si="166"/>
        <v>222.6589851314389</v>
      </c>
      <c r="J350" s="678">
        <f t="shared" si="167"/>
        <v>1.5663051387962963</v>
      </c>
      <c r="K350" s="678">
        <f t="shared" si="168"/>
        <v>1.0006999319230101</v>
      </c>
      <c r="L350" s="679">
        <f t="shared" si="169"/>
        <v>3.7403847737567296E-2</v>
      </c>
      <c r="M350" s="678">
        <f t="shared" si="170"/>
        <v>1.010397961701323</v>
      </c>
      <c r="N350" s="679">
        <f t="shared" si="171"/>
        <v>-0.14358729719426622</v>
      </c>
      <c r="O350" s="677">
        <f t="shared" si="172"/>
        <v>1122639.0228592604</v>
      </c>
      <c r="P350" s="680">
        <f t="shared" si="173"/>
        <v>1.5707954360366212</v>
      </c>
      <c r="Q350" s="689">
        <f t="shared" si="195"/>
        <v>44.916694012723518</v>
      </c>
      <c r="R350" s="690">
        <f t="shared" si="196"/>
        <v>1.5485310499191165</v>
      </c>
      <c r="S350" s="677">
        <f t="shared" si="174"/>
        <v>1.0206191343379307</v>
      </c>
      <c r="T350" s="680">
        <f t="shared" si="175"/>
        <v>0.20135027989111609</v>
      </c>
      <c r="U350" s="681">
        <f t="shared" si="187"/>
        <v>0.92123951232799883</v>
      </c>
      <c r="V350" s="682">
        <f t="shared" si="188"/>
        <v>-0.49620259972304315</v>
      </c>
      <c r="W350" s="683">
        <f t="shared" si="176"/>
        <v>-27.744547698370305</v>
      </c>
      <c r="X350" s="684">
        <f t="shared" si="177"/>
        <v>-137.06902889438535</v>
      </c>
      <c r="Y350" s="687">
        <f t="shared" si="178"/>
        <v>42.930971105614645</v>
      </c>
      <c r="AA350" s="170">
        <f t="shared" si="179"/>
        <v>27071.75</v>
      </c>
      <c r="AB350" s="170">
        <f t="shared" si="180"/>
        <v>732879648.0625</v>
      </c>
      <c r="AD350" s="686">
        <f t="shared" si="181"/>
        <v>16.971528966535296</v>
      </c>
      <c r="AE350" s="687">
        <f t="shared" si="182"/>
        <v>-12.812176614161521</v>
      </c>
      <c r="AG350" s="686">
        <f t="shared" si="183"/>
        <v>-2.3066184816704913</v>
      </c>
      <c r="AH350" s="687">
        <f t="shared" si="184"/>
        <v>-67.396222720151613</v>
      </c>
      <c r="AJ350" s="170">
        <f t="shared" si="185"/>
        <v>0</v>
      </c>
      <c r="AK350" s="170">
        <f t="shared" si="197"/>
        <v>0</v>
      </c>
      <c r="AM350" s="170" t="str">
        <f t="shared" si="189"/>
        <v>0.260170560785328+0.672794471492821i</v>
      </c>
      <c r="AN350" s="170" t="str">
        <f t="shared" si="190"/>
        <v>0.737979514780731i</v>
      </c>
      <c r="AO350" s="170" t="str">
        <f t="shared" si="191"/>
        <v>0.911670931262533-0.352544421050265i</v>
      </c>
      <c r="AP350" s="170" t="str">
        <f t="shared" si="192"/>
        <v>0.123304906535779-0.11213241191547i</v>
      </c>
      <c r="AQ350" s="170" t="str">
        <f t="shared" si="193"/>
        <v>0.876695093464221+0.11213241191547i</v>
      </c>
      <c r="AR350" s="170" t="str">
        <f t="shared" si="194"/>
        <v>0.93486554217612-0.119572618624619i</v>
      </c>
    </row>
    <row r="351" spans="7:44">
      <c r="G351" s="688">
        <v>27228.5</v>
      </c>
      <c r="H351" s="676">
        <f t="shared" si="186"/>
        <v>27.2285</v>
      </c>
      <c r="I351" s="677">
        <f t="shared" si="166"/>
        <v>223.94819229220025</v>
      </c>
      <c r="J351" s="678">
        <f t="shared" si="167"/>
        <v>1.5663309934828813</v>
      </c>
      <c r="K351" s="678">
        <f t="shared" si="168"/>
        <v>1.00070805796097</v>
      </c>
      <c r="L351" s="679">
        <f t="shared" si="169"/>
        <v>3.7620218629070272E-2</v>
      </c>
      <c r="M351" s="678">
        <f t="shared" si="170"/>
        <v>1.0105180936969305</v>
      </c>
      <c r="N351" s="679">
        <f t="shared" si="171"/>
        <v>-0.14440721409061302</v>
      </c>
      <c r="O351" s="677">
        <f t="shared" si="172"/>
        <v>1129139.2922113729</v>
      </c>
      <c r="P351" s="680">
        <f t="shared" si="173"/>
        <v>1.5707954411645701</v>
      </c>
      <c r="Q351" s="689">
        <f t="shared" si="195"/>
        <v>45.176640711139207</v>
      </c>
      <c r="R351" s="690">
        <f t="shared" si="196"/>
        <v>1.5486591854662888</v>
      </c>
      <c r="S351" s="677">
        <f t="shared" si="174"/>
        <v>1.0208561556941627</v>
      </c>
      <c r="T351" s="680">
        <f t="shared" si="175"/>
        <v>0.20248461271291399</v>
      </c>
      <c r="U351" s="681">
        <f t="shared" si="187"/>
        <v>0.92042879749284157</v>
      </c>
      <c r="V351" s="682">
        <f t="shared" si="188"/>
        <v>-0.49886001841326255</v>
      </c>
      <c r="W351" s="683">
        <f t="shared" si="176"/>
        <v>-27.803280034774957</v>
      </c>
      <c r="X351" s="684">
        <f t="shared" si="177"/>
        <v>-137.31500092426012</v>
      </c>
      <c r="Y351" s="687">
        <f t="shared" si="178"/>
        <v>42.684999075739881</v>
      </c>
      <c r="AA351" s="170">
        <f t="shared" si="179"/>
        <v>27228.5</v>
      </c>
      <c r="AB351" s="170">
        <f t="shared" si="180"/>
        <v>741391212.25</v>
      </c>
      <c r="AD351" s="686">
        <f t="shared" si="181"/>
        <v>16.969487337889724</v>
      </c>
      <c r="AE351" s="687">
        <f t="shared" si="182"/>
        <v>-12.869827765230854</v>
      </c>
      <c r="AG351" s="686">
        <f t="shared" si="183"/>
        <v>-2.3480148391854492</v>
      </c>
      <c r="AH351" s="687">
        <f t="shared" si="184"/>
        <v>-67.280025847911588</v>
      </c>
      <c r="AJ351" s="170">
        <f t="shared" si="185"/>
        <v>0</v>
      </c>
      <c r="AK351" s="170">
        <f t="shared" si="197"/>
        <v>0</v>
      </c>
      <c r="AM351" s="170" t="str">
        <f t="shared" si="189"/>
        <v>0.263052174409892+0.675949630045029i</v>
      </c>
      <c r="AN351" s="170" t="str">
        <f t="shared" si="190"/>
        <v>0.74225254068197i</v>
      </c>
      <c r="AO351" s="170" t="str">
        <f t="shared" si="191"/>
        <v>0.910673380011575-0.354397135735236i</v>
      </c>
      <c r="AP351" s="170" t="str">
        <f t="shared" si="192"/>
        <v>0.122824637598351-0.112658271674171i</v>
      </c>
      <c r="AQ351" s="170" t="str">
        <f t="shared" si="193"/>
        <v>0.877175362401649+0.112658271674171i</v>
      </c>
      <c r="AR351" s="170" t="str">
        <f t="shared" si="194"/>
        <v>0.93422893356943-0.119985833523381i</v>
      </c>
    </row>
    <row r="352" spans="7:44">
      <c r="G352" s="688">
        <v>27385.25</v>
      </c>
      <c r="H352" s="676">
        <f t="shared" si="186"/>
        <v>27.385249999999999</v>
      </c>
      <c r="I352" s="677">
        <f t="shared" si="166"/>
        <v>225.23739960094937</v>
      </c>
      <c r="J352" s="678">
        <f t="shared" si="167"/>
        <v>1.5663565521968696</v>
      </c>
      <c r="K352" s="678">
        <f t="shared" si="168"/>
        <v>1.0007162308476794</v>
      </c>
      <c r="L352" s="679">
        <f t="shared" si="169"/>
        <v>3.7836585996484387E-2</v>
      </c>
      <c r="M352" s="678">
        <f t="shared" si="170"/>
        <v>1.0106389048654199</v>
      </c>
      <c r="N352" s="679">
        <f t="shared" si="171"/>
        <v>-0.14522693551317126</v>
      </c>
      <c r="O352" s="677">
        <f t="shared" si="172"/>
        <v>1135639.5615634853</v>
      </c>
      <c r="P352" s="680">
        <f t="shared" si="173"/>
        <v>1.5707954462338156</v>
      </c>
      <c r="Q352" s="689">
        <f t="shared" si="195"/>
        <v>45.436588142810287</v>
      </c>
      <c r="R352" s="690">
        <f t="shared" si="196"/>
        <v>1.5487858548620199</v>
      </c>
      <c r="S352" s="677">
        <f t="shared" si="174"/>
        <v>1.0210944899863899</v>
      </c>
      <c r="T352" s="680">
        <f t="shared" si="175"/>
        <v>0.20361841746238313</v>
      </c>
      <c r="U352" s="681">
        <f t="shared" si="187"/>
        <v>0.91961541734980567</v>
      </c>
      <c r="V352" s="682">
        <f t="shared" si="188"/>
        <v>-0.50151416790057934</v>
      </c>
      <c r="W352" s="683">
        <f t="shared" si="176"/>
        <v>-27.861760592717332</v>
      </c>
      <c r="X352" s="684">
        <f t="shared" si="177"/>
        <v>-137.56081143132815</v>
      </c>
      <c r="Y352" s="687">
        <f t="shared" si="178"/>
        <v>42.439188568671852</v>
      </c>
      <c r="AA352" s="170">
        <f t="shared" si="179"/>
        <v>27385.25</v>
      </c>
      <c r="AB352" s="170">
        <f t="shared" si="180"/>
        <v>749951917.5625</v>
      </c>
      <c r="AD352" s="686">
        <f t="shared" si="181"/>
        <v>16.967435432059681</v>
      </c>
      <c r="AE352" s="687">
        <f t="shared" si="182"/>
        <v>-12.927532660910762</v>
      </c>
      <c r="AG352" s="686">
        <f t="shared" si="183"/>
        <v>-2.389085315533563</v>
      </c>
      <c r="AH352" s="687">
        <f t="shared" si="184"/>
        <v>-67.163988331312098</v>
      </c>
      <c r="AJ352" s="170">
        <f t="shared" si="185"/>
        <v>0</v>
      </c>
      <c r="AK352" s="170">
        <f t="shared" si="197"/>
        <v>0</v>
      </c>
      <c r="AM352" s="170" t="str">
        <f t="shared" si="189"/>
        <v>0.265947243760353+0.679092446620472i</v>
      </c>
      <c r="AN352" s="170" t="str">
        <f t="shared" si="190"/>
        <v>0.74652556658321i</v>
      </c>
      <c r="AO352" s="170" t="str">
        <f t="shared" si="191"/>
        <v>0.909670715938941-0.356246665439166i</v>
      </c>
      <c r="AP352" s="170" t="str">
        <f t="shared" si="192"/>
        <v>0.122342126039941-0.113182074436745i</v>
      </c>
      <c r="AQ352" s="170" t="str">
        <f t="shared" si="193"/>
        <v>0.877657873960059+0.113182074436745i</v>
      </c>
      <c r="AR352" s="170" t="str">
        <f t="shared" si="194"/>
        <v>0.933590924988404-0.120395157043069i</v>
      </c>
    </row>
    <row r="353" spans="7:44">
      <c r="G353" s="688">
        <v>27542</v>
      </c>
      <c r="H353" s="676">
        <f t="shared" si="186"/>
        <v>27.542000000000002</v>
      </c>
      <c r="I353" s="677">
        <f t="shared" si="166"/>
        <v>226.52660705515964</v>
      </c>
      <c r="J353" s="678">
        <f t="shared" si="167"/>
        <v>1.5663818199915422</v>
      </c>
      <c r="K353" s="678">
        <f t="shared" si="168"/>
        <v>1.0007244505819899</v>
      </c>
      <c r="L353" s="679">
        <f t="shared" si="169"/>
        <v>3.8052949819637839E-2</v>
      </c>
      <c r="M353" s="678">
        <f t="shared" si="170"/>
        <v>1.0107603949632566</v>
      </c>
      <c r="N353" s="679">
        <f t="shared" si="171"/>
        <v>-0.14604646043061895</v>
      </c>
      <c r="O353" s="677">
        <f t="shared" si="172"/>
        <v>1142139.8309155977</v>
      </c>
      <c r="P353" s="680">
        <f t="shared" si="173"/>
        <v>1.5707954512453597</v>
      </c>
      <c r="Q353" s="689">
        <f t="shared" si="195"/>
        <v>45.696536295223261</v>
      </c>
      <c r="R353" s="690">
        <f t="shared" si="196"/>
        <v>1.548911083123145</v>
      </c>
      <c r="S353" s="677">
        <f t="shared" si="174"/>
        <v>1.0213341362954684</v>
      </c>
      <c r="T353" s="680">
        <f t="shared" si="175"/>
        <v>0.20475169159519246</v>
      </c>
      <c r="U353" s="681">
        <f t="shared" si="187"/>
        <v>0.91879939810458766</v>
      </c>
      <c r="V353" s="682">
        <f t="shared" si="188"/>
        <v>-0.50416504107472215</v>
      </c>
      <c r="W353" s="683">
        <f t="shared" si="176"/>
        <v>-27.919992487207832</v>
      </c>
      <c r="X353" s="684">
        <f t="shared" si="177"/>
        <v>-137.806458660717</v>
      </c>
      <c r="Y353" s="687">
        <f t="shared" si="178"/>
        <v>42.193541339283001</v>
      </c>
      <c r="AA353" s="170">
        <f t="shared" si="179"/>
        <v>27542</v>
      </c>
      <c r="AB353" s="170">
        <f t="shared" si="180"/>
        <v>758561764</v>
      </c>
      <c r="AD353" s="686">
        <f t="shared" si="181"/>
        <v>16.965373254864545</v>
      </c>
      <c r="AE353" s="687">
        <f t="shared" si="182"/>
        <v>-12.985289722120182</v>
      </c>
      <c r="AG353" s="686">
        <f t="shared" si="183"/>
        <v>-2.4298333695298675</v>
      </c>
      <c r="AH353" s="687">
        <f t="shared" si="184"/>
        <v>-67.048110809338766</v>
      </c>
      <c r="AJ353" s="170">
        <f t="shared" si="185"/>
        <v>0</v>
      </c>
      <c r="AK353" s="170">
        <f t="shared" si="197"/>
        <v>0</v>
      </c>
      <c r="AM353" s="170" t="str">
        <f t="shared" si="189"/>
        <v>0.268855715976443+0.68222286383533i</v>
      </c>
      <c r="AN353" s="170" t="str">
        <f t="shared" si="190"/>
        <v>0.750798592484449i</v>
      </c>
      <c r="AO353" s="170" t="str">
        <f t="shared" si="191"/>
        <v>0.908662949910179-0.358092994136789i</v>
      </c>
      <c r="AP353" s="170" t="str">
        <f t="shared" si="192"/>
        <v>0.121857380670593-0.113703810639222i</v>
      </c>
      <c r="AQ353" s="170" t="str">
        <f t="shared" si="193"/>
        <v>0.878142619329407+0.113703810639222i</v>
      </c>
      <c r="AR353" s="170" t="str">
        <f t="shared" si="194"/>
        <v>0.932951544157615-0.12080058908139i</v>
      </c>
    </row>
    <row r="354" spans="7:44">
      <c r="G354" s="688">
        <v>27702.5</v>
      </c>
      <c r="H354" s="676">
        <f t="shared" si="186"/>
        <v>27.702500000000001</v>
      </c>
      <c r="I354" s="677">
        <f t="shared" si="166"/>
        <v>227.84665694110714</v>
      </c>
      <c r="J354" s="678">
        <f t="shared" si="167"/>
        <v>1.5664073959943101</v>
      </c>
      <c r="K354" s="678">
        <f t="shared" si="168"/>
        <v>1.0007329155015978</v>
      </c>
      <c r="L354" s="679">
        <f t="shared" si="169"/>
        <v>3.8274486117281965E-2</v>
      </c>
      <c r="M354" s="678">
        <f t="shared" si="170"/>
        <v>1.0108854947542207</v>
      </c>
      <c r="N354" s="679">
        <f t="shared" si="171"/>
        <v>-0.14688538651885402</v>
      </c>
      <c r="O354" s="677">
        <f t="shared" si="172"/>
        <v>1148795.6091038852</v>
      </c>
      <c r="P354" s="680">
        <f t="shared" si="173"/>
        <v>1.570795456318032</v>
      </c>
      <c r="Q354" s="689">
        <f t="shared" si="195"/>
        <v>45.962704036997074</v>
      </c>
      <c r="R354" s="690">
        <f t="shared" si="196"/>
        <v>1.549037839547323</v>
      </c>
      <c r="S354" s="677">
        <f t="shared" si="174"/>
        <v>1.0215808742796928</v>
      </c>
      <c r="T354" s="680">
        <f t="shared" si="175"/>
        <v>0.20591152509043231</v>
      </c>
      <c r="U354" s="681">
        <f t="shared" si="187"/>
        <v>0.91796114962893005</v>
      </c>
      <c r="V354" s="682">
        <f t="shared" si="188"/>
        <v>-0.50687593016854393</v>
      </c>
      <c r="W354" s="683">
        <f t="shared" si="176"/>
        <v>-27.979363025639884</v>
      </c>
      <c r="X354" s="684">
        <f t="shared" si="177"/>
        <v>-138.05781163786529</v>
      </c>
      <c r="Y354" s="687">
        <f t="shared" si="178"/>
        <v>41.942188362134715</v>
      </c>
      <c r="AA354" s="170">
        <f t="shared" si="179"/>
        <v>27702.5</v>
      </c>
      <c r="AB354" s="170">
        <f t="shared" si="180"/>
        <v>767428506.25</v>
      </c>
      <c r="AD354" s="686">
        <f t="shared" si="181"/>
        <v>16.963251106822465</v>
      </c>
      <c r="AE354" s="687">
        <f t="shared" si="182"/>
        <v>-13.044480968914097</v>
      </c>
      <c r="AG354" s="686">
        <f t="shared" si="183"/>
        <v>-2.4712257262886577</v>
      </c>
      <c r="AH354" s="687">
        <f t="shared" si="184"/>
        <v>-66.929627531730077</v>
      </c>
      <c r="AJ354" s="170">
        <f t="shared" si="185"/>
        <v>0</v>
      </c>
      <c r="AK354" s="170">
        <f t="shared" si="197"/>
        <v>0</v>
      </c>
      <c r="AM354" s="170" t="str">
        <f t="shared" si="189"/>
        <v>0.271847601066511+0.685415263856449i</v>
      </c>
      <c r="AN354" s="170" t="str">
        <f t="shared" si="190"/>
        <v>0.755173843885718i</v>
      </c>
      <c r="AO354" s="170" t="str">
        <f t="shared" si="191"/>
        <v>0.907625799550566-0.359980159889714i</v>
      </c>
      <c r="AP354" s="170" t="str">
        <f t="shared" si="192"/>
        <v>0.121358733155582-0.114235877309408i</v>
      </c>
      <c r="AQ354" s="170" t="str">
        <f t="shared" si="193"/>
        <v>0.878641266844418+0.114235877309408i</v>
      </c>
      <c r="AR354" s="170" t="str">
        <f t="shared" si="194"/>
        <v>0.932295474107056-0.12121168833636i</v>
      </c>
    </row>
    <row r="355" spans="7:44">
      <c r="G355" s="688">
        <v>27863</v>
      </c>
      <c r="H355" s="676">
        <f t="shared" si="186"/>
        <v>27.863</v>
      </c>
      <c r="I355" s="677">
        <f t="shared" si="166"/>
        <v>229.16670697437939</v>
      </c>
      <c r="J355" s="678">
        <f t="shared" si="167"/>
        <v>1.5664326773504265</v>
      </c>
      <c r="K355" s="678">
        <f t="shared" si="168"/>
        <v>1.000741429534675</v>
      </c>
      <c r="L355" s="679">
        <f t="shared" si="169"/>
        <v>3.8496018656258506E-2</v>
      </c>
      <c r="M355" s="678">
        <f t="shared" si="170"/>
        <v>1.011011305826985</v>
      </c>
      <c r="N355" s="679">
        <f t="shared" si="171"/>
        <v>-0.14772410440395867</v>
      </c>
      <c r="O355" s="677">
        <f t="shared" si="172"/>
        <v>1155451.387292173</v>
      </c>
      <c r="P355" s="680">
        <f t="shared" si="173"/>
        <v>1.5707954613322637</v>
      </c>
      <c r="Q355" s="689">
        <f t="shared" si="195"/>
        <v>46.228872508758535</v>
      </c>
      <c r="R355" s="690">
        <f t="shared" si="196"/>
        <v>1.5491631363418026</v>
      </c>
      <c r="S355" s="677">
        <f t="shared" si="174"/>
        <v>1.0218289858437952</v>
      </c>
      <c r="T355" s="680">
        <f t="shared" si="175"/>
        <v>0.2070707969032905</v>
      </c>
      <c r="U355" s="681">
        <f t="shared" si="187"/>
        <v>0.91712018972856812</v>
      </c>
      <c r="V355" s="682">
        <f t="shared" si="188"/>
        <v>-0.50958336968079243</v>
      </c>
      <c r="W355" s="683">
        <f t="shared" si="176"/>
        <v>-28.03847929113347</v>
      </c>
      <c r="X355" s="684">
        <f t="shared" si="177"/>
        <v>-138.30898981797677</v>
      </c>
      <c r="Y355" s="687">
        <f t="shared" si="178"/>
        <v>41.691010182023234</v>
      </c>
      <c r="AA355" s="170">
        <f t="shared" si="179"/>
        <v>27863</v>
      </c>
      <c r="AB355" s="170">
        <f t="shared" si="180"/>
        <v>776346769</v>
      </c>
      <c r="AD355" s="686">
        <f t="shared" si="181"/>
        <v>16.961118203497417</v>
      </c>
      <c r="AE355" s="687">
        <f t="shared" si="182"/>
        <v>-13.10372366095117</v>
      </c>
      <c r="AG355" s="686">
        <f t="shared" si="183"/>
        <v>-2.5122872102510172</v>
      </c>
      <c r="AH355" s="687">
        <f t="shared" si="184"/>
        <v>-66.811313304772369</v>
      </c>
      <c r="AJ355" s="170">
        <f t="shared" si="185"/>
        <v>0</v>
      </c>
      <c r="AK355" s="170">
        <f t="shared" si="197"/>
        <v>0</v>
      </c>
      <c r="AM355" s="170" t="str">
        <f t="shared" si="189"/>
        <v>0.274853425028162+0.68859454311417i</v>
      </c>
      <c r="AN355" s="170" t="str">
        <f t="shared" si="190"/>
        <v>0.759549095286987i</v>
      </c>
      <c r="AO355" s="170" t="str">
        <f t="shared" si="191"/>
        <v>0.906583323430847-0.361863935766143i</v>
      </c>
      <c r="AP355" s="170" t="str">
        <f t="shared" si="192"/>
        <v>0.120857762495306-0.114765757185695i</v>
      </c>
      <c r="AQ355" s="170" t="str">
        <f t="shared" si="193"/>
        <v>0.879142237504694+0.114765757185695i</v>
      </c>
      <c r="AR355" s="170" t="str">
        <f t="shared" si="194"/>
        <v>0.931638023890322-0.121618708183369i</v>
      </c>
    </row>
    <row r="356" spans="7:44">
      <c r="G356" s="688">
        <v>28023.5</v>
      </c>
      <c r="H356" s="676">
        <f t="shared" si="186"/>
        <v>28.023499999999999</v>
      </c>
      <c r="I356" s="677">
        <f t="shared" si="166"/>
        <v>230.48675715244514</v>
      </c>
      <c r="J356" s="678">
        <f t="shared" si="167"/>
        <v>1.5664576691223842</v>
      </c>
      <c r="K356" s="678">
        <f t="shared" si="168"/>
        <v>1.0007499926799679</v>
      </c>
      <c r="L356" s="679">
        <f t="shared" si="169"/>
        <v>3.8717547414919506E-2</v>
      </c>
      <c r="M356" s="678">
        <f t="shared" si="170"/>
        <v>1.0111378279160448</v>
      </c>
      <c r="N356" s="679">
        <f t="shared" si="171"/>
        <v>-0.14856261298388296</v>
      </c>
      <c r="O356" s="677">
        <f t="shared" si="172"/>
        <v>1162107.1654804603</v>
      </c>
      <c r="P356" s="680">
        <f t="shared" si="173"/>
        <v>1.5707954662890589</v>
      </c>
      <c r="Q356" s="689">
        <f t="shared" si="195"/>
        <v>46.495041697970855</v>
      </c>
      <c r="R356" s="690">
        <f t="shared" si="196"/>
        <v>1.5492869985703495</v>
      </c>
      <c r="S356" s="677">
        <f t="shared" si="174"/>
        <v>1.0220784699874574</v>
      </c>
      <c r="T356" s="680">
        <f t="shared" si="175"/>
        <v>0.20822950432803822</v>
      </c>
      <c r="U356" s="681">
        <f t="shared" si="187"/>
        <v>0.91627654638389888</v>
      </c>
      <c r="V356" s="682">
        <f t="shared" si="188"/>
        <v>-0.51228735243966805</v>
      </c>
      <c r="W356" s="683">
        <f t="shared" si="176"/>
        <v>-28.097344448644762</v>
      </c>
      <c r="X356" s="684">
        <f t="shared" si="177"/>
        <v>-138.55999142727731</v>
      </c>
      <c r="Y356" s="687">
        <f t="shared" si="178"/>
        <v>41.440008572722689</v>
      </c>
      <c r="AA356" s="170">
        <f t="shared" si="179"/>
        <v>28023.5</v>
      </c>
      <c r="AB356" s="170">
        <f t="shared" si="180"/>
        <v>785316552.25</v>
      </c>
      <c r="AD356" s="686">
        <f t="shared" si="181"/>
        <v>16.958974552196846</v>
      </c>
      <c r="AE356" s="687">
        <f t="shared" si="182"/>
        <v>-13.16301620721406</v>
      </c>
      <c r="AG356" s="686">
        <f t="shared" si="183"/>
        <v>-2.5530213562607598</v>
      </c>
      <c r="AH356" s="687">
        <f t="shared" si="184"/>
        <v>-66.693168767536534</v>
      </c>
      <c r="AJ356" s="170">
        <f t="shared" si="185"/>
        <v>0</v>
      </c>
      <c r="AK356" s="170">
        <f t="shared" si="197"/>
        <v>0</v>
      </c>
      <c r="AM356" s="170" t="str">
        <f t="shared" si="189"/>
        <v>0.277873130321526+0.691760640748206i</v>
      </c>
      <c r="AN356" s="170" t="str">
        <f t="shared" si="190"/>
        <v>0.763924346688256i</v>
      </c>
      <c r="AO356" s="170" t="str">
        <f t="shared" si="191"/>
        <v>0.905535533390326-0.363744304689534i</v>
      </c>
      <c r="AP356" s="170" t="str">
        <f t="shared" si="192"/>
        <v>0.120354478279746-0.115293440124701i</v>
      </c>
      <c r="AQ356" s="170" t="str">
        <f t="shared" si="193"/>
        <v>0.879645521720254+0.115293440124701i</v>
      </c>
      <c r="AR356" s="170" t="str">
        <f t="shared" si="194"/>
        <v>0.930979222958893-0.122021649231663i</v>
      </c>
    </row>
    <row r="357" spans="7:44">
      <c r="G357" s="688">
        <v>28184</v>
      </c>
      <c r="H357" s="676">
        <f t="shared" si="186"/>
        <v>28.184000000000001</v>
      </c>
      <c r="I357" s="677">
        <f t="shared" si="166"/>
        <v>231.80680747283071</v>
      </c>
      <c r="J357" s="678">
        <f t="shared" si="167"/>
        <v>1.5664823762573621</v>
      </c>
      <c r="K357" s="678">
        <f t="shared" si="168"/>
        <v>1.0007586049362156</v>
      </c>
      <c r="L357" s="679">
        <f t="shared" si="169"/>
        <v>3.8939072371619254E-2</v>
      </c>
      <c r="M357" s="678">
        <f t="shared" si="170"/>
        <v>1.011265060754529</v>
      </c>
      <c r="N357" s="679">
        <f t="shared" si="171"/>
        <v>-0.14940091115830423</v>
      </c>
      <c r="O357" s="677">
        <f t="shared" si="172"/>
        <v>1168762.943668748</v>
      </c>
      <c r="P357" s="680">
        <f t="shared" si="173"/>
        <v>1.570795471189399</v>
      </c>
      <c r="Q357" s="689">
        <f t="shared" si="195"/>
        <v>46.761211592382622</v>
      </c>
      <c r="R357" s="690">
        <f t="shared" si="196"/>
        <v>1.5494094507262461</v>
      </c>
      <c r="S357" s="677">
        <f t="shared" si="174"/>
        <v>1.0223293257058073</v>
      </c>
      <c r="T357" s="680">
        <f t="shared" si="175"/>
        <v>0.20938764466764251</v>
      </c>
      <c r="U357" s="681">
        <f t="shared" si="187"/>
        <v>0.91543024752053037</v>
      </c>
      <c r="V357" s="682">
        <f t="shared" si="188"/>
        <v>-0.5149878714277828</v>
      </c>
      <c r="W357" s="683">
        <f t="shared" si="176"/>
        <v>-28.155961605504057</v>
      </c>
      <c r="X357" s="684">
        <f t="shared" si="177"/>
        <v>-138.81081472751487</v>
      </c>
      <c r="Y357" s="687">
        <f t="shared" si="178"/>
        <v>41.189185272485133</v>
      </c>
      <c r="AA357" s="170">
        <f t="shared" si="179"/>
        <v>28184</v>
      </c>
      <c r="AB357" s="170">
        <f t="shared" si="180"/>
        <v>794337856</v>
      </c>
      <c r="AD357" s="686">
        <f t="shared" si="181"/>
        <v>16.956820160565723</v>
      </c>
      <c r="AE357" s="687">
        <f t="shared" si="182"/>
        <v>-13.222357049868695</v>
      </c>
      <c r="AG357" s="686">
        <f t="shared" si="183"/>
        <v>-2.5934316417458554</v>
      </c>
      <c r="AH357" s="687">
        <f t="shared" si="184"/>
        <v>-66.57519454373805</v>
      </c>
      <c r="AJ357" s="170">
        <f t="shared" si="185"/>
        <v>0</v>
      </c>
      <c r="AK357" s="170">
        <f t="shared" si="197"/>
        <v>0</v>
      </c>
      <c r="AM357" s="170" t="str">
        <f t="shared" si="189"/>
        <v>0.280906659141006+0.6949134961506i</v>
      </c>
      <c r="AN357" s="170" t="str">
        <f t="shared" si="190"/>
        <v>0.768299598089526i</v>
      </c>
      <c r="AO357" s="170" t="str">
        <f t="shared" si="191"/>
        <v>0.904482441327043-0.365621249626468i</v>
      </c>
      <c r="AP357" s="170" t="str">
        <f t="shared" si="192"/>
        <v>0.119848890143166-0.1158189160251i</v>
      </c>
      <c r="AQ357" s="170" t="str">
        <f t="shared" si="193"/>
        <v>0.880151109856834+0.1158189160251i</v>
      </c>
      <c r="AR357" s="170" t="str">
        <f t="shared" si="194"/>
        <v>0.930319100655388-0.122420512328706i</v>
      </c>
    </row>
    <row r="358" spans="7:44">
      <c r="G358" s="688">
        <v>28348</v>
      </c>
      <c r="H358" s="676">
        <f t="shared" si="186"/>
        <v>28.347999999999999</v>
      </c>
      <c r="I358" s="677">
        <f t="shared" si="166"/>
        <v>233.15564408176837</v>
      </c>
      <c r="J358" s="678">
        <f t="shared" si="167"/>
        <v>1.5665073331921215</v>
      </c>
      <c r="K358" s="678">
        <f t="shared" si="168"/>
        <v>1.0007674557264201</v>
      </c>
      <c r="L358" s="679">
        <f t="shared" si="169"/>
        <v>3.9165424140867072E-2</v>
      </c>
      <c r="M358" s="678">
        <f t="shared" si="170"/>
        <v>1.0113958020290292</v>
      </c>
      <c r="N358" s="679">
        <f t="shared" si="171"/>
        <v>-0.15025727149729687</v>
      </c>
      <c r="O358" s="677">
        <f t="shared" si="172"/>
        <v>1175563.8634374654</v>
      </c>
      <c r="P358" s="680">
        <f t="shared" si="173"/>
        <v>1.5707954761392826</v>
      </c>
      <c r="Q358" s="689">
        <f t="shared" si="195"/>
        <v>47.033186530687367</v>
      </c>
      <c r="R358" s="690">
        <f t="shared" si="196"/>
        <v>1.5495331415509299</v>
      </c>
      <c r="S358" s="677">
        <f t="shared" si="174"/>
        <v>1.0225870675132054</v>
      </c>
      <c r="T358" s="680">
        <f t="shared" si="175"/>
        <v>0.21057045183754902</v>
      </c>
      <c r="U358" s="681">
        <f t="shared" si="187"/>
        <v>0.91456277952507992</v>
      </c>
      <c r="V358" s="682">
        <f t="shared" si="188"/>
        <v>-0.51774369520244901</v>
      </c>
      <c r="W358" s="683">
        <f t="shared" si="176"/>
        <v>-28.215604020478501</v>
      </c>
      <c r="X358" s="684">
        <f t="shared" si="177"/>
        <v>-139.06692173851448</v>
      </c>
      <c r="Y358" s="687">
        <f t="shared" si="178"/>
        <v>40.93307826148552</v>
      </c>
      <c r="AA358" s="170">
        <f t="shared" si="179"/>
        <v>28348</v>
      </c>
      <c r="AB358" s="170">
        <f t="shared" si="180"/>
        <v>803609104</v>
      </c>
      <c r="AD358" s="686">
        <f t="shared" si="181"/>
        <v>16.954607702525664</v>
      </c>
      <c r="AE358" s="687">
        <f t="shared" si="182"/>
        <v>-13.283040230140058</v>
      </c>
      <c r="AG358" s="686">
        <f t="shared" si="183"/>
        <v>-2.6343921767184364</v>
      </c>
      <c r="AH358" s="687">
        <f t="shared" si="184"/>
        <v>-66.454824231365066</v>
      </c>
      <c r="AJ358" s="170">
        <f t="shared" si="185"/>
        <v>0</v>
      </c>
      <c r="AK358" s="170">
        <f t="shared" si="197"/>
        <v>0</v>
      </c>
      <c r="AM358" s="170" t="str">
        <f t="shared" si="189"/>
        <v>0.2840205582426+0.698121364077022i</v>
      </c>
      <c r="AN358" s="170" t="str">
        <f t="shared" si="190"/>
        <v>0.772770259957489i</v>
      </c>
      <c r="AO358" s="170" t="str">
        <f t="shared" si="191"/>
        <v>0.90340092036594-0.367535570349491i</v>
      </c>
      <c r="AP358" s="170" t="str">
        <f t="shared" si="192"/>
        <v>0.119329906959567-0.116353560679504i</v>
      </c>
      <c r="AQ358" s="170" t="str">
        <f t="shared" si="193"/>
        <v>0.880670093040433+0.116353560679504i</v>
      </c>
      <c r="AR358" s="170" t="str">
        <f t="shared" si="194"/>
        <v>0.929643248666547-0.122823862191773i</v>
      </c>
    </row>
    <row r="359" spans="7:44">
      <c r="G359" s="688">
        <v>28512</v>
      </c>
      <c r="H359" s="676">
        <f t="shared" si="186"/>
        <v>28.512</v>
      </c>
      <c r="I359" s="677">
        <f t="shared" si="166"/>
        <v>234.50448083425619</v>
      </c>
      <c r="J359" s="678">
        <f t="shared" si="167"/>
        <v>1.5665320030293475</v>
      </c>
      <c r="K359" s="678">
        <f t="shared" si="168"/>
        <v>1.0007763577901603</v>
      </c>
      <c r="L359" s="679">
        <f t="shared" si="169"/>
        <v>3.9391771894842206E-2</v>
      </c>
      <c r="M359" s="678">
        <f t="shared" si="170"/>
        <v>1.0115272848216541</v>
      </c>
      <c r="N359" s="679">
        <f t="shared" si="171"/>
        <v>-0.1511134098369927</v>
      </c>
      <c r="O359" s="677">
        <f t="shared" si="172"/>
        <v>1182364.783206183</v>
      </c>
      <c r="P359" s="680">
        <f t="shared" si="173"/>
        <v>1.5707954810322231</v>
      </c>
      <c r="Q359" s="689">
        <f t="shared" si="195"/>
        <v>47.305162180298318</v>
      </c>
      <c r="R359" s="690">
        <f t="shared" si="196"/>
        <v>1.5496554100848097</v>
      </c>
      <c r="S359" s="677">
        <f t="shared" si="174"/>
        <v>1.02284623923129</v>
      </c>
      <c r="T359" s="680">
        <f t="shared" si="175"/>
        <v>0.2117526612545523</v>
      </c>
      <c r="U359" s="681">
        <f t="shared" si="187"/>
        <v>0.91369259769791322</v>
      </c>
      <c r="V359" s="682">
        <f t="shared" si="188"/>
        <v>-0.52049588816855286</v>
      </c>
      <c r="W359" s="683">
        <f t="shared" si="176"/>
        <v>-28.274993881665051</v>
      </c>
      <c r="X359" s="684">
        <f t="shared" si="177"/>
        <v>-139.32283901974461</v>
      </c>
      <c r="Y359" s="687">
        <f t="shared" si="178"/>
        <v>40.677160980255394</v>
      </c>
      <c r="AA359" s="170">
        <f t="shared" si="179"/>
        <v>28512</v>
      </c>
      <c r="AB359" s="170">
        <f t="shared" si="180"/>
        <v>812934144</v>
      </c>
      <c r="AD359" s="686">
        <f t="shared" si="181"/>
        <v>16.952384047797693</v>
      </c>
      <c r="AE359" s="687">
        <f t="shared" si="182"/>
        <v>-13.343770649690642</v>
      </c>
      <c r="AG359" s="686">
        <f t="shared" si="183"/>
        <v>-2.6750217352212928</v>
      </c>
      <c r="AH359" s="687">
        <f t="shared" si="184"/>
        <v>-66.334633009957571</v>
      </c>
      <c r="AJ359" s="170">
        <f t="shared" si="185"/>
        <v>0</v>
      </c>
      <c r="AK359" s="170">
        <f t="shared" si="197"/>
        <v>0</v>
      </c>
      <c r="AM359" s="170" t="str">
        <f t="shared" si="189"/>
        <v>0.287148767470824+0.701315278802362i</v>
      </c>
      <c r="AN359" s="170" t="str">
        <f t="shared" si="190"/>
        <v>0.777240921825453i</v>
      </c>
      <c r="AO359" s="170" t="str">
        <f t="shared" si="191"/>
        <v>0.902313888922923-0.369446280307034i</v>
      </c>
      <c r="AP359" s="170" t="str">
        <f t="shared" si="192"/>
        <v>0.118808538754863-0.116885879800394i</v>
      </c>
      <c r="AQ359" s="170" t="str">
        <f t="shared" si="193"/>
        <v>0.881191461245137+0.116885879800394i</v>
      </c>
      <c r="AR359" s="170" t="str">
        <f t="shared" si="194"/>
        <v>0.928966078632091-0.123222956850041i</v>
      </c>
    </row>
    <row r="360" spans="7:44">
      <c r="G360" s="688">
        <v>28676</v>
      </c>
      <c r="H360" s="676">
        <f t="shared" si="186"/>
        <v>28.675999999999998</v>
      </c>
      <c r="I360" s="677">
        <f t="shared" si="166"/>
        <v>235.85331772783118</v>
      </c>
      <c r="J360" s="678">
        <f t="shared" si="167"/>
        <v>1.5665563906947115</v>
      </c>
      <c r="K360" s="678">
        <f t="shared" si="168"/>
        <v>1.0007853111260681</v>
      </c>
      <c r="L360" s="679">
        <f t="shared" si="169"/>
        <v>3.9618115610459033E-2</v>
      </c>
      <c r="M360" s="678">
        <f t="shared" si="170"/>
        <v>1.011659508843284</v>
      </c>
      <c r="N360" s="679">
        <f t="shared" si="171"/>
        <v>-0.15196932500914326</v>
      </c>
      <c r="O360" s="677">
        <f t="shared" si="172"/>
        <v>1189165.7029749006</v>
      </c>
      <c r="P360" s="680">
        <f t="shared" si="173"/>
        <v>1.5707954858691977</v>
      </c>
      <c r="Q360" s="689">
        <f t="shared" si="195"/>
        <v>47.577138529016885</v>
      </c>
      <c r="R360" s="690">
        <f t="shared" si="196"/>
        <v>1.549776280715921</v>
      </c>
      <c r="S360" s="677">
        <f t="shared" si="174"/>
        <v>1.0231068397733936</v>
      </c>
      <c r="T360" s="680">
        <f t="shared" si="175"/>
        <v>0.21293427006962151</v>
      </c>
      <c r="U360" s="681">
        <f t="shared" si="187"/>
        <v>0.91281973164267238</v>
      </c>
      <c r="V360" s="682">
        <f t="shared" si="188"/>
        <v>-0.52324444333529985</v>
      </c>
      <c r="W360" s="683">
        <f t="shared" si="176"/>
        <v>-28.334134326172773</v>
      </c>
      <c r="X360" s="684">
        <f t="shared" si="177"/>
        <v>-139.57856482675652</v>
      </c>
      <c r="Y360" s="687">
        <f t="shared" si="178"/>
        <v>40.421435173243481</v>
      </c>
      <c r="AA360" s="170">
        <f t="shared" si="179"/>
        <v>28676</v>
      </c>
      <c r="AB360" s="170">
        <f t="shared" si="180"/>
        <v>822312976</v>
      </c>
      <c r="AD360" s="686">
        <f t="shared" si="181"/>
        <v>16.950149205569598</v>
      </c>
      <c r="AE360" s="687">
        <f t="shared" si="182"/>
        <v>-13.404546748007471</v>
      </c>
      <c r="AG360" s="686">
        <f t="shared" si="183"/>
        <v>-2.7153238496842809</v>
      </c>
      <c r="AH360" s="687">
        <f t="shared" si="184"/>
        <v>-66.214621496665785</v>
      </c>
      <c r="AJ360" s="170">
        <f t="shared" si="185"/>
        <v>0</v>
      </c>
      <c r="AK360" s="170">
        <f t="shared" si="197"/>
        <v>0</v>
      </c>
      <c r="AM360" s="170" t="str">
        <f t="shared" si="189"/>
        <v>0.290291224302832+0.704495176490533i</v>
      </c>
      <c r="AN360" s="170" t="str">
        <f t="shared" si="190"/>
        <v>0.781711583693416i</v>
      </c>
      <c r="AO360" s="170" t="str">
        <f t="shared" si="191"/>
        <v>0.901221359880517-0.371353361467755i</v>
      </c>
      <c r="AP360" s="170" t="str">
        <f t="shared" si="192"/>
        <v>0.118284795949528-0.117415862748422i</v>
      </c>
      <c r="AQ360" s="170" t="str">
        <f t="shared" si="193"/>
        <v>0.881715204050472+0.117415862748422i</v>
      </c>
      <c r="AR360" s="170" t="str">
        <f t="shared" si="194"/>
        <v>0.928287621491601-0.123617797964021i</v>
      </c>
    </row>
    <row r="361" spans="7:44">
      <c r="G361" s="688">
        <v>28840</v>
      </c>
      <c r="H361" s="676">
        <f t="shared" si="186"/>
        <v>28.84</v>
      </c>
      <c r="I361" s="677">
        <f t="shared" si="166"/>
        <v>237.20215476008653</v>
      </c>
      <c r="J361" s="678">
        <f t="shared" si="167"/>
        <v>1.5665805010018492</v>
      </c>
      <c r="K361" s="678">
        <f t="shared" si="168"/>
        <v>1.0007943157327672</v>
      </c>
      <c r="L361" s="679">
        <f t="shared" si="169"/>
        <v>3.9844455264634406E-2</v>
      </c>
      <c r="M361" s="678">
        <f t="shared" si="170"/>
        <v>1.0117924738033213</v>
      </c>
      <c r="N361" s="679">
        <f t="shared" si="171"/>
        <v>-0.1528250158474169</v>
      </c>
      <c r="O361" s="677">
        <f t="shared" si="172"/>
        <v>1195966.6227436182</v>
      </c>
      <c r="P361" s="680">
        <f t="shared" si="173"/>
        <v>1.5707954906511608</v>
      </c>
      <c r="Q361" s="689">
        <f t="shared" si="195"/>
        <v>47.849115564921796</v>
      </c>
      <c r="R361" s="690">
        <f t="shared" si="196"/>
        <v>1.5498957772779733</v>
      </c>
      <c r="S361" s="677">
        <f t="shared" si="174"/>
        <v>1.0233688680479671</v>
      </c>
      <c r="T361" s="680">
        <f t="shared" si="175"/>
        <v>0.21411527544332828</v>
      </c>
      <c r="U361" s="681">
        <f t="shared" si="187"/>
        <v>0.91194421089542721</v>
      </c>
      <c r="V361" s="682">
        <f t="shared" si="188"/>
        <v>-0.52598935387761414</v>
      </c>
      <c r="W361" s="683">
        <f t="shared" si="176"/>
        <v>-28.393028433880506</v>
      </c>
      <c r="X361" s="684">
        <f t="shared" si="177"/>
        <v>-139.83409745059629</v>
      </c>
      <c r="Y361" s="687">
        <f t="shared" si="178"/>
        <v>40.165902549403711</v>
      </c>
      <c r="AA361" s="170">
        <f t="shared" si="179"/>
        <v>28840</v>
      </c>
      <c r="AB361" s="170">
        <f t="shared" si="180"/>
        <v>831745600</v>
      </c>
      <c r="AD361" s="686">
        <f t="shared" si="181"/>
        <v>16.947903185357561</v>
      </c>
      <c r="AE361" s="687">
        <f t="shared" si="182"/>
        <v>-13.46536699688701</v>
      </c>
      <c r="AG361" s="686">
        <f t="shared" si="183"/>
        <v>-2.7553019954024465</v>
      </c>
      <c r="AH361" s="687">
        <f t="shared" si="184"/>
        <v>-66.094790292835427</v>
      </c>
      <c r="AJ361" s="170">
        <f t="shared" si="185"/>
        <v>0</v>
      </c>
      <c r="AK361" s="170">
        <f t="shared" si="197"/>
        <v>0</v>
      </c>
      <c r="AM361" s="170" t="str">
        <f t="shared" si="189"/>
        <v>0.29344786593102+0.707660993585608i</v>
      </c>
      <c r="AN361" s="170" t="str">
        <f t="shared" si="190"/>
        <v>0.786182245561379i</v>
      </c>
      <c r="AO361" s="170" t="str">
        <f t="shared" si="191"/>
        <v>0.90012334618457-0.373256795848247i</v>
      </c>
      <c r="AP361" s="170" t="str">
        <f t="shared" si="192"/>
        <v>0.117758689011497-0.117943498930935i</v>
      </c>
      <c r="AQ361" s="170" t="str">
        <f t="shared" si="193"/>
        <v>0.882241310988503+0.117943498930935i</v>
      </c>
      <c r="AR361" s="170" t="str">
        <f t="shared" si="194"/>
        <v>0.927607908057613-0.124008387444176i</v>
      </c>
    </row>
    <row r="362" spans="7:44">
      <c r="G362" s="688">
        <v>29008</v>
      </c>
      <c r="H362" s="676">
        <f t="shared" si="186"/>
        <v>29.007999999999999</v>
      </c>
      <c r="I362" s="677">
        <f t="shared" si="166"/>
        <v>238.58389039787986</v>
      </c>
      <c r="J362" s="678">
        <f t="shared" si="167"/>
        <v>1.566604916694555</v>
      </c>
      <c r="K362" s="678">
        <f t="shared" si="168"/>
        <v>1.0008035931243751</v>
      </c>
      <c r="L362" s="679">
        <f t="shared" si="169"/>
        <v>4.0076311162814605E-2</v>
      </c>
      <c r="M362" s="678">
        <f t="shared" si="170"/>
        <v>1.0119294497721432</v>
      </c>
      <c r="N362" s="679">
        <f t="shared" si="171"/>
        <v>-0.15370134336884447</v>
      </c>
      <c r="O362" s="677">
        <f t="shared" si="172"/>
        <v>1202933.4186042557</v>
      </c>
      <c r="P362" s="680">
        <f t="shared" si="173"/>
        <v>1.570795495493692</v>
      </c>
      <c r="Q362" s="689">
        <f t="shared" si="195"/>
        <v>48.127726887421922</v>
      </c>
      <c r="R362" s="690">
        <f t="shared" si="196"/>
        <v>1.5500167879889832</v>
      </c>
      <c r="S362" s="677">
        <f t="shared" si="174"/>
        <v>1.0236387665011992</v>
      </c>
      <c r="T362" s="680">
        <f t="shared" si="175"/>
        <v>0.21532445717021576</v>
      </c>
      <c r="U362" s="681">
        <f t="shared" si="187"/>
        <v>0.91104461418044069</v>
      </c>
      <c r="V362" s="682">
        <f t="shared" si="188"/>
        <v>-0.52879742744833103</v>
      </c>
      <c r="W362" s="683">
        <f t="shared" si="176"/>
        <v>-28.453106721484094</v>
      </c>
      <c r="X362" s="684">
        <f t="shared" si="177"/>
        <v>-140.09566051928829</v>
      </c>
      <c r="Y362" s="687">
        <f t="shared" si="178"/>
        <v>39.904339480711712</v>
      </c>
      <c r="AA362" s="170">
        <f t="shared" si="179"/>
        <v>29008</v>
      </c>
      <c r="AB362" s="170">
        <f t="shared" si="180"/>
        <v>841464064</v>
      </c>
      <c r="AD362" s="686">
        <f t="shared" si="181"/>
        <v>16.945590804188562</v>
      </c>
      <c r="AE362" s="687">
        <f t="shared" si="182"/>
        <v>-13.527714881013111</v>
      </c>
      <c r="AG362" s="686">
        <f t="shared" si="183"/>
        <v>-2.7959228742605218</v>
      </c>
      <c r="AH362" s="687">
        <f t="shared" si="184"/>
        <v>-65.972223948705022</v>
      </c>
      <c r="AJ362" s="170">
        <f t="shared" si="185"/>
        <v>0</v>
      </c>
      <c r="AK362" s="170">
        <f t="shared" si="197"/>
        <v>0</v>
      </c>
      <c r="AM362" s="170" t="str">
        <f t="shared" si="189"/>
        <v>0.296696140837975+0.710889359667032i</v>
      </c>
      <c r="AN362" s="170" t="str">
        <f t="shared" si="190"/>
        <v>0.790761947962708i</v>
      </c>
      <c r="AO362" s="170" t="str">
        <f t="shared" si="191"/>
        <v>0.898992878322665-0.375202855426178i</v>
      </c>
      <c r="AP362" s="170" t="str">
        <f t="shared" si="192"/>
        <v>0.117217309860338-0.118481559944505i</v>
      </c>
      <c r="AQ362" s="170" t="str">
        <f t="shared" si="193"/>
        <v>0.882782690139662+0.118481559944505i</v>
      </c>
      <c r="AR362" s="170" t="str">
        <f t="shared" si="194"/>
        <v>0.926910345691051-0.124404097308253i</v>
      </c>
    </row>
    <row r="363" spans="7:44">
      <c r="G363" s="688">
        <v>29176</v>
      </c>
      <c r="H363" s="676">
        <f t="shared" si="186"/>
        <v>29.175999999999998</v>
      </c>
      <c r="I363" s="677">
        <f t="shared" si="166"/>
        <v>239.96562617626137</v>
      </c>
      <c r="J363" s="678">
        <f t="shared" si="167"/>
        <v>1.5666290512133696</v>
      </c>
      <c r="K363" s="678">
        <f t="shared" si="168"/>
        <v>1.0008129243153405</v>
      </c>
      <c r="L363" s="679">
        <f t="shared" si="169"/>
        <v>4.0308162749989614E-2</v>
      </c>
      <c r="M363" s="678">
        <f t="shared" si="170"/>
        <v>1.0120672026414093</v>
      </c>
      <c r="N363" s="679">
        <f t="shared" si="171"/>
        <v>-0.15457743300833821</v>
      </c>
      <c r="O363" s="677">
        <f t="shared" si="172"/>
        <v>1209900.2144648933</v>
      </c>
      <c r="P363" s="680">
        <f t="shared" si="173"/>
        <v>1.5707955002804552</v>
      </c>
      <c r="Q363" s="689">
        <f t="shared" si="195"/>
        <v>48.40633890657206</v>
      </c>
      <c r="R363" s="690">
        <f t="shared" si="196"/>
        <v>1.5501364057007576</v>
      </c>
      <c r="S363" s="677">
        <f t="shared" si="174"/>
        <v>1.0239101608472887</v>
      </c>
      <c r="T363" s="680">
        <f t="shared" si="175"/>
        <v>0.21653299965969197</v>
      </c>
      <c r="U363" s="681">
        <f t="shared" si="187"/>
        <v>0.91014229421619797</v>
      </c>
      <c r="V363" s="682">
        <f t="shared" si="188"/>
        <v>-0.53160166247117024</v>
      </c>
      <c r="W363" s="683">
        <f t="shared" si="176"/>
        <v>-28.512932873587957</v>
      </c>
      <c r="X363" s="684">
        <f t="shared" si="177"/>
        <v>-140.3570173468575</v>
      </c>
      <c r="Y363" s="687">
        <f t="shared" si="178"/>
        <v>39.642982653142496</v>
      </c>
      <c r="AA363" s="170">
        <f t="shared" si="179"/>
        <v>29176</v>
      </c>
      <c r="AB363" s="170">
        <f t="shared" si="180"/>
        <v>851238976</v>
      </c>
      <c r="AD363" s="686">
        <f t="shared" si="181"/>
        <v>16.943266714351726</v>
      </c>
      <c r="AE363" s="687">
        <f t="shared" si="182"/>
        <v>-13.590105949315262</v>
      </c>
      <c r="AG363" s="686">
        <f t="shared" si="183"/>
        <v>-2.8362109927356087</v>
      </c>
      <c r="AH363" s="687">
        <f t="shared" si="184"/>
        <v>-65.849848044461964</v>
      </c>
      <c r="AJ363" s="170">
        <f t="shared" si="185"/>
        <v>0</v>
      </c>
      <c r="AK363" s="170">
        <f t="shared" si="197"/>
        <v>0</v>
      </c>
      <c r="AM363" s="170" t="str">
        <f t="shared" si="189"/>
        <v>0.299959166585073+0.714102815812775i</v>
      </c>
      <c r="AN363" s="170" t="str">
        <f t="shared" si="190"/>
        <v>0.795341650364036i</v>
      </c>
      <c r="AO363" s="170" t="str">
        <f t="shared" si="191"/>
        <v>0.897856682704751-0.377145050114977i</v>
      </c>
      <c r="AP363" s="170" t="str">
        <f t="shared" si="192"/>
        <v>0.116673472235821-0.119017135968796i</v>
      </c>
      <c r="AQ363" s="170" t="str">
        <f t="shared" si="193"/>
        <v>0.883326527764179+0.119017135968796i</v>
      </c>
      <c r="AR363" s="170" t="str">
        <f t="shared" si="194"/>
        <v>0.926211530040167-0.124795350464202i</v>
      </c>
    </row>
    <row r="364" spans="7:44">
      <c r="G364" s="688">
        <v>29344</v>
      </c>
      <c r="H364" s="676">
        <f t="shared" si="186"/>
        <v>29.344000000000001</v>
      </c>
      <c r="I364" s="677">
        <f t="shared" si="166"/>
        <v>241.34736209281638</v>
      </c>
      <c r="J364" s="678">
        <f t="shared" si="167"/>
        <v>1.5666529093875039</v>
      </c>
      <c r="K364" s="678">
        <f t="shared" si="168"/>
        <v>1.0008223093041584</v>
      </c>
      <c r="L364" s="679">
        <f t="shared" si="169"/>
        <v>4.0540010001353932E-2</v>
      </c>
      <c r="M364" s="678">
        <f t="shared" si="170"/>
        <v>1.0122057320939299</v>
      </c>
      <c r="N364" s="679">
        <f t="shared" si="171"/>
        <v>-0.15545328351843965</v>
      </c>
      <c r="O364" s="677">
        <f t="shared" si="172"/>
        <v>1216867.010325531</v>
      </c>
      <c r="P364" s="680">
        <f t="shared" si="173"/>
        <v>1.5707955050124081</v>
      </c>
      <c r="Q364" s="689">
        <f t="shared" si="195"/>
        <v>48.68495161041195</v>
      </c>
      <c r="R364" s="690">
        <f t="shared" si="196"/>
        <v>1.55025465432528</v>
      </c>
      <c r="S364" s="677">
        <f t="shared" si="174"/>
        <v>1.0241830498970628</v>
      </c>
      <c r="T364" s="680">
        <f t="shared" si="175"/>
        <v>0.21774089989099929</v>
      </c>
      <c r="U364" s="681">
        <f t="shared" si="187"/>
        <v>0.90923728251996072</v>
      </c>
      <c r="V364" s="682">
        <f t="shared" si="188"/>
        <v>-0.53440205214570813</v>
      </c>
      <c r="W364" s="683">
        <f t="shared" si="176"/>
        <v>-28.572510022659841</v>
      </c>
      <c r="X364" s="684">
        <f t="shared" si="177"/>
        <v>-140.61816620723135</v>
      </c>
      <c r="Y364" s="687">
        <f t="shared" si="178"/>
        <v>39.381833792768646</v>
      </c>
      <c r="AA364" s="170">
        <f t="shared" si="179"/>
        <v>29344</v>
      </c>
      <c r="AB364" s="170">
        <f t="shared" si="180"/>
        <v>861070336</v>
      </c>
      <c r="AD364" s="686">
        <f t="shared" si="181"/>
        <v>16.940930927090303</v>
      </c>
      <c r="AE364" s="687">
        <f t="shared" si="182"/>
        <v>-13.652538658715962</v>
      </c>
      <c r="AG364" s="686">
        <f t="shared" si="183"/>
        <v>-2.8761699084561183</v>
      </c>
      <c r="AH364" s="687">
        <f t="shared" si="184"/>
        <v>-65.727663176382407</v>
      </c>
      <c r="AJ364" s="170">
        <f t="shared" si="185"/>
        <v>0</v>
      </c>
      <c r="AK364" s="170">
        <f t="shared" si="197"/>
        <v>0</v>
      </c>
      <c r="AM364" s="170" t="str">
        <f t="shared" si="189"/>
        <v>0.303236874734795+0.717301294624975i</v>
      </c>
      <c r="AN364" s="170" t="str">
        <f t="shared" si="190"/>
        <v>0.799921352765365i</v>
      </c>
      <c r="AO364" s="170" t="str">
        <f t="shared" si="191"/>
        <v>0.896714773452704-0.379083360741017i</v>
      </c>
      <c r="AP364" s="170" t="str">
        <f t="shared" si="192"/>
        <v>0.116127187544201-0.119550215770829i</v>
      </c>
      <c r="AQ364" s="170" t="str">
        <f t="shared" si="193"/>
        <v>0.883872812455799+0.119550215770829i</v>
      </c>
      <c r="AR364" s="170" t="str">
        <f t="shared" si="194"/>
        <v>0.92551149379972-0.125182149765096i</v>
      </c>
    </row>
    <row r="365" spans="7:44">
      <c r="G365" s="688">
        <v>29512</v>
      </c>
      <c r="H365" s="676">
        <f t="shared" si="186"/>
        <v>29.512</v>
      </c>
      <c r="I365" s="677">
        <f t="shared" si="166"/>
        <v>242.7290981451853</v>
      </c>
      <c r="J365" s="678">
        <f t="shared" si="167"/>
        <v>1.5666764959362089</v>
      </c>
      <c r="K365" s="678">
        <f t="shared" si="168"/>
        <v>1.0008317480893152</v>
      </c>
      <c r="L365" s="679">
        <f t="shared" si="169"/>
        <v>4.0771852892104846E-2</v>
      </c>
      <c r="M365" s="678">
        <f t="shared" si="170"/>
        <v>1.0123450378109022</v>
      </c>
      <c r="N365" s="679">
        <f t="shared" si="171"/>
        <v>-0.15632889365383876</v>
      </c>
      <c r="O365" s="677">
        <f t="shared" si="172"/>
        <v>1223833.8061861687</v>
      </c>
      <c r="P365" s="680">
        <f t="shared" si="173"/>
        <v>1.5707955096904866</v>
      </c>
      <c r="Q365" s="689">
        <f t="shared" si="195"/>
        <v>48.963564987253527</v>
      </c>
      <c r="R365" s="690">
        <f t="shared" si="196"/>
        <v>1.5503715572304309</v>
      </c>
      <c r="S365" s="677">
        <f t="shared" si="174"/>
        <v>1.0244574324560702</v>
      </c>
      <c r="T365" s="680">
        <f t="shared" si="175"/>
        <v>0.21894815485408647</v>
      </c>
      <c r="U365" s="681">
        <f t="shared" si="187"/>
        <v>0.90832961052620698</v>
      </c>
      <c r="V365" s="682">
        <f t="shared" si="188"/>
        <v>-0.53719858985087598</v>
      </c>
      <c r="W365" s="683">
        <f t="shared" si="176"/>
        <v>-28.631841243760853</v>
      </c>
      <c r="X365" s="684">
        <f t="shared" si="177"/>
        <v>-140.87910541022333</v>
      </c>
      <c r="Y365" s="687">
        <f t="shared" si="178"/>
        <v>39.120894589776668</v>
      </c>
      <c r="AA365" s="170">
        <f t="shared" si="179"/>
        <v>29512</v>
      </c>
      <c r="AB365" s="170">
        <f t="shared" si="180"/>
        <v>870958144</v>
      </c>
      <c r="AD365" s="686">
        <f t="shared" si="181"/>
        <v>16.938583453970907</v>
      </c>
      <c r="AE365" s="687">
        <f t="shared" si="182"/>
        <v>-13.715011497924667</v>
      </c>
      <c r="AG365" s="686">
        <f t="shared" si="183"/>
        <v>-2.9158031216082145</v>
      </c>
      <c r="AH365" s="687">
        <f t="shared" si="184"/>
        <v>-65.605669924288875</v>
      </c>
      <c r="AJ365" s="170">
        <f t="shared" si="185"/>
        <v>0</v>
      </c>
      <c r="AK365" s="170">
        <f t="shared" si="197"/>
        <v>0</v>
      </c>
      <c r="AM365" s="170" t="str">
        <f t="shared" si="189"/>
        <v>0.306529196541679+0.720484729019894i</v>
      </c>
      <c r="AN365" s="170" t="str">
        <f t="shared" si="190"/>
        <v>0.804501055166693i</v>
      </c>
      <c r="AO365" s="170" t="str">
        <f t="shared" si="191"/>
        <v>0.895567164757303-0.381017768184488i</v>
      </c>
      <c r="AP365" s="170" t="str">
        <f t="shared" si="192"/>
        <v>0.115578467243053-0.120080788169982i</v>
      </c>
      <c r="AQ365" s="170" t="str">
        <f t="shared" si="193"/>
        <v>0.884421532756947+0.120080788169982i</v>
      </c>
      <c r="AR365" s="170" t="str">
        <f t="shared" si="194"/>
        <v>0.924810269515878-0.12556449832806i</v>
      </c>
    </row>
    <row r="366" spans="7:44">
      <c r="G366" s="688">
        <v>29684</v>
      </c>
      <c r="H366" s="676">
        <f t="shared" si="186"/>
        <v>29.684000000000001</v>
      </c>
      <c r="I366" s="677">
        <f t="shared" si="166"/>
        <v>244.14373281328659</v>
      </c>
      <c r="J366" s="678">
        <f t="shared" si="167"/>
        <v>1.5667003674817925</v>
      </c>
      <c r="K366" s="678">
        <f t="shared" si="168"/>
        <v>1.000841467338748</v>
      </c>
      <c r="L366" s="679">
        <f t="shared" si="169"/>
        <v>4.1009211308201038E-2</v>
      </c>
      <c r="M366" s="678">
        <f t="shared" si="170"/>
        <v>1.0124884642042786</v>
      </c>
      <c r="N366" s="679">
        <f t="shared" si="171"/>
        <v>-0.15722510132384707</v>
      </c>
      <c r="O366" s="677">
        <f t="shared" si="172"/>
        <v>1230966.4781387264</v>
      </c>
      <c r="P366" s="680">
        <f t="shared" si="173"/>
        <v>1.5707955144250898</v>
      </c>
      <c r="Q366" s="689">
        <f t="shared" si="195"/>
        <v>49.248812701225752</v>
      </c>
      <c r="R366" s="690">
        <f t="shared" si="196"/>
        <v>1.550489873221768</v>
      </c>
      <c r="S366" s="677">
        <f t="shared" si="174"/>
        <v>1.0247398939525385</v>
      </c>
      <c r="T366" s="680">
        <f t="shared" si="175"/>
        <v>0.22018348235467347</v>
      </c>
      <c r="U366" s="681">
        <f t="shared" si="187"/>
        <v>0.90739760396772184</v>
      </c>
      <c r="V366" s="682">
        <f t="shared" si="188"/>
        <v>-0.54005771442924833</v>
      </c>
      <c r="W366" s="683">
        <f t="shared" si="176"/>
        <v>-28.692333484296398</v>
      </c>
      <c r="X366" s="684">
        <f t="shared" si="177"/>
        <v>-141.14603851878846</v>
      </c>
      <c r="Y366" s="687">
        <f t="shared" si="178"/>
        <v>38.853961481211542</v>
      </c>
      <c r="AA366" s="170">
        <f t="shared" si="179"/>
        <v>29684</v>
      </c>
      <c r="AB366" s="170">
        <f t="shared" si="180"/>
        <v>881139856</v>
      </c>
      <c r="AD366" s="686">
        <f t="shared" si="181"/>
        <v>16.936167994520517</v>
      </c>
      <c r="AE366" s="687">
        <f t="shared" si="182"/>
        <v>-13.779011814418128</v>
      </c>
      <c r="AG366" s="686">
        <f t="shared" si="183"/>
        <v>-2.9560461515543142</v>
      </c>
      <c r="AH366" s="687">
        <f t="shared" si="184"/>
        <v>-65.480971173100443</v>
      </c>
      <c r="AJ366" s="170">
        <f t="shared" si="185"/>
        <v>0</v>
      </c>
      <c r="AK366" s="170">
        <f t="shared" si="197"/>
        <v>0</v>
      </c>
      <c r="AM366" s="170" t="str">
        <f t="shared" si="189"/>
        <v>0.309914974571359+0.723728303770933i</v>
      </c>
      <c r="AN366" s="170" t="str">
        <f t="shared" si="190"/>
        <v>0.809189798101386i</v>
      </c>
      <c r="AO366" s="170" t="str">
        <f t="shared" si="191"/>
        <v>0.894386342325407-0.382994169351266i</v>
      </c>
      <c r="AP366" s="170" t="str">
        <f t="shared" si="192"/>
        <v>0.115014170904774-0.120621383961822i</v>
      </c>
      <c r="AQ366" s="170" t="str">
        <f t="shared" si="193"/>
        <v>0.884985829095226+0.120621383961822i</v>
      </c>
      <c r="AR366" s="170" t="str">
        <f t="shared" si="194"/>
        <v>0.924091152432581-0.125951343003142i</v>
      </c>
    </row>
    <row r="367" spans="7:44">
      <c r="G367" s="688">
        <v>29856</v>
      </c>
      <c r="H367" s="676">
        <f t="shared" si="186"/>
        <v>29.856000000000002</v>
      </c>
      <c r="I367" s="677">
        <f t="shared" si="166"/>
        <v>245.55836761891032</v>
      </c>
      <c r="J367" s="678">
        <f t="shared" si="167"/>
        <v>1.5667239639846811</v>
      </c>
      <c r="K367" s="678">
        <f t="shared" si="168"/>
        <v>1.0008512429735088</v>
      </c>
      <c r="L367" s="679">
        <f t="shared" si="169"/>
        <v>4.1246565100957887E-2</v>
      </c>
      <c r="M367" s="678">
        <f t="shared" si="170"/>
        <v>1.0126327035856846</v>
      </c>
      <c r="N367" s="679">
        <f t="shared" si="171"/>
        <v>-0.15812105440169985</v>
      </c>
      <c r="O367" s="677">
        <f t="shared" si="172"/>
        <v>1238099.1500912837</v>
      </c>
      <c r="P367" s="680">
        <f t="shared" si="173"/>
        <v>1.570795519105141</v>
      </c>
      <c r="Q367" s="689">
        <f t="shared" si="195"/>
        <v>49.534061096675842</v>
      </c>
      <c r="R367" s="690">
        <f t="shared" si="196"/>
        <v>1.5506068265383806</v>
      </c>
      <c r="S367" s="677">
        <f t="shared" si="174"/>
        <v>1.0250239183737162</v>
      </c>
      <c r="T367" s="680">
        <f t="shared" si="175"/>
        <v>0.22141812714339795</v>
      </c>
      <c r="U367" s="681">
        <f t="shared" si="187"/>
        <v>0.90646287533104875</v>
      </c>
      <c r="V367" s="682">
        <f t="shared" si="188"/>
        <v>-0.54291278795440068</v>
      </c>
      <c r="W367" s="683">
        <f t="shared" si="176"/>
        <v>-28.752574291109283</v>
      </c>
      <c r="X367" s="684">
        <f t="shared" si="177"/>
        <v>-141.41274839403405</v>
      </c>
      <c r="Y367" s="687">
        <f t="shared" si="178"/>
        <v>38.587251605965946</v>
      </c>
      <c r="AA367" s="170">
        <f t="shared" si="179"/>
        <v>29856</v>
      </c>
      <c r="AB367" s="170">
        <f t="shared" si="180"/>
        <v>891380736</v>
      </c>
      <c r="AD367" s="686">
        <f t="shared" si="181"/>
        <v>16.93374031165559</v>
      </c>
      <c r="AE367" s="687">
        <f t="shared" si="182"/>
        <v>-13.843051086788259</v>
      </c>
      <c r="AG367" s="686">
        <f t="shared" si="183"/>
        <v>-2.9959550307358662</v>
      </c>
      <c r="AH367" s="687">
        <f t="shared" si="184"/>
        <v>-65.356474449220514</v>
      </c>
      <c r="AJ367" s="170">
        <f t="shared" si="185"/>
        <v>0</v>
      </c>
      <c r="AK367" s="170">
        <f t="shared" si="197"/>
        <v>0</v>
      </c>
      <c r="AM367" s="170" t="str">
        <f t="shared" si="189"/>
        <v>0.313315923616584+0.726955967883512i</v>
      </c>
      <c r="AN367" s="170" t="str">
        <f t="shared" si="190"/>
        <v>0.81387854103608i</v>
      </c>
      <c r="AO367" s="170" t="str">
        <f t="shared" si="191"/>
        <v>0.893199576140791-0.384966438871491i</v>
      </c>
      <c r="AP367" s="170" t="str">
        <f t="shared" si="192"/>
        <v>0.114447346063903-0.121159327980585i</v>
      </c>
      <c r="AQ367" s="170" t="str">
        <f t="shared" si="193"/>
        <v>0.885552653936097+0.121159327980585i</v>
      </c>
      <c r="AR367" s="170" t="str">
        <f t="shared" si="194"/>
        <v>0.923370858613941-0.126333529925363i</v>
      </c>
    </row>
    <row r="368" spans="7:44">
      <c r="G368" s="688">
        <v>30028</v>
      </c>
      <c r="H368" s="676">
        <f t="shared" si="186"/>
        <v>30.027999999999999</v>
      </c>
      <c r="I368" s="677">
        <f t="shared" si="166"/>
        <v>246.97300255969344</v>
      </c>
      <c r="J368" s="678">
        <f t="shared" si="167"/>
        <v>1.5667472901710935</v>
      </c>
      <c r="K368" s="678">
        <f t="shared" si="168"/>
        <v>1.0008610749919455</v>
      </c>
      <c r="L368" s="679">
        <f t="shared" si="169"/>
        <v>4.1483914243767746E-2</v>
      </c>
      <c r="M368" s="678">
        <f t="shared" si="170"/>
        <v>1.0127777556077644</v>
      </c>
      <c r="N368" s="679">
        <f t="shared" si="171"/>
        <v>-0.15901675155806225</v>
      </c>
      <c r="O368" s="677">
        <f t="shared" si="172"/>
        <v>1245231.8220438415</v>
      </c>
      <c r="P368" s="680">
        <f t="shared" si="173"/>
        <v>1.5707955237315776</v>
      </c>
      <c r="Q368" s="689">
        <f t="shared" si="195"/>
        <v>49.81931016189808</v>
      </c>
      <c r="R368" s="690">
        <f t="shared" si="196"/>
        <v>1.5507224405837303</v>
      </c>
      <c r="S368" s="677">
        <f t="shared" si="174"/>
        <v>1.0253095044207505</v>
      </c>
      <c r="T368" s="680">
        <f t="shared" si="175"/>
        <v>0.22265208602513517</v>
      </c>
      <c r="U368" s="681">
        <f t="shared" si="187"/>
        <v>0.90552545806694618</v>
      </c>
      <c r="V368" s="682">
        <f t="shared" si="188"/>
        <v>-0.5457638038997632</v>
      </c>
      <c r="W368" s="683">
        <f t="shared" si="176"/>
        <v>-28.812566785696298</v>
      </c>
      <c r="X368" s="684">
        <f t="shared" si="177"/>
        <v>-141.67923333423383</v>
      </c>
      <c r="Y368" s="687">
        <f t="shared" si="178"/>
        <v>38.320766665766172</v>
      </c>
      <c r="AA368" s="170">
        <f t="shared" si="179"/>
        <v>30028</v>
      </c>
      <c r="AB368" s="170">
        <f t="shared" si="180"/>
        <v>901680784</v>
      </c>
      <c r="AD368" s="686">
        <f t="shared" si="181"/>
        <v>16.931300418785739</v>
      </c>
      <c r="AE368" s="687">
        <f t="shared" si="182"/>
        <v>-13.907127791102013</v>
      </c>
      <c r="AG368" s="686">
        <f t="shared" si="183"/>
        <v>-3.0355333365325805</v>
      </c>
      <c r="AH368" s="687">
        <f t="shared" si="184"/>
        <v>-65.232180322745677</v>
      </c>
      <c r="AJ368" s="170">
        <f t="shared" si="185"/>
        <v>0</v>
      </c>
      <c r="AK368" s="170">
        <f t="shared" si="197"/>
        <v>0</v>
      </c>
      <c r="AM368" s="170" t="str">
        <f t="shared" si="189"/>
        <v>0.316731968909969+0.730167650399792i</v>
      </c>
      <c r="AN368" s="170" t="str">
        <f t="shared" si="190"/>
        <v>0.818567283970773i</v>
      </c>
      <c r="AO368" s="170" t="str">
        <f t="shared" si="191"/>
        <v>0.892006881655269-0.386934556403891i</v>
      </c>
      <c r="AP368" s="170" t="str">
        <f t="shared" si="192"/>
        <v>0.113878005181672-0.121694608399965i</v>
      </c>
      <c r="AQ368" s="170" t="str">
        <f t="shared" si="193"/>
        <v>0.886121994818328+0.121694608399965i</v>
      </c>
      <c r="AR368" s="170" t="str">
        <f t="shared" si="194"/>
        <v>0.922649422489139-0.126711063281179i</v>
      </c>
    </row>
    <row r="369" spans="7:44">
      <c r="G369" s="688">
        <v>30200</v>
      </c>
      <c r="H369" s="676">
        <f t="shared" si="186"/>
        <v>30.2</v>
      </c>
      <c r="I369" s="677">
        <f t="shared" si="166"/>
        <v>248.38763763332659</v>
      </c>
      <c r="J369" s="678">
        <f t="shared" si="167"/>
        <v>1.5667703506595814</v>
      </c>
      <c r="K369" s="678">
        <f t="shared" si="168"/>
        <v>1.0008709633923967</v>
      </c>
      <c r="L369" s="679">
        <f t="shared" si="169"/>
        <v>4.1721258710026105E-2</v>
      </c>
      <c r="M369" s="678">
        <f t="shared" si="170"/>
        <v>1.0129236199214038</v>
      </c>
      <c r="N369" s="679">
        <f t="shared" si="171"/>
        <v>-0.15991219146600116</v>
      </c>
      <c r="O369" s="677">
        <f t="shared" si="172"/>
        <v>1252364.4939963995</v>
      </c>
      <c r="P369" s="680">
        <f t="shared" si="173"/>
        <v>1.5707955283053157</v>
      </c>
      <c r="Q369" s="689">
        <f t="shared" si="195"/>
        <v>50.104559885453256</v>
      </c>
      <c r="R369" s="690">
        <f t="shared" si="196"/>
        <v>1.5508367382284713</v>
      </c>
      <c r="S369" s="677">
        <f t="shared" si="174"/>
        <v>1.0255966507890972</v>
      </c>
      <c r="T369" s="680">
        <f t="shared" si="175"/>
        <v>0.22388535581666452</v>
      </c>
      <c r="U369" s="681">
        <f t="shared" si="187"/>
        <v>0.90458538552638301</v>
      </c>
      <c r="V369" s="682">
        <f t="shared" si="188"/>
        <v>-0.54861075593208708</v>
      </c>
      <c r="W369" s="683">
        <f t="shared" si="176"/>
        <v>-28.872314032114666</v>
      </c>
      <c r="X369" s="684">
        <f t="shared" si="177"/>
        <v>-141.94549167391492</v>
      </c>
      <c r="Y369" s="687">
        <f t="shared" si="178"/>
        <v>38.054508326085084</v>
      </c>
      <c r="AA369" s="170">
        <f t="shared" si="179"/>
        <v>30200</v>
      </c>
      <c r="AB369" s="170">
        <f t="shared" si="180"/>
        <v>912040000</v>
      </c>
      <c r="AD369" s="686">
        <f t="shared" si="181"/>
        <v>16.928848329638868</v>
      </c>
      <c r="AE369" s="687">
        <f t="shared" si="182"/>
        <v>-13.971240434634826</v>
      </c>
      <c r="AG369" s="686">
        <f t="shared" si="183"/>
        <v>-3.0747845886982104</v>
      </c>
      <c r="AH369" s="687">
        <f t="shared" si="184"/>
        <v>-65.108089346664485</v>
      </c>
      <c r="AJ369" s="170">
        <f t="shared" si="185"/>
        <v>0</v>
      </c>
      <c r="AK369" s="170">
        <f t="shared" si="197"/>
        <v>0</v>
      </c>
      <c r="AM369" s="170" t="str">
        <f t="shared" si="189"/>
        <v>0.320163035352255+0.733363280713277i</v>
      </c>
      <c r="AN369" s="170" t="str">
        <f t="shared" si="190"/>
        <v>0.823256026905467i</v>
      </c>
      <c r="AO369" s="170" t="str">
        <f t="shared" si="191"/>
        <v>0.890808274395406-0.388898501667475i</v>
      </c>
      <c r="AP369" s="170" t="str">
        <f t="shared" si="192"/>
        <v>0.113306160774624-0.122227213452213i</v>
      </c>
      <c r="AQ369" s="170" t="str">
        <f t="shared" si="193"/>
        <v>0.886693839225376+0.122227213452213i</v>
      </c>
      <c r="AR369" s="170" t="str">
        <f t="shared" si="194"/>
        <v>0.921926878315196-0.127083947534367i</v>
      </c>
    </row>
    <row r="370" spans="7:44">
      <c r="G370" s="688">
        <v>30375.75</v>
      </c>
      <c r="H370" s="676">
        <f t="shared" si="186"/>
        <v>30.37575</v>
      </c>
      <c r="I370" s="677">
        <f t="shared" si="166"/>
        <v>249.83311517629227</v>
      </c>
      <c r="J370" s="678">
        <f t="shared" si="167"/>
        <v>1.5667936441659582</v>
      </c>
      <c r="K370" s="678">
        <f t="shared" si="168"/>
        <v>1.0008811256205383</v>
      </c>
      <c r="L370" s="679">
        <f t="shared" si="169"/>
        <v>4.1963772979332931E-2</v>
      </c>
      <c r="M370" s="678">
        <f t="shared" si="170"/>
        <v>1.0130735031006166</v>
      </c>
      <c r="N370" s="679">
        <f t="shared" si="171"/>
        <v>-0.16082688694578554</v>
      </c>
      <c r="O370" s="677">
        <f t="shared" si="172"/>
        <v>1259652.6747851321</v>
      </c>
      <c r="P370" s="680">
        <f t="shared" si="173"/>
        <v>1.570795532925269</v>
      </c>
      <c r="Q370" s="689">
        <f t="shared" si="195"/>
        <v>50.396029384741617</v>
      </c>
      <c r="R370" s="690">
        <f t="shared" si="196"/>
        <v>1.5509521913174897</v>
      </c>
      <c r="S370" s="677">
        <f t="shared" si="174"/>
        <v>1.0258916679729275</v>
      </c>
      <c r="T370" s="680">
        <f t="shared" si="175"/>
        <v>0.22514479866859474</v>
      </c>
      <c r="U370" s="681">
        <f t="shared" si="187"/>
        <v>0.90362210906719675</v>
      </c>
      <c r="V370" s="682">
        <f t="shared" si="188"/>
        <v>-0.5515155739682629</v>
      </c>
      <c r="W370" s="683">
        <f t="shared" si="176"/>
        <v>-28.93311370982093</v>
      </c>
      <c r="X370" s="684">
        <f t="shared" si="177"/>
        <v>-142.21731930391056</v>
      </c>
      <c r="Y370" s="687">
        <f t="shared" si="178"/>
        <v>37.782680696089443</v>
      </c>
      <c r="AA370" s="170">
        <f t="shared" si="179"/>
        <v>30375.75</v>
      </c>
      <c r="AB370" s="170">
        <f t="shared" si="180"/>
        <v>922686188.0625</v>
      </c>
      <c r="AD370" s="686">
        <f t="shared" si="181"/>
        <v>16.9263301958167</v>
      </c>
      <c r="AE370" s="687">
        <f t="shared" si="182"/>
        <v>-14.036786484634577</v>
      </c>
      <c r="AG370" s="686">
        <f t="shared" si="183"/>
        <v>-3.1145573854789941</v>
      </c>
      <c r="AH370" s="687">
        <f t="shared" si="184"/>
        <v>-64.981503298827306</v>
      </c>
      <c r="AJ370" s="170">
        <f t="shared" si="185"/>
        <v>0</v>
      </c>
      <c r="AK370" s="170">
        <f t="shared" si="197"/>
        <v>0</v>
      </c>
      <c r="AM370" s="170" t="str">
        <f t="shared" si="189"/>
        <v>0.323684344502833+0.736611929125125i</v>
      </c>
      <c r="AN370" s="170" t="str">
        <f t="shared" si="190"/>
        <v>0.82804699534019i</v>
      </c>
      <c r="AO370" s="170" t="str">
        <f t="shared" si="191"/>
        <v>0.889577443394381-0.390900934758965i</v>
      </c>
      <c r="AP370" s="170" t="str">
        <f t="shared" si="192"/>
        <v>0.112719275916195-0.122768654854187i</v>
      </c>
      <c r="AQ370" s="170" t="str">
        <f t="shared" si="193"/>
        <v>0.887280724083805+0.122768654854187i</v>
      </c>
      <c r="AR370" s="170" t="str">
        <f t="shared" si="194"/>
        <v>0.921187471908693-0.127460164213009i</v>
      </c>
    </row>
    <row r="371" spans="7:44">
      <c r="G371" s="688">
        <v>30551.5</v>
      </c>
      <c r="H371" s="676">
        <f t="shared" si="186"/>
        <v>30.551500000000001</v>
      </c>
      <c r="I371" s="677">
        <f t="shared" si="166"/>
        <v>251.27859285325465</v>
      </c>
      <c r="J371" s="678">
        <f t="shared" si="167"/>
        <v>1.5668166696810069</v>
      </c>
      <c r="K371" s="678">
        <f t="shared" si="168"/>
        <v>1.0008913467124754</v>
      </c>
      <c r="L371" s="679">
        <f t="shared" si="169"/>
        <v>4.2206282309795909E-2</v>
      </c>
      <c r="M371" s="678">
        <f t="shared" si="170"/>
        <v>1.0132242336346482</v>
      </c>
      <c r="N371" s="679">
        <f t="shared" si="171"/>
        <v>-0.16174131104429798</v>
      </c>
      <c r="O371" s="677">
        <f t="shared" si="172"/>
        <v>1266940.8555738647</v>
      </c>
      <c r="P371" s="680">
        <f t="shared" si="173"/>
        <v>1.5707955374920688</v>
      </c>
      <c r="Q371" s="689">
        <f t="shared" si="195"/>
        <v>50.687499548054042</v>
      </c>
      <c r="R371" s="690">
        <f t="shared" si="196"/>
        <v>1.5510663166198615</v>
      </c>
      <c r="S371" s="677">
        <f t="shared" si="174"/>
        <v>1.0261883114851782</v>
      </c>
      <c r="T371" s="680">
        <f t="shared" si="175"/>
        <v>0.22640351537385212</v>
      </c>
      <c r="U371" s="681">
        <f t="shared" si="187"/>
        <v>0.90265613036056058</v>
      </c>
      <c r="V371" s="682">
        <f t="shared" si="188"/>
        <v>-0.55441613619821917</v>
      </c>
      <c r="W371" s="683">
        <f t="shared" si="176"/>
        <v>-28.993663619036457</v>
      </c>
      <c r="X371" s="684">
        <f t="shared" si="177"/>
        <v>-142.48890694175824</v>
      </c>
      <c r="Y371" s="687">
        <f t="shared" si="178"/>
        <v>37.511093058241755</v>
      </c>
      <c r="AA371" s="170">
        <f t="shared" si="179"/>
        <v>30551.5</v>
      </c>
      <c r="AB371" s="170">
        <f t="shared" si="180"/>
        <v>933394152.25</v>
      </c>
      <c r="AD371" s="686">
        <f t="shared" si="181"/>
        <v>16.923799358064372</v>
      </c>
      <c r="AE371" s="687">
        <f t="shared" si="182"/>
        <v>-14.102367003020172</v>
      </c>
      <c r="AG371" s="686">
        <f t="shared" si="183"/>
        <v>-3.153995963515885</v>
      </c>
      <c r="AH371" s="687">
        <f t="shared" si="184"/>
        <v>-64.855130469926493</v>
      </c>
      <c r="AJ371" s="170">
        <f t="shared" si="185"/>
        <v>0</v>
      </c>
      <c r="AK371" s="170">
        <f t="shared" si="197"/>
        <v>0</v>
      </c>
      <c r="AM371" s="170" t="str">
        <f t="shared" si="189"/>
        <v>0.327221177352973+0.739843669836865i</v>
      </c>
      <c r="AN371" s="170" t="str">
        <f t="shared" si="190"/>
        <v>0.832837963774913i</v>
      </c>
      <c r="AO371" s="170" t="str">
        <f t="shared" si="191"/>
        <v>0.888340471997046-0.39289896905013i</v>
      </c>
      <c r="AP371" s="170" t="str">
        <f t="shared" si="192"/>
        <v>0.112129803774505-0.123307278306144i</v>
      </c>
      <c r="AQ371" s="170" t="str">
        <f t="shared" si="193"/>
        <v>0.887870196225495+0.123307278306144i</v>
      </c>
      <c r="AR371" s="170" t="str">
        <f t="shared" si="194"/>
        <v>0.920446980365445-0.127831537150895i</v>
      </c>
    </row>
    <row r="372" spans="7:44">
      <c r="G372" s="688">
        <v>30727.25</v>
      </c>
      <c r="H372" s="676">
        <f t="shared" si="186"/>
        <v>30.727250000000002</v>
      </c>
      <c r="I372" s="677">
        <f t="shared" si="166"/>
        <v>252.72407066191457</v>
      </c>
      <c r="J372" s="678">
        <f t="shared" si="167"/>
        <v>1.5668394318031031</v>
      </c>
      <c r="K372" s="678">
        <f t="shared" si="168"/>
        <v>1.0009016266664041</v>
      </c>
      <c r="L372" s="679">
        <f t="shared" si="169"/>
        <v>4.2448786673042464E-2</v>
      </c>
      <c r="M372" s="678">
        <f t="shared" si="170"/>
        <v>1.0133758111453894</v>
      </c>
      <c r="N372" s="679">
        <f t="shared" si="171"/>
        <v>-0.16265546235374703</v>
      </c>
      <c r="O372" s="677">
        <f t="shared" si="172"/>
        <v>1274229.0363625975</v>
      </c>
      <c r="P372" s="680">
        <f t="shared" si="173"/>
        <v>1.5707955420066275</v>
      </c>
      <c r="Q372" s="689">
        <f t="shared" si="195"/>
        <v>50.978970364000936</v>
      </c>
      <c r="R372" s="690">
        <f t="shared" si="196"/>
        <v>1.5511791369073353</v>
      </c>
      <c r="S372" s="677">
        <f t="shared" si="174"/>
        <v>1.0264865799158751</v>
      </c>
      <c r="T372" s="680">
        <f t="shared" si="175"/>
        <v>0.22766150257517781</v>
      </c>
      <c r="U372" s="681">
        <f t="shared" si="187"/>
        <v>0.90168748465008286</v>
      </c>
      <c r="V372" s="682">
        <f t="shared" si="188"/>
        <v>-0.55731243648437834</v>
      </c>
      <c r="W372" s="683">
        <f t="shared" si="176"/>
        <v>-29.053966851282734</v>
      </c>
      <c r="X372" s="684">
        <f t="shared" si="177"/>
        <v>-142.76025292320381</v>
      </c>
      <c r="Y372" s="687">
        <f t="shared" si="178"/>
        <v>37.239747076796192</v>
      </c>
      <c r="AA372" s="170">
        <f t="shared" si="179"/>
        <v>30727.25</v>
      </c>
      <c r="AB372" s="170">
        <f t="shared" si="180"/>
        <v>944163892.5625</v>
      </c>
      <c r="AD372" s="686">
        <f t="shared" si="181"/>
        <v>16.92125583200286</v>
      </c>
      <c r="AE372" s="687">
        <f t="shared" si="182"/>
        <v>-14.167980492762037</v>
      </c>
      <c r="AG372" s="686">
        <f t="shared" si="183"/>
        <v>-3.1931038996544987</v>
      </c>
      <c r="AH372" s="687">
        <f t="shared" si="184"/>
        <v>-64.728971396052017</v>
      </c>
      <c r="AJ372" s="170">
        <f t="shared" si="185"/>
        <v>0</v>
      </c>
      <c r="AK372" s="170">
        <f t="shared" si="197"/>
        <v>0</v>
      </c>
      <c r="AM372" s="170" t="str">
        <f t="shared" si="189"/>
        <v>0.330773452720566+0.743058428669272i</v>
      </c>
      <c r="AN372" s="170" t="str">
        <f t="shared" si="190"/>
        <v>0.837628932209636i</v>
      </c>
      <c r="AO372" s="170" t="str">
        <f t="shared" si="191"/>
        <v>0.88709737700811-0.394892583101204i</v>
      </c>
      <c r="AP372" s="170" t="str">
        <f t="shared" si="192"/>
        <v>0.111537757879906-0.123843071444879i</v>
      </c>
      <c r="AQ372" s="170" t="str">
        <f t="shared" si="193"/>
        <v>0.888462242120094+0.123843071444879i</v>
      </c>
      <c r="AR372" s="170" t="str">
        <f t="shared" si="194"/>
        <v>0.91970543966175-0.128198071986134i</v>
      </c>
    </row>
    <row r="373" spans="7:44">
      <c r="G373" s="688">
        <v>30903</v>
      </c>
      <c r="H373" s="676">
        <f t="shared" si="186"/>
        <v>30.902999999999999</v>
      </c>
      <c r="I373" s="677">
        <f t="shared" si="166"/>
        <v>254.16954860002511</v>
      </c>
      <c r="J373" s="678">
        <f t="shared" si="167"/>
        <v>1.5668619350260198</v>
      </c>
      <c r="K373" s="678">
        <f t="shared" si="168"/>
        <v>1.0009119654805112</v>
      </c>
      <c r="L373" s="679">
        <f t="shared" si="169"/>
        <v>4.2691286040703491E-2</v>
      </c>
      <c r="M373" s="678">
        <f t="shared" si="170"/>
        <v>1.0135282352528334</v>
      </c>
      <c r="N373" s="679">
        <f t="shared" si="171"/>
        <v>-0.16356933946900495</v>
      </c>
      <c r="O373" s="677">
        <f t="shared" si="172"/>
        <v>1281517.2171513303</v>
      </c>
      <c r="P373" s="680">
        <f t="shared" si="173"/>
        <v>1.5707955464698362</v>
      </c>
      <c r="Q373" s="689">
        <f t="shared" si="195"/>
        <v>51.270441821451705</v>
      </c>
      <c r="R373" s="690">
        <f t="shared" si="196"/>
        <v>1.5512906744339667</v>
      </c>
      <c r="S373" s="677">
        <f t="shared" si="174"/>
        <v>1.0267864718489637</v>
      </c>
      <c r="T373" s="680">
        <f t="shared" si="175"/>
        <v>0.22891875692843899</v>
      </c>
      <c r="U373" s="681">
        <f t="shared" si="187"/>
        <v>0.90071620706140931</v>
      </c>
      <c r="V373" s="682">
        <f t="shared" si="188"/>
        <v>-0.56020446889552122</v>
      </c>
      <c r="W373" s="683">
        <f t="shared" si="176"/>
        <v>-29.114026441065896</v>
      </c>
      <c r="X373" s="684">
        <f t="shared" si="177"/>
        <v>-143.03135562038798</v>
      </c>
      <c r="Y373" s="687">
        <f t="shared" si="178"/>
        <v>36.968644379612016</v>
      </c>
      <c r="AA373" s="170">
        <f t="shared" si="179"/>
        <v>30903</v>
      </c>
      <c r="AB373" s="170">
        <f t="shared" si="180"/>
        <v>954995409</v>
      </c>
      <c r="AD373" s="686">
        <f t="shared" si="181"/>
        <v>16.918699633564543</v>
      </c>
      <c r="AE373" s="687">
        <f t="shared" si="182"/>
        <v>-14.233625487243078</v>
      </c>
      <c r="AG373" s="686">
        <f t="shared" si="183"/>
        <v>-3.2318847133691362</v>
      </c>
      <c r="AH373" s="687">
        <f t="shared" si="184"/>
        <v>-64.603026595629444</v>
      </c>
      <c r="AJ373" s="170">
        <f t="shared" si="185"/>
        <v>0</v>
      </c>
      <c r="AK373" s="170">
        <f t="shared" si="197"/>
        <v>0</v>
      </c>
      <c r="AM373" s="170" t="str">
        <f t="shared" si="189"/>
        <v>0.334341089069047+0.74625613183291i</v>
      </c>
      <c r="AN373" s="170" t="str">
        <f t="shared" si="190"/>
        <v>0.842419900644359i</v>
      </c>
      <c r="AO373" s="170" t="str">
        <f t="shared" si="191"/>
        <v>0.885848175312698-0.396881755539384i</v>
      </c>
      <c r="AP373" s="170" t="str">
        <f t="shared" si="192"/>
        <v>0.110943151821826-0.124376021972152i</v>
      </c>
      <c r="AQ373" s="170" t="str">
        <f t="shared" si="193"/>
        <v>0.889056848178174+0.124376021972152i</v>
      </c>
      <c r="AR373" s="170" t="str">
        <f t="shared" si="194"/>
        <v>0.918962885577273-0.128559774644743i</v>
      </c>
    </row>
    <row r="374" spans="7:44">
      <c r="G374" s="688">
        <v>31083</v>
      </c>
      <c r="H374" s="676">
        <f t="shared" si="186"/>
        <v>31.082999999999998</v>
      </c>
      <c r="I374" s="677">
        <f t="shared" si="166"/>
        <v>255.64998132855706</v>
      </c>
      <c r="J374" s="678">
        <f t="shared" si="167"/>
        <v>1.5668847186464399</v>
      </c>
      <c r="K374" s="678">
        <f t="shared" si="168"/>
        <v>1.0009226153191397</v>
      </c>
      <c r="L374" s="679">
        <f t="shared" si="169"/>
        <v>4.2939644338809237E-2</v>
      </c>
      <c r="M374" s="678">
        <f t="shared" si="170"/>
        <v>1.0136852224456201</v>
      </c>
      <c r="N374" s="679">
        <f t="shared" si="171"/>
        <v>-0.16450503034518726</v>
      </c>
      <c r="O374" s="677">
        <f t="shared" si="172"/>
        <v>1288981.641287728</v>
      </c>
      <c r="P374" s="680">
        <f t="shared" si="173"/>
        <v>1.5707955509886571</v>
      </c>
      <c r="Q374" s="689">
        <f t="shared" si="195"/>
        <v>51.568962317670191</v>
      </c>
      <c r="R374" s="690">
        <f t="shared" si="196"/>
        <v>1.5514036022289568</v>
      </c>
      <c r="S374" s="677">
        <f t="shared" si="174"/>
        <v>1.0270952971723608</v>
      </c>
      <c r="T374" s="680">
        <f t="shared" si="175"/>
        <v>0.23020565117750588</v>
      </c>
      <c r="U374" s="681">
        <f t="shared" si="187"/>
        <v>0.89971875042651384</v>
      </c>
      <c r="V374" s="682">
        <f t="shared" si="188"/>
        <v>-0.56316200674264194</v>
      </c>
      <c r="W374" s="683">
        <f t="shared" si="176"/>
        <v>-29.175288957363851</v>
      </c>
      <c r="X374" s="684">
        <f t="shared" si="177"/>
        <v>-143.30876030025084</v>
      </c>
      <c r="Y374" s="687">
        <f t="shared" si="178"/>
        <v>36.691239699749161</v>
      </c>
      <c r="AA374" s="170">
        <f t="shared" si="179"/>
        <v>31083</v>
      </c>
      <c r="AB374" s="170">
        <f t="shared" si="180"/>
        <v>966152889</v>
      </c>
      <c r="AD374" s="686">
        <f t="shared" si="181"/>
        <v>16.916068502157419</v>
      </c>
      <c r="AE374" s="687">
        <f t="shared" si="182"/>
        <v>-14.300889069337844</v>
      </c>
      <c r="AG374" s="686">
        <f t="shared" si="183"/>
        <v>-3.271267862493807</v>
      </c>
      <c r="AH374" s="687">
        <f t="shared" si="184"/>
        <v>-64.474258820229821</v>
      </c>
      <c r="AJ374" s="170">
        <f t="shared" si="185"/>
        <v>0</v>
      </c>
      <c r="AK374" s="170">
        <f t="shared" si="197"/>
        <v>0</v>
      </c>
      <c r="AM374" s="170" t="str">
        <f t="shared" si="189"/>
        <v>0.338010835366705+0.749513406089652i</v>
      </c>
      <c r="AN374" s="170" t="str">
        <f t="shared" si="190"/>
        <v>0.847326724645782i</v>
      </c>
      <c r="AO374" s="170" t="str">
        <f t="shared" si="191"/>
        <v>0.884562453052546-0.398914404013408i</v>
      </c>
      <c r="AP374" s="170" t="str">
        <f t="shared" si="192"/>
        <v>0.110331527438883-0.124918901014942i</v>
      </c>
      <c r="AQ374" s="170" t="str">
        <f t="shared" si="193"/>
        <v>0.889668472561117+0.124918901014942i</v>
      </c>
      <c r="AR374" s="170" t="str">
        <f t="shared" si="194"/>
        <v>0.918201361735313-0.128925221648246i</v>
      </c>
    </row>
    <row r="375" spans="7:44">
      <c r="G375" s="688">
        <v>31263</v>
      </c>
      <c r="H375" s="676">
        <f t="shared" si="186"/>
        <v>31.263000000000002</v>
      </c>
      <c r="I375" s="677">
        <f t="shared" si="166"/>
        <v>257.13041418826714</v>
      </c>
      <c r="J375" s="678">
        <f t="shared" si="167"/>
        <v>1.5669072399126849</v>
      </c>
      <c r="K375" s="678">
        <f t="shared" si="168"/>
        <v>1.0009333268952048</v>
      </c>
      <c r="L375" s="679">
        <f t="shared" si="169"/>
        <v>4.3187997336577209E-2</v>
      </c>
      <c r="M375" s="678">
        <f t="shared" si="170"/>
        <v>1.0138430968621728</v>
      </c>
      <c r="N375" s="679">
        <f t="shared" si="171"/>
        <v>-0.16544043063082164</v>
      </c>
      <c r="O375" s="677">
        <f t="shared" si="172"/>
        <v>1296446.0654241256</v>
      </c>
      <c r="P375" s="680">
        <f t="shared" si="173"/>
        <v>1.5707955554554429</v>
      </c>
      <c r="Q375" s="689">
        <f t="shared" si="195"/>
        <v>51.867483463961456</v>
      </c>
      <c r="R375" s="690">
        <f t="shared" si="196"/>
        <v>1.5515152301228916</v>
      </c>
      <c r="S375" s="677">
        <f t="shared" si="174"/>
        <v>1.0274058224407789</v>
      </c>
      <c r="T375" s="680">
        <f t="shared" si="175"/>
        <v>0.2314917696482611</v>
      </c>
      <c r="U375" s="681">
        <f t="shared" si="187"/>
        <v>0.89871860727805419</v>
      </c>
      <c r="V375" s="682">
        <f t="shared" si="188"/>
        <v>-0.5661150558717668</v>
      </c>
      <c r="W375" s="683">
        <f t="shared" si="176"/>
        <v>-29.23630217057001</v>
      </c>
      <c r="X375" s="684">
        <f t="shared" si="177"/>
        <v>-143.58590644484462</v>
      </c>
      <c r="Y375" s="687">
        <f t="shared" si="178"/>
        <v>36.414093555155375</v>
      </c>
      <c r="AA375" s="170">
        <f t="shared" si="179"/>
        <v>31263</v>
      </c>
      <c r="AB375" s="170">
        <f t="shared" si="180"/>
        <v>977375169</v>
      </c>
      <c r="AD375" s="686">
        <f t="shared" si="181"/>
        <v>16.913424112868981</v>
      </c>
      <c r="AE375" s="687">
        <f t="shared" si="182"/>
        <v>-14.368182678472403</v>
      </c>
      <c r="AG375" s="686">
        <f t="shared" si="183"/>
        <v>-3.3103151707232188</v>
      </c>
      <c r="AH375" s="687">
        <f t="shared" si="184"/>
        <v>-64.345716851715082</v>
      </c>
      <c r="AJ375" s="170">
        <f t="shared" si="185"/>
        <v>0</v>
      </c>
      <c r="AK375" s="170">
        <f t="shared" si="197"/>
        <v>0</v>
      </c>
      <c r="AM375" s="170" t="str">
        <f t="shared" si="189"/>
        <v>0.341696520293719+0.752752634406949i</v>
      </c>
      <c r="AN375" s="170" t="str">
        <f t="shared" si="190"/>
        <v>0.852233548647205i</v>
      </c>
      <c r="AO375" s="170" t="str">
        <f t="shared" si="191"/>
        <v>0.883270361278118-0.400942348298904i</v>
      </c>
      <c r="AP375" s="170" t="str">
        <f t="shared" si="192"/>
        <v>0.109717246617713-0.125458772401158i</v>
      </c>
      <c r="AQ375" s="170" t="str">
        <f t="shared" si="193"/>
        <v>0.890282753382287+0.125458772401158i</v>
      </c>
      <c r="AR375" s="170" t="str">
        <f t="shared" si="194"/>
        <v>0.917438850237136-0.129285613437529i</v>
      </c>
    </row>
    <row r="376" spans="7:44">
      <c r="G376" s="688">
        <v>31443</v>
      </c>
      <c r="H376" s="676">
        <f t="shared" si="186"/>
        <v>31.443000000000001</v>
      </c>
      <c r="I376" s="677">
        <f t="shared" si="166"/>
        <v>258.61084717690244</v>
      </c>
      <c r="J376" s="678">
        <f t="shared" si="167"/>
        <v>1.5669295033303177</v>
      </c>
      <c r="K376" s="678">
        <f t="shared" si="168"/>
        <v>1.0009441002067248</v>
      </c>
      <c r="L376" s="679">
        <f t="shared" si="169"/>
        <v>4.343634500354164E-2</v>
      </c>
      <c r="M376" s="678">
        <f t="shared" si="170"/>
        <v>1.0140018580880839</v>
      </c>
      <c r="N376" s="679">
        <f t="shared" si="171"/>
        <v>-0.16637553882512068</v>
      </c>
      <c r="O376" s="677">
        <f t="shared" si="172"/>
        <v>1303910.4895605235</v>
      </c>
      <c r="P376" s="680">
        <f t="shared" si="173"/>
        <v>1.570795559871087</v>
      </c>
      <c r="Q376" s="689">
        <f t="shared" si="195"/>
        <v>52.166005249165309</v>
      </c>
      <c r="R376" s="690">
        <f t="shared" si="196"/>
        <v>1.5516255804291528</v>
      </c>
      <c r="S376" s="677">
        <f t="shared" si="174"/>
        <v>1.0277180461133009</v>
      </c>
      <c r="T376" s="680">
        <f t="shared" si="175"/>
        <v>0.23277710879110647</v>
      </c>
      <c r="U376" s="681">
        <f t="shared" si="187"/>
        <v>0.89771581495283292</v>
      </c>
      <c r="V376" s="682">
        <f t="shared" si="188"/>
        <v>-0.56906361057646049</v>
      </c>
      <c r="W376" s="683">
        <f t="shared" si="176"/>
        <v>-29.297069163233292</v>
      </c>
      <c r="X376" s="684">
        <f t="shared" si="177"/>
        <v>-143.86279241933278</v>
      </c>
      <c r="Y376" s="687">
        <f t="shared" si="178"/>
        <v>36.137207580667223</v>
      </c>
      <c r="AA376" s="170">
        <f t="shared" si="179"/>
        <v>31443</v>
      </c>
      <c r="AB376" s="170">
        <f t="shared" si="180"/>
        <v>988662249</v>
      </c>
      <c r="AD376" s="686">
        <f t="shared" si="181"/>
        <v>16.910766483778769</v>
      </c>
      <c r="AE376" s="687">
        <f t="shared" si="182"/>
        <v>-14.435504832858371</v>
      </c>
      <c r="AG376" s="686">
        <f t="shared" si="183"/>
        <v>-3.3490302402131173</v>
      </c>
      <c r="AH376" s="687">
        <f t="shared" si="184"/>
        <v>-64.217401190946404</v>
      </c>
      <c r="AJ376" s="170">
        <f t="shared" si="185"/>
        <v>0</v>
      </c>
      <c r="AK376" s="170">
        <f t="shared" si="197"/>
        <v>0</v>
      </c>
      <c r="AM376" s="170" t="str">
        <f t="shared" si="189"/>
        <v>0.345398055110322+0.755973738794312i</v>
      </c>
      <c r="AN376" s="170" t="str">
        <f t="shared" si="190"/>
        <v>0.857140372648629i</v>
      </c>
      <c r="AO376" s="170" t="str">
        <f t="shared" si="191"/>
        <v>0.881971918389861-0.402965565655268i</v>
      </c>
      <c r="AP376" s="170" t="str">
        <f t="shared" si="192"/>
        <v>0.10910032414828-0.125995623132385i</v>
      </c>
      <c r="AQ376" s="170" t="str">
        <f t="shared" si="193"/>
        <v>0.89089967585172+0.125995623132385i</v>
      </c>
      <c r="AR376" s="170" t="str">
        <f t="shared" si="194"/>
        <v>0.91667538886633-0.129640957294004i</v>
      </c>
    </row>
    <row r="377" spans="7:44">
      <c r="G377" s="688">
        <v>31623</v>
      </c>
      <c r="H377" s="676">
        <f t="shared" si="186"/>
        <v>31.623000000000001</v>
      </c>
      <c r="I377" s="677">
        <f t="shared" si="166"/>
        <v>260.09128029226156</v>
      </c>
      <c r="J377" s="678">
        <f t="shared" si="167"/>
        <v>1.5669515133023193</v>
      </c>
      <c r="K377" s="678">
        <f t="shared" si="168"/>
        <v>1.0009549352517062</v>
      </c>
      <c r="L377" s="679">
        <f t="shared" si="169"/>
        <v>4.3684687309240709E-2</v>
      </c>
      <c r="M377" s="678">
        <f t="shared" si="170"/>
        <v>1.0141615057068789</v>
      </c>
      <c r="N377" s="679">
        <f t="shared" si="171"/>
        <v>-0.16731035343027748</v>
      </c>
      <c r="O377" s="677">
        <f t="shared" si="172"/>
        <v>1311374.9136969214</v>
      </c>
      <c r="P377" s="680">
        <f t="shared" si="173"/>
        <v>1.570795564236463</v>
      </c>
      <c r="Q377" s="689">
        <f t="shared" si="195"/>
        <v>52.464527662375581</v>
      </c>
      <c r="R377" s="690">
        <f t="shared" si="196"/>
        <v>1.5517346749533958</v>
      </c>
      <c r="S377" s="677">
        <f t="shared" si="174"/>
        <v>1.02803196664246</v>
      </c>
      <c r="T377" s="680">
        <f t="shared" si="175"/>
        <v>0.23406166507104448</v>
      </c>
      <c r="U377" s="681">
        <f t="shared" si="187"/>
        <v>0.8967104106482654</v>
      </c>
      <c r="V377" s="682">
        <f t="shared" si="188"/>
        <v>-0.57200766537218217</v>
      </c>
      <c r="W377" s="683">
        <f t="shared" si="176"/>
        <v>-29.357592960789493</v>
      </c>
      <c r="X377" s="684">
        <f t="shared" si="177"/>
        <v>-144.13941662581144</v>
      </c>
      <c r="Y377" s="687">
        <f t="shared" si="178"/>
        <v>35.860583374188565</v>
      </c>
      <c r="AA377" s="170">
        <f t="shared" si="179"/>
        <v>31623</v>
      </c>
      <c r="AB377" s="170">
        <f t="shared" si="180"/>
        <v>1000014129</v>
      </c>
      <c r="AD377" s="686">
        <f t="shared" si="181"/>
        <v>16.908095633274428</v>
      </c>
      <c r="AE377" s="687">
        <f t="shared" si="182"/>
        <v>-14.502854080633311</v>
      </c>
      <c r="AG377" s="686">
        <f t="shared" si="183"/>
        <v>-3.38741661545424</v>
      </c>
      <c r="AH377" s="687">
        <f t="shared" si="184"/>
        <v>-64.089312320364414</v>
      </c>
      <c r="AJ377" s="170">
        <f t="shared" si="185"/>
        <v>0</v>
      </c>
      <c r="AK377" s="170">
        <f t="shared" si="197"/>
        <v>0</v>
      </c>
      <c r="AM377" s="170" t="str">
        <f t="shared" si="189"/>
        <v>0.349115350695126+0.759176641697616i</v>
      </c>
      <c r="AN377" s="170" t="str">
        <f t="shared" si="190"/>
        <v>0.862047196650052i</v>
      </c>
      <c r="AO377" s="170" t="str">
        <f t="shared" si="191"/>
        <v>0.880667142875477-0.404984033416965i</v>
      </c>
      <c r="AP377" s="170" t="str">
        <f t="shared" si="192"/>
        <v>0.108480774884146-0.126529440282936i</v>
      </c>
      <c r="AQ377" s="170" t="str">
        <f t="shared" si="193"/>
        <v>0.891519225115854+0.126529440282936i</v>
      </c>
      <c r="AR377" s="170" t="str">
        <f t="shared" si="194"/>
        <v>0.915911015181134-0.129991260799547i</v>
      </c>
    </row>
    <row r="378" spans="7:44">
      <c r="G378" s="688">
        <v>31807</v>
      </c>
      <c r="H378" s="676">
        <f t="shared" si="186"/>
        <v>31.806999999999999</v>
      </c>
      <c r="I378" s="677">
        <f t="shared" si="166"/>
        <v>261.60461205003435</v>
      </c>
      <c r="J378" s="678">
        <f t="shared" si="167"/>
        <v>1.5669737549086047</v>
      </c>
      <c r="K378" s="678">
        <f t="shared" si="168"/>
        <v>1.0009660748798637</v>
      </c>
      <c r="L378" s="679">
        <f t="shared" si="169"/>
        <v>4.3938542759832382E-2</v>
      </c>
      <c r="M378" s="678">
        <f t="shared" si="170"/>
        <v>1.0143256167729033</v>
      </c>
      <c r="N378" s="679">
        <f t="shared" si="171"/>
        <v>-0.16826563668895103</v>
      </c>
      <c r="O378" s="677">
        <f t="shared" si="172"/>
        <v>1319005.2139252392</v>
      </c>
      <c r="P378" s="680">
        <f t="shared" si="173"/>
        <v>1.5707955686477799</v>
      </c>
      <c r="Q378" s="689">
        <f t="shared" si="195"/>
        <v>52.769684544988003</v>
      </c>
      <c r="R378" s="690">
        <f t="shared" si="196"/>
        <v>1.5518449180372538</v>
      </c>
      <c r="S378" s="677">
        <f t="shared" si="174"/>
        <v>1.0283546154027789</v>
      </c>
      <c r="T378" s="680">
        <f t="shared" si="175"/>
        <v>0.23537395422901458</v>
      </c>
      <c r="U378" s="681">
        <f t="shared" si="187"/>
        <v>0.8956800029185058</v>
      </c>
      <c r="V378" s="682">
        <f t="shared" si="188"/>
        <v>-0.57501248711101749</v>
      </c>
      <c r="W378" s="683">
        <f t="shared" si="176"/>
        <v>-29.419213461752683</v>
      </c>
      <c r="X378" s="684">
        <f t="shared" si="177"/>
        <v>-144.42191585274134</v>
      </c>
      <c r="Y378" s="687">
        <f t="shared" si="178"/>
        <v>35.578084147258664</v>
      </c>
      <c r="AA378" s="170">
        <f t="shared" si="179"/>
        <v>31807</v>
      </c>
      <c r="AB378" s="170">
        <f t="shared" si="180"/>
        <v>1011685249</v>
      </c>
      <c r="AD378" s="686">
        <f t="shared" si="181"/>
        <v>16.905351784604292</v>
      </c>
      <c r="AE378" s="687">
        <f t="shared" si="182"/>
        <v>-14.571726500288735</v>
      </c>
      <c r="AG378" s="686">
        <f t="shared" si="183"/>
        <v>-3.4263199210007143</v>
      </c>
      <c r="AH378" s="687">
        <f t="shared" si="184"/>
        <v>-63.958611919596585</v>
      </c>
      <c r="AJ378" s="170">
        <f t="shared" si="185"/>
        <v>0</v>
      </c>
      <c r="AK378" s="170">
        <f t="shared" si="197"/>
        <v>0</v>
      </c>
      <c r="AM378" s="170" t="str">
        <f t="shared" si="189"/>
        <v>0.352931449673437+0.762431827233282i</v>
      </c>
      <c r="AN378" s="170" t="str">
        <f t="shared" si="190"/>
        <v>0.86706306118484i</v>
      </c>
      <c r="AO378" s="170" t="str">
        <f t="shared" si="191"/>
        <v>0.879326846413478-0.407042423409385i</v>
      </c>
      <c r="AP378" s="170" t="str">
        <f t="shared" si="192"/>
        <v>0.10784475838776-0.127071971205547i</v>
      </c>
      <c r="AQ378" s="170" t="str">
        <f t="shared" si="193"/>
        <v>0.89215524161224+0.127071971205547i</v>
      </c>
      <c r="AR378" s="170" t="str">
        <f t="shared" si="194"/>
        <v>0.915128751332769-0.130344147425038i</v>
      </c>
    </row>
    <row r="379" spans="7:44">
      <c r="G379" s="688">
        <v>31991</v>
      </c>
      <c r="H379" s="676">
        <f t="shared" si="186"/>
        <v>31.991</v>
      </c>
      <c r="I379" s="677">
        <f t="shared" si="166"/>
        <v>263.11794393573143</v>
      </c>
      <c r="J379" s="678">
        <f t="shared" si="167"/>
        <v>1.5669957406681767</v>
      </c>
      <c r="K379" s="678">
        <f t="shared" si="168"/>
        <v>1.0009772790114293</v>
      </c>
      <c r="L379" s="679">
        <f t="shared" si="169"/>
        <v>4.4192392543876538E-2</v>
      </c>
      <c r="M379" s="678">
        <f t="shared" si="170"/>
        <v>1.0144906531781361</v>
      </c>
      <c r="N379" s="679">
        <f t="shared" si="171"/>
        <v>-0.16922061000966357</v>
      </c>
      <c r="O379" s="677">
        <f t="shared" si="172"/>
        <v>1326635.5141535571</v>
      </c>
      <c r="P379" s="680">
        <f t="shared" si="173"/>
        <v>1.570795573008352</v>
      </c>
      <c r="Q379" s="689">
        <f t="shared" si="195"/>
        <v>53.074842061563928</v>
      </c>
      <c r="R379" s="690">
        <f t="shared" si="196"/>
        <v>1.5519538934217809</v>
      </c>
      <c r="S379" s="677">
        <f t="shared" si="174"/>
        <v>1.0286790339827987</v>
      </c>
      <c r="T379" s="680">
        <f t="shared" si="175"/>
        <v>0.23668541792062039</v>
      </c>
      <c r="U379" s="681">
        <f t="shared" si="187"/>
        <v>0.89464694397787792</v>
      </c>
      <c r="V379" s="682">
        <f t="shared" si="188"/>
        <v>-0.57801259583708564</v>
      </c>
      <c r="W379" s="683">
        <f t="shared" si="176"/>
        <v>-29.480586054928523</v>
      </c>
      <c r="X379" s="684">
        <f t="shared" si="177"/>
        <v>-144.70413828670095</v>
      </c>
      <c r="Y379" s="687">
        <f t="shared" si="178"/>
        <v>35.295861713299047</v>
      </c>
      <c r="AA379" s="170">
        <f t="shared" si="179"/>
        <v>31991</v>
      </c>
      <c r="AB379" s="170">
        <f t="shared" si="180"/>
        <v>1023424081</v>
      </c>
      <c r="AD379" s="686">
        <f t="shared" si="181"/>
        <v>16.902594160178573</v>
      </c>
      <c r="AE379" s="687">
        <f t="shared" si="182"/>
        <v>-14.640624255119283</v>
      </c>
      <c r="AG379" s="686">
        <f t="shared" si="183"/>
        <v>-3.4648870723187408</v>
      </c>
      <c r="AH379" s="687">
        <f t="shared" si="184"/>
        <v>-63.828149462164689</v>
      </c>
      <c r="AJ379" s="170">
        <f t="shared" si="185"/>
        <v>0</v>
      </c>
      <c r="AK379" s="170">
        <f t="shared" si="197"/>
        <v>0</v>
      </c>
      <c r="AM379" s="170" t="str">
        <f t="shared" si="189"/>
        <v>0.356763828148649+0.76566783086533i</v>
      </c>
      <c r="AN379" s="170" t="str">
        <f t="shared" si="190"/>
        <v>0.872078925719629i</v>
      </c>
      <c r="AO379" s="170" t="str">
        <f t="shared" si="191"/>
        <v>0.877979972091987-0.409095802715622i</v>
      </c>
      <c r="AP379" s="170" t="str">
        <f t="shared" si="192"/>
        <v>0.107206028641892-0.127611305144222i</v>
      </c>
      <c r="AQ379" s="170" t="str">
        <f t="shared" si="193"/>
        <v>0.892793971358108+0.127611305144222i</v>
      </c>
      <c r="AR379" s="170" t="str">
        <f t="shared" si="194"/>
        <v>0.91434561280702-0.130691784159008i</v>
      </c>
    </row>
    <row r="380" spans="7:44">
      <c r="G380" s="688">
        <v>32175</v>
      </c>
      <c r="H380" s="676">
        <f t="shared" si="186"/>
        <v>32.174999999999997</v>
      </c>
      <c r="I380" s="677">
        <f t="shared" si="166"/>
        <v>264.63127594715814</v>
      </c>
      <c r="J380" s="678">
        <f t="shared" si="167"/>
        <v>1.567017474970303</v>
      </c>
      <c r="K380" s="678">
        <f t="shared" si="168"/>
        <v>1.0009885476442371</v>
      </c>
      <c r="L380" s="679">
        <f t="shared" si="169"/>
        <v>4.4446236628847995E-2</v>
      </c>
      <c r="M380" s="678">
        <f t="shared" si="170"/>
        <v>1.0146566144710512</v>
      </c>
      <c r="N380" s="679">
        <f t="shared" si="171"/>
        <v>-0.17017527180225667</v>
      </c>
      <c r="O380" s="677">
        <f t="shared" si="172"/>
        <v>1334265.8143818749</v>
      </c>
      <c r="P380" s="680">
        <f t="shared" si="173"/>
        <v>1.5707955773190507</v>
      </c>
      <c r="Q380" s="689">
        <f t="shared" si="195"/>
        <v>53.380000201230835</v>
      </c>
      <c r="R380" s="690">
        <f t="shared" si="196"/>
        <v>1.5520616228455861</v>
      </c>
      <c r="S380" s="677">
        <f t="shared" si="174"/>
        <v>1.0290052207085856</v>
      </c>
      <c r="T380" s="680">
        <f t="shared" si="175"/>
        <v>0.23799605241747809</v>
      </c>
      <c r="U380" s="681">
        <f t="shared" si="187"/>
        <v>0.89361127309266741</v>
      </c>
      <c r="V380" s="682">
        <f t="shared" si="188"/>
        <v>-0.58100798640223372</v>
      </c>
      <c r="W380" s="683">
        <f t="shared" si="176"/>
        <v>-29.541713795403496</v>
      </c>
      <c r="X380" s="684">
        <f t="shared" si="177"/>
        <v>-144.98608233586228</v>
      </c>
      <c r="Y380" s="687">
        <f t="shared" si="178"/>
        <v>35.013917664137722</v>
      </c>
      <c r="AA380" s="170">
        <f t="shared" si="179"/>
        <v>32175</v>
      </c>
      <c r="AB380" s="170">
        <f t="shared" si="180"/>
        <v>1035230625</v>
      </c>
      <c r="AD380" s="686">
        <f t="shared" si="181"/>
        <v>16.89982278058563</v>
      </c>
      <c r="AE380" s="687">
        <f t="shared" si="182"/>
        <v>-14.709545886023658</v>
      </c>
      <c r="AG380" s="686">
        <f t="shared" si="183"/>
        <v>-3.5031216768902067</v>
      </c>
      <c r="AH380" s="687">
        <f t="shared" si="184"/>
        <v>-63.697925405276841</v>
      </c>
      <c r="AJ380" s="170">
        <f t="shared" si="185"/>
        <v>0</v>
      </c>
      <c r="AK380" s="170">
        <f t="shared" si="197"/>
        <v>0</v>
      </c>
      <c r="AM380" s="170" t="str">
        <f t="shared" si="189"/>
        <v>0.360612389702545+0.768884571179647i</v>
      </c>
      <c r="AN380" s="170" t="str">
        <f t="shared" si="190"/>
        <v>0.877094790254417i</v>
      </c>
      <c r="AO380" s="170" t="str">
        <f t="shared" si="191"/>
        <v>0.87662653993945-0.411144147370825i</v>
      </c>
      <c r="AP380" s="170" t="str">
        <f t="shared" si="192"/>
        <v>0.106564601716242-0.128147428529941i</v>
      </c>
      <c r="AQ380" s="170" t="str">
        <f t="shared" si="193"/>
        <v>0.893435398283758+0.128147428529941i</v>
      </c>
      <c r="AR380" s="170" t="str">
        <f t="shared" si="194"/>
        <v>0.913561638978482-0.131034180046568i</v>
      </c>
    </row>
    <row r="381" spans="7:44">
      <c r="G381" s="688">
        <v>32359</v>
      </c>
      <c r="H381" s="676">
        <f t="shared" si="186"/>
        <v>32.359000000000002</v>
      </c>
      <c r="I381" s="677">
        <f t="shared" si="166"/>
        <v>266.14460808216978</v>
      </c>
      <c r="J381" s="678">
        <f t="shared" si="167"/>
        <v>1.5670389621044196</v>
      </c>
      <c r="K381" s="678">
        <f t="shared" si="168"/>
        <v>1.0009998807761085</v>
      </c>
      <c r="L381" s="679">
        <f t="shared" si="169"/>
        <v>4.470007498222596E-2</v>
      </c>
      <c r="M381" s="678">
        <f t="shared" si="170"/>
        <v>1.014823500197888</v>
      </c>
      <c r="N381" s="679">
        <f t="shared" si="171"/>
        <v>-0.17112962047988053</v>
      </c>
      <c r="O381" s="677">
        <f t="shared" si="172"/>
        <v>1341896.1146101926</v>
      </c>
      <c r="P381" s="680">
        <f t="shared" si="173"/>
        <v>1.5707955815807262</v>
      </c>
      <c r="Q381" s="689">
        <f t="shared" si="195"/>
        <v>53.685158953363363</v>
      </c>
      <c r="R381" s="690">
        <f t="shared" si="196"/>
        <v>1.5521681275531267</v>
      </c>
      <c r="S381" s="677">
        <f t="shared" si="174"/>
        <v>1.0293331738992091</v>
      </c>
      <c r="T381" s="680">
        <f t="shared" si="175"/>
        <v>0.23930585400731169</v>
      </c>
      <c r="U381" s="681">
        <f t="shared" si="187"/>
        <v>0.89257302936711969</v>
      </c>
      <c r="V381" s="682">
        <f t="shared" si="188"/>
        <v>-0.5839986538946409</v>
      </c>
      <c r="W381" s="683">
        <f t="shared" si="176"/>
        <v>-29.602599681501822</v>
      </c>
      <c r="X381" s="684">
        <f t="shared" si="177"/>
        <v>-145.26774644564205</v>
      </c>
      <c r="Y381" s="687">
        <f t="shared" si="178"/>
        <v>34.732253554357953</v>
      </c>
      <c r="AA381" s="170">
        <f t="shared" si="179"/>
        <v>32359</v>
      </c>
      <c r="AB381" s="170">
        <f t="shared" si="180"/>
        <v>1047104881</v>
      </c>
      <c r="AD381" s="686">
        <f t="shared" si="181"/>
        <v>16.897037666716916</v>
      </c>
      <c r="AE381" s="687">
        <f t="shared" si="182"/>
        <v>-14.778489963135097</v>
      </c>
      <c r="AG381" s="686">
        <f t="shared" si="183"/>
        <v>-3.5410272846662103</v>
      </c>
      <c r="AH381" s="687">
        <f t="shared" si="184"/>
        <v>-63.567940187069752</v>
      </c>
      <c r="AJ381" s="170">
        <f t="shared" si="185"/>
        <v>0</v>
      </c>
      <c r="AK381" s="170">
        <f t="shared" si="197"/>
        <v>0</v>
      </c>
      <c r="AM381" s="170" t="str">
        <f t="shared" si="189"/>
        <v>0.364477037509765+0.772081967246766i</v>
      </c>
      <c r="AN381" s="170" t="str">
        <f t="shared" si="190"/>
        <v>0.882110654789205i</v>
      </c>
      <c r="AO381" s="170" t="str">
        <f t="shared" si="191"/>
        <v>0.875266570078181-0.413187433493662i</v>
      </c>
      <c r="AP381" s="170" t="str">
        <f t="shared" si="192"/>
        <v>0.105920493748372-0.128680327874461i</v>
      </c>
      <c r="AQ381" s="170" t="str">
        <f t="shared" si="193"/>
        <v>0.894079506251628+0.128680327874461i</v>
      </c>
      <c r="AR381" s="170" t="str">
        <f t="shared" si="194"/>
        <v>0.912776868966878-0.131371344442633i</v>
      </c>
    </row>
    <row r="382" spans="7:44">
      <c r="G382" s="688">
        <v>32547.5</v>
      </c>
      <c r="H382" s="676">
        <f t="shared" si="186"/>
        <v>32.547499999999999</v>
      </c>
      <c r="I382" s="677">
        <f t="shared" si="166"/>
        <v>267.6949511834041</v>
      </c>
      <c r="J382" s="678">
        <f t="shared" si="167"/>
        <v>1.567060722812182</v>
      </c>
      <c r="K382" s="678">
        <f t="shared" si="168"/>
        <v>1.0010115579591623</v>
      </c>
      <c r="L382" s="679">
        <f t="shared" si="169"/>
        <v>4.4960115361247908E-2</v>
      </c>
      <c r="M382" s="678">
        <f t="shared" si="170"/>
        <v>1.0149954255154503</v>
      </c>
      <c r="N382" s="679">
        <f t="shared" si="171"/>
        <v>-0.17210698285606343</v>
      </c>
      <c r="O382" s="677">
        <f t="shared" si="172"/>
        <v>1349713.0254419206</v>
      </c>
      <c r="P382" s="680">
        <f t="shared" si="173"/>
        <v>1.5707955858966605</v>
      </c>
      <c r="Q382" s="689">
        <f t="shared" si="195"/>
        <v>53.99778145141272</v>
      </c>
      <c r="R382" s="690">
        <f t="shared" si="196"/>
        <v>1.5522759886891262</v>
      </c>
      <c r="S382" s="677">
        <f t="shared" si="174"/>
        <v>1.0296709777150403</v>
      </c>
      <c r="T382" s="680">
        <f t="shared" si="175"/>
        <v>0.24064682121310677</v>
      </c>
      <c r="U382" s="681">
        <f t="shared" si="187"/>
        <v>0.89150676652556571</v>
      </c>
      <c r="V382" s="682">
        <f t="shared" si="188"/>
        <v>-0.58705756007340593</v>
      </c>
      <c r="W382" s="683">
        <f t="shared" si="176"/>
        <v>-29.664726901764723</v>
      </c>
      <c r="X382" s="684">
        <f t="shared" si="177"/>
        <v>-145.55600720042045</v>
      </c>
      <c r="Y382" s="687">
        <f t="shared" si="178"/>
        <v>34.443992799579547</v>
      </c>
      <c r="AA382" s="170">
        <f t="shared" si="179"/>
        <v>32547.5</v>
      </c>
      <c r="AB382" s="170">
        <f t="shared" si="180"/>
        <v>1059339756.25</v>
      </c>
      <c r="AD382" s="686">
        <f t="shared" si="181"/>
        <v>16.894170218579589</v>
      </c>
      <c r="AE382" s="687">
        <f t="shared" si="182"/>
        <v>-14.849141983991903</v>
      </c>
      <c r="AG382" s="686">
        <f t="shared" si="183"/>
        <v>-3.5795224194904089</v>
      </c>
      <c r="AH382" s="687">
        <f t="shared" si="184"/>
        <v>-63.435024092651361</v>
      </c>
      <c r="AJ382" s="170">
        <f t="shared" si="185"/>
        <v>0</v>
      </c>
      <c r="AK382" s="170">
        <f t="shared" si="197"/>
        <v>0</v>
      </c>
      <c r="AM382" s="170" t="str">
        <f t="shared" si="189"/>
        <v>0.368452780694355+0.775337416733713i</v>
      </c>
      <c r="AN382" s="170" t="str">
        <f t="shared" si="190"/>
        <v>0.887249189924029i</v>
      </c>
      <c r="AO382" s="170" t="str">
        <f t="shared" si="191"/>
        <v>0.873866581721085-0.415275420793457i</v>
      </c>
      <c r="AP382" s="170" t="str">
        <f t="shared" si="192"/>
        <v>0.105257869884274-0.129222902788952i</v>
      </c>
      <c r="AQ382" s="170" t="str">
        <f t="shared" si="193"/>
        <v>0.894742130115726+0.129222902788952i</v>
      </c>
      <c r="AR382" s="170" t="str">
        <f t="shared" si="194"/>
        <v>0.911972121208428-0.131711339835879i</v>
      </c>
    </row>
    <row r="383" spans="7:44">
      <c r="G383" s="688">
        <v>32736</v>
      </c>
      <c r="H383" s="676">
        <f t="shared" si="186"/>
        <v>32.735999999999997</v>
      </c>
      <c r="I383" s="677">
        <f t="shared" si="166"/>
        <v>269.2452944099399</v>
      </c>
      <c r="J383" s="678">
        <f t="shared" si="167"/>
        <v>1.5670822329189853</v>
      </c>
      <c r="K383" s="678">
        <f t="shared" si="168"/>
        <v>1.0010233028300357</v>
      </c>
      <c r="L383" s="679">
        <f t="shared" si="169"/>
        <v>4.5220149655816173E-2</v>
      </c>
      <c r="M383" s="678">
        <f t="shared" si="170"/>
        <v>1.0151683200654724</v>
      </c>
      <c r="N383" s="679">
        <f t="shared" si="171"/>
        <v>-0.1730840132537303</v>
      </c>
      <c r="O383" s="677">
        <f t="shared" si="172"/>
        <v>1357529.9362736484</v>
      </c>
      <c r="P383" s="680">
        <f t="shared" si="173"/>
        <v>1.5707955901628907</v>
      </c>
      <c r="Q383" s="689">
        <f t="shared" si="195"/>
        <v>54.310404570441356</v>
      </c>
      <c r="R383" s="690">
        <f t="shared" si="196"/>
        <v>1.5523826080795828</v>
      </c>
      <c r="S383" s="677">
        <f t="shared" si="174"/>
        <v>1.0300106318616511</v>
      </c>
      <c r="T383" s="680">
        <f t="shared" si="175"/>
        <v>0.24198690643824378</v>
      </c>
      <c r="U383" s="681">
        <f t="shared" si="187"/>
        <v>0.89043788601223517</v>
      </c>
      <c r="V383" s="682">
        <f t="shared" si="188"/>
        <v>-0.59011149965216214</v>
      </c>
      <c r="W383" s="683">
        <f t="shared" si="176"/>
        <v>-29.726606486697516</v>
      </c>
      <c r="X383" s="684">
        <f t="shared" si="177"/>
        <v>-145.84397096940953</v>
      </c>
      <c r="Y383" s="687">
        <f t="shared" si="178"/>
        <v>34.156029030590474</v>
      </c>
      <c r="AA383" s="170">
        <f t="shared" si="179"/>
        <v>32736</v>
      </c>
      <c r="AB383" s="170">
        <f t="shared" si="180"/>
        <v>1071645696</v>
      </c>
      <c r="AD383" s="686">
        <f t="shared" si="181"/>
        <v>16.891288401496421</v>
      </c>
      <c r="AE383" s="687">
        <f t="shared" si="182"/>
        <v>-14.919814615010417</v>
      </c>
      <c r="AG383" s="686">
        <f t="shared" si="183"/>
        <v>-3.6176796314330906</v>
      </c>
      <c r="AH383" s="687">
        <f t="shared" si="184"/>
        <v>-63.302359532720665</v>
      </c>
      <c r="AJ383" s="170">
        <f t="shared" si="185"/>
        <v>0</v>
      </c>
      <c r="AK383" s="170">
        <f t="shared" si="197"/>
        <v>0</v>
      </c>
      <c r="AM383" s="170" t="str">
        <f t="shared" si="189"/>
        <v>0.37244519955817+0.778572393835291i</v>
      </c>
      <c r="AN383" s="170" t="str">
        <f t="shared" si="190"/>
        <v>0.892387725058853i</v>
      </c>
      <c r="AO383" s="170" t="str">
        <f t="shared" si="191"/>
        <v>0.872459775019815-0.417358048636995i</v>
      </c>
      <c r="AP383" s="170" t="str">
        <f t="shared" si="192"/>
        <v>0.104592466740305-0.129762065639215i</v>
      </c>
      <c r="AQ383" s="170" t="str">
        <f t="shared" si="193"/>
        <v>0.895407533259695+0.129762065639215i</v>
      </c>
      <c r="AR383" s="170" t="str">
        <f t="shared" si="194"/>
        <v>0.911166620135463-0.132045865573467i</v>
      </c>
    </row>
    <row r="384" spans="7:44">
      <c r="G384" s="688">
        <v>32924.5</v>
      </c>
      <c r="H384" s="676">
        <f t="shared" si="186"/>
        <v>32.924500000000002</v>
      </c>
      <c r="I384" s="677">
        <f t="shared" si="166"/>
        <v>270.79563775962487</v>
      </c>
      <c r="J384" s="678">
        <f t="shared" si="167"/>
        <v>1.567103496728987</v>
      </c>
      <c r="K384" s="678">
        <f t="shared" si="168"/>
        <v>1.0010351153863459</v>
      </c>
      <c r="L384" s="679">
        <f t="shared" si="169"/>
        <v>4.5480177830979629E-2</v>
      </c>
      <c r="M384" s="678">
        <f t="shared" si="170"/>
        <v>1.0153421833528256</v>
      </c>
      <c r="N384" s="679">
        <f t="shared" si="171"/>
        <v>-0.17406070997762588</v>
      </c>
      <c r="O384" s="677">
        <f t="shared" si="172"/>
        <v>1365346.8471053764</v>
      </c>
      <c r="P384" s="680">
        <f t="shared" si="173"/>
        <v>1.5707955943802709</v>
      </c>
      <c r="Q384" s="689">
        <f t="shared" si="195"/>
        <v>54.623028299787137</v>
      </c>
      <c r="R384" s="690">
        <f t="shared" si="196"/>
        <v>1.5524880070426816</v>
      </c>
      <c r="S384" s="677">
        <f t="shared" si="174"/>
        <v>1.0303521345091637</v>
      </c>
      <c r="T384" s="680">
        <f t="shared" si="175"/>
        <v>0.24332610574421673</v>
      </c>
      <c r="U384" s="681">
        <f t="shared" si="187"/>
        <v>0.88936642932677989</v>
      </c>
      <c r="V384" s="682">
        <f t="shared" si="188"/>
        <v>-0.59316046811120005</v>
      </c>
      <c r="W384" s="683">
        <f t="shared" si="176"/>
        <v>-29.788241483230923</v>
      </c>
      <c r="X384" s="684">
        <f t="shared" si="177"/>
        <v>-146.13163619807773</v>
      </c>
      <c r="Y384" s="687">
        <f t="shared" si="178"/>
        <v>33.868363801922271</v>
      </c>
      <c r="AA384" s="170">
        <f t="shared" si="179"/>
        <v>32924.5</v>
      </c>
      <c r="AB384" s="170">
        <f t="shared" si="180"/>
        <v>1084022700.25</v>
      </c>
      <c r="AD384" s="686">
        <f t="shared" si="181"/>
        <v>16.888392238869351</v>
      </c>
      <c r="AE384" s="687">
        <f t="shared" si="182"/>
        <v>-14.990506409137755</v>
      </c>
      <c r="AG384" s="686">
        <f t="shared" si="183"/>
        <v>-3.6555025577513884</v>
      </c>
      <c r="AH384" s="687">
        <f t="shared" si="184"/>
        <v>-63.169946917719571</v>
      </c>
      <c r="AJ384" s="170">
        <f t="shared" si="185"/>
        <v>0</v>
      </c>
      <c r="AK384" s="170">
        <f t="shared" si="197"/>
        <v>0</v>
      </c>
      <c r="AM384" s="170" t="str">
        <f t="shared" si="189"/>
        <v>0.376454188683446+0.781786813133594i</v>
      </c>
      <c r="AN384" s="170" t="str">
        <f t="shared" si="190"/>
        <v>0.897526260193677i</v>
      </c>
      <c r="AO384" s="170" t="str">
        <f t="shared" si="191"/>
        <v>0.871046171913558-0.419435291622789i</v>
      </c>
      <c r="AP384" s="170" t="str">
        <f t="shared" si="192"/>
        <v>0.103924301886092-0.130297802188932i</v>
      </c>
      <c r="AQ384" s="170" t="str">
        <f t="shared" si="193"/>
        <v>0.896075698113908+0.130297802188932i</v>
      </c>
      <c r="AR384" s="170" t="str">
        <f t="shared" si="194"/>
        <v>0.910360406963386-0.132374932694662i</v>
      </c>
    </row>
    <row r="385" spans="7:44">
      <c r="G385" s="688">
        <v>33113</v>
      </c>
      <c r="H385" s="676">
        <f t="shared" si="186"/>
        <v>33.113</v>
      </c>
      <c r="I385" s="677">
        <f t="shared" si="166"/>
        <v>272.34598123035602</v>
      </c>
      <c r="J385" s="678">
        <f t="shared" si="167"/>
        <v>1.5671245184483393</v>
      </c>
      <c r="K385" s="678">
        <f t="shared" si="168"/>
        <v>1.0010469956256971</v>
      </c>
      <c r="L385" s="679">
        <f t="shared" si="169"/>
        <v>4.5740199851792104E-2</v>
      </c>
      <c r="M385" s="678">
        <f t="shared" si="170"/>
        <v>1.0155170148799471</v>
      </c>
      <c r="N385" s="679">
        <f t="shared" si="171"/>
        <v>-0.17503707133619895</v>
      </c>
      <c r="O385" s="677">
        <f t="shared" si="172"/>
        <v>1373163.7579371042</v>
      </c>
      <c r="P385" s="680">
        <f t="shared" si="173"/>
        <v>1.5707955985496351</v>
      </c>
      <c r="Q385" s="689">
        <f t="shared" si="195"/>
        <v>54.935652629030635</v>
      </c>
      <c r="R385" s="690">
        <f t="shared" si="196"/>
        <v>1.5525922064114526</v>
      </c>
      <c r="S385" s="677">
        <f t="shared" si="174"/>
        <v>1.0306954838201747</v>
      </c>
      <c r="T385" s="680">
        <f t="shared" si="175"/>
        <v>0.24466441521043614</v>
      </c>
      <c r="U385" s="681">
        <f t="shared" si="187"/>
        <v>0.88829243778021472</v>
      </c>
      <c r="V385" s="682">
        <f t="shared" si="188"/>
        <v>-0.59620446118416881</v>
      </c>
      <c r="W385" s="683">
        <f t="shared" si="176"/>
        <v>-29.849634881401954</v>
      </c>
      <c r="X385" s="684">
        <f t="shared" si="177"/>
        <v>-146.4190013698294</v>
      </c>
      <c r="Y385" s="687">
        <f t="shared" si="178"/>
        <v>33.580998630170598</v>
      </c>
      <c r="AA385" s="170">
        <f t="shared" si="179"/>
        <v>33113</v>
      </c>
      <c r="AB385" s="170">
        <f t="shared" si="180"/>
        <v>1096470769</v>
      </c>
      <c r="AD385" s="686">
        <f t="shared" si="181"/>
        <v>16.885481754401564</v>
      </c>
      <c r="AE385" s="687">
        <f t="shared" si="182"/>
        <v>-15.061215948143799</v>
      </c>
      <c r="AG385" s="686">
        <f t="shared" si="183"/>
        <v>-3.6929947777882584</v>
      </c>
      <c r="AH385" s="687">
        <f t="shared" si="184"/>
        <v>-63.037786638170253</v>
      </c>
      <c r="AJ385" s="170">
        <f t="shared" si="185"/>
        <v>0</v>
      </c>
      <c r="AK385" s="170">
        <f t="shared" si="197"/>
        <v>0</v>
      </c>
      <c r="AM385" s="170" t="str">
        <f t="shared" si="189"/>
        <v>0.380479642214888+0.784980589753534i</v>
      </c>
      <c r="AN385" s="170" t="str">
        <f t="shared" si="190"/>
        <v>0.902664795328501i</v>
      </c>
      <c r="AO385" s="170" t="str">
        <f t="shared" si="191"/>
        <v>0.869625794443286-0.421507124443047i</v>
      </c>
      <c r="AP385" s="170" t="str">
        <f t="shared" si="192"/>
        <v>0.103253392964185-0.130830098292256i</v>
      </c>
      <c r="AQ385" s="170" t="str">
        <f t="shared" si="193"/>
        <v>0.896746607035815+0.130830098292256i</v>
      </c>
      <c r="AR385" s="170" t="str">
        <f t="shared" si="194"/>
        <v>0.909553522618275-0.132698552559412i</v>
      </c>
    </row>
    <row r="386" spans="7:44">
      <c r="G386" s="688">
        <v>33305.75</v>
      </c>
      <c r="H386" s="676">
        <f t="shared" si="186"/>
        <v>33.305750000000003</v>
      </c>
      <c r="I386" s="677">
        <f t="shared" si="166"/>
        <v>273.93127951775375</v>
      </c>
      <c r="J386" s="678">
        <f t="shared" si="167"/>
        <v>1.5671457680749854</v>
      </c>
      <c r="K386" s="678">
        <f t="shared" si="168"/>
        <v>1.001059213708652</v>
      </c>
      <c r="L386" s="679">
        <f t="shared" si="169"/>
        <v>4.6006078037604176E-2</v>
      </c>
      <c r="M386" s="678">
        <f t="shared" si="170"/>
        <v>1.0156967889423993</v>
      </c>
      <c r="N386" s="679">
        <f t="shared" si="171"/>
        <v>-0.17603509759622238</v>
      </c>
      <c r="O386" s="677">
        <f t="shared" si="172"/>
        <v>1381156.9121164971</v>
      </c>
      <c r="P386" s="680">
        <f t="shared" si="173"/>
        <v>1.5707956027642009</v>
      </c>
      <c r="Q386" s="689">
        <f t="shared" si="195"/>
        <v>55.255326127151619</v>
      </c>
      <c r="R386" s="690">
        <f t="shared" si="196"/>
        <v>1.552697535844727</v>
      </c>
      <c r="S386" s="677">
        <f t="shared" si="174"/>
        <v>1.0310484820928594</v>
      </c>
      <c r="T386" s="680">
        <f t="shared" si="175"/>
        <v>0.24603197453695699</v>
      </c>
      <c r="U386" s="681">
        <f t="shared" si="187"/>
        <v>0.88719165317619231</v>
      </c>
      <c r="V386" s="682">
        <f t="shared" si="188"/>
        <v>-0.59931193630299406</v>
      </c>
      <c r="W386" s="683">
        <f t="shared" si="176"/>
        <v>-29.912165707263853</v>
      </c>
      <c r="X386" s="684">
        <f t="shared" si="177"/>
        <v>-146.7125337751045</v>
      </c>
      <c r="Y386" s="687">
        <f t="shared" si="178"/>
        <v>33.287466224895496</v>
      </c>
      <c r="AA386" s="170">
        <f t="shared" si="179"/>
        <v>33305.75</v>
      </c>
      <c r="AB386" s="170">
        <f t="shared" si="180"/>
        <v>1109272983.0625</v>
      </c>
      <c r="AD386" s="686">
        <f t="shared" si="181"/>
        <v>16.882490864093654</v>
      </c>
      <c r="AE386" s="687">
        <f t="shared" si="182"/>
        <v>-15.133536635361546</v>
      </c>
      <c r="AG386" s="686">
        <f t="shared" si="183"/>
        <v>-3.7309940082250188</v>
      </c>
      <c r="AH386" s="687">
        <f t="shared" si="184"/>
        <v>-62.902907937319526</v>
      </c>
      <c r="AJ386" s="170">
        <f t="shared" si="185"/>
        <v>0</v>
      </c>
      <c r="AK386" s="170">
        <f t="shared" si="197"/>
        <v>0</v>
      </c>
      <c r="AM386" s="170" t="str">
        <f t="shared" si="189"/>
        <v>0.384612769979433+0.78822494069118i</v>
      </c>
      <c r="AN386" s="170" t="str">
        <f t="shared" si="190"/>
        <v>0.907919186030025i</v>
      </c>
      <c r="AO386" s="170" t="str">
        <f t="shared" si="191"/>
        <v>0.868166410424455-0.423620048895755i</v>
      </c>
      <c r="AP386" s="170" t="str">
        <f t="shared" si="192"/>
        <v>0.102564538336761-0.13137082344853i</v>
      </c>
      <c r="AQ386" s="170" t="str">
        <f t="shared" si="193"/>
        <v>0.897435461663239+0.13137082344853i</v>
      </c>
      <c r="AR386" s="170" t="str">
        <f t="shared" si="194"/>
        <v>0.908727794211563-0.133023848193929i</v>
      </c>
    </row>
    <row r="387" spans="7:44">
      <c r="G387" s="688">
        <v>33498.5</v>
      </c>
      <c r="H387" s="676">
        <f t="shared" si="186"/>
        <v>33.4985</v>
      </c>
      <c r="I387" s="677">
        <f t="shared" si="166"/>
        <v>275.51657792742083</v>
      </c>
      <c r="J387" s="678">
        <f t="shared" si="167"/>
        <v>1.5671667731646366</v>
      </c>
      <c r="K387" s="678">
        <f t="shared" si="168"/>
        <v>1.0010715025559633</v>
      </c>
      <c r="L387" s="679">
        <f t="shared" si="169"/>
        <v>4.6271949714532225E-2</v>
      </c>
      <c r="M387" s="678">
        <f t="shared" si="170"/>
        <v>1.0158775743375004</v>
      </c>
      <c r="N387" s="679">
        <f t="shared" si="171"/>
        <v>-0.17703276963253275</v>
      </c>
      <c r="O387" s="677">
        <f t="shared" si="172"/>
        <v>1389150.0662958901</v>
      </c>
      <c r="P387" s="680">
        <f t="shared" si="173"/>
        <v>1.5707956069302655</v>
      </c>
      <c r="Q387" s="689">
        <f t="shared" si="195"/>
        <v>55.575000231238874</v>
      </c>
      <c r="R387" s="690">
        <f t="shared" si="196"/>
        <v>1.5528016535439382</v>
      </c>
      <c r="S387" s="677">
        <f t="shared" si="174"/>
        <v>1.0314034073294851</v>
      </c>
      <c r="T387" s="680">
        <f t="shared" si="175"/>
        <v>0.24739859521232194</v>
      </c>
      <c r="U387" s="681">
        <f t="shared" si="187"/>
        <v>0.88608830486805512</v>
      </c>
      <c r="V387" s="682">
        <f t="shared" si="188"/>
        <v>-0.60241420093291076</v>
      </c>
      <c r="W387" s="683">
        <f t="shared" si="176"/>
        <v>-29.97445006445006</v>
      </c>
      <c r="X387" s="684">
        <f t="shared" si="177"/>
        <v>-147.00574935154484</v>
      </c>
      <c r="Y387" s="687">
        <f t="shared" si="178"/>
        <v>32.994250648455164</v>
      </c>
      <c r="AA387" s="170">
        <f t="shared" si="179"/>
        <v>33498.5</v>
      </c>
      <c r="AB387" s="170">
        <f t="shared" si="180"/>
        <v>1122149502.25</v>
      </c>
      <c r="AD387" s="686">
        <f t="shared" si="181"/>
        <v>16.879485049910951</v>
      </c>
      <c r="AE387" s="687">
        <f t="shared" si="182"/>
        <v>-15.205872966298434</v>
      </c>
      <c r="AG387" s="686">
        <f t="shared" si="183"/>
        <v>-3.7686548414470886</v>
      </c>
      <c r="AH387" s="687">
        <f t="shared" si="184"/>
        <v>-62.768293841962844</v>
      </c>
      <c r="AJ387" s="170">
        <f t="shared" si="185"/>
        <v>0</v>
      </c>
      <c r="AK387" s="170">
        <f t="shared" si="197"/>
        <v>0</v>
      </c>
      <c r="AM387" s="170" t="str">
        <f t="shared" si="189"/>
        <v>0.388762887698087+0.791447529874735i</v>
      </c>
      <c r="AN387" s="170" t="str">
        <f t="shared" si="190"/>
        <v>0.913173576731549i</v>
      </c>
      <c r="AO387" s="170" t="str">
        <f t="shared" si="191"/>
        <v>0.866699990058299-0.425727263254326i</v>
      </c>
      <c r="AP387" s="170" t="str">
        <f t="shared" si="192"/>
        <v>0.101872852050319-0.131907921645789i</v>
      </c>
      <c r="AQ387" s="170" t="str">
        <f t="shared" si="193"/>
        <v>0.898127147949681+0.131907921645789i</v>
      </c>
      <c r="AR387" s="170" t="str">
        <f t="shared" si="194"/>
        <v>0.907901449640915-0.133343473198342i</v>
      </c>
    </row>
    <row r="388" spans="7:44">
      <c r="G388" s="688">
        <v>33691.25</v>
      </c>
      <c r="H388" s="676">
        <f t="shared" si="186"/>
        <v>33.691249999999997</v>
      </c>
      <c r="I388" s="677">
        <f t="shared" si="166"/>
        <v>277.1018764572587</v>
      </c>
      <c r="J388" s="678">
        <f t="shared" si="167"/>
        <v>1.5671875379142588</v>
      </c>
      <c r="K388" s="678">
        <f t="shared" si="168"/>
        <v>1.0010838621650253</v>
      </c>
      <c r="L388" s="679">
        <f t="shared" si="169"/>
        <v>4.6537814845228898E-2</v>
      </c>
      <c r="M388" s="678">
        <f t="shared" si="170"/>
        <v>1.0160593705254173</v>
      </c>
      <c r="N388" s="679">
        <f t="shared" si="171"/>
        <v>-0.17803008564867673</v>
      </c>
      <c r="O388" s="677">
        <f t="shared" si="172"/>
        <v>1397143.220475283</v>
      </c>
      <c r="P388" s="680">
        <f t="shared" si="173"/>
        <v>1.5707956110486614</v>
      </c>
      <c r="Q388" s="689">
        <f t="shared" si="195"/>
        <v>55.894674930895448</v>
      </c>
      <c r="R388" s="690">
        <f t="shared" si="196"/>
        <v>1.5529045802973791</v>
      </c>
      <c r="S388" s="677">
        <f t="shared" si="174"/>
        <v>1.0317602575414271</v>
      </c>
      <c r="T388" s="680">
        <f t="shared" si="175"/>
        <v>0.24876427310311836</v>
      </c>
      <c r="U388" s="681">
        <f t="shared" si="187"/>
        <v>0.88498243639712926</v>
      </c>
      <c r="V388" s="682">
        <f t="shared" si="188"/>
        <v>-0.6055112513224673</v>
      </c>
      <c r="W388" s="683">
        <f t="shared" si="176"/>
        <v>-30.036490973804774</v>
      </c>
      <c r="X388" s="684">
        <f t="shared" si="177"/>
        <v>-147.2986465960262</v>
      </c>
      <c r="Y388" s="687">
        <f t="shared" si="178"/>
        <v>32.701353403973798</v>
      </c>
      <c r="AA388" s="170">
        <f t="shared" si="179"/>
        <v>33691.25</v>
      </c>
      <c r="AB388" s="170">
        <f t="shared" si="180"/>
        <v>1135100326.5625</v>
      </c>
      <c r="AD388" s="686">
        <f t="shared" si="181"/>
        <v>16.876464338125157</v>
      </c>
      <c r="AE388" s="687">
        <f t="shared" si="182"/>
        <v>-15.278223513093623</v>
      </c>
      <c r="AG388" s="686">
        <f t="shared" si="183"/>
        <v>-3.805980924789595</v>
      </c>
      <c r="AH388" s="687">
        <f t="shared" si="184"/>
        <v>-62.633944706721614</v>
      </c>
      <c r="AJ388" s="170">
        <f t="shared" si="185"/>
        <v>0</v>
      </c>
      <c r="AK388" s="170">
        <f t="shared" si="197"/>
        <v>0</v>
      </c>
      <c r="AM388" s="170" t="str">
        <f t="shared" si="189"/>
        <v>0.392929880792085+0.794648268333158i</v>
      </c>
      <c r="AN388" s="170" t="str">
        <f t="shared" si="190"/>
        <v>0.918427967433073i</v>
      </c>
      <c r="AO388" s="170" t="str">
        <f t="shared" si="191"/>
        <v>0.865226557237942-0.427828740766998i</v>
      </c>
      <c r="AP388" s="170" t="str">
        <f t="shared" si="192"/>
        <v>0.101178353201319-0.132441378055526i</v>
      </c>
      <c r="AQ388" s="170" t="str">
        <f t="shared" si="193"/>
        <v>0.898821646798681+0.132441378055526i</v>
      </c>
      <c r="AR388" s="170" t="str">
        <f t="shared" si="194"/>
        <v>0.90707453171258-0.133657440724715i</v>
      </c>
    </row>
    <row r="389" spans="7:44">
      <c r="G389" s="688">
        <v>33884</v>
      </c>
      <c r="H389" s="676">
        <f t="shared" si="186"/>
        <v>33.884</v>
      </c>
      <c r="I389" s="677">
        <f t="shared" si="166"/>
        <v>278.68717510521657</v>
      </c>
      <c r="J389" s="678">
        <f t="shared" si="167"/>
        <v>1.5672080664253225</v>
      </c>
      <c r="K389" s="678">
        <f t="shared" si="168"/>
        <v>1.0010962925332167</v>
      </c>
      <c r="L389" s="679">
        <f t="shared" si="169"/>
        <v>4.6803673392352398E-2</v>
      </c>
      <c r="M389" s="678">
        <f t="shared" si="170"/>
        <v>1.0162421769636858</v>
      </c>
      <c r="N389" s="679">
        <f t="shared" si="171"/>
        <v>-0.17902704385231558</v>
      </c>
      <c r="O389" s="677">
        <f t="shared" si="172"/>
        <v>1405136.3746546758</v>
      </c>
      <c r="P389" s="680">
        <f t="shared" si="173"/>
        <v>1.5707956151202023</v>
      </c>
      <c r="Q389" s="689">
        <f t="shared" si="195"/>
        <v>56.214350215960849</v>
      </c>
      <c r="R389" s="690">
        <f t="shared" si="196"/>
        <v>1.5530063364205768</v>
      </c>
      <c r="S389" s="677">
        <f t="shared" si="174"/>
        <v>1.032119030732032</v>
      </c>
      <c r="T389" s="680">
        <f t="shared" si="175"/>
        <v>0.25012900409570171</v>
      </c>
      <c r="U389" s="681">
        <f t="shared" si="187"/>
        <v>0.8838740910882481</v>
      </c>
      <c r="V389" s="682">
        <f t="shared" si="188"/>
        <v>-0.60860308398919161</v>
      </c>
      <c r="W389" s="683">
        <f t="shared" si="176"/>
        <v>-30.098291399587257</v>
      </c>
      <c r="X389" s="684">
        <f t="shared" si="177"/>
        <v>-147.5912240438189</v>
      </c>
      <c r="Y389" s="687">
        <f t="shared" si="178"/>
        <v>32.408775956181103</v>
      </c>
      <c r="AA389" s="170">
        <f t="shared" si="179"/>
        <v>33884</v>
      </c>
      <c r="AB389" s="170">
        <f t="shared" si="180"/>
        <v>1148125456</v>
      </c>
      <c r="AD389" s="686">
        <f t="shared" si="181"/>
        <v>16.873428755305618</v>
      </c>
      <c r="AE389" s="687">
        <f t="shared" si="182"/>
        <v>-15.350586876105309</v>
      </c>
      <c r="AG389" s="686">
        <f t="shared" si="183"/>
        <v>-3.8429758477073324</v>
      </c>
      <c r="AH389" s="687">
        <f t="shared" si="184"/>
        <v>-62.499860865569858</v>
      </c>
      <c r="AJ389" s="170">
        <f t="shared" si="185"/>
        <v>0</v>
      </c>
      <c r="AK389" s="170">
        <f t="shared" si="197"/>
        <v>0</v>
      </c>
      <c r="AM389" s="170" t="str">
        <f t="shared" si="189"/>
        <v>0.397113634216754+0.797827067698677i</v>
      </c>
      <c r="AN389" s="170" t="str">
        <f t="shared" si="190"/>
        <v>0.923682358134597i</v>
      </c>
      <c r="AO389" s="170" t="str">
        <f t="shared" si="191"/>
        <v>0.863746135965952-0.429924454786315i</v>
      </c>
      <c r="AP389" s="170" t="str">
        <f t="shared" si="192"/>
        <v>0.100481060963874-0.13297117794978i</v>
      </c>
      <c r="AQ389" s="170" t="str">
        <f t="shared" si="193"/>
        <v>0.899518939036126+0.13297117794978i</v>
      </c>
      <c r="AR389" s="170" t="str">
        <f t="shared" si="194"/>
        <v>0.906247082908409-0.133965764252845i</v>
      </c>
    </row>
    <row r="390" spans="7:44">
      <c r="G390" s="688">
        <v>34081.5</v>
      </c>
      <c r="H390" s="676">
        <f t="shared" si="186"/>
        <v>34.081499999999998</v>
      </c>
      <c r="I390" s="677">
        <f t="shared" si="166"/>
        <v>280.31154089605377</v>
      </c>
      <c r="J390" s="678">
        <f t="shared" si="167"/>
        <v>1.5672288599758599</v>
      </c>
      <c r="K390" s="678">
        <f t="shared" si="168"/>
        <v>1.0011091026204224</v>
      </c>
      <c r="L390" s="679">
        <f t="shared" si="169"/>
        <v>4.7076076708844242E-2</v>
      </c>
      <c r="M390" s="678">
        <f t="shared" si="170"/>
        <v>1.016430535690509</v>
      </c>
      <c r="N390" s="679">
        <f t="shared" si="171"/>
        <v>-0.18004819739860792</v>
      </c>
      <c r="O390" s="677">
        <f t="shared" si="172"/>
        <v>1413326.5066932237</v>
      </c>
      <c r="P390" s="680">
        <f t="shared" si="173"/>
        <v>1.5707956192443093</v>
      </c>
      <c r="Q390" s="689">
        <f t="shared" si="195"/>
        <v>56.541903958330529</v>
      </c>
      <c r="R390" s="690">
        <f t="shared" si="196"/>
        <v>1.5531094066569182</v>
      </c>
      <c r="S390" s="677">
        <f t="shared" si="174"/>
        <v>1.0324886378342775</v>
      </c>
      <c r="T390" s="680">
        <f t="shared" si="175"/>
        <v>0.25152638012237605</v>
      </c>
      <c r="U390" s="681">
        <f t="shared" si="187"/>
        <v>0.8827359084028209</v>
      </c>
      <c r="V390" s="682">
        <f t="shared" si="188"/>
        <v>-0.61176569413757742</v>
      </c>
      <c r="W390" s="683">
        <f t="shared" si="176"/>
        <v>-30.16136838884286</v>
      </c>
      <c r="X390" s="684">
        <f t="shared" si="177"/>
        <v>-147.89067836415208</v>
      </c>
      <c r="Y390" s="687">
        <f t="shared" si="178"/>
        <v>32.10932163584792</v>
      </c>
      <c r="AA390" s="170">
        <f t="shared" si="179"/>
        <v>34081.5</v>
      </c>
      <c r="AB390" s="170">
        <f t="shared" si="180"/>
        <v>1161548642.25</v>
      </c>
      <c r="AD390" s="686">
        <f t="shared" si="181"/>
        <v>16.870302968480768</v>
      </c>
      <c r="AE390" s="687">
        <f t="shared" si="182"/>
        <v>-15.424745371669399</v>
      </c>
      <c r="AG390" s="686">
        <f t="shared" si="183"/>
        <v>-3.8805426403038745</v>
      </c>
      <c r="AH390" s="687">
        <f t="shared" si="184"/>
        <v>-62.362748262429342</v>
      </c>
      <c r="AJ390" s="170">
        <f t="shared" si="185"/>
        <v>0</v>
      </c>
      <c r="AK390" s="170">
        <f t="shared" si="197"/>
        <v>0</v>
      </c>
      <c r="AM390" s="170" t="str">
        <f t="shared" si="189"/>
        <v>0.401417753383218+0.801061354725845i</v>
      </c>
      <c r="AN390" s="170" t="str">
        <f t="shared" si="190"/>
        <v>0.929066234469492i</v>
      </c>
      <c r="AO390" s="170" t="str">
        <f t="shared" si="191"/>
        <v>0.862222008512946-0.4320658081094i</v>
      </c>
      <c r="AP390" s="170" t="str">
        <f t="shared" si="192"/>
        <v>0.0997637077694637-0.133510225787641i</v>
      </c>
      <c r="AQ390" s="170" t="str">
        <f t="shared" si="193"/>
        <v>0.900236292230536+0.133510225787641i</v>
      </c>
      <c r="AR390" s="170" t="str">
        <f t="shared" si="194"/>
        <v>0.905398736441219-0.134275845989951i</v>
      </c>
    </row>
    <row r="391" spans="7:44">
      <c r="G391" s="688">
        <v>34279</v>
      </c>
      <c r="H391" s="676">
        <f t="shared" si="186"/>
        <v>34.279000000000003</v>
      </c>
      <c r="I391" s="677">
        <f t="shared" si="166"/>
        <v>281.93590680669325</v>
      </c>
      <c r="J391" s="678">
        <f t="shared" si="167"/>
        <v>1.5672494139234763</v>
      </c>
      <c r="K391" s="678">
        <f t="shared" si="168"/>
        <v>1.0011219869915899</v>
      </c>
      <c r="L391" s="679">
        <f t="shared" si="169"/>
        <v>4.7348473033924511E-2</v>
      </c>
      <c r="M391" s="678">
        <f t="shared" si="170"/>
        <v>1.0166199539115184</v>
      </c>
      <c r="N391" s="679">
        <f t="shared" si="171"/>
        <v>-0.18106897148313328</v>
      </c>
      <c r="O391" s="677">
        <f t="shared" si="172"/>
        <v>1421516.6387317718</v>
      </c>
      <c r="P391" s="680">
        <f t="shared" si="173"/>
        <v>1.5707956233208937</v>
      </c>
      <c r="Q391" s="689">
        <f t="shared" si="195"/>
        <v>56.869458294452208</v>
      </c>
      <c r="R391" s="690">
        <f t="shared" si="196"/>
        <v>1.5532112895750267</v>
      </c>
      <c r="S391" s="677">
        <f t="shared" si="174"/>
        <v>1.0328602595903285</v>
      </c>
      <c r="T391" s="680">
        <f t="shared" si="175"/>
        <v>0.25292275332596686</v>
      </c>
      <c r="U391" s="681">
        <f t="shared" si="187"/>
        <v>0.88159521668682439</v>
      </c>
      <c r="V391" s="682">
        <f t="shared" si="188"/>
        <v>-0.61492281968487461</v>
      </c>
      <c r="W391" s="683">
        <f t="shared" si="176"/>
        <v>-30.224199020388781</v>
      </c>
      <c r="X391" s="684">
        <f t="shared" si="177"/>
        <v>-148.18979393884527</v>
      </c>
      <c r="Y391" s="687">
        <f t="shared" si="178"/>
        <v>31.81020606115473</v>
      </c>
      <c r="AA391" s="170">
        <f t="shared" si="179"/>
        <v>34279</v>
      </c>
      <c r="AB391" s="170">
        <f t="shared" si="180"/>
        <v>1175049841</v>
      </c>
      <c r="AD391" s="686">
        <f t="shared" si="181"/>
        <v>16.867161626051839</v>
      </c>
      <c r="AE391" s="687">
        <f t="shared" si="182"/>
        <v>-15.498914435304041</v>
      </c>
      <c r="AG391" s="686">
        <f t="shared" si="183"/>
        <v>-3.9177691987104852</v>
      </c>
      <c r="AH391" s="687">
        <f t="shared" si="184"/>
        <v>-62.225914834568343</v>
      </c>
      <c r="AJ391" s="170">
        <f t="shared" si="185"/>
        <v>0</v>
      </c>
      <c r="AK391" s="170">
        <f t="shared" si="197"/>
        <v>0</v>
      </c>
      <c r="AM391" s="170" t="str">
        <f t="shared" si="189"/>
        <v>0.405739223087229+0.804272422145028i</v>
      </c>
      <c r="AN391" s="170" t="str">
        <f t="shared" si="190"/>
        <v>0.934450110804387i</v>
      </c>
      <c r="AO391" s="170" t="str">
        <f t="shared" si="191"/>
        <v>0.860690595298555-0.434201054070145i</v>
      </c>
      <c r="AP391" s="170" t="str">
        <f t="shared" si="192"/>
        <v>0.0990434628187952-0.134045403690838i</v>
      </c>
      <c r="AQ391" s="170" t="str">
        <f t="shared" si="193"/>
        <v>0.900956537181205+0.134045403690838i</v>
      </c>
      <c r="AR391" s="170" t="str">
        <f t="shared" si="194"/>
        <v>0.904549921860699-0.134580031811176i</v>
      </c>
    </row>
    <row r="392" spans="7:44">
      <c r="G392" s="688">
        <v>34476.5</v>
      </c>
      <c r="H392" s="676">
        <f t="shared" si="186"/>
        <v>34.476500000000001</v>
      </c>
      <c r="I392" s="677">
        <f t="shared" si="166"/>
        <v>283.56027283507609</v>
      </c>
      <c r="J392" s="678">
        <f t="shared" si="167"/>
        <v>1.5672697323858273</v>
      </c>
      <c r="K392" s="678">
        <f t="shared" si="168"/>
        <v>1.0011349456438514</v>
      </c>
      <c r="L392" s="679">
        <f t="shared" si="169"/>
        <v>4.7620862327440443E-2</v>
      </c>
      <c r="M392" s="678">
        <f t="shared" si="170"/>
        <v>1.0168104310346047</v>
      </c>
      <c r="N392" s="679">
        <f t="shared" si="171"/>
        <v>-0.18208936419130289</v>
      </c>
      <c r="O392" s="677">
        <f t="shared" si="172"/>
        <v>1429706.7707703197</v>
      </c>
      <c r="P392" s="680">
        <f t="shared" si="173"/>
        <v>1.5707956273507726</v>
      </c>
      <c r="Q392" s="689">
        <f t="shared" si="195"/>
        <v>57.197013214125029</v>
      </c>
      <c r="R392" s="690">
        <f t="shared" si="196"/>
        <v>1.553312005571313</v>
      </c>
      <c r="S392" s="677">
        <f t="shared" si="174"/>
        <v>1.0332338938263623</v>
      </c>
      <c r="T392" s="680">
        <f t="shared" si="175"/>
        <v>0.25431811934601584</v>
      </c>
      <c r="U392" s="681">
        <f t="shared" si="187"/>
        <v>0.8804520618246866</v>
      </c>
      <c r="V392" s="682">
        <f t="shared" si="188"/>
        <v>-0.61807445774998049</v>
      </c>
      <c r="W392" s="683">
        <f t="shared" si="176"/>
        <v>-30.286786306766249</v>
      </c>
      <c r="X392" s="684">
        <f t="shared" si="177"/>
        <v>-148.48856931293307</v>
      </c>
      <c r="Y392" s="687">
        <f t="shared" si="178"/>
        <v>31.511430687066934</v>
      </c>
      <c r="AA392" s="170">
        <f t="shared" si="179"/>
        <v>34476.5</v>
      </c>
      <c r="AB392" s="170">
        <f t="shared" si="180"/>
        <v>1188629052.25</v>
      </c>
      <c r="AD392" s="686">
        <f t="shared" si="181"/>
        <v>16.86400475752626</v>
      </c>
      <c r="AE392" s="687">
        <f t="shared" si="182"/>
        <v>-15.57309264859197</v>
      </c>
      <c r="AG392" s="686">
        <f t="shared" si="183"/>
        <v>-3.9546592035191948</v>
      </c>
      <c r="AH392" s="687">
        <f t="shared" si="184"/>
        <v>-62.089360875588895</v>
      </c>
      <c r="AJ392" s="170">
        <f t="shared" si="185"/>
        <v>0</v>
      </c>
      <c r="AK392" s="170">
        <f t="shared" si="197"/>
        <v>0</v>
      </c>
      <c r="AM392" s="170" t="str">
        <f t="shared" si="189"/>
        <v>0.410077918066432+0.807460176880052i</v>
      </c>
      <c r="AN392" s="170" t="str">
        <f t="shared" si="190"/>
        <v>0.939833987139282i</v>
      </c>
      <c r="AO392" s="170" t="str">
        <f t="shared" si="191"/>
        <v>0.859151922498401-0.436330164345992i</v>
      </c>
      <c r="AP392" s="170" t="str">
        <f t="shared" si="192"/>
        <v>0.098320346988928-0.134576696146675i</v>
      </c>
      <c r="AQ392" s="170" t="str">
        <f t="shared" si="193"/>
        <v>0.901679653011072+0.134576696146675i</v>
      </c>
      <c r="AR392" s="170" t="str">
        <f t="shared" si="194"/>
        <v>0.903700683796025-0.134878337250521i</v>
      </c>
    </row>
    <row r="393" spans="7:44">
      <c r="G393" s="688">
        <v>34674</v>
      </c>
      <c r="H393" s="676">
        <f t="shared" si="186"/>
        <v>34.673999999999999</v>
      </c>
      <c r="I393" s="677">
        <f t="shared" si="166"/>
        <v>285.18463897919031</v>
      </c>
      <c r="J393" s="678">
        <f t="shared" si="167"/>
        <v>1.5672898193867553</v>
      </c>
      <c r="K393" s="678">
        <f t="shared" si="168"/>
        <v>1.0011479785743223</v>
      </c>
      <c r="L393" s="679">
        <f t="shared" si="169"/>
        <v>4.7893244549245512E-2</v>
      </c>
      <c r="M393" s="678">
        <f t="shared" si="170"/>
        <v>1.017001966464794</v>
      </c>
      <c r="N393" s="679">
        <f t="shared" si="171"/>
        <v>-0.18310937361313495</v>
      </c>
      <c r="O393" s="677">
        <f t="shared" si="172"/>
        <v>1437896.9028088679</v>
      </c>
      <c r="P393" s="680">
        <f t="shared" si="173"/>
        <v>1.5707956313347435</v>
      </c>
      <c r="Q393" s="689">
        <f t="shared" si="195"/>
        <v>57.524568707380467</v>
      </c>
      <c r="R393" s="690">
        <f t="shared" si="196"/>
        <v>1.5534115745777197</v>
      </c>
      <c r="S393" s="677">
        <f t="shared" si="174"/>
        <v>1.0336095383599357</v>
      </c>
      <c r="T393" s="680">
        <f t="shared" si="175"/>
        <v>0.25571247384404061</v>
      </c>
      <c r="U393" s="681">
        <f t="shared" si="187"/>
        <v>0.87930648945183132</v>
      </c>
      <c r="V393" s="682">
        <f t="shared" si="188"/>
        <v>-0.62122060573905613</v>
      </c>
      <c r="W393" s="683">
        <f t="shared" si="176"/>
        <v>-30.349133203794423</v>
      </c>
      <c r="X393" s="684">
        <f t="shared" si="177"/>
        <v>-148.78700307066788</v>
      </c>
      <c r="Y393" s="687">
        <f t="shared" si="178"/>
        <v>31.212996929332121</v>
      </c>
      <c r="AA393" s="170">
        <f t="shared" si="179"/>
        <v>34674</v>
      </c>
      <c r="AB393" s="170">
        <f t="shared" si="180"/>
        <v>1202286276</v>
      </c>
      <c r="AD393" s="686">
        <f t="shared" si="181"/>
        <v>16.860832392708367</v>
      </c>
      <c r="AE393" s="687">
        <f t="shared" si="182"/>
        <v>-15.647278620985949</v>
      </c>
      <c r="AG393" s="686">
        <f t="shared" si="183"/>
        <v>-3.9912162769845949</v>
      </c>
      <c r="AH393" s="687">
        <f t="shared" si="184"/>
        <v>-61.953086657522547</v>
      </c>
      <c r="AJ393" s="170">
        <f t="shared" si="185"/>
        <v>0</v>
      </c>
      <c r="AK393" s="170">
        <f t="shared" si="197"/>
        <v>0</v>
      </c>
      <c r="AM393" s="170" t="str">
        <f t="shared" si="189"/>
        <v>0.414433712559177+0.810624526530484i</v>
      </c>
      <c r="AN393" s="170" t="str">
        <f t="shared" si="190"/>
        <v>0.945217863474177i</v>
      </c>
      <c r="AO393" s="170" t="str">
        <f t="shared" si="191"/>
        <v>0.85760601640664-0.438453110731438i</v>
      </c>
      <c r="AP393" s="170" t="str">
        <f t="shared" si="192"/>
        <v>0.0975943812401372-0.135104087755081i</v>
      </c>
      <c r="AQ393" s="170" t="str">
        <f t="shared" si="193"/>
        <v>0.902405618759863+0.135104087755081i</v>
      </c>
      <c r="AR393" s="170" t="str">
        <f t="shared" si="194"/>
        <v>0.902851066511326-0.135170778177717i</v>
      </c>
    </row>
    <row r="394" spans="7:44">
      <c r="G394" s="688">
        <v>34875.75</v>
      </c>
      <c r="H394" s="676">
        <f t="shared" si="186"/>
        <v>34.875749999999996</v>
      </c>
      <c r="I394" s="677">
        <f t="shared" si="166"/>
        <v>286.84395995524739</v>
      </c>
      <c r="J394" s="678">
        <f t="shared" si="167"/>
        <v>1.5673101037425301</v>
      </c>
      <c r="K394" s="678">
        <f t="shared" si="168"/>
        <v>1.0011613686502372</v>
      </c>
      <c r="L394" s="679">
        <f t="shared" si="169"/>
        <v>4.817148081727899E-2</v>
      </c>
      <c r="M394" s="678">
        <f t="shared" si="170"/>
        <v>1.0171987156344537</v>
      </c>
      <c r="N394" s="679">
        <f t="shared" si="171"/>
        <v>-0.18415093487643638</v>
      </c>
      <c r="O394" s="677">
        <f t="shared" si="172"/>
        <v>1446263.2781950808</v>
      </c>
      <c r="P394" s="680">
        <f t="shared" si="173"/>
        <v>1.5707956353578567</v>
      </c>
      <c r="Q394" s="689">
        <f t="shared" si="195"/>
        <v>57.859173445248338</v>
      </c>
      <c r="R394" s="690">
        <f t="shared" si="196"/>
        <v>1.5535121221855228</v>
      </c>
      <c r="S394" s="677">
        <f t="shared" si="174"/>
        <v>1.0339953397573032</v>
      </c>
      <c r="T394" s="680">
        <f t="shared" si="175"/>
        <v>0.25713578454360353</v>
      </c>
      <c r="U394" s="681">
        <f t="shared" si="187"/>
        <v>0.87813381661171663</v>
      </c>
      <c r="V394" s="682">
        <f t="shared" si="188"/>
        <v>-0.62442878468889029</v>
      </c>
      <c r="W394" s="683">
        <f t="shared" si="176"/>
        <v>-30.412576554397369</v>
      </c>
      <c r="X394" s="684">
        <f t="shared" si="177"/>
        <v>-149.09150466632667</v>
      </c>
      <c r="Y394" s="687">
        <f t="shared" si="178"/>
        <v>30.908495333673329</v>
      </c>
      <c r="AA394" s="170">
        <f t="shared" si="179"/>
        <v>34875.75</v>
      </c>
      <c r="AB394" s="170">
        <f t="shared" si="180"/>
        <v>1216317938.0625</v>
      </c>
      <c r="AD394" s="686">
        <f t="shared" si="181"/>
        <v>16.857575793031948</v>
      </c>
      <c r="AE394" s="687">
        <f t="shared" si="182"/>
        <v>-15.72306759403347</v>
      </c>
      <c r="AG394" s="686">
        <f t="shared" si="183"/>
        <v>-4.0282199739038997</v>
      </c>
      <c r="AH394" s="687">
        <f t="shared" si="184"/>
        <v>-61.814169052217345</v>
      </c>
      <c r="AJ394" s="170">
        <f t="shared" si="185"/>
        <v>0</v>
      </c>
      <c r="AK394" s="170">
        <f t="shared" si="197"/>
        <v>0</v>
      </c>
      <c r="AM394" s="170" t="str">
        <f t="shared" si="189"/>
        <v>0.418900763457686+0.813832708417363i</v>
      </c>
      <c r="AN394" s="170" t="str">
        <f t="shared" si="190"/>
        <v>0.950717595375772i</v>
      </c>
      <c r="AO394" s="170" t="str">
        <f t="shared" si="191"/>
        <v>0.856019403002313-0.440615347286294i</v>
      </c>
      <c r="AP394" s="170" t="str">
        <f t="shared" si="192"/>
        <v>0.0968498727570523-0.135638784736227i</v>
      </c>
      <c r="AQ394" s="170" t="str">
        <f t="shared" si="193"/>
        <v>0.903150127242948+0.135638784736227i</v>
      </c>
      <c r="AR394" s="170" t="str">
        <f t="shared" si="194"/>
        <v>0.901982820422186-0.13546347381747i</v>
      </c>
    </row>
    <row r="395" spans="7:44">
      <c r="G395" s="688">
        <v>35077.5</v>
      </c>
      <c r="H395" s="676">
        <f t="shared" si="186"/>
        <v>35.077500000000001</v>
      </c>
      <c r="I395" s="677">
        <f t="shared" si="166"/>
        <v>288.50328104797023</v>
      </c>
      <c r="J395" s="678">
        <f t="shared" si="167"/>
        <v>1.567330154768146</v>
      </c>
      <c r="K395" s="678">
        <f t="shared" si="168"/>
        <v>1.0011748362294044</v>
      </c>
      <c r="L395" s="679">
        <f t="shared" si="169"/>
        <v>4.8449709621307555E-2</v>
      </c>
      <c r="M395" s="678">
        <f t="shared" si="170"/>
        <v>1.0173965678845012</v>
      </c>
      <c r="N395" s="679">
        <f t="shared" si="171"/>
        <v>-0.18519209216579616</v>
      </c>
      <c r="O395" s="677">
        <f t="shared" si="172"/>
        <v>1454629.6535812938</v>
      </c>
      <c r="P395" s="680">
        <f t="shared" si="173"/>
        <v>1.5707956393346916</v>
      </c>
      <c r="Q395" s="689">
        <f t="shared" si="195"/>
        <v>58.193778761335444</v>
      </c>
      <c r="R395" s="690">
        <f t="shared" si="196"/>
        <v>1.5536115135276269</v>
      </c>
      <c r="S395" s="677">
        <f t="shared" si="174"/>
        <v>1.03438323427122</v>
      </c>
      <c r="T395" s="680">
        <f t="shared" si="175"/>
        <v>0.25855803063734628</v>
      </c>
      <c r="U395" s="681">
        <f t="shared" si="187"/>
        <v>0.87695871655787649</v>
      </c>
      <c r="V395" s="682">
        <f t="shared" si="188"/>
        <v>-0.62763123017352429</v>
      </c>
      <c r="W395" s="683">
        <f t="shared" si="176"/>
        <v>-30.475775118313997</v>
      </c>
      <c r="X395" s="684">
        <f t="shared" si="177"/>
        <v>-149.39564692052053</v>
      </c>
      <c r="Y395" s="687">
        <f t="shared" si="178"/>
        <v>30.604353079479466</v>
      </c>
      <c r="AA395" s="170">
        <f t="shared" si="179"/>
        <v>35077.5</v>
      </c>
      <c r="AB395" s="170">
        <f t="shared" si="180"/>
        <v>1230431006.25</v>
      </c>
      <c r="AD395" s="686">
        <f t="shared" si="181"/>
        <v>16.854303086745873</v>
      </c>
      <c r="AE395" s="687">
        <f t="shared" si="182"/>
        <v>-15.79886181615365</v>
      </c>
      <c r="AG395" s="686">
        <f t="shared" si="183"/>
        <v>-4.0648837169425303</v>
      </c>
      <c r="AH395" s="687">
        <f t="shared" si="184"/>
        <v>-61.675543863091171</v>
      </c>
      <c r="AJ395" s="170">
        <f t="shared" si="185"/>
        <v>0</v>
      </c>
      <c r="AK395" s="170">
        <f t="shared" si="197"/>
        <v>0</v>
      </c>
      <c r="AM395" s="170" t="str">
        <f t="shared" si="189"/>
        <v>0.42338539085013+0.81701627432686i</v>
      </c>
      <c r="AN395" s="170" t="str">
        <f t="shared" si="190"/>
        <v>0.956217327277368i</v>
      </c>
      <c r="AO395" s="170" t="str">
        <f t="shared" si="191"/>
        <v>0.854425297492931-0.442771092692529i</v>
      </c>
      <c r="AP395" s="170" t="str">
        <f t="shared" si="192"/>
        <v>0.0961024348583117-0.136169379054477i</v>
      </c>
      <c r="AQ395" s="170" t="str">
        <f t="shared" si="193"/>
        <v>0.903897565141688+0.136169379054477i</v>
      </c>
      <c r="AR395" s="170" t="str">
        <f t="shared" si="194"/>
        <v>0.901114270818268-0.135750084352995i</v>
      </c>
    </row>
    <row r="396" spans="7:44">
      <c r="G396" s="688">
        <v>35279.25</v>
      </c>
      <c r="H396" s="676">
        <f t="shared" si="186"/>
        <v>35.279249999999998</v>
      </c>
      <c r="I396" s="677">
        <f t="shared" si="166"/>
        <v>290.16260225535746</v>
      </c>
      <c r="J396" s="678">
        <f t="shared" si="167"/>
        <v>1.5673499764665459</v>
      </c>
      <c r="K396" s="678">
        <f t="shared" si="168"/>
        <v>1.0011883813086957</v>
      </c>
      <c r="L396" s="679">
        <f t="shared" si="169"/>
        <v>4.872793091855717E-2</v>
      </c>
      <c r="M396" s="678">
        <f t="shared" si="170"/>
        <v>1.017595522571517</v>
      </c>
      <c r="N396" s="679">
        <f t="shared" si="171"/>
        <v>-0.18623284346026406</v>
      </c>
      <c r="O396" s="677">
        <f t="shared" si="172"/>
        <v>1462996.028967507</v>
      </c>
      <c r="P396" s="680">
        <f t="shared" si="173"/>
        <v>1.5707956432660419</v>
      </c>
      <c r="Q396" s="689">
        <f t="shared" si="195"/>
        <v>58.528384645724771</v>
      </c>
      <c r="R396" s="690">
        <f t="shared" si="196"/>
        <v>1.5537097684331116</v>
      </c>
      <c r="S396" s="677">
        <f t="shared" si="174"/>
        <v>1.0347732195478125</v>
      </c>
      <c r="T396" s="680">
        <f t="shared" si="175"/>
        <v>0.25997920757195569</v>
      </c>
      <c r="U396" s="681">
        <f t="shared" si="187"/>
        <v>0.8757812371153717</v>
      </c>
      <c r="V396" s="682">
        <f t="shared" si="188"/>
        <v>-0.63082794034111189</v>
      </c>
      <c r="W396" s="683">
        <f t="shared" si="176"/>
        <v>-30.538731871489734</v>
      </c>
      <c r="X396" s="684">
        <f t="shared" si="177"/>
        <v>-149.69942844619433</v>
      </c>
      <c r="Y396" s="687">
        <f t="shared" si="178"/>
        <v>30.300571553805668</v>
      </c>
      <c r="AA396" s="170">
        <f t="shared" si="179"/>
        <v>35279.25</v>
      </c>
      <c r="AB396" s="170">
        <f t="shared" si="180"/>
        <v>1244625480.5625</v>
      </c>
      <c r="AD396" s="686">
        <f t="shared" si="181"/>
        <v>16.851014306533699</v>
      </c>
      <c r="AE396" s="687">
        <f t="shared" si="182"/>
        <v>-15.874659890383784</v>
      </c>
      <c r="AG396" s="686">
        <f t="shared" si="183"/>
        <v>-4.1012111869277099</v>
      </c>
      <c r="AH396" s="687">
        <f t="shared" si="184"/>
        <v>-61.537211312257604</v>
      </c>
      <c r="AJ396" s="170">
        <f t="shared" si="185"/>
        <v>0</v>
      </c>
      <c r="AK396" s="170">
        <f t="shared" si="197"/>
        <v>0</v>
      </c>
      <c r="AM396" s="170" t="str">
        <f t="shared" si="189"/>
        <v>0.427887459090096+0.820175127965737i</v>
      </c>
      <c r="AN396" s="170" t="str">
        <f t="shared" si="190"/>
        <v>0.961717059178963i</v>
      </c>
      <c r="AO396" s="170" t="str">
        <f t="shared" si="191"/>
        <v>0.852823728286505-0.44492031726607i</v>
      </c>
      <c r="AP396" s="170" t="str">
        <f t="shared" si="192"/>
        <v>0.0953520901516507-0.136695854660956i</v>
      </c>
      <c r="AQ396" s="170" t="str">
        <f t="shared" si="193"/>
        <v>0.904647909848349+0.136695854660956i</v>
      </c>
      <c r="AR396" s="170" t="str">
        <f t="shared" si="194"/>
        <v>0.900245463693117-0.136030627744233i</v>
      </c>
    </row>
    <row r="397" spans="7:44">
      <c r="G397" s="688">
        <v>35481</v>
      </c>
      <c r="H397" s="676">
        <f t="shared" si="186"/>
        <v>35.481000000000002</v>
      </c>
      <c r="I397" s="677">
        <f t="shared" ref="I397:I460" si="198">SQRT(1+(G397/pole1)^2)</f>
        <v>291.82192357545296</v>
      </c>
      <c r="J397" s="678">
        <f t="shared" ref="J397:J460" si="199">ATAN(G397/pole1)</f>
        <v>1.5673695727496293</v>
      </c>
      <c r="K397" s="678">
        <f t="shared" ref="K397:K460" si="200">SQRT(1+(G397/Zero1)^2)</f>
        <v>1.0012020038849661</v>
      </c>
      <c r="L397" s="679">
        <f t="shared" ref="L397:L460" si="201">ATAN(G397/Zero1)</f>
        <v>4.9006144666260812E-2</v>
      </c>
      <c r="M397" s="678">
        <f t="shared" ref="M397:M460" si="202">SQRT(1+(G397/z_RHP)^2)</f>
        <v>1.0177955790490008</v>
      </c>
      <c r="N397" s="679">
        <f t="shared" ref="N397:N460" si="203">-ATAN(G397/z_RHP)</f>
        <v>-0.18727318674398363</v>
      </c>
      <c r="O397" s="677">
        <f t="shared" ref="O397:O460" si="204">SQRT(1+(G397/Pole2)^2)</f>
        <v>1471362.4043537199</v>
      </c>
      <c r="P397" s="680">
        <f t="shared" ref="P397:P460" si="205">ATAN(G397/Pole2)</f>
        <v>1.570795647152684</v>
      </c>
      <c r="Q397" s="689">
        <f t="shared" si="195"/>
        <v>58.862991088724804</v>
      </c>
      <c r="R397" s="690">
        <f t="shared" si="196"/>
        <v>1.5538069062802722</v>
      </c>
      <c r="S397" s="677">
        <f t="shared" ref="S397:S460" si="206">SQRT(1+(G397/pole4)^2)</f>
        <v>1.0351652932240762</v>
      </c>
      <c r="T397" s="680">
        <f t="shared" ref="T397:T460" si="207">ATAN(G397/pole4)</f>
        <v>0.26139931081823725</v>
      </c>
      <c r="U397" s="681">
        <f t="shared" si="187"/>
        <v>0.87460142582796652</v>
      </c>
      <c r="V397" s="682">
        <f t="shared" si="188"/>
        <v>-0.6340189136421337</v>
      </c>
      <c r="W397" s="683">
        <f t="shared" ref="W397:W460" si="208">20*LOG10(((K397*Q397*M397*U397)/(I397*O397*S397))*Adc)</f>
        <v>-30.601449733717541</v>
      </c>
      <c r="X397" s="684">
        <f t="shared" ref="X397:X460" si="209">((L397+R397+N397+V397)-(J397+P397+T397))*radconv</f>
        <v>-150.00284789589898</v>
      </c>
      <c r="Y397" s="687">
        <f t="shared" ref="Y397:Y460" si="210">IF(X397&gt;0,X397,X397+180)</f>
        <v>29.997152104101019</v>
      </c>
      <c r="AA397" s="170">
        <f t="shared" ref="AA397:AA460" si="211">IF(W397&lt;0,G397,1000000000)</f>
        <v>35481</v>
      </c>
      <c r="AB397" s="170">
        <f t="shared" ref="AB397:AB460" si="212">G397^2</f>
        <v>1258901361</v>
      </c>
      <c r="AD397" s="686">
        <f t="shared" ref="AD397:AD460" si="213">20*LOG10((Q397/(O397*S397))*Aea)</f>
        <v>16.847709485371904</v>
      </c>
      <c r="AE397" s="687">
        <f t="shared" ref="AE397:AE460" si="214">(R397-(P397+T397))*radconv</f>
        <v>-15.950460446970057</v>
      </c>
      <c r="AG397" s="686">
        <f t="shared" ref="AG397:AG460" si="215">20*LOG10((K397*M397/(I397*U397))*Acs*Am)</f>
        <v>-4.1372060065841971</v>
      </c>
      <c r="AH397" s="687">
        <f t="shared" ref="AH397:AH460" si="216">(L397+N397-(J397+V397))*radconv</f>
        <v>-61.399171599583184</v>
      </c>
      <c r="AJ397" s="170">
        <f t="shared" ref="AJ397:AJ460" si="217">SUM((W398&lt;0)*(W397&gt;0))*G397</f>
        <v>0</v>
      </c>
      <c r="AK397" s="170">
        <f t="shared" si="197"/>
        <v>0</v>
      </c>
      <c r="AM397" s="170" t="str">
        <f t="shared" si="189"/>
        <v>0.43240683200364+0.823309173788229i</v>
      </c>
      <c r="AN397" s="170" t="str">
        <f t="shared" si="190"/>
        <v>0.967216791080558i</v>
      </c>
      <c r="AO397" s="170" t="str">
        <f t="shared" si="191"/>
        <v>0.851214723917729-0.447062991452581i</v>
      </c>
      <c r="AP397" s="170" t="str">
        <f t="shared" si="192"/>
        <v>0.0945988613327267-0.137218195631371i</v>
      </c>
      <c r="AQ397" s="170" t="str">
        <f t="shared" si="193"/>
        <v>0.905401138667273+0.137218195631371i</v>
      </c>
      <c r="AR397" s="170" t="str">
        <f t="shared" si="194"/>
        <v>0.899376444636305-0.136305122288678i</v>
      </c>
    </row>
    <row r="398" spans="7:44">
      <c r="G398" s="688">
        <v>35687.75</v>
      </c>
      <c r="H398" s="676">
        <f t="shared" ref="H398:H461" si="218">G398/1000</f>
        <v>35.687750000000001</v>
      </c>
      <c r="I398" s="677">
        <f t="shared" si="198"/>
        <v>293.52236821544079</v>
      </c>
      <c r="J398" s="678">
        <f t="shared" si="199"/>
        <v>1.5673894248249403</v>
      </c>
      <c r="K398" s="678">
        <f t="shared" si="200"/>
        <v>1.0012160444699509</v>
      </c>
      <c r="L398" s="679">
        <f t="shared" si="201"/>
        <v>4.9291245549053161E-2</v>
      </c>
      <c r="M398" s="678">
        <f t="shared" si="202"/>
        <v>1.018001735963745</v>
      </c>
      <c r="N398" s="679">
        <f t="shared" si="203"/>
        <v>-0.18833888760166739</v>
      </c>
      <c r="O398" s="677">
        <f t="shared" si="204"/>
        <v>1479936.1248548329</v>
      </c>
      <c r="P398" s="680">
        <f t="shared" si="205"/>
        <v>1.5707956510900583</v>
      </c>
      <c r="Q398" s="689">
        <f t="shared" si="195"/>
        <v>59.205890702183879</v>
      </c>
      <c r="R398" s="690">
        <f t="shared" si="196"/>
        <v>1.5539053123910342</v>
      </c>
      <c r="S398" s="677">
        <f t="shared" si="206"/>
        <v>1.0355692479154051</v>
      </c>
      <c r="T398" s="680">
        <f t="shared" si="207"/>
        <v>0.26285349004821285</v>
      </c>
      <c r="U398" s="681">
        <f t="shared" ref="U398:U461" si="219">IMABS(IMPRODUCT(AO398, AR398))</f>
        <v>0.87339000529144684</v>
      </c>
      <c r="V398" s="682">
        <f t="shared" ref="V398:V461" si="220">IMARGUMENT(IMPRODUCT(AO398, AR398))</f>
        <v>-0.63728301610474736</v>
      </c>
      <c r="W398" s="683">
        <f t="shared" si="208"/>
        <v>-30.665477093507224</v>
      </c>
      <c r="X398" s="684">
        <f t="shared" si="209"/>
        <v>-150.31341001874225</v>
      </c>
      <c r="Y398" s="687">
        <f t="shared" si="210"/>
        <v>29.686589981257754</v>
      </c>
      <c r="AA398" s="170">
        <f t="shared" si="211"/>
        <v>35687.75</v>
      </c>
      <c r="AB398" s="170">
        <f t="shared" si="212"/>
        <v>1273615500.0625</v>
      </c>
      <c r="AD398" s="686">
        <f t="shared" si="213"/>
        <v>16.844306152942202</v>
      </c>
      <c r="AE398" s="687">
        <f t="shared" si="214"/>
        <v>-16.028140750361967</v>
      </c>
      <c r="AG398" s="686">
        <f t="shared" si="215"/>
        <v>-4.1737515022471054</v>
      </c>
      <c r="AH398" s="687">
        <f t="shared" si="216"/>
        <v>-61.258014828595059</v>
      </c>
      <c r="AJ398" s="170">
        <f t="shared" si="217"/>
        <v>0</v>
      </c>
      <c r="AK398" s="170">
        <f t="shared" si="197"/>
        <v>0</v>
      </c>
      <c r="AM398" s="170" t="str">
        <f t="shared" ref="AM398:AM461" si="221">IMSUB(1,IMEXP(COMPLEX(0,-2*Pi*G398*Tsw)))</f>
        <v>0.437056019490838+0.826495054315814i</v>
      </c>
      <c r="AN398" s="170" t="str">
        <f t="shared" ref="AN398:AN461" si="222">COMPLEX(0, 2*Pi*G398*Tsw)</f>
        <v>0.97285282364886i</v>
      </c>
      <c r="AO398" s="170" t="str">
        <f t="shared" ref="AO398:AO461" si="223">IMDIV(AM398, AN398)</f>
        <v>0.849558159492096-0.449251941163701i</v>
      </c>
      <c r="AP398" s="170" t="str">
        <f t="shared" ref="AP398:AP461" si="224">IMDIV(IMEXP(COMPLEX(0,-2*Pi*G398*Tsw)),6)</f>
        <v>0.093823996751527-0.137749175719302i</v>
      </c>
      <c r="AQ398" s="170" t="str">
        <f t="shared" ref="AQ398:AQ461" si="225">IMSUB(1, AP398)</f>
        <v>0.906176003248473+0.137749175719302i</v>
      </c>
      <c r="AR398" s="170" t="str">
        <f t="shared" ref="AR398:AR461" si="226">IMDIV(0.833, AQ398)</f>
        <v>0.898485715939268-0.136580163591316i</v>
      </c>
    </row>
    <row r="399" spans="7:44">
      <c r="G399" s="688">
        <v>35894.5</v>
      </c>
      <c r="H399" s="676">
        <f t="shared" si="218"/>
        <v>35.894500000000001</v>
      </c>
      <c r="I399" s="677">
        <f t="shared" si="198"/>
        <v>295.22281296977468</v>
      </c>
      <c r="J399" s="678">
        <f t="shared" si="199"/>
        <v>1.5674090482095491</v>
      </c>
      <c r="K399" s="678">
        <f t="shared" si="200"/>
        <v>1.001230166434006</v>
      </c>
      <c r="L399" s="679">
        <f t="shared" si="201"/>
        <v>4.9576338412542782E-2</v>
      </c>
      <c r="M399" s="678">
        <f t="shared" si="202"/>
        <v>1.018209048572766</v>
      </c>
      <c r="N399" s="679">
        <f t="shared" si="203"/>
        <v>-0.18940415570441402</v>
      </c>
      <c r="O399" s="677">
        <f t="shared" si="204"/>
        <v>1488509.8453559461</v>
      </c>
      <c r="P399" s="680">
        <f t="shared" si="205"/>
        <v>1.5707956549820745</v>
      </c>
      <c r="Q399" s="689">
        <f t="shared" si="195"/>
        <v>59.548790882375869</v>
      </c>
      <c r="R399" s="690">
        <f t="shared" si="196"/>
        <v>1.554002585197666</v>
      </c>
      <c r="S399" s="677">
        <f t="shared" si="206"/>
        <v>1.0359753907495568</v>
      </c>
      <c r="T399" s="680">
        <f t="shared" si="207"/>
        <v>0.26430653215868183</v>
      </c>
      <c r="U399" s="681">
        <f t="shared" si="219"/>
        <v>0.87217623607736217</v>
      </c>
      <c r="V399" s="682">
        <f t="shared" si="220"/>
        <v>-0.64054109148912575</v>
      </c>
      <c r="W399" s="683">
        <f t="shared" si="208"/>
        <v>-30.729259608134655</v>
      </c>
      <c r="X399" s="684">
        <f t="shared" si="209"/>
        <v>-150.62358915566423</v>
      </c>
      <c r="Y399" s="687">
        <f t="shared" si="210"/>
        <v>29.376410844335766</v>
      </c>
      <c r="AA399" s="170">
        <f t="shared" si="211"/>
        <v>35894.5</v>
      </c>
      <c r="AB399" s="170">
        <f t="shared" si="212"/>
        <v>1288415130.25</v>
      </c>
      <c r="AD399" s="686">
        <f t="shared" si="213"/>
        <v>16.840886045653718</v>
      </c>
      <c r="AE399" s="687">
        <f t="shared" si="214"/>
        <v>-16.105820832550087</v>
      </c>
      <c r="AG399" s="686">
        <f t="shared" si="215"/>
        <v>-4.209955176702918</v>
      </c>
      <c r="AH399" s="687">
        <f t="shared" si="216"/>
        <v>-61.117165945181661</v>
      </c>
      <c r="AJ399" s="170">
        <f t="shared" si="217"/>
        <v>0</v>
      </c>
      <c r="AK399" s="170">
        <f t="shared" si="197"/>
        <v>0</v>
      </c>
      <c r="AM399" s="170" t="str">
        <f t="shared" si="221"/>
        <v>0.441723088769182+0.829654681410632i</v>
      </c>
      <c r="AN399" s="170" t="str">
        <f t="shared" si="222"/>
        <v>0.978488856217161i</v>
      </c>
      <c r="AO399" s="170" t="str">
        <f t="shared" si="223"/>
        <v>0.847893847885072-0.451433949362371i</v>
      </c>
      <c r="AP399" s="170" t="str">
        <f t="shared" si="224"/>
        <v>0.093046151871803-0.138275780235105i</v>
      </c>
      <c r="AQ399" s="170" t="str">
        <f t="shared" si="225"/>
        <v>0.906953848128197+0.138275780235105i</v>
      </c>
      <c r="AR399" s="170" t="str">
        <f t="shared" si="226"/>
        <v>0.897594860310154-0.136848892477341i</v>
      </c>
    </row>
    <row r="400" spans="7:44">
      <c r="G400" s="688">
        <v>36101.25</v>
      </c>
      <c r="H400" s="676">
        <f t="shared" si="218"/>
        <v>36.10125</v>
      </c>
      <c r="I400" s="677">
        <f t="shared" si="198"/>
        <v>296.92325783649</v>
      </c>
      <c r="J400" s="678">
        <f t="shared" si="199"/>
        <v>1.5674284468324955</v>
      </c>
      <c r="K400" s="678">
        <f t="shared" si="200"/>
        <v>1.0012443697736877</v>
      </c>
      <c r="L400" s="679">
        <f t="shared" si="201"/>
        <v>4.9861423210726452E-2</v>
      </c>
      <c r="M400" s="678">
        <f t="shared" si="202"/>
        <v>1.018417516170292</v>
      </c>
      <c r="N400" s="679">
        <f t="shared" si="203"/>
        <v>-0.19046898889951991</v>
      </c>
      <c r="O400" s="677">
        <f t="shared" si="204"/>
        <v>1497083.5658570591</v>
      </c>
      <c r="P400" s="680">
        <f t="shared" si="205"/>
        <v>1.570795658829512</v>
      </c>
      <c r="Q400" s="689">
        <f t="shared" si="195"/>
        <v>59.891691619566565</v>
      </c>
      <c r="R400" s="690">
        <f t="shared" si="196"/>
        <v>1.5540987441639897</v>
      </c>
      <c r="S400" s="677">
        <f t="shared" si="206"/>
        <v>1.0363837191540335</v>
      </c>
      <c r="T400" s="680">
        <f t="shared" si="207"/>
        <v>0.26575843235441637</v>
      </c>
      <c r="U400" s="681">
        <f t="shared" si="219"/>
        <v>0.87096016841797774</v>
      </c>
      <c r="V400" s="682">
        <f t="shared" si="220"/>
        <v>-0.64379313909819602</v>
      </c>
      <c r="W400" s="683">
        <f t="shared" si="208"/>
        <v>-30.792800244911053</v>
      </c>
      <c r="X400" s="684">
        <f t="shared" si="209"/>
        <v>-150.93338398124152</v>
      </c>
      <c r="Y400" s="687">
        <f t="shared" si="210"/>
        <v>29.066616018758481</v>
      </c>
      <c r="AA400" s="170">
        <f t="shared" si="211"/>
        <v>36101.25</v>
      </c>
      <c r="AB400" s="170">
        <f t="shared" si="212"/>
        <v>1303300251.5625</v>
      </c>
      <c r="AD400" s="686">
        <f t="shared" si="213"/>
        <v>16.837449199907695</v>
      </c>
      <c r="AE400" s="687">
        <f t="shared" si="214"/>
        <v>-16.183499303637905</v>
      </c>
      <c r="AG400" s="686">
        <f t="shared" si="215"/>
        <v>-4.2458207470910816</v>
      </c>
      <c r="AH400" s="687">
        <f t="shared" si="216"/>
        <v>-60.976625093694658</v>
      </c>
      <c r="AJ400" s="170">
        <f t="shared" si="217"/>
        <v>0</v>
      </c>
      <c r="AK400" s="170">
        <f t="shared" si="197"/>
        <v>0</v>
      </c>
      <c r="AM400" s="170" t="str">
        <f t="shared" si="221"/>
        <v>0.446407891590247+0.832787954707826i</v>
      </c>
      <c r="AN400" s="170" t="str">
        <f t="shared" si="222"/>
        <v>0.984124888785463i</v>
      </c>
      <c r="AO400" s="170" t="str">
        <f t="shared" si="223"/>
        <v>0.846221820215922-0.453608984669793i</v>
      </c>
      <c r="AP400" s="170" t="str">
        <f t="shared" si="224"/>
        <v>0.0922653514016255-0.138797992451304i</v>
      </c>
      <c r="AQ400" s="170" t="str">
        <f t="shared" si="225"/>
        <v>0.907734648598374+0.138797992451304i</v>
      </c>
      <c r="AR400" s="170" t="str">
        <f t="shared" si="226"/>
        <v>0.896703925483866-0.137111329695901i</v>
      </c>
    </row>
    <row r="401" spans="7:44">
      <c r="G401" s="688">
        <v>36308</v>
      </c>
      <c r="H401" s="676">
        <f t="shared" si="218"/>
        <v>36.308</v>
      </c>
      <c r="I401" s="677">
        <f t="shared" si="198"/>
        <v>298.62370281366702</v>
      </c>
      <c r="J401" s="678">
        <f t="shared" si="199"/>
        <v>1.5674476245333275</v>
      </c>
      <c r="K401" s="678">
        <f t="shared" si="200"/>
        <v>1.0012586544855333</v>
      </c>
      <c r="L401" s="679">
        <f t="shared" si="201"/>
        <v>5.0146499897608804E-2</v>
      </c>
      <c r="M401" s="678">
        <f t="shared" si="202"/>
        <v>1.0186271380471992</v>
      </c>
      <c r="N401" s="679">
        <f t="shared" si="203"/>
        <v>-0.19153338503998391</v>
      </c>
      <c r="O401" s="677">
        <f t="shared" si="204"/>
        <v>1505657.2863581721</v>
      </c>
      <c r="P401" s="680">
        <f t="shared" si="205"/>
        <v>1.5707956626331321</v>
      </c>
      <c r="Q401" s="689">
        <f t="shared" si="195"/>
        <v>60.234592904243385</v>
      </c>
      <c r="R401" s="690">
        <f t="shared" si="196"/>
        <v>1.5541938083107001</v>
      </c>
      <c r="S401" s="677">
        <f t="shared" si="206"/>
        <v>1.0367942305465567</v>
      </c>
      <c r="T401" s="680">
        <f t="shared" si="207"/>
        <v>0.26720918586697995</v>
      </c>
      <c r="U401" s="681">
        <f t="shared" si="219"/>
        <v>0.86974185222535283</v>
      </c>
      <c r="V401" s="682">
        <f t="shared" si="220"/>
        <v>-0.64703915855632799</v>
      </c>
      <c r="W401" s="683">
        <f t="shared" si="208"/>
        <v>-30.856101914864698</v>
      </c>
      <c r="X401" s="684">
        <f t="shared" si="209"/>
        <v>-151.24279321059004</v>
      </c>
      <c r="Y401" s="687">
        <f t="shared" si="210"/>
        <v>28.757206789409963</v>
      </c>
      <c r="AA401" s="170">
        <f t="shared" si="211"/>
        <v>36308</v>
      </c>
      <c r="AB401" s="170">
        <f t="shared" si="212"/>
        <v>1318270864</v>
      </c>
      <c r="AD401" s="686">
        <f t="shared" si="213"/>
        <v>16.833995652398343</v>
      </c>
      <c r="AE401" s="687">
        <f t="shared" si="214"/>
        <v>-16.261174800652199</v>
      </c>
      <c r="AG401" s="686">
        <f t="shared" si="215"/>
        <v>-4.28135187191985</v>
      </c>
      <c r="AH401" s="687">
        <f t="shared" si="216"/>
        <v>-60.836392395267232</v>
      </c>
      <c r="AJ401" s="170">
        <f t="shared" si="217"/>
        <v>0</v>
      </c>
      <c r="AK401" s="170">
        <f t="shared" si="197"/>
        <v>0</v>
      </c>
      <c r="AM401" s="170" t="str">
        <f t="shared" si="221"/>
        <v>0.451110279142306+0.835894774679662i</v>
      </c>
      <c r="AN401" s="170" t="str">
        <f t="shared" si="222"/>
        <v>0.989760921353764i</v>
      </c>
      <c r="AO401" s="170" t="str">
        <f t="shared" si="223"/>
        <v>0.844542107740879-0.455777015852769i</v>
      </c>
      <c r="AP401" s="170" t="str">
        <f t="shared" si="224"/>
        <v>0.091481620142949-0.139315795779944i</v>
      </c>
      <c r="AQ401" s="170" t="str">
        <f t="shared" si="225"/>
        <v>0.908518379857051+0.139315795779944i</v>
      </c>
      <c r="AR401" s="170" t="str">
        <f t="shared" si="226"/>
        <v>0.895812958744448-0.137367496337394i</v>
      </c>
    </row>
    <row r="402" spans="7:44">
      <c r="G402" s="688">
        <v>36519.5</v>
      </c>
      <c r="H402" s="676">
        <f t="shared" si="218"/>
        <v>36.519500000000001</v>
      </c>
      <c r="I402" s="677">
        <f t="shared" si="198"/>
        <v>300.36321495828389</v>
      </c>
      <c r="J402" s="678">
        <f t="shared" si="199"/>
        <v>1.5674670181526118</v>
      </c>
      <c r="K402" s="678">
        <f t="shared" si="200"/>
        <v>1.0012733515772676</v>
      </c>
      <c r="L402" s="679">
        <f t="shared" si="201"/>
        <v>5.0438117668419179E-2</v>
      </c>
      <c r="M402" s="678">
        <f t="shared" si="202"/>
        <v>1.0188427695241646</v>
      </c>
      <c r="N402" s="679">
        <f t="shared" si="203"/>
        <v>-0.19262178079918685</v>
      </c>
      <c r="O402" s="677">
        <f t="shared" si="204"/>
        <v>1514427.9847184403</v>
      </c>
      <c r="P402" s="680">
        <f t="shared" si="205"/>
        <v>1.5707956664795761</v>
      </c>
      <c r="Q402" s="689">
        <f t="shared" si="195"/>
        <v>60.585372767985589</v>
      </c>
      <c r="R402" s="690">
        <f t="shared" si="196"/>
        <v>1.5542899430611439</v>
      </c>
      <c r="S402" s="677">
        <f t="shared" si="206"/>
        <v>1.0372164293685184</v>
      </c>
      <c r="T402" s="680">
        <f t="shared" si="207"/>
        <v>0.26869207842500709</v>
      </c>
      <c r="U402" s="681">
        <f t="shared" si="219"/>
        <v>0.86849327078418315</v>
      </c>
      <c r="V402" s="682">
        <f t="shared" si="220"/>
        <v>-0.65035351649462292</v>
      </c>
      <c r="W402" s="683">
        <f t="shared" si="208"/>
        <v>-30.920613628229212</v>
      </c>
      <c r="X402" s="684">
        <f t="shared" si="209"/>
        <v>-151.55891071105589</v>
      </c>
      <c r="Y402" s="687">
        <f t="shared" si="210"/>
        <v>28.441089288944113</v>
      </c>
      <c r="AA402" s="170">
        <f t="shared" si="211"/>
        <v>36519.5</v>
      </c>
      <c r="AB402" s="170">
        <f t="shared" si="212"/>
        <v>1333673880.25</v>
      </c>
      <c r="AD402" s="686">
        <f t="shared" si="213"/>
        <v>16.830445517805288</v>
      </c>
      <c r="AE402" s="687">
        <f t="shared" si="214"/>
        <v>-16.340630390709336</v>
      </c>
      <c r="AG402" s="686">
        <f t="shared" si="215"/>
        <v>-4.3173570053317949</v>
      </c>
      <c r="AH402" s="687">
        <f t="shared" si="216"/>
        <v>-60.693256861921981</v>
      </c>
      <c r="AJ402" s="170">
        <f t="shared" si="217"/>
        <v>0</v>
      </c>
      <c r="AK402" s="170">
        <f t="shared" si="197"/>
        <v>0</v>
      </c>
      <c r="AM402" s="170" t="str">
        <f t="shared" si="221"/>
        <v>0.455938741831455+0.839045497789041i</v>
      </c>
      <c r="AN402" s="170" t="str">
        <f t="shared" si="222"/>
        <v>0.995526439555437i</v>
      </c>
      <c r="AO402" s="170" t="str">
        <f t="shared" si="223"/>
        <v>0.842815885596897-0.457987576939754i</v>
      </c>
      <c r="AP402" s="170" t="str">
        <f t="shared" si="224"/>
        <v>0.0906768763614242-0.139840916298173i</v>
      </c>
      <c r="AQ402" s="170" t="str">
        <f t="shared" si="225"/>
        <v>0.909323123638576+0.139840916298173i</v>
      </c>
      <c r="AR402" s="170" t="str">
        <f t="shared" si="226"/>
        <v>0.894901538199813-0.137623082318367i</v>
      </c>
    </row>
    <row r="403" spans="7:44">
      <c r="G403" s="688">
        <v>36731</v>
      </c>
      <c r="H403" s="676">
        <f t="shared" si="218"/>
        <v>36.731000000000002</v>
      </c>
      <c r="I403" s="677">
        <f t="shared" si="198"/>
        <v>302.10272721457017</v>
      </c>
      <c r="J403" s="678">
        <f t="shared" si="199"/>
        <v>1.5674861884343734</v>
      </c>
      <c r="K403" s="678">
        <f t="shared" si="200"/>
        <v>1.0012881338157096</v>
      </c>
      <c r="L403" s="679">
        <f t="shared" si="201"/>
        <v>5.0729726853592214E-2</v>
      </c>
      <c r="M403" s="678">
        <f t="shared" si="202"/>
        <v>1.0190596074161025</v>
      </c>
      <c r="N403" s="679">
        <f t="shared" si="203"/>
        <v>-0.19370971466390455</v>
      </c>
      <c r="O403" s="677">
        <f t="shared" si="204"/>
        <v>1523198.6830787084</v>
      </c>
      <c r="P403" s="680">
        <f t="shared" si="205"/>
        <v>1.5707956702817241</v>
      </c>
      <c r="Q403" s="689">
        <f t="shared" si="195"/>
        <v>60.936153185204745</v>
      </c>
      <c r="R403" s="690">
        <f t="shared" si="196"/>
        <v>1.554384971008496</v>
      </c>
      <c r="S403" s="677">
        <f t="shared" si="206"/>
        <v>1.0376409071396728</v>
      </c>
      <c r="T403" s="680">
        <f t="shared" si="207"/>
        <v>0.27017376099668011</v>
      </c>
      <c r="U403" s="681">
        <f t="shared" si="219"/>
        <v>0.86724244093260161</v>
      </c>
      <c r="V403" s="682">
        <f t="shared" si="220"/>
        <v>-0.65366156633284966</v>
      </c>
      <c r="W403" s="683">
        <f t="shared" si="208"/>
        <v>-30.984881256292617</v>
      </c>
      <c r="X403" s="684">
        <f t="shared" si="209"/>
        <v>-151.87462210052593</v>
      </c>
      <c r="Y403" s="687">
        <f t="shared" si="210"/>
        <v>28.125377899474074</v>
      </c>
      <c r="AA403" s="170">
        <f t="shared" si="211"/>
        <v>36731</v>
      </c>
      <c r="AB403" s="170">
        <f t="shared" si="212"/>
        <v>1349166361</v>
      </c>
      <c r="AD403" s="686">
        <f t="shared" si="213"/>
        <v>16.826877983790308</v>
      </c>
      <c r="AE403" s="687">
        <f t="shared" si="214"/>
        <v>-16.420080066263033</v>
      </c>
      <c r="AG403" s="686">
        <f t="shared" si="215"/>
        <v>-4.3530197118235794</v>
      </c>
      <c r="AH403" s="687">
        <f t="shared" si="216"/>
        <v>-60.550443987106497</v>
      </c>
      <c r="AJ403" s="170">
        <f t="shared" si="217"/>
        <v>0</v>
      </c>
      <c r="AK403" s="170">
        <f t="shared" si="197"/>
        <v>0</v>
      </c>
      <c r="AM403" s="170" t="str">
        <f t="shared" si="221"/>
        <v>0.460785289719674+0.842168330096367i</v>
      </c>
      <c r="AN403" s="170" t="str">
        <f t="shared" si="222"/>
        <v>1.00129195775711i</v>
      </c>
      <c r="AO403" s="170" t="str">
        <f t="shared" si="223"/>
        <v>0.841081688085082-0.460190742719867i</v>
      </c>
      <c r="AP403" s="170" t="str">
        <f t="shared" si="224"/>
        <v>0.0898691183800543-0.140361388349395i</v>
      </c>
      <c r="AQ403" s="170" t="str">
        <f t="shared" si="225"/>
        <v>0.910130881619946+0.140361388349395i</v>
      </c>
      <c r="AR403" s="170" t="str">
        <f t="shared" si="226"/>
        <v>0.893990182910137-0.137872151992745i</v>
      </c>
    </row>
    <row r="404" spans="7:44">
      <c r="G404" s="688">
        <v>36942.5</v>
      </c>
      <c r="H404" s="676">
        <f t="shared" si="218"/>
        <v>36.942500000000003</v>
      </c>
      <c r="I404" s="677">
        <f t="shared" si="198"/>
        <v>303.8422395806079</v>
      </c>
      <c r="J404" s="678">
        <f t="shared" si="199"/>
        <v>1.5675051392144541</v>
      </c>
      <c r="K404" s="678">
        <f t="shared" si="200"/>
        <v>1.0013030011970876</v>
      </c>
      <c r="L404" s="679">
        <f t="shared" si="201"/>
        <v>5.1021327403914747E-2</v>
      </c>
      <c r="M404" s="678">
        <f t="shared" si="202"/>
        <v>1.0192776509530659</v>
      </c>
      <c r="N404" s="679">
        <f t="shared" si="203"/>
        <v>-0.19479718435439086</v>
      </c>
      <c r="O404" s="677">
        <f t="shared" si="204"/>
        <v>1531969.3814389766</v>
      </c>
      <c r="P404" s="680">
        <f t="shared" si="205"/>
        <v>1.5707956740403364</v>
      </c>
      <c r="Q404" s="689">
        <f t="shared" si="195"/>
        <v>61.286934146397243</v>
      </c>
      <c r="R404" s="690">
        <f t="shared" si="196"/>
        <v>1.5544789111556694</v>
      </c>
      <c r="S404" s="677">
        <f t="shared" si="206"/>
        <v>1.0380676610643551</v>
      </c>
      <c r="T404" s="680">
        <f t="shared" si="207"/>
        <v>0.27165422856461363</v>
      </c>
      <c r="U404" s="681">
        <f t="shared" si="219"/>
        <v>0.86598941504767468</v>
      </c>
      <c r="V404" s="682">
        <f t="shared" si="220"/>
        <v>-0.6569633086930281</v>
      </c>
      <c r="W404" s="683">
        <f t="shared" si="208"/>
        <v>-31.048907741090641</v>
      </c>
      <c r="X404" s="684">
        <f t="shared" si="209"/>
        <v>-152.18992613039853</v>
      </c>
      <c r="Y404" s="687">
        <f t="shared" si="210"/>
        <v>27.810073869601467</v>
      </c>
      <c r="AA404" s="170">
        <f t="shared" si="211"/>
        <v>36942.5</v>
      </c>
      <c r="AB404" s="170">
        <f t="shared" si="212"/>
        <v>1364748306.25</v>
      </c>
      <c r="AD404" s="686">
        <f t="shared" si="213"/>
        <v>16.823293090541704</v>
      </c>
      <c r="AE404" s="687">
        <f t="shared" si="214"/>
        <v>-16.499522451095157</v>
      </c>
      <c r="AG404" s="686">
        <f t="shared" si="215"/>
        <v>-4.3883437256902296</v>
      </c>
      <c r="AH404" s="687">
        <f t="shared" si="216"/>
        <v>-60.407953827159091</v>
      </c>
      <c r="AJ404" s="170">
        <f t="shared" si="217"/>
        <v>0</v>
      </c>
      <c r="AK404" s="170">
        <f t="shared" si="197"/>
        <v>0</v>
      </c>
      <c r="AM404" s="170" t="str">
        <f t="shared" si="221"/>
        <v>0.465649761702338+0.845263167795233i</v>
      </c>
      <c r="AN404" s="170" t="str">
        <f t="shared" si="222"/>
        <v>1.00705747595878i</v>
      </c>
      <c r="AO404" s="170" t="str">
        <f t="shared" si="223"/>
        <v>0.839339549106163-0.462386480234419i</v>
      </c>
      <c r="AP404" s="170" t="str">
        <f t="shared" si="224"/>
        <v>0.0890583730496103-0.140877194632539i</v>
      </c>
      <c r="AQ404" s="170" t="str">
        <f t="shared" si="225"/>
        <v>0.91094162695039+0.140877194632539i</v>
      </c>
      <c r="AR404" s="170" t="str">
        <f t="shared" si="226"/>
        <v>0.893078942023021-0.138114728996187i</v>
      </c>
    </row>
    <row r="405" spans="7:44">
      <c r="G405" s="688">
        <v>37154</v>
      </c>
      <c r="H405" s="676">
        <f t="shared" si="218"/>
        <v>37.154000000000003</v>
      </c>
      <c r="I405" s="677">
        <f t="shared" si="198"/>
        <v>305.58175205452278</v>
      </c>
      <c r="J405" s="678">
        <f t="shared" si="199"/>
        <v>1.5675238742413551</v>
      </c>
      <c r="K405" s="678">
        <f t="shared" si="200"/>
        <v>1.0013179537176096</v>
      </c>
      <c r="L405" s="679">
        <f t="shared" si="201"/>
        <v>5.131291927018241E-2</v>
      </c>
      <c r="M405" s="678">
        <f t="shared" si="202"/>
        <v>1.0194968993614877</v>
      </c>
      <c r="N405" s="679">
        <f t="shared" si="203"/>
        <v>-0.19588418759723605</v>
      </c>
      <c r="O405" s="677">
        <f t="shared" si="204"/>
        <v>1540740.0797992446</v>
      </c>
      <c r="P405" s="680">
        <f t="shared" si="205"/>
        <v>1.5707956777561567</v>
      </c>
      <c r="Q405" s="689">
        <f t="shared" si="195"/>
        <v>61.637715642275815</v>
      </c>
      <c r="R405" s="690">
        <f t="shared" si="196"/>
        <v>1.5545717820730705</v>
      </c>
      <c r="S405" s="677">
        <f t="shared" si="206"/>
        <v>1.0384966883365156</v>
      </c>
      <c r="T405" s="680">
        <f t="shared" si="207"/>
        <v>0.27313347614095174</v>
      </c>
      <c r="U405" s="681">
        <f t="shared" si="219"/>
        <v>0.86473424514629749</v>
      </c>
      <c r="V405" s="682">
        <f t="shared" si="220"/>
        <v>-0.6602587445356396</v>
      </c>
      <c r="W405" s="683">
        <f t="shared" si="208"/>
        <v>-31.11269596866687</v>
      </c>
      <c r="X405" s="684">
        <f t="shared" si="209"/>
        <v>-152.50482159329457</v>
      </c>
      <c r="Y405" s="687">
        <f t="shared" si="210"/>
        <v>27.495178406705435</v>
      </c>
      <c r="AA405" s="170">
        <f t="shared" si="211"/>
        <v>37154</v>
      </c>
      <c r="AB405" s="170">
        <f t="shared" si="212"/>
        <v>1380419716</v>
      </c>
      <c r="AD405" s="686">
        <f t="shared" si="213"/>
        <v>16.819690878538854</v>
      </c>
      <c r="AE405" s="687">
        <f t="shared" si="214"/>
        <v>-16.578956195459284</v>
      </c>
      <c r="AG405" s="686">
        <f t="shared" si="215"/>
        <v>-4.4233327224615797</v>
      </c>
      <c r="AH405" s="687">
        <f t="shared" si="216"/>
        <v>-60.265786414383939</v>
      </c>
      <c r="AJ405" s="170">
        <f t="shared" si="217"/>
        <v>0</v>
      </c>
      <c r="AK405" s="170">
        <f t="shared" si="197"/>
        <v>0</v>
      </c>
      <c r="AM405" s="170" t="str">
        <f t="shared" si="221"/>
        <v>0.470531996079011+0.848329908009805i</v>
      </c>
      <c r="AN405" s="170" t="str">
        <f t="shared" si="222"/>
        <v>1.01282299416045i</v>
      </c>
      <c r="AO405" s="170" t="str">
        <f t="shared" si="223"/>
        <v>0.837589502707729-0.464574756686922i</v>
      </c>
      <c r="AP405" s="170" t="str">
        <f t="shared" si="224"/>
        <v>0.0882446673201648-0.141388318001634i</v>
      </c>
      <c r="AQ405" s="170" t="str">
        <f t="shared" si="225"/>
        <v>0.911755332679835+0.141388318001634i</v>
      </c>
      <c r="AR405" s="170" t="str">
        <f t="shared" si="226"/>
        <v>0.892167864188515-0.13835083730409i</v>
      </c>
    </row>
    <row r="406" spans="7:44">
      <c r="G406" s="688">
        <v>37370.25</v>
      </c>
      <c r="H406" s="676">
        <f t="shared" si="218"/>
        <v>37.370249999999999</v>
      </c>
      <c r="I406" s="677">
        <f t="shared" si="198"/>
        <v>307.36033170308519</v>
      </c>
      <c r="J406" s="678">
        <f t="shared" si="199"/>
        <v>1.5675428107712481</v>
      </c>
      <c r="K406" s="678">
        <f t="shared" si="200"/>
        <v>1.001333330076045</v>
      </c>
      <c r="L406" s="679">
        <f t="shared" si="201"/>
        <v>5.1611050859908948E-2</v>
      </c>
      <c r="M406" s="678">
        <f t="shared" si="202"/>
        <v>1.0197223167439124</v>
      </c>
      <c r="N406" s="679">
        <f t="shared" si="203"/>
        <v>-0.19699511880201825</v>
      </c>
      <c r="O406" s="677">
        <f t="shared" si="204"/>
        <v>1549707.7560186677</v>
      </c>
      <c r="P406" s="680">
        <f t="shared" si="205"/>
        <v>1.5707956815119417</v>
      </c>
      <c r="Q406" s="689">
        <f t="shared" si="195"/>
        <v>61.996375752954009</v>
      </c>
      <c r="R406" s="690">
        <f t="shared" si="196"/>
        <v>1.5546656521285951</v>
      </c>
      <c r="S406" s="677">
        <f t="shared" si="206"/>
        <v>1.0389376985443555</v>
      </c>
      <c r="T406" s="680">
        <f t="shared" si="207"/>
        <v>0.27464467902652012</v>
      </c>
      <c r="U406" s="681">
        <f t="shared" si="219"/>
        <v>0.86344872287074437</v>
      </c>
      <c r="V406" s="682">
        <f t="shared" si="220"/>
        <v>-0.66362167213848755</v>
      </c>
      <c r="W406" s="683">
        <f t="shared" si="208"/>
        <v>-31.177673397744709</v>
      </c>
      <c r="X406" s="684">
        <f t="shared" si="209"/>
        <v>-152.82636552740473</v>
      </c>
      <c r="Y406" s="687">
        <f t="shared" si="210"/>
        <v>27.173634472595268</v>
      </c>
      <c r="AA406" s="170">
        <f t="shared" si="211"/>
        <v>37370.25</v>
      </c>
      <c r="AB406" s="170">
        <f t="shared" si="212"/>
        <v>1396535585.0625</v>
      </c>
      <c r="AD406" s="686">
        <f t="shared" si="213"/>
        <v>16.815989901702583</v>
      </c>
      <c r="AE406" s="687">
        <f t="shared" si="214"/>
        <v>-16.660163600069534</v>
      </c>
      <c r="AG406" s="686">
        <f t="shared" si="215"/>
        <v>-4.4587649050191427</v>
      </c>
      <c r="AH406" s="687">
        <f t="shared" si="216"/>
        <v>-60.120759826541018</v>
      </c>
      <c r="AJ406" s="170">
        <f t="shared" si="217"/>
        <v>0</v>
      </c>
      <c r="AK406" s="170">
        <f t="shared" si="197"/>
        <v>0</v>
      </c>
      <c r="AM406" s="170" t="str">
        <f t="shared" si="221"/>
        <v>0.475542074938931+0.851436365702474i</v>
      </c>
      <c r="AN406" s="170" t="str">
        <f t="shared" si="222"/>
        <v>1.0187179979955i</v>
      </c>
      <c r="AO406" s="170" t="str">
        <f t="shared" si="223"/>
        <v>0.835792012488068-0.466804430543723i</v>
      </c>
      <c r="AP406" s="170" t="str">
        <f t="shared" si="224"/>
        <v>0.0874096541768448-0.141906060950412i</v>
      </c>
      <c r="AQ406" s="170" t="str">
        <f t="shared" si="225"/>
        <v>0.912590345823155+0.141906060950412i</v>
      </c>
      <c r="AR406" s="170" t="str">
        <f t="shared" si="226"/>
        <v>0.89123654353765-0.138585585358577i</v>
      </c>
    </row>
    <row r="407" spans="7:44">
      <c r="G407" s="688">
        <v>37586.5</v>
      </c>
      <c r="H407" s="676">
        <f t="shared" si="218"/>
        <v>37.586500000000001</v>
      </c>
      <c r="I407" s="677">
        <f t="shared" si="198"/>
        <v>309.13891146059643</v>
      </c>
      <c r="J407" s="678">
        <f t="shared" si="199"/>
        <v>1.5675615294047425</v>
      </c>
      <c r="K407" s="678">
        <f t="shared" si="200"/>
        <v>1.0013487954326967</v>
      </c>
      <c r="L407" s="679">
        <f t="shared" si="201"/>
        <v>5.1909173267130987E-2</v>
      </c>
      <c r="M407" s="678">
        <f t="shared" si="202"/>
        <v>1.0199489920779459</v>
      </c>
      <c r="N407" s="679">
        <f t="shared" si="203"/>
        <v>-0.19810555758598672</v>
      </c>
      <c r="O407" s="677">
        <f t="shared" si="204"/>
        <v>1558675.432238091</v>
      </c>
      <c r="P407" s="680">
        <f t="shared" si="205"/>
        <v>1.5707956852245097</v>
      </c>
      <c r="Q407" s="689">
        <f t="shared" ref="Q407:Q470" si="227">SQRT(1+(G407/Zero2)^2)</f>
        <v>62.355036403634301</v>
      </c>
      <c r="R407" s="690">
        <f t="shared" ref="R407:R470" si="228">ATAN(G407/Zero2)</f>
        <v>1.5547584423204266</v>
      </c>
      <c r="S407" s="677">
        <f t="shared" si="206"/>
        <v>1.0393810793931086</v>
      </c>
      <c r="T407" s="680">
        <f t="shared" si="207"/>
        <v>0.27615459605518833</v>
      </c>
      <c r="U407" s="681">
        <f t="shared" si="219"/>
        <v>0.86216106801310888</v>
      </c>
      <c r="V407" s="682">
        <f t="shared" si="220"/>
        <v>-0.66697800987004519</v>
      </c>
      <c r="W407" s="683">
        <f t="shared" si="208"/>
        <v>-31.242407676124987</v>
      </c>
      <c r="X407" s="684">
        <f t="shared" si="209"/>
        <v>-153.14747991262476</v>
      </c>
      <c r="Y407" s="687">
        <f t="shared" si="210"/>
        <v>26.85252008737524</v>
      </c>
      <c r="AA407" s="170">
        <f t="shared" si="211"/>
        <v>37586.5</v>
      </c>
      <c r="AB407" s="170">
        <f t="shared" si="212"/>
        <v>1412744982.25</v>
      </c>
      <c r="AD407" s="686">
        <f t="shared" si="213"/>
        <v>16.812270905953582</v>
      </c>
      <c r="AE407" s="687">
        <f t="shared" si="214"/>
        <v>-16.741359199662266</v>
      </c>
      <c r="AG407" s="686">
        <f t="shared" si="215"/>
        <v>-4.4938544421653726</v>
      </c>
      <c r="AH407" s="687">
        <f t="shared" si="216"/>
        <v>-59.976070638451333</v>
      </c>
      <c r="AJ407" s="170">
        <f t="shared" si="217"/>
        <v>0</v>
      </c>
      <c r="AK407" s="170">
        <f t="shared" ref="AK407:AK470" si="229">IF(AJ407&gt;0,Y407,0)</f>
        <v>0</v>
      </c>
      <c r="AM407" s="170" t="str">
        <f t="shared" si="221"/>
        <v>0.480570379220241+0.854513235155896i</v>
      </c>
      <c r="AN407" s="170" t="str">
        <f t="shared" si="222"/>
        <v>1.02461300183054i</v>
      </c>
      <c r="AO407" s="170" t="str">
        <f t="shared" si="223"/>
        <v>0.833986328134867-0.46902623562425i</v>
      </c>
      <c r="AP407" s="170" t="str">
        <f t="shared" si="224"/>
        <v>0.0865716034632932-0.142418872525983i</v>
      </c>
      <c r="AQ407" s="170" t="str">
        <f t="shared" si="225"/>
        <v>0.913428396536707+0.142418872525983i</v>
      </c>
      <c r="AR407" s="170" t="str">
        <f t="shared" si="226"/>
        <v>0.890305494613044-0.138813622641063i</v>
      </c>
    </row>
    <row r="408" spans="7:44">
      <c r="G408" s="688">
        <v>37802.75</v>
      </c>
      <c r="H408" s="676">
        <f t="shared" si="218"/>
        <v>37.802750000000003</v>
      </c>
      <c r="I408" s="677">
        <f t="shared" si="198"/>
        <v>310.9174913251868</v>
      </c>
      <c r="J408" s="678">
        <f t="shared" si="199"/>
        <v>1.5675800338812047</v>
      </c>
      <c r="K408" s="678">
        <f t="shared" si="200"/>
        <v>1.0013643497834417</v>
      </c>
      <c r="L408" s="679">
        <f t="shared" si="201"/>
        <v>5.2207286439282775E-2</v>
      </c>
      <c r="M408" s="678">
        <f t="shared" si="202"/>
        <v>1.0201769245250667</v>
      </c>
      <c r="N408" s="679">
        <f t="shared" si="203"/>
        <v>-0.19921550153978709</v>
      </c>
      <c r="O408" s="677">
        <f t="shared" si="204"/>
        <v>1567643.1084575141</v>
      </c>
      <c r="P408" s="680">
        <f t="shared" si="205"/>
        <v>1.5707956888946024</v>
      </c>
      <c r="Q408" s="689">
        <f t="shared" si="227"/>
        <v>62.713697585051861</v>
      </c>
      <c r="R408" s="690">
        <f t="shared" si="228"/>
        <v>1.5548501711742546</v>
      </c>
      <c r="S408" s="677">
        <f t="shared" si="206"/>
        <v>1.0398268278502605</v>
      </c>
      <c r="T408" s="680">
        <f t="shared" si="207"/>
        <v>0.27766322199147203</v>
      </c>
      <c r="U408" s="681">
        <f t="shared" si="219"/>
        <v>0.86087133499276836</v>
      </c>
      <c r="V408" s="682">
        <f t="shared" si="220"/>
        <v>-0.6703277598318842</v>
      </c>
      <c r="W408" s="683">
        <f t="shared" si="208"/>
        <v>-31.306901715661706</v>
      </c>
      <c r="X408" s="684">
        <f t="shared" si="209"/>
        <v>-153.46816358720926</v>
      </c>
      <c r="Y408" s="687">
        <f t="shared" si="210"/>
        <v>26.531836412790739</v>
      </c>
      <c r="AA408" s="170">
        <f t="shared" si="211"/>
        <v>37802.75</v>
      </c>
      <c r="AB408" s="170">
        <f t="shared" si="212"/>
        <v>1429047907.5625</v>
      </c>
      <c r="AD408" s="686">
        <f t="shared" si="213"/>
        <v>16.808533935459405</v>
      </c>
      <c r="AE408" s="687">
        <f t="shared" si="214"/>
        <v>-16.822541632864965</v>
      </c>
      <c r="AG408" s="686">
        <f t="shared" si="215"/>
        <v>-4.5286050803365807</v>
      </c>
      <c r="AH408" s="687">
        <f t="shared" si="216"/>
        <v>-59.831718808919561</v>
      </c>
      <c r="AJ408" s="170">
        <f t="shared" si="217"/>
        <v>0</v>
      </c>
      <c r="AK408" s="170">
        <f t="shared" si="229"/>
        <v>0</v>
      </c>
      <c r="AM408" s="170" t="str">
        <f t="shared" si="221"/>
        <v>0.485616734184502+0.857560409445878i</v>
      </c>
      <c r="AN408" s="170" t="str">
        <f t="shared" si="222"/>
        <v>1.03050800566558i</v>
      </c>
      <c r="AO408" s="170" t="str">
        <f t="shared" si="223"/>
        <v>0.832172486512611-0.47124013740277i</v>
      </c>
      <c r="AP408" s="170" t="str">
        <f t="shared" si="224"/>
        <v>0.085730544302583-0.142926734907646i</v>
      </c>
      <c r="AQ408" s="170" t="str">
        <f t="shared" si="225"/>
        <v>0.914269455697417+0.142926734907646i</v>
      </c>
      <c r="AR408" s="170" t="str">
        <f t="shared" si="226"/>
        <v>0.889374767799757-0.13903497582548i</v>
      </c>
    </row>
    <row r="409" spans="7:44">
      <c r="G409" s="688">
        <v>38019</v>
      </c>
      <c r="H409" s="676">
        <f t="shared" si="218"/>
        <v>38.018999999999998</v>
      </c>
      <c r="I409" s="677">
        <f t="shared" si="198"/>
        <v>312.69607129502901</v>
      </c>
      <c r="J409" s="678">
        <f t="shared" si="199"/>
        <v>1.5675983278549246</v>
      </c>
      <c r="K409" s="678">
        <f t="shared" si="200"/>
        <v>1.0013799931241325</v>
      </c>
      <c r="L409" s="679">
        <f t="shared" si="201"/>
        <v>5.2505390323808396E-2</v>
      </c>
      <c r="M409" s="678">
        <f t="shared" si="202"/>
        <v>1.0204061132428552</v>
      </c>
      <c r="N409" s="679">
        <f t="shared" si="203"/>
        <v>-0.20032494826108876</v>
      </c>
      <c r="O409" s="677">
        <f t="shared" si="204"/>
        <v>1576610.7846769372</v>
      </c>
      <c r="P409" s="680">
        <f t="shared" si="205"/>
        <v>1.5707956925229445</v>
      </c>
      <c r="Q409" s="689">
        <f t="shared" si="227"/>
        <v>63.072359288152562</v>
      </c>
      <c r="R409" s="690">
        <f t="shared" si="228"/>
        <v>1.5549408567944545</v>
      </c>
      <c r="S409" s="677">
        <f t="shared" si="206"/>
        <v>1.0402749408723142</v>
      </c>
      <c r="T409" s="680">
        <f t="shared" si="207"/>
        <v>0.27917055163234417</v>
      </c>
      <c r="U409" s="681">
        <f t="shared" si="219"/>
        <v>0.85957957782666938</v>
      </c>
      <c r="V409" s="682">
        <f t="shared" si="220"/>
        <v>-0.67367092448021282</v>
      </c>
      <c r="W409" s="683">
        <f t="shared" si="208"/>
        <v>-31.371158372638355</v>
      </c>
      <c r="X409" s="684">
        <f t="shared" si="209"/>
        <v>-153.78841543125753</v>
      </c>
      <c r="Y409" s="687">
        <f t="shared" si="210"/>
        <v>26.211584568742467</v>
      </c>
      <c r="AA409" s="170">
        <f t="shared" si="211"/>
        <v>38019</v>
      </c>
      <c r="AB409" s="170">
        <f t="shared" si="212"/>
        <v>1445444361</v>
      </c>
      <c r="AD409" s="686">
        <f t="shared" si="213"/>
        <v>16.804779034676255</v>
      </c>
      <c r="AE409" s="687">
        <f t="shared" si="214"/>
        <v>-16.903709564303362</v>
      </c>
      <c r="AG409" s="686">
        <f t="shared" si="215"/>
        <v>-4.5630205071644436</v>
      </c>
      <c r="AH409" s="687">
        <f t="shared" si="216"/>
        <v>-59.687704271958538</v>
      </c>
      <c r="AJ409" s="170">
        <f t="shared" si="217"/>
        <v>0</v>
      </c>
      <c r="AK409" s="170">
        <f t="shared" si="229"/>
        <v>0</v>
      </c>
      <c r="AM409" s="170" t="str">
        <f t="shared" si="221"/>
        <v>0.490680964465993+0.860577782680165i</v>
      </c>
      <c r="AN409" s="170" t="str">
        <f t="shared" si="222"/>
        <v>1.03640300950063i</v>
      </c>
      <c r="AO409" s="170" t="str">
        <f t="shared" si="223"/>
        <v>0.830350524642742-0.473446101533821i</v>
      </c>
      <c r="AP409" s="170" t="str">
        <f t="shared" si="224"/>
        <v>0.0848865059223345-0.143429630446694i</v>
      </c>
      <c r="AQ409" s="170" t="str">
        <f t="shared" si="225"/>
        <v>0.915113494077666+0.143429630446694i</v>
      </c>
      <c r="AR409" s="170" t="str">
        <f t="shared" si="226"/>
        <v>0.888444412937124-0.139249671920133i</v>
      </c>
    </row>
    <row r="410" spans="7:44">
      <c r="G410" s="688">
        <v>38240.5</v>
      </c>
      <c r="H410" s="676">
        <f t="shared" si="218"/>
        <v>38.240499999999997</v>
      </c>
      <c r="I410" s="677">
        <f t="shared" si="198"/>
        <v>314.51783077023271</v>
      </c>
      <c r="J410" s="678">
        <f t="shared" si="199"/>
        <v>1.5676168514615048</v>
      </c>
      <c r="K410" s="678">
        <f t="shared" si="200"/>
        <v>1.0013961084978351</v>
      </c>
      <c r="L410" s="679">
        <f t="shared" si="201"/>
        <v>5.2810721728968051E-2</v>
      </c>
      <c r="M410" s="678">
        <f t="shared" si="202"/>
        <v>1.020642167584779</v>
      </c>
      <c r="N410" s="679">
        <f t="shared" si="203"/>
        <v>-0.20146081153746101</v>
      </c>
      <c r="O410" s="677">
        <f t="shared" si="204"/>
        <v>1585796.1732670052</v>
      </c>
      <c r="P410" s="680">
        <f t="shared" si="205"/>
        <v>1.5707956961968306</v>
      </c>
      <c r="Q410" s="689">
        <f t="shared" si="227"/>
        <v>63.439728916788766</v>
      </c>
      <c r="R410" s="690">
        <f t="shared" si="228"/>
        <v>1.5550326809896959</v>
      </c>
      <c r="S410" s="677">
        <f t="shared" si="206"/>
        <v>1.0407363811167913</v>
      </c>
      <c r="T410" s="680">
        <f t="shared" si="207"/>
        <v>0.28071312611615123</v>
      </c>
      <c r="U410" s="681">
        <f t="shared" si="219"/>
        <v>0.85825441765600541</v>
      </c>
      <c r="V410" s="682">
        <f t="shared" si="220"/>
        <v>-0.67708842853294338</v>
      </c>
      <c r="W410" s="683">
        <f t="shared" si="208"/>
        <v>-31.436731848806794</v>
      </c>
      <c r="X410" s="684">
        <f t="shared" si="209"/>
        <v>-154.11599336493254</v>
      </c>
      <c r="Y410" s="687">
        <f t="shared" si="210"/>
        <v>25.884006635067465</v>
      </c>
      <c r="AA410" s="170">
        <f t="shared" si="211"/>
        <v>38240.5</v>
      </c>
      <c r="AB410" s="170">
        <f t="shared" si="212"/>
        <v>1462335840.25</v>
      </c>
      <c r="AD410" s="686">
        <f t="shared" si="213"/>
        <v>16.800914432683832</v>
      </c>
      <c r="AE410" s="687">
        <f t="shared" si="214"/>
        <v>-16.986831643558709</v>
      </c>
      <c r="AG410" s="686">
        <f t="shared" si="215"/>
        <v>-4.5979277292400269</v>
      </c>
      <c r="AH410" s="687">
        <f t="shared" si="216"/>
        <v>-59.54054300855006</v>
      </c>
      <c r="AJ410" s="170">
        <f t="shared" si="217"/>
        <v>0</v>
      </c>
      <c r="AK410" s="170">
        <f t="shared" si="229"/>
        <v>0</v>
      </c>
      <c r="AM410" s="170" t="str">
        <f t="shared" si="221"/>
        <v>0.495886488986567+0.863637405404438i</v>
      </c>
      <c r="AN410" s="170" t="str">
        <f t="shared" si="222"/>
        <v>1.04244112903571i</v>
      </c>
      <c r="AO410" s="170" t="str">
        <f t="shared" si="223"/>
        <v>0.828475950678701-0.475697356113795i</v>
      </c>
      <c r="AP410" s="170" t="str">
        <f t="shared" si="224"/>
        <v>0.0840189185022388-0.143939567567406i</v>
      </c>
      <c r="AQ410" s="170" t="str">
        <f t="shared" si="225"/>
        <v>0.915981081497761+0.143939567567406i</v>
      </c>
      <c r="AR410" s="170" t="str">
        <f t="shared" si="226"/>
        <v>0.887491908543109-0.139462707380796i</v>
      </c>
    </row>
    <row r="411" spans="7:44">
      <c r="G411" s="688">
        <v>38462</v>
      </c>
      <c r="H411" s="676">
        <f t="shared" si="218"/>
        <v>38.462000000000003</v>
      </c>
      <c r="I411" s="677">
        <f t="shared" si="198"/>
        <v>316.33959035211211</v>
      </c>
      <c r="J411" s="678">
        <f t="shared" si="199"/>
        <v>1.5676351617178887</v>
      </c>
      <c r="K411" s="678">
        <f t="shared" si="200"/>
        <v>1.0014123172259506</v>
      </c>
      <c r="L411" s="679">
        <f t="shared" si="201"/>
        <v>5.3116043278483252E-2</v>
      </c>
      <c r="M411" s="678">
        <f t="shared" si="202"/>
        <v>1.020879538134351</v>
      </c>
      <c r="N411" s="679">
        <f t="shared" si="203"/>
        <v>-0.20259614806590714</v>
      </c>
      <c r="O411" s="677">
        <f t="shared" si="204"/>
        <v>1594981.5618570738</v>
      </c>
      <c r="P411" s="680">
        <f t="shared" si="205"/>
        <v>1.5707956998284012</v>
      </c>
      <c r="Q411" s="689">
        <f t="shared" si="227"/>
        <v>63.80709907416923</v>
      </c>
      <c r="R411" s="690">
        <f t="shared" si="228"/>
        <v>1.5551234478278293</v>
      </c>
      <c r="S411" s="677">
        <f t="shared" si="206"/>
        <v>1.041200295632509</v>
      </c>
      <c r="T411" s="680">
        <f t="shared" si="207"/>
        <v>0.28225432965358199</v>
      </c>
      <c r="U411" s="681">
        <f t="shared" si="219"/>
        <v>0.85692724728099012</v>
      </c>
      <c r="V411" s="682">
        <f t="shared" si="220"/>
        <v>-0.68049902998158907</v>
      </c>
      <c r="W411" s="683">
        <f t="shared" si="208"/>
        <v>-31.50206216944596</v>
      </c>
      <c r="X411" s="684">
        <f t="shared" si="209"/>
        <v>-154.44311599894718</v>
      </c>
      <c r="Y411" s="687">
        <f t="shared" si="210"/>
        <v>25.556884001052822</v>
      </c>
      <c r="AA411" s="170">
        <f t="shared" si="211"/>
        <v>38462</v>
      </c>
      <c r="AB411" s="170">
        <f t="shared" si="212"/>
        <v>1479325444</v>
      </c>
      <c r="AD411" s="686">
        <f t="shared" si="213"/>
        <v>16.797031114543675</v>
      </c>
      <c r="AE411" s="687">
        <f t="shared" si="214"/>
        <v>-17.069935753047961</v>
      </c>
      <c r="AG411" s="686">
        <f t="shared" si="215"/>
        <v>-4.6324909142528501</v>
      </c>
      <c r="AH411" s="687">
        <f t="shared" si="216"/>
        <v>-59.393735395411703</v>
      </c>
      <c r="AJ411" s="170">
        <f t="shared" si="217"/>
        <v>0</v>
      </c>
      <c r="AK411" s="170">
        <f t="shared" si="229"/>
        <v>0</v>
      </c>
      <c r="AM411" s="170" t="str">
        <f t="shared" si="221"/>
        <v>0.501110392869103+0.86666554096536i</v>
      </c>
      <c r="AN411" s="170" t="str">
        <f t="shared" si="222"/>
        <v>1.0484792485708i</v>
      </c>
      <c r="AO411" s="170" t="str">
        <f t="shared" si="223"/>
        <v>0.826592936528526-0.477940210597563i</v>
      </c>
      <c r="AP411" s="170" t="str">
        <f t="shared" si="224"/>
        <v>0.0831482678551495-0.14444425682756i</v>
      </c>
      <c r="AQ411" s="170" t="str">
        <f t="shared" si="225"/>
        <v>0.91685173214485+0.14444425682756i</v>
      </c>
      <c r="AR411" s="170" t="str">
        <f t="shared" si="226"/>
        <v>0.886539898470405-0.139668816988511i</v>
      </c>
    </row>
    <row r="412" spans="7:44">
      <c r="G412" s="688">
        <v>38683.5</v>
      </c>
      <c r="H412" s="676">
        <f t="shared" si="218"/>
        <v>38.683500000000002</v>
      </c>
      <c r="I412" s="677">
        <f t="shared" si="198"/>
        <v>318.16135003883466</v>
      </c>
      <c r="J412" s="678">
        <f t="shared" si="199"/>
        <v>1.5676532622889294</v>
      </c>
      <c r="K412" s="678">
        <f t="shared" si="200"/>
        <v>1.0014286193039454</v>
      </c>
      <c r="L412" s="679">
        <f t="shared" si="201"/>
        <v>5.3421354915909061E-2</v>
      </c>
      <c r="M412" s="678">
        <f t="shared" si="202"/>
        <v>1.0211182239736696</v>
      </c>
      <c r="N412" s="679">
        <f t="shared" si="203"/>
        <v>-0.20373095528792506</v>
      </c>
      <c r="O412" s="677">
        <f t="shared" si="204"/>
        <v>1604166.9504471419</v>
      </c>
      <c r="P412" s="680">
        <f t="shared" si="205"/>
        <v>1.5707957034183835</v>
      </c>
      <c r="Q412" s="689">
        <f t="shared" si="227"/>
        <v>64.174469751213465</v>
      </c>
      <c r="R412" s="690">
        <f t="shared" si="228"/>
        <v>1.5552131754660623</v>
      </c>
      <c r="S412" s="677">
        <f t="shared" si="206"/>
        <v>1.0416666811136579</v>
      </c>
      <c r="T412" s="680">
        <f t="shared" si="207"/>
        <v>0.28379415675956332</v>
      </c>
      <c r="U412" s="681">
        <f t="shared" si="219"/>
        <v>0.85559812342364472</v>
      </c>
      <c r="V412" s="682">
        <f t="shared" si="220"/>
        <v>-0.68390273259731715</v>
      </c>
      <c r="W412" s="683">
        <f t="shared" si="208"/>
        <v>-31.567152231187819</v>
      </c>
      <c r="X412" s="684">
        <f t="shared" si="209"/>
        <v>-154.76978226143558</v>
      </c>
      <c r="Y412" s="687">
        <f t="shared" si="210"/>
        <v>25.23021773856442</v>
      </c>
      <c r="AA412" s="170">
        <f t="shared" si="211"/>
        <v>38683.5</v>
      </c>
      <c r="AB412" s="170">
        <f t="shared" si="212"/>
        <v>1496413172.25</v>
      </c>
      <c r="AD412" s="686">
        <f t="shared" si="213"/>
        <v>16.793129128926299</v>
      </c>
      <c r="AE412" s="687">
        <f t="shared" si="214"/>
        <v>-17.153020538209887</v>
      </c>
      <c r="AG412" s="686">
        <f t="shared" si="215"/>
        <v>-4.6667138413507079</v>
      </c>
      <c r="AH412" s="687">
        <f t="shared" si="216"/>
        <v>-59.247281283094757</v>
      </c>
      <c r="AJ412" s="170">
        <f t="shared" si="217"/>
        <v>0</v>
      </c>
      <c r="AK412" s="170">
        <f t="shared" si="229"/>
        <v>0</v>
      </c>
      <c r="AM412" s="170" t="str">
        <f t="shared" si="221"/>
        <v>0.506352485656439+0.869662078960802i</v>
      </c>
      <c r="AN412" s="170" t="str">
        <f t="shared" si="222"/>
        <v>1.05451736810588i</v>
      </c>
      <c r="AO412" s="170" t="str">
        <f t="shared" si="223"/>
        <v>0.824701522482162-0.480174628670126i</v>
      </c>
      <c r="AP412" s="170" t="str">
        <f t="shared" si="224"/>
        <v>0.0822745857239268-0.1449436798268i</v>
      </c>
      <c r="AQ412" s="170" t="str">
        <f t="shared" si="225"/>
        <v>0.917725414276073+0.1449436798268i</v>
      </c>
      <c r="AR412" s="170" t="str">
        <f t="shared" si="226"/>
        <v>0.885588434496102-0.139868030797833i</v>
      </c>
    </row>
    <row r="413" spans="7:44">
      <c r="G413" s="688">
        <v>38905</v>
      </c>
      <c r="H413" s="676">
        <f t="shared" si="218"/>
        <v>38.905000000000001</v>
      </c>
      <c r="I413" s="677">
        <f t="shared" si="198"/>
        <v>319.98310982860966</v>
      </c>
      <c r="J413" s="678">
        <f t="shared" si="199"/>
        <v>1.5676711567560193</v>
      </c>
      <c r="K413" s="678">
        <f t="shared" si="200"/>
        <v>1.0014450147272611</v>
      </c>
      <c r="L413" s="679">
        <f t="shared" si="201"/>
        <v>5.3726656584811558E-2</v>
      </c>
      <c r="M413" s="678">
        <f t="shared" si="202"/>
        <v>1.0213582241806061</v>
      </c>
      <c r="N413" s="679">
        <f t="shared" si="203"/>
        <v>-0.20486523065285059</v>
      </c>
      <c r="O413" s="677">
        <f t="shared" si="204"/>
        <v>1613352.33903721</v>
      </c>
      <c r="P413" s="680">
        <f t="shared" si="205"/>
        <v>1.5707957069674876</v>
      </c>
      <c r="Q413" s="689">
        <f t="shared" si="227"/>
        <v>64.541840939047731</v>
      </c>
      <c r="R413" s="690">
        <f t="shared" si="228"/>
        <v>1.5553018816482682</v>
      </c>
      <c r="S413" s="677">
        <f t="shared" si="206"/>
        <v>1.0421355342427552</v>
      </c>
      <c r="T413" s="680">
        <f t="shared" si="207"/>
        <v>0.28533260198492361</v>
      </c>
      <c r="U413" s="681">
        <f t="shared" si="219"/>
        <v>0.85426710235513226</v>
      </c>
      <c r="V413" s="682">
        <f t="shared" si="220"/>
        <v>-0.6872995405244543</v>
      </c>
      <c r="W413" s="683">
        <f t="shared" si="208"/>
        <v>-31.632004875143881</v>
      </c>
      <c r="X413" s="684">
        <f t="shared" si="209"/>
        <v>-155.09599112331702</v>
      </c>
      <c r="Y413" s="687">
        <f t="shared" si="210"/>
        <v>24.90400887668298</v>
      </c>
      <c r="AA413" s="170">
        <f t="shared" si="211"/>
        <v>38905</v>
      </c>
      <c r="AB413" s="170">
        <f t="shared" si="212"/>
        <v>1513599025</v>
      </c>
      <c r="AD413" s="686">
        <f t="shared" si="213"/>
        <v>16.789208524790439</v>
      </c>
      <c r="AE413" s="687">
        <f t="shared" si="214"/>
        <v>-17.236084670221562</v>
      </c>
      <c r="AG413" s="686">
        <f t="shared" si="215"/>
        <v>-4.7006002303957768</v>
      </c>
      <c r="AH413" s="687">
        <f t="shared" si="216"/>
        <v>-59.101180496436641</v>
      </c>
      <c r="AJ413" s="170">
        <f t="shared" si="217"/>
        <v>0</v>
      </c>
      <c r="AK413" s="170">
        <f t="shared" si="229"/>
        <v>0</v>
      </c>
      <c r="AM413" s="170" t="str">
        <f t="shared" si="221"/>
        <v>0.511612576228303+0.872626910140665i</v>
      </c>
      <c r="AN413" s="170" t="str">
        <f t="shared" si="222"/>
        <v>1.06055548764097i</v>
      </c>
      <c r="AO413" s="170" t="str">
        <f t="shared" si="223"/>
        <v>0.822801748998234-0.482400574218234i</v>
      </c>
      <c r="AP413" s="170" t="str">
        <f t="shared" si="224"/>
        <v>0.0813979039619495-0.145437818356777i</v>
      </c>
      <c r="AQ413" s="170" t="str">
        <f t="shared" si="225"/>
        <v>0.918602096038051+0.145437818356777i</v>
      </c>
      <c r="AR413" s="170" t="str">
        <f t="shared" si="226"/>
        <v>0.884637567796887-0.140060379191096i</v>
      </c>
    </row>
    <row r="414" spans="7:44">
      <c r="G414" s="688">
        <v>39131.5</v>
      </c>
      <c r="H414" s="676">
        <f t="shared" si="218"/>
        <v>39.131500000000003</v>
      </c>
      <c r="I414" s="677">
        <f t="shared" si="198"/>
        <v>321.84599296894839</v>
      </c>
      <c r="J414" s="678">
        <f t="shared" si="199"/>
        <v>1.5676892456727449</v>
      </c>
      <c r="K414" s="678">
        <f t="shared" si="200"/>
        <v>1.0014618767754289</v>
      </c>
      <c r="L414" s="679">
        <f t="shared" si="201"/>
        <v>5.403883957185799E-2</v>
      </c>
      <c r="M414" s="678">
        <f t="shared" si="202"/>
        <v>1.0216050002413033</v>
      </c>
      <c r="N414" s="679">
        <f t="shared" si="203"/>
        <v>-0.20602455777723003</v>
      </c>
      <c r="O414" s="677">
        <f t="shared" si="204"/>
        <v>1622745.0727421781</v>
      </c>
      <c r="P414" s="680">
        <f t="shared" si="205"/>
        <v>1.5707957105551578</v>
      </c>
      <c r="Q414" s="689">
        <f t="shared" si="227"/>
        <v>64.917505449399613</v>
      </c>
      <c r="R414" s="690">
        <f t="shared" si="228"/>
        <v>1.5553915519910395</v>
      </c>
      <c r="S414" s="677">
        <f t="shared" si="206"/>
        <v>1.0426175193266591</v>
      </c>
      <c r="T414" s="680">
        <f t="shared" si="207"/>
        <v>0.28690434043042878</v>
      </c>
      <c r="U414" s="681">
        <f t="shared" si="219"/>
        <v>0.85290413188465131</v>
      </c>
      <c r="V414" s="682">
        <f t="shared" si="220"/>
        <v>-0.6907659006360819</v>
      </c>
      <c r="W414" s="683">
        <f t="shared" si="208"/>
        <v>-31.698078847517817</v>
      </c>
      <c r="X414" s="684">
        <f t="shared" si="209"/>
        <v>-155.42908958345512</v>
      </c>
      <c r="Y414" s="687">
        <f t="shared" si="210"/>
        <v>24.570910416544876</v>
      </c>
      <c r="AA414" s="170">
        <f t="shared" si="211"/>
        <v>39131.5</v>
      </c>
      <c r="AB414" s="170">
        <f t="shared" si="212"/>
        <v>1531274292.25</v>
      </c>
      <c r="AD414" s="686">
        <f t="shared" si="213"/>
        <v>16.785180217051202</v>
      </c>
      <c r="AE414" s="687">
        <f t="shared" si="214"/>
        <v>-17.321001123114563</v>
      </c>
      <c r="AG414" s="686">
        <f t="shared" si="215"/>
        <v>-4.7349073451663486</v>
      </c>
      <c r="AH414" s="687">
        <f t="shared" si="216"/>
        <v>-58.952146893890358</v>
      </c>
      <c r="AJ414" s="170">
        <f t="shared" si="217"/>
        <v>0</v>
      </c>
      <c r="AK414" s="170">
        <f t="shared" si="229"/>
        <v>0</v>
      </c>
      <c r="AM414" s="170" t="str">
        <f t="shared" si="221"/>
        <v>0.517009816697126+0.875625766428248i</v>
      </c>
      <c r="AN414" s="170" t="str">
        <f t="shared" si="222"/>
        <v>1.06672990784276i</v>
      </c>
      <c r="AO414" s="170" t="str">
        <f t="shared" si="223"/>
        <v>0.82085048894806-0.484667967867022i</v>
      </c>
      <c r="AP414" s="170" t="str">
        <f t="shared" si="224"/>
        <v>0.0804983638838123-0.145937627738041i</v>
      </c>
      <c r="AQ414" s="170" t="str">
        <f t="shared" si="225"/>
        <v>0.919501636116188+0.145937627738041i</v>
      </c>
      <c r="AR414" s="170" t="str">
        <f t="shared" si="226"/>
        <v>0.883665907181303-0.140250001894209i</v>
      </c>
    </row>
    <row r="415" spans="7:44">
      <c r="G415" s="688">
        <v>39358</v>
      </c>
      <c r="H415" s="676">
        <f t="shared" si="218"/>
        <v>39.357999999999997</v>
      </c>
      <c r="I415" s="677">
        <f t="shared" si="198"/>
        <v>323.70887621338596</v>
      </c>
      <c r="J415" s="678">
        <f t="shared" si="199"/>
        <v>1.5677071263928999</v>
      </c>
      <c r="K415" s="678">
        <f t="shared" si="200"/>
        <v>1.0014788364209939</v>
      </c>
      <c r="L415" s="679">
        <f t="shared" si="201"/>
        <v>5.4351012015938019E-2</v>
      </c>
      <c r="M415" s="678">
        <f t="shared" si="202"/>
        <v>1.0218531487150846</v>
      </c>
      <c r="N415" s="679">
        <f t="shared" si="203"/>
        <v>-0.207183323392654</v>
      </c>
      <c r="O415" s="677">
        <f t="shared" si="204"/>
        <v>1632137.8064471462</v>
      </c>
      <c r="P415" s="680">
        <f t="shared" si="205"/>
        <v>1.5707957141015345</v>
      </c>
      <c r="Q415" s="689">
        <f t="shared" si="227"/>
        <v>65.293170475731728</v>
      </c>
      <c r="R415" s="690">
        <f t="shared" si="228"/>
        <v>1.5554801904957676</v>
      </c>
      <c r="S415" s="677">
        <f t="shared" si="206"/>
        <v>1.0431020776690352</v>
      </c>
      <c r="T415" s="680">
        <f t="shared" si="207"/>
        <v>0.28847462249429684</v>
      </c>
      <c r="U415" s="681">
        <f t="shared" si="219"/>
        <v>0.85153929514225624</v>
      </c>
      <c r="V415" s="682">
        <f t="shared" si="220"/>
        <v>-0.69422506121356864</v>
      </c>
      <c r="W415" s="683">
        <f t="shared" si="208"/>
        <v>-31.76391039919762</v>
      </c>
      <c r="X415" s="684">
        <f t="shared" si="209"/>
        <v>-155.76170771693924</v>
      </c>
      <c r="Y415" s="687">
        <f t="shared" si="210"/>
        <v>24.238292283060758</v>
      </c>
      <c r="AA415" s="170">
        <f t="shared" si="211"/>
        <v>39358</v>
      </c>
      <c r="AB415" s="170">
        <f t="shared" si="212"/>
        <v>1549052164</v>
      </c>
      <c r="AD415" s="686">
        <f t="shared" si="213"/>
        <v>16.78113254517752</v>
      </c>
      <c r="AE415" s="687">
        <f t="shared" si="214"/>
        <v>-17.405893249085455</v>
      </c>
      <c r="AG415" s="686">
        <f t="shared" si="215"/>
        <v>-4.7688702397423874</v>
      </c>
      <c r="AH415" s="687">
        <f t="shared" si="216"/>
        <v>-58.803482297454593</v>
      </c>
      <c r="AJ415" s="170">
        <f t="shared" si="217"/>
        <v>0</v>
      </c>
      <c r="AK415" s="170">
        <f t="shared" si="229"/>
        <v>0</v>
      </c>
      <c r="AM415" s="170" t="str">
        <f t="shared" si="221"/>
        <v>0.522425470366717+0.878591240933774i</v>
      </c>
      <c r="AN415" s="170" t="str">
        <f t="shared" si="222"/>
        <v>1.07290432804455i</v>
      </c>
      <c r="AO415" s="170" t="str">
        <f t="shared" si="223"/>
        <v>0.818890573901471-0.486926426439977i</v>
      </c>
      <c r="AP415" s="170" t="str">
        <f t="shared" si="224"/>
        <v>0.0795957549388805-0.146431873488962i</v>
      </c>
      <c r="AQ415" s="170" t="str">
        <f t="shared" si="225"/>
        <v>0.92040424506112+0.146431873488962i</v>
      </c>
      <c r="AR415" s="170" t="str">
        <f t="shared" si="226"/>
        <v>0.882694977425278-0.140432510994229i</v>
      </c>
    </row>
    <row r="416" spans="7:44">
      <c r="G416" s="688">
        <v>39584.5</v>
      </c>
      <c r="H416" s="676">
        <f t="shared" si="218"/>
        <v>39.584499999999998</v>
      </c>
      <c r="I416" s="677">
        <f t="shared" si="198"/>
        <v>325.57175956013532</v>
      </c>
      <c r="J416" s="678">
        <f t="shared" si="199"/>
        <v>1.5677248024903019</v>
      </c>
      <c r="K416" s="678">
        <f t="shared" si="200"/>
        <v>1.0014958936589977</v>
      </c>
      <c r="L416" s="679">
        <f t="shared" si="201"/>
        <v>5.4663173856745399E-2</v>
      </c>
      <c r="M416" s="678">
        <f t="shared" si="202"/>
        <v>1.0221026686023569</v>
      </c>
      <c r="N416" s="679">
        <f t="shared" si="203"/>
        <v>-0.20834152479739707</v>
      </c>
      <c r="O416" s="677">
        <f t="shared" si="204"/>
        <v>1641530.5401521146</v>
      </c>
      <c r="P416" s="680">
        <f t="shared" si="205"/>
        <v>1.5707957176073271</v>
      </c>
      <c r="Q416" s="689">
        <f t="shared" si="227"/>
        <v>65.668836009188936</v>
      </c>
      <c r="R416" s="690">
        <f t="shared" si="228"/>
        <v>1.555567814869264</v>
      </c>
      <c r="S416" s="677">
        <f t="shared" si="206"/>
        <v>1.0435892056854443</v>
      </c>
      <c r="T416" s="680">
        <f t="shared" si="207"/>
        <v>0.29004344246665892</v>
      </c>
      <c r="U416" s="681">
        <f t="shared" si="219"/>
        <v>0.85017265082338134</v>
      </c>
      <c r="V416" s="682">
        <f t="shared" si="220"/>
        <v>-0.69767702787024144</v>
      </c>
      <c r="W416" s="683">
        <f t="shared" si="208"/>
        <v>-31.829502396500573</v>
      </c>
      <c r="X416" s="684">
        <f t="shared" si="209"/>
        <v>-156.09384455717546</v>
      </c>
      <c r="Y416" s="687">
        <f t="shared" si="210"/>
        <v>23.906155442824542</v>
      </c>
      <c r="AA416" s="170">
        <f t="shared" si="211"/>
        <v>39584.5</v>
      </c>
      <c r="AB416" s="170">
        <f t="shared" si="212"/>
        <v>1566932640.25</v>
      </c>
      <c r="AD416" s="686">
        <f t="shared" si="213"/>
        <v>16.777065562409362</v>
      </c>
      <c r="AE416" s="687">
        <f t="shared" si="214"/>
        <v>-17.490759706497897</v>
      </c>
      <c r="AG416" s="686">
        <f t="shared" si="215"/>
        <v>-4.8024927075308419</v>
      </c>
      <c r="AH416" s="687">
        <f t="shared" si="216"/>
        <v>-58.655186438931914</v>
      </c>
      <c r="AJ416" s="170">
        <f t="shared" si="217"/>
        <v>0</v>
      </c>
      <c r="AK416" s="170">
        <f t="shared" si="229"/>
        <v>0</v>
      </c>
      <c r="AM416" s="170" t="str">
        <f t="shared" si="221"/>
        <v>0.527859330774249+0.88152322060344i</v>
      </c>
      <c r="AN416" s="170" t="str">
        <f t="shared" si="222"/>
        <v>1.07907874824634i</v>
      </c>
      <c r="AO416" s="170" t="str">
        <f t="shared" si="223"/>
        <v>0.816922047659676-0.489175911982418i</v>
      </c>
      <c r="AP416" s="170" t="str">
        <f t="shared" si="224"/>
        <v>0.0786901115376252-0.14692053676724i</v>
      </c>
      <c r="AQ416" s="170" t="str">
        <f t="shared" si="225"/>
        <v>0.921309888462375+0.14692053676724i</v>
      </c>
      <c r="AR416" s="170" t="str">
        <f t="shared" si="226"/>
        <v>0.881724831305905-0.140607939976277i</v>
      </c>
    </row>
    <row r="417" spans="7:44">
      <c r="G417" s="688">
        <v>39811</v>
      </c>
      <c r="H417" s="676">
        <f t="shared" si="218"/>
        <v>39.811</v>
      </c>
      <c r="I417" s="677">
        <f t="shared" si="198"/>
        <v>327.43464300745029</v>
      </c>
      <c r="J417" s="678">
        <f t="shared" si="199"/>
        <v>1.5677422774574379</v>
      </c>
      <c r="K417" s="678">
        <f t="shared" si="200"/>
        <v>1.0015130484844541</v>
      </c>
      <c r="L417" s="679">
        <f t="shared" si="201"/>
        <v>5.4975325033986208E-2</v>
      </c>
      <c r="M417" s="678">
        <f t="shared" si="202"/>
        <v>1.0223535588989809</v>
      </c>
      <c r="N417" s="679">
        <f t="shared" si="203"/>
        <v>-0.20949915929841895</v>
      </c>
      <c r="O417" s="677">
        <f t="shared" si="204"/>
        <v>1650923.2738570829</v>
      </c>
      <c r="P417" s="680">
        <f t="shared" si="205"/>
        <v>1.5707957210732282</v>
      </c>
      <c r="Q417" s="689">
        <f t="shared" si="227"/>
        <v>66.044502041117553</v>
      </c>
      <c r="R417" s="690">
        <f t="shared" si="228"/>
        <v>1.5556544424155327</v>
      </c>
      <c r="S417" s="677">
        <f t="shared" si="206"/>
        <v>1.0440788997791464</v>
      </c>
      <c r="T417" s="680">
        <f t="shared" si="207"/>
        <v>0.29161079467706214</v>
      </c>
      <c r="U417" s="681">
        <f t="shared" si="219"/>
        <v>0.84880425712382279</v>
      </c>
      <c r="V417" s="682">
        <f t="shared" si="220"/>
        <v>-0.70112180660820833</v>
      </c>
      <c r="W417" s="683">
        <f t="shared" si="208"/>
        <v>-31.894857650668513</v>
      </c>
      <c r="X417" s="684">
        <f t="shared" si="209"/>
        <v>-156.42549918101909</v>
      </c>
      <c r="Y417" s="687">
        <f t="shared" si="210"/>
        <v>23.574500818980908</v>
      </c>
      <c r="AA417" s="170">
        <f t="shared" si="211"/>
        <v>39811</v>
      </c>
      <c r="AB417" s="170">
        <f t="shared" si="212"/>
        <v>1584915721</v>
      </c>
      <c r="AD417" s="686">
        <f t="shared" si="213"/>
        <v>16.772979322272359</v>
      </c>
      <c r="AE417" s="687">
        <f t="shared" si="214"/>
        <v>-17.575599179052176</v>
      </c>
      <c r="AG417" s="686">
        <f t="shared" si="215"/>
        <v>-4.8357784825423424</v>
      </c>
      <c r="AH417" s="687">
        <f t="shared" si="216"/>
        <v>-58.507259023686345</v>
      </c>
      <c r="AJ417" s="170">
        <f t="shared" si="217"/>
        <v>0</v>
      </c>
      <c r="AK417" s="170">
        <f t="shared" si="229"/>
        <v>0</v>
      </c>
      <c r="AM417" s="170" t="str">
        <f t="shared" si="221"/>
        <v>0.533311190762795+0.884421593660376i</v>
      </c>
      <c r="AN417" s="170" t="str">
        <f t="shared" si="222"/>
        <v>1.08525316844813i</v>
      </c>
      <c r="AO417" s="170" t="str">
        <f t="shared" si="223"/>
        <v>0.814944954203695-0.491416386763846i</v>
      </c>
      <c r="AP417" s="170" t="str">
        <f t="shared" si="224"/>
        <v>0.0777814682062008-0.147403598943396i</v>
      </c>
      <c r="AQ417" s="170" t="str">
        <f t="shared" si="225"/>
        <v>0.922218531793799+0.147403598943396i</v>
      </c>
      <c r="AR417" s="170" t="str">
        <f t="shared" si="226"/>
        <v>0.880755520946734-0.140776322640459i</v>
      </c>
    </row>
    <row r="418" spans="7:44">
      <c r="G418" s="688">
        <v>40042.75</v>
      </c>
      <c r="H418" s="676">
        <f t="shared" si="218"/>
        <v>40.042749999999998</v>
      </c>
      <c r="I418" s="677">
        <f t="shared" si="198"/>
        <v>329.34070597472743</v>
      </c>
      <c r="J418" s="678">
        <f t="shared" si="199"/>
        <v>1.5677599528561317</v>
      </c>
      <c r="K418" s="678">
        <f t="shared" si="200"/>
        <v>1.0015307019396928</v>
      </c>
      <c r="L418" s="679">
        <f t="shared" si="201"/>
        <v>5.5294700403354942E-2</v>
      </c>
      <c r="M418" s="678">
        <f t="shared" si="202"/>
        <v>1.022611681905673</v>
      </c>
      <c r="N418" s="679">
        <f t="shared" si="203"/>
        <v>-0.21068303682118553</v>
      </c>
      <c r="O418" s="677">
        <f t="shared" si="204"/>
        <v>1660533.7199326961</v>
      </c>
      <c r="P418" s="680">
        <f t="shared" si="205"/>
        <v>1.5707957245788813</v>
      </c>
      <c r="Q418" s="689">
        <f t="shared" si="227"/>
        <v>66.42887607096803</v>
      </c>
      <c r="R418" s="690">
        <f t="shared" si="228"/>
        <v>1.5557420637702413</v>
      </c>
      <c r="S418" s="677">
        <f t="shared" si="206"/>
        <v>1.044582596618429</v>
      </c>
      <c r="T418" s="680">
        <f t="shared" si="207"/>
        <v>0.29321295118254775</v>
      </c>
      <c r="U418" s="681">
        <f t="shared" si="219"/>
        <v>0.8474023951906634</v>
      </c>
      <c r="V418" s="682">
        <f t="shared" si="220"/>
        <v>-0.7046389981134491</v>
      </c>
      <c r="W418" s="683">
        <f t="shared" si="208"/>
        <v>-31.961485599691688</v>
      </c>
      <c r="X418" s="684">
        <f t="shared" si="209"/>
        <v>-156.76434113383471</v>
      </c>
      <c r="Y418" s="687">
        <f t="shared" si="210"/>
        <v>23.235658866165295</v>
      </c>
      <c r="AA418" s="170">
        <f t="shared" si="211"/>
        <v>40042.75</v>
      </c>
      <c r="AB418" s="170">
        <f t="shared" si="212"/>
        <v>1603421827.5625</v>
      </c>
      <c r="AD418" s="686">
        <f t="shared" si="213"/>
        <v>16.768778491995171</v>
      </c>
      <c r="AE418" s="687">
        <f t="shared" si="214"/>
        <v>-17.662375852074206</v>
      </c>
      <c r="AG418" s="686">
        <f t="shared" si="215"/>
        <v>-4.869491126445344</v>
      </c>
      <c r="AH418" s="687">
        <f t="shared" si="216"/>
        <v>-58.356283845040302</v>
      </c>
      <c r="AJ418" s="170">
        <f t="shared" si="217"/>
        <v>0</v>
      </c>
      <c r="AK418" s="170">
        <f t="shared" si="229"/>
        <v>0</v>
      </c>
      <c r="AM418" s="170" t="str">
        <f t="shared" si="221"/>
        <v>0.538907831804906+0.887352248224541i</v>
      </c>
      <c r="AN418" s="170" t="str">
        <f t="shared" si="222"/>
        <v>1.09157070434996i</v>
      </c>
      <c r="AO418" s="170" t="str">
        <f t="shared" si="223"/>
        <v>0.812913212756994-0.493699427492267i</v>
      </c>
      <c r="AP418" s="170" t="str">
        <f t="shared" si="224"/>
        <v>0.0768486946991823-0.147892041370757i</v>
      </c>
      <c r="AQ418" s="170" t="str">
        <f t="shared" si="225"/>
        <v>0.923151305300818+0.147892041370757i</v>
      </c>
      <c r="AR418" s="170" t="str">
        <f t="shared" si="226"/>
        <v>0.879764661853718-0.14094135058933i</v>
      </c>
    </row>
    <row r="419" spans="7:44">
      <c r="G419" s="688">
        <v>40274.5</v>
      </c>
      <c r="H419" s="676">
        <f t="shared" si="218"/>
        <v>40.274500000000003</v>
      </c>
      <c r="I419" s="677">
        <f t="shared" si="198"/>
        <v>331.24676904371296</v>
      </c>
      <c r="J419" s="678">
        <f t="shared" si="199"/>
        <v>1.567777424838962</v>
      </c>
      <c r="K419" s="678">
        <f t="shared" si="200"/>
        <v>1.0015484575480835</v>
      </c>
      <c r="L419" s="679">
        <f t="shared" si="201"/>
        <v>5.5614064481424613E-2</v>
      </c>
      <c r="M419" s="678">
        <f t="shared" si="202"/>
        <v>1.0228712374455775</v>
      </c>
      <c r="N419" s="679">
        <f t="shared" si="203"/>
        <v>-0.21186631517930749</v>
      </c>
      <c r="O419" s="677">
        <f t="shared" si="204"/>
        <v>1670144.1660083095</v>
      </c>
      <c r="P419" s="680">
        <f t="shared" si="205"/>
        <v>1.5707957280441898</v>
      </c>
      <c r="Q419" s="689">
        <f t="shared" si="227"/>
        <v>66.813250604958185</v>
      </c>
      <c r="R419" s="690">
        <f t="shared" si="228"/>
        <v>1.5558286769598006</v>
      </c>
      <c r="S419" s="677">
        <f t="shared" si="206"/>
        <v>1.0450889722138468</v>
      </c>
      <c r="T419" s="680">
        <f t="shared" si="207"/>
        <v>0.2948135592117333</v>
      </c>
      <c r="U419" s="681">
        <f t="shared" si="219"/>
        <v>0.8459988234944108</v>
      </c>
      <c r="V419" s="682">
        <f t="shared" si="220"/>
        <v>-0.70814867856172103</v>
      </c>
      <c r="W419" s="683">
        <f t="shared" si="208"/>
        <v>-32.027871487009712</v>
      </c>
      <c r="X419" s="684">
        <f t="shared" si="209"/>
        <v>-157.10267643739357</v>
      </c>
      <c r="Y419" s="687">
        <f t="shared" si="210"/>
        <v>22.897323562606431</v>
      </c>
      <c r="AA419" s="170">
        <f t="shared" si="211"/>
        <v>40274.5</v>
      </c>
      <c r="AB419" s="170">
        <f t="shared" si="212"/>
        <v>1622035350.25</v>
      </c>
      <c r="AD419" s="686">
        <f t="shared" si="213"/>
        <v>16.764557615533452</v>
      </c>
      <c r="AE419" s="687">
        <f t="shared" si="214"/>
        <v>-17.749121565236038</v>
      </c>
      <c r="AG419" s="686">
        <f t="shared" si="215"/>
        <v>-4.9028590122966618</v>
      </c>
      <c r="AH419" s="687">
        <f t="shared" si="216"/>
        <v>-58.205693680726647</v>
      </c>
      <c r="AJ419" s="170">
        <f t="shared" si="217"/>
        <v>0</v>
      </c>
      <c r="AK419" s="170">
        <f t="shared" si="229"/>
        <v>0</v>
      </c>
      <c r="AM419" s="170" t="str">
        <f t="shared" si="221"/>
        <v>0.544522875555169+0.890247487560323i</v>
      </c>
      <c r="AN419" s="170" t="str">
        <f t="shared" si="222"/>
        <v>1.0978882402518i</v>
      </c>
      <c r="AO419" s="170" t="str">
        <f t="shared" si="223"/>
        <v>0.81087259606328-0.495972955708391i</v>
      </c>
      <c r="AP419" s="170" t="str">
        <f t="shared" si="224"/>
        <v>0.0759128540741385-0.148374581260054i</v>
      </c>
      <c r="AQ419" s="170" t="str">
        <f t="shared" si="225"/>
        <v>0.924087145925861+0.148374581260054i</v>
      </c>
      <c r="AR419" s="170" t="str">
        <f t="shared" si="226"/>
        <v>0.878774786024341-0.141099074338511i</v>
      </c>
    </row>
    <row r="420" spans="7:44">
      <c r="G420" s="688">
        <v>40506.25</v>
      </c>
      <c r="H420" s="676">
        <f t="shared" si="218"/>
        <v>40.506250000000001</v>
      </c>
      <c r="I420" s="677">
        <f t="shared" si="198"/>
        <v>333.15283221266122</v>
      </c>
      <c r="J420" s="678">
        <f t="shared" si="199"/>
        <v>1.5677946968973198</v>
      </c>
      <c r="K420" s="678">
        <f t="shared" si="200"/>
        <v>1.0015663153041929</v>
      </c>
      <c r="L420" s="679">
        <f t="shared" si="201"/>
        <v>5.5933417203651414E-2</v>
      </c>
      <c r="M420" s="678">
        <f t="shared" si="202"/>
        <v>1.0231322244284486</v>
      </c>
      <c r="N420" s="679">
        <f t="shared" si="203"/>
        <v>-0.21304899151652323</v>
      </c>
      <c r="O420" s="677">
        <f t="shared" si="204"/>
        <v>1679754.6120839226</v>
      </c>
      <c r="P420" s="680">
        <f t="shared" si="205"/>
        <v>1.5707957314698457</v>
      </c>
      <c r="Q420" s="689">
        <f t="shared" si="227"/>
        <v>67.197625634436946</v>
      </c>
      <c r="R420" s="690">
        <f t="shared" si="228"/>
        <v>1.5559142992832216</v>
      </c>
      <c r="S420" s="677">
        <f t="shared" si="206"/>
        <v>1.0455980226734927</v>
      </c>
      <c r="T420" s="680">
        <f t="shared" si="207"/>
        <v>0.29641261281900189</v>
      </c>
      <c r="U420" s="681">
        <f t="shared" si="219"/>
        <v>0.84459360273964468</v>
      </c>
      <c r="V420" s="682">
        <f t="shared" si="220"/>
        <v>-0.71165085561430386</v>
      </c>
      <c r="W420" s="683">
        <f t="shared" si="208"/>
        <v>-32.094018153404321</v>
      </c>
      <c r="X420" s="684">
        <f t="shared" si="209"/>
        <v>-157.44050423896357</v>
      </c>
      <c r="Y420" s="687">
        <f t="shared" si="210"/>
        <v>22.55949576103643</v>
      </c>
      <c r="AA420" s="170">
        <f t="shared" si="211"/>
        <v>40506.25</v>
      </c>
      <c r="AB420" s="170">
        <f t="shared" si="212"/>
        <v>1640756289.0625</v>
      </c>
      <c r="AD420" s="686">
        <f t="shared" si="213"/>
        <v>16.76031675110541</v>
      </c>
      <c r="AE420" s="687">
        <f t="shared" si="214"/>
        <v>-17.835834986758289</v>
      </c>
      <c r="AG420" s="686">
        <f t="shared" si="215"/>
        <v>-4.9358859549603249</v>
      </c>
      <c r="AH420" s="687">
        <f t="shared" si="216"/>
        <v>-58.055488131874689</v>
      </c>
      <c r="AJ420" s="170">
        <f t="shared" si="217"/>
        <v>0</v>
      </c>
      <c r="AK420" s="170">
        <f t="shared" si="229"/>
        <v>0</v>
      </c>
      <c r="AM420" s="170" t="str">
        <f t="shared" si="221"/>
        <v>0.55015609791084+0.893107196115449i</v>
      </c>
      <c r="AN420" s="170" t="str">
        <f t="shared" si="222"/>
        <v>1.10420577615363i</v>
      </c>
      <c r="AO420" s="170" t="str">
        <f t="shared" si="223"/>
        <v>0.808823151810057-0.49823693173137i</v>
      </c>
      <c r="AP420" s="170" t="str">
        <f t="shared" si="224"/>
        <v>0.0749739836815267-0.148851199352575i</v>
      </c>
      <c r="AQ420" s="170" t="str">
        <f t="shared" si="225"/>
        <v>0.925026016318473+0.148851199352575i</v>
      </c>
      <c r="AR420" s="170" t="str">
        <f t="shared" si="226"/>
        <v>0.877785947174942-0.141249531047613i</v>
      </c>
    </row>
    <row r="421" spans="7:44">
      <c r="G421" s="688">
        <v>40738</v>
      </c>
      <c r="H421" s="676">
        <f t="shared" si="218"/>
        <v>40.738</v>
      </c>
      <c r="I421" s="677">
        <f t="shared" si="198"/>
        <v>335.05889547986618</v>
      </c>
      <c r="J421" s="678">
        <f t="shared" si="199"/>
        <v>1.5678117724431506</v>
      </c>
      <c r="K421" s="678">
        <f t="shared" si="200"/>
        <v>1.0015842752025577</v>
      </c>
      <c r="L421" s="679">
        <f t="shared" si="201"/>
        <v>5.6252758505505374E-2</v>
      </c>
      <c r="M421" s="678">
        <f t="shared" si="202"/>
        <v>1.0233946417591426</v>
      </c>
      <c r="N421" s="679">
        <f t="shared" si="203"/>
        <v>-0.21423106298621322</v>
      </c>
      <c r="O421" s="677">
        <f t="shared" si="204"/>
        <v>1689365.058159536</v>
      </c>
      <c r="P421" s="680">
        <f t="shared" si="205"/>
        <v>1.570795734856526</v>
      </c>
      <c r="Q421" s="689">
        <f t="shared" si="227"/>
        <v>67.582001150949921</v>
      </c>
      <c r="R421" s="690">
        <f t="shared" si="228"/>
        <v>1.5559989476460181</v>
      </c>
      <c r="S421" s="677">
        <f t="shared" si="206"/>
        <v>1.0461097440924965</v>
      </c>
      <c r="T421" s="680">
        <f t="shared" si="207"/>
        <v>0.2980101061020759</v>
      </c>
      <c r="U421" s="681">
        <f t="shared" si="219"/>
        <v>0.84318679307821498</v>
      </c>
      <c r="V421" s="682">
        <f t="shared" si="220"/>
        <v>-0.71514553733719044</v>
      </c>
      <c r="W421" s="683">
        <f t="shared" si="208"/>
        <v>-32.159928384919354</v>
      </c>
      <c r="X421" s="684">
        <f t="shared" si="209"/>
        <v>-157.77782373002873</v>
      </c>
      <c r="Y421" s="687">
        <f t="shared" si="210"/>
        <v>22.222176269971271</v>
      </c>
      <c r="AA421" s="170">
        <f t="shared" si="211"/>
        <v>40738</v>
      </c>
      <c r="AB421" s="170">
        <f t="shared" si="212"/>
        <v>1659584644</v>
      </c>
      <c r="AD421" s="686">
        <f t="shared" si="213"/>
        <v>16.75605595721262</v>
      </c>
      <c r="AE421" s="687">
        <f t="shared" si="214"/>
        <v>-17.922514809889524</v>
      </c>
      <c r="AG421" s="686">
        <f t="shared" si="215"/>
        <v>-4.9685757096259584</v>
      </c>
      <c r="AH421" s="687">
        <f t="shared" si="216"/>
        <v>-57.905666772425199</v>
      </c>
      <c r="AJ421" s="170">
        <f t="shared" si="217"/>
        <v>0</v>
      </c>
      <c r="AK421" s="170">
        <f t="shared" si="229"/>
        <v>0</v>
      </c>
      <c r="AM421" s="170" t="str">
        <f t="shared" si="221"/>
        <v>0.555807274043676+0.895931259755731i</v>
      </c>
      <c r="AN421" s="170" t="str">
        <f t="shared" si="222"/>
        <v>1.11052331205546i</v>
      </c>
      <c r="AO421" s="170" t="str">
        <f t="shared" si="223"/>
        <v>0.806764927876622-0.500491316129993i</v>
      </c>
      <c r="AP421" s="170" t="str">
        <f t="shared" si="224"/>
        <v>0.0740321209927207-0.149321876625955i</v>
      </c>
      <c r="AQ421" s="170" t="str">
        <f t="shared" si="225"/>
        <v>0.925967879007279+0.149321876625955i</v>
      </c>
      <c r="AR421" s="170" t="str">
        <f t="shared" si="226"/>
        <v>0.876798198311618-0.141392758174842i</v>
      </c>
    </row>
    <row r="422" spans="7:44">
      <c r="G422" s="688">
        <v>40975.25</v>
      </c>
      <c r="H422" s="676">
        <f t="shared" si="218"/>
        <v>40.975250000000003</v>
      </c>
      <c r="I422" s="677">
        <f t="shared" si="198"/>
        <v>337.01019443705712</v>
      </c>
      <c r="J422" s="678">
        <f t="shared" si="199"/>
        <v>1.5678290531516643</v>
      </c>
      <c r="K422" s="678">
        <f t="shared" si="200"/>
        <v>1.0016027671350924</v>
      </c>
      <c r="L422" s="679">
        <f t="shared" si="201"/>
        <v>5.6579666667833178E-2</v>
      </c>
      <c r="M422" s="678">
        <f t="shared" si="202"/>
        <v>1.0236647674219814</v>
      </c>
      <c r="N422" s="679">
        <f t="shared" si="203"/>
        <v>-0.21544055839969878</v>
      </c>
      <c r="O422" s="677">
        <f t="shared" si="204"/>
        <v>1699203.5838615394</v>
      </c>
      <c r="P422" s="680">
        <f t="shared" si="205"/>
        <v>1.5707957382838968</v>
      </c>
      <c r="Q422" s="689">
        <f t="shared" si="227"/>
        <v>67.975499343888899</v>
      </c>
      <c r="R422" s="690">
        <f t="shared" si="228"/>
        <v>1.5560846132660142</v>
      </c>
      <c r="S422" s="677">
        <f t="shared" si="206"/>
        <v>1.0466363726286789</v>
      </c>
      <c r="T422" s="680">
        <f t="shared" si="207"/>
        <v>0.29964388942110082</v>
      </c>
      <c r="U422" s="681">
        <f t="shared" si="219"/>
        <v>0.84174501265262158</v>
      </c>
      <c r="V422" s="682">
        <f t="shared" si="220"/>
        <v>-0.71871540106672072</v>
      </c>
      <c r="W422" s="683">
        <f t="shared" si="208"/>
        <v>-32.227160763554544</v>
      </c>
      <c r="X422" s="684">
        <f t="shared" si="209"/>
        <v>-158.12262129848759</v>
      </c>
      <c r="Y422" s="687">
        <f t="shared" si="210"/>
        <v>21.877378701512413</v>
      </c>
      <c r="AA422" s="170">
        <f t="shared" si="211"/>
        <v>40975.25</v>
      </c>
      <c r="AB422" s="170">
        <f t="shared" si="212"/>
        <v>1678971112.5625</v>
      </c>
      <c r="AD422" s="686">
        <f t="shared" si="213"/>
        <v>16.751673460985057</v>
      </c>
      <c r="AE422" s="687">
        <f t="shared" si="214"/>
        <v>-18.011215616708622</v>
      </c>
      <c r="AG422" s="686">
        <f t="shared" si="215"/>
        <v>-5.0016958458849423</v>
      </c>
      <c r="AH422" s="687">
        <f t="shared" si="216"/>
        <v>-57.752687283319702</v>
      </c>
      <c r="AJ422" s="170">
        <f t="shared" si="217"/>
        <v>0</v>
      </c>
      <c r="AK422" s="170">
        <f t="shared" si="229"/>
        <v>0</v>
      </c>
      <c r="AM422" s="170" t="str">
        <f t="shared" si="221"/>
        <v>0.5616109290208+0.898785303866276i</v>
      </c>
      <c r="AN422" s="170" t="str">
        <f t="shared" si="222"/>
        <v>1.11699077869067i</v>
      </c>
      <c r="AO422" s="170" t="str">
        <f t="shared" si="223"/>
        <v>0.804648812696401-0.502789225958622i</v>
      </c>
      <c r="AP422" s="170" t="str">
        <f t="shared" si="224"/>
        <v>0.0730648451632-0.149797550644379i</v>
      </c>
      <c r="AQ422" s="170" t="str">
        <f t="shared" si="225"/>
        <v>0.9269351548368+0.149797550644379i</v>
      </c>
      <c r="AR422" s="170" t="str">
        <f t="shared" si="226"/>
        <v>0.875788191421259-0.141531934864714i</v>
      </c>
    </row>
    <row r="423" spans="7:44">
      <c r="G423" s="688">
        <v>41212.5</v>
      </c>
      <c r="H423" s="676">
        <f t="shared" si="218"/>
        <v>41.212499999999999</v>
      </c>
      <c r="I423" s="677">
        <f t="shared" si="198"/>
        <v>338.96149349372831</v>
      </c>
      <c r="J423" s="678">
        <f t="shared" si="199"/>
        <v>1.5678461349005322</v>
      </c>
      <c r="K423" s="678">
        <f t="shared" si="200"/>
        <v>1.0016213661039011</v>
      </c>
      <c r="L423" s="679">
        <f t="shared" si="201"/>
        <v>5.6906562724469915E-2</v>
      </c>
      <c r="M423" s="678">
        <f t="shared" si="202"/>
        <v>1.0239363897912801</v>
      </c>
      <c r="N423" s="679">
        <f t="shared" si="203"/>
        <v>-0.21664941388858952</v>
      </c>
      <c r="O423" s="677">
        <f t="shared" si="204"/>
        <v>1709042.1095635428</v>
      </c>
      <c r="P423" s="680">
        <f t="shared" si="205"/>
        <v>1.5707957416718066</v>
      </c>
      <c r="Q423" s="689">
        <f t="shared" si="227"/>
        <v>68.368998029930538</v>
      </c>
      <c r="R423" s="690">
        <f t="shared" si="228"/>
        <v>1.5561692927873738</v>
      </c>
      <c r="S423" s="677">
        <f t="shared" si="206"/>
        <v>1.0471657920825059</v>
      </c>
      <c r="T423" s="680">
        <f t="shared" si="207"/>
        <v>0.30127602509737805</v>
      </c>
      <c r="U423" s="681">
        <f t="shared" si="219"/>
        <v>0.84030169280727718</v>
      </c>
      <c r="V423" s="682">
        <f t="shared" si="220"/>
        <v>-0.72227742786314453</v>
      </c>
      <c r="W423" s="683">
        <f t="shared" si="208"/>
        <v>-32.294151090689653</v>
      </c>
      <c r="X423" s="684">
        <f t="shared" si="209"/>
        <v>-158.46688456688659</v>
      </c>
      <c r="Y423" s="687">
        <f t="shared" si="210"/>
        <v>21.533115433113409</v>
      </c>
      <c r="AA423" s="170">
        <f t="shared" si="211"/>
        <v>41212.5</v>
      </c>
      <c r="AB423" s="170">
        <f t="shared" si="212"/>
        <v>1698470156.25</v>
      </c>
      <c r="AD423" s="686">
        <f t="shared" si="213"/>
        <v>16.747270203074358</v>
      </c>
      <c r="AE423" s="687">
        <f t="shared" si="214"/>
        <v>-18.099878517581182</v>
      </c>
      <c r="AG423" s="686">
        <f t="shared" si="215"/>
        <v>-5.0344703779776854</v>
      </c>
      <c r="AH423" s="687">
        <f t="shared" si="216"/>
        <v>-57.60010944648451</v>
      </c>
      <c r="AJ423" s="170">
        <f t="shared" si="217"/>
        <v>0</v>
      </c>
      <c r="AK423" s="170">
        <f t="shared" si="229"/>
        <v>0</v>
      </c>
      <c r="AM423" s="170" t="str">
        <f t="shared" si="221"/>
        <v>0.567432920926724+0.901601753604114i</v>
      </c>
      <c r="AN423" s="170" t="str">
        <f t="shared" si="222"/>
        <v>1.12345824532588i</v>
      </c>
      <c r="AO423" s="170" t="str">
        <f t="shared" si="223"/>
        <v>0.802523598322595-0.505077000669597i</v>
      </c>
      <c r="AP423" s="170" t="str">
        <f t="shared" si="224"/>
        <v>0.0720945131788793-0.150266958934019i</v>
      </c>
      <c r="AQ423" s="170" t="str">
        <f t="shared" si="225"/>
        <v>0.927905486821121+0.150266958934019i</v>
      </c>
      <c r="AR423" s="170" t="str">
        <f t="shared" si="226"/>
        <v>0.874779437017266-0.141663615104734i</v>
      </c>
    </row>
    <row r="424" spans="7:44">
      <c r="G424" s="688">
        <v>41449.75</v>
      </c>
      <c r="H424" s="676">
        <f t="shared" si="218"/>
        <v>41.449750000000002</v>
      </c>
      <c r="I424" s="677">
        <f t="shared" si="198"/>
        <v>340.91279264817155</v>
      </c>
      <c r="J424" s="678">
        <f t="shared" si="199"/>
        <v>1.5678630211061291</v>
      </c>
      <c r="K424" s="678">
        <f t="shared" si="200"/>
        <v>1.0016400721030205</v>
      </c>
      <c r="L424" s="679">
        <f t="shared" si="201"/>
        <v>5.7233446606226979E-2</v>
      </c>
      <c r="M424" s="678">
        <f t="shared" si="202"/>
        <v>1.0242095076762503</v>
      </c>
      <c r="N424" s="679">
        <f t="shared" si="203"/>
        <v>-0.21785762643034687</v>
      </c>
      <c r="O424" s="677">
        <f t="shared" si="204"/>
        <v>1718880.6352655462</v>
      </c>
      <c r="P424" s="680">
        <f t="shared" si="205"/>
        <v>1.5707957450209331</v>
      </c>
      <c r="Q424" s="689">
        <f t="shared" si="227"/>
        <v>68.762497200609431</v>
      </c>
      <c r="R424" s="690">
        <f t="shared" si="228"/>
        <v>1.5562530031379689</v>
      </c>
      <c r="S424" s="677">
        <f t="shared" si="206"/>
        <v>1.0476979982230841</v>
      </c>
      <c r="T424" s="680">
        <f t="shared" si="207"/>
        <v>0.30290650693968146</v>
      </c>
      <c r="U424" s="681">
        <f t="shared" si="219"/>
        <v>0.83885689627336946</v>
      </c>
      <c r="V424" s="682">
        <f t="shared" si="220"/>
        <v>-0.72583162766319254</v>
      </c>
      <c r="W424" s="683">
        <f t="shared" si="208"/>
        <v>-32.360902185731987</v>
      </c>
      <c r="X424" s="684">
        <f t="shared" si="209"/>
        <v>-158.81061280649979</v>
      </c>
      <c r="Y424" s="687">
        <f t="shared" si="210"/>
        <v>21.18938719350021</v>
      </c>
      <c r="AA424" s="170">
        <f t="shared" si="211"/>
        <v>41449.75</v>
      </c>
      <c r="AB424" s="170">
        <f t="shared" si="212"/>
        <v>1718081775.0625</v>
      </c>
      <c r="AD424" s="686">
        <f t="shared" si="213"/>
        <v>16.74284624712428</v>
      </c>
      <c r="AE424" s="687">
        <f t="shared" si="214"/>
        <v>-18.188502187919308</v>
      </c>
      <c r="AG424" s="686">
        <f t="shared" si="215"/>
        <v>-5.0669031487321101</v>
      </c>
      <c r="AH424" s="687">
        <f t="shared" si="216"/>
        <v>-57.447932719116245</v>
      </c>
      <c r="AJ424" s="170">
        <f t="shared" si="217"/>
        <v>0</v>
      </c>
      <c r="AK424" s="170">
        <f t="shared" si="229"/>
        <v>0</v>
      </c>
      <c r="AM424" s="170" t="str">
        <f t="shared" si="221"/>
        <v>0.573273006239296+0.904380491162847i</v>
      </c>
      <c r="AN424" s="170" t="str">
        <f t="shared" si="222"/>
        <v>1.12992571196109i</v>
      </c>
      <c r="AO424" s="170" t="str">
        <f t="shared" si="223"/>
        <v>0.800389336740742-0.507354598776523i</v>
      </c>
      <c r="AP424" s="170" t="str">
        <f t="shared" si="224"/>
        <v>0.071121165626784-0.150730081860475i</v>
      </c>
      <c r="AQ424" s="170" t="str">
        <f t="shared" si="225"/>
        <v>0.928878834373216+0.150730081860475i</v>
      </c>
      <c r="AR424" s="170" t="str">
        <f t="shared" si="226"/>
        <v>0.873771989670133-0.141787839981562i</v>
      </c>
    </row>
    <row r="425" spans="7:44">
      <c r="G425" s="688">
        <v>41687</v>
      </c>
      <c r="H425" s="676">
        <f t="shared" si="218"/>
        <v>41.686999999999998</v>
      </c>
      <c r="I425" s="677">
        <f t="shared" si="198"/>
        <v>342.86409189871756</v>
      </c>
      <c r="J425" s="678">
        <f t="shared" si="199"/>
        <v>1.5678797151070578</v>
      </c>
      <c r="K425" s="678">
        <f t="shared" si="200"/>
        <v>1.001658885126455</v>
      </c>
      <c r="L425" s="679">
        <f t="shared" si="201"/>
        <v>5.756031824393136E-2</v>
      </c>
      <c r="M425" s="678">
        <f t="shared" si="202"/>
        <v>1.0244841198808206</v>
      </c>
      <c r="N425" s="679">
        <f t="shared" si="203"/>
        <v>-0.21906519301315516</v>
      </c>
      <c r="O425" s="677">
        <f t="shared" si="204"/>
        <v>1728719.1609675493</v>
      </c>
      <c r="P425" s="680">
        <f t="shared" si="205"/>
        <v>1.5707957483319384</v>
      </c>
      <c r="Q425" s="689">
        <f t="shared" si="227"/>
        <v>69.155996847652744</v>
      </c>
      <c r="R425" s="690">
        <f t="shared" si="228"/>
        <v>1.5563357608604464</v>
      </c>
      <c r="S425" s="677">
        <f t="shared" si="206"/>
        <v>1.0482329868058653</v>
      </c>
      <c r="T425" s="680">
        <f t="shared" si="207"/>
        <v>0.30453532880449885</v>
      </c>
      <c r="U425" s="681">
        <f t="shared" si="219"/>
        <v>0.83741068517172046</v>
      </c>
      <c r="V425" s="682">
        <f t="shared" si="220"/>
        <v>-0.72937801082428932</v>
      </c>
      <c r="W425" s="683">
        <f t="shared" si="208"/>
        <v>-32.427416813598896</v>
      </c>
      <c r="X425" s="684">
        <f t="shared" si="209"/>
        <v>-159.15380533366763</v>
      </c>
      <c r="Y425" s="687">
        <f t="shared" si="210"/>
        <v>20.846194666332366</v>
      </c>
      <c r="AA425" s="170">
        <f t="shared" si="211"/>
        <v>41687</v>
      </c>
      <c r="AB425" s="170">
        <f t="shared" si="212"/>
        <v>1737805969</v>
      </c>
      <c r="AD425" s="686">
        <f t="shared" si="213"/>
        <v>16.73840165705969</v>
      </c>
      <c r="AE425" s="687">
        <f t="shared" si="214"/>
        <v>-18.277085327939748</v>
      </c>
      <c r="AG425" s="686">
        <f t="shared" si="215"/>
        <v>-5.0989979408682675</v>
      </c>
      <c r="AH425" s="687">
        <f t="shared" si="216"/>
        <v>-57.296156530465076</v>
      </c>
      <c r="AJ425" s="170">
        <f t="shared" si="217"/>
        <v>0</v>
      </c>
      <c r="AK425" s="170">
        <f t="shared" si="229"/>
        <v>0</v>
      </c>
      <c r="AM425" s="170" t="str">
        <f t="shared" si="221"/>
        <v>0.579130940679549+0.907121400313497i</v>
      </c>
      <c r="AN425" s="170" t="str">
        <f t="shared" si="222"/>
        <v>1.1363931785963i</v>
      </c>
      <c r="AO425" s="170" t="str">
        <f t="shared" si="223"/>
        <v>0.798246080141026-0.509621979071456i</v>
      </c>
      <c r="AP425" s="170" t="str">
        <f t="shared" si="224"/>
        <v>0.0701448432200752-0.151186900052249i</v>
      </c>
      <c r="AQ425" s="170" t="str">
        <f t="shared" si="225"/>
        <v>0.929855156779925+0.151186900052249i</v>
      </c>
      <c r="AR425" s="170" t="str">
        <f t="shared" si="226"/>
        <v>0.872765903179886-0.14190465085983i</v>
      </c>
    </row>
    <row r="426" spans="7:44">
      <c r="G426" s="688">
        <v>41929.75</v>
      </c>
      <c r="H426" s="676">
        <f t="shared" si="218"/>
        <v>41.929749999999999</v>
      </c>
      <c r="I426" s="677">
        <f t="shared" si="198"/>
        <v>344.86062684609669</v>
      </c>
      <c r="J426" s="678">
        <f t="shared" si="199"/>
        <v>1.5678966005763693</v>
      </c>
      <c r="K426" s="678">
        <f t="shared" si="200"/>
        <v>1.0016782450473762</v>
      </c>
      <c r="L426" s="679">
        <f t="shared" si="201"/>
        <v>5.7894754771827976E-2</v>
      </c>
      <c r="M426" s="678">
        <f t="shared" si="202"/>
        <v>1.0247666436578315</v>
      </c>
      <c r="N426" s="679">
        <f t="shared" si="203"/>
        <v>-0.22030008203841542</v>
      </c>
      <c r="O426" s="677">
        <f t="shared" si="204"/>
        <v>1738785.7662959427</v>
      </c>
      <c r="P426" s="680">
        <f t="shared" si="205"/>
        <v>1.5707957516809181</v>
      </c>
      <c r="Q426" s="689">
        <f t="shared" si="227"/>
        <v>69.558619205068979</v>
      </c>
      <c r="R426" s="690">
        <f t="shared" si="228"/>
        <v>1.5564194679487744</v>
      </c>
      <c r="S426" s="677">
        <f t="shared" si="206"/>
        <v>1.0487832531565167</v>
      </c>
      <c r="T426" s="680">
        <f t="shared" si="207"/>
        <v>0.30620018599727072</v>
      </c>
      <c r="U426" s="681">
        <f t="shared" si="219"/>
        <v>0.83592954759105831</v>
      </c>
      <c r="V426" s="682">
        <f t="shared" si="220"/>
        <v>-0.73299852798109444</v>
      </c>
      <c r="W426" s="683">
        <f t="shared" si="208"/>
        <v>-32.495231477991211</v>
      </c>
      <c r="X426" s="684">
        <f t="shared" si="209"/>
        <v>-159.50439870032918</v>
      </c>
      <c r="Y426" s="687">
        <f t="shared" si="210"/>
        <v>20.495601299670824</v>
      </c>
      <c r="AA426" s="170">
        <f t="shared" si="211"/>
        <v>41929.75</v>
      </c>
      <c r="AB426" s="170">
        <f t="shared" si="212"/>
        <v>1758103935.0625</v>
      </c>
      <c r="AD426" s="686">
        <f t="shared" si="213"/>
        <v>16.733832740972719</v>
      </c>
      <c r="AE426" s="687">
        <f t="shared" si="214"/>
        <v>-18.36767874768697</v>
      </c>
      <c r="AG426" s="686">
        <f t="shared" si="215"/>
        <v>-5.1314908257156819</v>
      </c>
      <c r="AH426" s="687">
        <f t="shared" si="216"/>
        <v>-57.141275771426059</v>
      </c>
      <c r="AJ426" s="170">
        <f t="shared" si="217"/>
        <v>0</v>
      </c>
      <c r="AK426" s="170">
        <f t="shared" si="229"/>
        <v>0</v>
      </c>
      <c r="AM426" s="170" t="str">
        <f t="shared" si="221"/>
        <v>0.585142894520275+0.909886576465982i</v>
      </c>
      <c r="AN426" s="170" t="str">
        <f t="shared" si="222"/>
        <v>1.14301057596488i</v>
      </c>
      <c r="AO426" s="170" t="str">
        <f t="shared" si="223"/>
        <v>0.796043882356815-0.511931303895699i</v>
      </c>
      <c r="AP426" s="170" t="str">
        <f t="shared" si="224"/>
        <v>0.0691428509132875-0.15164776274433i</v>
      </c>
      <c r="AQ426" s="170" t="str">
        <f t="shared" si="225"/>
        <v>0.930857149086712+0.15164776274433i</v>
      </c>
      <c r="AR426" s="170" t="str">
        <f t="shared" si="226"/>
        <v>0.871737957148221-0.142016539305244i</v>
      </c>
    </row>
    <row r="427" spans="7:44">
      <c r="G427" s="688">
        <v>42172.5</v>
      </c>
      <c r="H427" s="676">
        <f t="shared" si="218"/>
        <v>42.172499999999999</v>
      </c>
      <c r="I427" s="677">
        <f t="shared" si="198"/>
        <v>346.85716189067028</v>
      </c>
      <c r="J427" s="678">
        <f t="shared" si="199"/>
        <v>1.5679132916577072</v>
      </c>
      <c r="K427" s="678">
        <f t="shared" si="200"/>
        <v>1.0016977169994588</v>
      </c>
      <c r="L427" s="679">
        <f t="shared" si="201"/>
        <v>5.8229178334937876E-2</v>
      </c>
      <c r="M427" s="678">
        <f t="shared" si="202"/>
        <v>1.0250507292908422</v>
      </c>
      <c r="N427" s="679">
        <f t="shared" si="203"/>
        <v>-0.22153428846321754</v>
      </c>
      <c r="O427" s="677">
        <f t="shared" si="204"/>
        <v>1748852.3716243361</v>
      </c>
      <c r="P427" s="680">
        <f t="shared" si="205"/>
        <v>1.5707957549913434</v>
      </c>
      <c r="Q427" s="689">
        <f t="shared" si="227"/>
        <v>69.961242044264083</v>
      </c>
      <c r="R427" s="690">
        <f t="shared" si="228"/>
        <v>1.556502211578922</v>
      </c>
      <c r="S427" s="677">
        <f t="shared" si="206"/>
        <v>1.0493364234181062</v>
      </c>
      <c r="T427" s="680">
        <f t="shared" si="207"/>
        <v>0.30786329249690525</v>
      </c>
      <c r="U427" s="681">
        <f t="shared" si="219"/>
        <v>0.83444705871463254</v>
      </c>
      <c r="V427" s="682">
        <f t="shared" si="220"/>
        <v>-0.73661088514360695</v>
      </c>
      <c r="W427" s="683">
        <f t="shared" si="208"/>
        <v>-32.562804271701452</v>
      </c>
      <c r="X427" s="684">
        <f t="shared" si="209"/>
        <v>-159.85442992139849</v>
      </c>
      <c r="Y427" s="687">
        <f t="shared" si="210"/>
        <v>20.145570078601509</v>
      </c>
      <c r="AA427" s="170">
        <f t="shared" si="211"/>
        <v>42172.5</v>
      </c>
      <c r="AB427" s="170">
        <f t="shared" si="212"/>
        <v>1778519756.25</v>
      </c>
      <c r="AD427" s="686">
        <f t="shared" si="213"/>
        <v>16.7292423592578</v>
      </c>
      <c r="AE427" s="687">
        <f t="shared" si="214"/>
        <v>-18.458227059984626</v>
      </c>
      <c r="AG427" s="686">
        <f t="shared" si="215"/>
        <v>-5.1636377049272362</v>
      </c>
      <c r="AH427" s="687">
        <f t="shared" si="216"/>
        <v>-56.986813040713081</v>
      </c>
      <c r="AJ427" s="170">
        <f t="shared" si="217"/>
        <v>0</v>
      </c>
      <c r="AK427" s="170">
        <f t="shared" si="229"/>
        <v>0</v>
      </c>
      <c r="AM427" s="170" t="str">
        <f t="shared" si="221"/>
        <v>0.591173014865767+0.912611908878058i</v>
      </c>
      <c r="AN427" s="170" t="str">
        <f t="shared" si="222"/>
        <v>1.14962797333347i</v>
      </c>
      <c r="AO427" s="170" t="str">
        <f t="shared" si="223"/>
        <v>0.793832378862391-0.514229845287774i</v>
      </c>
      <c r="AP427" s="170" t="str">
        <f t="shared" si="224"/>
        <v>0.0681378308557055-0.15210198481301i</v>
      </c>
      <c r="AQ427" s="170" t="str">
        <f t="shared" si="225"/>
        <v>0.931862169144295+0.15210198481301i</v>
      </c>
      <c r="AR427" s="170" t="str">
        <f t="shared" si="226"/>
        <v>0.870711547295319-0.142120754472562i</v>
      </c>
    </row>
    <row r="428" spans="7:44">
      <c r="G428" s="688">
        <v>42415.25</v>
      </c>
      <c r="H428" s="676">
        <f t="shared" si="218"/>
        <v>42.41525</v>
      </c>
      <c r="I428" s="677">
        <f t="shared" si="198"/>
        <v>348.85369703076947</v>
      </c>
      <c r="J428" s="678">
        <f t="shared" si="199"/>
        <v>1.5679297916885853</v>
      </c>
      <c r="K428" s="678">
        <f t="shared" si="200"/>
        <v>1.0017173009761695</v>
      </c>
      <c r="L428" s="679">
        <f t="shared" si="201"/>
        <v>5.8563588859216011E-2</v>
      </c>
      <c r="M428" s="678">
        <f t="shared" si="202"/>
        <v>1.025336375481642</v>
      </c>
      <c r="N428" s="679">
        <f t="shared" si="203"/>
        <v>-0.2227678090964581</v>
      </c>
      <c r="O428" s="677">
        <f t="shared" si="204"/>
        <v>1758918.9769527293</v>
      </c>
      <c r="P428" s="680">
        <f t="shared" si="205"/>
        <v>1.5707957582638767</v>
      </c>
      <c r="Q428" s="689">
        <f t="shared" si="227"/>
        <v>70.363865356967835</v>
      </c>
      <c r="R428" s="690">
        <f t="shared" si="228"/>
        <v>1.5565840082885218</v>
      </c>
      <c r="S428" s="677">
        <f t="shared" si="206"/>
        <v>1.0498924930005722</v>
      </c>
      <c r="T428" s="680">
        <f t="shared" si="207"/>
        <v>0.30952464187787787</v>
      </c>
      <c r="U428" s="681">
        <f t="shared" si="219"/>
        <v>0.83296328309809931</v>
      </c>
      <c r="V428" s="682">
        <f t="shared" si="220"/>
        <v>-0.74021509473488845</v>
      </c>
      <c r="W428" s="683">
        <f t="shared" si="208"/>
        <v>-32.630137987826259</v>
      </c>
      <c r="X428" s="684">
        <f t="shared" si="209"/>
        <v>-160.2038984056417</v>
      </c>
      <c r="Y428" s="687">
        <f t="shared" si="210"/>
        <v>19.796101594358305</v>
      </c>
      <c r="AA428" s="170">
        <f t="shared" si="211"/>
        <v>42415.25</v>
      </c>
      <c r="AB428" s="170">
        <f t="shared" si="212"/>
        <v>1799053432.5625</v>
      </c>
      <c r="AD428" s="686">
        <f t="shared" si="213"/>
        <v>16.724630581256967</v>
      </c>
      <c r="AE428" s="687">
        <f t="shared" si="214"/>
        <v>-18.548728949178656</v>
      </c>
      <c r="AG428" s="686">
        <f t="shared" si="215"/>
        <v>-5.1954424432917703</v>
      </c>
      <c r="AH428" s="687">
        <f t="shared" si="216"/>
        <v>-56.832767639168303</v>
      </c>
      <c r="AJ428" s="170">
        <f t="shared" si="217"/>
        <v>0</v>
      </c>
      <c r="AK428" s="170">
        <f t="shared" si="229"/>
        <v>0</v>
      </c>
      <c r="AM428" s="170" t="str">
        <f t="shared" si="221"/>
        <v>0.597221037658322+0.915297278207994i</v>
      </c>
      <c r="AN428" s="170" t="str">
        <f t="shared" si="222"/>
        <v>1.15624537070206i</v>
      </c>
      <c r="AO428" s="170" t="str">
        <f t="shared" si="223"/>
        <v>0.791611626217569-0.516517560019026i</v>
      </c>
      <c r="AP428" s="170" t="str">
        <f t="shared" si="224"/>
        <v>0.0671298270569463-0.152549546367999i</v>
      </c>
      <c r="AQ428" s="170" t="str">
        <f t="shared" si="225"/>
        <v>0.932870172943054+0.152549546367999i</v>
      </c>
      <c r="AR428" s="170" t="str">
        <f t="shared" si="226"/>
        <v>0.869686728765088-0.142217341494401i</v>
      </c>
    </row>
    <row r="429" spans="7:44">
      <c r="G429" s="688">
        <v>42658</v>
      </c>
      <c r="H429" s="676">
        <f t="shared" si="218"/>
        <v>42.658000000000001</v>
      </c>
      <c r="I429" s="677">
        <f t="shared" si="198"/>
        <v>350.85023226476352</v>
      </c>
      <c r="J429" s="678">
        <f t="shared" si="199"/>
        <v>1.567946103930548</v>
      </c>
      <c r="K429" s="678">
        <f t="shared" si="200"/>
        <v>1.001736996970938</v>
      </c>
      <c r="L429" s="679">
        <f t="shared" si="201"/>
        <v>5.8897986270634799E-2</v>
      </c>
      <c r="M429" s="678">
        <f t="shared" si="202"/>
        <v>1.025623580926339</v>
      </c>
      <c r="N429" s="679">
        <f t="shared" si="203"/>
        <v>-0.2240006407589267</v>
      </c>
      <c r="O429" s="677">
        <f t="shared" si="204"/>
        <v>1768985.5822811227</v>
      </c>
      <c r="P429" s="680">
        <f t="shared" si="205"/>
        <v>1.5707957614991643</v>
      </c>
      <c r="Q429" s="689">
        <f t="shared" si="227"/>
        <v>70.766489135098212</v>
      </c>
      <c r="R429" s="690">
        <f t="shared" si="228"/>
        <v>1.5566648742388964</v>
      </c>
      <c r="S429" s="677">
        <f t="shared" si="206"/>
        <v>1.0504514572995398</v>
      </c>
      <c r="T429" s="680">
        <f t="shared" si="207"/>
        <v>0.31118422776703231</v>
      </c>
      <c r="U429" s="681">
        <f t="shared" si="219"/>
        <v>0.83147828462716256</v>
      </c>
      <c r="V429" s="682">
        <f t="shared" si="220"/>
        <v>-0.74381116961277505</v>
      </c>
      <c r="W429" s="683">
        <f t="shared" si="208"/>
        <v>-32.697235365367469</v>
      </c>
      <c r="X429" s="684">
        <f t="shared" si="209"/>
        <v>-160.55280360762387</v>
      </c>
      <c r="Y429" s="687">
        <f t="shared" si="210"/>
        <v>19.447196392376128</v>
      </c>
      <c r="AA429" s="170">
        <f t="shared" si="211"/>
        <v>42658</v>
      </c>
      <c r="AB429" s="170">
        <f t="shared" si="212"/>
        <v>1819704964</v>
      </c>
      <c r="AD429" s="686">
        <f t="shared" si="213"/>
        <v>16.719997476589665</v>
      </c>
      <c r="AE429" s="687">
        <f t="shared" si="214"/>
        <v>-18.639183124175574</v>
      </c>
      <c r="AG429" s="686">
        <f t="shared" si="215"/>
        <v>-5.2269088451588761</v>
      </c>
      <c r="AH429" s="687">
        <f t="shared" si="216"/>
        <v>-56.679138839050836</v>
      </c>
      <c r="AJ429" s="170">
        <f t="shared" si="217"/>
        <v>0</v>
      </c>
      <c r="AK429" s="170">
        <f t="shared" si="229"/>
        <v>0</v>
      </c>
      <c r="AM429" s="170" t="str">
        <f t="shared" si="221"/>
        <v>0.603286698056296+0.91794256686403i</v>
      </c>
      <c r="AN429" s="170" t="str">
        <f t="shared" si="222"/>
        <v>1.16286276807064i</v>
      </c>
      <c r="AO429" s="170" t="str">
        <f t="shared" si="223"/>
        <v>0.789381681199606-0.518794405170644i</v>
      </c>
      <c r="AP429" s="170" t="str">
        <f t="shared" si="224"/>
        <v>0.066118883657284-0.152990427810672i</v>
      </c>
      <c r="AQ429" s="170" t="str">
        <f t="shared" si="225"/>
        <v>0.933881116342716+0.152990427810672i</v>
      </c>
      <c r="AR429" s="170" t="str">
        <f t="shared" si="226"/>
        <v>0.86866355587073-0.142306345754861i</v>
      </c>
    </row>
    <row r="430" spans="7:44">
      <c r="G430" s="688">
        <v>42906.5</v>
      </c>
      <c r="H430" s="676">
        <f t="shared" si="218"/>
        <v>42.906500000000001</v>
      </c>
      <c r="I430" s="677">
        <f t="shared" si="198"/>
        <v>352.89405936611411</v>
      </c>
      <c r="J430" s="678">
        <f t="shared" si="199"/>
        <v>1.5679626113729896</v>
      </c>
      <c r="K430" s="678">
        <f t="shared" si="200"/>
        <v>1.0017572755258013</v>
      </c>
      <c r="L430" s="679">
        <f t="shared" si="201"/>
        <v>5.92402908673118E-2</v>
      </c>
      <c r="M430" s="678">
        <f t="shared" si="202"/>
        <v>1.0259192031086513</v>
      </c>
      <c r="N430" s="679">
        <f t="shared" si="203"/>
        <v>-0.22526195745723915</v>
      </c>
      <c r="O430" s="677">
        <f t="shared" si="204"/>
        <v>1779290.6344916511</v>
      </c>
      <c r="P430" s="680">
        <f t="shared" si="205"/>
        <v>1.570795764773167</v>
      </c>
      <c r="Q430" s="689">
        <f t="shared" si="227"/>
        <v>71.178650304581666</v>
      </c>
      <c r="R430" s="690">
        <f t="shared" si="228"/>
        <v>1.5567467080523449</v>
      </c>
      <c r="S430" s="677">
        <f t="shared" si="206"/>
        <v>1.0510266552987069</v>
      </c>
      <c r="T430" s="680">
        <f t="shared" si="207"/>
        <v>0.31288129089296274</v>
      </c>
      <c r="U430" s="681">
        <f t="shared" si="219"/>
        <v>0.82995691046185027</v>
      </c>
      <c r="V430" s="682">
        <f t="shared" si="220"/>
        <v>-0.74748401227927452</v>
      </c>
      <c r="W430" s="683">
        <f t="shared" si="208"/>
        <v>-32.76568007516034</v>
      </c>
      <c r="X430" s="684">
        <f t="shared" si="209"/>
        <v>-160.90938932330252</v>
      </c>
      <c r="Y430" s="687">
        <f t="shared" si="210"/>
        <v>19.09061067669748</v>
      </c>
      <c r="AA430" s="170">
        <f t="shared" si="211"/>
        <v>42906.5</v>
      </c>
      <c r="AB430" s="170">
        <f t="shared" si="212"/>
        <v>1840967742.25</v>
      </c>
      <c r="AD430" s="686">
        <f t="shared" si="213"/>
        <v>16.715232610511176</v>
      </c>
      <c r="AE430" s="687">
        <f t="shared" si="214"/>
        <v>-18.731729134418895</v>
      </c>
      <c r="AG430" s="686">
        <f t="shared" si="215"/>
        <v>-5.258774046133925</v>
      </c>
      <c r="AH430" s="687">
        <f t="shared" si="216"/>
        <v>-56.522301776793249</v>
      </c>
      <c r="AJ430" s="170">
        <f t="shared" si="217"/>
        <v>0</v>
      </c>
      <c r="AK430" s="170">
        <f t="shared" si="229"/>
        <v>0</v>
      </c>
      <c r="AM430" s="170" t="str">
        <f t="shared" si="221"/>
        <v>0.609514027192479+0.920608877341819i</v>
      </c>
      <c r="AN430" s="170" t="str">
        <f t="shared" si="222"/>
        <v>1.16963691120594i</v>
      </c>
      <c r="AO430" s="170" t="str">
        <f t="shared" si="223"/>
        <v>0.787089453591744-0.5211138784634i</v>
      </c>
      <c r="AP430" s="170" t="str">
        <f t="shared" si="224"/>
        <v>0.0650809954679202-0.153434812890303i</v>
      </c>
      <c r="AQ430" s="170" t="str">
        <f t="shared" si="225"/>
        <v>0.93491900453208+0.153434812890303i</v>
      </c>
      <c r="AR430" s="170" t="str">
        <f t="shared" si="226"/>
        <v>0.867617907562894-0.142389651576091i</v>
      </c>
    </row>
    <row r="431" spans="7:44">
      <c r="G431" s="688">
        <v>43155</v>
      </c>
      <c r="H431" s="676">
        <f t="shared" si="218"/>
        <v>43.155000000000001</v>
      </c>
      <c r="I431" s="677">
        <f t="shared" si="198"/>
        <v>354.93788656251928</v>
      </c>
      <c r="J431" s="678">
        <f t="shared" si="199"/>
        <v>1.5679789287069064</v>
      </c>
      <c r="K431" s="678">
        <f t="shared" si="200"/>
        <v>1.0017776714542459</v>
      </c>
      <c r="L431" s="679">
        <f t="shared" si="201"/>
        <v>5.9582581565632363E-2</v>
      </c>
      <c r="M431" s="678">
        <f t="shared" si="202"/>
        <v>1.0262164565042866</v>
      </c>
      <c r="N431" s="679">
        <f t="shared" si="203"/>
        <v>-0.22652254545522918</v>
      </c>
      <c r="O431" s="677">
        <f t="shared" si="204"/>
        <v>1789595.6867021795</v>
      </c>
      <c r="P431" s="680">
        <f t="shared" si="205"/>
        <v>1.570795768009464</v>
      </c>
      <c r="Q431" s="689">
        <f t="shared" si="227"/>
        <v>71.590811945243871</v>
      </c>
      <c r="R431" s="690">
        <f t="shared" si="228"/>
        <v>1.5568275996013132</v>
      </c>
      <c r="S431" s="677">
        <f t="shared" si="206"/>
        <v>1.0516048769626536</v>
      </c>
      <c r="T431" s="680">
        <f t="shared" si="207"/>
        <v>0.31457649264691023</v>
      </c>
      <c r="U431" s="681">
        <f t="shared" si="219"/>
        <v>0.82843438815668269</v>
      </c>
      <c r="V431" s="682">
        <f t="shared" si="220"/>
        <v>-0.75114835893050902</v>
      </c>
      <c r="W431" s="683">
        <f t="shared" si="208"/>
        <v>-32.833882758080698</v>
      </c>
      <c r="X431" s="684">
        <f t="shared" si="209"/>
        <v>-161.26538374246996</v>
      </c>
      <c r="Y431" s="687">
        <f t="shared" si="210"/>
        <v>18.734616257530035</v>
      </c>
      <c r="AA431" s="170">
        <f t="shared" si="211"/>
        <v>43155</v>
      </c>
      <c r="AB431" s="170">
        <f t="shared" si="212"/>
        <v>1862354025</v>
      </c>
      <c r="AD431" s="686">
        <f t="shared" si="213"/>
        <v>16.710445543975041</v>
      </c>
      <c r="AE431" s="687">
        <f t="shared" si="214"/>
        <v>-18.824222481520941</v>
      </c>
      <c r="AG431" s="686">
        <f t="shared" si="215"/>
        <v>-5.2902925717877958</v>
      </c>
      <c r="AH431" s="687">
        <f t="shared" si="216"/>
        <v>-56.365899652801552</v>
      </c>
      <c r="AJ431" s="170">
        <f t="shared" si="217"/>
        <v>0</v>
      </c>
      <c r="AK431" s="170">
        <f t="shared" si="229"/>
        <v>0</v>
      </c>
      <c r="AM431" s="170" t="str">
        <f t="shared" si="221"/>
        <v>0.615759275276887+0.923232942146378i</v>
      </c>
      <c r="AN431" s="170" t="str">
        <f t="shared" si="222"/>
        <v>1.17641105434124i</v>
      </c>
      <c r="AO431" s="170" t="str">
        <f t="shared" si="223"/>
        <v>0.784787714072752-0.523421871126242i</v>
      </c>
      <c r="AP431" s="170" t="str">
        <f t="shared" si="224"/>
        <v>0.0640401207871855-0.153872157024396i</v>
      </c>
      <c r="AQ431" s="170" t="str">
        <f t="shared" si="225"/>
        <v>0.935959879212815+0.153872157024396i</v>
      </c>
      <c r="AR431" s="170" t="str">
        <f t="shared" si="226"/>
        <v>0.86657409630608-0.14246510815424i</v>
      </c>
    </row>
    <row r="432" spans="7:44">
      <c r="G432" s="688">
        <v>43403.5</v>
      </c>
      <c r="H432" s="676">
        <f t="shared" si="218"/>
        <v>43.403500000000001</v>
      </c>
      <c r="I432" s="677">
        <f t="shared" si="198"/>
        <v>356.9817138523465</v>
      </c>
      <c r="J432" s="678">
        <f t="shared" si="199"/>
        <v>1.5679950591975742</v>
      </c>
      <c r="K432" s="678">
        <f t="shared" si="200"/>
        <v>1.0017981847491026</v>
      </c>
      <c r="L432" s="679">
        <f t="shared" si="201"/>
        <v>5.9924858286240272E-2</v>
      </c>
      <c r="M432" s="678">
        <f t="shared" si="202"/>
        <v>1.0265153396961679</v>
      </c>
      <c r="N432" s="679">
        <f t="shared" si="203"/>
        <v>-0.22778240138132894</v>
      </c>
      <c r="O432" s="677">
        <f t="shared" si="204"/>
        <v>1799900.7389127079</v>
      </c>
      <c r="P432" s="680">
        <f t="shared" si="205"/>
        <v>1.5707957712087033</v>
      </c>
      <c r="Q432" s="689">
        <f t="shared" si="227"/>
        <v>72.002974048993423</v>
      </c>
      <c r="R432" s="690">
        <f t="shared" si="228"/>
        <v>1.5569075650659694</v>
      </c>
      <c r="S432" s="677">
        <f t="shared" si="206"/>
        <v>1.0521861173064773</v>
      </c>
      <c r="T432" s="680">
        <f t="shared" si="207"/>
        <v>0.31626982636261192</v>
      </c>
      <c r="U432" s="681">
        <f t="shared" si="219"/>
        <v>0.82691078406558305</v>
      </c>
      <c r="V432" s="682">
        <f t="shared" si="220"/>
        <v>-0.75480422473241782</v>
      </c>
      <c r="W432" s="683">
        <f t="shared" si="208"/>
        <v>-32.901846184792028</v>
      </c>
      <c r="X432" s="684">
        <f t="shared" si="209"/>
        <v>-161.62078642356025</v>
      </c>
      <c r="Y432" s="687">
        <f t="shared" si="210"/>
        <v>18.379213576439753</v>
      </c>
      <c r="AA432" s="170">
        <f t="shared" si="211"/>
        <v>43403.5</v>
      </c>
      <c r="AB432" s="170">
        <f t="shared" si="212"/>
        <v>1883863812.25</v>
      </c>
      <c r="AD432" s="686">
        <f t="shared" si="213"/>
        <v>16.705636352522053</v>
      </c>
      <c r="AE432" s="687">
        <f t="shared" si="214"/>
        <v>-18.916661856514803</v>
      </c>
      <c r="AG432" s="686">
        <f t="shared" si="215"/>
        <v>-5.3214683147134201</v>
      </c>
      <c r="AH432" s="687">
        <f t="shared" si="216"/>
        <v>-56.209931596588142</v>
      </c>
      <c r="AJ432" s="170">
        <f t="shared" si="217"/>
        <v>0</v>
      </c>
      <c r="AK432" s="170">
        <f t="shared" si="229"/>
        <v>0</v>
      </c>
      <c r="AM432" s="170" t="str">
        <f t="shared" si="221"/>
        <v>0.622022155722331+0.925814640862417i</v>
      </c>
      <c r="AN432" s="170" t="str">
        <f t="shared" si="222"/>
        <v>1.18318519747654i</v>
      </c>
      <c r="AO432" s="170" t="str">
        <f t="shared" si="223"/>
        <v>0.7824765242474-0.525718338134182i</v>
      </c>
      <c r="AP432" s="170" t="str">
        <f t="shared" si="224"/>
        <v>0.0629963073796115-0.154302440143736i</v>
      </c>
      <c r="AQ432" s="170" t="str">
        <f t="shared" si="225"/>
        <v>0.937003692620389+0.154302440143736i</v>
      </c>
      <c r="AR432" s="170" t="str">
        <f t="shared" si="226"/>
        <v>0.865532177686454-0.142532764909869i</v>
      </c>
    </row>
    <row r="433" spans="7:44">
      <c r="G433" s="688">
        <v>43652</v>
      </c>
      <c r="H433" s="676">
        <f t="shared" si="218"/>
        <v>43.652000000000001</v>
      </c>
      <c r="I433" s="677">
        <f t="shared" si="198"/>
        <v>359.02554123400023</v>
      </c>
      <c r="J433" s="678">
        <f t="shared" si="199"/>
        <v>1.5680110060359165</v>
      </c>
      <c r="K433" s="678">
        <f t="shared" si="200"/>
        <v>1.001818815403162</v>
      </c>
      <c r="L433" s="679">
        <f t="shared" si="201"/>
        <v>6.0267120949798914E-2</v>
      </c>
      <c r="M433" s="678">
        <f t="shared" si="202"/>
        <v>1.0268158512611039</v>
      </c>
      <c r="N433" s="679">
        <f t="shared" si="203"/>
        <v>-0.22904152187718124</v>
      </c>
      <c r="O433" s="677">
        <f t="shared" si="204"/>
        <v>1810205.7911232363</v>
      </c>
      <c r="P433" s="680">
        <f t="shared" si="205"/>
        <v>1.5707957743715175</v>
      </c>
      <c r="Q433" s="689">
        <f t="shared" si="227"/>
        <v>72.415136607923088</v>
      </c>
      <c r="R433" s="690">
        <f t="shared" si="228"/>
        <v>1.5569866202581619</v>
      </c>
      <c r="S433" s="677">
        <f t="shared" si="206"/>
        <v>1.0527703713302881</v>
      </c>
      <c r="T433" s="680">
        <f t="shared" si="207"/>
        <v>0.31796128543133911</v>
      </c>
      <c r="U433" s="681">
        <f t="shared" si="219"/>
        <v>0.82538616380846641</v>
      </c>
      <c r="V433" s="682">
        <f t="shared" si="220"/>
        <v>-0.75845162529934085</v>
      </c>
      <c r="W433" s="683">
        <f t="shared" si="208"/>
        <v>-32.969573072182442</v>
      </c>
      <c r="X433" s="684">
        <f t="shared" si="209"/>
        <v>-161.9755969715934</v>
      </c>
      <c r="Y433" s="687">
        <f t="shared" si="210"/>
        <v>18.024403028406596</v>
      </c>
      <c r="AA433" s="170">
        <f t="shared" si="211"/>
        <v>43652</v>
      </c>
      <c r="AB433" s="170">
        <f t="shared" si="212"/>
        <v>1905497104</v>
      </c>
      <c r="AD433" s="686">
        <f t="shared" si="213"/>
        <v>16.700805111966222</v>
      </c>
      <c r="AE433" s="687">
        <f t="shared" si="214"/>
        <v>-19.00904597483224</v>
      </c>
      <c r="AG433" s="686">
        <f t="shared" si="215"/>
        <v>-5.3523051065856357</v>
      </c>
      <c r="AH433" s="687">
        <f t="shared" si="216"/>
        <v>-56.054396708469639</v>
      </c>
      <c r="AJ433" s="170">
        <f t="shared" si="217"/>
        <v>0</v>
      </c>
      <c r="AK433" s="170">
        <f t="shared" si="229"/>
        <v>0</v>
      </c>
      <c r="AM433" s="170" t="str">
        <f t="shared" si="221"/>
        <v>0.628302381132494+0.928353855018778i</v>
      </c>
      <c r="AN433" s="170" t="str">
        <f t="shared" si="222"/>
        <v>1.18995934061184i</v>
      </c>
      <c r="AO433" s="170" t="str">
        <f t="shared" si="223"/>
        <v>0.780155945951437-0.528003234807536i</v>
      </c>
      <c r="AP433" s="170" t="str">
        <f t="shared" si="224"/>
        <v>0.0619496031445843-0.15472564250313i</v>
      </c>
      <c r="AQ433" s="170" t="str">
        <f t="shared" si="225"/>
        <v>0.938050396855416+0.15472564250313i</v>
      </c>
      <c r="AR433" s="170" t="str">
        <f t="shared" si="226"/>
        <v>0.864492206396341-0.142592671483341i</v>
      </c>
    </row>
    <row r="434" spans="7:44">
      <c r="G434" s="688">
        <v>43906</v>
      </c>
      <c r="H434" s="676">
        <f t="shared" si="218"/>
        <v>43.905999999999999</v>
      </c>
      <c r="I434" s="677">
        <f t="shared" si="198"/>
        <v>361.11460432502128</v>
      </c>
      <c r="J434" s="678">
        <f t="shared" si="199"/>
        <v>1.568027119274322</v>
      </c>
      <c r="K434" s="678">
        <f t="shared" si="200"/>
        <v>1.001840023947925</v>
      </c>
      <c r="L434" s="679">
        <f t="shared" si="201"/>
        <v>6.0616944233586455E-2</v>
      </c>
      <c r="M434" s="678">
        <f t="shared" si="202"/>
        <v>1.027124695331995</v>
      </c>
      <c r="N434" s="679">
        <f t="shared" si="203"/>
        <v>-0.23032774672260944</v>
      </c>
      <c r="O434" s="677">
        <f t="shared" si="204"/>
        <v>1820738.9229601547</v>
      </c>
      <c r="P434" s="680">
        <f t="shared" si="205"/>
        <v>1.5707957775673345</v>
      </c>
      <c r="Q434" s="689">
        <f t="shared" si="227"/>
        <v>72.836421939368819</v>
      </c>
      <c r="R434" s="690">
        <f t="shared" si="228"/>
        <v>1.5570665005337307</v>
      </c>
      <c r="S434" s="677">
        <f t="shared" si="206"/>
        <v>1.0533706657788333</v>
      </c>
      <c r="T434" s="680">
        <f t="shared" si="207"/>
        <v>0.31968823705708116</v>
      </c>
      <c r="U434" s="681">
        <f t="shared" si="219"/>
        <v>0.82382681683757708</v>
      </c>
      <c r="V434" s="682">
        <f t="shared" si="220"/>
        <v>-0.76217102141179405</v>
      </c>
      <c r="W434" s="683">
        <f t="shared" si="208"/>
        <v>-33.038557268400972</v>
      </c>
      <c r="X434" s="684">
        <f t="shared" si="209"/>
        <v>-162.3376481695831</v>
      </c>
      <c r="Y434" s="687">
        <f t="shared" si="210"/>
        <v>17.662351830416895</v>
      </c>
      <c r="AA434" s="170">
        <f t="shared" si="211"/>
        <v>43906</v>
      </c>
      <c r="AB434" s="170">
        <f t="shared" si="212"/>
        <v>1927736836</v>
      </c>
      <c r="AD434" s="686">
        <f t="shared" si="213"/>
        <v>16.695844235234862</v>
      </c>
      <c r="AE434" s="687">
        <f t="shared" si="214"/>
        <v>-19.10341639496874</v>
      </c>
      <c r="AG434" s="686">
        <f t="shared" si="215"/>
        <v>-5.383478042546356</v>
      </c>
      <c r="AH434" s="687">
        <f t="shared" si="216"/>
        <v>-55.895866086673955</v>
      </c>
      <c r="AJ434" s="170">
        <f t="shared" si="217"/>
        <v>0</v>
      </c>
      <c r="AK434" s="170">
        <f t="shared" si="229"/>
        <v>0</v>
      </c>
      <c r="AM434" s="170" t="str">
        <f t="shared" si="221"/>
        <v>0.634739230514893+0.930905242371718i</v>
      </c>
      <c r="AN434" s="170" t="str">
        <f t="shared" si="222"/>
        <v>1.19688341448051i</v>
      </c>
      <c r="AO434" s="170" t="str">
        <f t="shared" si="223"/>
        <v>0.777774368922778-0.530326699188486i</v>
      </c>
      <c r="AP434" s="170" t="str">
        <f t="shared" si="224"/>
        <v>0.0608767949141845-0.15515087372862i</v>
      </c>
      <c r="AQ434" s="170" t="str">
        <f t="shared" si="225"/>
        <v>0.939123205085815+0.15515087372862i</v>
      </c>
      <c r="AR434" s="170" t="str">
        <f t="shared" si="226"/>
        <v>0.863431286097371-0.142645946471307i</v>
      </c>
    </row>
    <row r="435" spans="7:44">
      <c r="G435" s="688">
        <v>44160</v>
      </c>
      <c r="H435" s="676">
        <f t="shared" si="218"/>
        <v>44.16</v>
      </c>
      <c r="I435" s="677">
        <f t="shared" si="198"/>
        <v>363.20366750872233</v>
      </c>
      <c r="J435" s="678">
        <f t="shared" si="199"/>
        <v>1.5680430471535178</v>
      </c>
      <c r="K435" s="678">
        <f t="shared" si="200"/>
        <v>1.0018613550889941</v>
      </c>
      <c r="L435" s="679">
        <f t="shared" si="201"/>
        <v>6.0966752663648857E-2</v>
      </c>
      <c r="M435" s="678">
        <f t="shared" si="202"/>
        <v>1.0274352376284217</v>
      </c>
      <c r="N435" s="679">
        <f t="shared" si="203"/>
        <v>-0.23161319617067505</v>
      </c>
      <c r="O435" s="677">
        <f t="shared" si="204"/>
        <v>1831272.0547970731</v>
      </c>
      <c r="P435" s="680">
        <f t="shared" si="205"/>
        <v>1.5707957807263879</v>
      </c>
      <c r="Q435" s="689">
        <f t="shared" si="227"/>
        <v>73.257707730228034</v>
      </c>
      <c r="R435" s="690">
        <f t="shared" si="228"/>
        <v>1.5571454620689287</v>
      </c>
      <c r="S435" s="677">
        <f t="shared" si="206"/>
        <v>1.0539740981759347</v>
      </c>
      <c r="T435" s="680">
        <f t="shared" si="207"/>
        <v>0.32141321635722264</v>
      </c>
      <c r="U435" s="681">
        <f t="shared" si="219"/>
        <v>0.82226654451037229</v>
      </c>
      <c r="V435" s="682">
        <f t="shared" si="220"/>
        <v>-0.76588160781335057</v>
      </c>
      <c r="W435" s="683">
        <f t="shared" si="208"/>
        <v>-33.107299912425667</v>
      </c>
      <c r="X435" s="684">
        <f t="shared" si="209"/>
        <v>-162.69908004398459</v>
      </c>
      <c r="Y435" s="687">
        <f t="shared" si="210"/>
        <v>17.300919956015406</v>
      </c>
      <c r="AA435" s="170">
        <f t="shared" si="211"/>
        <v>44160</v>
      </c>
      <c r="AB435" s="170">
        <f t="shared" si="212"/>
        <v>1950105600</v>
      </c>
      <c r="AD435" s="686">
        <f t="shared" si="213"/>
        <v>16.690860483591528</v>
      </c>
      <c r="AE435" s="687">
        <f t="shared" si="214"/>
        <v>-19.197726447011746</v>
      </c>
      <c r="AG435" s="686">
        <f t="shared" si="215"/>
        <v>-5.4143047632384604</v>
      </c>
      <c r="AH435" s="687">
        <f t="shared" si="216"/>
        <v>-55.73778602789092</v>
      </c>
      <c r="AJ435" s="170">
        <f t="shared" si="217"/>
        <v>0</v>
      </c>
      <c r="AK435" s="170">
        <f t="shared" si="229"/>
        <v>0</v>
      </c>
      <c r="AM435" s="170" t="str">
        <f t="shared" si="221"/>
        <v>0.641193591450971+0.933411999700104i</v>
      </c>
      <c r="AN435" s="170" t="str">
        <f t="shared" si="222"/>
        <v>1.20380748834919i</v>
      </c>
      <c r="AO435" s="170" t="str">
        <f t="shared" si="223"/>
        <v>0.775383114604241-0.532637982116439i</v>
      </c>
      <c r="AP435" s="170" t="str">
        <f t="shared" si="224"/>
        <v>0.0598010680915048-0.155568666616684i</v>
      </c>
      <c r="AQ435" s="170" t="str">
        <f t="shared" si="225"/>
        <v>0.940198931908495+0.155568666616684i</v>
      </c>
      <c r="AR435" s="170" t="str">
        <f t="shared" si="226"/>
        <v>0.862372512991531-0.142691229930081i</v>
      </c>
    </row>
    <row r="436" spans="7:44">
      <c r="G436" s="688">
        <v>44414</v>
      </c>
      <c r="H436" s="676">
        <f t="shared" si="218"/>
        <v>44.414000000000001</v>
      </c>
      <c r="I436" s="677">
        <f t="shared" si="198"/>
        <v>365.29273078351321</v>
      </c>
      <c r="J436" s="678">
        <f t="shared" si="199"/>
        <v>1.5680587928536338</v>
      </c>
      <c r="K436" s="678">
        <f t="shared" si="200"/>
        <v>1.0018828088185381</v>
      </c>
      <c r="L436" s="679">
        <f t="shared" si="201"/>
        <v>6.1316546155328347E-2</v>
      </c>
      <c r="M436" s="678">
        <f t="shared" si="202"/>
        <v>1.0277474766109853</v>
      </c>
      <c r="N436" s="679">
        <f t="shared" si="203"/>
        <v>-0.23289786667808632</v>
      </c>
      <c r="O436" s="677">
        <f t="shared" si="204"/>
        <v>1841805.1866339915</v>
      </c>
      <c r="P436" s="680">
        <f t="shared" si="205"/>
        <v>1.5707957838493087</v>
      </c>
      <c r="Q436" s="689">
        <f t="shared" si="227"/>
        <v>73.678993972620148</v>
      </c>
      <c r="R436" s="690">
        <f t="shared" si="228"/>
        <v>1.5572235206224514</v>
      </c>
      <c r="S436" s="677">
        <f t="shared" si="206"/>
        <v>1.0545806631349783</v>
      </c>
      <c r="T436" s="680">
        <f t="shared" si="207"/>
        <v>0.32313621646076768</v>
      </c>
      <c r="U436" s="681">
        <f t="shared" si="219"/>
        <v>0.82070541452977064</v>
      </c>
      <c r="V436" s="682">
        <f t="shared" si="220"/>
        <v>-0.76958340258343094</v>
      </c>
      <c r="W436" s="683">
        <f t="shared" si="208"/>
        <v>-33.175803739867959</v>
      </c>
      <c r="X436" s="684">
        <f t="shared" si="209"/>
        <v>-163.05989231816562</v>
      </c>
      <c r="Y436" s="687">
        <f t="shared" si="210"/>
        <v>16.940107681834377</v>
      </c>
      <c r="AA436" s="170">
        <f t="shared" si="211"/>
        <v>44414</v>
      </c>
      <c r="AB436" s="170">
        <f t="shared" si="212"/>
        <v>1972603396</v>
      </c>
      <c r="AD436" s="686">
        <f t="shared" si="213"/>
        <v>16.685853938832913</v>
      </c>
      <c r="AE436" s="687">
        <f t="shared" si="214"/>
        <v>-19.291974834411612</v>
      </c>
      <c r="AG436" s="686">
        <f t="shared" si="215"/>
        <v>-5.4447891713483099</v>
      </c>
      <c r="AH436" s="687">
        <f t="shared" si="216"/>
        <v>-55.58015548028893</v>
      </c>
      <c r="AJ436" s="170">
        <f t="shared" si="217"/>
        <v>0</v>
      </c>
      <c r="AK436" s="170">
        <f t="shared" si="229"/>
        <v>0</v>
      </c>
      <c r="AM436" s="170" t="str">
        <f t="shared" si="221"/>
        <v>0.647665154501815+0.935874006823445i</v>
      </c>
      <c r="AN436" s="170" t="str">
        <f t="shared" si="222"/>
        <v>1.21073156221786i</v>
      </c>
      <c r="AO436" s="170" t="str">
        <f t="shared" si="223"/>
        <v>0.772982249764001-0.534937037005461i</v>
      </c>
      <c r="AP436" s="170" t="str">
        <f t="shared" si="224"/>
        <v>0.0587224742496975-0.155979001137241i</v>
      </c>
      <c r="AQ436" s="170" t="str">
        <f t="shared" si="225"/>
        <v>0.941277525750303+0.155979001137241i</v>
      </c>
      <c r="AR436" s="170" t="str">
        <f t="shared" si="226"/>
        <v>0.861315942622372-0.142728575492896i</v>
      </c>
    </row>
    <row r="437" spans="7:44">
      <c r="G437" s="688">
        <v>44668</v>
      </c>
      <c r="H437" s="676">
        <f t="shared" si="218"/>
        <v>44.667999999999999</v>
      </c>
      <c r="I437" s="677">
        <f t="shared" si="198"/>
        <v>367.38179414784014</v>
      </c>
      <c r="J437" s="678">
        <f t="shared" si="199"/>
        <v>1.5680743594824673</v>
      </c>
      <c r="K437" s="678">
        <f t="shared" si="200"/>
        <v>1.0019043851286824</v>
      </c>
      <c r="L437" s="679">
        <f t="shared" si="201"/>
        <v>6.1666324623989008E-2</v>
      </c>
      <c r="M437" s="678">
        <f t="shared" si="202"/>
        <v>1.0280614107337529</v>
      </c>
      <c r="N437" s="679">
        <f t="shared" si="203"/>
        <v>-0.2341817547161289</v>
      </c>
      <c r="O437" s="677">
        <f t="shared" si="204"/>
        <v>1852338.31847091</v>
      </c>
      <c r="P437" s="680">
        <f t="shared" si="205"/>
        <v>1.5707957869367131</v>
      </c>
      <c r="Q437" s="689">
        <f t="shared" si="227"/>
        <v>74.100280658843801</v>
      </c>
      <c r="R437" s="690">
        <f t="shared" si="228"/>
        <v>1.5573006915946641</v>
      </c>
      <c r="S437" s="677">
        <f t="shared" si="206"/>
        <v>1.055190355253804</v>
      </c>
      <c r="T437" s="680">
        <f t="shared" si="207"/>
        <v>0.32485723055948346</v>
      </c>
      <c r="U437" s="681">
        <f t="shared" si="219"/>
        <v>0.81914349380235418</v>
      </c>
      <c r="V437" s="682">
        <f t="shared" si="220"/>
        <v>-0.7732764242592135</v>
      </c>
      <c r="W437" s="683">
        <f t="shared" si="208"/>
        <v>-33.244071433237202</v>
      </c>
      <c r="X437" s="684">
        <f t="shared" si="209"/>
        <v>-163.42008476253707</v>
      </c>
      <c r="Y437" s="687">
        <f t="shared" si="210"/>
        <v>16.579915237462927</v>
      </c>
      <c r="AA437" s="170">
        <f t="shared" si="211"/>
        <v>44668</v>
      </c>
      <c r="AB437" s="170">
        <f t="shared" si="212"/>
        <v>1995230224</v>
      </c>
      <c r="AD437" s="686">
        <f t="shared" si="213"/>
        <v>16.680824683021804</v>
      </c>
      <c r="AE437" s="687">
        <f t="shared" si="214"/>
        <v>-19.38616028474469</v>
      </c>
      <c r="AG437" s="686">
        <f t="shared" si="215"/>
        <v>-5.4749351085048676</v>
      </c>
      <c r="AH437" s="687">
        <f t="shared" si="216"/>
        <v>-55.422973362498425</v>
      </c>
      <c r="AJ437" s="170">
        <f t="shared" si="217"/>
        <v>0</v>
      </c>
      <c r="AK437" s="170">
        <f t="shared" si="229"/>
        <v>0</v>
      </c>
      <c r="AM437" s="170" t="str">
        <f t="shared" si="221"/>
        <v>0.654153609403839+0.938291145706709i</v>
      </c>
      <c r="AN437" s="170" t="str">
        <f t="shared" si="222"/>
        <v>1.21765563608654i</v>
      </c>
      <c r="AO437" s="170" t="str">
        <f t="shared" si="223"/>
        <v>0.770571841413481-0.537223817651962i</v>
      </c>
      <c r="AP437" s="170" t="str">
        <f t="shared" si="224"/>
        <v>0.0576410650993602-0.156381857617785i</v>
      </c>
      <c r="AQ437" s="170" t="str">
        <f t="shared" si="225"/>
        <v>0.94235893490064+0.156381857617785i</v>
      </c>
      <c r="AR437" s="170" t="str">
        <f t="shared" si="226"/>
        <v>0.860261629581332-0.142758036973901i</v>
      </c>
    </row>
    <row r="438" spans="7:44">
      <c r="G438" s="688">
        <v>44928.25</v>
      </c>
      <c r="H438" s="676">
        <f t="shared" si="218"/>
        <v>44.928249999999998</v>
      </c>
      <c r="I438" s="677">
        <f t="shared" si="198"/>
        <v>369.52226172166348</v>
      </c>
      <c r="J438" s="678">
        <f t="shared" si="199"/>
        <v>1.5680901265894518</v>
      </c>
      <c r="K438" s="678">
        <f t="shared" si="200"/>
        <v>1.0019266194857803</v>
      </c>
      <c r="L438" s="679">
        <f t="shared" si="201"/>
        <v>6.2024694175767184E-2</v>
      </c>
      <c r="M438" s="678">
        <f t="shared" si="202"/>
        <v>1.0283848262100992</v>
      </c>
      <c r="N438" s="679">
        <f t="shared" si="203"/>
        <v>-0.23549641922596079</v>
      </c>
      <c r="O438" s="677">
        <f t="shared" si="204"/>
        <v>1863130.6317014536</v>
      </c>
      <c r="P438" s="680">
        <f t="shared" si="205"/>
        <v>1.5707957900638789</v>
      </c>
      <c r="Q438" s="689">
        <f t="shared" si="227"/>
        <v>74.531934103800168</v>
      </c>
      <c r="R438" s="690">
        <f t="shared" si="228"/>
        <v>1.5573788565869102</v>
      </c>
      <c r="S438" s="677">
        <f t="shared" si="206"/>
        <v>1.0558182875022766</v>
      </c>
      <c r="T438" s="680">
        <f t="shared" si="207"/>
        <v>0.32661852548416986</v>
      </c>
      <c r="U438" s="681">
        <f t="shared" si="219"/>
        <v>0.81754238894336317</v>
      </c>
      <c r="V438" s="682">
        <f t="shared" si="220"/>
        <v>-0.77705123782897234</v>
      </c>
      <c r="W438" s="683">
        <f t="shared" si="208"/>
        <v>-33.313776771428572</v>
      </c>
      <c r="X438" s="684">
        <f t="shared" si="209"/>
        <v>-163.78849712337978</v>
      </c>
      <c r="Y438" s="687">
        <f t="shared" si="210"/>
        <v>16.211502876620216</v>
      </c>
      <c r="AA438" s="170">
        <f t="shared" si="211"/>
        <v>44928.25</v>
      </c>
      <c r="AB438" s="170">
        <f t="shared" si="212"/>
        <v>2018547648.0625</v>
      </c>
      <c r="AD438" s="686">
        <f t="shared" si="213"/>
        <v>16.675648205743457</v>
      </c>
      <c r="AE438" s="687">
        <f t="shared" si="214"/>
        <v>-19.482596705529257</v>
      </c>
      <c r="AG438" s="686">
        <f t="shared" si="215"/>
        <v>-5.5054757137920838</v>
      </c>
      <c r="AH438" s="687">
        <f t="shared" si="216"/>
        <v>-55.262387530070498</v>
      </c>
      <c r="AJ438" s="170">
        <f t="shared" si="217"/>
        <v>0</v>
      </c>
      <c r="AK438" s="170">
        <f t="shared" si="229"/>
        <v>0</v>
      </c>
      <c r="AM438" s="170" t="str">
        <f t="shared" si="221"/>
        <v>0.660818916301737+0.940721102379059i</v>
      </c>
      <c r="AN438" s="170" t="str">
        <f t="shared" si="222"/>
        <v>1.22475008578859i</v>
      </c>
      <c r="AO438" s="170" t="str">
        <f t="shared" si="223"/>
        <v>0.768092293517456-0.539554088601063i</v>
      </c>
      <c r="AP438" s="170" t="str">
        <f t="shared" si="224"/>
        <v>0.0565301806163772-0.15678685039651i</v>
      </c>
      <c r="AQ438" s="170" t="str">
        <f t="shared" si="225"/>
        <v>0.943469819383623+0.15678685039651i</v>
      </c>
      <c r="AR438" s="170" t="str">
        <f t="shared" si="226"/>
        <v>0.859183771218676-0.142780102376967i</v>
      </c>
    </row>
    <row r="439" spans="7:44">
      <c r="G439" s="688">
        <v>45188.5</v>
      </c>
      <c r="H439" s="676">
        <f t="shared" si="218"/>
        <v>45.188499999999998</v>
      </c>
      <c r="I439" s="677">
        <f t="shared" si="198"/>
        <v>371.66272938629265</v>
      </c>
      <c r="J439" s="678">
        <f t="shared" si="199"/>
        <v>1.5681057120856408</v>
      </c>
      <c r="K439" s="678">
        <f t="shared" si="200"/>
        <v>1.0019489825133268</v>
      </c>
      <c r="L439" s="679">
        <f t="shared" si="201"/>
        <v>6.2383047776288642E-2</v>
      </c>
      <c r="M439" s="678">
        <f t="shared" si="202"/>
        <v>1.0287100179685444</v>
      </c>
      <c r="N439" s="679">
        <f t="shared" si="203"/>
        <v>-0.23681025483222579</v>
      </c>
      <c r="O439" s="677">
        <f t="shared" si="204"/>
        <v>1873922.944931997</v>
      </c>
      <c r="P439" s="680">
        <f t="shared" si="205"/>
        <v>1.5707957931550249</v>
      </c>
      <c r="Q439" s="689">
        <f t="shared" si="227"/>
        <v>74.963587998884975</v>
      </c>
      <c r="R439" s="690">
        <f t="shared" si="228"/>
        <v>1.5574561214033047</v>
      </c>
      <c r="S439" s="677">
        <f t="shared" si="206"/>
        <v>1.0564494911683213</v>
      </c>
      <c r="T439" s="680">
        <f t="shared" si="207"/>
        <v>0.32837772119634928</v>
      </c>
      <c r="U439" s="681">
        <f t="shared" si="219"/>
        <v>0.81594059359612603</v>
      </c>
      <c r="V439" s="682">
        <f t="shared" si="220"/>
        <v>-0.7808168820852075</v>
      </c>
      <c r="W439" s="683">
        <f t="shared" si="208"/>
        <v>-33.383239748113603</v>
      </c>
      <c r="X439" s="684">
        <f t="shared" si="209"/>
        <v>-164.15625843518382</v>
      </c>
      <c r="Y439" s="687">
        <f t="shared" si="210"/>
        <v>15.843741564816185</v>
      </c>
      <c r="AA439" s="170">
        <f t="shared" si="211"/>
        <v>45188.5</v>
      </c>
      <c r="AB439" s="170">
        <f t="shared" si="212"/>
        <v>2042000532.25</v>
      </c>
      <c r="AD439" s="686">
        <f t="shared" si="213"/>
        <v>16.670448061236868</v>
      </c>
      <c r="AE439" s="687">
        <f t="shared" si="214"/>
        <v>-19.578964424510126</v>
      </c>
      <c r="AG439" s="686">
        <f t="shared" si="215"/>
        <v>-5.535668960386646</v>
      </c>
      <c r="AH439" s="687">
        <f t="shared" si="216"/>
        <v>-55.102270076340631</v>
      </c>
      <c r="AJ439" s="170">
        <f t="shared" si="217"/>
        <v>0</v>
      </c>
      <c r="AK439" s="170">
        <f t="shared" si="229"/>
        <v>0</v>
      </c>
      <c r="AM439" s="170" t="str">
        <f t="shared" si="221"/>
        <v>0.667501294524623+0.94310371161246i</v>
      </c>
      <c r="AN439" s="170" t="str">
        <f t="shared" si="222"/>
        <v>1.23184453549065i</v>
      </c>
      <c r="AO439" s="170" t="str">
        <f t="shared" si="223"/>
        <v>0.765602869875797-0.54187137686068i</v>
      </c>
      <c r="AP439" s="170" t="str">
        <f t="shared" si="224"/>
        <v>0.0554164509125628-0.15718395193541i</v>
      </c>
      <c r="AQ439" s="170" t="str">
        <f t="shared" si="225"/>
        <v>0.944583549087437+0.15718395193541i</v>
      </c>
      <c r="AR439" s="170" t="str">
        <f t="shared" si="226"/>
        <v>0.858108395635404-0.142794005829591i</v>
      </c>
    </row>
    <row r="440" spans="7:44">
      <c r="G440" s="688">
        <v>45448.75</v>
      </c>
      <c r="H440" s="676">
        <f t="shared" si="218"/>
        <v>45.448749999999997</v>
      </c>
      <c r="I440" s="677">
        <f t="shared" si="198"/>
        <v>373.80319714016764</v>
      </c>
      <c r="J440" s="678">
        <f t="shared" si="199"/>
        <v>1.56812111909084</v>
      </c>
      <c r="K440" s="678">
        <f t="shared" si="200"/>
        <v>1.0019714742027062</v>
      </c>
      <c r="L440" s="679">
        <f t="shared" si="201"/>
        <v>6.2741385334586938E-2</v>
      </c>
      <c r="M440" s="678">
        <f t="shared" si="202"/>
        <v>1.0290369843250904</v>
      </c>
      <c r="N440" s="679">
        <f t="shared" si="203"/>
        <v>-0.23812325778713037</v>
      </c>
      <c r="O440" s="677">
        <f t="shared" si="204"/>
        <v>1884715.2581625404</v>
      </c>
      <c r="P440" s="680">
        <f t="shared" si="205"/>
        <v>1.5707957962107695</v>
      </c>
      <c r="Q440" s="689">
        <f t="shared" si="227"/>
        <v>75.395242336366991</v>
      </c>
      <c r="R440" s="690">
        <f t="shared" si="228"/>
        <v>1.5575325015040309</v>
      </c>
      <c r="S440" s="677">
        <f t="shared" si="206"/>
        <v>1.0570839603916735</v>
      </c>
      <c r="T440" s="680">
        <f t="shared" si="207"/>
        <v>0.33013481057762573</v>
      </c>
      <c r="U440" s="681">
        <f t="shared" si="219"/>
        <v>0.8143381771391206</v>
      </c>
      <c r="V440" s="682">
        <f t="shared" si="220"/>
        <v>-0.78457337841083807</v>
      </c>
      <c r="W440" s="683">
        <f t="shared" si="208"/>
        <v>-33.452463083773473</v>
      </c>
      <c r="X440" s="684">
        <f t="shared" si="209"/>
        <v>-164.52336859870914</v>
      </c>
      <c r="Y440" s="687">
        <f t="shared" si="210"/>
        <v>15.476631401290859</v>
      </c>
      <c r="AA440" s="170">
        <f t="shared" si="211"/>
        <v>45448.75</v>
      </c>
      <c r="AB440" s="170">
        <f t="shared" si="212"/>
        <v>2065588876.5625</v>
      </c>
      <c r="AD440" s="686">
        <f t="shared" si="213"/>
        <v>16.665224338591798</v>
      </c>
      <c r="AE440" s="687">
        <f t="shared" si="214"/>
        <v>-19.675262148065439</v>
      </c>
      <c r="AG440" s="686">
        <f t="shared" si="215"/>
        <v>-5.5655187893722138</v>
      </c>
      <c r="AH440" s="687">
        <f t="shared" si="216"/>
        <v>-54.94261974538874</v>
      </c>
      <c r="AJ440" s="170">
        <f t="shared" si="217"/>
        <v>0</v>
      </c>
      <c r="AK440" s="170">
        <f t="shared" si="229"/>
        <v>0</v>
      </c>
      <c r="AM440" s="170" t="str">
        <f t="shared" si="221"/>
        <v>0.674200407741675+0.945438853487791i</v>
      </c>
      <c r="AN440" s="170" t="str">
        <f t="shared" si="222"/>
        <v>1.23893898519271i</v>
      </c>
      <c r="AO440" s="170" t="str">
        <f t="shared" si="223"/>
        <v>0.763103643349098-0.5441756339896i</v>
      </c>
      <c r="AP440" s="170" t="str">
        <f t="shared" si="224"/>
        <v>0.0542999320430542-0.157573142247965i</v>
      </c>
      <c r="AQ440" s="170" t="str">
        <f t="shared" si="225"/>
        <v>0.945700067956946+0.157573142247965i</v>
      </c>
      <c r="AR440" s="170" t="str">
        <f t="shared" si="226"/>
        <v>0.857035558485347-0.142799805714854i</v>
      </c>
    </row>
    <row r="441" spans="7:44">
      <c r="G441" s="688">
        <v>45709</v>
      </c>
      <c r="H441" s="676">
        <f t="shared" si="218"/>
        <v>45.709000000000003</v>
      </c>
      <c r="I441" s="677">
        <f t="shared" si="198"/>
        <v>375.94366498176396</v>
      </c>
      <c r="J441" s="678">
        <f t="shared" si="199"/>
        <v>1.5681363506538037</v>
      </c>
      <c r="K441" s="678">
        <f t="shared" si="200"/>
        <v>1.0019940945452543</v>
      </c>
      <c r="L441" s="679">
        <f t="shared" si="201"/>
        <v>6.3099706759720223E-2</v>
      </c>
      <c r="M441" s="678">
        <f t="shared" si="202"/>
        <v>1.0293657235886937</v>
      </c>
      <c r="N441" s="679">
        <f t="shared" si="203"/>
        <v>-0.23943542435911352</v>
      </c>
      <c r="O441" s="677">
        <f t="shared" si="204"/>
        <v>1895507.571393084</v>
      </c>
      <c r="P441" s="680">
        <f t="shared" si="205"/>
        <v>1.5707957992317176</v>
      </c>
      <c r="Q441" s="689">
        <f t="shared" si="227"/>
        <v>75.826897108691</v>
      </c>
      <c r="R441" s="690">
        <f t="shared" si="228"/>
        <v>1.5576080119972773</v>
      </c>
      <c r="S441" s="677">
        <f t="shared" si="206"/>
        <v>1.0577216892958468</v>
      </c>
      <c r="T441" s="680">
        <f t="shared" si="207"/>
        <v>0.33188978657866264</v>
      </c>
      <c r="U441" s="681">
        <f t="shared" si="219"/>
        <v>0.81273520808171085</v>
      </c>
      <c r="V441" s="682">
        <f t="shared" si="220"/>
        <v>-0.78832074865842827</v>
      </c>
      <c r="W441" s="683">
        <f t="shared" si="208"/>
        <v>-33.521449445978433</v>
      </c>
      <c r="X441" s="684">
        <f t="shared" si="209"/>
        <v>-164.88982756260617</v>
      </c>
      <c r="Y441" s="687">
        <f t="shared" si="210"/>
        <v>15.110172437393828</v>
      </c>
      <c r="AA441" s="170">
        <f t="shared" si="211"/>
        <v>45709</v>
      </c>
      <c r="AB441" s="170">
        <f t="shared" si="212"/>
        <v>2089312681</v>
      </c>
      <c r="AD441" s="686">
        <f t="shared" si="213"/>
        <v>16.659977127157855</v>
      </c>
      <c r="AE441" s="687">
        <f t="shared" si="214"/>
        <v>-19.771488606697151</v>
      </c>
      <c r="AG441" s="686">
        <f t="shared" si="215"/>
        <v>-5.5950290800145011</v>
      </c>
      <c r="AH441" s="687">
        <f t="shared" si="216"/>
        <v>-54.78343525124378</v>
      </c>
      <c r="AJ441" s="170">
        <f t="shared" si="217"/>
        <v>0</v>
      </c>
      <c r="AK441" s="170">
        <f t="shared" si="229"/>
        <v>0</v>
      </c>
      <c r="AM441" s="170" t="str">
        <f t="shared" si="221"/>
        <v>0.680915918779787+0.947726410475013i</v>
      </c>
      <c r="AN441" s="170" t="str">
        <f t="shared" si="222"/>
        <v>1.24603343489477i</v>
      </c>
      <c r="AO441" s="170" t="str">
        <f t="shared" si="223"/>
        <v>0.76059468705593-0.546466811973863i</v>
      </c>
      <c r="AP441" s="170" t="str">
        <f t="shared" si="224"/>
        <v>0.0531806802033688-0.157954401745835i</v>
      </c>
      <c r="AQ441" s="170" t="str">
        <f t="shared" si="225"/>
        <v>0.946819319796631+0.157954401745835i</v>
      </c>
      <c r="AR441" s="170" t="str">
        <f t="shared" si="226"/>
        <v>0.855965314402464-0.142797560553229i</v>
      </c>
    </row>
    <row r="442" spans="7:44">
      <c r="G442" s="688">
        <v>45975.25</v>
      </c>
      <c r="H442" s="676">
        <f t="shared" si="218"/>
        <v>45.975250000000003</v>
      </c>
      <c r="I442" s="677">
        <f t="shared" si="198"/>
        <v>378.13348087435116</v>
      </c>
      <c r="J442" s="678">
        <f t="shared" si="199"/>
        <v>1.5681517549275354</v>
      </c>
      <c r="K442" s="678">
        <f t="shared" si="200"/>
        <v>1.0020173695216334</v>
      </c>
      <c r="L442" s="679">
        <f t="shared" si="201"/>
        <v>6.3466272407356639E-2</v>
      </c>
      <c r="M442" s="678">
        <f t="shared" si="202"/>
        <v>1.0297038747738601</v>
      </c>
      <c r="N442" s="679">
        <f t="shared" si="203"/>
        <v>-0.24077697320667876</v>
      </c>
      <c r="O442" s="677">
        <f t="shared" si="204"/>
        <v>1906548.6987615074</v>
      </c>
      <c r="P442" s="680">
        <f t="shared" si="205"/>
        <v>1.5707958022869202</v>
      </c>
      <c r="Q442" s="689">
        <f t="shared" si="227"/>
        <v>76.268504018350299</v>
      </c>
      <c r="R442" s="690">
        <f t="shared" si="228"/>
        <v>1.5576843788511257</v>
      </c>
      <c r="S442" s="677">
        <f t="shared" si="206"/>
        <v>1.0583774880127468</v>
      </c>
      <c r="T442" s="680">
        <f t="shared" si="207"/>
        <v>0.33368302881575707</v>
      </c>
      <c r="U442" s="681">
        <f t="shared" si="219"/>
        <v>0.81109478164080584</v>
      </c>
      <c r="V442" s="682">
        <f t="shared" si="220"/>
        <v>-0.79214509277781342</v>
      </c>
      <c r="W442" s="683">
        <f t="shared" si="208"/>
        <v>-33.591783768025479</v>
      </c>
      <c r="X442" s="684">
        <f t="shared" si="209"/>
        <v>-165.26406125126377</v>
      </c>
      <c r="Y442" s="687">
        <f t="shared" si="210"/>
        <v>14.735938748736231</v>
      </c>
      <c r="AA442" s="170">
        <f t="shared" si="211"/>
        <v>45975.25</v>
      </c>
      <c r="AB442" s="170">
        <f t="shared" si="212"/>
        <v>2113723612.5625</v>
      </c>
      <c r="AD442" s="686">
        <f t="shared" si="213"/>
        <v>16.654584728663824</v>
      </c>
      <c r="AE442" s="687">
        <f t="shared" si="214"/>
        <v>-19.869858495269678</v>
      </c>
      <c r="AG442" s="686">
        <f t="shared" si="215"/>
        <v>-5.6248723344645937</v>
      </c>
      <c r="AH442" s="687">
        <f t="shared" si="216"/>
        <v>-54.621061495935166</v>
      </c>
      <c r="AJ442" s="170">
        <f t="shared" si="217"/>
        <v>0</v>
      </c>
      <c r="AK442" s="170">
        <f t="shared" si="229"/>
        <v>0</v>
      </c>
      <c r="AM442" s="170" t="str">
        <f t="shared" si="221"/>
        <v>0.687802871060607+0.95001734335853i</v>
      </c>
      <c r="AN442" s="170" t="str">
        <f t="shared" si="222"/>
        <v>1.25329144539687i</v>
      </c>
      <c r="AO442" s="170" t="str">
        <f t="shared" si="223"/>
        <v>0.758017895077625-0.548797227960657i</v>
      </c>
      <c r="AP442" s="170" t="str">
        <f t="shared" si="224"/>
        <v>0.0520328548232322-0.158336223893088i</v>
      </c>
      <c r="AQ442" s="170" t="str">
        <f t="shared" si="225"/>
        <v>0.947967145176768+0.158336223893088i</v>
      </c>
      <c r="AR442" s="170" t="str">
        <f t="shared" si="226"/>
        <v>0.854873135445483-0.142786999383657i</v>
      </c>
    </row>
    <row r="443" spans="7:44">
      <c r="G443" s="688">
        <v>46241.5</v>
      </c>
      <c r="H443" s="676">
        <f t="shared" si="218"/>
        <v>46.241500000000002</v>
      </c>
      <c r="I443" s="677">
        <f t="shared" si="198"/>
        <v>380.32329685563303</v>
      </c>
      <c r="J443" s="678">
        <f t="shared" si="199"/>
        <v>1.5681669818125854</v>
      </c>
      <c r="K443" s="678">
        <f t="shared" si="200"/>
        <v>1.0020407791331958</v>
      </c>
      <c r="L443" s="679">
        <f t="shared" si="201"/>
        <v>6.3832820976878743E-2</v>
      </c>
      <c r="M443" s="678">
        <f t="shared" si="202"/>
        <v>1.0300438779532632</v>
      </c>
      <c r="N443" s="679">
        <f t="shared" si="203"/>
        <v>-0.24211763881249967</v>
      </c>
      <c r="O443" s="677">
        <f t="shared" si="204"/>
        <v>1917589.8261299308</v>
      </c>
      <c r="P443" s="680">
        <f t="shared" si="205"/>
        <v>1.57079580530694</v>
      </c>
      <c r="Q443" s="689">
        <f t="shared" si="227"/>
        <v>76.710111367678451</v>
      </c>
      <c r="R443" s="690">
        <f t="shared" si="228"/>
        <v>1.5577598664428645</v>
      </c>
      <c r="S443" s="677">
        <f t="shared" si="206"/>
        <v>1.0590366859514087</v>
      </c>
      <c r="T443" s="680">
        <f t="shared" si="207"/>
        <v>0.33547404439715711</v>
      </c>
      <c r="U443" s="681">
        <f t="shared" si="219"/>
        <v>0.80945391911449305</v>
      </c>
      <c r="V443" s="682">
        <f t="shared" si="220"/>
        <v>-0.79595993290819222</v>
      </c>
      <c r="W443" s="683">
        <f t="shared" si="208"/>
        <v>-33.661875548357294</v>
      </c>
      <c r="X443" s="684">
        <f t="shared" si="209"/>
        <v>-165.63761340833719</v>
      </c>
      <c r="Y443" s="687">
        <f t="shared" si="210"/>
        <v>14.362386591662812</v>
      </c>
      <c r="AA443" s="170">
        <f t="shared" si="211"/>
        <v>46241.5</v>
      </c>
      <c r="AB443" s="170">
        <f t="shared" si="212"/>
        <v>2138276322.25</v>
      </c>
      <c r="AD443" s="686">
        <f t="shared" si="213"/>
        <v>16.649167935827734</v>
      </c>
      <c r="AE443" s="687">
        <f t="shared" si="214"/>
        <v>-19.968151181860534</v>
      </c>
      <c r="AG443" s="686">
        <f t="shared" si="215"/>
        <v>-5.6543682355711544</v>
      </c>
      <c r="AH443" s="687">
        <f t="shared" si="216"/>
        <v>-54.459172487942553</v>
      </c>
      <c r="AJ443" s="170">
        <f t="shared" si="217"/>
        <v>0</v>
      </c>
      <c r="AK443" s="170">
        <f t="shared" si="229"/>
        <v>0</v>
      </c>
      <c r="AM443" s="170" t="str">
        <f t="shared" si="221"/>
        <v>0.694706269413271+0.952258230767494i</v>
      </c>
      <c r="AN443" s="170" t="str">
        <f t="shared" si="222"/>
        <v>1.26054945589898i</v>
      </c>
      <c r="AO443" s="170" t="str">
        <f t="shared" si="223"/>
        <v>0.755431075164264-0.551113854488026i</v>
      </c>
      <c r="AP443" s="170" t="str">
        <f t="shared" si="224"/>
        <v>0.0508822884311215-0.158709705127916i</v>
      </c>
      <c r="AQ443" s="170" t="str">
        <f t="shared" si="225"/>
        <v>0.949117711568878+0.158709705127916i</v>
      </c>
      <c r="AR443" s="170" t="str">
        <f t="shared" si="226"/>
        <v>0.853783782947378-0.142768142226099i</v>
      </c>
    </row>
    <row r="444" spans="7:44">
      <c r="G444" s="688">
        <v>46507.75</v>
      </c>
      <c r="H444" s="676">
        <f t="shared" si="218"/>
        <v>46.507750000000001</v>
      </c>
      <c r="I444" s="677">
        <f t="shared" si="198"/>
        <v>382.51311292408633</v>
      </c>
      <c r="J444" s="678">
        <f t="shared" si="199"/>
        <v>1.5681820343554977</v>
      </c>
      <c r="K444" s="678">
        <f t="shared" si="200"/>
        <v>1.002064323370506</v>
      </c>
      <c r="L444" s="679">
        <f t="shared" si="201"/>
        <v>6.4199352370989532E-2</v>
      </c>
      <c r="M444" s="678">
        <f t="shared" si="202"/>
        <v>1.0303857312935591</v>
      </c>
      <c r="N444" s="679">
        <f t="shared" si="203"/>
        <v>-0.24345741723393571</v>
      </c>
      <c r="O444" s="677">
        <f t="shared" si="204"/>
        <v>1928630.9534983542</v>
      </c>
      <c r="P444" s="680">
        <f t="shared" si="205"/>
        <v>1.5707958082923816</v>
      </c>
      <c r="Q444" s="689">
        <f t="shared" si="227"/>
        <v>77.151719149125611</v>
      </c>
      <c r="R444" s="690">
        <f t="shared" si="228"/>
        <v>1.5578344898700187</v>
      </c>
      <c r="S444" s="677">
        <f t="shared" si="206"/>
        <v>1.0596992767682598</v>
      </c>
      <c r="T444" s="680">
        <f t="shared" si="207"/>
        <v>0.33726282599875279</v>
      </c>
      <c r="U444" s="681">
        <f t="shared" si="219"/>
        <v>0.80781269105449094</v>
      </c>
      <c r="V444" s="682">
        <f t="shared" si="220"/>
        <v>-0.79976529391820705</v>
      </c>
      <c r="W444" s="683">
        <f t="shared" si="208"/>
        <v>-33.731727479896549</v>
      </c>
      <c r="X444" s="684">
        <f t="shared" si="209"/>
        <v>-166.0104841282965</v>
      </c>
      <c r="Y444" s="687">
        <f t="shared" si="210"/>
        <v>13.989515871703503</v>
      </c>
      <c r="AA444" s="170">
        <f t="shared" si="211"/>
        <v>46507.75</v>
      </c>
      <c r="AB444" s="170">
        <f t="shared" si="212"/>
        <v>2162970810.0625</v>
      </c>
      <c r="AD444" s="686">
        <f t="shared" si="213"/>
        <v>16.64372684511476</v>
      </c>
      <c r="AE444" s="687">
        <f t="shared" si="214"/>
        <v>-20.066365381839304</v>
      </c>
      <c r="AG444" s="686">
        <f t="shared" si="215"/>
        <v>-5.6835207445821778</v>
      </c>
      <c r="AH444" s="687">
        <f t="shared" si="216"/>
        <v>-54.297766756629827</v>
      </c>
      <c r="AJ444" s="170">
        <f t="shared" si="217"/>
        <v>0</v>
      </c>
      <c r="AK444" s="170">
        <f t="shared" si="229"/>
        <v>0</v>
      </c>
      <c r="AM444" s="170" t="str">
        <f t="shared" si="221"/>
        <v>0.701625750177193+0.954448954655343i</v>
      </c>
      <c r="AN444" s="170" t="str">
        <f t="shared" si="222"/>
        <v>1.26780746640108i</v>
      </c>
      <c r="AO444" s="170" t="str">
        <f t="shared" si="223"/>
        <v>0.752834306430403-0.553416641541712i</v>
      </c>
      <c r="AP444" s="170" t="str">
        <f t="shared" si="224"/>
        <v>0.0497290416371345-0.15907482577589i</v>
      </c>
      <c r="AQ444" s="170" t="str">
        <f t="shared" si="225"/>
        <v>0.950270958362865+0.15907482577589i</v>
      </c>
      <c r="AR444" s="170" t="str">
        <f t="shared" si="226"/>
        <v>0.852697312147002-0.142741052092174i</v>
      </c>
    </row>
    <row r="445" spans="7:44">
      <c r="G445" s="688">
        <v>46774</v>
      </c>
      <c r="H445" s="676">
        <f t="shared" si="218"/>
        <v>46.774000000000001</v>
      </c>
      <c r="I445" s="677">
        <f t="shared" si="198"/>
        <v>384.70292907822233</v>
      </c>
      <c r="J445" s="678">
        <f t="shared" si="199"/>
        <v>1.5681969155334501</v>
      </c>
      <c r="K445" s="678">
        <f t="shared" si="200"/>
        <v>1.0020880022240743</v>
      </c>
      <c r="L445" s="679">
        <f t="shared" si="201"/>
        <v>6.4565866492419619E-2</v>
      </c>
      <c r="M445" s="678">
        <f t="shared" si="202"/>
        <v>1.0307294329538657</v>
      </c>
      <c r="N445" s="679">
        <f t="shared" si="203"/>
        <v>-0.24479630454630258</v>
      </c>
      <c r="O445" s="677">
        <f t="shared" si="204"/>
        <v>1939672.0808667778</v>
      </c>
      <c r="P445" s="680">
        <f t="shared" si="205"/>
        <v>1.5707958112438352</v>
      </c>
      <c r="Q445" s="689">
        <f t="shared" si="227"/>
        <v>77.593327355313804</v>
      </c>
      <c r="R445" s="690">
        <f t="shared" si="228"/>
        <v>1.5579082638864532</v>
      </c>
      <c r="S445" s="677">
        <f t="shared" si="206"/>
        <v>1.0603652541029724</v>
      </c>
      <c r="T445" s="680">
        <f t="shared" si="207"/>
        <v>0.3390493663718786</v>
      </c>
      <c r="U445" s="681">
        <f t="shared" si="219"/>
        <v>0.80617116707315217</v>
      </c>
      <c r="V445" s="682">
        <f t="shared" si="220"/>
        <v>-0.80356120115310714</v>
      </c>
      <c r="W445" s="683">
        <f t="shared" si="208"/>
        <v>-33.801342203203397</v>
      </c>
      <c r="X445" s="684">
        <f t="shared" si="209"/>
        <v>-166.3826735539842</v>
      </c>
      <c r="Y445" s="687">
        <f t="shared" si="210"/>
        <v>13.617326446015795</v>
      </c>
      <c r="AA445" s="170">
        <f t="shared" si="211"/>
        <v>46774</v>
      </c>
      <c r="AB445" s="170">
        <f t="shared" si="212"/>
        <v>2187807076</v>
      </c>
      <c r="AD445" s="686">
        <f t="shared" si="213"/>
        <v>16.638261553240095</v>
      </c>
      <c r="AE445" s="687">
        <f t="shared" si="214"/>
        <v>-20.164499834587684</v>
      </c>
      <c r="AG445" s="686">
        <f t="shared" si="215"/>
        <v>-5.7123337605115072</v>
      </c>
      <c r="AH445" s="687">
        <f t="shared" si="216"/>
        <v>-54.136842801106198</v>
      </c>
      <c r="AJ445" s="170">
        <f t="shared" si="217"/>
        <v>0</v>
      </c>
      <c r="AK445" s="170">
        <f t="shared" si="229"/>
        <v>0</v>
      </c>
      <c r="AM445" s="170" t="str">
        <f t="shared" si="221"/>
        <v>0.708560948844625+0.956589399618068i</v>
      </c>
      <c r="AN445" s="170" t="str">
        <f t="shared" si="222"/>
        <v>1.27506547690319i</v>
      </c>
      <c r="AO445" s="170" t="str">
        <f t="shared" si="223"/>
        <v>0.750227668261696-0.55570553958181i</v>
      </c>
      <c r="AP445" s="170" t="str">
        <f t="shared" si="224"/>
        <v>0.0485731751925625-0.159431566603011i</v>
      </c>
      <c r="AQ445" s="170" t="str">
        <f t="shared" si="225"/>
        <v>0.951426824807437+0.159431566603011i</v>
      </c>
      <c r="AR445" s="170" t="str">
        <f t="shared" si="226"/>
        <v>0.851613777201839-0.142705792079676i</v>
      </c>
    </row>
    <row r="446" spans="7:44">
      <c r="G446" s="688">
        <v>47046.25</v>
      </c>
      <c r="H446" s="676">
        <f t="shared" si="218"/>
        <v>47.046250000000001</v>
      </c>
      <c r="I446" s="677">
        <f t="shared" si="198"/>
        <v>386.94209328911433</v>
      </c>
      <c r="J446" s="678">
        <f t="shared" si="199"/>
        <v>1.5682119578918883</v>
      </c>
      <c r="K446" s="678">
        <f t="shared" si="200"/>
        <v>1.0021123538765175</v>
      </c>
      <c r="L446" s="679">
        <f t="shared" si="201"/>
        <v>6.4940622124768282E-2</v>
      </c>
      <c r="M446" s="678">
        <f t="shared" si="202"/>
        <v>1.0310827893457308</v>
      </c>
      <c r="N446" s="679">
        <f t="shared" si="203"/>
        <v>-0.24616443843980829</v>
      </c>
      <c r="O446" s="677">
        <f t="shared" si="204"/>
        <v>1950962.0223730814</v>
      </c>
      <c r="P446" s="680">
        <f t="shared" si="205"/>
        <v>1.5707958142272564</v>
      </c>
      <c r="Q446" s="689">
        <f t="shared" si="227"/>
        <v>78.044887727420701</v>
      </c>
      <c r="R446" s="690">
        <f t="shared" si="228"/>
        <v>1.5579828370981736</v>
      </c>
      <c r="S446" s="677">
        <f t="shared" si="206"/>
        <v>1.0610497345855978</v>
      </c>
      <c r="T446" s="680">
        <f t="shared" si="207"/>
        <v>0.34087384177949581</v>
      </c>
      <c r="U446" s="681">
        <f t="shared" si="219"/>
        <v>0.80449241654621562</v>
      </c>
      <c r="V446" s="682">
        <f t="shared" si="220"/>
        <v>-0.80743290111438415</v>
      </c>
      <c r="W446" s="683">
        <f t="shared" si="208"/>
        <v>-33.872283119760318</v>
      </c>
      <c r="X446" s="684">
        <f t="shared" si="209"/>
        <v>-166.76254604854017</v>
      </c>
      <c r="Y446" s="687">
        <f t="shared" si="210"/>
        <v>13.237453951459827</v>
      </c>
      <c r="AA446" s="170">
        <f t="shared" si="211"/>
        <v>47046.25</v>
      </c>
      <c r="AB446" s="170">
        <f t="shared" si="212"/>
        <v>2213349639.0625</v>
      </c>
      <c r="AD446" s="686">
        <f t="shared" si="213"/>
        <v>16.632648175497515</v>
      </c>
      <c r="AE446" s="687">
        <f t="shared" si="214"/>
        <v>-20.264762016025266</v>
      </c>
      <c r="AG446" s="686">
        <f t="shared" si="215"/>
        <v>-5.7414490269799394</v>
      </c>
      <c r="AH446" s="687">
        <f t="shared" si="216"/>
        <v>-53.972788979073378</v>
      </c>
      <c r="AJ446" s="170">
        <f t="shared" si="217"/>
        <v>0</v>
      </c>
      <c r="AK446" s="170">
        <f t="shared" si="229"/>
        <v>0</v>
      </c>
      <c r="AM446" s="170" t="str">
        <f t="shared" si="221"/>
        <v>0.715668306262736+0.958725971243347i</v>
      </c>
      <c r="AN446" s="170" t="str">
        <f t="shared" si="222"/>
        <v>1.28248704820534i</v>
      </c>
      <c r="AO446" s="170" t="str">
        <f t="shared" si="223"/>
        <v>0.747552166382459-0.558031605281483i</v>
      </c>
      <c r="AP446" s="170" t="str">
        <f t="shared" si="224"/>
        <v>0.0473886156228773-0.159787661873891i</v>
      </c>
      <c r="AQ446" s="170" t="str">
        <f t="shared" si="225"/>
        <v>0.952611384377123+0.159787661873891i</v>
      </c>
      <c r="AR446" s="170" t="str">
        <f t="shared" si="226"/>
        <v>0.850508915708236-0.142661355168223i</v>
      </c>
    </row>
    <row r="447" spans="7:44">
      <c r="G447" s="688">
        <v>47318.5</v>
      </c>
      <c r="H447" s="676">
        <f t="shared" si="218"/>
        <v>47.3185</v>
      </c>
      <c r="I447" s="677">
        <f t="shared" si="198"/>
        <v>389.18125758655316</v>
      </c>
      <c r="J447" s="678">
        <f t="shared" si="199"/>
        <v>1.5682268271571436</v>
      </c>
      <c r="K447" s="678">
        <f t="shared" si="200"/>
        <v>1.0021368462605558</v>
      </c>
      <c r="L447" s="679">
        <f t="shared" si="201"/>
        <v>6.5315359491568983E-2</v>
      </c>
      <c r="M447" s="678">
        <f t="shared" si="202"/>
        <v>1.0314380743839429</v>
      </c>
      <c r="N447" s="679">
        <f t="shared" si="203"/>
        <v>-0.24753163236707926</v>
      </c>
      <c r="O447" s="677">
        <f t="shared" si="204"/>
        <v>1962251.963879385</v>
      </c>
      <c r="P447" s="680">
        <f t="shared" si="205"/>
        <v>1.570795817176347</v>
      </c>
      <c r="Q447" s="689">
        <f t="shared" si="227"/>
        <v>78.496448528554495</v>
      </c>
      <c r="R447" s="690">
        <f t="shared" si="228"/>
        <v>1.5580565523265351</v>
      </c>
      <c r="S447" s="677">
        <f t="shared" si="206"/>
        <v>1.0617377424348544</v>
      </c>
      <c r="T447" s="680">
        <f t="shared" si="207"/>
        <v>0.34269595871959158</v>
      </c>
      <c r="U447" s="681">
        <f t="shared" si="219"/>
        <v>0.80281350083111847</v>
      </c>
      <c r="V447" s="682">
        <f t="shared" si="220"/>
        <v>-0.81129477149677121</v>
      </c>
      <c r="W447" s="683">
        <f t="shared" si="208"/>
        <v>-33.942981438643415</v>
      </c>
      <c r="X447" s="684">
        <f t="shared" si="209"/>
        <v>-167.14170664926564</v>
      </c>
      <c r="Y447" s="687">
        <f t="shared" si="210"/>
        <v>12.858293350734357</v>
      </c>
      <c r="AA447" s="170">
        <f t="shared" si="211"/>
        <v>47318.5</v>
      </c>
      <c r="AB447" s="170">
        <f t="shared" si="212"/>
        <v>2239040442.25</v>
      </c>
      <c r="AD447" s="686">
        <f t="shared" si="213"/>
        <v>16.627009698836087</v>
      </c>
      <c r="AE447" s="687">
        <f t="shared" si="214"/>
        <v>-20.364938224086004</v>
      </c>
      <c r="AG447" s="686">
        <f t="shared" si="215"/>
        <v>-5.7702173785549826</v>
      </c>
      <c r="AH447" s="687">
        <f t="shared" si="216"/>
        <v>-53.809235623357743</v>
      </c>
      <c r="AJ447" s="170">
        <f t="shared" si="217"/>
        <v>0</v>
      </c>
      <c r="AK447" s="170">
        <f t="shared" si="229"/>
        <v>0</v>
      </c>
      <c r="AM447" s="170" t="str">
        <f t="shared" si="221"/>
        <v>0.722791324519211+0.960809736752385i</v>
      </c>
      <c r="AN447" s="170" t="str">
        <f t="shared" si="222"/>
        <v>1.28990861950749i</v>
      </c>
      <c r="AO447" s="170" t="str">
        <f t="shared" si="223"/>
        <v>0.744866513969989-0.560343045692016i</v>
      </c>
      <c r="AP447" s="170" t="str">
        <f t="shared" si="224"/>
        <v>0.0462014459134648-0.160134956125397i</v>
      </c>
      <c r="AQ447" s="170" t="str">
        <f t="shared" si="225"/>
        <v>0.953798554086535+0.160134956125397i</v>
      </c>
      <c r="AR447" s="170" t="str">
        <f t="shared" si="226"/>
        <v>0.849407234989452-0.142608509653172i</v>
      </c>
    </row>
    <row r="448" spans="7:44">
      <c r="G448" s="688">
        <v>47590.75</v>
      </c>
      <c r="H448" s="676">
        <f t="shared" si="218"/>
        <v>47.59075</v>
      </c>
      <c r="I448" s="677">
        <f t="shared" si="198"/>
        <v>391.42042196905356</v>
      </c>
      <c r="J448" s="678">
        <f t="shared" si="199"/>
        <v>1.5682415262998062</v>
      </c>
      <c r="K448" s="678">
        <f t="shared" si="200"/>
        <v>1.0021614793658713</v>
      </c>
      <c r="L448" s="679">
        <f t="shared" si="201"/>
        <v>6.5690078488917489E-2</v>
      </c>
      <c r="M448" s="678">
        <f t="shared" si="202"/>
        <v>1.0317952860761901</v>
      </c>
      <c r="N448" s="679">
        <f t="shared" si="203"/>
        <v>-0.24889788219059</v>
      </c>
      <c r="O448" s="677">
        <f t="shared" si="204"/>
        <v>1973541.9053856884</v>
      </c>
      <c r="P448" s="680">
        <f t="shared" si="205"/>
        <v>1.570795820091696</v>
      </c>
      <c r="Q448" s="689">
        <f t="shared" si="227"/>
        <v>78.948009751353439</v>
      </c>
      <c r="R448" s="690">
        <f t="shared" si="228"/>
        <v>1.5581294242930264</v>
      </c>
      <c r="S448" s="677">
        <f t="shared" si="206"/>
        <v>1.0624292707979872</v>
      </c>
      <c r="T448" s="680">
        <f t="shared" si="207"/>
        <v>0.34451570968658435</v>
      </c>
      <c r="U448" s="681">
        <f t="shared" si="219"/>
        <v>0.80113449133124626</v>
      </c>
      <c r="V448" s="682">
        <f t="shared" si="220"/>
        <v>-0.8151468408826682</v>
      </c>
      <c r="W448" s="683">
        <f t="shared" si="208"/>
        <v>-34.013439821584008</v>
      </c>
      <c r="X448" s="684">
        <f t="shared" si="209"/>
        <v>-167.52015565942077</v>
      </c>
      <c r="Y448" s="687">
        <f t="shared" si="210"/>
        <v>12.479844340579234</v>
      </c>
      <c r="AA448" s="170">
        <f t="shared" si="211"/>
        <v>47590.75</v>
      </c>
      <c r="AB448" s="170">
        <f t="shared" si="212"/>
        <v>2264879485.5625</v>
      </c>
      <c r="AD448" s="686">
        <f t="shared" si="213"/>
        <v>16.621346227414783</v>
      </c>
      <c r="AE448" s="687">
        <f t="shared" si="214"/>
        <v>-20.465027185286324</v>
      </c>
      <c r="AG448" s="686">
        <f t="shared" si="215"/>
        <v>-5.7986427902767979</v>
      </c>
      <c r="AH448" s="687">
        <f t="shared" si="216"/>
        <v>-53.646181035401227</v>
      </c>
      <c r="AJ448" s="170">
        <f t="shared" si="217"/>
        <v>0</v>
      </c>
      <c r="AK448" s="170">
        <f t="shared" si="229"/>
        <v>0</v>
      </c>
      <c r="AM448" s="170" t="str">
        <f t="shared" si="221"/>
        <v>0.729929611282004+0.962840581372488i</v>
      </c>
      <c r="AN448" s="170" t="str">
        <f t="shared" si="222"/>
        <v>1.29733019080965i</v>
      </c>
      <c r="AO448" s="170" t="str">
        <f t="shared" si="223"/>
        <v>0.742170796758834-0.562639809396914i</v>
      </c>
      <c r="AP448" s="170" t="str">
        <f t="shared" si="224"/>
        <v>0.0450117314529993-0.160473430228748i</v>
      </c>
      <c r="AQ448" s="170" t="str">
        <f t="shared" si="225"/>
        <v>0.954988268547001+0.160473430228748i</v>
      </c>
      <c r="AR448" s="170" t="str">
        <f t="shared" si="226"/>
        <v>0.848308789502528-0.142547323174753i</v>
      </c>
    </row>
    <row r="449" spans="7:44">
      <c r="G449" s="688">
        <v>47863</v>
      </c>
      <c r="H449" s="676">
        <f t="shared" si="218"/>
        <v>47.863</v>
      </c>
      <c r="I449" s="677">
        <f t="shared" si="198"/>
        <v>393.6595864351641</v>
      </c>
      <c r="J449" s="678">
        <f t="shared" si="199"/>
        <v>1.5682560582228786</v>
      </c>
      <c r="K449" s="678">
        <f t="shared" si="200"/>
        <v>1.0021862531820873</v>
      </c>
      <c r="L449" s="679">
        <f t="shared" si="201"/>
        <v>6.6064779012940417E-2</v>
      </c>
      <c r="M449" s="678">
        <f t="shared" si="202"/>
        <v>1.0321544224221229</v>
      </c>
      <c r="N449" s="679">
        <f t="shared" si="203"/>
        <v>-0.25026318379262547</v>
      </c>
      <c r="O449" s="677">
        <f t="shared" si="204"/>
        <v>1984831.846891992</v>
      </c>
      <c r="P449" s="680">
        <f t="shared" si="205"/>
        <v>1.5707958229738794</v>
      </c>
      <c r="Q449" s="689">
        <f t="shared" si="227"/>
        <v>79.399571388623258</v>
      </c>
      <c r="R449" s="690">
        <f t="shared" si="228"/>
        <v>1.5582014673842761</v>
      </c>
      <c r="S449" s="677">
        <f t="shared" si="206"/>
        <v>1.0631243128050512</v>
      </c>
      <c r="T449" s="680">
        <f t="shared" si="207"/>
        <v>0.34633308725705014</v>
      </c>
      <c r="U449" s="681">
        <f t="shared" si="219"/>
        <v>0.79945545844046262</v>
      </c>
      <c r="V449" s="682">
        <f t="shared" si="220"/>
        <v>-0.81898913833455567</v>
      </c>
      <c r="W449" s="683">
        <f t="shared" si="208"/>
        <v>-34.083660878633445</v>
      </c>
      <c r="X449" s="684">
        <f t="shared" si="209"/>
        <v>-167.89789343092556</v>
      </c>
      <c r="Y449" s="687">
        <f t="shared" si="210"/>
        <v>12.102106569074436</v>
      </c>
      <c r="AA449" s="170">
        <f t="shared" si="211"/>
        <v>47863</v>
      </c>
      <c r="AB449" s="170">
        <f t="shared" si="212"/>
        <v>2290866769</v>
      </c>
      <c r="AD449" s="686">
        <f t="shared" si="213"/>
        <v>16.615657865629895</v>
      </c>
      <c r="AE449" s="687">
        <f t="shared" si="214"/>
        <v>-20.565027650035287</v>
      </c>
      <c r="AG449" s="686">
        <f t="shared" si="215"/>
        <v>-5.826729174630608</v>
      </c>
      <c r="AH449" s="687">
        <f t="shared" si="216"/>
        <v>-53.483623486399942</v>
      </c>
      <c r="AJ449" s="170">
        <f t="shared" si="217"/>
        <v>0</v>
      </c>
      <c r="AK449" s="170">
        <f t="shared" si="229"/>
        <v>0</v>
      </c>
      <c r="AM449" s="170" t="str">
        <f t="shared" si="221"/>
        <v>0.737082773378061+0.964818393245811i</v>
      </c>
      <c r="AN449" s="170" t="str">
        <f t="shared" si="222"/>
        <v>1.3047517621118i</v>
      </c>
      <c r="AO449" s="170" t="str">
        <f t="shared" si="223"/>
        <v>0.739465100766914-0.564921845504971i</v>
      </c>
      <c r="AP449" s="170" t="str">
        <f t="shared" si="224"/>
        <v>0.0438195377703232-0.160803065540968i</v>
      </c>
      <c r="AQ449" s="170" t="str">
        <f t="shared" si="225"/>
        <v>0.956180462229677+0.160803065540968i</v>
      </c>
      <c r="AR449" s="170" t="str">
        <f t="shared" si="226"/>
        <v>0.847213632565059-0.142477863401309i</v>
      </c>
    </row>
    <row r="450" spans="7:44">
      <c r="G450" s="688">
        <v>48141.75</v>
      </c>
      <c r="H450" s="676">
        <f t="shared" si="218"/>
        <v>48.141750000000002</v>
      </c>
      <c r="I450" s="677">
        <f t="shared" si="198"/>
        <v>395.95221129507047</v>
      </c>
      <c r="J450" s="678">
        <f t="shared" si="199"/>
        <v>1.5682707668041957</v>
      </c>
      <c r="K450" s="678">
        <f t="shared" si="200"/>
        <v>1.0022117642553494</v>
      </c>
      <c r="L450" s="679">
        <f t="shared" si="201"/>
        <v>6.644840630636728E-2</v>
      </c>
      <c r="M450" s="678">
        <f t="shared" si="202"/>
        <v>1.032524125221318</v>
      </c>
      <c r="N450" s="679">
        <f t="shared" si="203"/>
        <v>-0.25166009539760154</v>
      </c>
      <c r="O450" s="677">
        <f t="shared" si="204"/>
        <v>1996391.3370476656</v>
      </c>
      <c r="P450" s="680">
        <f t="shared" si="205"/>
        <v>1.5707958258911001</v>
      </c>
      <c r="Q450" s="689">
        <f t="shared" si="227"/>
        <v>79.861914533904994</v>
      </c>
      <c r="R450" s="690">
        <f t="shared" si="228"/>
        <v>1.5582743863996571</v>
      </c>
      <c r="S450" s="677">
        <f t="shared" si="206"/>
        <v>1.0638395823058069</v>
      </c>
      <c r="T450" s="680">
        <f t="shared" si="207"/>
        <v>0.34819138818858464</v>
      </c>
      <c r="U450" s="681">
        <f t="shared" si="219"/>
        <v>0.79773638667131019</v>
      </c>
      <c r="V450" s="682">
        <f t="shared" si="220"/>
        <v>-0.82291307724590257</v>
      </c>
      <c r="W450" s="683">
        <f t="shared" si="208"/>
        <v>-34.155315251549226</v>
      </c>
      <c r="X450" s="684">
        <f t="shared" si="209"/>
        <v>-168.2839132399437</v>
      </c>
      <c r="Y450" s="687">
        <f t="shared" si="210"/>
        <v>11.716086760056299</v>
      </c>
      <c r="AA450" s="170">
        <f t="shared" si="211"/>
        <v>48141.75</v>
      </c>
      <c r="AB450" s="170">
        <f t="shared" si="212"/>
        <v>2317628093.0625</v>
      </c>
      <c r="AD450" s="686">
        <f t="shared" si="213"/>
        <v>16.609808013972184</v>
      </c>
      <c r="AE450" s="687">
        <f t="shared" si="214"/>
        <v>-20.667322665911176</v>
      </c>
      <c r="AG450" s="686">
        <f t="shared" si="215"/>
        <v>-5.8551388807866678</v>
      </c>
      <c r="AH450" s="687">
        <f t="shared" si="216"/>
        <v>-53.317698001653689</v>
      </c>
      <c r="AJ450" s="170">
        <f t="shared" si="217"/>
        <v>0</v>
      </c>
      <c r="AK450" s="170">
        <f t="shared" si="229"/>
        <v>0</v>
      </c>
      <c r="AM450" s="170" t="str">
        <f t="shared" si="221"/>
        <v>0.744421718870274+0.966788364749377i</v>
      </c>
      <c r="AN450" s="170" t="str">
        <f t="shared" si="222"/>
        <v>1.31235052428067i</v>
      </c>
      <c r="AO450" s="170" t="str">
        <f t="shared" si="223"/>
        <v>0.736684557107406-0.567243053663814i</v>
      </c>
      <c r="AP450" s="170" t="str">
        <f t="shared" si="224"/>
        <v>0.0425963801882877-0.161131394124896i</v>
      </c>
      <c r="AQ450" s="170" t="str">
        <f t="shared" si="225"/>
        <v>0.957403619811712+0.161131394124896i</v>
      </c>
      <c r="AR450" s="170" t="str">
        <f t="shared" si="226"/>
        <v>0.846095790385029-0.142398244007848i</v>
      </c>
    </row>
    <row r="451" spans="7:44">
      <c r="G451" s="688">
        <v>48420.5</v>
      </c>
      <c r="H451" s="676">
        <f t="shared" si="218"/>
        <v>48.420499999999997</v>
      </c>
      <c r="I451" s="677">
        <f t="shared" si="198"/>
        <v>398.24483623965193</v>
      </c>
      <c r="J451" s="678">
        <f t="shared" si="199"/>
        <v>1.5682853060361244</v>
      </c>
      <c r="K451" s="678">
        <f t="shared" si="200"/>
        <v>1.0022374228164954</v>
      </c>
      <c r="L451" s="679">
        <f t="shared" si="201"/>
        <v>6.6832014013547561E-2</v>
      </c>
      <c r="M451" s="678">
        <f t="shared" si="202"/>
        <v>1.032895841404267</v>
      </c>
      <c r="N451" s="679">
        <f t="shared" si="203"/>
        <v>-0.25305600429019193</v>
      </c>
      <c r="O451" s="677">
        <f t="shared" si="204"/>
        <v>2007950.8272033392</v>
      </c>
      <c r="P451" s="680">
        <f t="shared" si="205"/>
        <v>1.5707958287747328</v>
      </c>
      <c r="Q451" s="689">
        <f t="shared" si="227"/>
        <v>80.324258098938699</v>
      </c>
      <c r="R451" s="690">
        <f t="shared" si="228"/>
        <v>1.5583464659769133</v>
      </c>
      <c r="S451" s="677">
        <f t="shared" si="206"/>
        <v>1.0645585206009043</v>
      </c>
      <c r="T451" s="680">
        <f t="shared" si="207"/>
        <v>0.35004718555390535</v>
      </c>
      <c r="U451" s="681">
        <f t="shared" si="219"/>
        <v>0.796017436511961</v>
      </c>
      <c r="V451" s="682">
        <f t="shared" si="220"/>
        <v>-0.82682683520055666</v>
      </c>
      <c r="W451" s="683">
        <f t="shared" si="208"/>
        <v>-34.226726208189689</v>
      </c>
      <c r="X451" s="684">
        <f t="shared" si="209"/>
        <v>-168.66918834168681</v>
      </c>
      <c r="Y451" s="687">
        <f t="shared" si="210"/>
        <v>11.330811658313195</v>
      </c>
      <c r="AA451" s="170">
        <f t="shared" si="211"/>
        <v>48420.5</v>
      </c>
      <c r="AB451" s="170">
        <f t="shared" si="212"/>
        <v>2344544820.25</v>
      </c>
      <c r="AD451" s="686">
        <f t="shared" si="213"/>
        <v>16.603932291461696</v>
      </c>
      <c r="AE451" s="687">
        <f t="shared" si="214"/>
        <v>-20.769522332346451</v>
      </c>
      <c r="AG451" s="686">
        <f t="shared" si="215"/>
        <v>-5.8832012832917089</v>
      </c>
      <c r="AH451" s="687">
        <f t="shared" si="216"/>
        <v>-53.152289810774214</v>
      </c>
      <c r="AJ451" s="170">
        <f t="shared" si="217"/>
        <v>0</v>
      </c>
      <c r="AK451" s="170">
        <f t="shared" si="229"/>
        <v>0</v>
      </c>
      <c r="AM451" s="170" t="str">
        <f t="shared" si="221"/>
        <v>0.751775421684674+0.968702513014278i</v>
      </c>
      <c r="AN451" s="170" t="str">
        <f t="shared" si="222"/>
        <v>1.31994928644954i</v>
      </c>
      <c r="AO451" s="170" t="str">
        <f t="shared" si="223"/>
        <v>0.733893735887337-0.569548716304726i</v>
      </c>
      <c r="AP451" s="170" t="str">
        <f t="shared" si="224"/>
        <v>0.0413707630525543-0.161450418835713i</v>
      </c>
      <c r="AQ451" s="170" t="str">
        <f t="shared" si="225"/>
        <v>0.958629236947446+0.161450418835713i</v>
      </c>
      <c r="AR451" s="170" t="str">
        <f t="shared" si="226"/>
        <v>0.844981505168556-0.142310095144087i</v>
      </c>
    </row>
    <row r="452" spans="7:44">
      <c r="G452" s="688">
        <v>48699.25</v>
      </c>
      <c r="H452" s="676">
        <f t="shared" si="218"/>
        <v>48.699249999999999</v>
      </c>
      <c r="I452" s="677">
        <f t="shared" si="198"/>
        <v>400.5374612674542</v>
      </c>
      <c r="J452" s="678">
        <f t="shared" si="199"/>
        <v>1.5682996788266603</v>
      </c>
      <c r="K452" s="678">
        <f t="shared" si="200"/>
        <v>1.0022632288541982</v>
      </c>
      <c r="L452" s="679">
        <f t="shared" si="201"/>
        <v>6.7215602023090362E-2</v>
      </c>
      <c r="M452" s="678">
        <f t="shared" si="202"/>
        <v>1.0332695687980407</v>
      </c>
      <c r="N452" s="679">
        <f t="shared" si="203"/>
        <v>-0.25445090611548427</v>
      </c>
      <c r="O452" s="677">
        <f t="shared" si="204"/>
        <v>2019510.3173590126</v>
      </c>
      <c r="P452" s="680">
        <f t="shared" si="205"/>
        <v>1.5707958316253541</v>
      </c>
      <c r="Q452" s="689">
        <f t="shared" si="227"/>
        <v>80.78660207651761</v>
      </c>
      <c r="R452" s="690">
        <f t="shared" si="228"/>
        <v>1.558417720527673</v>
      </c>
      <c r="S452" s="677">
        <f t="shared" si="206"/>
        <v>1.0652811202623411</v>
      </c>
      <c r="T452" s="680">
        <f t="shared" si="207"/>
        <v>0.35190047165214766</v>
      </c>
      <c r="U452" s="681">
        <f t="shared" si="219"/>
        <v>0.79429868026279093</v>
      </c>
      <c r="V452" s="682">
        <f t="shared" si="220"/>
        <v>-0.83073044489105852</v>
      </c>
      <c r="W452" s="683">
        <f t="shared" si="208"/>
        <v>-34.297896390082066</v>
      </c>
      <c r="X452" s="684">
        <f t="shared" si="209"/>
        <v>-169.05371926586005</v>
      </c>
      <c r="Y452" s="687">
        <f t="shared" si="210"/>
        <v>10.946280734139947</v>
      </c>
      <c r="AA452" s="170">
        <f t="shared" si="211"/>
        <v>48699.25</v>
      </c>
      <c r="AB452" s="170">
        <f t="shared" si="212"/>
        <v>2371616950.5625</v>
      </c>
      <c r="AD452" s="686">
        <f t="shared" si="213"/>
        <v>16.598030810868913</v>
      </c>
      <c r="AE452" s="687">
        <f t="shared" si="214"/>
        <v>-20.871625382421609</v>
      </c>
      <c r="AG452" s="686">
        <f t="shared" si="215"/>
        <v>-5.9109203861180406</v>
      </c>
      <c r="AH452" s="687">
        <f t="shared" si="216"/>
        <v>-52.987396964096924</v>
      </c>
      <c r="AJ452" s="170">
        <f t="shared" si="217"/>
        <v>0</v>
      </c>
      <c r="AK452" s="170">
        <f t="shared" si="229"/>
        <v>0</v>
      </c>
      <c r="AM452" s="170" t="str">
        <f t="shared" si="221"/>
        <v>0.759143457211777+0.970560727515855i</v>
      </c>
      <c r="AN452" s="170" t="str">
        <f t="shared" si="222"/>
        <v>1.32754804861841i</v>
      </c>
      <c r="AO452" s="170" t="str">
        <f t="shared" si="223"/>
        <v>0.731092730335392-0.571838780526116i</v>
      </c>
      <c r="AP452" s="170" t="str">
        <f t="shared" si="224"/>
        <v>0.0401427571313705-0.161760121252642i</v>
      </c>
      <c r="AQ452" s="170" t="str">
        <f t="shared" si="225"/>
        <v>0.95985724286863+0.161760121252642i</v>
      </c>
      <c r="AR452" s="170" t="str">
        <f t="shared" si="226"/>
        <v>0.843870830505076-0.142213489431106i</v>
      </c>
    </row>
    <row r="453" spans="7:44">
      <c r="G453" s="688">
        <v>48978</v>
      </c>
      <c r="H453" s="676">
        <f t="shared" si="218"/>
        <v>48.978000000000002</v>
      </c>
      <c r="I453" s="677">
        <f t="shared" si="198"/>
        <v>402.8300863770566</v>
      </c>
      <c r="J453" s="678">
        <f t="shared" si="199"/>
        <v>1.5683138880175993</v>
      </c>
      <c r="K453" s="678">
        <f t="shared" si="200"/>
        <v>1.0022891823570663</v>
      </c>
      <c r="L453" s="679">
        <f t="shared" si="201"/>
        <v>6.759917022363944E-2</v>
      </c>
      <c r="M453" s="678">
        <f t="shared" si="202"/>
        <v>1.0336453052211034</v>
      </c>
      <c r="N453" s="679">
        <f t="shared" si="203"/>
        <v>-0.25584479654052344</v>
      </c>
      <c r="O453" s="677">
        <f t="shared" si="204"/>
        <v>2031069.8075146861</v>
      </c>
      <c r="P453" s="680">
        <f t="shared" si="205"/>
        <v>1.5707958344435278</v>
      </c>
      <c r="Q453" s="689">
        <f t="shared" si="227"/>
        <v>81.24894645959904</v>
      </c>
      <c r="R453" s="690">
        <f t="shared" si="228"/>
        <v>1.5584881641355628</v>
      </c>
      <c r="S453" s="677">
        <f t="shared" si="206"/>
        <v>1.0660073738444784</v>
      </c>
      <c r="T453" s="680">
        <f t="shared" si="207"/>
        <v>0.35375123887227655</v>
      </c>
      <c r="U453" s="681">
        <f t="shared" si="219"/>
        <v>0.79258018913747186</v>
      </c>
      <c r="V453" s="682">
        <f t="shared" si="220"/>
        <v>-0.83462393949332703</v>
      </c>
      <c r="W453" s="683">
        <f t="shared" si="208"/>
        <v>-34.368828387518157</v>
      </c>
      <c r="X453" s="684">
        <f t="shared" si="209"/>
        <v>-169.43750659126647</v>
      </c>
      <c r="Y453" s="687">
        <f t="shared" si="210"/>
        <v>10.56249340873353</v>
      </c>
      <c r="AA453" s="170">
        <f t="shared" si="211"/>
        <v>48978</v>
      </c>
      <c r="AB453" s="170">
        <f t="shared" si="212"/>
        <v>2398844484</v>
      </c>
      <c r="AD453" s="686">
        <f t="shared" si="213"/>
        <v>16.592103685187418</v>
      </c>
      <c r="AE453" s="687">
        <f t="shared" si="214"/>
        <v>-20.973630573156409</v>
      </c>
      <c r="AG453" s="686">
        <f t="shared" si="215"/>
        <v>-5.9383001300032454</v>
      </c>
      <c r="AH453" s="687">
        <f t="shared" si="216"/>
        <v>-52.82301748172479</v>
      </c>
      <c r="AJ453" s="170">
        <f t="shared" si="217"/>
        <v>0</v>
      </c>
      <c r="AK453" s="170">
        <f t="shared" si="229"/>
        <v>0</v>
      </c>
      <c r="AM453" s="170" t="str">
        <f t="shared" si="221"/>
        <v>0.766525400014519+0.972362900959112i</v>
      </c>
      <c r="AN453" s="170" t="str">
        <f t="shared" si="222"/>
        <v>1.33514681078728i</v>
      </c>
      <c r="AO453" s="170" t="str">
        <f t="shared" si="223"/>
        <v>0.728281633976829-0.574113194010875i</v>
      </c>
      <c r="AP453" s="170" t="str">
        <f t="shared" si="224"/>
        <v>0.0389124333309135-0.162060483493185i</v>
      </c>
      <c r="AQ453" s="170" t="str">
        <f t="shared" si="225"/>
        <v>0.961087566669086+0.162060483493185i</v>
      </c>
      <c r="AR453" s="170" t="str">
        <f t="shared" si="226"/>
        <v>0.842763818782203-0.142108499453133i</v>
      </c>
    </row>
    <row r="454" spans="7:44">
      <c r="G454" s="688">
        <v>49263.25</v>
      </c>
      <c r="H454" s="676">
        <f t="shared" si="218"/>
        <v>49.263249999999999</v>
      </c>
      <c r="I454" s="677">
        <f t="shared" si="198"/>
        <v>405.17617188635091</v>
      </c>
      <c r="J454" s="678">
        <f t="shared" si="199"/>
        <v>1.5683282620748786</v>
      </c>
      <c r="K454" s="678">
        <f t="shared" si="200"/>
        <v>1.0023158937050032</v>
      </c>
      <c r="L454" s="679">
        <f t="shared" si="201"/>
        <v>6.7991661992021196E-2</v>
      </c>
      <c r="M454" s="678">
        <f t="shared" si="202"/>
        <v>1.0340318807724951</v>
      </c>
      <c r="N454" s="679">
        <f t="shared" si="203"/>
        <v>-0.25727013869102239</v>
      </c>
      <c r="O454" s="677">
        <f t="shared" si="204"/>
        <v>2042898.8463197299</v>
      </c>
      <c r="P454" s="680">
        <f t="shared" si="205"/>
        <v>1.5707958372944</v>
      </c>
      <c r="Q454" s="689">
        <f t="shared" si="227"/>
        <v>81.722072379924228</v>
      </c>
      <c r="R454" s="690">
        <f t="shared" si="228"/>
        <v>1.5585594252054829</v>
      </c>
      <c r="S454" s="677">
        <f t="shared" si="206"/>
        <v>1.0667543374209436</v>
      </c>
      <c r="T454" s="680">
        <f t="shared" si="207"/>
        <v>0.35564254748256946</v>
      </c>
      <c r="U454" s="681">
        <f t="shared" si="219"/>
        <v>0.79082197320582126</v>
      </c>
      <c r="V454" s="682">
        <f t="shared" si="220"/>
        <v>-0.83859778757273351</v>
      </c>
      <c r="W454" s="683">
        <f t="shared" si="208"/>
        <v>-34.441170474349889</v>
      </c>
      <c r="X454" s="684">
        <f t="shared" si="209"/>
        <v>-169.82947406159036</v>
      </c>
      <c r="Y454" s="687">
        <f t="shared" si="210"/>
        <v>10.170525938409639</v>
      </c>
      <c r="AA454" s="170">
        <f t="shared" si="211"/>
        <v>49263.25</v>
      </c>
      <c r="AB454" s="170">
        <f t="shared" si="212"/>
        <v>2426867800.5625</v>
      </c>
      <c r="AD454" s="686">
        <f t="shared" si="213"/>
        <v>16.586011917549776</v>
      </c>
      <c r="AE454" s="687">
        <f t="shared" si="214"/>
        <v>-21.077911779195048</v>
      </c>
      <c r="AG454" s="686">
        <f t="shared" si="215"/>
        <v>-5.9659710505277097</v>
      </c>
      <c r="AH454" s="687">
        <f t="shared" si="216"/>
        <v>-52.655334298737401</v>
      </c>
      <c r="AJ454" s="170">
        <f t="shared" si="217"/>
        <v>0</v>
      </c>
      <c r="AK454" s="170">
        <f t="shared" si="229"/>
        <v>0</v>
      </c>
      <c r="AM454" s="170" t="str">
        <f t="shared" si="221"/>
        <v>0.77409343060643+0.974148973158022i</v>
      </c>
      <c r="AN454" s="170" t="str">
        <f t="shared" si="222"/>
        <v>1.34292276382287i</v>
      </c>
      <c r="AO454" s="170" t="str">
        <f t="shared" si="223"/>
        <v>0.725394638769048-0.576424386762821i</v>
      </c>
      <c r="AP454" s="170" t="str">
        <f t="shared" si="224"/>
        <v>0.0376510948989283-0.162358162193004i</v>
      </c>
      <c r="AQ454" s="170" t="str">
        <f t="shared" si="225"/>
        <v>0.962348905101072+0.162358162193004i</v>
      </c>
      <c r="AR454" s="170" t="str">
        <f t="shared" si="226"/>
        <v>0.841634838798715-0.141992457143818i</v>
      </c>
    </row>
    <row r="455" spans="7:44">
      <c r="G455" s="688">
        <v>49548.5</v>
      </c>
      <c r="H455" s="676">
        <f t="shared" si="218"/>
        <v>49.548499999999997</v>
      </c>
      <c r="I455" s="677">
        <f t="shared" si="198"/>
        <v>407.52225747839617</v>
      </c>
      <c r="J455" s="678">
        <f t="shared" si="199"/>
        <v>1.5683424706306794</v>
      </c>
      <c r="K455" s="678">
        <f t="shared" si="200"/>
        <v>1.002342759451248</v>
      </c>
      <c r="L455" s="679">
        <f t="shared" si="201"/>
        <v>6.8384132780983153E-2</v>
      </c>
      <c r="M455" s="678">
        <f t="shared" si="202"/>
        <v>1.034420555490678</v>
      </c>
      <c r="N455" s="679">
        <f t="shared" si="203"/>
        <v>-0.25869441261290971</v>
      </c>
      <c r="O455" s="677">
        <f t="shared" si="204"/>
        <v>2054727.8851247735</v>
      </c>
      <c r="P455" s="680">
        <f t="shared" si="205"/>
        <v>1.5707958401124471</v>
      </c>
      <c r="Q455" s="689">
        <f t="shared" si="227"/>
        <v>82.195198710467992</v>
      </c>
      <c r="R455" s="690">
        <f t="shared" si="228"/>
        <v>1.5586298658996511</v>
      </c>
      <c r="S455" s="677">
        <f t="shared" si="206"/>
        <v>1.0675051114811076</v>
      </c>
      <c r="T455" s="680">
        <f t="shared" si="207"/>
        <v>0.35753120253417853</v>
      </c>
      <c r="U455" s="681">
        <f t="shared" si="219"/>
        <v>0.78906418233468378</v>
      </c>
      <c r="V455" s="682">
        <f t="shared" si="220"/>
        <v>-0.84256111512452081</v>
      </c>
      <c r="W455" s="683">
        <f t="shared" si="208"/>
        <v>-34.513268468585935</v>
      </c>
      <c r="X455" s="684">
        <f t="shared" si="209"/>
        <v>-170.2206642290617</v>
      </c>
      <c r="Y455" s="687">
        <f t="shared" si="210"/>
        <v>9.7793357709383031</v>
      </c>
      <c r="AA455" s="170">
        <f t="shared" si="211"/>
        <v>49548.5</v>
      </c>
      <c r="AB455" s="170">
        <f t="shared" si="212"/>
        <v>2455053852.25</v>
      </c>
      <c r="AD455" s="686">
        <f t="shared" si="213"/>
        <v>16.579893534959776</v>
      </c>
      <c r="AE455" s="687">
        <f t="shared" si="214"/>
        <v>-21.182087949707743</v>
      </c>
      <c r="AG455" s="686">
        <f t="shared" si="215"/>
        <v>-5.9932947533033669</v>
      </c>
      <c r="AH455" s="687">
        <f t="shared" si="216"/>
        <v>-52.48818441208644</v>
      </c>
      <c r="AJ455" s="170">
        <f t="shared" si="217"/>
        <v>0</v>
      </c>
      <c r="AK455" s="170">
        <f t="shared" si="229"/>
        <v>0</v>
      </c>
      <c r="AM455" s="170" t="str">
        <f t="shared" si="221"/>
        <v>0.781675120670897+0.975876143301973i</v>
      </c>
      <c r="AN455" s="170" t="str">
        <f t="shared" si="222"/>
        <v>1.35069871685846i</v>
      </c>
      <c r="AO455" s="170" t="str">
        <f t="shared" si="223"/>
        <v>0.722497275759414-0.578719081401784i</v>
      </c>
      <c r="AP455" s="170" t="str">
        <f t="shared" si="224"/>
        <v>0.0363874798881838-0.162646023883662i</v>
      </c>
      <c r="AQ455" s="170" t="str">
        <f t="shared" si="225"/>
        <v>0.963612520111816+0.162646023883662i</v>
      </c>
      <c r="AR455" s="170" t="str">
        <f t="shared" si="226"/>
        <v>0.840509801775221-0.14186778859839i</v>
      </c>
    </row>
    <row r="456" spans="7:44">
      <c r="G456" s="688">
        <v>49833.75</v>
      </c>
      <c r="H456" s="676">
        <f t="shared" si="218"/>
        <v>49.833750000000002</v>
      </c>
      <c r="I456" s="677">
        <f t="shared" si="198"/>
        <v>409.86834315177146</v>
      </c>
      <c r="J456" s="678">
        <f t="shared" si="199"/>
        <v>1.5683565165269864</v>
      </c>
      <c r="K456" s="678">
        <f t="shared" si="200"/>
        <v>1.0023697795833859</v>
      </c>
      <c r="L456" s="679">
        <f t="shared" si="201"/>
        <v>6.8776582471309938E-2</v>
      </c>
      <c r="M456" s="678">
        <f t="shared" si="202"/>
        <v>1.0348113270103134</v>
      </c>
      <c r="N456" s="679">
        <f t="shared" si="203"/>
        <v>-0.26011761373469239</v>
      </c>
      <c r="O456" s="677">
        <f t="shared" si="204"/>
        <v>2066556.923929817</v>
      </c>
      <c r="P456" s="680">
        <f t="shared" si="205"/>
        <v>1.5707958428982334</v>
      </c>
      <c r="Q456" s="689">
        <f t="shared" si="227"/>
        <v>82.66832544418709</v>
      </c>
      <c r="R456" s="690">
        <f t="shared" si="228"/>
        <v>1.5586995003028676</v>
      </c>
      <c r="S456" s="677">
        <f t="shared" si="206"/>
        <v>1.0682596879909343</v>
      </c>
      <c r="T456" s="680">
        <f t="shared" si="207"/>
        <v>0.35941719616238688</v>
      </c>
      <c r="U456" s="681">
        <f t="shared" si="219"/>
        <v>0.7873068893438443</v>
      </c>
      <c r="V456" s="682">
        <f t="shared" si="220"/>
        <v>-0.84651395920090722</v>
      </c>
      <c r="W456" s="683">
        <f t="shared" si="208"/>
        <v>-34.585124987753204</v>
      </c>
      <c r="X456" s="684">
        <f t="shared" si="209"/>
        <v>-170.61107786677084</v>
      </c>
      <c r="Y456" s="687">
        <f t="shared" si="210"/>
        <v>9.3889221332291584</v>
      </c>
      <c r="AA456" s="170">
        <f t="shared" si="211"/>
        <v>49833.75</v>
      </c>
      <c r="AB456" s="170">
        <f t="shared" si="212"/>
        <v>2483402639.0625</v>
      </c>
      <c r="AD456" s="686">
        <f t="shared" si="213"/>
        <v>16.573748659167599</v>
      </c>
      <c r="AE456" s="687">
        <f t="shared" si="214"/>
        <v>-21.286157827112138</v>
      </c>
      <c r="AG456" s="686">
        <f t="shared" si="215"/>
        <v>-6.0202752639465711</v>
      </c>
      <c r="AH456" s="687">
        <f t="shared" si="216"/>
        <v>-52.321565606573174</v>
      </c>
      <c r="AJ456" s="170">
        <f t="shared" si="217"/>
        <v>0</v>
      </c>
      <c r="AK456" s="170">
        <f t="shared" si="229"/>
        <v>0</v>
      </c>
      <c r="AM456" s="170" t="str">
        <f t="shared" si="221"/>
        <v>0.789270011779964+0.97754430695738i</v>
      </c>
      <c r="AN456" s="170" t="str">
        <f t="shared" si="222"/>
        <v>1.35847466989405i</v>
      </c>
      <c r="AO456" s="170" t="str">
        <f t="shared" si="223"/>
        <v>0.719589646109206-0.580997223777106i</v>
      </c>
      <c r="AP456" s="170" t="str">
        <f t="shared" si="224"/>
        <v>0.0351216647033393-0.162924051159563i</v>
      </c>
      <c r="AQ456" s="170" t="str">
        <f t="shared" si="225"/>
        <v>0.964878335296661+0.162924051159563i</v>
      </c>
      <c r="AR456" s="170" t="str">
        <f t="shared" si="226"/>
        <v>0.839388760027798-0.141734571374207i</v>
      </c>
    </row>
    <row r="457" spans="7:44">
      <c r="G457" s="688">
        <v>50119</v>
      </c>
      <c r="H457" s="676">
        <f t="shared" si="218"/>
        <v>50.119</v>
      </c>
      <c r="I457" s="677">
        <f t="shared" si="198"/>
        <v>412.21442890508803</v>
      </c>
      <c r="J457" s="678">
        <f t="shared" si="199"/>
        <v>1.5683704025410847</v>
      </c>
      <c r="K457" s="678">
        <f t="shared" si="200"/>
        <v>1.0023969540889324</v>
      </c>
      <c r="L457" s="679">
        <f t="shared" si="201"/>
        <v>6.9169010943824979E-2</v>
      </c>
      <c r="M457" s="678">
        <f t="shared" si="202"/>
        <v>1.0352041929568832</v>
      </c>
      <c r="N457" s="679">
        <f t="shared" si="203"/>
        <v>-0.26153973750914522</v>
      </c>
      <c r="O457" s="677">
        <f t="shared" si="204"/>
        <v>2078385.9627348606</v>
      </c>
      <c r="P457" s="680">
        <f t="shared" si="205"/>
        <v>1.570795845652309</v>
      </c>
      <c r="Q457" s="689">
        <f t="shared" si="227"/>
        <v>83.141452574198524</v>
      </c>
      <c r="R457" s="690">
        <f t="shared" si="228"/>
        <v>1.5587683421793583</v>
      </c>
      <c r="S457" s="677">
        <f t="shared" si="206"/>
        <v>1.0690180588984386</v>
      </c>
      <c r="T457" s="680">
        <f t="shared" si="207"/>
        <v>0.36130052060035922</v>
      </c>
      <c r="U457" s="681">
        <f t="shared" si="219"/>
        <v>0.78555016589009807</v>
      </c>
      <c r="V457" s="682">
        <f t="shared" si="220"/>
        <v>-0.85045635733658398</v>
      </c>
      <c r="W457" s="683">
        <f t="shared" si="208"/>
        <v>-34.656742598735207</v>
      </c>
      <c r="X457" s="684">
        <f t="shared" si="209"/>
        <v>-171.00071579710811</v>
      </c>
      <c r="Y457" s="687">
        <f t="shared" si="210"/>
        <v>8.9992842028918858</v>
      </c>
      <c r="AA457" s="170">
        <f t="shared" si="211"/>
        <v>50119</v>
      </c>
      <c r="AB457" s="170">
        <f t="shared" si="212"/>
        <v>2511914161</v>
      </c>
      <c r="AD457" s="686">
        <f t="shared" si="213"/>
        <v>16.567577412128529</v>
      </c>
      <c r="AE457" s="687">
        <f t="shared" si="214"/>
        <v>-21.390120177800828</v>
      </c>
      <c r="AG457" s="686">
        <f t="shared" si="215"/>
        <v>-6.0469165442667627</v>
      </c>
      <c r="AH457" s="687">
        <f t="shared" si="216"/>
        <v>-52.155475637036446</v>
      </c>
      <c r="AJ457" s="170">
        <f t="shared" si="217"/>
        <v>0</v>
      </c>
      <c r="AK457" s="170">
        <f t="shared" si="229"/>
        <v>0</v>
      </c>
      <c r="AM457" s="170" t="str">
        <f t="shared" si="221"/>
        <v>0.796877644707469+0.979153363258491i</v>
      </c>
      <c r="AN457" s="170" t="str">
        <f t="shared" si="222"/>
        <v>1.36625062292964i</v>
      </c>
      <c r="AO457" s="170" t="str">
        <f t="shared" si="223"/>
        <v>0.71667185128809-0.583258760386678i</v>
      </c>
      <c r="AP457" s="170" t="str">
        <f t="shared" si="224"/>
        <v>0.0338537258820885-0.163192227209748i</v>
      </c>
      <c r="AQ457" s="170" t="str">
        <f t="shared" si="225"/>
        <v>0.966146274117912+0.163192227209748i</v>
      </c>
      <c r="AR457" s="170" t="str">
        <f t="shared" si="226"/>
        <v>0.83827176461323-0.14159288291949i</v>
      </c>
    </row>
    <row r="458" spans="7:44">
      <c r="G458" s="688">
        <v>50410.75</v>
      </c>
      <c r="H458" s="676">
        <f t="shared" si="218"/>
        <v>50.41075</v>
      </c>
      <c r="I458" s="677">
        <f t="shared" si="198"/>
        <v>414.61397506359907</v>
      </c>
      <c r="J458" s="678">
        <f t="shared" si="199"/>
        <v>1.5683844424164737</v>
      </c>
      <c r="K458" s="678">
        <f t="shared" si="200"/>
        <v>1.002424907497691</v>
      </c>
      <c r="L458" s="679">
        <f t="shared" si="201"/>
        <v>6.9570359622559766E-2</v>
      </c>
      <c r="M458" s="678">
        <f t="shared" si="202"/>
        <v>1.0356081752259823</v>
      </c>
      <c r="N458" s="679">
        <f t="shared" si="203"/>
        <v>-0.26299314809374891</v>
      </c>
      <c r="O458" s="677">
        <f t="shared" si="204"/>
        <v>2090484.5501892744</v>
      </c>
      <c r="P458" s="680">
        <f t="shared" si="205"/>
        <v>1.5707958484369007</v>
      </c>
      <c r="Q458" s="689">
        <f t="shared" si="227"/>
        <v>83.625361268735247</v>
      </c>
      <c r="R458" s="690">
        <f t="shared" si="228"/>
        <v>1.5588379469561291</v>
      </c>
      <c r="S458" s="677">
        <f t="shared" si="206"/>
        <v>1.0697976274921053</v>
      </c>
      <c r="T458" s="680">
        <f t="shared" si="207"/>
        <v>0.36322399129624044</v>
      </c>
      <c r="U458" s="681">
        <f t="shared" si="219"/>
        <v>0.78375407455695489</v>
      </c>
      <c r="V458" s="682">
        <f t="shared" si="220"/>
        <v>-0.85447782492769908</v>
      </c>
      <c r="W458" s="683">
        <f t="shared" si="208"/>
        <v>-34.729747649805603</v>
      </c>
      <c r="X458" s="684">
        <f t="shared" si="209"/>
        <v>-171.39843090307306</v>
      </c>
      <c r="Y458" s="687">
        <f t="shared" si="210"/>
        <v>8.6015690969269372</v>
      </c>
      <c r="AA458" s="170">
        <f t="shared" si="211"/>
        <v>50410.75</v>
      </c>
      <c r="AB458" s="170">
        <f t="shared" si="212"/>
        <v>2541243715.5625</v>
      </c>
      <c r="AD458" s="686">
        <f t="shared" si="213"/>
        <v>16.56123838854624</v>
      </c>
      <c r="AE458" s="687">
        <f t="shared" si="214"/>
        <v>-21.496339030415726</v>
      </c>
      <c r="AG458" s="686">
        <f t="shared" si="215"/>
        <v>-6.073818050614058</v>
      </c>
      <c r="AH458" s="687">
        <f t="shared" si="216"/>
        <v>-51.98614564902087</v>
      </c>
      <c r="AJ458" s="170">
        <f t="shared" si="217"/>
        <v>0</v>
      </c>
      <c r="AK458" s="170">
        <f t="shared" si="229"/>
        <v>0</v>
      </c>
      <c r="AM458" s="170" t="str">
        <f t="shared" si="221"/>
        <v>0.804671334177608+0.980737840764821i</v>
      </c>
      <c r="AN458" s="170" t="str">
        <f t="shared" si="222"/>
        <v>1.37420376683195i</v>
      </c>
      <c r="AO458" s="170" t="str">
        <f t="shared" si="223"/>
        <v>0.713677159411217-0.585554597941959i</v>
      </c>
      <c r="AP458" s="170" t="str">
        <f t="shared" si="224"/>
        <v>0.0325547776370653-0.163456306794137i</v>
      </c>
      <c r="AQ458" s="170" t="str">
        <f t="shared" si="225"/>
        <v>0.967445222362935+0.163456306794137i</v>
      </c>
      <c r="AR458" s="170" t="str">
        <f t="shared" si="226"/>
        <v>0.837133553793266-0.141439283417294i</v>
      </c>
    </row>
    <row r="459" spans="7:44">
      <c r="G459" s="688">
        <v>50702.5</v>
      </c>
      <c r="H459" s="676">
        <f t="shared" si="218"/>
        <v>50.702500000000001</v>
      </c>
      <c r="I459" s="677">
        <f t="shared" si="198"/>
        <v>417.01352130289746</v>
      </c>
      <c r="J459" s="678">
        <f t="shared" si="199"/>
        <v>1.5683983207175833</v>
      </c>
      <c r="K459" s="678">
        <f t="shared" si="200"/>
        <v>1.0024530223687971</v>
      </c>
      <c r="L459" s="679">
        <f t="shared" si="201"/>
        <v>6.9971685853428417E-2</v>
      </c>
      <c r="M459" s="678">
        <f t="shared" si="202"/>
        <v>1.0360143434074296</v>
      </c>
      <c r="N459" s="679">
        <f t="shared" si="203"/>
        <v>-0.2644454221283854</v>
      </c>
      <c r="O459" s="677">
        <f t="shared" si="204"/>
        <v>2102583.1376436879</v>
      </c>
      <c r="P459" s="680">
        <f t="shared" si="205"/>
        <v>1.5707958511894462</v>
      </c>
      <c r="Q459" s="689">
        <f t="shared" si="227"/>
        <v>84.109270363760274</v>
      </c>
      <c r="R459" s="690">
        <f t="shared" si="228"/>
        <v>1.5589067508135597</v>
      </c>
      <c r="S459" s="677">
        <f t="shared" si="206"/>
        <v>1.070581148285616</v>
      </c>
      <c r="T459" s="680">
        <f t="shared" si="207"/>
        <v>0.36514465364794735</v>
      </c>
      <c r="U459" s="681">
        <f t="shared" si="219"/>
        <v>0.78195872694941682</v>
      </c>
      <c r="V459" s="682">
        <f t="shared" si="220"/>
        <v>-0.85848844600932184</v>
      </c>
      <c r="W459" s="683">
        <f t="shared" si="208"/>
        <v>-34.802508055590401</v>
      </c>
      <c r="X459" s="684">
        <f t="shared" si="209"/>
        <v>-171.79533644014134</v>
      </c>
      <c r="Y459" s="687">
        <f t="shared" si="210"/>
        <v>8.204663559858659</v>
      </c>
      <c r="AA459" s="170">
        <f t="shared" si="211"/>
        <v>50702.5</v>
      </c>
      <c r="AB459" s="170">
        <f t="shared" si="212"/>
        <v>2570743506.25</v>
      </c>
      <c r="AD459" s="686">
        <f t="shared" si="213"/>
        <v>16.554872036855116</v>
      </c>
      <c r="AE459" s="687">
        <f t="shared" si="214"/>
        <v>-21.602442864223697</v>
      </c>
      <c r="AG459" s="686">
        <f t="shared" si="215"/>
        <v>-6.1003728749315878</v>
      </c>
      <c r="AH459" s="687">
        <f t="shared" si="216"/>
        <v>-51.817364029349669</v>
      </c>
      <c r="AJ459" s="170">
        <f t="shared" si="217"/>
        <v>0</v>
      </c>
      <c r="AK459" s="170">
        <f t="shared" si="229"/>
        <v>0</v>
      </c>
      <c r="AM459" s="170" t="str">
        <f t="shared" si="221"/>
        <v>0.812477378608643+0.98226028447989i</v>
      </c>
      <c r="AN459" s="170" t="str">
        <f t="shared" si="222"/>
        <v>1.38215691073425i</v>
      </c>
      <c r="AO459" s="170" t="str">
        <f t="shared" si="223"/>
        <v>0.710672049498403-0.587832953189828i</v>
      </c>
      <c r="AP459" s="170" t="str">
        <f t="shared" si="224"/>
        <v>0.0312537702318928-0.163710047413315i</v>
      </c>
      <c r="AQ459" s="170" t="str">
        <f t="shared" si="225"/>
        <v>0.968746229768107+0.163710047413315i</v>
      </c>
      <c r="AR459" s="170" t="str">
        <f t="shared" si="226"/>
        <v>0.835999679884811-0.141276985680987i</v>
      </c>
    </row>
    <row r="460" spans="7:44">
      <c r="G460" s="688">
        <v>50994.25</v>
      </c>
      <c r="H460" s="676">
        <f t="shared" si="218"/>
        <v>50.994250000000001</v>
      </c>
      <c r="I460" s="677">
        <f t="shared" si="198"/>
        <v>419.41306762159661</v>
      </c>
      <c r="J460" s="678">
        <f t="shared" si="199"/>
        <v>1.5684120402176045</v>
      </c>
      <c r="K460" s="678">
        <f t="shared" si="200"/>
        <v>1.002481298688666</v>
      </c>
      <c r="L460" s="679">
        <f t="shared" si="201"/>
        <v>7.0372989509047648E-2</v>
      </c>
      <c r="M460" s="678">
        <f t="shared" si="202"/>
        <v>1.0364226949312851</v>
      </c>
      <c r="N460" s="679">
        <f t="shared" si="203"/>
        <v>-0.26589655482690955</v>
      </c>
      <c r="O460" s="677">
        <f t="shared" si="204"/>
        <v>2114681.7250981019</v>
      </c>
      <c r="P460" s="680">
        <f t="shared" si="205"/>
        <v>1.570795853910496</v>
      </c>
      <c r="Q460" s="689">
        <f t="shared" si="227"/>
        <v>84.593179852400695</v>
      </c>
      <c r="R460" s="690">
        <f t="shared" si="228"/>
        <v>1.5589747674958059</v>
      </c>
      <c r="S460" s="677">
        <f t="shared" si="206"/>
        <v>1.0713686126079192</v>
      </c>
      <c r="T460" s="680">
        <f t="shared" si="207"/>
        <v>0.36706249966208965</v>
      </c>
      <c r="U460" s="681">
        <f t="shared" si="219"/>
        <v>0.78016419601091047</v>
      </c>
      <c r="V460" s="682">
        <f t="shared" si="220"/>
        <v>-0.86248826223131092</v>
      </c>
      <c r="W460" s="683">
        <f t="shared" si="208"/>
        <v>-34.875026406423515</v>
      </c>
      <c r="X460" s="684">
        <f t="shared" si="209"/>
        <v>-172.19143344120064</v>
      </c>
      <c r="Y460" s="687">
        <f t="shared" si="210"/>
        <v>7.808566558799356</v>
      </c>
      <c r="AA460" s="170">
        <f t="shared" si="211"/>
        <v>50994.25</v>
      </c>
      <c r="AB460" s="170">
        <f t="shared" si="212"/>
        <v>2600413533.0625</v>
      </c>
      <c r="AD460" s="686">
        <f t="shared" si="213"/>
        <v>16.548478488142468</v>
      </c>
      <c r="AE460" s="687">
        <f t="shared" si="214"/>
        <v>-21.708430433786624</v>
      </c>
      <c r="AG460" s="686">
        <f t="shared" si="215"/>
        <v>-6.1265850573431413</v>
      </c>
      <c r="AH460" s="687">
        <f t="shared" si="216"/>
        <v>-51.649128283626446</v>
      </c>
      <c r="AJ460" s="170">
        <f t="shared" si="217"/>
        <v>0</v>
      </c>
      <c r="AK460" s="170">
        <f t="shared" si="229"/>
        <v>0</v>
      </c>
      <c r="AM460" s="170" t="str">
        <f t="shared" si="221"/>
        <v>0.820295284251389+0.98372059810584i</v>
      </c>
      <c r="AN460" s="170" t="str">
        <f t="shared" si="222"/>
        <v>1.39011005463656i</v>
      </c>
      <c r="AO460" s="170" t="str">
        <f t="shared" si="223"/>
        <v>0.707656631088127-0.590093771004234i</v>
      </c>
      <c r="AP460" s="170" t="str">
        <f t="shared" si="224"/>
        <v>0.0299507859581018-0.16395343301764i</v>
      </c>
      <c r="AQ460" s="170" t="str">
        <f t="shared" si="225"/>
        <v>0.970049214041898+0.16395343301764i</v>
      </c>
      <c r="AR460" s="170" t="str">
        <f t="shared" si="226"/>
        <v>0.83487019352604-0.141106072116031i</v>
      </c>
    </row>
    <row r="461" spans="7:44">
      <c r="G461" s="688">
        <v>51286</v>
      </c>
      <c r="H461" s="676">
        <f t="shared" si="218"/>
        <v>51.286000000000001</v>
      </c>
      <c r="I461" s="677">
        <f t="shared" ref="I461:I524" si="230">SQRT(1+(G461/pole1)^2)</f>
        <v>421.81261401834149</v>
      </c>
      <c r="J461" s="678">
        <f t="shared" ref="J461:J524" si="231">ATAN(G461/pole1)</f>
        <v>1.5684256036266262</v>
      </c>
      <c r="K461" s="678">
        <f t="shared" ref="K461:K524" si="232">SQRT(1+(G461/Zero1)^2)</f>
        <v>1.0025097364436362</v>
      </c>
      <c r="L461" s="679">
        <f t="shared" ref="L461:L524" si="233">ATAN(G461/Zero1)</f>
        <v>7.077427046207764E-2</v>
      </c>
      <c r="M461" s="678">
        <f t="shared" ref="M461:M524" si="234">SQRT(1+(G461/z_RHP)^2)</f>
        <v>1.036833227217854</v>
      </c>
      <c r="N461" s="679">
        <f t="shared" ref="N461:N524" si="235">-ATAN(G461/z_RHP)</f>
        <v>-0.26734654142992331</v>
      </c>
      <c r="O461" s="677">
        <f t="shared" ref="O461:O524" si="236">SQRT(1+(G461/Pole2)^2)</f>
        <v>2126780.3125525154</v>
      </c>
      <c r="P461" s="680">
        <f t="shared" ref="P461:P524" si="237">ATAN(G461/Pole2)</f>
        <v>1.5707958566005873</v>
      </c>
      <c r="Q461" s="689">
        <f t="shared" si="227"/>
        <v>85.07708972794002</v>
      </c>
      <c r="R461" s="690">
        <f t="shared" si="228"/>
        <v>1.5590420104343514</v>
      </c>
      <c r="S461" s="677">
        <f t="shared" ref="S461:S524" si="238">SQRT(1+(G461/pole4)^2)</f>
        <v>1.07216001176986</v>
      </c>
      <c r="T461" s="680">
        <f t="shared" ref="T461:T524" si="239">ATAN(G461/pole4)</f>
        <v>0.36897752145157231</v>
      </c>
      <c r="U461" s="681">
        <f t="shared" si="219"/>
        <v>0.77837055344730466</v>
      </c>
      <c r="V461" s="682">
        <f t="shared" si="220"/>
        <v>-0.86647731572071118</v>
      </c>
      <c r="W461" s="683">
        <f t="shared" ref="W461:W524" si="240">20*LOG10(((K461*Q461*M461*U461)/(I461*O461*S461))*Adc)</f>
        <v>-34.947305242723658</v>
      </c>
      <c r="X461" s="684">
        <f t="shared" ref="X461:X524" si="241">((L461+R461+N461+V461)-(J461+P461+T461))*radconv</f>
        <v>-172.58672298839838</v>
      </c>
      <c r="Y461" s="687">
        <f t="shared" ref="Y461:Y524" si="242">IF(X461&gt;0,X461,X461+180)</f>
        <v>7.4132770116016218</v>
      </c>
      <c r="AA461" s="170">
        <f t="shared" ref="AA461:AA524" si="243">IF(W461&lt;0,G461,1000000000)</f>
        <v>51286</v>
      </c>
      <c r="AB461" s="170">
        <f t="shared" ref="AB461:AB524" si="244">G461^2</f>
        <v>2630253796</v>
      </c>
      <c r="AD461" s="686">
        <f t="shared" ref="AD461:AD524" si="245">20*LOG10((Q461/(O461*S461))*Aea)</f>
        <v>16.542057873678548</v>
      </c>
      <c r="AE461" s="687">
        <f t="shared" ref="AE461:AE524" si="246">(R461-(P461+T461))*radconv</f>
        <v>-21.814300517670695</v>
      </c>
      <c r="AG461" s="686">
        <f t="shared" ref="AG461:AG524" si="247">20*LOG10((K461*M461/(I461*U461))*Acs*Am)</f>
        <v>-6.1524585736958954</v>
      </c>
      <c r="AH461" s="687">
        <f t="shared" ref="AH461:AH524" si="248">(L461+N461-(J461+V461))*radconv</f>
        <v>-51.481435888028614</v>
      </c>
      <c r="AJ461" s="170">
        <f t="shared" ref="AJ461:AJ524" si="249">SUM((W462&lt;0)*(W461&gt;0))*G461</f>
        <v>0</v>
      </c>
      <c r="AK461" s="170">
        <f t="shared" si="229"/>
        <v>0</v>
      </c>
      <c r="AM461" s="170" t="str">
        <f t="shared" si="221"/>
        <v>0.828124556606382+0.985118689274672i</v>
      </c>
      <c r="AN461" s="170" t="str">
        <f t="shared" si="222"/>
        <v>1.39806319853887i</v>
      </c>
      <c r="AO461" s="170" t="str">
        <f t="shared" si="223"/>
        <v>0.704631014037298-0.592336996976863i</v>
      </c>
      <c r="AP461" s="170" t="str">
        <f t="shared" si="224"/>
        <v>0.0286459072322697-0.164186448212445i</v>
      </c>
      <c r="AQ461" s="170" t="str">
        <f t="shared" si="225"/>
        <v>0.97135409276773+0.164186448212445i</v>
      </c>
      <c r="AR461" s="170" t="str">
        <f t="shared" si="226"/>
        <v>0.833745144044251-0.140926624939575i</v>
      </c>
    </row>
    <row r="462" spans="7:44">
      <c r="G462" s="688">
        <v>51584.75</v>
      </c>
      <c r="H462" s="676">
        <f t="shared" ref="H462:H525" si="250">G462/1000</f>
        <v>51.58475</v>
      </c>
      <c r="I462" s="677">
        <f t="shared" si="230"/>
        <v>424.26973315876938</v>
      </c>
      <c r="J462" s="678">
        <f t="shared" si="231"/>
        <v>1.5684393334773241</v>
      </c>
      <c r="K462" s="678">
        <f t="shared" si="232"/>
        <v>1.0025390237870011</v>
      </c>
      <c r="L462" s="679">
        <f t="shared" si="233"/>
        <v>7.1185155747972892E-2</v>
      </c>
      <c r="M462" s="678">
        <f t="shared" si="234"/>
        <v>1.0372558666356393</v>
      </c>
      <c r="N462" s="679">
        <f t="shared" si="235"/>
        <v>-0.26883012515508464</v>
      </c>
      <c r="O462" s="677">
        <f t="shared" si="236"/>
        <v>2139169.1831677887</v>
      </c>
      <c r="P462" s="680">
        <f t="shared" si="237"/>
        <v>1.5707958593236897</v>
      </c>
      <c r="Q462" s="689">
        <f t="shared" si="227"/>
        <v>85.572610517279372</v>
      </c>
      <c r="R462" s="690">
        <f t="shared" si="228"/>
        <v>1.5591100786400613</v>
      </c>
      <c r="S462" s="677">
        <f t="shared" si="238"/>
        <v>1.0729744675774824</v>
      </c>
      <c r="T462" s="680">
        <f t="shared" si="239"/>
        <v>0.37093555582842985</v>
      </c>
      <c r="U462" s="681">
        <f t="shared" ref="U462:U525" si="251">IMABS(IMPRODUCT(AO462, AR462))</f>
        <v>0.77653486997169829</v>
      </c>
      <c r="V462" s="682">
        <f t="shared" ref="V462:V525" si="252">IMARGUMENT(IMPRODUCT(AO462, AR462))</f>
        <v>-0.87055097046275287</v>
      </c>
      <c r="W462" s="683">
        <f t="shared" si="240"/>
        <v>-35.0210726746202</v>
      </c>
      <c r="X462" s="684">
        <f t="shared" si="241"/>
        <v>-172.99066120958244</v>
      </c>
      <c r="Y462" s="687">
        <f t="shared" si="242"/>
        <v>7.0093387904175586</v>
      </c>
      <c r="AA462" s="170">
        <f t="shared" si="243"/>
        <v>51584.75</v>
      </c>
      <c r="AB462" s="170">
        <f t="shared" si="244"/>
        <v>2660986432.5625</v>
      </c>
      <c r="AD462" s="686">
        <f t="shared" si="245"/>
        <v>16.53545529815343</v>
      </c>
      <c r="AE462" s="687">
        <f t="shared" si="246"/>
        <v>-21.922587758845975</v>
      </c>
      <c r="AG462" s="686">
        <f t="shared" si="247"/>
        <v>-6.178606011909241</v>
      </c>
      <c r="AH462" s="687">
        <f t="shared" si="248"/>
        <v>-51.310280419679145</v>
      </c>
      <c r="AJ462" s="170">
        <f t="shared" si="249"/>
        <v>0</v>
      </c>
      <c r="AK462" s="170">
        <f t="shared" si="229"/>
        <v>0</v>
      </c>
      <c r="AM462" s="170" t="str">
        <f t="shared" ref="AM462:AM525" si="253">IMSUB(1,IMEXP(COMPLEX(0,-2*Pi*G462*Tsw)))</f>
        <v>0.83615293960315+0.986485752963169i</v>
      </c>
      <c r="AN462" s="170" t="str">
        <f t="shared" ref="AN462:AN525" si="254">COMPLEX(0, 2*Pi*G462*Tsw)</f>
        <v>1.40620716337456i</v>
      </c>
      <c r="AO462" s="170" t="str">
        <f t="shared" ref="AO462:AO525" si="255">IMDIV(AM462, AN462)</f>
        <v>0.701522349378337-0.594615758887605i</v>
      </c>
      <c r="AP462" s="170" t="str">
        <f t="shared" ref="AP462:AP525" si="256">IMDIV(IMEXP(COMPLEX(0,-2*Pi*G462*Tsw)),6)</f>
        <v>0.027307843399475-0.164414292160528i</v>
      </c>
      <c r="AQ462" s="170" t="str">
        <f t="shared" ref="AQ462:AQ525" si="257">IMSUB(1, AP462)</f>
        <v>0.972692156600525+0.164414292160528i</v>
      </c>
      <c r="AR462" s="170" t="str">
        <f t="shared" ref="AR462:AR525" si="258">IMDIV(0.833, AQ462)</f>
        <v>0.832597749089535-0.140734114737212i</v>
      </c>
    </row>
    <row r="463" spans="7:44">
      <c r="G463" s="688">
        <v>51883.5</v>
      </c>
      <c r="H463" s="676">
        <f t="shared" si="250"/>
        <v>51.883499999999998</v>
      </c>
      <c r="I463" s="677">
        <f t="shared" si="230"/>
        <v>426.72685237825488</v>
      </c>
      <c r="J463" s="678">
        <f t="shared" si="231"/>
        <v>1.5684529052133904</v>
      </c>
      <c r="K463" s="678">
        <f t="shared" si="232"/>
        <v>1.0025684803758339</v>
      </c>
      <c r="L463" s="679">
        <f t="shared" si="233"/>
        <v>7.1596016958686046E-2</v>
      </c>
      <c r="M463" s="678">
        <f t="shared" si="234"/>
        <v>1.0376807872123828</v>
      </c>
      <c r="N463" s="679">
        <f t="shared" si="235"/>
        <v>-0.27031249711343791</v>
      </c>
      <c r="O463" s="677">
        <f t="shared" si="236"/>
        <v>2151558.0537830624</v>
      </c>
      <c r="P463" s="680">
        <f t="shared" si="237"/>
        <v>1.5707958620154321</v>
      </c>
      <c r="Q463" s="689">
        <f t="shared" si="227"/>
        <v>86.068131698535296</v>
      </c>
      <c r="R463" s="690">
        <f t="shared" si="228"/>
        <v>1.5591773630661367</v>
      </c>
      <c r="S463" s="677">
        <f t="shared" si="238"/>
        <v>1.0737930308109229</v>
      </c>
      <c r="T463" s="680">
        <f t="shared" si="239"/>
        <v>0.37289061243265736</v>
      </c>
      <c r="U463" s="681">
        <f t="shared" si="251"/>
        <v>0.77470026625613009</v>
      </c>
      <c r="V463" s="682">
        <f t="shared" si="252"/>
        <v>-0.87461343069810904</v>
      </c>
      <c r="W463" s="683">
        <f t="shared" si="240"/>
        <v>-35.094594197320632</v>
      </c>
      <c r="X463" s="684">
        <f t="shared" si="241"/>
        <v>-173.39375521542448</v>
      </c>
      <c r="Y463" s="687">
        <f t="shared" si="242"/>
        <v>6.606244784575523</v>
      </c>
      <c r="AA463" s="170">
        <f t="shared" si="243"/>
        <v>51883.5</v>
      </c>
      <c r="AB463" s="170">
        <f t="shared" si="244"/>
        <v>2691897572.25</v>
      </c>
      <c r="AD463" s="686">
        <f t="shared" si="245"/>
        <v>16.528824621647974</v>
      </c>
      <c r="AE463" s="687">
        <f t="shared" si="246"/>
        <v>-22.030749291685378</v>
      </c>
      <c r="AG463" s="686">
        <f t="shared" si="247"/>
        <v>-6.2044065747282211</v>
      </c>
      <c r="AH463" s="687">
        <f t="shared" si="248"/>
        <v>-51.139689240298537</v>
      </c>
      <c r="AJ463" s="170">
        <f t="shared" si="249"/>
        <v>0</v>
      </c>
      <c r="AK463" s="170">
        <f t="shared" si="229"/>
        <v>0</v>
      </c>
      <c r="AM463" s="170" t="str">
        <f t="shared" si="253"/>
        <v>0.844192189559048+0.98778738917117i</v>
      </c>
      <c r="AN463" s="170" t="str">
        <f t="shared" si="254"/>
        <v>1.41435112821026i</v>
      </c>
      <c r="AO463" s="170" t="str">
        <f t="shared" si="255"/>
        <v>0.69840322496234-0.596875961507027i</v>
      </c>
      <c r="AP463" s="170" t="str">
        <f t="shared" si="256"/>
        <v>0.0259679684068253-0.164631231528528i</v>
      </c>
      <c r="AQ463" s="170" t="str">
        <f t="shared" si="257"/>
        <v>0.974032031593175+0.164631231528528i</v>
      </c>
      <c r="AR463" s="170" t="str">
        <f t="shared" si="258"/>
        <v>0.831455107023784-0.140532830328091i</v>
      </c>
    </row>
    <row r="464" spans="7:44">
      <c r="G464" s="688">
        <v>52182.25</v>
      </c>
      <c r="H464" s="676">
        <f t="shared" si="250"/>
        <v>52.182250000000003</v>
      </c>
      <c r="I464" s="677">
        <f t="shared" si="230"/>
        <v>429.18397167544003</v>
      </c>
      <c r="J464" s="678">
        <f t="shared" si="231"/>
        <v>1.5684663215504846</v>
      </c>
      <c r="K464" s="678">
        <f t="shared" si="232"/>
        <v>1.0025981061952169</v>
      </c>
      <c r="L464" s="679">
        <f t="shared" si="233"/>
        <v>7.2006853957632802E-2</v>
      </c>
      <c r="M464" s="678">
        <f t="shared" si="234"/>
        <v>1.0381079861468974</v>
      </c>
      <c r="N464" s="679">
        <f t="shared" si="235"/>
        <v>-0.27179365228219932</v>
      </c>
      <c r="O464" s="677">
        <f t="shared" si="236"/>
        <v>2163946.9243983361</v>
      </c>
      <c r="P464" s="680">
        <f t="shared" si="237"/>
        <v>1.5707958646763536</v>
      </c>
      <c r="Q464" s="689">
        <f t="shared" si="227"/>
        <v>86.563653264977376</v>
      </c>
      <c r="R464" s="690">
        <f t="shared" si="228"/>
        <v>1.5592438771718746</v>
      </c>
      <c r="S464" s="677">
        <f t="shared" si="238"/>
        <v>1.0746156920839769</v>
      </c>
      <c r="T464" s="680">
        <f t="shared" si="239"/>
        <v>0.37484268314070562</v>
      </c>
      <c r="U464" s="681">
        <f t="shared" si="251"/>
        <v>0.77286681532027912</v>
      </c>
      <c r="V464" s="682">
        <f t="shared" si="252"/>
        <v>-0.8786647431338821</v>
      </c>
      <c r="W464" s="683">
        <f t="shared" si="240"/>
        <v>-35.167872384141376</v>
      </c>
      <c r="X464" s="684">
        <f t="shared" si="241"/>
        <v>-173.79600632110629</v>
      </c>
      <c r="Y464" s="687">
        <f t="shared" si="242"/>
        <v>6.2039936788937098</v>
      </c>
      <c r="AA464" s="170">
        <f t="shared" si="243"/>
        <v>52182.25</v>
      </c>
      <c r="AB464" s="170">
        <f t="shared" si="244"/>
        <v>2722987215.0625</v>
      </c>
      <c r="AD464" s="686">
        <f t="shared" si="245"/>
        <v>16.522165985640225</v>
      </c>
      <c r="AE464" s="687">
        <f t="shared" si="246"/>
        <v>-22.138783879613808</v>
      </c>
      <c r="AG464" s="686">
        <f t="shared" si="247"/>
        <v>-6.2298643300339691</v>
      </c>
      <c r="AH464" s="687">
        <f t="shared" si="248"/>
        <v>-50.969659549404149</v>
      </c>
      <c r="AJ464" s="170">
        <f t="shared" si="249"/>
        <v>0</v>
      </c>
      <c r="AK464" s="170">
        <f t="shared" si="229"/>
        <v>0</v>
      </c>
      <c r="AM464" s="170" t="str">
        <f t="shared" si="253"/>
        <v>0.852241773280475+0.989023511569215i</v>
      </c>
      <c r="AN464" s="170" t="str">
        <f t="shared" si="254"/>
        <v>1.42249509304595i</v>
      </c>
      <c r="AO464" s="170" t="str">
        <f t="shared" si="255"/>
        <v>0.695273759750866-0.599117548768195i</v>
      </c>
      <c r="AP464" s="170" t="str">
        <f t="shared" si="256"/>
        <v>0.0246263711199208-0.164837251928203i</v>
      </c>
      <c r="AQ464" s="170" t="str">
        <f t="shared" si="257"/>
        <v>0.975373628880079+0.164837251928203i</v>
      </c>
      <c r="AR464" s="170" t="str">
        <f t="shared" si="258"/>
        <v>0.830317266650667-0.140322859272281i</v>
      </c>
    </row>
    <row r="465" spans="7:44">
      <c r="G465" s="688">
        <v>52481</v>
      </c>
      <c r="H465" s="676">
        <f t="shared" si="250"/>
        <v>52.481000000000002</v>
      </c>
      <c r="I465" s="677">
        <f t="shared" si="230"/>
        <v>431.64109104899802</v>
      </c>
      <c r="J465" s="678">
        <f t="shared" si="231"/>
        <v>1.5684795851424302</v>
      </c>
      <c r="K465" s="678">
        <f t="shared" si="232"/>
        <v>1.0026279012301493</v>
      </c>
      <c r="L465" s="679">
        <f t="shared" si="233"/>
        <v>7.241766660827767E-2</v>
      </c>
      <c r="M465" s="678">
        <f t="shared" si="234"/>
        <v>1.0385374606275988</v>
      </c>
      <c r="N465" s="679">
        <f t="shared" si="235"/>
        <v>-0.27327358566818277</v>
      </c>
      <c r="O465" s="677">
        <f t="shared" si="236"/>
        <v>2176335.7950136098</v>
      </c>
      <c r="P465" s="680">
        <f t="shared" si="237"/>
        <v>1.5707958673069802</v>
      </c>
      <c r="Q465" s="689">
        <f t="shared" si="227"/>
        <v>87.059175210028457</v>
      </c>
      <c r="R465" s="690">
        <f t="shared" si="228"/>
        <v>1.5593096341101704</v>
      </c>
      <c r="S465" s="677">
        <f t="shared" si="238"/>
        <v>1.0754424419922399</v>
      </c>
      <c r="T465" s="680">
        <f t="shared" si="239"/>
        <v>0.3767917599448431</v>
      </c>
      <c r="U465" s="681">
        <f t="shared" si="251"/>
        <v>0.77103458886547871</v>
      </c>
      <c r="V465" s="682">
        <f t="shared" si="252"/>
        <v>-0.88270495494763401</v>
      </c>
      <c r="W465" s="683">
        <f t="shared" si="240"/>
        <v>-35.240909759010876</v>
      </c>
      <c r="X465" s="684">
        <f t="shared" si="241"/>
        <v>-174.19741589110603</v>
      </c>
      <c r="Y465" s="687">
        <f t="shared" si="242"/>
        <v>5.8025841088939671</v>
      </c>
      <c r="AA465" s="170">
        <f t="shared" si="243"/>
        <v>52481</v>
      </c>
      <c r="AB465" s="170">
        <f t="shared" si="244"/>
        <v>2754255361</v>
      </c>
      <c r="AD465" s="686">
        <f t="shared" si="245"/>
        <v>16.515479531765457</v>
      </c>
      <c r="AE465" s="687">
        <f t="shared" si="246"/>
        <v>-22.246690310246784</v>
      </c>
      <c r="AG465" s="686">
        <f t="shared" si="247"/>
        <v>-6.2549832806284762</v>
      </c>
      <c r="AH465" s="687">
        <f t="shared" si="248"/>
        <v>-50.800188517708115</v>
      </c>
      <c r="AJ465" s="170">
        <f t="shared" si="249"/>
        <v>0</v>
      </c>
      <c r="AK465" s="170">
        <f t="shared" si="229"/>
        <v>0</v>
      </c>
      <c r="AM465" s="170" t="str">
        <f t="shared" si="253"/>
        <v>0.860301156888497+0.990194038172977i</v>
      </c>
      <c r="AN465" s="170" t="str">
        <f t="shared" si="254"/>
        <v>1.43063905788165i</v>
      </c>
      <c r="AO465" s="170" t="str">
        <f t="shared" si="255"/>
        <v>0.692134073033879-0.601340465401767i</v>
      </c>
      <c r="AP465" s="170" t="str">
        <f t="shared" si="256"/>
        <v>0.0232831405185838-0.165032339695496i</v>
      </c>
      <c r="AQ465" s="170" t="str">
        <f t="shared" si="257"/>
        <v>0.976716859481416+0.165032339695496i</v>
      </c>
      <c r="AR465" s="170" t="str">
        <f t="shared" si="258"/>
        <v>0.82918427540918-0.140104288854139i</v>
      </c>
    </row>
    <row r="466" spans="7:44">
      <c r="G466" s="688">
        <v>52786.5</v>
      </c>
      <c r="H466" s="676">
        <f t="shared" si="250"/>
        <v>52.786499999999997</v>
      </c>
      <c r="I466" s="677">
        <f t="shared" si="230"/>
        <v>434.15372700486006</v>
      </c>
      <c r="J466" s="678">
        <f t="shared" si="231"/>
        <v>1.5684929931551657</v>
      </c>
      <c r="K466" s="678">
        <f t="shared" si="232"/>
        <v>1.0026585444362823</v>
      </c>
      <c r="L466" s="679">
        <f t="shared" si="233"/>
        <v>7.2837735896473202E-2</v>
      </c>
      <c r="M466" s="678">
        <f t="shared" si="234"/>
        <v>1.038978989023553</v>
      </c>
      <c r="N466" s="679">
        <f t="shared" si="235"/>
        <v>-0.27478568820577165</v>
      </c>
      <c r="O466" s="677">
        <f t="shared" si="236"/>
        <v>2189004.5815339987</v>
      </c>
      <c r="P466" s="680">
        <f t="shared" si="237"/>
        <v>1.5707958699662501</v>
      </c>
      <c r="Q466" s="689">
        <f t="shared" si="227"/>
        <v>87.565893433238813</v>
      </c>
      <c r="R466" s="690">
        <f t="shared" si="228"/>
        <v>1.5593761071405856</v>
      </c>
      <c r="S466" s="677">
        <f t="shared" si="238"/>
        <v>1.0762920900357771</v>
      </c>
      <c r="T466" s="680">
        <f t="shared" si="239"/>
        <v>0.37878177010995295</v>
      </c>
      <c r="U466" s="681">
        <f t="shared" si="251"/>
        <v>0.76916230445668998</v>
      </c>
      <c r="V466" s="682">
        <f t="shared" si="252"/>
        <v>-0.88682502184783907</v>
      </c>
      <c r="W466" s="683">
        <f t="shared" si="240"/>
        <v>-35.31535089526654</v>
      </c>
      <c r="X466" s="684">
        <f t="shared" si="241"/>
        <v>-174.60702616700661</v>
      </c>
      <c r="Y466" s="687">
        <f t="shared" si="242"/>
        <v>5.3929738329933912</v>
      </c>
      <c r="AA466" s="170">
        <f t="shared" si="243"/>
        <v>52786.5</v>
      </c>
      <c r="AB466" s="170">
        <f t="shared" si="244"/>
        <v>2786414582.25</v>
      </c>
      <c r="AD466" s="686">
        <f t="shared" si="245"/>
        <v>16.508613383180112</v>
      </c>
      <c r="AE466" s="687">
        <f t="shared" si="246"/>
        <v>-22.356901022292348</v>
      </c>
      <c r="AG466" s="686">
        <f t="shared" si="247"/>
        <v>-6.2803235025314876</v>
      </c>
      <c r="AH466" s="687">
        <f t="shared" si="248"/>
        <v>-50.627463191637041</v>
      </c>
      <c r="AJ466" s="170">
        <f t="shared" si="249"/>
        <v>0</v>
      </c>
      <c r="AK466" s="170">
        <f t="shared" si="229"/>
        <v>0</v>
      </c>
      <c r="AM466" s="170" t="str">
        <f t="shared" si="253"/>
        <v>0.868552212926256+0.991323095299114i</v>
      </c>
      <c r="AN466" s="170" t="str">
        <f t="shared" si="254"/>
        <v>1.4389670286174i</v>
      </c>
      <c r="AO466" s="170" t="str">
        <f t="shared" si="255"/>
        <v>0.68891300188553-0.603594242017335i</v>
      </c>
      <c r="AP466" s="170" t="str">
        <f t="shared" si="256"/>
        <v>0.0219079645122907-0.165220515883186i</v>
      </c>
      <c r="AQ466" s="170" t="str">
        <f t="shared" si="257"/>
        <v>0.978092035487709+0.165220515883186i</v>
      </c>
      <c r="AR466" s="170" t="str">
        <f t="shared" si="258"/>
        <v>0.828030747933626-0.139871977663653i</v>
      </c>
    </row>
    <row r="467" spans="7:44">
      <c r="G467" s="688">
        <v>53092</v>
      </c>
      <c r="H467" s="676">
        <f t="shared" si="250"/>
        <v>53.091999999999999</v>
      </c>
      <c r="I467" s="677">
        <f t="shared" si="230"/>
        <v>436.66636303787379</v>
      </c>
      <c r="J467" s="678">
        <f t="shared" si="231"/>
        <v>1.5685062468649444</v>
      </c>
      <c r="K467" s="678">
        <f t="shared" si="232"/>
        <v>1.0026893645589119</v>
      </c>
      <c r="L467" s="679">
        <f t="shared" si="233"/>
        <v>7.3257779435060524E-2</v>
      </c>
      <c r="M467" s="678">
        <f t="shared" si="234"/>
        <v>1.0394228909758869</v>
      </c>
      <c r="N467" s="679">
        <f t="shared" si="235"/>
        <v>-0.27629650266080313</v>
      </c>
      <c r="O467" s="677">
        <f t="shared" si="236"/>
        <v>2201673.3680543872</v>
      </c>
      <c r="P467" s="680">
        <f t="shared" si="237"/>
        <v>1.5707958725949165</v>
      </c>
      <c r="Q467" s="689">
        <f t="shared" si="227"/>
        <v>88.07261203892115</v>
      </c>
      <c r="R467" s="690">
        <f t="shared" si="228"/>
        <v>1.5594418152769469</v>
      </c>
      <c r="S467" s="677">
        <f t="shared" si="238"/>
        <v>1.0771459936132104</v>
      </c>
      <c r="T467" s="680">
        <f t="shared" si="239"/>
        <v>0.38076863298627656</v>
      </c>
      <c r="U467" s="681">
        <f t="shared" si="251"/>
        <v>0.76729144796492876</v>
      </c>
      <c r="V467" s="682">
        <f t="shared" si="252"/>
        <v>-0.89093358207173079</v>
      </c>
      <c r="W467" s="683">
        <f t="shared" si="240"/>
        <v>-35.389545400360618</v>
      </c>
      <c r="X467" s="684">
        <f t="shared" si="241"/>
        <v>-175.01575948874191</v>
      </c>
      <c r="Y467" s="687">
        <f t="shared" si="242"/>
        <v>4.9842405112580934</v>
      </c>
      <c r="AA467" s="170">
        <f t="shared" si="243"/>
        <v>53092</v>
      </c>
      <c r="AB467" s="170">
        <f t="shared" si="244"/>
        <v>2818760464</v>
      </c>
      <c r="AD467" s="686">
        <f t="shared" si="245"/>
        <v>16.501718445504537</v>
      </c>
      <c r="AE467" s="687">
        <f t="shared" si="246"/>
        <v>-22.466975231421006</v>
      </c>
      <c r="AG467" s="686">
        <f t="shared" si="247"/>
        <v>-6.3053177001421474</v>
      </c>
      <c r="AH467" s="687">
        <f t="shared" si="248"/>
        <v>-50.455315982297108</v>
      </c>
      <c r="AJ467" s="170">
        <f t="shared" si="249"/>
        <v>0</v>
      </c>
      <c r="AK467" s="170">
        <f t="shared" si="229"/>
        <v>0</v>
      </c>
      <c r="AM467" s="170" t="str">
        <f t="shared" si="253"/>
        <v>0.876812385485292+0.992383399513603i</v>
      </c>
      <c r="AN467" s="170" t="str">
        <f t="shared" si="254"/>
        <v>1.44729499935315i</v>
      </c>
      <c r="AO467" s="170" t="str">
        <f t="shared" si="255"/>
        <v>0.685681495449881-0.605828380445709i</v>
      </c>
      <c r="AP467" s="170" t="str">
        <f t="shared" si="256"/>
        <v>0.0205312690857847-0.165397233252267i</v>
      </c>
      <c r="AQ467" s="170" t="str">
        <f t="shared" si="257"/>
        <v>0.979468730914215+0.165397233252267i</v>
      </c>
      <c r="AR467" s="170" t="str">
        <f t="shared" si="258"/>
        <v>0.82688238723987-0.139630857788437i</v>
      </c>
    </row>
    <row r="468" spans="7:44">
      <c r="G468" s="688">
        <v>53397.5</v>
      </c>
      <c r="H468" s="676">
        <f t="shared" si="250"/>
        <v>53.397500000000001</v>
      </c>
      <c r="I468" s="677">
        <f t="shared" si="230"/>
        <v>439.17899914671494</v>
      </c>
      <c r="J468" s="678">
        <f t="shared" si="231"/>
        <v>1.5685193489201619</v>
      </c>
      <c r="K468" s="678">
        <f t="shared" si="232"/>
        <v>1.0027203615817244</v>
      </c>
      <c r="L468" s="679">
        <f t="shared" si="233"/>
        <v>7.3677797078198798E-2</v>
      </c>
      <c r="M468" s="678">
        <f t="shared" si="234"/>
        <v>1.0398691634449109</v>
      </c>
      <c r="N468" s="679">
        <f t="shared" si="235"/>
        <v>-0.27780602379023889</v>
      </c>
      <c r="O468" s="677">
        <f t="shared" si="236"/>
        <v>2214342.1545747761</v>
      </c>
      <c r="P468" s="680">
        <f t="shared" si="237"/>
        <v>1.5707958751935043</v>
      </c>
      <c r="Q468" s="689">
        <f t="shared" si="227"/>
        <v>88.579331020511646</v>
      </c>
      <c r="R468" s="690">
        <f t="shared" si="228"/>
        <v>1.5595067716454354</v>
      </c>
      <c r="S468" s="677">
        <f t="shared" si="238"/>
        <v>1.0780041426119189</v>
      </c>
      <c r="T468" s="680">
        <f t="shared" si="239"/>
        <v>0.38275234038477129</v>
      </c>
      <c r="U468" s="681">
        <f t="shared" si="251"/>
        <v>0.76542209185855958</v>
      </c>
      <c r="V468" s="682">
        <f t="shared" si="252"/>
        <v>-0.89503068750780479</v>
      </c>
      <c r="W468" s="683">
        <f t="shared" si="240"/>
        <v>-35.463495821236876</v>
      </c>
      <c r="X468" s="684">
        <f t="shared" si="241"/>
        <v>-175.42361746775552</v>
      </c>
      <c r="Y468" s="687">
        <f t="shared" si="242"/>
        <v>4.5763825322444802</v>
      </c>
      <c r="AA468" s="170">
        <f t="shared" si="243"/>
        <v>53397.5</v>
      </c>
      <c r="AB468" s="170">
        <f t="shared" si="244"/>
        <v>2851293006.25</v>
      </c>
      <c r="AD468" s="686">
        <f t="shared" si="245"/>
        <v>16.494794870633612</v>
      </c>
      <c r="AE468" s="687">
        <f t="shared" si="246"/>
        <v>-22.57691171639048</v>
      </c>
      <c r="AG468" s="686">
        <f t="shared" si="247"/>
        <v>-6.329969951121738</v>
      </c>
      <c r="AH468" s="687">
        <f t="shared" si="248"/>
        <v>-50.283743776390452</v>
      </c>
      <c r="AJ468" s="170">
        <f t="shared" si="249"/>
        <v>0</v>
      </c>
      <c r="AK468" s="170">
        <f t="shared" si="229"/>
        <v>0</v>
      </c>
      <c r="AM468" s="170" t="str">
        <f t="shared" si="253"/>
        <v>0.885081101683851+0.99337487727937i</v>
      </c>
      <c r="AN468" s="170" t="str">
        <f t="shared" si="254"/>
        <v>1.4556229700889i</v>
      </c>
      <c r="AO468" s="170" t="str">
        <f t="shared" si="255"/>
        <v>0.68243968231602-0.608042824186675i</v>
      </c>
      <c r="AP468" s="170" t="str">
        <f t="shared" si="256"/>
        <v>0.0191531497193582-0.165562479546562i</v>
      </c>
      <c r="AQ468" s="170" t="str">
        <f t="shared" si="257"/>
        <v>0.980846850280642+0.165562479546562i</v>
      </c>
      <c r="AR468" s="170" t="str">
        <f t="shared" si="258"/>
        <v>0.825739239755831-0.139381021566978i</v>
      </c>
    </row>
    <row r="469" spans="7:44">
      <c r="G469" s="688">
        <v>53703</v>
      </c>
      <c r="H469" s="676">
        <f t="shared" si="250"/>
        <v>53.703000000000003</v>
      </c>
      <c r="I469" s="677">
        <f t="shared" si="230"/>
        <v>441.69163533008958</v>
      </c>
      <c r="J469" s="678">
        <f t="shared" si="231"/>
        <v>1.5685323019089497</v>
      </c>
      <c r="K469" s="678">
        <f t="shared" si="232"/>
        <v>1.0027515354883152</v>
      </c>
      <c r="L469" s="679">
        <f t="shared" si="233"/>
        <v>7.4097788680101681E-2</v>
      </c>
      <c r="M469" s="678">
        <f t="shared" si="234"/>
        <v>1.0403178033799334</v>
      </c>
      <c r="N469" s="679">
        <f t="shared" si="235"/>
        <v>-0.27931424638358965</v>
      </c>
      <c r="O469" s="677">
        <f t="shared" si="236"/>
        <v>2227010.9410951645</v>
      </c>
      <c r="P469" s="680">
        <f t="shared" si="237"/>
        <v>1.570795877762527</v>
      </c>
      <c r="Q469" s="689">
        <f t="shared" si="227"/>
        <v>89.08605037159586</v>
      </c>
      <c r="R469" s="690">
        <f t="shared" si="228"/>
        <v>1.5595709890736116</v>
      </c>
      <c r="S469" s="677">
        <f t="shared" si="238"/>
        <v>1.0788665269012594</v>
      </c>
      <c r="T469" s="680">
        <f t="shared" si="239"/>
        <v>0.38473288424172142</v>
      </c>
      <c r="U469" s="681">
        <f t="shared" si="251"/>
        <v>0.76355430721431672</v>
      </c>
      <c r="V469" s="682">
        <f t="shared" si="252"/>
        <v>-0.89911639050166881</v>
      </c>
      <c r="W469" s="683">
        <f t="shared" si="240"/>
        <v>-35.537204656280565</v>
      </c>
      <c r="X469" s="684">
        <f t="shared" si="241"/>
        <v>-175.83060176438013</v>
      </c>
      <c r="Y469" s="687">
        <f t="shared" si="242"/>
        <v>4.169398235619866</v>
      </c>
      <c r="AA469" s="170">
        <f t="shared" si="243"/>
        <v>53703</v>
      </c>
      <c r="AB469" s="170">
        <f t="shared" si="244"/>
        <v>2884012209</v>
      </c>
      <c r="AD469" s="686">
        <f t="shared" si="245"/>
        <v>16.487842810587871</v>
      </c>
      <c r="AE469" s="687">
        <f t="shared" si="246"/>
        <v>-22.686709280248234</v>
      </c>
      <c r="AG469" s="686">
        <f t="shared" si="247"/>
        <v>-6.3542842675771514</v>
      </c>
      <c r="AH469" s="687">
        <f t="shared" si="248"/>
        <v>-50.112743432837597</v>
      </c>
      <c r="AJ469" s="170">
        <f t="shared" si="249"/>
        <v>0</v>
      </c>
      <c r="AK469" s="170">
        <f t="shared" si="229"/>
        <v>0</v>
      </c>
      <c r="AM469" s="170" t="str">
        <f t="shared" si="253"/>
        <v>0.893357788047626+0.994297459832773i</v>
      </c>
      <c r="AN469" s="170" t="str">
        <f t="shared" si="254"/>
        <v>1.46395094082464i</v>
      </c>
      <c r="AO469" s="170" t="str">
        <f t="shared" si="255"/>
        <v>0.679187691407669-0.610237517620911i</v>
      </c>
      <c r="AP469" s="170" t="str">
        <f t="shared" si="256"/>
        <v>0.0177737019920623-0.165716243305462i</v>
      </c>
      <c r="AQ469" s="170" t="str">
        <f t="shared" si="257"/>
        <v>0.982226298007938+0.165716243305462i</v>
      </c>
      <c r="AR469" s="170" t="str">
        <f t="shared" si="258"/>
        <v>0.824601350503271-0.139122560969049i</v>
      </c>
    </row>
    <row r="470" spans="7:44">
      <c r="G470" s="688">
        <v>54015.75</v>
      </c>
      <c r="H470" s="676">
        <f t="shared" si="250"/>
        <v>54.015749999999997</v>
      </c>
      <c r="I470" s="677">
        <f t="shared" si="230"/>
        <v>444.263900434947</v>
      </c>
      <c r="J470" s="678">
        <f t="shared" si="231"/>
        <v>1.56854541051865</v>
      </c>
      <c r="K470" s="678">
        <f t="shared" si="232"/>
        <v>1.0027836324141626</v>
      </c>
      <c r="L470" s="679">
        <f t="shared" si="233"/>
        <v>7.4527720221757882E-2</v>
      </c>
      <c r="M470" s="678">
        <f t="shared" si="234"/>
        <v>1.040779539464507</v>
      </c>
      <c r="N470" s="679">
        <f t="shared" si="235"/>
        <v>-0.28085691096134352</v>
      </c>
      <c r="O470" s="677">
        <f t="shared" si="236"/>
        <v>2239980.3780321581</v>
      </c>
      <c r="P470" s="680">
        <f t="shared" si="237"/>
        <v>1.5707958803624145</v>
      </c>
      <c r="Q470" s="689">
        <f t="shared" si="227"/>
        <v>89.604795353535323</v>
      </c>
      <c r="R470" s="690">
        <f t="shared" si="228"/>
        <v>1.5596359781187663</v>
      </c>
      <c r="S470" s="677">
        <f t="shared" si="238"/>
        <v>1.0797537535918267</v>
      </c>
      <c r="T470" s="680">
        <f t="shared" si="239"/>
        <v>0.38675714421459839</v>
      </c>
      <c r="U470" s="681">
        <f t="shared" si="251"/>
        <v>0.76164389768124274</v>
      </c>
      <c r="V470" s="682">
        <f t="shared" si="252"/>
        <v>-0.90328729728177737</v>
      </c>
      <c r="W470" s="683">
        <f t="shared" si="240"/>
        <v>-35.612415024156682</v>
      </c>
      <c r="X470" s="684">
        <f t="shared" si="241"/>
        <v>-176.24634119884595</v>
      </c>
      <c r="Y470" s="687">
        <f t="shared" si="242"/>
        <v>3.7536588011540459</v>
      </c>
      <c r="AA470" s="170">
        <f t="shared" si="243"/>
        <v>54015.75</v>
      </c>
      <c r="AB470" s="170">
        <f t="shared" si="244"/>
        <v>2917701248.0625</v>
      </c>
      <c r="AD470" s="686">
        <f t="shared" si="245"/>
        <v>16.480696418767366</v>
      </c>
      <c r="AE470" s="687">
        <f t="shared" si="246"/>
        <v>-22.798967384420241</v>
      </c>
      <c r="AG470" s="686">
        <f t="shared" si="247"/>
        <v>-6.3788296635753303</v>
      </c>
      <c r="AH470" s="687">
        <f t="shared" si="248"/>
        <v>-49.938274052099807</v>
      </c>
      <c r="AJ470" s="170">
        <f t="shared" si="249"/>
        <v>0</v>
      </c>
      <c r="AK470" s="170">
        <f t="shared" si="229"/>
        <v>0</v>
      </c>
      <c r="AM470" s="170" t="str">
        <f t="shared" si="253"/>
        <v>0.901838550115595+0.995170502856968i</v>
      </c>
      <c r="AN470" s="170" t="str">
        <f t="shared" si="254"/>
        <v>1.47247654752712i</v>
      </c>
      <c r="AO470" s="170" t="str">
        <f t="shared" si="255"/>
        <v>0.675848117600419-0.612463778543804i</v>
      </c>
      <c r="AP470" s="170" t="str">
        <f t="shared" si="256"/>
        <v>0.0163602416474008-0.165861750476161i</v>
      </c>
      <c r="AQ470" s="170" t="str">
        <f t="shared" si="257"/>
        <v>0.983639758352599+0.165861750476161i</v>
      </c>
      <c r="AR470" s="170" t="str">
        <f t="shared" si="258"/>
        <v>0.823441949775821-0.138849128500114i</v>
      </c>
    </row>
    <row r="471" spans="7:44">
      <c r="G471" s="688">
        <v>54328.5</v>
      </c>
      <c r="H471" s="676">
        <f t="shared" si="250"/>
        <v>54.328499999999998</v>
      </c>
      <c r="I471" s="677">
        <f t="shared" si="230"/>
        <v>446.83616561526594</v>
      </c>
      <c r="J471" s="678">
        <f t="shared" si="231"/>
        <v>1.5685583682058315</v>
      </c>
      <c r="K471" s="678">
        <f t="shared" si="232"/>
        <v>1.0028159146837849</v>
      </c>
      <c r="L471" s="679">
        <f t="shared" si="233"/>
        <v>7.4957624162487468E-2</v>
      </c>
      <c r="M471" s="678">
        <f t="shared" si="234"/>
        <v>1.0412437502106497</v>
      </c>
      <c r="N471" s="679">
        <f t="shared" si="235"/>
        <v>-0.28239820369268009</v>
      </c>
      <c r="O471" s="677">
        <f t="shared" si="236"/>
        <v>2252949.8149691517</v>
      </c>
      <c r="P471" s="680">
        <f t="shared" si="237"/>
        <v>1.5707958829323687</v>
      </c>
      <c r="Q471" s="689">
        <f t="shared" ref="Q471:Q534" si="259">SQRT(1+(G471/Zero2)^2)</f>
        <v>90.123540709570761</v>
      </c>
      <c r="R471" s="690">
        <f t="shared" ref="R471:R534" si="260">ATAN(G471/Zero2)</f>
        <v>1.5597002190185865</v>
      </c>
      <c r="S471" s="677">
        <f t="shared" si="238"/>
        <v>1.0806453974364638</v>
      </c>
      <c r="T471" s="680">
        <f t="shared" si="239"/>
        <v>0.38877807201085568</v>
      </c>
      <c r="U471" s="681">
        <f t="shared" si="251"/>
        <v>0.75973528141815494</v>
      </c>
      <c r="V471" s="682">
        <f t="shared" si="252"/>
        <v>-0.90744636643067633</v>
      </c>
      <c r="W471" s="683">
        <f t="shared" si="240"/>
        <v>-35.68737735214895</v>
      </c>
      <c r="X471" s="684">
        <f t="shared" si="241"/>
        <v>-176.66116866438455</v>
      </c>
      <c r="Y471" s="687">
        <f t="shared" si="242"/>
        <v>3.3388313356154526</v>
      </c>
      <c r="AA471" s="170">
        <f t="shared" si="243"/>
        <v>54328.5</v>
      </c>
      <c r="AB471" s="170">
        <f t="shared" si="244"/>
        <v>2951585912.25</v>
      </c>
      <c r="AD471" s="686">
        <f t="shared" si="245"/>
        <v>16.473520496511689</v>
      </c>
      <c r="AE471" s="687">
        <f t="shared" si="246"/>
        <v>-22.911077432790275</v>
      </c>
      <c r="AG471" s="686">
        <f t="shared" si="247"/>
        <v>-6.4030291998517725</v>
      </c>
      <c r="AH471" s="687">
        <f t="shared" si="248"/>
        <v>-49.764397250853825</v>
      </c>
      <c r="AJ471" s="170">
        <f t="shared" si="249"/>
        <v>0</v>
      </c>
      <c r="AK471" s="170">
        <f t="shared" ref="AK471:AK534" si="261">IF(AJ471&gt;0,Y471,0)</f>
        <v>0</v>
      </c>
      <c r="AM471" s="170" t="str">
        <f t="shared" si="253"/>
        <v>0.910326447100502+0.995971211386344i</v>
      </c>
      <c r="AN471" s="170" t="str">
        <f t="shared" si="254"/>
        <v>1.48100215422959i</v>
      </c>
      <c r="AO471" s="170" t="str">
        <f t="shared" si="255"/>
        <v>0.672498151702179-0.614669225497548i</v>
      </c>
      <c r="AP471" s="170" t="str">
        <f t="shared" si="256"/>
        <v>0.0149455921499162-0.165995201897724i</v>
      </c>
      <c r="AQ471" s="170" t="str">
        <f t="shared" si="257"/>
        <v>0.985054407850084+0.165995201897724i</v>
      </c>
      <c r="AR471" s="170" t="str">
        <f t="shared" si="258"/>
        <v>0.822288150880198-0.138566851268014i</v>
      </c>
    </row>
    <row r="472" spans="7:44">
      <c r="G472" s="688">
        <v>54641.25</v>
      </c>
      <c r="H472" s="676">
        <f t="shared" si="250"/>
        <v>54.641249999999999</v>
      </c>
      <c r="I472" s="677">
        <f t="shared" si="230"/>
        <v>449.40843086975059</v>
      </c>
      <c r="J472" s="678">
        <f t="shared" si="231"/>
        <v>1.5685711775619817</v>
      </c>
      <c r="K472" s="678">
        <f t="shared" si="232"/>
        <v>1.0028483822792833</v>
      </c>
      <c r="L472" s="679">
        <f t="shared" si="233"/>
        <v>7.5387500346056194E-2</v>
      </c>
      <c r="M472" s="678">
        <f t="shared" si="234"/>
        <v>1.0417104323100594</v>
      </c>
      <c r="N472" s="679">
        <f t="shared" si="235"/>
        <v>-0.28393811909355465</v>
      </c>
      <c r="O472" s="677">
        <f t="shared" si="236"/>
        <v>2265919.2519061458</v>
      </c>
      <c r="P472" s="680">
        <f t="shared" si="237"/>
        <v>1.5707958854729038</v>
      </c>
      <c r="Q472" s="689">
        <f t="shared" si="259"/>
        <v>90.642286433279324</v>
      </c>
      <c r="R472" s="690">
        <f t="shared" si="260"/>
        <v>1.5597637246174425</v>
      </c>
      <c r="S472" s="677">
        <f t="shared" si="238"/>
        <v>1.0815414475104068</v>
      </c>
      <c r="T472" s="680">
        <f t="shared" si="239"/>
        <v>0.39079565938475014</v>
      </c>
      <c r="U472" s="681">
        <f t="shared" si="251"/>
        <v>0.75782853023653629</v>
      </c>
      <c r="V472" s="682">
        <f t="shared" si="252"/>
        <v>-0.91159365550785842</v>
      </c>
      <c r="W472" s="683">
        <f t="shared" si="240"/>
        <v>-35.762094170844335</v>
      </c>
      <c r="X472" s="684">
        <f t="shared" si="241"/>
        <v>-177.07508609378715</v>
      </c>
      <c r="Y472" s="687">
        <f t="shared" si="242"/>
        <v>2.9249139062128506</v>
      </c>
      <c r="AA472" s="170">
        <f t="shared" si="243"/>
        <v>54641.25</v>
      </c>
      <c r="AB472" s="170">
        <f t="shared" si="244"/>
        <v>2985666201.5625</v>
      </c>
      <c r="AD472" s="686">
        <f t="shared" si="245"/>
        <v>16.466315207259129</v>
      </c>
      <c r="AE472" s="687">
        <f t="shared" si="246"/>
        <v>-23.023038217013291</v>
      </c>
      <c r="AG472" s="686">
        <f t="shared" si="247"/>
        <v>-6.426886976038535</v>
      </c>
      <c r="AH472" s="687">
        <f t="shared" si="248"/>
        <v>-49.591109574403895</v>
      </c>
      <c r="AJ472" s="170">
        <f t="shared" si="249"/>
        <v>0</v>
      </c>
      <c r="AK472" s="170">
        <f t="shared" si="261"/>
        <v>0</v>
      </c>
      <c r="AM472" s="170" t="str">
        <f t="shared" si="253"/>
        <v>0.918820862055074+0.996699527220977i</v>
      </c>
      <c r="AN472" s="170" t="str">
        <f t="shared" si="254"/>
        <v>1.48952776093206i</v>
      </c>
      <c r="AO472" s="170" t="str">
        <f t="shared" si="255"/>
        <v>0.669137933083772-0.616853801690899i</v>
      </c>
      <c r="AP472" s="170" t="str">
        <f t="shared" si="256"/>
        <v>0.0135298563241544-0.166116587870163i</v>
      </c>
      <c r="AQ472" s="170" t="str">
        <f t="shared" si="257"/>
        <v>0.986470143675846+0.166116587870163i</v>
      </c>
      <c r="AR472" s="170" t="str">
        <f t="shared" si="258"/>
        <v>0.82113999768323-0.138275826646482i</v>
      </c>
    </row>
    <row r="473" spans="7:44">
      <c r="G473" s="688">
        <v>54954</v>
      </c>
      <c r="H473" s="676">
        <f t="shared" si="250"/>
        <v>54.954000000000001</v>
      </c>
      <c r="I473" s="677">
        <f t="shared" si="230"/>
        <v>451.98069619713465</v>
      </c>
      <c r="J473" s="678">
        <f t="shared" si="231"/>
        <v>1.5685838411195945</v>
      </c>
      <c r="K473" s="678">
        <f t="shared" si="232"/>
        <v>1.0028810351826583</v>
      </c>
      <c r="L473" s="679">
        <f t="shared" si="233"/>
        <v>7.5817348616290942E-2</v>
      </c>
      <c r="M473" s="678">
        <f t="shared" si="234"/>
        <v>1.0421795824427618</v>
      </c>
      <c r="N473" s="679">
        <f t="shared" si="235"/>
        <v>-0.28547665171584785</v>
      </c>
      <c r="O473" s="677">
        <f t="shared" si="236"/>
        <v>2278888.6888431394</v>
      </c>
      <c r="P473" s="680">
        <f t="shared" si="237"/>
        <v>1.5707958879845216</v>
      </c>
      <c r="Q473" s="689">
        <f t="shared" si="259"/>
        <v>91.161032518384332</v>
      </c>
      <c r="R473" s="690">
        <f t="shared" si="260"/>
        <v>1.5598265074673685</v>
      </c>
      <c r="S473" s="677">
        <f t="shared" si="238"/>
        <v>1.082441892871169</v>
      </c>
      <c r="T473" s="680">
        <f t="shared" si="239"/>
        <v>0.39280989822655615</v>
      </c>
      <c r="U473" s="681">
        <f t="shared" si="251"/>
        <v>0.7559237144777422</v>
      </c>
      <c r="V473" s="682">
        <f t="shared" si="252"/>
        <v>-0.91572922251434352</v>
      </c>
      <c r="W473" s="683">
        <f t="shared" si="240"/>
        <v>-35.836567962915495</v>
      </c>
      <c r="X473" s="684">
        <f t="shared" si="241"/>
        <v>-177.48809546835955</v>
      </c>
      <c r="Y473" s="687">
        <f t="shared" si="242"/>
        <v>2.5119045316404538</v>
      </c>
      <c r="AA473" s="170">
        <f t="shared" si="243"/>
        <v>54954</v>
      </c>
      <c r="AB473" s="170">
        <f t="shared" si="244"/>
        <v>3019942116</v>
      </c>
      <c r="AD473" s="686">
        <f t="shared" si="245"/>
        <v>16.459080714536999</v>
      </c>
      <c r="AE473" s="687">
        <f t="shared" si="246"/>
        <v>-23.134848553286396</v>
      </c>
      <c r="AG473" s="686">
        <f t="shared" si="247"/>
        <v>-6.450407025418917</v>
      </c>
      <c r="AH473" s="687">
        <f t="shared" si="248"/>
        <v>-49.418407541431385</v>
      </c>
      <c r="AJ473" s="170">
        <f t="shared" si="249"/>
        <v>0</v>
      </c>
      <c r="AK473" s="170">
        <f t="shared" si="261"/>
        <v>0</v>
      </c>
      <c r="AM473" s="170" t="str">
        <f t="shared" si="253"/>
        <v>0.927321177558271+0.997355397422846i</v>
      </c>
      <c r="AN473" s="170" t="str">
        <f t="shared" si="254"/>
        <v>1.49805336763454i</v>
      </c>
      <c r="AO473" s="170" t="str">
        <f t="shared" si="255"/>
        <v>0.66576760145581-0.619017451309183i</v>
      </c>
      <c r="AP473" s="170" t="str">
        <f t="shared" si="256"/>
        <v>0.0121131370736215-0.166225899570474i</v>
      </c>
      <c r="AQ473" s="170" t="str">
        <f t="shared" si="257"/>
        <v>0.987886862926379+0.166225899570474i</v>
      </c>
      <c r="AR473" s="170" t="str">
        <f t="shared" si="258"/>
        <v>0.819997532603602-0.137976151539086i</v>
      </c>
    </row>
    <row r="474" spans="7:44">
      <c r="G474" s="688">
        <v>55274</v>
      </c>
      <c r="H474" s="676">
        <f t="shared" si="250"/>
        <v>55.274000000000001</v>
      </c>
      <c r="I474" s="677">
        <f t="shared" si="230"/>
        <v>454.61259045119527</v>
      </c>
      <c r="J474" s="678">
        <f t="shared" si="231"/>
        <v>1.5685966499108102</v>
      </c>
      <c r="K474" s="678">
        <f t="shared" si="232"/>
        <v>1.0029146368101849</v>
      </c>
      <c r="L474" s="679">
        <f t="shared" si="233"/>
        <v>7.6257132340516995E-2</v>
      </c>
      <c r="M474" s="678">
        <f t="shared" si="234"/>
        <v>1.0426621591984138</v>
      </c>
      <c r="N474" s="679">
        <f t="shared" si="235"/>
        <v>-0.28704941288542074</v>
      </c>
      <c r="O474" s="677">
        <f t="shared" si="236"/>
        <v>2292158.7761967382</v>
      </c>
      <c r="P474" s="680">
        <f t="shared" si="237"/>
        <v>1.5707958905249444</v>
      </c>
      <c r="Q474" s="689">
        <f t="shared" si="259"/>
        <v>91.691804260094955</v>
      </c>
      <c r="R474" s="690">
        <f t="shared" si="260"/>
        <v>1.5598900104346993</v>
      </c>
      <c r="S474" s="677">
        <f t="shared" si="238"/>
        <v>1.0833677497354108</v>
      </c>
      <c r="T474" s="680">
        <f t="shared" si="239"/>
        <v>0.39486735587100291</v>
      </c>
      <c r="U474" s="681">
        <f t="shared" si="251"/>
        <v>0.75397681740252087</v>
      </c>
      <c r="V474" s="682">
        <f t="shared" si="252"/>
        <v>-0.91994858610335617</v>
      </c>
      <c r="W474" s="683">
        <f t="shared" si="240"/>
        <v>-35.912519163941013</v>
      </c>
      <c r="X474" s="684">
        <f t="shared" si="241"/>
        <v>-177.90974124339678</v>
      </c>
      <c r="Y474" s="687">
        <f t="shared" si="242"/>
        <v>2.0902587566032196</v>
      </c>
      <c r="AA474" s="170">
        <f t="shared" si="243"/>
        <v>55274</v>
      </c>
      <c r="AB474" s="170">
        <f t="shared" si="244"/>
        <v>3055215076</v>
      </c>
      <c r="AD474" s="686">
        <f t="shared" si="245"/>
        <v>16.451648459610045</v>
      </c>
      <c r="AE474" s="687">
        <f t="shared" si="246"/>
        <v>-23.249093886511556</v>
      </c>
      <c r="AG474" s="686">
        <f t="shared" si="247"/>
        <v>-6.4741268813871011</v>
      </c>
      <c r="AH474" s="687">
        <f t="shared" si="248"/>
        <v>-49.242304530927768</v>
      </c>
      <c r="AJ474" s="170">
        <f t="shared" si="249"/>
        <v>0</v>
      </c>
      <c r="AK474" s="170">
        <f t="shared" si="261"/>
        <v>0</v>
      </c>
      <c r="AM474" s="170" t="str">
        <f t="shared" si="253"/>
        <v>0.936024005606549+0.997951437767074i</v>
      </c>
      <c r="AN474" s="170" t="str">
        <f t="shared" si="254"/>
        <v>1.50677661030373i</v>
      </c>
      <c r="AO474" s="170" t="str">
        <f t="shared" si="255"/>
        <v>0.662308819331826-0.621209540422763i</v>
      </c>
      <c r="AP474" s="170" t="str">
        <f t="shared" si="256"/>
        <v>0.0106626657322418-0.166325239627846i</v>
      </c>
      <c r="AQ474" s="170" t="str">
        <f t="shared" si="257"/>
        <v>0.989337334267758+0.166325239627846i</v>
      </c>
      <c r="AR474" s="170" t="str">
        <f t="shared" si="258"/>
        <v>0.818834513705883-0.137660676485521i</v>
      </c>
    </row>
    <row r="475" spans="7:44">
      <c r="G475" s="688">
        <v>55594</v>
      </c>
      <c r="H475" s="676">
        <f t="shared" si="250"/>
        <v>55.594000000000001</v>
      </c>
      <c r="I475" s="677">
        <f t="shared" si="230"/>
        <v>457.24448477898335</v>
      </c>
      <c r="J475" s="678">
        <f t="shared" si="231"/>
        <v>1.5686093112474995</v>
      </c>
      <c r="K475" s="678">
        <f t="shared" si="232"/>
        <v>1.0029484323981357</v>
      </c>
      <c r="L475" s="679">
        <f t="shared" si="233"/>
        <v>7.6696886511677942E-2</v>
      </c>
      <c r="M475" s="678">
        <f t="shared" si="234"/>
        <v>1.0431473126699364</v>
      </c>
      <c r="N475" s="679">
        <f t="shared" si="235"/>
        <v>-0.2886207149995384</v>
      </c>
      <c r="O475" s="677">
        <f t="shared" si="236"/>
        <v>2305428.863550337</v>
      </c>
      <c r="P475" s="680">
        <f t="shared" si="237"/>
        <v>1.5707958930361214</v>
      </c>
      <c r="Q475" s="689">
        <f t="shared" si="259"/>
        <v>92.222576367308221</v>
      </c>
      <c r="R475" s="690">
        <f t="shared" si="260"/>
        <v>1.5599527824401866</v>
      </c>
      <c r="S475" s="677">
        <f t="shared" si="238"/>
        <v>1.0842981847951618</v>
      </c>
      <c r="T475" s="680">
        <f t="shared" si="239"/>
        <v>0.39692129119341857</v>
      </c>
      <c r="U475" s="681">
        <f t="shared" si="251"/>
        <v>0.75203209086187883</v>
      </c>
      <c r="V475" s="682">
        <f t="shared" si="252"/>
        <v>-0.92415580205578252</v>
      </c>
      <c r="W475" s="683">
        <f t="shared" si="240"/>
        <v>-35.988221050621007</v>
      </c>
      <c r="X475" s="684">
        <f t="shared" si="241"/>
        <v>-178.33044072231618</v>
      </c>
      <c r="Y475" s="687">
        <f t="shared" si="242"/>
        <v>1.6695592776838168</v>
      </c>
      <c r="AA475" s="170">
        <f t="shared" si="243"/>
        <v>55594</v>
      </c>
      <c r="AB475" s="170">
        <f t="shared" si="244"/>
        <v>3090692836</v>
      </c>
      <c r="AD475" s="686">
        <f t="shared" si="245"/>
        <v>16.444185978158544</v>
      </c>
      <c r="AE475" s="687">
        <f t="shared" si="246"/>
        <v>-23.363179284903023</v>
      </c>
      <c r="AG475" s="686">
        <f t="shared" si="247"/>
        <v>-6.4975015068538706</v>
      </c>
      <c r="AH475" s="687">
        <f t="shared" si="248"/>
        <v>-49.066807175756509</v>
      </c>
      <c r="AJ475" s="170">
        <f t="shared" si="249"/>
        <v>0</v>
      </c>
      <c r="AK475" s="170">
        <f t="shared" si="261"/>
        <v>0</v>
      </c>
      <c r="AM475" s="170" t="str">
        <f t="shared" si="253"/>
        <v>0.944731701874873+0.99847153951545i</v>
      </c>
      <c r="AN475" s="170" t="str">
        <f t="shared" si="254"/>
        <v>1.51549985297293i</v>
      </c>
      <c r="AO475" s="170" t="str">
        <f t="shared" si="255"/>
        <v>0.65883974687082-0.623379606419367i</v>
      </c>
      <c r="AP475" s="170" t="str">
        <f t="shared" si="256"/>
        <v>0.00921138302085458-0.166411923252575i</v>
      </c>
      <c r="AQ475" s="170" t="str">
        <f t="shared" si="257"/>
        <v>0.990788616979145+0.166411923252575i</v>
      </c>
      <c r="AR475" s="170" t="str">
        <f t="shared" si="258"/>
        <v>0.817677535007315-0.13733634891352i</v>
      </c>
    </row>
    <row r="476" spans="7:44">
      <c r="G476" s="688">
        <v>55914</v>
      </c>
      <c r="H476" s="676">
        <f t="shared" si="250"/>
        <v>55.914000000000001</v>
      </c>
      <c r="I476" s="677">
        <f t="shared" si="230"/>
        <v>459.87637917923291</v>
      </c>
      <c r="J476" s="678">
        <f t="shared" si="231"/>
        <v>1.568621827661326</v>
      </c>
      <c r="K476" s="678">
        <f t="shared" si="232"/>
        <v>1.0029824219269039</v>
      </c>
      <c r="L476" s="679">
        <f t="shared" si="233"/>
        <v>7.7136610962687174E-2</v>
      </c>
      <c r="M476" s="678">
        <f t="shared" si="234"/>
        <v>1.0436350392638245</v>
      </c>
      <c r="N476" s="679">
        <f t="shared" si="235"/>
        <v>-0.29019055233937929</v>
      </c>
      <c r="O476" s="677">
        <f t="shared" si="236"/>
        <v>2318698.9509039358</v>
      </c>
      <c r="P476" s="680">
        <f t="shared" si="237"/>
        <v>1.5707958955185555</v>
      </c>
      <c r="Q476" s="689">
        <f t="shared" si="259"/>
        <v>92.753348833749499</v>
      </c>
      <c r="R476" s="690">
        <f t="shared" si="260"/>
        <v>1.5600148360319162</v>
      </c>
      <c r="S476" s="677">
        <f t="shared" si="238"/>
        <v>1.0852331862749423</v>
      </c>
      <c r="T476" s="680">
        <f t="shared" si="239"/>
        <v>0.39897169594616239</v>
      </c>
      <c r="U476" s="681">
        <f t="shared" si="251"/>
        <v>0.75008960552338633</v>
      </c>
      <c r="V476" s="682">
        <f t="shared" si="252"/>
        <v>-0.9283509338404653</v>
      </c>
      <c r="W476" s="683">
        <f t="shared" si="240"/>
        <v>-36.063676134727523</v>
      </c>
      <c r="X476" s="684">
        <f t="shared" si="241"/>
        <v>-178.75019617709864</v>
      </c>
      <c r="Y476" s="687">
        <f t="shared" si="242"/>
        <v>1.2498038229013559</v>
      </c>
      <c r="AA476" s="170">
        <f t="shared" si="243"/>
        <v>55914</v>
      </c>
      <c r="AB476" s="170">
        <f t="shared" si="244"/>
        <v>3126375396</v>
      </c>
      <c r="AD476" s="686">
        <f t="shared" si="245"/>
        <v>16.436693445559513</v>
      </c>
      <c r="AE476" s="687">
        <f t="shared" si="246"/>
        <v>-23.477103556982254</v>
      </c>
      <c r="AG476" s="686">
        <f t="shared" si="247"/>
        <v>-6.5205350150774315</v>
      </c>
      <c r="AH476" s="687">
        <f t="shared" si="248"/>
        <v>-48.891911666383443</v>
      </c>
      <c r="AJ476" s="170">
        <f t="shared" si="249"/>
        <v>0</v>
      </c>
      <c r="AK476" s="170">
        <f t="shared" si="261"/>
        <v>0</v>
      </c>
      <c r="AM476" s="170" t="str">
        <f t="shared" si="253"/>
        <v>0.953443603755609+0.998915663091102i</v>
      </c>
      <c r="AN476" s="170" t="str">
        <f t="shared" si="254"/>
        <v>1.52422309564213i</v>
      </c>
      <c r="AO476" s="170" t="str">
        <f t="shared" si="255"/>
        <v>0.655360534784624-0.625527592700555i</v>
      </c>
      <c r="AP476" s="170" t="str">
        <f t="shared" si="256"/>
        <v>0.00775939937406515-0.166485943848517i</v>
      </c>
      <c r="AQ476" s="170" t="str">
        <f t="shared" si="257"/>
        <v>0.992240600625935+0.166485943848517i</v>
      </c>
      <c r="AR476" s="170" t="str">
        <f t="shared" si="258"/>
        <v>0.816526637396412-0.137003270999637i</v>
      </c>
    </row>
    <row r="477" spans="7:44">
      <c r="G477" s="688">
        <v>56234</v>
      </c>
      <c r="H477" s="676">
        <f t="shared" si="250"/>
        <v>56.234000000000002</v>
      </c>
      <c r="I477" s="677">
        <f t="shared" si="230"/>
        <v>462.50827365070717</v>
      </c>
      <c r="J477" s="678">
        <f t="shared" si="231"/>
        <v>1.5686342016263282</v>
      </c>
      <c r="K477" s="678">
        <f t="shared" si="232"/>
        <v>1.0030166053767731</v>
      </c>
      <c r="L477" s="679">
        <f t="shared" si="233"/>
        <v>7.7576305526526668E-2</v>
      </c>
      <c r="M477" s="678">
        <f t="shared" si="234"/>
        <v>1.0441253353742461</v>
      </c>
      <c r="N477" s="679">
        <f t="shared" si="235"/>
        <v>-0.29175891922565689</v>
      </c>
      <c r="O477" s="677">
        <f t="shared" si="236"/>
        <v>2331969.0382575342</v>
      </c>
      <c r="P477" s="680">
        <f t="shared" si="237"/>
        <v>1.5707958979727366</v>
      </c>
      <c r="Q477" s="689">
        <f t="shared" si="259"/>
        <v>93.284121653286931</v>
      </c>
      <c r="R477" s="690">
        <f t="shared" si="260"/>
        <v>1.5600761834724088</v>
      </c>
      <c r="S477" s="677">
        <f t="shared" si="238"/>
        <v>1.0861727423821268</v>
      </c>
      <c r="T477" s="680">
        <f t="shared" si="239"/>
        <v>0.40101856202866709</v>
      </c>
      <c r="U477" s="681">
        <f t="shared" si="251"/>
        <v>0.74814943051062721</v>
      </c>
      <c r="V477" s="682">
        <f t="shared" si="252"/>
        <v>-0.93253404534666418</v>
      </c>
      <c r="W477" s="683">
        <f t="shared" si="240"/>
        <v>-36.138886880898781</v>
      </c>
      <c r="X477" s="684">
        <f t="shared" si="241"/>
        <v>-179.16900992756052</v>
      </c>
      <c r="Y477" s="687">
        <f t="shared" si="242"/>
        <v>0.83099007243947653</v>
      </c>
      <c r="AA477" s="170">
        <f t="shared" si="243"/>
        <v>56234</v>
      </c>
      <c r="AB477" s="170">
        <f t="shared" si="244"/>
        <v>3162262756</v>
      </c>
      <c r="AD477" s="686">
        <f t="shared" si="245"/>
        <v>16.429171037235669</v>
      </c>
      <c r="AE477" s="687">
        <f t="shared" si="246"/>
        <v>-23.590865536058296</v>
      </c>
      <c r="AG477" s="686">
        <f t="shared" si="247"/>
        <v>-6.5432314522891879</v>
      </c>
      <c r="AH477" s="687">
        <f t="shared" si="248"/>
        <v>-48.717614168145879</v>
      </c>
      <c r="AJ477" s="170">
        <f t="shared" si="249"/>
        <v>0</v>
      </c>
      <c r="AK477" s="170">
        <f t="shared" si="261"/>
        <v>0</v>
      </c>
      <c r="AM477" s="170" t="str">
        <f t="shared" si="253"/>
        <v>0.962159048321115+0.999283774698677i</v>
      </c>
      <c r="AN477" s="170" t="str">
        <f t="shared" si="254"/>
        <v>1.53294633831133i</v>
      </c>
      <c r="AO477" s="170" t="str">
        <f t="shared" si="255"/>
        <v>0.651871334126068-0.627653443747427i</v>
      </c>
      <c r="AP477" s="170" t="str">
        <f t="shared" si="256"/>
        <v>0.00630682527981425-0.166547295783113i</v>
      </c>
      <c r="AQ477" s="170" t="str">
        <f t="shared" si="257"/>
        <v>0.993693174720186+0.166547295783113i</v>
      </c>
      <c r="AR477" s="170" t="str">
        <f t="shared" si="258"/>
        <v>0.815381860281238-0.136661544343086i</v>
      </c>
    </row>
    <row r="478" spans="7:44">
      <c r="G478" s="688">
        <v>56561.5</v>
      </c>
      <c r="H478" s="676">
        <f t="shared" si="250"/>
        <v>56.561500000000002</v>
      </c>
      <c r="I478" s="677">
        <f t="shared" si="230"/>
        <v>465.20185322134324</v>
      </c>
      <c r="J478" s="678">
        <f t="shared" si="231"/>
        <v>1.5686467206331622</v>
      </c>
      <c r="K478" s="678">
        <f t="shared" si="232"/>
        <v>1.0030517907724605</v>
      </c>
      <c r="L478" s="679">
        <f t="shared" si="233"/>
        <v>7.8026274311392502E-2</v>
      </c>
      <c r="M478" s="678">
        <f t="shared" si="234"/>
        <v>1.04462977958102</v>
      </c>
      <c r="N478" s="679">
        <f t="shared" si="235"/>
        <v>-0.29336251627284732</v>
      </c>
      <c r="O478" s="677">
        <f t="shared" si="236"/>
        <v>2345550.1432834836</v>
      </c>
      <c r="P478" s="680">
        <f t="shared" si="237"/>
        <v>1.5707959004556846</v>
      </c>
      <c r="Q478" s="689">
        <f t="shared" si="259"/>
        <v>93.827334820135817</v>
      </c>
      <c r="R478" s="690">
        <f t="shared" si="260"/>
        <v>1.560138250077689</v>
      </c>
      <c r="S478" s="677">
        <f t="shared" si="238"/>
        <v>1.0871390230143221</v>
      </c>
      <c r="T478" s="680">
        <f t="shared" si="239"/>
        <v>0.40310972918714794</v>
      </c>
      <c r="U478" s="681">
        <f t="shared" si="251"/>
        <v>0.74616624535805742</v>
      </c>
      <c r="V478" s="682">
        <f t="shared" si="252"/>
        <v>-0.93680281945572852</v>
      </c>
      <c r="W478" s="683">
        <f t="shared" si="240"/>
        <v>-36.215609907637905</v>
      </c>
      <c r="X478" s="684">
        <f t="shared" si="241"/>
        <v>-179.59666702517526</v>
      </c>
      <c r="Y478" s="687">
        <f t="shared" si="242"/>
        <v>0.4033329748247354</v>
      </c>
      <c r="AA478" s="170">
        <f t="shared" si="243"/>
        <v>56561.5</v>
      </c>
      <c r="AB478" s="170">
        <f t="shared" si="244"/>
        <v>3199203282.25</v>
      </c>
      <c r="AD478" s="686">
        <f t="shared" si="245"/>
        <v>16.421441571309636</v>
      </c>
      <c r="AE478" s="687">
        <f t="shared" si="246"/>
        <v>-23.707124576359647</v>
      </c>
      <c r="AG478" s="686">
        <f t="shared" si="247"/>
        <v>-6.5661149768932567</v>
      </c>
      <c r="AH478" s="687">
        <f t="shared" si="248"/>
        <v>-48.539846744612142</v>
      </c>
      <c r="AJ478" s="170">
        <f t="shared" si="249"/>
        <v>0</v>
      </c>
      <c r="AK478" s="170">
        <f t="shared" si="261"/>
        <v>0</v>
      </c>
      <c r="AM478" s="170" t="str">
        <f t="shared" si="253"/>
        <v>0.971081737262815+0.999581779585974i</v>
      </c>
      <c r="AN478" s="170" t="str">
        <f t="shared" si="254"/>
        <v>1.54187403198058i</v>
      </c>
      <c r="AO478" s="170" t="str">
        <f t="shared" si="255"/>
        <v>0.64829017082672-0.629806143122752i</v>
      </c>
      <c r="AP478" s="170" t="str">
        <f t="shared" si="256"/>
        <v>0.00481971045619748-0.166596963264329i</v>
      </c>
      <c r="AQ478" s="170" t="str">
        <f t="shared" si="257"/>
        <v>0.995180289543803+0.166596963264329i</v>
      </c>
      <c r="AR478" s="170" t="str">
        <f t="shared" si="258"/>
        <v>0.814216629400197-0.136302958692612i</v>
      </c>
    </row>
    <row r="479" spans="7:44">
      <c r="G479" s="688">
        <v>56889</v>
      </c>
      <c r="H479" s="676">
        <f t="shared" si="250"/>
        <v>56.889000000000003</v>
      </c>
      <c r="I479" s="677">
        <f t="shared" si="230"/>
        <v>467.89543286404887</v>
      </c>
      <c r="J479" s="678">
        <f t="shared" si="231"/>
        <v>1.568659095501203</v>
      </c>
      <c r="K479" s="678">
        <f t="shared" si="232"/>
        <v>1.003087179243686</v>
      </c>
      <c r="L479" s="679">
        <f t="shared" si="233"/>
        <v>7.8476211437953913E-2</v>
      </c>
      <c r="M479" s="678">
        <f t="shared" si="234"/>
        <v>1.0451369074806616</v>
      </c>
      <c r="N479" s="679">
        <f t="shared" si="235"/>
        <v>-0.29496456122153297</v>
      </c>
      <c r="O479" s="677">
        <f t="shared" si="236"/>
        <v>2359131.2483094321</v>
      </c>
      <c r="P479" s="680">
        <f t="shared" si="237"/>
        <v>1.5707959029100447</v>
      </c>
      <c r="Q479" s="689">
        <f t="shared" si="259"/>
        <v>94.370548344271228</v>
      </c>
      <c r="R479" s="690">
        <f t="shared" si="260"/>
        <v>1.5601996021505451</v>
      </c>
      <c r="S479" s="677">
        <f t="shared" si="238"/>
        <v>1.0881100492281892</v>
      </c>
      <c r="T479" s="680">
        <f t="shared" si="239"/>
        <v>0.40519717315756998</v>
      </c>
      <c r="U479" s="681">
        <f t="shared" si="251"/>
        <v>0.74418562171819724</v>
      </c>
      <c r="V479" s="682">
        <f t="shared" si="252"/>
        <v>-0.94105913992238399</v>
      </c>
      <c r="W479" s="683">
        <f t="shared" si="240"/>
        <v>-36.292082086607877</v>
      </c>
      <c r="X479" s="684">
        <f t="shared" si="241"/>
        <v>-180.02334282338046</v>
      </c>
      <c r="Y479" s="687">
        <f t="shared" si="242"/>
        <v>-2.3342823380460231E-2</v>
      </c>
      <c r="AA479" s="170">
        <f t="shared" si="243"/>
        <v>56889</v>
      </c>
      <c r="AB479" s="170">
        <f t="shared" si="244"/>
        <v>3236358321</v>
      </c>
      <c r="AD479" s="686">
        <f t="shared" si="245"/>
        <v>16.413681184705773</v>
      </c>
      <c r="AE479" s="687">
        <f t="shared" si="246"/>
        <v>-23.823211231752957</v>
      </c>
      <c r="AG479" s="686">
        <f t="shared" si="247"/>
        <v>-6.5886538114274114</v>
      </c>
      <c r="AH479" s="687">
        <f t="shared" si="248"/>
        <v>-48.362697488877693</v>
      </c>
      <c r="AJ479" s="170">
        <f t="shared" si="249"/>
        <v>0</v>
      </c>
      <c r="AK479" s="170">
        <f t="shared" si="261"/>
        <v>0</v>
      </c>
      <c r="AM479" s="170" t="str">
        <f t="shared" si="253"/>
        <v>0.980006731082167+0.999800114621907i</v>
      </c>
      <c r="AN479" s="170" t="str">
        <f t="shared" si="254"/>
        <v>1.55080172564984i</v>
      </c>
      <c r="AO479" s="170" t="str">
        <f t="shared" si="255"/>
        <v>0.644698866454353-0.631935543321317i</v>
      </c>
      <c r="AP479" s="170" t="str">
        <f t="shared" si="256"/>
        <v>0.00333221148630553-0.166633352436984i</v>
      </c>
      <c r="AQ479" s="170" t="str">
        <f t="shared" si="257"/>
        <v>0.996667788513694+0.166633352436984i</v>
      </c>
      <c r="AR479" s="170" t="str">
        <f t="shared" si="258"/>
        <v>0.813057888162004-0.135935527556089i</v>
      </c>
    </row>
    <row r="480" spans="7:44">
      <c r="G480" s="688">
        <v>57216.5</v>
      </c>
      <c r="H480" s="676">
        <f t="shared" si="250"/>
        <v>57.216500000000003</v>
      </c>
      <c r="I480" s="677">
        <f t="shared" si="230"/>
        <v>470.58901257758652</v>
      </c>
      <c r="J480" s="678">
        <f t="shared" si="231"/>
        <v>1.5686713287055323</v>
      </c>
      <c r="K480" s="678">
        <f t="shared" si="232"/>
        <v>1.0031227707689563</v>
      </c>
      <c r="L480" s="679">
        <f t="shared" si="233"/>
        <v>7.8926116727397522E-2</v>
      </c>
      <c r="M480" s="678">
        <f t="shared" si="234"/>
        <v>1.0456467151684803</v>
      </c>
      <c r="N480" s="679">
        <f t="shared" si="235"/>
        <v>-0.29656504811252182</v>
      </c>
      <c r="O480" s="677">
        <f t="shared" si="236"/>
        <v>2372712.353335381</v>
      </c>
      <c r="P480" s="680">
        <f t="shared" si="237"/>
        <v>1.5707959053363079</v>
      </c>
      <c r="Q480" s="689">
        <f t="shared" si="259"/>
        <v>94.91376221955862</v>
      </c>
      <c r="R480" s="690">
        <f t="shared" si="260"/>
        <v>1.5602602519588242</v>
      </c>
      <c r="S480" s="677">
        <f t="shared" si="238"/>
        <v>1.0890858083302821</v>
      </c>
      <c r="T480" s="680">
        <f t="shared" si="239"/>
        <v>0.40728088573132409</v>
      </c>
      <c r="U480" s="681">
        <f t="shared" si="251"/>
        <v>0.74220762877949797</v>
      </c>
      <c r="V480" s="682">
        <f t="shared" si="252"/>
        <v>-0.94530307650235246</v>
      </c>
      <c r="W480" s="683">
        <f t="shared" si="240"/>
        <v>-36.36830591458812</v>
      </c>
      <c r="X480" s="684">
        <f t="shared" si="241"/>
        <v>-180.44903995631861</v>
      </c>
      <c r="Y480" s="687">
        <f t="shared" si="242"/>
        <v>-0.44903995631861449</v>
      </c>
      <c r="AA480" s="170">
        <f t="shared" si="243"/>
        <v>57216.5</v>
      </c>
      <c r="AB480" s="170">
        <f t="shared" si="244"/>
        <v>3273727872.25</v>
      </c>
      <c r="AD480" s="686">
        <f t="shared" si="245"/>
        <v>16.405890065538955</v>
      </c>
      <c r="AE480" s="687">
        <f t="shared" si="246"/>
        <v>-23.939124329051825</v>
      </c>
      <c r="AG480" s="686">
        <f t="shared" si="247"/>
        <v>-6.6108520839471705</v>
      </c>
      <c r="AH480" s="687">
        <f t="shared" si="248"/>
        <v>-48.186162214854534</v>
      </c>
      <c r="AJ480" s="170">
        <f t="shared" si="249"/>
        <v>0</v>
      </c>
      <c r="AK480" s="170">
        <f t="shared" si="261"/>
        <v>0</v>
      </c>
      <c r="AM480" s="170" t="str">
        <f t="shared" si="253"/>
        <v>0.988933318428717+0.999938762404478i</v>
      </c>
      <c r="AN480" s="170" t="str">
        <f t="shared" si="254"/>
        <v>1.55972941931909i</v>
      </c>
      <c r="AO480" s="170" t="str">
        <f t="shared" si="255"/>
        <v>0.641097583990567-0.634041588354756i</v>
      </c>
      <c r="AP480" s="170" t="str">
        <f t="shared" si="256"/>
        <v>0.00184444692854718-0.166656460400746i</v>
      </c>
      <c r="AQ480" s="170" t="str">
        <f t="shared" si="257"/>
        <v>0.998155553071453+0.166656460400746i</v>
      </c>
      <c r="AR480" s="170" t="str">
        <f t="shared" si="258"/>
        <v>0.811905674168921-0.135559357877547i</v>
      </c>
    </row>
    <row r="481" spans="7:44">
      <c r="G481" s="688">
        <v>57544</v>
      </c>
      <c r="H481" s="676">
        <f t="shared" si="250"/>
        <v>57.543999999999997</v>
      </c>
      <c r="I481" s="677">
        <f t="shared" si="230"/>
        <v>473.28259236074678</v>
      </c>
      <c r="J481" s="678">
        <f t="shared" si="231"/>
        <v>1.5686834226648863</v>
      </c>
      <c r="K481" s="678">
        <f t="shared" si="232"/>
        <v>1.0031585653266593</v>
      </c>
      <c r="L481" s="679">
        <f t="shared" si="233"/>
        <v>7.9375990000986815E-2</v>
      </c>
      <c r="M481" s="678">
        <f t="shared" si="234"/>
        <v>1.046159198726784</v>
      </c>
      <c r="N481" s="679">
        <f t="shared" si="235"/>
        <v>-0.29816397103013537</v>
      </c>
      <c r="O481" s="677">
        <f t="shared" si="236"/>
        <v>2386293.4583613295</v>
      </c>
      <c r="P481" s="680">
        <f t="shared" si="237"/>
        <v>1.5707959077349538</v>
      </c>
      <c r="Q481" s="689">
        <f t="shared" si="259"/>
        <v>95.456976440003174</v>
      </c>
      <c r="R481" s="690">
        <f t="shared" si="260"/>
        <v>1.5603202114911463</v>
      </c>
      <c r="S481" s="677">
        <f t="shared" si="238"/>
        <v>1.0900662876108447</v>
      </c>
      <c r="T481" s="680">
        <f t="shared" si="239"/>
        <v>0.40936085885872969</v>
      </c>
      <c r="U481" s="681">
        <f t="shared" si="251"/>
        <v>0.74023233411327394</v>
      </c>
      <c r="V481" s="682">
        <f t="shared" si="252"/>
        <v>-0.9495346993462821</v>
      </c>
      <c r="W481" s="683">
        <f t="shared" si="240"/>
        <v>-36.444283841988423</v>
      </c>
      <c r="X481" s="684">
        <f t="shared" si="241"/>
        <v>-180.87376110512409</v>
      </c>
      <c r="Y481" s="687">
        <f t="shared" si="242"/>
        <v>-0.873761105124089</v>
      </c>
      <c r="AA481" s="170">
        <f t="shared" si="243"/>
        <v>57544</v>
      </c>
      <c r="AB481" s="170">
        <f t="shared" si="244"/>
        <v>3311311936</v>
      </c>
      <c r="AD481" s="686">
        <f t="shared" si="245"/>
        <v>16.398068401919307</v>
      </c>
      <c r="AE481" s="687">
        <f t="shared" si="246"/>
        <v>-24.054862720173691</v>
      </c>
      <c r="AG481" s="686">
        <f t="shared" si="247"/>
        <v>-6.6327138547111968</v>
      </c>
      <c r="AH481" s="687">
        <f t="shared" si="248"/>
        <v>-48.01023671308738</v>
      </c>
      <c r="AJ481" s="170">
        <f t="shared" si="249"/>
        <v>0</v>
      </c>
      <c r="AK481" s="170">
        <f t="shared" si="261"/>
        <v>0</v>
      </c>
      <c r="AM481" s="170" t="str">
        <f t="shared" si="253"/>
        <v>0.997860787825044+0.999997711883018i</v>
      </c>
      <c r="AN481" s="170" t="str">
        <f t="shared" si="254"/>
        <v>1.56865711298835i</v>
      </c>
      <c r="AO481" s="170" t="str">
        <f t="shared" si="255"/>
        <v>0.637486486755531-0.636124223428332i</v>
      </c>
      <c r="AP481" s="170" t="str">
        <f t="shared" si="256"/>
        <v>0.000356535362492652-0.166666285313836i</v>
      </c>
      <c r="AQ481" s="170" t="str">
        <f t="shared" si="257"/>
        <v>0.999643464637507+0.166666285313836i</v>
      </c>
      <c r="AR481" s="170" t="str">
        <f t="shared" si="258"/>
        <v>0.810760023516456-0.135174555909737i</v>
      </c>
    </row>
    <row r="482" spans="7:44">
      <c r="G482" s="688">
        <v>57879</v>
      </c>
      <c r="H482" s="676">
        <f t="shared" si="250"/>
        <v>57.878999999999998</v>
      </c>
      <c r="I482" s="677">
        <f t="shared" si="230"/>
        <v>476.03785724790964</v>
      </c>
      <c r="J482" s="678">
        <f t="shared" si="231"/>
        <v>1.5686956519845905</v>
      </c>
      <c r="K482" s="678">
        <f t="shared" si="232"/>
        <v>1.0031953896444685</v>
      </c>
      <c r="L482" s="679">
        <f t="shared" si="233"/>
        <v>7.9836132405671362E-2</v>
      </c>
      <c r="M482" s="678">
        <f t="shared" si="234"/>
        <v>1.0466861829434237</v>
      </c>
      <c r="N482" s="679">
        <f t="shared" si="235"/>
        <v>-0.29979788627384618</v>
      </c>
      <c r="O482" s="677">
        <f t="shared" si="236"/>
        <v>2400185.5810596282</v>
      </c>
      <c r="P482" s="680">
        <f t="shared" si="237"/>
        <v>1.5707959101604463</v>
      </c>
      <c r="Q482" s="689">
        <f t="shared" si="259"/>
        <v>96.012631031759952</v>
      </c>
      <c r="R482" s="690">
        <f t="shared" si="260"/>
        <v>1.56038084218762</v>
      </c>
      <c r="S482" s="677">
        <f t="shared" si="238"/>
        <v>1.0910740909086258</v>
      </c>
      <c r="T482" s="680">
        <f t="shared" si="239"/>
        <v>0.41148458785141628</v>
      </c>
      <c r="U482" s="681">
        <f t="shared" si="251"/>
        <v>0.73821466412900816</v>
      </c>
      <c r="V482" s="682">
        <f t="shared" si="252"/>
        <v>-0.95385056315769923</v>
      </c>
      <c r="W482" s="683">
        <f t="shared" si="240"/>
        <v>-36.52174981717566</v>
      </c>
      <c r="X482" s="684">
        <f t="shared" si="241"/>
        <v>-181.30720176921957</v>
      </c>
      <c r="Y482" s="687">
        <f t="shared" si="242"/>
        <v>-1.3072017692195743</v>
      </c>
      <c r="AA482" s="170">
        <f t="shared" si="243"/>
        <v>57879</v>
      </c>
      <c r="AB482" s="170">
        <f t="shared" si="244"/>
        <v>3349978641</v>
      </c>
      <c r="AD482" s="686">
        <f t="shared" si="245"/>
        <v>16.390036210620586</v>
      </c>
      <c r="AE482" s="687">
        <f t="shared" si="246"/>
        <v>-24.173069684372887</v>
      </c>
      <c r="AG482" s="686">
        <f t="shared" si="247"/>
        <v>-6.6547322907102249</v>
      </c>
      <c r="AH482" s="687">
        <f t="shared" si="248"/>
        <v>-47.830908849723684</v>
      </c>
      <c r="AJ482" s="170">
        <f t="shared" si="249"/>
        <v>0</v>
      </c>
      <c r="AK482" s="170">
        <f t="shared" si="261"/>
        <v>0</v>
      </c>
      <c r="AM482" s="170" t="str">
        <f t="shared" si="253"/>
        <v>1.00699287386927+0.999975549558612i</v>
      </c>
      <c r="AN482" s="170" t="str">
        <f t="shared" si="254"/>
        <v>1.57778925765767i</v>
      </c>
      <c r="AO482" s="170" t="str">
        <f t="shared" si="255"/>
        <v>0.633782708752334-0.638230276307126i</v>
      </c>
      <c r="AP482" s="170" t="str">
        <f t="shared" si="256"/>
        <v>-0.00116547897821084-0.166662591593102i</v>
      </c>
      <c r="AQ482" s="170" t="str">
        <f t="shared" si="257"/>
        <v>1.00116547897821+0.166662591593102i</v>
      </c>
      <c r="AR482" s="170" t="str">
        <f t="shared" si="258"/>
        <v>0.809594963190411-0.13477212063259i</v>
      </c>
    </row>
    <row r="483" spans="7:44">
      <c r="G483" s="688">
        <v>58214</v>
      </c>
      <c r="H483" s="676">
        <f t="shared" si="250"/>
        <v>58.213999999999999</v>
      </c>
      <c r="I483" s="677">
        <f t="shared" si="230"/>
        <v>478.79312220544756</v>
      </c>
      <c r="J483" s="678">
        <f t="shared" si="231"/>
        <v>1.5687077405545049</v>
      </c>
      <c r="K483" s="678">
        <f t="shared" si="232"/>
        <v>1.0032324263542545</v>
      </c>
      <c r="L483" s="679">
        <f t="shared" si="233"/>
        <v>8.0296240933267843E-2</v>
      </c>
      <c r="M483" s="678">
        <f t="shared" si="234"/>
        <v>1.0472159586595273</v>
      </c>
      <c r="N483" s="679">
        <f t="shared" si="235"/>
        <v>-0.30143015270989415</v>
      </c>
      <c r="O483" s="677">
        <f t="shared" si="236"/>
        <v>2414077.7037579273</v>
      </c>
      <c r="P483" s="680">
        <f t="shared" si="237"/>
        <v>1.5707959125580233</v>
      </c>
      <c r="Q483" s="689">
        <f t="shared" si="259"/>
        <v>96.568285972405221</v>
      </c>
      <c r="R483" s="690">
        <f t="shared" si="260"/>
        <v>1.560440775144972</v>
      </c>
      <c r="S483" s="677">
        <f t="shared" si="238"/>
        <v>1.092086806100526</v>
      </c>
      <c r="T483" s="680">
        <f t="shared" si="239"/>
        <v>0.41360438763251811</v>
      </c>
      <c r="U483" s="681">
        <f t="shared" si="251"/>
        <v>0.7361999553437365</v>
      </c>
      <c r="V483" s="682">
        <f t="shared" si="252"/>
        <v>-0.9581536924655627</v>
      </c>
      <c r="W483" s="683">
        <f t="shared" si="240"/>
        <v>-36.598963543574101</v>
      </c>
      <c r="X483" s="684">
        <f t="shared" si="241"/>
        <v>-181.73962705559779</v>
      </c>
      <c r="Y483" s="687">
        <f t="shared" si="242"/>
        <v>-1.7396270555977935</v>
      </c>
      <c r="AA483" s="170">
        <f t="shared" si="243"/>
        <v>58214</v>
      </c>
      <c r="AB483" s="170">
        <f t="shared" si="244"/>
        <v>3388869796</v>
      </c>
      <c r="AD483" s="686">
        <f t="shared" si="245"/>
        <v>16.381972457951267</v>
      </c>
      <c r="AE483" s="687">
        <f t="shared" si="246"/>
        <v>-24.291091497238668</v>
      </c>
      <c r="AG483" s="686">
        <f t="shared" si="247"/>
        <v>-6.6764070188139213</v>
      </c>
      <c r="AH483" s="687">
        <f t="shared" si="248"/>
        <v>-47.652210026593458</v>
      </c>
      <c r="AJ483" s="170">
        <f t="shared" si="249"/>
        <v>0</v>
      </c>
      <c r="AK483" s="170">
        <f t="shared" si="261"/>
        <v>0</v>
      </c>
      <c r="AM483" s="170" t="str">
        <f t="shared" si="253"/>
        <v>1.01612437673936+0.999869993786576i</v>
      </c>
      <c r="AN483" s="170" t="str">
        <f t="shared" si="254"/>
        <v>1.58692140232698i</v>
      </c>
      <c r="AO483" s="170" t="str">
        <f t="shared" si="255"/>
        <v>0.630069008030529-0.640311722590273i</v>
      </c>
      <c r="AP483" s="170" t="str">
        <f t="shared" si="256"/>
        <v>-0.00268739612322607-0.166644998964429i</v>
      </c>
      <c r="AQ483" s="170" t="str">
        <f t="shared" si="257"/>
        <v>1.00268739612323+0.166644998964429i</v>
      </c>
      <c r="AR483" s="170" t="str">
        <f t="shared" si="258"/>
        <v>0.808436841957482-0.134360875794088i</v>
      </c>
    </row>
    <row r="484" spans="7:44">
      <c r="G484" s="688">
        <v>58549</v>
      </c>
      <c r="H484" s="676">
        <f t="shared" si="250"/>
        <v>58.548999999999999</v>
      </c>
      <c r="I484" s="677">
        <f t="shared" si="230"/>
        <v>481.54838723215255</v>
      </c>
      <c r="J484" s="678">
        <f t="shared" si="231"/>
        <v>1.5687196907906016</v>
      </c>
      <c r="K484" s="678">
        <f t="shared" si="232"/>
        <v>1.0032696754324946</v>
      </c>
      <c r="L484" s="679">
        <f t="shared" si="233"/>
        <v>8.0756315392729122E-2</v>
      </c>
      <c r="M484" s="678">
        <f t="shared" si="234"/>
        <v>1.0477485216406761</v>
      </c>
      <c r="N484" s="679">
        <f t="shared" si="235"/>
        <v>-0.30306076414829619</v>
      </c>
      <c r="O484" s="677">
        <f t="shared" si="236"/>
        <v>2427969.8264562259</v>
      </c>
      <c r="P484" s="680">
        <f t="shared" si="237"/>
        <v>1.5707959149281636</v>
      </c>
      <c r="Q484" s="689">
        <f t="shared" si="259"/>
        <v>97.123941255950911</v>
      </c>
      <c r="R484" s="690">
        <f t="shared" si="260"/>
        <v>1.5605000223382632</v>
      </c>
      <c r="S484" s="677">
        <f t="shared" si="238"/>
        <v>1.0931044195345565</v>
      </c>
      <c r="T484" s="680">
        <f t="shared" si="239"/>
        <v>0.4157202500984572</v>
      </c>
      <c r="U484" s="681">
        <f t="shared" si="251"/>
        <v>0.73418827495450867</v>
      </c>
      <c r="V484" s="682">
        <f t="shared" si="252"/>
        <v>-0.96244416353026863</v>
      </c>
      <c r="W484" s="683">
        <f t="shared" si="240"/>
        <v>-36.675927501263111</v>
      </c>
      <c r="X484" s="684">
        <f t="shared" si="241"/>
        <v>-182.17103997797517</v>
      </c>
      <c r="Y484" s="687">
        <f t="shared" si="242"/>
        <v>-2.1710399779751697</v>
      </c>
      <c r="AA484" s="170">
        <f t="shared" si="243"/>
        <v>58549</v>
      </c>
      <c r="AB484" s="170">
        <f t="shared" si="244"/>
        <v>3427985401</v>
      </c>
      <c r="AD484" s="686">
        <f t="shared" si="245"/>
        <v>16.373877345140791</v>
      </c>
      <c r="AE484" s="687">
        <f t="shared" si="246"/>
        <v>-24.408927008377216</v>
      </c>
      <c r="AG484" s="686">
        <f t="shared" si="247"/>
        <v>-6.697742173229341</v>
      </c>
      <c r="AH484" s="687">
        <f t="shared" si="248"/>
        <v>-47.474135669009151</v>
      </c>
      <c r="AJ484" s="170">
        <f t="shared" si="249"/>
        <v>0</v>
      </c>
      <c r="AK484" s="170">
        <f t="shared" si="261"/>
        <v>0</v>
      </c>
      <c r="AM484" s="170" t="str">
        <f t="shared" si="253"/>
        <v>1.02525453490921+0.999681053369783i</v>
      </c>
      <c r="AN484" s="170" t="str">
        <f t="shared" si="254"/>
        <v>1.5960535469963i</v>
      </c>
      <c r="AO484" s="170" t="str">
        <f t="shared" si="255"/>
        <v>0.62634556043006-0.642368507522001i</v>
      </c>
      <c r="AP484" s="170" t="str">
        <f t="shared" si="256"/>
        <v>-0.00420908915153532-0.166613508894964i</v>
      </c>
      <c r="AQ484" s="170" t="str">
        <f t="shared" si="257"/>
        <v>1.00420908915154+0.166613508894964i</v>
      </c>
      <c r="AR484" s="170" t="str">
        <f t="shared" si="258"/>
        <v>0.807285693747638-0.133940932788851i</v>
      </c>
    </row>
    <row r="485" spans="7:44">
      <c r="G485" s="688">
        <v>58884</v>
      </c>
      <c r="H485" s="676">
        <f t="shared" si="250"/>
        <v>58.884</v>
      </c>
      <c r="I485" s="677">
        <f t="shared" si="230"/>
        <v>484.30365232684409</v>
      </c>
      <c r="J485" s="678">
        <f t="shared" si="231"/>
        <v>1.5687315050538726</v>
      </c>
      <c r="K485" s="678">
        <f t="shared" si="232"/>
        <v>1.003307136855536</v>
      </c>
      <c r="L485" s="679">
        <f t="shared" si="233"/>
        <v>8.1216355593093981E-2</v>
      </c>
      <c r="M485" s="678">
        <f t="shared" si="234"/>
        <v>1.0482838676388009</v>
      </c>
      <c r="N485" s="679">
        <f t="shared" si="235"/>
        <v>-0.30468971444681853</v>
      </c>
      <c r="O485" s="677">
        <f t="shared" si="236"/>
        <v>2441861.9491545251</v>
      </c>
      <c r="P485" s="680">
        <f t="shared" si="237"/>
        <v>1.5707959172713359</v>
      </c>
      <c r="Q485" s="689">
        <f t="shared" si="259"/>
        <v>97.679596876545176</v>
      </c>
      <c r="R485" s="690">
        <f t="shared" si="260"/>
        <v>1.5605585954700911</v>
      </c>
      <c r="S485" s="677">
        <f t="shared" si="238"/>
        <v>1.0941269175436088</v>
      </c>
      <c r="T485" s="680">
        <f t="shared" si="239"/>
        <v>0.41783216731674433</v>
      </c>
      <c r="U485" s="681">
        <f t="shared" si="251"/>
        <v>0.73217968847456649</v>
      </c>
      <c r="V485" s="682">
        <f t="shared" si="252"/>
        <v>-0.96672205297579972</v>
      </c>
      <c r="W485" s="683">
        <f t="shared" si="240"/>
        <v>-36.752644124841815</v>
      </c>
      <c r="X485" s="684">
        <f t="shared" si="241"/>
        <v>-182.60144359589376</v>
      </c>
      <c r="Y485" s="687">
        <f t="shared" si="242"/>
        <v>-2.6014435958937554</v>
      </c>
      <c r="AA485" s="170">
        <f t="shared" si="243"/>
        <v>58884</v>
      </c>
      <c r="AB485" s="170">
        <f t="shared" si="244"/>
        <v>3467325456</v>
      </c>
      <c r="AD485" s="686">
        <f t="shared" si="245"/>
        <v>16.365751073355348</v>
      </c>
      <c r="AE485" s="687">
        <f t="shared" si="246"/>
        <v>-24.5265750928078</v>
      </c>
      <c r="AG485" s="686">
        <f t="shared" si="247"/>
        <v>-6.7187418197159845</v>
      </c>
      <c r="AH485" s="687">
        <f t="shared" si="248"/>
        <v>-47.296681181032021</v>
      </c>
      <c r="AJ485" s="170">
        <f t="shared" si="249"/>
        <v>0</v>
      </c>
      <c r="AK485" s="170">
        <f t="shared" si="261"/>
        <v>0</v>
      </c>
      <c r="AM485" s="170" t="str">
        <f t="shared" si="253"/>
        <v>1.03438258696483+0.999408744065013i</v>
      </c>
      <c r="AN485" s="170" t="str">
        <f t="shared" si="254"/>
        <v>1.60518569166561i</v>
      </c>
      <c r="AO485" s="170" t="str">
        <f t="shared" si="255"/>
        <v>0.622612542121518-0.644400577662457i</v>
      </c>
      <c r="AP485" s="170" t="str">
        <f t="shared" si="256"/>
        <v>-0.00573043116080462-0.166568124010836i</v>
      </c>
      <c r="AQ485" s="170" t="str">
        <f t="shared" si="257"/>
        <v>1.0057304311608+0.166568124010836i</v>
      </c>
      <c r="AR485" s="170" t="str">
        <f t="shared" si="258"/>
        <v>0.806141550969307-0.13351240220221i</v>
      </c>
    </row>
    <row r="486" spans="7:44">
      <c r="G486" s="688">
        <v>59227</v>
      </c>
      <c r="H486" s="676">
        <f t="shared" si="250"/>
        <v>59.226999999999997</v>
      </c>
      <c r="I486" s="677">
        <f t="shared" si="230"/>
        <v>487.12471486616772</v>
      </c>
      <c r="J486" s="678">
        <f t="shared" si="231"/>
        <v>1.568743462976131</v>
      </c>
      <c r="K486" s="678">
        <f t="shared" si="232"/>
        <v>1.0033457128666143</v>
      </c>
      <c r="L486" s="679">
        <f t="shared" si="233"/>
        <v>8.1687346132697652E-2</v>
      </c>
      <c r="M486" s="678">
        <f t="shared" si="234"/>
        <v>1.0488348770689877</v>
      </c>
      <c r="N486" s="679">
        <f t="shared" si="235"/>
        <v>-0.30635583756944235</v>
      </c>
      <c r="O486" s="677">
        <f t="shared" si="236"/>
        <v>2456085.8240366639</v>
      </c>
      <c r="P486" s="680">
        <f t="shared" si="237"/>
        <v>1.5707959196430006</v>
      </c>
      <c r="Q486" s="689">
        <f t="shared" si="259"/>
        <v>98.248522228339766</v>
      </c>
      <c r="R486" s="690">
        <f t="shared" si="260"/>
        <v>1.5606178809076596</v>
      </c>
      <c r="S486" s="677">
        <f t="shared" si="238"/>
        <v>1.0951788800647724</v>
      </c>
      <c r="T486" s="680">
        <f t="shared" si="239"/>
        <v>0.41999042257875485</v>
      </c>
      <c r="U486" s="681">
        <f t="shared" si="251"/>
        <v>0.73012640804147011</v>
      </c>
      <c r="V486" s="682">
        <f t="shared" si="252"/>
        <v>-0.97108914547078484</v>
      </c>
      <c r="W486" s="683">
        <f t="shared" si="240"/>
        <v>-36.830939018934494</v>
      </c>
      <c r="X486" s="684">
        <f t="shared" si="241"/>
        <v>-183.04108300469701</v>
      </c>
      <c r="Y486" s="687">
        <f t="shared" si="242"/>
        <v>-3.0410830046970148</v>
      </c>
      <c r="AA486" s="170">
        <f t="shared" si="243"/>
        <v>59227</v>
      </c>
      <c r="AB486" s="170">
        <f t="shared" si="244"/>
        <v>3507837529</v>
      </c>
      <c r="AD486" s="686">
        <f t="shared" si="245"/>
        <v>16.357398667353376</v>
      </c>
      <c r="AE486" s="687">
        <f t="shared" si="246"/>
        <v>-24.646837341097427</v>
      </c>
      <c r="AG486" s="686">
        <f t="shared" si="247"/>
        <v>-6.7398995041290259</v>
      </c>
      <c r="AH486" s="687">
        <f t="shared" si="248"/>
        <v>-47.115626403562011</v>
      </c>
      <c r="AJ486" s="170">
        <f t="shared" si="249"/>
        <v>0</v>
      </c>
      <c r="AK486" s="170">
        <f t="shared" si="261"/>
        <v>0</v>
      </c>
      <c r="AM486" s="170" t="str">
        <f t="shared" si="253"/>
        <v>1.04372564519483+0.999043576603291i</v>
      </c>
      <c r="AN486" s="170" t="str">
        <f t="shared" si="254"/>
        <v>1.61453591740166i</v>
      </c>
      <c r="AO486" s="170" t="str">
        <f t="shared" si="255"/>
        <v>0.61878064515969-0.646455513281204i</v>
      </c>
      <c r="AP486" s="170" t="str">
        <f t="shared" si="256"/>
        <v>-0.00728760753247168-0.166507262767215i</v>
      </c>
      <c r="AQ486" s="170" t="str">
        <f t="shared" si="257"/>
        <v>1.00728760753247+0.166507262767215i</v>
      </c>
      <c r="AR486" s="170" t="str">
        <f t="shared" si="258"/>
        <v>0.80497737602904-0.13306485503229i</v>
      </c>
    </row>
    <row r="487" spans="7:44">
      <c r="G487" s="688">
        <v>59570</v>
      </c>
      <c r="H487" s="676">
        <f t="shared" si="250"/>
        <v>59.57</v>
      </c>
      <c r="I487" s="677">
        <f t="shared" si="230"/>
        <v>489.94577747434414</v>
      </c>
      <c r="J487" s="678">
        <f t="shared" si="231"/>
        <v>1.5687552831931635</v>
      </c>
      <c r="K487" s="678">
        <f t="shared" si="232"/>
        <v>1.0033845114348245</v>
      </c>
      <c r="L487" s="679">
        <f t="shared" si="233"/>
        <v>8.2158300352528454E-2</v>
      </c>
      <c r="M487" s="678">
        <f t="shared" si="234"/>
        <v>1.0493887949671412</v>
      </c>
      <c r="N487" s="679">
        <f t="shared" si="235"/>
        <v>-0.30802020638834171</v>
      </c>
      <c r="O487" s="677">
        <f t="shared" si="236"/>
        <v>2470309.6989188027</v>
      </c>
      <c r="P487" s="680">
        <f t="shared" si="237"/>
        <v>1.5707959219873535</v>
      </c>
      <c r="Q487" s="689">
        <f t="shared" si="259"/>
        <v>98.817447921478362</v>
      </c>
      <c r="R487" s="690">
        <f t="shared" si="260"/>
        <v>1.5606764836925331</v>
      </c>
      <c r="S487" s="677">
        <f t="shared" si="238"/>
        <v>1.0962359341965784</v>
      </c>
      <c r="T487" s="680">
        <f t="shared" si="239"/>
        <v>0.4221445256293716</v>
      </c>
      <c r="U487" s="681">
        <f t="shared" si="251"/>
        <v>0.72807650473597352</v>
      </c>
      <c r="V487" s="682">
        <f t="shared" si="252"/>
        <v>-0.97544321192837879</v>
      </c>
      <c r="W487" s="683">
        <f t="shared" si="240"/>
        <v>-36.90897964958328</v>
      </c>
      <c r="X487" s="684">
        <f t="shared" si="241"/>
        <v>-183.47967096073978</v>
      </c>
      <c r="Y487" s="687">
        <f t="shared" si="242"/>
        <v>-3.4796709607397815</v>
      </c>
      <c r="AA487" s="170">
        <f t="shared" si="243"/>
        <v>59570</v>
      </c>
      <c r="AB487" s="170">
        <f t="shared" si="244"/>
        <v>3548584900</v>
      </c>
      <c r="AD487" s="686">
        <f t="shared" si="245"/>
        <v>16.349014022967065</v>
      </c>
      <c r="AE487" s="687">
        <f t="shared" si="246"/>
        <v>-24.766900796751788</v>
      </c>
      <c r="AG487" s="686">
        <f t="shared" si="247"/>
        <v>-6.7607138773261486</v>
      </c>
      <c r="AH487" s="687">
        <f t="shared" si="248"/>
        <v>-46.935211639901055</v>
      </c>
      <c r="AJ487" s="170">
        <f t="shared" si="249"/>
        <v>0</v>
      </c>
      <c r="AK487" s="170">
        <f t="shared" si="261"/>
        <v>0</v>
      </c>
      <c r="AM487" s="170" t="str">
        <f t="shared" si="253"/>
        <v>1.05306488066288+0.998591066673558i</v>
      </c>
      <c r="AN487" s="170" t="str">
        <f t="shared" si="254"/>
        <v>1.6238861431377i</v>
      </c>
      <c r="AO487" s="170" t="str">
        <f t="shared" si="255"/>
        <v>0.614939089722179-0.648484430458979i</v>
      </c>
      <c r="AP487" s="170" t="str">
        <f t="shared" si="256"/>
        <v>-0.00884414677714613-0.166431844445593i</v>
      </c>
      <c r="AQ487" s="170" t="str">
        <f t="shared" si="257"/>
        <v>1.00884414677715+0.166431844445593i</v>
      </c>
      <c r="AR487" s="170" t="str">
        <f t="shared" si="258"/>
        <v>0.803820609113229-0.132608537211097i</v>
      </c>
    </row>
    <row r="488" spans="7:44">
      <c r="G488" s="688">
        <v>59913</v>
      </c>
      <c r="H488" s="676">
        <f t="shared" si="250"/>
        <v>59.912999999999997</v>
      </c>
      <c r="I488" s="677">
        <f t="shared" si="230"/>
        <v>492.76684015019072</v>
      </c>
      <c r="J488" s="678">
        <f t="shared" si="231"/>
        <v>1.5687669680700311</v>
      </c>
      <c r="K488" s="678">
        <f t="shared" si="232"/>
        <v>1.0034235325343503</v>
      </c>
      <c r="L488" s="679">
        <f t="shared" si="233"/>
        <v>8.2629218047898342E-2</v>
      </c>
      <c r="M488" s="678">
        <f t="shared" si="234"/>
        <v>1.0499456167300159</v>
      </c>
      <c r="N488" s="679">
        <f t="shared" si="235"/>
        <v>-0.30968281446636792</v>
      </c>
      <c r="O488" s="677">
        <f t="shared" si="236"/>
        <v>2484533.5738009415</v>
      </c>
      <c r="P488" s="680">
        <f t="shared" si="237"/>
        <v>1.5707959243048637</v>
      </c>
      <c r="Q488" s="689">
        <f t="shared" si="259"/>
        <v>99.386373950099042</v>
      </c>
      <c r="R488" s="690">
        <f t="shared" si="260"/>
        <v>1.5607344155476091</v>
      </c>
      <c r="S488" s="677">
        <f t="shared" si="238"/>
        <v>1.0972980652244064</v>
      </c>
      <c r="T488" s="680">
        <f t="shared" si="239"/>
        <v>0.42429446850655689</v>
      </c>
      <c r="U488" s="681">
        <f t="shared" si="251"/>
        <v>0.72603004353498723</v>
      </c>
      <c r="V488" s="682">
        <f t="shared" si="252"/>
        <v>-0.97978433567190792</v>
      </c>
      <c r="W488" s="683">
        <f t="shared" si="240"/>
        <v>-36.986768489773183</v>
      </c>
      <c r="X488" s="684">
        <f t="shared" si="241"/>
        <v>-183.91721088867442</v>
      </c>
      <c r="Y488" s="687">
        <f t="shared" si="242"/>
        <v>-3.9172108886744184</v>
      </c>
      <c r="AA488" s="170">
        <f t="shared" si="243"/>
        <v>59913</v>
      </c>
      <c r="AB488" s="170">
        <f t="shared" si="244"/>
        <v>3589567569</v>
      </c>
      <c r="AD488" s="686">
        <f t="shared" si="245"/>
        <v>16.340597355823196</v>
      </c>
      <c r="AE488" s="687">
        <f t="shared" si="246"/>
        <v>-24.886764331934014</v>
      </c>
      <c r="AG488" s="686">
        <f t="shared" si="247"/>
        <v>-6.7811890891494775</v>
      </c>
      <c r="AH488" s="687">
        <f t="shared" si="248"/>
        <v>-46.755431894388565</v>
      </c>
      <c r="AJ488" s="170">
        <f t="shared" si="249"/>
        <v>0</v>
      </c>
      <c r="AK488" s="170">
        <f t="shared" si="261"/>
        <v>0</v>
      </c>
      <c r="AM488" s="170" t="str">
        <f t="shared" si="253"/>
        <v>1.0623994768762+0.998051253836984i</v>
      </c>
      <c r="AN488" s="170" t="str">
        <f t="shared" si="254"/>
        <v>1.63323636887375i</v>
      </c>
      <c r="AO488" s="170" t="str">
        <f t="shared" si="255"/>
        <v>0.611088065914931-0.650487276136773i</v>
      </c>
      <c r="AP488" s="170" t="str">
        <f t="shared" si="256"/>
        <v>-0.0103999128126999-0.166341875639497i</v>
      </c>
      <c r="AQ488" s="170" t="str">
        <f t="shared" si="257"/>
        <v>1.0103999128127+0.166341875639497i</v>
      </c>
      <c r="AR488" s="170" t="str">
        <f t="shared" si="258"/>
        <v>0.802671280257509-0.132143564728059i</v>
      </c>
    </row>
    <row r="489" spans="7:44">
      <c r="G489" s="688">
        <v>60256</v>
      </c>
      <c r="H489" s="676">
        <f t="shared" si="250"/>
        <v>60.256</v>
      </c>
      <c r="I489" s="677">
        <f t="shared" si="230"/>
        <v>495.58790289255199</v>
      </c>
      <c r="J489" s="678">
        <f t="shared" si="231"/>
        <v>1.568778519917944</v>
      </c>
      <c r="K489" s="678">
        <f t="shared" si="232"/>
        <v>1.0034627761392316</v>
      </c>
      <c r="L489" s="679">
        <f t="shared" si="233"/>
        <v>8.3100099014215736E-2</v>
      </c>
      <c r="M489" s="678">
        <f t="shared" si="234"/>
        <v>1.0505053377400195</v>
      </c>
      <c r="N489" s="679">
        <f t="shared" si="235"/>
        <v>-0.31134365541892145</v>
      </c>
      <c r="O489" s="677">
        <f t="shared" si="236"/>
        <v>2498757.4486830803</v>
      </c>
      <c r="P489" s="680">
        <f t="shared" si="237"/>
        <v>1.5707959265959897</v>
      </c>
      <c r="Q489" s="689">
        <f t="shared" si="259"/>
        <v>99.955300308473298</v>
      </c>
      <c r="R489" s="690">
        <f t="shared" si="260"/>
        <v>1.5607916879289057</v>
      </c>
      <c r="S489" s="677">
        <f t="shared" si="238"/>
        <v>1.0983652584200176</v>
      </c>
      <c r="T489" s="680">
        <f t="shared" si="239"/>
        <v>0.42644024343283038</v>
      </c>
      <c r="U489" s="681">
        <f t="shared" si="251"/>
        <v>0.72398708766212427</v>
      </c>
      <c r="V489" s="682">
        <f t="shared" si="252"/>
        <v>-0.98411260035319637</v>
      </c>
      <c r="W489" s="683">
        <f t="shared" si="240"/>
        <v>-37.06430796775453</v>
      </c>
      <c r="X489" s="684">
        <f t="shared" si="241"/>
        <v>-184.35370625775968</v>
      </c>
      <c r="Y489" s="687">
        <f t="shared" si="242"/>
        <v>-4.3537062577596828</v>
      </c>
      <c r="AA489" s="170">
        <f t="shared" si="243"/>
        <v>60256</v>
      </c>
      <c r="AB489" s="170">
        <f t="shared" si="244"/>
        <v>3630785536</v>
      </c>
      <c r="AD489" s="686">
        <f t="shared" si="245"/>
        <v>16.332148881417538</v>
      </c>
      <c r="AE489" s="687">
        <f t="shared" si="246"/>
        <v>-25.006426844672099</v>
      </c>
      <c r="AG489" s="686">
        <f t="shared" si="247"/>
        <v>-6.8013292200579114</v>
      </c>
      <c r="AH489" s="687">
        <f t="shared" si="248"/>
        <v>-46.576282152462255</v>
      </c>
      <c r="AJ489" s="170">
        <f t="shared" si="249"/>
        <v>0</v>
      </c>
      <c r="AK489" s="170">
        <f t="shared" si="261"/>
        <v>0</v>
      </c>
      <c r="AM489" s="170" t="str">
        <f t="shared" si="253"/>
        <v>1.07172861774758+0.997424185287293i</v>
      </c>
      <c r="AN489" s="170" t="str">
        <f t="shared" si="254"/>
        <v>1.64258659460979i</v>
      </c>
      <c r="AO489" s="170" t="str">
        <f t="shared" si="255"/>
        <v>0.607227764161949-0.65246399871063i</v>
      </c>
      <c r="AP489" s="170" t="str">
        <f t="shared" si="256"/>
        <v>-0.0119547696245972-0.166237364214549i</v>
      </c>
      <c r="AQ489" s="170" t="str">
        <f t="shared" si="257"/>
        <v>1.0119547696246+0.166237364214549i</v>
      </c>
      <c r="AR489" s="170" t="str">
        <f t="shared" si="258"/>
        <v>0.801529417964511-0.131670052637106i</v>
      </c>
    </row>
    <row r="490" spans="7:44">
      <c r="G490" s="688">
        <v>60607</v>
      </c>
      <c r="H490" s="676">
        <f t="shared" si="250"/>
        <v>60.606999999999999</v>
      </c>
      <c r="I490" s="677">
        <f t="shared" si="230"/>
        <v>498.47476308434079</v>
      </c>
      <c r="J490" s="678">
        <f t="shared" si="231"/>
        <v>1.5687902058338949</v>
      </c>
      <c r="K490" s="678">
        <f t="shared" si="232"/>
        <v>1.0035031653699344</v>
      </c>
      <c r="L490" s="679">
        <f t="shared" si="233"/>
        <v>8.3581924389604101E-2</v>
      </c>
      <c r="M490" s="678">
        <f t="shared" si="234"/>
        <v>1.0510811101021122</v>
      </c>
      <c r="N490" s="679">
        <f t="shared" si="235"/>
        <v>-0.31304139715100493</v>
      </c>
      <c r="O490" s="677">
        <f t="shared" si="236"/>
        <v>2513313.0757490592</v>
      </c>
      <c r="P490" s="680">
        <f t="shared" si="237"/>
        <v>1.5707959289137057</v>
      </c>
      <c r="Q490" s="689">
        <f t="shared" si="259"/>
        <v>100.5374964218242</v>
      </c>
      <c r="R490" s="690">
        <f t="shared" si="260"/>
        <v>1.5608496250640937</v>
      </c>
      <c r="S490" s="677">
        <f t="shared" si="238"/>
        <v>1.0994625676862069</v>
      </c>
      <c r="T490" s="680">
        <f t="shared" si="239"/>
        <v>0.42863174276402838</v>
      </c>
      <c r="U490" s="681">
        <f t="shared" si="251"/>
        <v>0.72190017573716869</v>
      </c>
      <c r="V490" s="682">
        <f t="shared" si="252"/>
        <v>-0.9885285909759185</v>
      </c>
      <c r="W490" s="683">
        <f t="shared" si="240"/>
        <v>-37.143400280361057</v>
      </c>
      <c r="X490" s="684">
        <f t="shared" si="241"/>
        <v>-184.79930455441882</v>
      </c>
      <c r="Y490" s="687">
        <f t="shared" si="242"/>
        <v>-4.7993045544188249</v>
      </c>
      <c r="AA490" s="170">
        <f t="shared" si="243"/>
        <v>60607</v>
      </c>
      <c r="AB490" s="170">
        <f t="shared" si="244"/>
        <v>3673208449</v>
      </c>
      <c r="AD490" s="686">
        <f t="shared" si="245"/>
        <v>16.323470654017211</v>
      </c>
      <c r="AE490" s="687">
        <f t="shared" si="246"/>
        <v>-25.128671086767174</v>
      </c>
      <c r="AG490" s="686">
        <f t="shared" si="247"/>
        <v>-6.8215963824415313</v>
      </c>
      <c r="AH490" s="687">
        <f t="shared" si="248"/>
        <v>-46.393600956345466</v>
      </c>
      <c r="AJ490" s="170">
        <f t="shared" si="249"/>
        <v>0</v>
      </c>
      <c r="AK490" s="170">
        <f t="shared" si="261"/>
        <v>0</v>
      </c>
      <c r="AM490" s="170" t="str">
        <f t="shared" si="253"/>
        <v>1.08126884929936+0.996692216350443i</v>
      </c>
      <c r="AN490" s="170" t="str">
        <f t="shared" si="254"/>
        <v>1.65215490141257i</v>
      </c>
      <c r="AO490" s="170" t="str">
        <f t="shared" si="255"/>
        <v>0.603268020146467-0.654459729154264i</v>
      </c>
      <c r="AP490" s="170" t="str">
        <f t="shared" si="256"/>
        <v>-0.0135448082165595-0.166115369391741i</v>
      </c>
      <c r="AQ490" s="170" t="str">
        <f t="shared" si="257"/>
        <v>1.01354480821656+0.166115369391741i</v>
      </c>
      <c r="AR490" s="170" t="str">
        <f t="shared" si="258"/>
        <v>0.800368681293792-0.131176774884422i</v>
      </c>
    </row>
    <row r="491" spans="7:44">
      <c r="G491" s="688">
        <v>60958</v>
      </c>
      <c r="H491" s="676">
        <f t="shared" si="250"/>
        <v>60.957999999999998</v>
      </c>
      <c r="I491" s="677">
        <f t="shared" si="230"/>
        <v>501.3616233434177</v>
      </c>
      <c r="J491" s="678">
        <f t="shared" si="231"/>
        <v>1.5688017571739055</v>
      </c>
      <c r="K491" s="678">
        <f t="shared" si="232"/>
        <v>1.0035437875508255</v>
      </c>
      <c r="L491" s="679">
        <f t="shared" si="233"/>
        <v>8.4063710869473118E-2</v>
      </c>
      <c r="M491" s="678">
        <f t="shared" si="234"/>
        <v>1.0516599087012641</v>
      </c>
      <c r="N491" s="679">
        <f t="shared" si="235"/>
        <v>-0.31473727500564325</v>
      </c>
      <c r="O491" s="677">
        <f t="shared" si="236"/>
        <v>2527868.7028150382</v>
      </c>
      <c r="P491" s="680">
        <f t="shared" si="237"/>
        <v>1.5707959312047306</v>
      </c>
      <c r="Q491" s="689">
        <f t="shared" si="259"/>
        <v>101.11969286876445</v>
      </c>
      <c r="R491" s="690">
        <f t="shared" si="260"/>
        <v>1.5609068950535721</v>
      </c>
      <c r="S491" s="677">
        <f t="shared" si="238"/>
        <v>1.1005651467632931</v>
      </c>
      <c r="T491" s="680">
        <f t="shared" si="239"/>
        <v>0.43081886156260452</v>
      </c>
      <c r="U491" s="681">
        <f t="shared" si="251"/>
        <v>0.7198170630022197</v>
      </c>
      <c r="V491" s="682">
        <f t="shared" si="252"/>
        <v>-0.99293129392427171</v>
      </c>
      <c r="W491" s="683">
        <f t="shared" si="240"/>
        <v>-37.222236469822391</v>
      </c>
      <c r="X491" s="684">
        <f t="shared" si="241"/>
        <v>-185.24381648609341</v>
      </c>
      <c r="Y491" s="687">
        <f t="shared" si="242"/>
        <v>-5.243816486093408</v>
      </c>
      <c r="AA491" s="170">
        <f t="shared" si="243"/>
        <v>60958</v>
      </c>
      <c r="AB491" s="170">
        <f t="shared" si="244"/>
        <v>3715877764</v>
      </c>
      <c r="AD491" s="686">
        <f t="shared" si="245"/>
        <v>16.314759574441041</v>
      </c>
      <c r="AE491" s="687">
        <f t="shared" si="246"/>
        <v>-25.250702565934951</v>
      </c>
      <c r="AG491" s="686">
        <f t="shared" si="247"/>
        <v>-6.8415210801388815</v>
      </c>
      <c r="AH491" s="687">
        <f t="shared" si="248"/>
        <v>-46.211568813494864</v>
      </c>
      <c r="AJ491" s="170">
        <f t="shared" si="249"/>
        <v>0</v>
      </c>
      <c r="AK491" s="170">
        <f t="shared" si="261"/>
        <v>0</v>
      </c>
      <c r="AM491" s="170" t="str">
        <f t="shared" si="253"/>
        <v>1.09080164054197+0.995868998450543i</v>
      </c>
      <c r="AN491" s="170" t="str">
        <f t="shared" si="254"/>
        <v>1.66172320821535i</v>
      </c>
      <c r="AO491" s="170" t="str">
        <f t="shared" si="255"/>
        <v>0.599298964789739-0.65642799904893i</v>
      </c>
      <c r="AP491" s="170" t="str">
        <f t="shared" si="256"/>
        <v>-0.0151336067569952-0.165978166408424i</v>
      </c>
      <c r="AQ491" s="170" t="str">
        <f t="shared" si="257"/>
        <v>1.015133606757+0.165978166408424i</v>
      </c>
      <c r="AR491" s="170" t="str">
        <f t="shared" si="258"/>
        <v>0.799215819164903-0.130674795265005i</v>
      </c>
    </row>
    <row r="492" spans="7:44">
      <c r="G492" s="688">
        <v>61309</v>
      </c>
      <c r="H492" s="676">
        <f t="shared" si="250"/>
        <v>61.308999999999997</v>
      </c>
      <c r="I492" s="677">
        <f t="shared" si="230"/>
        <v>504.24848366862705</v>
      </c>
      <c r="J492" s="678">
        <f t="shared" si="231"/>
        <v>1.5688131762493445</v>
      </c>
      <c r="K492" s="678">
        <f t="shared" si="232"/>
        <v>1.0035846426536172</v>
      </c>
      <c r="L492" s="679">
        <f t="shared" si="233"/>
        <v>8.4545458234896689E-2</v>
      </c>
      <c r="M492" s="678">
        <f t="shared" si="234"/>
        <v>1.052241728543617</v>
      </c>
      <c r="N492" s="679">
        <f t="shared" si="235"/>
        <v>-0.31643128231196271</v>
      </c>
      <c r="O492" s="677">
        <f t="shared" si="236"/>
        <v>2542424.3298810166</v>
      </c>
      <c r="P492" s="680">
        <f t="shared" si="237"/>
        <v>1.5707959334695227</v>
      </c>
      <c r="Q492" s="689">
        <f t="shared" si="259"/>
        <v>101.70188964356514</v>
      </c>
      <c r="R492" s="690">
        <f t="shared" si="260"/>
        <v>1.5609635093542735</v>
      </c>
      <c r="S492" s="677">
        <f t="shared" si="238"/>
        <v>1.1016729798288405</v>
      </c>
      <c r="T492" s="680">
        <f t="shared" si="239"/>
        <v>0.43300159208832328</v>
      </c>
      <c r="U492" s="681">
        <f t="shared" si="251"/>
        <v>0.7177378116668981</v>
      </c>
      <c r="V492" s="682">
        <f t="shared" si="252"/>
        <v>-0.99732079979923827</v>
      </c>
      <c r="W492" s="683">
        <f t="shared" si="240"/>
        <v>-37.300819000687675</v>
      </c>
      <c r="X492" s="684">
        <f t="shared" si="241"/>
        <v>-185.68724590670902</v>
      </c>
      <c r="Y492" s="687">
        <f t="shared" si="242"/>
        <v>-5.6872459067090233</v>
      </c>
      <c r="AA492" s="170">
        <f t="shared" si="243"/>
        <v>61309</v>
      </c>
      <c r="AB492" s="170">
        <f t="shared" si="244"/>
        <v>3758793481</v>
      </c>
      <c r="AD492" s="686">
        <f t="shared" si="245"/>
        <v>16.306015873094207</v>
      </c>
      <c r="AE492" s="687">
        <f t="shared" si="246"/>
        <v>-25.372520182284951</v>
      </c>
      <c r="AG492" s="686">
        <f t="shared" si="247"/>
        <v>-6.8611074690981759</v>
      </c>
      <c r="AH492" s="687">
        <f t="shared" si="248"/>
        <v>-46.030180295618841</v>
      </c>
      <c r="AJ492" s="170">
        <f t="shared" si="249"/>
        <v>0</v>
      </c>
      <c r="AK492" s="170">
        <f t="shared" si="261"/>
        <v>0</v>
      </c>
      <c r="AM492" s="170" t="str">
        <f t="shared" si="253"/>
        <v>1.10032611873125+0.994954606954671i</v>
      </c>
      <c r="AN492" s="170" t="str">
        <f t="shared" si="254"/>
        <v>1.67129151501812i</v>
      </c>
      <c r="AO492" s="170" t="str">
        <f t="shared" si="255"/>
        <v>0.595320803111888-0.658368757840143i</v>
      </c>
      <c r="AP492" s="170" t="str">
        <f t="shared" si="256"/>
        <v>-0.0167210197885418-0.165825767825778i</v>
      </c>
      <c r="AQ492" s="170" t="str">
        <f t="shared" si="257"/>
        <v>1.01672101978854+0.165825767825778i</v>
      </c>
      <c r="AR492" s="170" t="str">
        <f t="shared" si="258"/>
        <v>0.798070857360038-0.130164233969147i</v>
      </c>
    </row>
    <row r="493" spans="7:44">
      <c r="G493" s="688">
        <v>61660</v>
      </c>
      <c r="H493" s="676">
        <f t="shared" si="250"/>
        <v>61.66</v>
      </c>
      <c r="I493" s="677">
        <f t="shared" si="230"/>
        <v>507.13534405883939</v>
      </c>
      <c r="J493" s="678">
        <f t="shared" si="231"/>
        <v>1.5688244653189514</v>
      </c>
      <c r="K493" s="678">
        <f t="shared" si="232"/>
        <v>1.0036257306498648</v>
      </c>
      <c r="L493" s="679">
        <f t="shared" si="233"/>
        <v>8.5027166267056975E-2</v>
      </c>
      <c r="M493" s="678">
        <f t="shared" si="234"/>
        <v>1.0528265646203145</v>
      </c>
      <c r="N493" s="679">
        <f t="shared" si="235"/>
        <v>-0.31812341245673953</v>
      </c>
      <c r="O493" s="677">
        <f t="shared" si="236"/>
        <v>2556979.9569469956</v>
      </c>
      <c r="P493" s="680">
        <f t="shared" si="237"/>
        <v>1.5707959357085304</v>
      </c>
      <c r="Q493" s="689">
        <f t="shared" si="259"/>
        <v>102.28408674062773</v>
      </c>
      <c r="R493" s="690">
        <f t="shared" si="260"/>
        <v>1.5610194791622982</v>
      </c>
      <c r="S493" s="677">
        <f t="shared" si="238"/>
        <v>1.1027860510487477</v>
      </c>
      <c r="T493" s="680">
        <f t="shared" si="239"/>
        <v>0.43517992679923351</v>
      </c>
      <c r="U493" s="681">
        <f t="shared" si="251"/>
        <v>0.71566248212621897</v>
      </c>
      <c r="V493" s="682">
        <f t="shared" si="252"/>
        <v>-1.0016971994891231</v>
      </c>
      <c r="W493" s="683">
        <f t="shared" si="240"/>
        <v>-37.37915029364536</v>
      </c>
      <c r="X493" s="684">
        <f t="shared" si="241"/>
        <v>-186.12959671324035</v>
      </c>
      <c r="Y493" s="687">
        <f t="shared" si="242"/>
        <v>-6.1295967132403462</v>
      </c>
      <c r="AA493" s="170">
        <f t="shared" si="243"/>
        <v>61660</v>
      </c>
      <c r="AB493" s="170">
        <f t="shared" si="244"/>
        <v>3801955600</v>
      </c>
      <c r="AD493" s="686">
        <f t="shared" si="245"/>
        <v>16.297239780173264</v>
      </c>
      <c r="AE493" s="687">
        <f t="shared" si="246"/>
        <v>-25.494122862231606</v>
      </c>
      <c r="AG493" s="686">
        <f t="shared" si="247"/>
        <v>-6.8803596350790661</v>
      </c>
      <c r="AH493" s="687">
        <f t="shared" si="248"/>
        <v>-45.84942995824489</v>
      </c>
      <c r="AJ493" s="170">
        <f t="shared" si="249"/>
        <v>0</v>
      </c>
      <c r="AK493" s="170">
        <f t="shared" si="261"/>
        <v>0</v>
      </c>
      <c r="AM493" s="170" t="str">
        <f t="shared" si="253"/>
        <v>1.10984141188413+0.993949125577009i</v>
      </c>
      <c r="AN493" s="170" t="str">
        <f t="shared" si="254"/>
        <v>1.6808598218209i</v>
      </c>
      <c r="AO493" s="170" t="str">
        <f t="shared" si="255"/>
        <v>0.591333740430686-0.660281956577332i</v>
      </c>
      <c r="AP493" s="170" t="str">
        <f t="shared" si="256"/>
        <v>-0.0183069019806877-0.165658187596168i</v>
      </c>
      <c r="AQ493" s="170" t="str">
        <f t="shared" si="257"/>
        <v>1.01830690198069+0.165658187596168i</v>
      </c>
      <c r="AR493" s="170" t="str">
        <f t="shared" si="258"/>
        <v>0.796933820130295-0.12964521012289i</v>
      </c>
    </row>
    <row r="494" spans="7:44">
      <c r="G494" s="688">
        <v>62019</v>
      </c>
      <c r="H494" s="676">
        <f t="shared" si="250"/>
        <v>62.018999999999998</v>
      </c>
      <c r="I494" s="677">
        <f t="shared" si="230"/>
        <v>510.08800190295477</v>
      </c>
      <c r="J494" s="678">
        <f t="shared" si="231"/>
        <v>1.5688358795057453</v>
      </c>
      <c r="K494" s="678">
        <f t="shared" si="232"/>
        <v>1.0036679960109625</v>
      </c>
      <c r="L494" s="679">
        <f t="shared" si="233"/>
        <v>8.551981248349734E-2</v>
      </c>
      <c r="M494" s="678">
        <f t="shared" si="234"/>
        <v>1.0534278451948056</v>
      </c>
      <c r="N494" s="679">
        <f t="shared" si="235"/>
        <v>-0.31985216101218711</v>
      </c>
      <c r="O494" s="677">
        <f t="shared" si="236"/>
        <v>2571867.3361968142</v>
      </c>
      <c r="P494" s="680">
        <f t="shared" si="237"/>
        <v>1.5707959379723528</v>
      </c>
      <c r="Q494" s="689">
        <f t="shared" si="259"/>
        <v>102.87955361485662</v>
      </c>
      <c r="R494" s="690">
        <f t="shared" si="260"/>
        <v>1.5610760693455745</v>
      </c>
      <c r="S494" s="677">
        <f t="shared" si="238"/>
        <v>1.1039298934950101</v>
      </c>
      <c r="T494" s="680">
        <f t="shared" si="239"/>
        <v>0.43740335526938506</v>
      </c>
      <c r="U494" s="681">
        <f t="shared" si="251"/>
        <v>0.71354396959565436</v>
      </c>
      <c r="V494" s="682">
        <f t="shared" si="252"/>
        <v>-1.0061598835328875</v>
      </c>
      <c r="W494" s="683">
        <f t="shared" si="240"/>
        <v>-37.459009501124008</v>
      </c>
      <c r="X494" s="684">
        <f t="shared" si="241"/>
        <v>-186.58091792499818</v>
      </c>
      <c r="Y494" s="687">
        <f t="shared" si="242"/>
        <v>-6.5809179249981753</v>
      </c>
      <c r="AA494" s="170">
        <f t="shared" si="243"/>
        <v>62019</v>
      </c>
      <c r="AB494" s="170">
        <f t="shared" si="244"/>
        <v>3846356361</v>
      </c>
      <c r="AD494" s="686">
        <f t="shared" si="245"/>
        <v>16.288230394650888</v>
      </c>
      <c r="AE494" s="687">
        <f t="shared" si="246"/>
        <v>-25.618273680806258</v>
      </c>
      <c r="AG494" s="686">
        <f t="shared" si="247"/>
        <v>-6.8997090471616467</v>
      </c>
      <c r="AH494" s="687">
        <f t="shared" si="248"/>
        <v>-45.665214428827539</v>
      </c>
      <c r="AJ494" s="170">
        <f t="shared" si="249"/>
        <v>0</v>
      </c>
      <c r="AK494" s="170">
        <f t="shared" si="261"/>
        <v>0</v>
      </c>
      <c r="AM494" s="170" t="str">
        <f t="shared" si="253"/>
        <v>1.11956316838288+0.992826595517187i</v>
      </c>
      <c r="AN494" s="170" t="str">
        <f t="shared" si="254"/>
        <v>1.6906462096904i</v>
      </c>
      <c r="AO494" s="170" t="str">
        <f t="shared" si="255"/>
        <v>0.587246811205402-0.662210202208953i</v>
      </c>
      <c r="AP494" s="170" t="str">
        <f t="shared" si="256"/>
        <v>-0.01992719473048-0.165471099252864i</v>
      </c>
      <c r="AQ494" s="170" t="str">
        <f t="shared" si="257"/>
        <v>1.01992719473048+0.165471099252864i</v>
      </c>
      <c r="AR494" s="170" t="str">
        <f t="shared" si="258"/>
        <v>0.795779088792205-0.12910572564906i</v>
      </c>
    </row>
    <row r="495" spans="7:44">
      <c r="G495" s="688">
        <v>62378</v>
      </c>
      <c r="H495" s="676">
        <f t="shared" si="250"/>
        <v>62.378</v>
      </c>
      <c r="I495" s="677">
        <f t="shared" si="230"/>
        <v>513.04065981276142</v>
      </c>
      <c r="J495" s="678">
        <f t="shared" si="231"/>
        <v>1.5688471623104048</v>
      </c>
      <c r="K495" s="678">
        <f t="shared" si="232"/>
        <v>1.003710504942029</v>
      </c>
      <c r="L495" s="679">
        <f t="shared" si="233"/>
        <v>8.6012417090591736E-2</v>
      </c>
      <c r="M495" s="678">
        <f t="shared" si="234"/>
        <v>1.0540322704164398</v>
      </c>
      <c r="N495" s="679">
        <f t="shared" si="235"/>
        <v>-0.32157893205301336</v>
      </c>
      <c r="O495" s="677">
        <f t="shared" si="236"/>
        <v>2586754.7154466333</v>
      </c>
      <c r="P495" s="680">
        <f t="shared" si="237"/>
        <v>1.5707959402101177</v>
      </c>
      <c r="Q495" s="689">
        <f t="shared" si="259"/>
        <v>103.47502081476006</v>
      </c>
      <c r="R495" s="690">
        <f t="shared" si="260"/>
        <v>1.5611320082105227</v>
      </c>
      <c r="S495" s="677">
        <f t="shared" si="238"/>
        <v>1.1050791820533714</v>
      </c>
      <c r="T495" s="680">
        <f t="shared" si="239"/>
        <v>0.43962216993337677</v>
      </c>
      <c r="U495" s="681">
        <f t="shared" si="251"/>
        <v>0.71142968177289323</v>
      </c>
      <c r="V495" s="682">
        <f t="shared" si="252"/>
        <v>-1.0106090503202461</v>
      </c>
      <c r="W495" s="683">
        <f t="shared" si="240"/>
        <v>-37.538610874765538</v>
      </c>
      <c r="X495" s="684">
        <f t="shared" si="241"/>
        <v>-187.03111917284625</v>
      </c>
      <c r="Y495" s="687">
        <f t="shared" si="242"/>
        <v>-7.0311191728462461</v>
      </c>
      <c r="AA495" s="170">
        <f t="shared" si="243"/>
        <v>62378</v>
      </c>
      <c r="AB495" s="170">
        <f t="shared" si="244"/>
        <v>3891014884</v>
      </c>
      <c r="AD495" s="686">
        <f t="shared" si="245"/>
        <v>16.279187610560456</v>
      </c>
      <c r="AE495" s="687">
        <f t="shared" si="246"/>
        <v>-25.742197464058524</v>
      </c>
      <c r="AG495" s="686">
        <f t="shared" si="247"/>
        <v>-6.9187172542889783</v>
      </c>
      <c r="AH495" s="687">
        <f t="shared" si="248"/>
        <v>-45.481654934309972</v>
      </c>
      <c r="AJ495" s="170">
        <f t="shared" si="249"/>
        <v>0</v>
      </c>
      <c r="AK495" s="170">
        <f t="shared" si="261"/>
        <v>0</v>
      </c>
      <c r="AM495" s="170" t="str">
        <f t="shared" si="253"/>
        <v>1.12927347400337+0.99160897984997i</v>
      </c>
      <c r="AN495" s="170" t="str">
        <f t="shared" si="254"/>
        <v>1.70043259755991i</v>
      </c>
      <c r="AO495" s="170" t="str">
        <f t="shared" si="255"/>
        <v>0.583151005969252-0.664109518732973i</v>
      </c>
      <c r="AP495" s="170" t="str">
        <f t="shared" si="256"/>
        <v>-0.0215455790005623-0.165268163308328i</v>
      </c>
      <c r="AQ495" s="170" t="str">
        <f t="shared" si="257"/>
        <v>1.02154557900056+0.165268163308328i</v>
      </c>
      <c r="AR495" s="170" t="str">
        <f t="shared" si="258"/>
        <v>0.794632693951972-0.12855763710776i</v>
      </c>
    </row>
    <row r="496" spans="7:44">
      <c r="G496" s="688">
        <v>62737</v>
      </c>
      <c r="H496" s="676">
        <f t="shared" si="250"/>
        <v>62.737000000000002</v>
      </c>
      <c r="I496" s="677">
        <f t="shared" si="230"/>
        <v>515.99331778713145</v>
      </c>
      <c r="J496" s="678">
        <f t="shared" si="231"/>
        <v>1.5688583159883422</v>
      </c>
      <c r="K496" s="678">
        <f t="shared" si="232"/>
        <v>1.0037532574121188</v>
      </c>
      <c r="L496" s="679">
        <f t="shared" si="233"/>
        <v>8.6504979854571687E-2</v>
      </c>
      <c r="M496" s="678">
        <f t="shared" si="234"/>
        <v>1.0546398348785258</v>
      </c>
      <c r="N496" s="679">
        <f t="shared" si="235"/>
        <v>-0.32330371869054381</v>
      </c>
      <c r="O496" s="677">
        <f t="shared" si="236"/>
        <v>2601642.0946964524</v>
      </c>
      <c r="P496" s="680">
        <f t="shared" si="237"/>
        <v>1.5707959424222722</v>
      </c>
      <c r="Q496" s="689">
        <f t="shared" si="259"/>
        <v>104.07048833474776</v>
      </c>
      <c r="R496" s="690">
        <f t="shared" si="260"/>
        <v>1.5611873069368722</v>
      </c>
      <c r="S496" s="677">
        <f t="shared" si="238"/>
        <v>1.1062338997496075</v>
      </c>
      <c r="T496" s="680">
        <f t="shared" si="239"/>
        <v>0.44183636335838106</v>
      </c>
      <c r="U496" s="681">
        <f t="shared" si="251"/>
        <v>0.7093196775634556</v>
      </c>
      <c r="V496" s="682">
        <f t="shared" si="252"/>
        <v>-1.0150447979175476</v>
      </c>
      <c r="W496" s="683">
        <f t="shared" si="240"/>
        <v>-37.617956869974648</v>
      </c>
      <c r="X496" s="684">
        <f t="shared" si="241"/>
        <v>-187.48020475710487</v>
      </c>
      <c r="Y496" s="687">
        <f t="shared" si="242"/>
        <v>-7.4802047571048718</v>
      </c>
      <c r="AA496" s="170">
        <f t="shared" si="243"/>
        <v>62737</v>
      </c>
      <c r="AB496" s="170">
        <f t="shared" si="244"/>
        <v>3935931169</v>
      </c>
      <c r="AD496" s="686">
        <f t="shared" si="245"/>
        <v>16.270111673420203</v>
      </c>
      <c r="AE496" s="687">
        <f t="shared" si="246"/>
        <v>-25.86589314559307</v>
      </c>
      <c r="AG496" s="686">
        <f t="shared" si="247"/>
        <v>-6.9373884091368945</v>
      </c>
      <c r="AH496" s="687">
        <f t="shared" si="248"/>
        <v>-45.298745603831861</v>
      </c>
      <c r="AJ496" s="170">
        <f t="shared" si="249"/>
        <v>0</v>
      </c>
      <c r="AK496" s="170">
        <f t="shared" si="261"/>
        <v>0</v>
      </c>
      <c r="AM496" s="170" t="str">
        <f t="shared" si="253"/>
        <v>1.13897139876415+0.99029639518961i</v>
      </c>
      <c r="AN496" s="170" t="str">
        <f t="shared" si="254"/>
        <v>1.71021898542941i</v>
      </c>
      <c r="AO496" s="170" t="str">
        <f t="shared" si="255"/>
        <v>0.579046545282598-0.665979858993421i</v>
      </c>
      <c r="AP496" s="170" t="str">
        <f t="shared" si="256"/>
        <v>-0.0231618997940247-0.165049399198268i</v>
      </c>
      <c r="AQ496" s="170" t="str">
        <f t="shared" si="257"/>
        <v>1.02316189979402+0.165049399198268i</v>
      </c>
      <c r="AR496" s="170" t="str">
        <f t="shared" si="258"/>
        <v>0.793494656826246-0.128001068455123i</v>
      </c>
    </row>
    <row r="497" spans="7:44">
      <c r="G497" s="688">
        <v>63096</v>
      </c>
      <c r="H497" s="676">
        <f t="shared" si="250"/>
        <v>63.095999999999997</v>
      </c>
      <c r="I497" s="677">
        <f t="shared" si="230"/>
        <v>518.94597582496294</v>
      </c>
      <c r="J497" s="678">
        <f t="shared" si="231"/>
        <v>1.5688693427436406</v>
      </c>
      <c r="K497" s="678">
        <f t="shared" si="232"/>
        <v>1.003796253390115</v>
      </c>
      <c r="L497" s="679">
        <f t="shared" si="233"/>
        <v>8.6997500541789688E-2</v>
      </c>
      <c r="M497" s="678">
        <f t="shared" si="234"/>
        <v>1.0552505331587749</v>
      </c>
      <c r="N497" s="679">
        <f t="shared" si="235"/>
        <v>-0.32502651409915473</v>
      </c>
      <c r="O497" s="677">
        <f t="shared" si="236"/>
        <v>2616529.473946271</v>
      </c>
      <c r="P497" s="680">
        <f t="shared" si="237"/>
        <v>1.5707959446092534</v>
      </c>
      <c r="Q497" s="689">
        <f t="shared" si="259"/>
        <v>104.66595616935662</v>
      </c>
      <c r="R497" s="690">
        <f t="shared" si="260"/>
        <v>1.5612419764499539</v>
      </c>
      <c r="S497" s="677">
        <f t="shared" si="238"/>
        <v>1.107394029600274</v>
      </c>
      <c r="T497" s="680">
        <f t="shared" si="239"/>
        <v>0.44404592832374834</v>
      </c>
      <c r="U497" s="681">
        <f t="shared" si="251"/>
        <v>0.70721401400607475</v>
      </c>
      <c r="V497" s="682">
        <f t="shared" si="252"/>
        <v>-1.0194672246314596</v>
      </c>
      <c r="W497" s="683">
        <f t="shared" si="240"/>
        <v>-37.697049899283854</v>
      </c>
      <c r="X497" s="684">
        <f t="shared" si="241"/>
        <v>-187.92817901926028</v>
      </c>
      <c r="Y497" s="687">
        <f t="shared" si="242"/>
        <v>-7.9281790192602841</v>
      </c>
      <c r="AA497" s="170">
        <f t="shared" si="243"/>
        <v>63096</v>
      </c>
      <c r="AB497" s="170">
        <f t="shared" si="244"/>
        <v>3981105216</v>
      </c>
      <c r="AD497" s="686">
        <f t="shared" si="245"/>
        <v>16.261002828451787</v>
      </c>
      <c r="AE497" s="687">
        <f t="shared" si="246"/>
        <v>-25.989359685746862</v>
      </c>
      <c r="AG497" s="686">
        <f t="shared" si="247"/>
        <v>-6.9557265935149051</v>
      </c>
      <c r="AH497" s="687">
        <f t="shared" si="248"/>
        <v>-45.116480553428303</v>
      </c>
      <c r="AJ497" s="170">
        <f t="shared" si="249"/>
        <v>0</v>
      </c>
      <c r="AK497" s="170">
        <f t="shared" si="261"/>
        <v>0</v>
      </c>
      <c r="AM497" s="170" t="str">
        <f t="shared" si="253"/>
        <v>1.14865601386953+0.988888967245778i</v>
      </c>
      <c r="AN497" s="170" t="str">
        <f t="shared" si="254"/>
        <v>1.72000537329892i</v>
      </c>
      <c r="AO497" s="170" t="str">
        <f t="shared" si="255"/>
        <v>0.57493364997408-0.667821177596929i</v>
      </c>
      <c r="AP497" s="170" t="str">
        <f t="shared" si="256"/>
        <v>-0.0247760023115882-0.164814827874296i</v>
      </c>
      <c r="AQ497" s="170" t="str">
        <f t="shared" si="257"/>
        <v>1.02477600231159+0.164814827874296i</v>
      </c>
      <c r="AR497" s="170" t="str">
        <f t="shared" si="258"/>
        <v>0.792364997116407-0.127436142453353i</v>
      </c>
    </row>
    <row r="498" spans="7:44">
      <c r="G498" s="688">
        <v>63463.25</v>
      </c>
      <c r="H498" s="676">
        <f t="shared" si="250"/>
        <v>63.463250000000002</v>
      </c>
      <c r="I498" s="677">
        <f t="shared" si="230"/>
        <v>521.96648748948792</v>
      </c>
      <c r="J498" s="678">
        <f t="shared" si="231"/>
        <v>1.5688804938138445</v>
      </c>
      <c r="K498" s="678">
        <f t="shared" si="232"/>
        <v>1.0038404893707231</v>
      </c>
      <c r="L498" s="679">
        <f t="shared" si="233"/>
        <v>8.7501295819568531E-2</v>
      </c>
      <c r="M498" s="678">
        <f t="shared" si="234"/>
        <v>1.0558785025926782</v>
      </c>
      <c r="N498" s="679">
        <f t="shared" si="235"/>
        <v>-0.32678683276547216</v>
      </c>
      <c r="O498" s="677">
        <f t="shared" si="236"/>
        <v>2631758.9726356752</v>
      </c>
      <c r="P498" s="680">
        <f t="shared" si="237"/>
        <v>1.5707959468208905</v>
      </c>
      <c r="Q498" s="689">
        <f t="shared" si="259"/>
        <v>105.27510847335098</v>
      </c>
      <c r="R498" s="690">
        <f t="shared" si="260"/>
        <v>1.5612972623592076</v>
      </c>
      <c r="S498" s="677">
        <f t="shared" si="238"/>
        <v>1.1085864022444241</v>
      </c>
      <c r="T498" s="680">
        <f t="shared" si="239"/>
        <v>0.44630147366410117</v>
      </c>
      <c r="U498" s="681">
        <f t="shared" si="251"/>
        <v>0.70506451021389871</v>
      </c>
      <c r="V498" s="682">
        <f t="shared" si="252"/>
        <v>-1.0239776000810177</v>
      </c>
      <c r="W498" s="683">
        <f t="shared" si="240"/>
        <v>-37.777701245198067</v>
      </c>
      <c r="X498" s="684">
        <f t="shared" si="241"/>
        <v>-188.38530259929752</v>
      </c>
      <c r="Y498" s="687">
        <f t="shared" si="242"/>
        <v>-8.3853025992975176</v>
      </c>
      <c r="AA498" s="170">
        <f t="shared" si="243"/>
        <v>63463.25</v>
      </c>
      <c r="AB498" s="170">
        <f t="shared" si="244"/>
        <v>4027584100.5625</v>
      </c>
      <c r="AD498" s="686">
        <f t="shared" si="245"/>
        <v>16.251650862138323</v>
      </c>
      <c r="AE498" s="687">
        <f t="shared" si="246"/>
        <v>-26.115425391844212</v>
      </c>
      <c r="AG498" s="686">
        <f t="shared" si="247"/>
        <v>-6.9741458455430472</v>
      </c>
      <c r="AH498" s="687">
        <f t="shared" si="248"/>
        <v>-44.930687472219375</v>
      </c>
      <c r="AJ498" s="170">
        <f t="shared" si="249"/>
        <v>0</v>
      </c>
      <c r="AK498" s="170">
        <f t="shared" si="261"/>
        <v>0</v>
      </c>
      <c r="AM498" s="170" t="str">
        <f t="shared" si="253"/>
        <v>1.15854844724021+0.98735119885364i</v>
      </c>
      <c r="AN498" s="170" t="str">
        <f t="shared" si="254"/>
        <v>1.73001665726849i</v>
      </c>
      <c r="AO498" s="170" t="str">
        <f t="shared" si="255"/>
        <v>0.570717741187857-0.669674735426787i</v>
      </c>
      <c r="AP498" s="170" t="str">
        <f t="shared" si="256"/>
        <v>-0.026424741206701-0.164558533142273i</v>
      </c>
      <c r="AQ498" s="170" t="str">
        <f t="shared" si="257"/>
        <v>1.0264247412067+0.164558533142273i</v>
      </c>
      <c r="AR498" s="170" t="str">
        <f t="shared" si="258"/>
        <v>0.791218064658038-0.126849713270478i</v>
      </c>
    </row>
    <row r="499" spans="7:44">
      <c r="G499" s="688">
        <v>63830.5</v>
      </c>
      <c r="H499" s="676">
        <f t="shared" si="250"/>
        <v>63.830500000000001</v>
      </c>
      <c r="I499" s="677">
        <f t="shared" si="230"/>
        <v>524.98699921817081</v>
      </c>
      <c r="J499" s="678">
        <f t="shared" si="231"/>
        <v>1.5688915165687263</v>
      </c>
      <c r="K499" s="678">
        <f t="shared" si="232"/>
        <v>1.0038849801132745</v>
      </c>
      <c r="L499" s="679">
        <f t="shared" si="233"/>
        <v>8.8005046570226439E-2</v>
      </c>
      <c r="M499" s="678">
        <f t="shared" si="234"/>
        <v>1.0565097400049328</v>
      </c>
      <c r="N499" s="679">
        <f t="shared" si="235"/>
        <v>-0.32854505338430595</v>
      </c>
      <c r="O499" s="677">
        <f t="shared" si="236"/>
        <v>2646988.4713250794</v>
      </c>
      <c r="P499" s="680">
        <f t="shared" si="237"/>
        <v>1.5707959490070782</v>
      </c>
      <c r="Q499" s="689">
        <f t="shared" si="259"/>
        <v>105.88426109541969</v>
      </c>
      <c r="R499" s="690">
        <f t="shared" si="260"/>
        <v>1.5613519121484662</v>
      </c>
      <c r="S499" s="677">
        <f t="shared" si="238"/>
        <v>1.10978440266905</v>
      </c>
      <c r="T499" s="680">
        <f t="shared" si="239"/>
        <v>0.44855216075997173</v>
      </c>
      <c r="U499" s="681">
        <f t="shared" si="251"/>
        <v>0.70291966376584736</v>
      </c>
      <c r="V499" s="682">
        <f t="shared" si="252"/>
        <v>-1.0284742441839714</v>
      </c>
      <c r="W499" s="683">
        <f t="shared" si="240"/>
        <v>-37.858092840198964</v>
      </c>
      <c r="X499" s="684">
        <f t="shared" si="241"/>
        <v>-188.84127250977775</v>
      </c>
      <c r="Y499" s="687">
        <f t="shared" si="242"/>
        <v>-8.8412725097777525</v>
      </c>
      <c r="AA499" s="170">
        <f t="shared" si="243"/>
        <v>63830.5</v>
      </c>
      <c r="AB499" s="170">
        <f t="shared" si="244"/>
        <v>4074332730.25</v>
      </c>
      <c r="AD499" s="686">
        <f t="shared" si="245"/>
        <v>16.242264976260671</v>
      </c>
      <c r="AE499" s="687">
        <f t="shared" si="246"/>
        <v>-26.241249186569451</v>
      </c>
      <c r="AG499" s="686">
        <f t="shared" si="247"/>
        <v>-6.9922250678678832</v>
      </c>
      <c r="AH499" s="687">
        <f t="shared" si="248"/>
        <v>-44.745556129242338</v>
      </c>
      <c r="AJ499" s="170">
        <f t="shared" si="249"/>
        <v>0</v>
      </c>
      <c r="AK499" s="170">
        <f t="shared" si="261"/>
        <v>0</v>
      </c>
      <c r="AM499" s="170" t="str">
        <f t="shared" si="253"/>
        <v>1.16842499009757+0.985714473217591i</v>
      </c>
      <c r="AN499" s="170" t="str">
        <f t="shared" si="254"/>
        <v>1.74002794123806i</v>
      </c>
      <c r="AO499" s="170" t="str">
        <f t="shared" si="255"/>
        <v>0.566493473958952-0.671497831963673i</v>
      </c>
      <c r="AP499" s="170" t="str">
        <f t="shared" si="256"/>
        <v>-0.0280708316829292-0.164285745536265i</v>
      </c>
      <c r="AQ499" s="170" t="str">
        <f t="shared" si="257"/>
        <v>1.02807083168293+0.164285745536265i</v>
      </c>
      <c r="AR499" s="170" t="str">
        <f t="shared" si="258"/>
        <v>0.790079936095911-0.126254794256037i</v>
      </c>
    </row>
    <row r="500" spans="7:44">
      <c r="G500" s="688">
        <v>64197.75</v>
      </c>
      <c r="H500" s="676">
        <f t="shared" si="250"/>
        <v>64.197749999999999</v>
      </c>
      <c r="I500" s="677">
        <f t="shared" si="230"/>
        <v>528.00751100991033</v>
      </c>
      <c r="J500" s="678">
        <f t="shared" si="231"/>
        <v>1.5689024132103992</v>
      </c>
      <c r="K500" s="678">
        <f t="shared" si="232"/>
        <v>1.0039297255838993</v>
      </c>
      <c r="L500" s="679">
        <f t="shared" si="233"/>
        <v>8.8508752544031927E-2</v>
      </c>
      <c r="M500" s="678">
        <f t="shared" si="234"/>
        <v>1.0571442395414556</v>
      </c>
      <c r="N500" s="679">
        <f t="shared" si="235"/>
        <v>-0.3303011688532394</v>
      </c>
      <c r="O500" s="677">
        <f t="shared" si="236"/>
        <v>2662217.9700144827</v>
      </c>
      <c r="P500" s="680">
        <f t="shared" si="237"/>
        <v>1.5707959511682532</v>
      </c>
      <c r="Q500" s="689">
        <f t="shared" si="259"/>
        <v>106.49341403010449</v>
      </c>
      <c r="R500" s="690">
        <f t="shared" si="260"/>
        <v>1.5614059367334097</v>
      </c>
      <c r="S500" s="677">
        <f t="shared" si="238"/>
        <v>1.1109880126685099</v>
      </c>
      <c r="T500" s="680">
        <f t="shared" si="239"/>
        <v>0.45079798256240394</v>
      </c>
      <c r="U500" s="681">
        <f t="shared" si="251"/>
        <v>0.70077952985354985</v>
      </c>
      <c r="V500" s="682">
        <f t="shared" si="252"/>
        <v>-1.0329572628488293</v>
      </c>
      <c r="W500" s="683">
        <f t="shared" si="240"/>
        <v>-37.938227135407359</v>
      </c>
      <c r="X500" s="684">
        <f t="shared" si="241"/>
        <v>-189.29609352308071</v>
      </c>
      <c r="Y500" s="687">
        <f t="shared" si="242"/>
        <v>-9.2960935230807138</v>
      </c>
      <c r="AA500" s="170">
        <f t="shared" si="243"/>
        <v>64197.75</v>
      </c>
      <c r="AB500" s="170">
        <f t="shared" si="244"/>
        <v>4121351105.0625</v>
      </c>
      <c r="AD500" s="686">
        <f t="shared" si="245"/>
        <v>16.232845432266792</v>
      </c>
      <c r="AE500" s="687">
        <f t="shared" si="246"/>
        <v>-26.366830040649766</v>
      </c>
      <c r="AG500" s="686">
        <f t="shared" si="247"/>
        <v>-7.0099684090797387</v>
      </c>
      <c r="AH500" s="687">
        <f t="shared" si="248"/>
        <v>-44.561080189928482</v>
      </c>
      <c r="AJ500" s="170">
        <f t="shared" si="249"/>
        <v>0</v>
      </c>
      <c r="AK500" s="170">
        <f t="shared" si="261"/>
        <v>0</v>
      </c>
      <c r="AM500" s="170" t="str">
        <f t="shared" si="253"/>
        <v>1.17828465256543+0.983978954378408i</v>
      </c>
      <c r="AN500" s="170" t="str">
        <f t="shared" si="254"/>
        <v>1.75003922520763i</v>
      </c>
      <c r="AO500" s="170" t="str">
        <f t="shared" si="255"/>
        <v>0.562261085468908-0.673290424347851i</v>
      </c>
      <c r="AP500" s="170" t="str">
        <f t="shared" si="256"/>
        <v>-0.0297141087609045-0.163996492396401i</v>
      </c>
      <c r="AQ500" s="170" t="str">
        <f t="shared" si="257"/>
        <v>1.0297141087609+0.163996492396401i</v>
      </c>
      <c r="AR500" s="170" t="str">
        <f t="shared" si="258"/>
        <v>0.788950627853627-0.125651512921026i</v>
      </c>
    </row>
    <row r="501" spans="7:44">
      <c r="G501" s="688">
        <v>64565</v>
      </c>
      <c r="H501" s="676">
        <f t="shared" si="250"/>
        <v>64.564999999999998</v>
      </c>
      <c r="I501" s="677">
        <f t="shared" si="230"/>
        <v>531.02802286363067</v>
      </c>
      <c r="J501" s="678">
        <f t="shared" si="231"/>
        <v>1.5689131858908738</v>
      </c>
      <c r="K501" s="678">
        <f t="shared" si="232"/>
        <v>1.0039747257485385</v>
      </c>
      <c r="L501" s="679">
        <f t="shared" si="233"/>
        <v>8.9012413491388748E-2</v>
      </c>
      <c r="M501" s="678">
        <f t="shared" si="234"/>
        <v>1.0577819953319925</v>
      </c>
      <c r="N501" s="679">
        <f t="shared" si="235"/>
        <v>-0.33205517213879032</v>
      </c>
      <c r="O501" s="677">
        <f t="shared" si="236"/>
        <v>2677447.468703887</v>
      </c>
      <c r="P501" s="680">
        <f t="shared" si="237"/>
        <v>1.5707959533048426</v>
      </c>
      <c r="Q501" s="689">
        <f t="shared" si="259"/>
        <v>107.10256727207133</v>
      </c>
      <c r="R501" s="690">
        <f t="shared" si="260"/>
        <v>1.5614593467813978</v>
      </c>
      <c r="S501" s="677">
        <f t="shared" si="238"/>
        <v>1.1121972140309069</v>
      </c>
      <c r="T501" s="680">
        <f t="shared" si="239"/>
        <v>0.45303893224919523</v>
      </c>
      <c r="U501" s="681">
        <f t="shared" si="251"/>
        <v>0.69864416175431798</v>
      </c>
      <c r="V501" s="682">
        <f t="shared" si="252"/>
        <v>-1.037426762172466</v>
      </c>
      <c r="W501" s="683">
        <f t="shared" si="240"/>
        <v>-38.018106540050532</v>
      </c>
      <c r="X501" s="684">
        <f t="shared" si="241"/>
        <v>-189.7497704506689</v>
      </c>
      <c r="Y501" s="687">
        <f t="shared" si="242"/>
        <v>-9.7497704506689047</v>
      </c>
      <c r="AA501" s="170">
        <f t="shared" si="243"/>
        <v>64565</v>
      </c>
      <c r="AB501" s="170">
        <f t="shared" si="244"/>
        <v>4168639225</v>
      </c>
      <c r="AD501" s="686">
        <f t="shared" si="245"/>
        <v>16.223392491208116</v>
      </c>
      <c r="AE501" s="687">
        <f t="shared" si="246"/>
        <v>-26.492166952031557</v>
      </c>
      <c r="AG501" s="686">
        <f t="shared" si="247"/>
        <v>-7.0273799461545208</v>
      </c>
      <c r="AH501" s="687">
        <f t="shared" si="248"/>
        <v>-44.377253309987744</v>
      </c>
      <c r="AJ501" s="170">
        <f t="shared" si="249"/>
        <v>0</v>
      </c>
      <c r="AK501" s="170">
        <f t="shared" si="261"/>
        <v>0</v>
      </c>
      <c r="AM501" s="170" t="str">
        <f t="shared" si="253"/>
        <v>1.18812644645939+0.982144816278415i</v>
      </c>
      <c r="AN501" s="170" t="str">
        <f t="shared" si="254"/>
        <v>1.7600505091772i</v>
      </c>
      <c r="AO501" s="170" t="str">
        <f t="shared" si="255"/>
        <v>0.55802081312857-0.675052471655954i</v>
      </c>
      <c r="AP501" s="170" t="str">
        <f t="shared" si="256"/>
        <v>-0.031354407743232-0.163690802713069i</v>
      </c>
      <c r="AQ501" s="170" t="str">
        <f t="shared" si="257"/>
        <v>1.03135440774323+0.163690802713069i</v>
      </c>
      <c r="AR501" s="170" t="str">
        <f t="shared" si="258"/>
        <v>0.787830154865495-0.125039995449945i</v>
      </c>
    </row>
    <row r="502" spans="7:44">
      <c r="G502" s="688">
        <v>64941</v>
      </c>
      <c r="H502" s="676">
        <f t="shared" si="250"/>
        <v>64.941000000000003</v>
      </c>
      <c r="I502" s="677">
        <f t="shared" si="230"/>
        <v>534.12050068576252</v>
      </c>
      <c r="J502" s="678">
        <f t="shared" si="231"/>
        <v>1.5689240890078642</v>
      </c>
      <c r="K502" s="678">
        <f t="shared" si="232"/>
        <v>1.0040210619079801</v>
      </c>
      <c r="L502" s="679">
        <f t="shared" si="233"/>
        <v>8.9528027620481732E-2</v>
      </c>
      <c r="M502" s="678">
        <f t="shared" si="234"/>
        <v>1.05843831352638</v>
      </c>
      <c r="N502" s="679">
        <f t="shared" si="235"/>
        <v>-0.33384877029447474</v>
      </c>
      <c r="O502" s="677">
        <f t="shared" si="236"/>
        <v>2693039.8213443658</v>
      </c>
      <c r="P502" s="680">
        <f t="shared" si="237"/>
        <v>1.5707959554673017</v>
      </c>
      <c r="Q502" s="689">
        <f t="shared" si="259"/>
        <v>107.72623434870816</v>
      </c>
      <c r="R502" s="690">
        <f t="shared" si="260"/>
        <v>1.5615134035747462</v>
      </c>
      <c r="S502" s="677">
        <f t="shared" si="238"/>
        <v>1.1134409992547152</v>
      </c>
      <c r="T502" s="680">
        <f t="shared" si="239"/>
        <v>0.45532821969367093</v>
      </c>
      <c r="U502" s="681">
        <f t="shared" si="251"/>
        <v>0.6964629080947945</v>
      </c>
      <c r="V502" s="682">
        <f t="shared" si="252"/>
        <v>-1.0419888552184806</v>
      </c>
      <c r="W502" s="683">
        <f t="shared" si="240"/>
        <v>-38.099627530694711</v>
      </c>
      <c r="X502" s="684">
        <f t="shared" si="241"/>
        <v>-190.21307632852447</v>
      </c>
      <c r="Y502" s="687">
        <f t="shared" si="242"/>
        <v>-10.213076328524465</v>
      </c>
      <c r="AA502" s="170">
        <f t="shared" si="243"/>
        <v>64941</v>
      </c>
      <c r="AB502" s="170">
        <f t="shared" si="244"/>
        <v>4217333481</v>
      </c>
      <c r="AD502" s="686">
        <f t="shared" si="245"/>
        <v>16.213679998971099</v>
      </c>
      <c r="AE502" s="687">
        <f t="shared" si="246"/>
        <v>-26.620236358625537</v>
      </c>
      <c r="AG502" s="686">
        <f t="shared" si="247"/>
        <v>-7.044866752967045</v>
      </c>
      <c r="AH502" s="687">
        <f t="shared" si="248"/>
        <v>-44.189712426086743</v>
      </c>
      <c r="AJ502" s="170">
        <f t="shared" si="249"/>
        <v>0</v>
      </c>
      <c r="AK502" s="170">
        <f t="shared" si="261"/>
        <v>0</v>
      </c>
      <c r="AM502" s="170" t="str">
        <f t="shared" si="253"/>
        <v>1.19818318602147+0.980164998751934i</v>
      </c>
      <c r="AN502" s="170" t="str">
        <f t="shared" si="254"/>
        <v>1.77030031931351i</v>
      </c>
      <c r="AO502" s="170" t="str">
        <f t="shared" si="255"/>
        <v>0.553671593490998-0.676824814947841i</v>
      </c>
      <c r="AP502" s="170" t="str">
        <f t="shared" si="256"/>
        <v>-0.033030531003579-0.163360833125322i</v>
      </c>
      <c r="AQ502" s="170" t="str">
        <f t="shared" si="257"/>
        <v>1.03303053100358+0.163360833125322i</v>
      </c>
      <c r="AR502" s="170" t="str">
        <f t="shared" si="258"/>
        <v>0.786692153384469-0.124405505677736i</v>
      </c>
    </row>
    <row r="503" spans="7:44">
      <c r="G503" s="688">
        <v>65317</v>
      </c>
      <c r="H503" s="676">
        <f t="shared" si="250"/>
        <v>65.316999999999993</v>
      </c>
      <c r="I503" s="677">
        <f t="shared" si="230"/>
        <v>537.21297857065872</v>
      </c>
      <c r="J503" s="678">
        <f t="shared" si="231"/>
        <v>1.5689348665968079</v>
      </c>
      <c r="K503" s="678">
        <f t="shared" si="232"/>
        <v>1.0040676649697053</v>
      </c>
      <c r="L503" s="679">
        <f t="shared" si="233"/>
        <v>9.0043594022930898E-2</v>
      </c>
      <c r="M503" s="678">
        <f t="shared" si="234"/>
        <v>1.0590980324843371</v>
      </c>
      <c r="N503" s="679">
        <f t="shared" si="235"/>
        <v>-0.3356401397194248</v>
      </c>
      <c r="O503" s="677">
        <f t="shared" si="236"/>
        <v>2708632.1739848447</v>
      </c>
      <c r="P503" s="680">
        <f t="shared" si="237"/>
        <v>1.5707959576048642</v>
      </c>
      <c r="Q503" s="689">
        <f t="shared" si="259"/>
        <v>108.34990173651191</v>
      </c>
      <c r="R503" s="690">
        <f t="shared" si="260"/>
        <v>1.5615668380611027</v>
      </c>
      <c r="S503" s="677">
        <f t="shared" si="238"/>
        <v>1.1146906068011606</v>
      </c>
      <c r="T503" s="680">
        <f t="shared" si="239"/>
        <v>0.45761238634259443</v>
      </c>
      <c r="U503" s="681">
        <f t="shared" si="251"/>
        <v>0.69428675706607601</v>
      </c>
      <c r="V503" s="682">
        <f t="shared" si="252"/>
        <v>-1.0465370026371643</v>
      </c>
      <c r="W503" s="683">
        <f t="shared" si="240"/>
        <v>-38.180886321641914</v>
      </c>
      <c r="X503" s="684">
        <f t="shared" si="241"/>
        <v>-190.67519328039808</v>
      </c>
      <c r="Y503" s="687">
        <f t="shared" si="242"/>
        <v>-10.675193280398076</v>
      </c>
      <c r="AA503" s="170">
        <f t="shared" si="243"/>
        <v>65317</v>
      </c>
      <c r="AB503" s="170">
        <f t="shared" si="244"/>
        <v>4266310489</v>
      </c>
      <c r="AD503" s="686">
        <f t="shared" si="245"/>
        <v>16.203933051741622</v>
      </c>
      <c r="AE503" s="687">
        <f t="shared" si="246"/>
        <v>-26.748048019384076</v>
      </c>
      <c r="AG503" s="686">
        <f t="shared" si="247"/>
        <v>-7.0620141813739421</v>
      </c>
      <c r="AH503" s="687">
        <f t="shared" si="248"/>
        <v>-44.002838413218448</v>
      </c>
      <c r="AJ503" s="170">
        <f t="shared" si="249"/>
        <v>0</v>
      </c>
      <c r="AK503" s="170">
        <f t="shared" si="261"/>
        <v>0</v>
      </c>
      <c r="AM503" s="170" t="str">
        <f t="shared" si="253"/>
        <v>1.20821910491621+0.97808220735677i</v>
      </c>
      <c r="AN503" s="170" t="str">
        <f t="shared" si="254"/>
        <v>1.78055012944981i</v>
      </c>
      <c r="AO503" s="170" t="str">
        <f t="shared" si="255"/>
        <v>0.549314614163094-0.678565059715308i</v>
      </c>
      <c r="AP503" s="170" t="str">
        <f t="shared" si="256"/>
        <v>-0.0347031841527018-0.163013701226128i</v>
      </c>
      <c r="AQ503" s="170" t="str">
        <f t="shared" si="257"/>
        <v>1.0347031841527+0.163013701226128i</v>
      </c>
      <c r="AR503" s="170" t="str">
        <f t="shared" si="258"/>
        <v>0.78556344026307-0.123762646048178i</v>
      </c>
    </row>
    <row r="504" spans="7:44">
      <c r="G504" s="688">
        <v>65693</v>
      </c>
      <c r="H504" s="676">
        <f t="shared" si="250"/>
        <v>65.692999999999998</v>
      </c>
      <c r="I504" s="677">
        <f t="shared" si="230"/>
        <v>540.30545651724117</v>
      </c>
      <c r="J504" s="678">
        <f t="shared" si="231"/>
        <v>1.56894552081311</v>
      </c>
      <c r="K504" s="678">
        <f t="shared" si="232"/>
        <v>1.0041145348965514</v>
      </c>
      <c r="L504" s="679">
        <f t="shared" si="233"/>
        <v>9.0559112431316591E-2</v>
      </c>
      <c r="M504" s="678">
        <f t="shared" si="234"/>
        <v>1.0597611458547678</v>
      </c>
      <c r="N504" s="679">
        <f t="shared" si="235"/>
        <v>-0.33742927308964998</v>
      </c>
      <c r="O504" s="677">
        <f t="shared" si="236"/>
        <v>2724224.5266253236</v>
      </c>
      <c r="P504" s="680">
        <f t="shared" si="237"/>
        <v>1.5707959597179577</v>
      </c>
      <c r="Q504" s="689">
        <f t="shared" si="259"/>
        <v>108.97356943014003</v>
      </c>
      <c r="R504" s="690">
        <f t="shared" si="260"/>
        <v>1.5616196609247528</v>
      </c>
      <c r="S504" s="677">
        <f t="shared" si="238"/>
        <v>1.1159460171111832</v>
      </c>
      <c r="T504" s="680">
        <f t="shared" si="239"/>
        <v>0.45989142560356849</v>
      </c>
      <c r="U504" s="681">
        <f t="shared" si="251"/>
        <v>0.69211575981979956</v>
      </c>
      <c r="V504" s="682">
        <f t="shared" si="252"/>
        <v>-1.051071318790882</v>
      </c>
      <c r="W504" s="683">
        <f t="shared" si="240"/>
        <v>-38.261885369574493</v>
      </c>
      <c r="X504" s="684">
        <f t="shared" si="241"/>
        <v>-191.13612658809785</v>
      </c>
      <c r="Y504" s="687">
        <f t="shared" si="242"/>
        <v>-11.136126588097852</v>
      </c>
      <c r="AA504" s="170">
        <f t="shared" si="243"/>
        <v>65693</v>
      </c>
      <c r="AB504" s="170">
        <f t="shared" si="244"/>
        <v>4315570249</v>
      </c>
      <c r="AD504" s="686">
        <f t="shared" si="245"/>
        <v>16.194151928273499</v>
      </c>
      <c r="AE504" s="687">
        <f t="shared" si="246"/>
        <v>-26.875600944450643</v>
      </c>
      <c r="AG504" s="686">
        <f t="shared" si="247"/>
        <v>-7.0788263826253237</v>
      </c>
      <c r="AH504" s="687">
        <f t="shared" si="248"/>
        <v>-43.816624438085903</v>
      </c>
      <c r="AJ504" s="170">
        <f t="shared" si="249"/>
        <v>0</v>
      </c>
      <c r="AK504" s="170">
        <f t="shared" si="261"/>
        <v>0</v>
      </c>
      <c r="AM504" s="170" t="str">
        <f t="shared" si="253"/>
        <v>1.21823314879319+0.97589666090617i</v>
      </c>
      <c r="AN504" s="170" t="str">
        <f t="shared" si="254"/>
        <v>1.79079993958612i</v>
      </c>
      <c r="AO504" s="170" t="str">
        <f t="shared" si="255"/>
        <v>0.544950130572215-0.680273168355557i</v>
      </c>
      <c r="AP504" s="170" t="str">
        <f t="shared" si="256"/>
        <v>-0.0363721914655308-0.162649443484362i</v>
      </c>
      <c r="AQ504" s="170" t="str">
        <f t="shared" si="257"/>
        <v>1.03637219146553+0.162649443484362i</v>
      </c>
      <c r="AR504" s="170" t="str">
        <f t="shared" si="258"/>
        <v>0.784444026946938-0.12311154764499i</v>
      </c>
    </row>
    <row r="505" spans="7:44">
      <c r="G505" s="688">
        <v>66069</v>
      </c>
      <c r="H505" s="676">
        <f t="shared" si="250"/>
        <v>66.069000000000003</v>
      </c>
      <c r="I505" s="677">
        <f t="shared" si="230"/>
        <v>543.39793452445679</v>
      </c>
      <c r="J505" s="678">
        <f t="shared" si="231"/>
        <v>1.5689560537631091</v>
      </c>
      <c r="K505" s="678">
        <f t="shared" si="232"/>
        <v>1.0041616716511501</v>
      </c>
      <c r="L505" s="679">
        <f t="shared" si="233"/>
        <v>9.1074582578371005E-2</v>
      </c>
      <c r="M505" s="678">
        <f t="shared" si="234"/>
        <v>1.0604276472698255</v>
      </c>
      <c r="N505" s="679">
        <f t="shared" si="235"/>
        <v>-0.33921616315669284</v>
      </c>
      <c r="O505" s="677">
        <f t="shared" si="236"/>
        <v>2739816.8792658029</v>
      </c>
      <c r="P505" s="680">
        <f t="shared" si="237"/>
        <v>1.570795961807</v>
      </c>
      <c r="Q505" s="689">
        <f t="shared" si="259"/>
        <v>109.59723742437161</v>
      </c>
      <c r="R505" s="690">
        <f t="shared" si="260"/>
        <v>1.5616718826067986</v>
      </c>
      <c r="S505" s="677">
        <f t="shared" si="238"/>
        <v>1.1172072106230158</v>
      </c>
      <c r="T505" s="680">
        <f t="shared" si="239"/>
        <v>0.46216533112681124</v>
      </c>
      <c r="U505" s="681">
        <f t="shared" si="251"/>
        <v>0.68994996554611021</v>
      </c>
      <c r="V505" s="682">
        <f t="shared" si="252"/>
        <v>-1.0555919181738147</v>
      </c>
      <c r="W505" s="683">
        <f t="shared" si="240"/>
        <v>-38.342627090147609</v>
      </c>
      <c r="X505" s="684">
        <f t="shared" si="241"/>
        <v>-191.59588157032593</v>
      </c>
      <c r="Y505" s="687">
        <f t="shared" si="242"/>
        <v>-11.595881570325929</v>
      </c>
      <c r="AA505" s="170">
        <f t="shared" si="243"/>
        <v>66069</v>
      </c>
      <c r="AB505" s="170">
        <f t="shared" si="244"/>
        <v>4365112761</v>
      </c>
      <c r="AD505" s="686">
        <f t="shared" si="245"/>
        <v>16.184336906809531</v>
      </c>
      <c r="AE505" s="687">
        <f t="shared" si="246"/>
        <v>-27.002894171802403</v>
      </c>
      <c r="AG505" s="686">
        <f t="shared" si="247"/>
        <v>-7.0953074353557524</v>
      </c>
      <c r="AH505" s="687">
        <f t="shared" si="248"/>
        <v>-43.631063661347341</v>
      </c>
      <c r="AJ505" s="170">
        <f t="shared" si="249"/>
        <v>0</v>
      </c>
      <c r="AK505" s="170">
        <f t="shared" si="261"/>
        <v>0</v>
      </c>
      <c r="AM505" s="170" t="str">
        <f t="shared" si="253"/>
        <v>1.22822426560009+0.973608589008591i</v>
      </c>
      <c r="AN505" s="170" t="str">
        <f t="shared" si="254"/>
        <v>1.80104974972243i</v>
      </c>
      <c r="AO505" s="170" t="str">
        <f t="shared" si="255"/>
        <v>0.540578398324999-0.681949105397771i</v>
      </c>
      <c r="AP505" s="170" t="str">
        <f t="shared" si="256"/>
        <v>-0.038037377600015-0.162268098168099i</v>
      </c>
      <c r="AQ505" s="170" t="str">
        <f t="shared" si="257"/>
        <v>1.03803737760001+0.162268098168099i</v>
      </c>
      <c r="AR505" s="170" t="str">
        <f t="shared" si="258"/>
        <v>0.783333923425621-0.122452340086939i</v>
      </c>
    </row>
    <row r="506" spans="7:44">
      <c r="G506" s="688">
        <v>66453.75</v>
      </c>
      <c r="H506" s="676">
        <f t="shared" si="250"/>
        <v>66.453749999999999</v>
      </c>
      <c r="I506" s="677">
        <f t="shared" si="230"/>
        <v>546.56237850443722</v>
      </c>
      <c r="J506" s="678">
        <f t="shared" si="231"/>
        <v>1.5689667084434584</v>
      </c>
      <c r="K506" s="678">
        <f t="shared" si="232"/>
        <v>1.0042101815131408</v>
      </c>
      <c r="L506" s="679">
        <f t="shared" si="233"/>
        <v>9.1601998136085216E-2</v>
      </c>
      <c r="M506" s="678">
        <f t="shared" si="234"/>
        <v>1.061113159591585</v>
      </c>
      <c r="N506" s="679">
        <f t="shared" si="235"/>
        <v>-0.34104230673686314</v>
      </c>
      <c r="O506" s="677">
        <f t="shared" si="236"/>
        <v>2755772.0858573569</v>
      </c>
      <c r="P506" s="680">
        <f t="shared" si="237"/>
        <v>1.5707959639201854</v>
      </c>
      <c r="Q506" s="689">
        <f t="shared" si="259"/>
        <v>110.23541927485635</v>
      </c>
      <c r="R506" s="690">
        <f t="shared" si="260"/>
        <v>1.5617247078685881</v>
      </c>
      <c r="S506" s="677">
        <f t="shared" si="238"/>
        <v>1.1185037199506571</v>
      </c>
      <c r="T506" s="680">
        <f t="shared" si="239"/>
        <v>0.4644868326323206</v>
      </c>
      <c r="U506" s="681">
        <f t="shared" si="251"/>
        <v>0.68773920577032022</v>
      </c>
      <c r="V506" s="682">
        <f t="shared" si="252"/>
        <v>-1.0602036379411937</v>
      </c>
      <c r="W506" s="683">
        <f t="shared" si="240"/>
        <v>-38.424983872303727</v>
      </c>
      <c r="X506" s="684">
        <f t="shared" si="241"/>
        <v>-192.06512144739153</v>
      </c>
      <c r="Y506" s="687">
        <f t="shared" si="242"/>
        <v>-12.065121447391533</v>
      </c>
      <c r="AA506" s="170">
        <f t="shared" si="243"/>
        <v>66453.75</v>
      </c>
      <c r="AB506" s="170">
        <f t="shared" si="244"/>
        <v>4416100889.0625</v>
      </c>
      <c r="AD506" s="686">
        <f t="shared" si="245"/>
        <v>16.174258676526794</v>
      </c>
      <c r="AE506" s="687">
        <f t="shared" si="246"/>
        <v>-27.132879866874291</v>
      </c>
      <c r="AG506" s="686">
        <f t="shared" si="247"/>
        <v>-7.1118334058463164</v>
      </c>
      <c r="AH506" s="687">
        <f t="shared" si="248"/>
        <v>-43.441853684801458</v>
      </c>
      <c r="AJ506" s="170">
        <f t="shared" si="249"/>
        <v>0</v>
      </c>
      <c r="AK506" s="170">
        <f t="shared" si="261"/>
        <v>0</v>
      </c>
      <c r="AM506" s="170" t="str">
        <f t="shared" si="253"/>
        <v>1.23842305987712+0.971161389532568i</v>
      </c>
      <c r="AN506" s="170" t="str">
        <f t="shared" si="254"/>
        <v>1.81153808602547i</v>
      </c>
      <c r="AO506" s="170" t="str">
        <f t="shared" si="255"/>
        <v>0.536097693459653-0.683630705548251i</v>
      </c>
      <c r="AP506" s="170" t="str">
        <f t="shared" si="256"/>
        <v>-0.0397371766461873-0.161860231588761i</v>
      </c>
      <c r="AQ506" s="170" t="str">
        <f t="shared" si="257"/>
        <v>1.03973717664619+0.161860231588761i</v>
      </c>
      <c r="AR506" s="170" t="str">
        <f t="shared" si="258"/>
        <v>0.782207632609558-0.121769531193519i</v>
      </c>
    </row>
    <row r="507" spans="7:44">
      <c r="G507" s="688">
        <v>66838.5</v>
      </c>
      <c r="H507" s="676">
        <f t="shared" si="250"/>
        <v>66.838499999999996</v>
      </c>
      <c r="I507" s="677">
        <f t="shared" si="230"/>
        <v>549.72682254575022</v>
      </c>
      <c r="J507" s="678">
        <f t="shared" si="231"/>
        <v>1.5689772404587383</v>
      </c>
      <c r="K507" s="678">
        <f t="shared" si="232"/>
        <v>1.0042589706864045</v>
      </c>
      <c r="L507" s="679">
        <f t="shared" si="233"/>
        <v>9.2129362594400577E-2</v>
      </c>
      <c r="M507" s="678">
        <f t="shared" si="234"/>
        <v>1.0618022059379024</v>
      </c>
      <c r="N507" s="679">
        <f t="shared" si="235"/>
        <v>-0.34286608627572884</v>
      </c>
      <c r="O507" s="677">
        <f t="shared" si="236"/>
        <v>2771727.2924489104</v>
      </c>
      <c r="P507" s="680">
        <f t="shared" si="237"/>
        <v>1.570795966009042</v>
      </c>
      <c r="Q507" s="689">
        <f t="shared" si="259"/>
        <v>110.87360142941272</v>
      </c>
      <c r="R507" s="690">
        <f t="shared" si="260"/>
        <v>1.561776925012107</v>
      </c>
      <c r="S507" s="677">
        <f t="shared" si="238"/>
        <v>1.1198062433304361</v>
      </c>
      <c r="T507" s="680">
        <f t="shared" si="239"/>
        <v>0.46680294600110483</v>
      </c>
      <c r="U507" s="681">
        <f t="shared" si="251"/>
        <v>0.68553399201652221</v>
      </c>
      <c r="V507" s="682">
        <f t="shared" si="252"/>
        <v>-1.0648012380031868</v>
      </c>
      <c r="W507" s="683">
        <f t="shared" si="240"/>
        <v>-38.507076202156767</v>
      </c>
      <c r="X507" s="684">
        <f t="shared" si="241"/>
        <v>-192.53313889865154</v>
      </c>
      <c r="Y507" s="687">
        <f t="shared" si="242"/>
        <v>-12.533138898651544</v>
      </c>
      <c r="AA507" s="170">
        <f t="shared" si="243"/>
        <v>66838.5</v>
      </c>
      <c r="AB507" s="170">
        <f t="shared" si="244"/>
        <v>4467385082.25</v>
      </c>
      <c r="AD507" s="686">
        <f t="shared" si="245"/>
        <v>16.164145539941728</v>
      </c>
      <c r="AE507" s="687">
        <f t="shared" si="246"/>
        <v>-27.262591685668475</v>
      </c>
      <c r="AG507" s="686">
        <f t="shared" si="247"/>
        <v>-7.1280210500224612</v>
      </c>
      <c r="AH507" s="687">
        <f t="shared" si="248"/>
        <v>-43.253313157782678</v>
      </c>
      <c r="AJ507" s="170">
        <f t="shared" si="249"/>
        <v>0</v>
      </c>
      <c r="AK507" s="170">
        <f t="shared" si="261"/>
        <v>0</v>
      </c>
      <c r="AM507" s="170" t="str">
        <f t="shared" si="253"/>
        <v>1.24859562661858+0.96860735823455i</v>
      </c>
      <c r="AN507" s="170" t="str">
        <f t="shared" si="254"/>
        <v>1.82202642232851i</v>
      </c>
      <c r="AO507" s="170" t="str">
        <f t="shared" si="255"/>
        <v>0.53160994064877-0.685278551022823i</v>
      </c>
      <c r="AP507" s="170" t="str">
        <f t="shared" si="256"/>
        <v>-0.0414326044364308-0.161434559705758i</v>
      </c>
      <c r="AQ507" s="170" t="str">
        <f t="shared" si="257"/>
        <v>1.04143260443643+0.161434559705758i</v>
      </c>
      <c r="AR507" s="170" t="str">
        <f t="shared" si="258"/>
        <v>0.781091106613569-0.121078501238667i</v>
      </c>
    </row>
    <row r="508" spans="7:44">
      <c r="G508" s="688">
        <v>67223.25</v>
      </c>
      <c r="H508" s="676">
        <f t="shared" si="250"/>
        <v>67.223249999999993</v>
      </c>
      <c r="I508" s="677">
        <f t="shared" si="230"/>
        <v>552.89126664734283</v>
      </c>
      <c r="J508" s="678">
        <f t="shared" si="231"/>
        <v>1.5689876519151476</v>
      </c>
      <c r="K508" s="678">
        <f t="shared" si="232"/>
        <v>1.0043080391302348</v>
      </c>
      <c r="L508" s="679">
        <f t="shared" si="233"/>
        <v>9.2656675667451643E-2</v>
      </c>
      <c r="M508" s="678">
        <f t="shared" si="234"/>
        <v>1.0624947794331485</v>
      </c>
      <c r="N508" s="679">
        <f t="shared" si="235"/>
        <v>-0.34468749425208467</v>
      </c>
      <c r="O508" s="677">
        <f t="shared" si="236"/>
        <v>2787682.4990404644</v>
      </c>
      <c r="P508" s="680">
        <f t="shared" si="237"/>
        <v>1.5707959680739876</v>
      </c>
      <c r="Q508" s="689">
        <f t="shared" si="259"/>
        <v>111.51178388282013</v>
      </c>
      <c r="R508" s="690">
        <f t="shared" si="260"/>
        <v>1.5618285444778588</v>
      </c>
      <c r="S508" s="677">
        <f t="shared" si="238"/>
        <v>1.1211147598007782</v>
      </c>
      <c r="T508" s="680">
        <f t="shared" si="239"/>
        <v>0.46911366520749281</v>
      </c>
      <c r="U508" s="681">
        <f t="shared" si="251"/>
        <v>0.68333437084006154</v>
      </c>
      <c r="V508" s="682">
        <f t="shared" si="252"/>
        <v>-1.0693848413499034</v>
      </c>
      <c r="W508" s="683">
        <f t="shared" si="240"/>
        <v>-38.588906542060577</v>
      </c>
      <c r="X508" s="684">
        <f t="shared" si="241"/>
        <v>-192.99993973362362</v>
      </c>
      <c r="Y508" s="687">
        <f t="shared" si="242"/>
        <v>-12.99993973362362</v>
      </c>
      <c r="AA508" s="170">
        <f t="shared" si="243"/>
        <v>67223.25</v>
      </c>
      <c r="AB508" s="170">
        <f t="shared" si="244"/>
        <v>4518965340.5625</v>
      </c>
      <c r="AD508" s="686">
        <f t="shared" si="245"/>
        <v>16.153997793397846</v>
      </c>
      <c r="AE508" s="687">
        <f t="shared" si="246"/>
        <v>-27.392028684766583</v>
      </c>
      <c r="AG508" s="686">
        <f t="shared" si="247"/>
        <v>-7.1438745110948565</v>
      </c>
      <c r="AH508" s="687">
        <f t="shared" si="248"/>
        <v>-43.065434739598679</v>
      </c>
      <c r="AJ508" s="170">
        <f t="shared" si="249"/>
        <v>0</v>
      </c>
      <c r="AK508" s="170">
        <f t="shared" si="261"/>
        <v>0</v>
      </c>
      <c r="AM508" s="170" t="str">
        <f t="shared" si="253"/>
        <v>1.25874084679951+0.965946776068679i</v>
      </c>
      <c r="AN508" s="170" t="str">
        <f t="shared" si="254"/>
        <v>1.83251475863155i</v>
      </c>
      <c r="AO508" s="170" t="str">
        <f t="shared" si="255"/>
        <v>0.527115414224554-0.686892610752826i</v>
      </c>
      <c r="AP508" s="170" t="str">
        <f t="shared" si="256"/>
        <v>-0.0431234744665843-0.16099112934478i</v>
      </c>
      <c r="AQ508" s="170" t="str">
        <f t="shared" si="257"/>
        <v>1.04312347446658+0.16099112934478i</v>
      </c>
      <c r="AR508" s="170" t="str">
        <f t="shared" si="258"/>
        <v>0.77998435169036-0.120379384342875i</v>
      </c>
    </row>
    <row r="509" spans="7:44">
      <c r="G509" s="688">
        <v>67608</v>
      </c>
      <c r="H509" s="676">
        <f t="shared" si="250"/>
        <v>67.608000000000004</v>
      </c>
      <c r="I509" s="677">
        <f t="shared" si="230"/>
        <v>556.05571080818584</v>
      </c>
      <c r="J509" s="678">
        <f t="shared" si="231"/>
        <v>1.5689979448709408</v>
      </c>
      <c r="K509" s="678">
        <f t="shared" si="232"/>
        <v>1.0043573868036997</v>
      </c>
      <c r="L509" s="679">
        <f t="shared" si="233"/>
        <v>9.3183937069543005E-2</v>
      </c>
      <c r="M509" s="678">
        <f t="shared" si="234"/>
        <v>1.0631908731844599</v>
      </c>
      <c r="N509" s="679">
        <f t="shared" si="235"/>
        <v>-0.34650652322721437</v>
      </c>
      <c r="O509" s="677">
        <f t="shared" si="236"/>
        <v>2803637.7056320184</v>
      </c>
      <c r="P509" s="680">
        <f t="shared" si="237"/>
        <v>1.5707959701154306</v>
      </c>
      <c r="Q509" s="689">
        <f t="shared" si="259"/>
        <v>112.1499666299768</v>
      </c>
      <c r="R509" s="690">
        <f t="shared" si="260"/>
        <v>1.5618795764687161</v>
      </c>
      <c r="S509" s="677">
        <f t="shared" si="238"/>
        <v>1.1224292484016338</v>
      </c>
      <c r="T509" s="680">
        <f t="shared" si="239"/>
        <v>0.47141898448425962</v>
      </c>
      <c r="U509" s="681">
        <f t="shared" si="251"/>
        <v>0.6811403867990421</v>
      </c>
      <c r="V509" s="682">
        <f t="shared" si="252"/>
        <v>-1.0739545710412586</v>
      </c>
      <c r="W509" s="683">
        <f t="shared" si="240"/>
        <v>-38.67047731432703</v>
      </c>
      <c r="X509" s="684">
        <f t="shared" si="241"/>
        <v>-193.4655297962172</v>
      </c>
      <c r="Y509" s="687">
        <f t="shared" si="242"/>
        <v>-13.465529796217197</v>
      </c>
      <c r="AA509" s="170">
        <f t="shared" si="243"/>
        <v>67608</v>
      </c>
      <c r="AB509" s="170">
        <f t="shared" si="244"/>
        <v>4570841664</v>
      </c>
      <c r="AD509" s="686">
        <f t="shared" si="245"/>
        <v>16.143815732599649</v>
      </c>
      <c r="AE509" s="687">
        <f t="shared" si="246"/>
        <v>-27.521189949172868</v>
      </c>
      <c r="AG509" s="686">
        <f t="shared" si="247"/>
        <v>-7.1593978587967788</v>
      </c>
      <c r="AH509" s="687">
        <f t="shared" si="248"/>
        <v>-42.878211087527092</v>
      </c>
      <c r="AJ509" s="170">
        <f t="shared" si="249"/>
        <v>0</v>
      </c>
      <c r="AK509" s="170">
        <f t="shared" si="261"/>
        <v>0</v>
      </c>
      <c r="AM509" s="170" t="str">
        <f t="shared" si="253"/>
        <v>1.26885760440317+0.963179935710139i</v>
      </c>
      <c r="AN509" s="170" t="str">
        <f t="shared" si="254"/>
        <v>1.8430030949346i</v>
      </c>
      <c r="AO509" s="170" t="str">
        <f t="shared" si="255"/>
        <v>0.522614388634175-0.688472856009065i</v>
      </c>
      <c r="AP509" s="170" t="str">
        <f t="shared" si="256"/>
        <v>-0.0448096007338617-0.160529989285023i</v>
      </c>
      <c r="AQ509" s="170" t="str">
        <f t="shared" si="257"/>
        <v>1.04480960073386+0.160529989285023i</v>
      </c>
      <c r="AR509" s="170" t="str">
        <f t="shared" si="258"/>
        <v>0.778887372685559-0.119672313025866i</v>
      </c>
    </row>
    <row r="510" spans="7:44">
      <c r="G510" s="688">
        <v>68001.75</v>
      </c>
      <c r="H510" s="676">
        <f t="shared" si="250"/>
        <v>68.001750000000001</v>
      </c>
      <c r="I510" s="677">
        <f t="shared" si="230"/>
        <v>559.29417711495876</v>
      </c>
      <c r="J510" s="678">
        <f t="shared" si="231"/>
        <v>1.5690083580054415</v>
      </c>
      <c r="K510" s="678">
        <f t="shared" si="232"/>
        <v>1.0044081778693215</v>
      </c>
      <c r="L510" s="679">
        <f t="shared" si="233"/>
        <v>9.372347827564588E-2</v>
      </c>
      <c r="M510" s="678">
        <f t="shared" si="234"/>
        <v>1.063906887357424</v>
      </c>
      <c r="N510" s="679">
        <f t="shared" si="235"/>
        <v>-0.34836563178656871</v>
      </c>
      <c r="O510" s="677">
        <f t="shared" si="236"/>
        <v>2819966.1334303925</v>
      </c>
      <c r="P510" s="680">
        <f t="shared" si="237"/>
        <v>1.5707959721807088</v>
      </c>
      <c r="Q510" s="689">
        <f t="shared" si="259"/>
        <v>112.80307792746336</v>
      </c>
      <c r="R510" s="690">
        <f t="shared" si="260"/>
        <v>1.5619312043452904</v>
      </c>
      <c r="S510" s="677">
        <f t="shared" si="238"/>
        <v>1.1237806467190457</v>
      </c>
      <c r="T510" s="680">
        <f t="shared" si="239"/>
        <v>0.47377263273143033</v>
      </c>
      <c r="U510" s="681">
        <f t="shared" si="251"/>
        <v>0.6789009624029636</v>
      </c>
      <c r="V510" s="682">
        <f t="shared" si="252"/>
        <v>-1.078616959208297</v>
      </c>
      <c r="W510" s="683">
        <f t="shared" si="240"/>
        <v>-38.753689915257041</v>
      </c>
      <c r="X510" s="684">
        <f t="shared" si="241"/>
        <v>-193.94076339988627</v>
      </c>
      <c r="Y510" s="687">
        <f t="shared" si="242"/>
        <v>-13.940763399886265</v>
      </c>
      <c r="AA510" s="170">
        <f t="shared" si="243"/>
        <v>68001.75</v>
      </c>
      <c r="AB510" s="170">
        <f t="shared" si="244"/>
        <v>4624238003.0625</v>
      </c>
      <c r="AD510" s="686">
        <f t="shared" si="245"/>
        <v>16.13336027514698</v>
      </c>
      <c r="AE510" s="687">
        <f t="shared" si="246"/>
        <v>-27.653086119243603</v>
      </c>
      <c r="AG510" s="686">
        <f t="shared" si="247"/>
        <v>-7.1749467100476298</v>
      </c>
      <c r="AH510" s="687">
        <f t="shared" si="248"/>
        <v>-42.687278191668838</v>
      </c>
      <c r="AJ510" s="170">
        <f t="shared" si="249"/>
        <v>0</v>
      </c>
      <c r="AK510" s="170">
        <f t="shared" si="261"/>
        <v>0</v>
      </c>
      <c r="AM510" s="170" t="str">
        <f t="shared" si="253"/>
        <v>1.27918038105284+0.960238675973422i</v>
      </c>
      <c r="AN510" s="170" t="str">
        <f t="shared" si="254"/>
        <v>1.85373677243771i</v>
      </c>
      <c r="AO510" s="170" t="str">
        <f t="shared" si="255"/>
        <v>0.518001633376827-0.690055028347248i</v>
      </c>
      <c r="AP510" s="170" t="str">
        <f t="shared" si="256"/>
        <v>-0.0465300635088068-0.160039779328904i</v>
      </c>
      <c r="AQ510" s="170" t="str">
        <f t="shared" si="257"/>
        <v>1.04653006350881+0.160039779328904i</v>
      </c>
      <c r="AR510" s="170" t="str">
        <f t="shared" si="258"/>
        <v>0.777774858588471-0.11894060292805i</v>
      </c>
    </row>
    <row r="511" spans="7:44">
      <c r="G511" s="688">
        <v>68395.5</v>
      </c>
      <c r="H511" s="676">
        <f t="shared" si="250"/>
        <v>68.395499999999998</v>
      </c>
      <c r="I511" s="677">
        <f t="shared" si="230"/>
        <v>562.53264348167966</v>
      </c>
      <c r="J511" s="678">
        <f t="shared" si="231"/>
        <v>1.5690186512443733</v>
      </c>
      <c r="K511" s="678">
        <f t="shared" si="232"/>
        <v>1.0044592612932786</v>
      </c>
      <c r="L511" s="679">
        <f t="shared" si="233"/>
        <v>9.4262964760275764E-2</v>
      </c>
      <c r="M511" s="678">
        <f t="shared" si="234"/>
        <v>1.0646265737418563</v>
      </c>
      <c r="N511" s="679">
        <f t="shared" si="235"/>
        <v>-0.3502222332450019</v>
      </c>
      <c r="O511" s="677">
        <f t="shared" si="236"/>
        <v>2836294.5612287661</v>
      </c>
      <c r="P511" s="680">
        <f t="shared" si="237"/>
        <v>1.5707959742222077</v>
      </c>
      <c r="Q511" s="689">
        <f t="shared" si="259"/>
        <v>113.45618952215789</v>
      </c>
      <c r="R511" s="690">
        <f t="shared" si="260"/>
        <v>1.5619822378293102</v>
      </c>
      <c r="S511" s="677">
        <f t="shared" si="238"/>
        <v>1.1251382554246372</v>
      </c>
      <c r="T511" s="680">
        <f t="shared" si="239"/>
        <v>0.47612061406492912</v>
      </c>
      <c r="U511" s="681">
        <f t="shared" si="251"/>
        <v>0.67666753013412351</v>
      </c>
      <c r="V511" s="682">
        <f t="shared" si="252"/>
        <v>-1.0832650780019839</v>
      </c>
      <c r="W511" s="683">
        <f t="shared" si="240"/>
        <v>-38.836635672754326</v>
      </c>
      <c r="X511" s="684">
        <f t="shared" si="241"/>
        <v>-194.41474141276836</v>
      </c>
      <c r="Y511" s="687">
        <f t="shared" si="242"/>
        <v>-14.414741412768365</v>
      </c>
      <c r="AA511" s="170">
        <f t="shared" si="243"/>
        <v>68395.5</v>
      </c>
      <c r="AB511" s="170">
        <f t="shared" si="244"/>
        <v>4677944420.25</v>
      </c>
      <c r="AD511" s="686">
        <f t="shared" si="245"/>
        <v>16.122869503832927</v>
      </c>
      <c r="AE511" s="687">
        <f t="shared" si="246"/>
        <v>-27.784691653900058</v>
      </c>
      <c r="AG511" s="686">
        <f t="shared" si="247"/>
        <v>-7.190158218349044</v>
      </c>
      <c r="AH511" s="687">
        <f t="shared" si="248"/>
        <v>-42.497015490178455</v>
      </c>
      <c r="AJ511" s="170">
        <f t="shared" si="249"/>
        <v>0</v>
      </c>
      <c r="AK511" s="170">
        <f t="shared" si="261"/>
        <v>0</v>
      </c>
      <c r="AM511" s="170" t="str">
        <f t="shared" si="253"/>
        <v>1.28947099312796+0.957186786441138i</v>
      </c>
      <c r="AN511" s="170" t="str">
        <f t="shared" si="254"/>
        <v>1.86447044994082i</v>
      </c>
      <c r="AO511" s="170" t="str">
        <f t="shared" si="255"/>
        <v>0.513382653220125-0.69160173236797i</v>
      </c>
      <c r="AP511" s="170" t="str">
        <f t="shared" si="256"/>
        <v>-0.0482451655213263-0.159531131073523i</v>
      </c>
      <c r="AQ511" s="170" t="str">
        <f t="shared" si="257"/>
        <v>1.04824516552133+0.159531131073523i</v>
      </c>
      <c r="AR511" s="170" t="str">
        <f t="shared" si="258"/>
        <v>0.776672589063654-0.118200837630865i</v>
      </c>
    </row>
    <row r="512" spans="7:44">
      <c r="G512" s="688">
        <v>68789.25</v>
      </c>
      <c r="H512" s="676">
        <f t="shared" si="250"/>
        <v>68.789249999999996</v>
      </c>
      <c r="I512" s="677">
        <f t="shared" si="230"/>
        <v>565.77110990731887</v>
      </c>
      <c r="J512" s="678">
        <f t="shared" si="231"/>
        <v>1.5690288266465766</v>
      </c>
      <c r="K512" s="678">
        <f t="shared" si="232"/>
        <v>1.004510637030968</v>
      </c>
      <c r="L512" s="679">
        <f t="shared" si="233"/>
        <v>9.4802396217774795E-2</v>
      </c>
      <c r="M512" s="678">
        <f t="shared" si="234"/>
        <v>1.0653499248955813</v>
      </c>
      <c r="N512" s="679">
        <f t="shared" si="235"/>
        <v>-0.35207631989716592</v>
      </c>
      <c r="O512" s="677">
        <f t="shared" si="236"/>
        <v>2852622.9890271402</v>
      </c>
      <c r="P512" s="680">
        <f t="shared" si="237"/>
        <v>1.5707959762403354</v>
      </c>
      <c r="Q512" s="689">
        <f t="shared" si="259"/>
        <v>114.10930140895711</v>
      </c>
      <c r="R512" s="690">
        <f t="shared" si="260"/>
        <v>1.5620326871266388</v>
      </c>
      <c r="S512" s="677">
        <f t="shared" si="238"/>
        <v>1.1265020520649824</v>
      </c>
      <c r="T512" s="680">
        <f t="shared" si="239"/>
        <v>0.47846292313121691</v>
      </c>
      <c r="U512" s="681">
        <f t="shared" si="251"/>
        <v>0.67444013150028892</v>
      </c>
      <c r="V512" s="682">
        <f t="shared" si="252"/>
        <v>-1.0878990594368094</v>
      </c>
      <c r="W512" s="683">
        <f t="shared" si="240"/>
        <v>-38.919317060270778</v>
      </c>
      <c r="X512" s="684">
        <f t="shared" si="241"/>
        <v>-194.88747020126374</v>
      </c>
      <c r="Y512" s="687">
        <f t="shared" si="242"/>
        <v>-14.887470201263739</v>
      </c>
      <c r="AA512" s="170">
        <f t="shared" si="243"/>
        <v>68789.25</v>
      </c>
      <c r="AB512" s="170">
        <f t="shared" si="244"/>
        <v>4731960915.5625</v>
      </c>
      <c r="AD512" s="686">
        <f t="shared" si="245"/>
        <v>16.11234373340038</v>
      </c>
      <c r="AE512" s="687">
        <f t="shared" si="246"/>
        <v>-27.916005661677506</v>
      </c>
      <c r="AG512" s="686">
        <f t="shared" si="247"/>
        <v>-7.2050365161197973</v>
      </c>
      <c r="AH512" s="687">
        <f t="shared" si="248"/>
        <v>-42.30741511317467</v>
      </c>
      <c r="AJ512" s="170">
        <f t="shared" si="249"/>
        <v>0</v>
      </c>
      <c r="AK512" s="170">
        <f t="shared" si="261"/>
        <v>0</v>
      </c>
      <c r="AM512" s="170" t="str">
        <f t="shared" si="253"/>
        <v>1.29972825503964+0.954024618723696i</v>
      </c>
      <c r="AN512" s="170" t="str">
        <f t="shared" si="254"/>
        <v>1.87520412744394i</v>
      </c>
      <c r="AO512" s="170" t="str">
        <f t="shared" si="255"/>
        <v>0.508757742563265-0.693112944888447i</v>
      </c>
      <c r="AP512" s="170" t="str">
        <f t="shared" si="256"/>
        <v>-0.049954709173273-0.159004103120616i</v>
      </c>
      <c r="AQ512" s="170" t="str">
        <f t="shared" si="257"/>
        <v>1.04995470917327+0.159004103120616i</v>
      </c>
      <c r="AR512" s="170" t="str">
        <f t="shared" si="258"/>
        <v>0.775580565024803-0.117453153990472i</v>
      </c>
    </row>
    <row r="513" spans="7:44">
      <c r="G513" s="688">
        <v>69183</v>
      </c>
      <c r="H513" s="676">
        <f t="shared" si="250"/>
        <v>69.183000000000007</v>
      </c>
      <c r="I513" s="677">
        <f t="shared" si="230"/>
        <v>569.00957639087073</v>
      </c>
      <c r="J513" s="678">
        <f t="shared" si="231"/>
        <v>1.5690388862240203</v>
      </c>
      <c r="K513" s="678">
        <f t="shared" si="232"/>
        <v>1.0045623050375412</v>
      </c>
      <c r="L513" s="679">
        <f t="shared" si="233"/>
        <v>9.5341772342675463E-2</v>
      </c>
      <c r="M513" s="678">
        <f t="shared" si="234"/>
        <v>1.0660769333587758</v>
      </c>
      <c r="N513" s="679">
        <f t="shared" si="235"/>
        <v>-0.35392788412773207</v>
      </c>
      <c r="O513" s="677">
        <f t="shared" si="236"/>
        <v>2868951.4168255143</v>
      </c>
      <c r="P513" s="680">
        <f t="shared" si="237"/>
        <v>1.5707959782354912</v>
      </c>
      <c r="Q513" s="689">
        <f t="shared" si="259"/>
        <v>114.76241358287392</v>
      </c>
      <c r="R513" s="690">
        <f t="shared" si="260"/>
        <v>1.5620825622108254</v>
      </c>
      <c r="S513" s="677">
        <f t="shared" si="238"/>
        <v>1.1278720141931604</v>
      </c>
      <c r="T513" s="680">
        <f t="shared" si="239"/>
        <v>0.48079955485155068</v>
      </c>
      <c r="U513" s="681">
        <f t="shared" si="251"/>
        <v>0.67221880598322659</v>
      </c>
      <c r="V513" s="682">
        <f t="shared" si="252"/>
        <v>-1.0925190355302916</v>
      </c>
      <c r="W513" s="683">
        <f t="shared" si="240"/>
        <v>-39.001736512209426</v>
      </c>
      <c r="X513" s="684">
        <f t="shared" si="241"/>
        <v>-195.35895616346227</v>
      </c>
      <c r="Y513" s="687">
        <f t="shared" si="242"/>
        <v>-15.358956163462267</v>
      </c>
      <c r="AA513" s="170">
        <f t="shared" si="243"/>
        <v>69183</v>
      </c>
      <c r="AB513" s="170">
        <f t="shared" si="244"/>
        <v>4786287489</v>
      </c>
      <c r="AD513" s="686">
        <f t="shared" si="245"/>
        <v>16.101783277809353</v>
      </c>
      <c r="AE513" s="687">
        <f t="shared" si="246"/>
        <v>-28.047027280165988</v>
      </c>
      <c r="AG513" s="686">
        <f t="shared" si="247"/>
        <v>-7.2195856613879741</v>
      </c>
      <c r="AH513" s="687">
        <f t="shared" si="248"/>
        <v>-42.118469193064016</v>
      </c>
      <c r="AJ513" s="170">
        <f t="shared" si="249"/>
        <v>0</v>
      </c>
      <c r="AK513" s="170">
        <f t="shared" si="261"/>
        <v>0</v>
      </c>
      <c r="AM513" s="170" t="str">
        <f t="shared" si="253"/>
        <v>1.30995098504126+0.950752537136741i</v>
      </c>
      <c r="AN513" s="170" t="str">
        <f t="shared" si="254"/>
        <v>1.88593780494705i</v>
      </c>
      <c r="AO513" s="170" t="str">
        <f t="shared" si="255"/>
        <v>0.504127195840074-0.694588645291003i</v>
      </c>
      <c r="AP513" s="170" t="str">
        <f t="shared" si="256"/>
        <v>-0.0516584975068772-0.158458756189457i</v>
      </c>
      <c r="AQ513" s="170" t="str">
        <f t="shared" si="257"/>
        <v>1.05165849750688+0.158458756189457i</v>
      </c>
      <c r="AR513" s="170" t="str">
        <f t="shared" si="258"/>
        <v>0.774498786039996-0.116697687126651i</v>
      </c>
    </row>
    <row r="514" spans="7:44">
      <c r="G514" s="688">
        <v>69586</v>
      </c>
      <c r="H514" s="676">
        <f t="shared" si="250"/>
        <v>69.585999999999999</v>
      </c>
      <c r="I514" s="677">
        <f t="shared" si="230"/>
        <v>572.32412119361413</v>
      </c>
      <c r="J514" s="678">
        <f t="shared" si="231"/>
        <v>1.5690490642354649</v>
      </c>
      <c r="K514" s="678">
        <f t="shared" si="232"/>
        <v>1.0046154894336723</v>
      </c>
      <c r="L514" s="679">
        <f t="shared" si="233"/>
        <v>9.589376190947442E-2</v>
      </c>
      <c r="M514" s="678">
        <f t="shared" si="234"/>
        <v>1.0668248001427949</v>
      </c>
      <c r="N514" s="679">
        <f t="shared" si="235"/>
        <v>-0.35582032556662602</v>
      </c>
      <c r="O514" s="677">
        <f t="shared" si="236"/>
        <v>2885663.4330864535</v>
      </c>
      <c r="P514" s="680">
        <f t="shared" si="237"/>
        <v>1.5707959802541362</v>
      </c>
      <c r="Q514" s="689">
        <f t="shared" si="259"/>
        <v>115.43086900167596</v>
      </c>
      <c r="R514" s="690">
        <f t="shared" si="260"/>
        <v>1.5621330245295726</v>
      </c>
      <c r="S514" s="677">
        <f t="shared" si="238"/>
        <v>1.1292805205897753</v>
      </c>
      <c r="T514" s="680">
        <f t="shared" si="239"/>
        <v>0.48318519488703132</v>
      </c>
      <c r="U514" s="681">
        <f t="shared" si="251"/>
        <v>0.66995162486368998</v>
      </c>
      <c r="V514" s="682">
        <f t="shared" si="252"/>
        <v>-1.0972331794297574</v>
      </c>
      <c r="W514" s="683">
        <f t="shared" si="240"/>
        <v>-39.085823429984018</v>
      </c>
      <c r="X514" s="684">
        <f t="shared" si="241"/>
        <v>-195.84023804872166</v>
      </c>
      <c r="Y514" s="687">
        <f t="shared" si="242"/>
        <v>-15.840238048721659</v>
      </c>
      <c r="AA514" s="170">
        <f t="shared" si="243"/>
        <v>69586</v>
      </c>
      <c r="AB514" s="170">
        <f t="shared" si="244"/>
        <v>4842211396</v>
      </c>
      <c r="AD514" s="686">
        <f t="shared" si="245"/>
        <v>16.090939145169926</v>
      </c>
      <c r="AE514" s="687">
        <f t="shared" si="246"/>
        <v>-28.180823223560537</v>
      </c>
      <c r="AG514" s="686">
        <f t="shared" si="247"/>
        <v>-7.2341399125748946</v>
      </c>
      <c r="AH514" s="687">
        <f t="shared" si="248"/>
        <v>-41.925754035398135</v>
      </c>
      <c r="AJ514" s="170">
        <f t="shared" si="249"/>
        <v>0</v>
      </c>
      <c r="AK514" s="170">
        <f t="shared" si="261"/>
        <v>0</v>
      </c>
      <c r="AM514" s="170" t="str">
        <f t="shared" si="253"/>
        <v>1.32037688066702+0.947290163748188i</v>
      </c>
      <c r="AN514" s="170" t="str">
        <f t="shared" si="254"/>
        <v>1.89692363868357i</v>
      </c>
      <c r="AO514" s="170" t="str">
        <f t="shared" si="255"/>
        <v>0.499382339083291-0.696062220819462i</v>
      </c>
      <c r="AP514" s="170" t="str">
        <f t="shared" si="256"/>
        <v>-0.053396146777837-0.157881693958031i</v>
      </c>
      <c r="AQ514" s="170" t="str">
        <f t="shared" si="257"/>
        <v>1.05339614677784+0.157881693958031i</v>
      </c>
      <c r="AR514" s="170" t="str">
        <f t="shared" si="258"/>
        <v>0.773402200918839-0.115916552348741i</v>
      </c>
    </row>
    <row r="515" spans="7:44">
      <c r="G515" s="688">
        <v>69989</v>
      </c>
      <c r="H515" s="676">
        <f t="shared" si="250"/>
        <v>69.989000000000004</v>
      </c>
      <c r="I515" s="677">
        <f t="shared" si="230"/>
        <v>575.63866605496298</v>
      </c>
      <c r="J515" s="678">
        <f t="shared" si="231"/>
        <v>1.5690591250363146</v>
      </c>
      <c r="K515" s="678">
        <f t="shared" si="232"/>
        <v>1.0046689798961279</v>
      </c>
      <c r="L515" s="679">
        <f t="shared" si="233"/>
        <v>9.6445692866506255E-2</v>
      </c>
      <c r="M515" s="678">
        <f t="shared" si="234"/>
        <v>1.0675764822224565</v>
      </c>
      <c r="N515" s="679">
        <f t="shared" si="235"/>
        <v>-0.35771010882426824</v>
      </c>
      <c r="O515" s="677">
        <f t="shared" si="236"/>
        <v>2902375.4493473927</v>
      </c>
      <c r="P515" s="680">
        <f t="shared" si="237"/>
        <v>1.5707959822495345</v>
      </c>
      <c r="Q515" s="689">
        <f t="shared" si="259"/>
        <v>116.09932471103167</v>
      </c>
      <c r="R515" s="690">
        <f t="shared" si="260"/>
        <v>1.5621829057628076</v>
      </c>
      <c r="S515" s="677">
        <f t="shared" si="238"/>
        <v>1.1306954380025527</v>
      </c>
      <c r="T515" s="680">
        <f t="shared" si="239"/>
        <v>0.48556487780498875</v>
      </c>
      <c r="U515" s="681">
        <f t="shared" si="251"/>
        <v>0.66769088291461609</v>
      </c>
      <c r="V515" s="682">
        <f t="shared" si="252"/>
        <v>-1.1019329320020246</v>
      </c>
      <c r="W515" s="683">
        <f t="shared" si="240"/>
        <v>-39.16964100053341</v>
      </c>
      <c r="X515" s="684">
        <f t="shared" si="241"/>
        <v>-196.32023168624582</v>
      </c>
      <c r="Y515" s="687">
        <f t="shared" si="242"/>
        <v>-16.320231686245819</v>
      </c>
      <c r="AA515" s="170">
        <f t="shared" si="243"/>
        <v>69989</v>
      </c>
      <c r="AB515" s="170">
        <f t="shared" si="244"/>
        <v>4898460121</v>
      </c>
      <c r="AD515" s="686">
        <f t="shared" si="245"/>
        <v>16.080059341476726</v>
      </c>
      <c r="AE515" s="687">
        <f t="shared" si="246"/>
        <v>-28.314311141678033</v>
      </c>
      <c r="AG515" s="686">
        <f t="shared" si="247"/>
        <v>-7.248357733997576</v>
      </c>
      <c r="AH515" s="687">
        <f t="shared" si="248"/>
        <v>-41.733707779896079</v>
      </c>
      <c r="AJ515" s="170">
        <f t="shared" si="249"/>
        <v>0</v>
      </c>
      <c r="AK515" s="170">
        <f t="shared" si="261"/>
        <v>0</v>
      </c>
      <c r="AM515" s="170" t="str">
        <f t="shared" si="253"/>
        <v>1.33076411086275+0.943713464439907i</v>
      </c>
      <c r="AN515" s="170" t="str">
        <f t="shared" si="254"/>
        <v>1.90790947242009i</v>
      </c>
      <c r="AO515" s="170" t="str">
        <f t="shared" si="255"/>
        <v>0.49463220246129-0.6974985606496i</v>
      </c>
      <c r="AP515" s="170" t="str">
        <f t="shared" si="256"/>
        <v>-0.055127351810459-0.157285577406651i</v>
      </c>
      <c r="AQ515" s="170" t="str">
        <f t="shared" si="257"/>
        <v>1.05512735181046+0.157285577406651i</v>
      </c>
      <c r="AR515" s="170" t="str">
        <f t="shared" si="258"/>
        <v>0.772316342832215-0.115127545233781i</v>
      </c>
    </row>
    <row r="516" spans="7:44">
      <c r="G516" s="688">
        <v>70392</v>
      </c>
      <c r="H516" s="676">
        <f t="shared" si="250"/>
        <v>70.391999999999996</v>
      </c>
      <c r="I516" s="677">
        <f t="shared" si="230"/>
        <v>578.9532109739107</v>
      </c>
      <c r="J516" s="678">
        <f t="shared" si="231"/>
        <v>1.5690690706396822</v>
      </c>
      <c r="K516" s="678">
        <f t="shared" si="232"/>
        <v>1.0047227763760236</v>
      </c>
      <c r="L516" s="679">
        <f t="shared" si="233"/>
        <v>9.6997564886891915E-2</v>
      </c>
      <c r="M516" s="678">
        <f t="shared" si="234"/>
        <v>1.0683319715443949</v>
      </c>
      <c r="N516" s="679">
        <f t="shared" si="235"/>
        <v>-0.35959722602796801</v>
      </c>
      <c r="O516" s="677">
        <f t="shared" si="236"/>
        <v>2919087.4656083314</v>
      </c>
      <c r="P516" s="680">
        <f t="shared" si="237"/>
        <v>1.5707959842220851</v>
      </c>
      <c r="Q516" s="689">
        <f t="shared" si="259"/>
        <v>116.76778070595105</v>
      </c>
      <c r="R516" s="690">
        <f t="shared" si="260"/>
        <v>1.5622322158898334</v>
      </c>
      <c r="S516" s="677">
        <f t="shared" si="238"/>
        <v>1.1321167423940641</v>
      </c>
      <c r="T516" s="680">
        <f t="shared" si="239"/>
        <v>0.48793859903982734</v>
      </c>
      <c r="U516" s="681">
        <f t="shared" si="251"/>
        <v>0.66543661613667249</v>
      </c>
      <c r="V516" s="682">
        <f t="shared" si="252"/>
        <v>-1.1066184346897179</v>
      </c>
      <c r="W516" s="683">
        <f t="shared" si="240"/>
        <v>-39.253191714124654</v>
      </c>
      <c r="X516" s="684">
        <f t="shared" si="241"/>
        <v>-196.7989440297614</v>
      </c>
      <c r="Y516" s="687">
        <f t="shared" si="242"/>
        <v>-16.798944029761401</v>
      </c>
      <c r="AA516" s="170">
        <f t="shared" si="243"/>
        <v>70392</v>
      </c>
      <c r="AB516" s="170">
        <f t="shared" si="244"/>
        <v>4955033664</v>
      </c>
      <c r="AD516" s="686">
        <f t="shared" si="245"/>
        <v>16.069144200664841</v>
      </c>
      <c r="AE516" s="687">
        <f t="shared" si="246"/>
        <v>-28.447490201180031</v>
      </c>
      <c r="AG516" s="686">
        <f t="shared" si="247"/>
        <v>-7.2622432438631881</v>
      </c>
      <c r="AH516" s="687">
        <f t="shared" si="248"/>
        <v>-41.542322005492103</v>
      </c>
      <c r="AJ516" s="170">
        <f t="shared" si="249"/>
        <v>0</v>
      </c>
      <c r="AK516" s="170">
        <f t="shared" si="261"/>
        <v>0</v>
      </c>
      <c r="AM516" s="170" t="str">
        <f t="shared" si="253"/>
        <v>1.34111142202139+0.940022870874185i</v>
      </c>
      <c r="AN516" s="170" t="str">
        <f t="shared" si="254"/>
        <v>1.91889530615661i</v>
      </c>
      <c r="AO516" s="170" t="str">
        <f t="shared" si="255"/>
        <v>0.4898771016106-0.698897651017515i</v>
      </c>
      <c r="AP516" s="170" t="str">
        <f t="shared" si="256"/>
        <v>-0.0568519036702317-0.156670478479031i</v>
      </c>
      <c r="AQ516" s="170" t="str">
        <f t="shared" si="257"/>
        <v>1.05685190367023+0.156670478479031i</v>
      </c>
      <c r="AR516" s="170" t="str">
        <f t="shared" si="258"/>
        <v>0.771241207247432-0.114330805047122i</v>
      </c>
    </row>
    <row r="517" spans="7:44">
      <c r="G517" s="688">
        <v>70795</v>
      </c>
      <c r="H517" s="676">
        <f t="shared" si="250"/>
        <v>70.795000000000002</v>
      </c>
      <c r="I517" s="677">
        <f t="shared" si="230"/>
        <v>582.26775594947355</v>
      </c>
      <c r="J517" s="678">
        <f t="shared" si="231"/>
        <v>1.5690789030128425</v>
      </c>
      <c r="K517" s="678">
        <f t="shared" si="232"/>
        <v>1.0047768788242066</v>
      </c>
      <c r="L517" s="679">
        <f t="shared" si="233"/>
        <v>9.7549377643965748E-2</v>
      </c>
      <c r="M517" s="678">
        <f t="shared" si="234"/>
        <v>1.0690912600372762</v>
      </c>
      <c r="N517" s="679">
        <f t="shared" si="235"/>
        <v>-0.36148166940318649</v>
      </c>
      <c r="O517" s="677">
        <f t="shared" si="236"/>
        <v>2935799.4818692706</v>
      </c>
      <c r="P517" s="680">
        <f t="shared" si="237"/>
        <v>1.5707959861721783</v>
      </c>
      <c r="Q517" s="689">
        <f t="shared" si="259"/>
        <v>117.4362369815578</v>
      </c>
      <c r="R517" s="690">
        <f t="shared" si="260"/>
        <v>1.5622809646627522</v>
      </c>
      <c r="S517" s="677">
        <f t="shared" si="238"/>
        <v>1.1335444097392058</v>
      </c>
      <c r="T517" s="680">
        <f t="shared" si="239"/>
        <v>0.49030635431752811</v>
      </c>
      <c r="U517" s="681">
        <f t="shared" si="251"/>
        <v>0.66318885848344022</v>
      </c>
      <c r="V517" s="682">
        <f t="shared" si="252"/>
        <v>-1.1112898288672441</v>
      </c>
      <c r="W517" s="683">
        <f t="shared" si="240"/>
        <v>-39.336478022983655</v>
      </c>
      <c r="X517" s="684">
        <f t="shared" si="241"/>
        <v>-197.276382061795</v>
      </c>
      <c r="Y517" s="687">
        <f t="shared" si="242"/>
        <v>-17.276382061795005</v>
      </c>
      <c r="AA517" s="170">
        <f t="shared" si="243"/>
        <v>70795</v>
      </c>
      <c r="AB517" s="170">
        <f t="shared" si="244"/>
        <v>5011932025</v>
      </c>
      <c r="AD517" s="686">
        <f t="shared" si="245"/>
        <v>16.058194055725345</v>
      </c>
      <c r="AE517" s="687">
        <f t="shared" si="246"/>
        <v>-28.580359598451373</v>
      </c>
      <c r="AG517" s="686">
        <f t="shared" si="247"/>
        <v>-7.2758004850274229</v>
      </c>
      <c r="AH517" s="687">
        <f t="shared" si="248"/>
        <v>-41.3515882980142</v>
      </c>
      <c r="AJ517" s="170">
        <f t="shared" si="249"/>
        <v>0</v>
      </c>
      <c r="AK517" s="170">
        <f t="shared" si="261"/>
        <v>0</v>
      </c>
      <c r="AM517" s="170" t="str">
        <f t="shared" si="253"/>
        <v>1.35141756535358+0.936218828458903i</v>
      </c>
      <c r="AN517" s="170" t="str">
        <f t="shared" si="254"/>
        <v>1.92988113989313i</v>
      </c>
      <c r="AO517" s="170" t="str">
        <f t="shared" si="255"/>
        <v>0.485117352103222-0.70025948096908i</v>
      </c>
      <c r="AP517" s="170" t="str">
        <f t="shared" si="256"/>
        <v>-0.0585695942255972-0.156036471409817i</v>
      </c>
      <c r="AQ517" s="170" t="str">
        <f t="shared" si="257"/>
        <v>1.0585695942256+0.156036471409817i</v>
      </c>
      <c r="AR517" s="170" t="str">
        <f t="shared" si="258"/>
        <v>0.770176788360713-0.113526469183602i</v>
      </c>
    </row>
    <row r="518" spans="7:44">
      <c r="G518" s="688">
        <v>71207.25</v>
      </c>
      <c r="H518" s="676">
        <f t="shared" si="250"/>
        <v>71.207250000000002</v>
      </c>
      <c r="I518" s="677">
        <f t="shared" si="230"/>
        <v>585.65837924818163</v>
      </c>
      <c r="J518" s="678">
        <f t="shared" si="231"/>
        <v>1.5690888459129548</v>
      </c>
      <c r="K518" s="678">
        <f t="shared" si="232"/>
        <v>1.0048325396095847</v>
      </c>
      <c r="L518" s="679">
        <f t="shared" si="233"/>
        <v>9.8113794418790645E-2</v>
      </c>
      <c r="M518" s="678">
        <f t="shared" si="234"/>
        <v>1.0698718989084841</v>
      </c>
      <c r="N518" s="679">
        <f t="shared" si="235"/>
        <v>-0.36340659153743782</v>
      </c>
      <c r="O518" s="677">
        <f t="shared" si="236"/>
        <v>2952895.0865927748</v>
      </c>
      <c r="P518" s="680">
        <f t="shared" si="237"/>
        <v>1.5707959881441926</v>
      </c>
      <c r="Q518" s="689">
        <f t="shared" si="259"/>
        <v>118.12003652165198</v>
      </c>
      <c r="R518" s="690">
        <f t="shared" si="260"/>
        <v>1.5623302614662855</v>
      </c>
      <c r="S518" s="677">
        <f t="shared" si="238"/>
        <v>1.1350114047910316</v>
      </c>
      <c r="T518" s="680">
        <f t="shared" si="239"/>
        <v>0.49272227925012141</v>
      </c>
      <c r="U518" s="681">
        <f t="shared" si="251"/>
        <v>0.66089627662081729</v>
      </c>
      <c r="V518" s="682">
        <f t="shared" si="252"/>
        <v>-1.1160539942084011</v>
      </c>
      <c r="W518" s="683">
        <f t="shared" si="240"/>
        <v>-39.421404930654745</v>
      </c>
      <c r="X518" s="684">
        <f t="shared" si="241"/>
        <v>-197.76346744707516</v>
      </c>
      <c r="Y518" s="687">
        <f t="shared" si="242"/>
        <v>-17.763467447075158</v>
      </c>
      <c r="AA518" s="170">
        <f t="shared" si="243"/>
        <v>71207.25</v>
      </c>
      <c r="AB518" s="170">
        <f t="shared" si="244"/>
        <v>5070472452.5625</v>
      </c>
      <c r="AD518" s="686">
        <f t="shared" si="245"/>
        <v>16.046956701365154</v>
      </c>
      <c r="AE518" s="687">
        <f t="shared" si="246"/>
        <v>-28.715957515066478</v>
      </c>
      <c r="AG518" s="686">
        <f t="shared" si="247"/>
        <v>-7.2893333840076497</v>
      </c>
      <c r="AH518" s="687">
        <f t="shared" si="248"/>
        <v>-41.157142632153835</v>
      </c>
      <c r="AJ518" s="170">
        <f t="shared" si="249"/>
        <v>0</v>
      </c>
      <c r="AK518" s="170">
        <f t="shared" si="261"/>
        <v>0</v>
      </c>
      <c r="AM518" s="170" t="str">
        <f t="shared" si="253"/>
        <v>1.36191637124694+0.932210566462025i</v>
      </c>
      <c r="AN518" s="170" t="str">
        <f t="shared" si="254"/>
        <v>1.94111912986306i</v>
      </c>
      <c r="AO518" s="170" t="str">
        <f t="shared" si="255"/>
        <v>0.480243871754429-0.701614007246953i</v>
      </c>
      <c r="AP518" s="170" t="str">
        <f t="shared" si="256"/>
        <v>-0.0603193952078227-0.155368427743671i</v>
      </c>
      <c r="AQ518" s="170" t="str">
        <f t="shared" si="257"/>
        <v>1.06031939520782+0.155368427743671i</v>
      </c>
      <c r="AR518" s="170" t="str">
        <f t="shared" si="258"/>
        <v>0.769099019180431-0.112695953624278i</v>
      </c>
    </row>
    <row r="519" spans="7:44">
      <c r="G519" s="688">
        <v>71619.5</v>
      </c>
      <c r="H519" s="676">
        <f t="shared" si="250"/>
        <v>71.619500000000002</v>
      </c>
      <c r="I519" s="677">
        <f t="shared" si="230"/>
        <v>589.04900260412217</v>
      </c>
      <c r="J519" s="678">
        <f t="shared" si="231"/>
        <v>1.5690986743484676</v>
      </c>
      <c r="K519" s="678">
        <f t="shared" si="232"/>
        <v>1.0048885204652218</v>
      </c>
      <c r="L519" s="679">
        <f t="shared" si="233"/>
        <v>9.8678148487732889E-2</v>
      </c>
      <c r="M519" s="678">
        <f t="shared" si="234"/>
        <v>1.0706564962136609</v>
      </c>
      <c r="N519" s="679">
        <f t="shared" si="235"/>
        <v>-0.36532869954644448</v>
      </c>
      <c r="O519" s="677">
        <f t="shared" si="236"/>
        <v>2969990.6913162787</v>
      </c>
      <c r="P519" s="680">
        <f t="shared" si="237"/>
        <v>1.5707959900935047</v>
      </c>
      <c r="Q519" s="689">
        <f t="shared" si="259"/>
        <v>118.80383634549413</v>
      </c>
      <c r="R519" s="690">
        <f t="shared" si="260"/>
        <v>1.5623789907942278</v>
      </c>
      <c r="S519" s="677">
        <f t="shared" si="238"/>
        <v>1.1364850074311788</v>
      </c>
      <c r="T519" s="680">
        <f t="shared" si="239"/>
        <v>0.4951319530865696</v>
      </c>
      <c r="U519" s="681">
        <f t="shared" si="251"/>
        <v>0.65861057162035963</v>
      </c>
      <c r="V519" s="682">
        <f t="shared" si="252"/>
        <v>-1.1208036949300497</v>
      </c>
      <c r="W519" s="683">
        <f t="shared" si="240"/>
        <v>-39.506060230599452</v>
      </c>
      <c r="X519" s="684">
        <f t="shared" si="241"/>
        <v>-198.24923421887732</v>
      </c>
      <c r="Y519" s="687">
        <f t="shared" si="242"/>
        <v>-18.249234218877319</v>
      </c>
      <c r="AA519" s="170">
        <f t="shared" si="243"/>
        <v>71619.5</v>
      </c>
      <c r="AB519" s="170">
        <f t="shared" si="244"/>
        <v>5129352780.25</v>
      </c>
      <c r="AD519" s="686">
        <f t="shared" si="245"/>
        <v>16.035683419338692</v>
      </c>
      <c r="AE519" s="687">
        <f t="shared" si="246"/>
        <v>-28.851229782910384</v>
      </c>
      <c r="AG519" s="686">
        <f t="shared" si="247"/>
        <v>-7.3025310951497406</v>
      </c>
      <c r="AH519" s="687">
        <f t="shared" si="248"/>
        <v>-40.963361524888754</v>
      </c>
      <c r="AJ519" s="170">
        <f t="shared" si="249"/>
        <v>0</v>
      </c>
      <c r="AK519" s="170">
        <f t="shared" si="261"/>
        <v>0</v>
      </c>
      <c r="AM519" s="170" t="str">
        <f t="shared" si="253"/>
        <v>1.37236947032748+0.928084574577142i</v>
      </c>
      <c r="AN519" s="170" t="str">
        <f t="shared" si="254"/>
        <v>1.95235711983298i</v>
      </c>
      <c r="AO519" s="170" t="str">
        <f t="shared" si="255"/>
        <v>0.475366194611229-0.702929528817393i</v>
      </c>
      <c r="AP519" s="170" t="str">
        <f t="shared" si="256"/>
        <v>-0.0620615783879127-0.154680762429524i</v>
      </c>
      <c r="AQ519" s="170" t="str">
        <f t="shared" si="257"/>
        <v>1.06206157838791+0.154680762429524i</v>
      </c>
      <c r="AR519" s="170" t="str">
        <f t="shared" si="258"/>
        <v>0.768032448154911-0.111857774604313i</v>
      </c>
    </row>
    <row r="520" spans="7:44">
      <c r="G520" s="688">
        <v>72031.75</v>
      </c>
      <c r="H520" s="676">
        <f t="shared" si="250"/>
        <v>72.031750000000002</v>
      </c>
      <c r="I520" s="677">
        <f t="shared" si="230"/>
        <v>592.43962601631233</v>
      </c>
      <c r="J520" s="678">
        <f t="shared" si="231"/>
        <v>1.5691083902846747</v>
      </c>
      <c r="K520" s="678">
        <f t="shared" si="232"/>
        <v>1.0049448213376293</v>
      </c>
      <c r="L520" s="679">
        <f t="shared" si="233"/>
        <v>9.9242439501813343E-2</v>
      </c>
      <c r="M520" s="678">
        <f t="shared" si="234"/>
        <v>1.0714450432567657</v>
      </c>
      <c r="N520" s="679">
        <f t="shared" si="235"/>
        <v>-0.36724798542557546</v>
      </c>
      <c r="O520" s="677">
        <f t="shared" si="236"/>
        <v>2987086.2960397825</v>
      </c>
      <c r="P520" s="680">
        <f t="shared" si="237"/>
        <v>1.5707959920205041</v>
      </c>
      <c r="Q520" s="689">
        <f t="shared" si="259"/>
        <v>119.4876364482128</v>
      </c>
      <c r="R520" s="690">
        <f t="shared" si="260"/>
        <v>1.5624271623889405</v>
      </c>
      <c r="S520" s="677">
        <f t="shared" si="238"/>
        <v>1.1379651919902518</v>
      </c>
      <c r="T520" s="680">
        <f t="shared" si="239"/>
        <v>0.49753537218209487</v>
      </c>
      <c r="U520" s="681">
        <f t="shared" si="251"/>
        <v>0.65633177345809246</v>
      </c>
      <c r="V520" s="682">
        <f t="shared" si="252"/>
        <v>-1.1255390820400799</v>
      </c>
      <c r="W520" s="683">
        <f t="shared" si="240"/>
        <v>-39.590446431434863</v>
      </c>
      <c r="X520" s="684">
        <f t="shared" si="241"/>
        <v>-198.73368993627849</v>
      </c>
      <c r="Y520" s="687">
        <f t="shared" si="242"/>
        <v>-18.733689936278495</v>
      </c>
      <c r="AA520" s="170">
        <f t="shared" si="243"/>
        <v>72031.75</v>
      </c>
      <c r="AB520" s="170">
        <f t="shared" si="244"/>
        <v>5188573008.0625</v>
      </c>
      <c r="AD520" s="686">
        <f t="shared" si="245"/>
        <v>16.024374562898636</v>
      </c>
      <c r="AE520" s="687">
        <f t="shared" si="246"/>
        <v>-28.986175634978803</v>
      </c>
      <c r="AG520" s="686">
        <f t="shared" si="247"/>
        <v>-7.3153977109632917</v>
      </c>
      <c r="AH520" s="687">
        <f t="shared" si="248"/>
        <v>-40.770235998070675</v>
      </c>
      <c r="AJ520" s="170">
        <f t="shared" si="249"/>
        <v>0</v>
      </c>
      <c r="AK520" s="170">
        <f t="shared" si="261"/>
        <v>0</v>
      </c>
      <c r="AM520" s="170" t="str">
        <f t="shared" si="253"/>
        <v>1.38277554246195+0.923841373880256i</v>
      </c>
      <c r="AN520" s="170" t="str">
        <f t="shared" si="254"/>
        <v>1.96359510980291i</v>
      </c>
      <c r="AO520" s="170" t="str">
        <f t="shared" si="255"/>
        <v>0.470484658098881-0.704206043067984i</v>
      </c>
      <c r="AP520" s="170" t="str">
        <f t="shared" si="256"/>
        <v>-0.0637959237436583-0.153973562313376i</v>
      </c>
      <c r="AQ520" s="170" t="str">
        <f t="shared" si="257"/>
        <v>1.06379592374366+0.153973562313376i</v>
      </c>
      <c r="AR520" s="170" t="str">
        <f t="shared" si="258"/>
        <v>0.766977065261816-0.111012073194856i</v>
      </c>
    </row>
    <row r="521" spans="7:44">
      <c r="G521" s="688">
        <v>72444</v>
      </c>
      <c r="H521" s="676">
        <f t="shared" si="250"/>
        <v>72.444000000000003</v>
      </c>
      <c r="I521" s="677">
        <f t="shared" si="230"/>
        <v>595.83024948379204</v>
      </c>
      <c r="J521" s="678">
        <f t="shared" si="231"/>
        <v>1.5691179956421355</v>
      </c>
      <c r="K521" s="678">
        <f t="shared" si="232"/>
        <v>1.0050014421730242</v>
      </c>
      <c r="L521" s="679">
        <f t="shared" si="233"/>
        <v>9.9806667112291483E-2</v>
      </c>
      <c r="M521" s="678">
        <f t="shared" si="234"/>
        <v>1.0722375313236261</v>
      </c>
      <c r="N521" s="679">
        <f t="shared" si="235"/>
        <v>-0.36916444127685344</v>
      </c>
      <c r="O521" s="677">
        <f t="shared" si="236"/>
        <v>3004181.9007632863</v>
      </c>
      <c r="P521" s="680">
        <f t="shared" si="237"/>
        <v>1.570795993925572</v>
      </c>
      <c r="Q521" s="689">
        <f t="shared" si="259"/>
        <v>120.17143682504732</v>
      </c>
      <c r="R521" s="690">
        <f t="shared" si="260"/>
        <v>1.5624747857710513</v>
      </c>
      <c r="S521" s="677">
        <f t="shared" si="238"/>
        <v>1.1394519328178805</v>
      </c>
      <c r="T521" s="680">
        <f t="shared" si="239"/>
        <v>0.49993253319985442</v>
      </c>
      <c r="U521" s="681">
        <f t="shared" si="251"/>
        <v>0.6540599100551221</v>
      </c>
      <c r="V521" s="682">
        <f t="shared" si="252"/>
        <v>-1.130260306403144</v>
      </c>
      <c r="W521" s="683">
        <f t="shared" si="240"/>
        <v>-39.674566004854171</v>
      </c>
      <c r="X521" s="684">
        <f t="shared" si="241"/>
        <v>-199.21684218403013</v>
      </c>
      <c r="Y521" s="687">
        <f t="shared" si="242"/>
        <v>-19.216842184030128</v>
      </c>
      <c r="AA521" s="170">
        <f t="shared" si="243"/>
        <v>72444</v>
      </c>
      <c r="AB521" s="170">
        <f t="shared" si="244"/>
        <v>5248133136</v>
      </c>
      <c r="AD521" s="686">
        <f t="shared" si="245"/>
        <v>16.013030484176593</v>
      </c>
      <c r="AE521" s="687">
        <f t="shared" si="246"/>
        <v>-29.1207943346148</v>
      </c>
      <c r="AG521" s="686">
        <f t="shared" si="247"/>
        <v>-7.3279372477842415</v>
      </c>
      <c r="AH521" s="687">
        <f t="shared" si="248"/>
        <v>-40.577757085292269</v>
      </c>
      <c r="AJ521" s="170">
        <f t="shared" si="249"/>
        <v>0</v>
      </c>
      <c r="AK521" s="170">
        <f t="shared" si="261"/>
        <v>0</v>
      </c>
      <c r="AM521" s="170" t="str">
        <f t="shared" si="253"/>
        <v>1.39313327345616+0.91948150024981i</v>
      </c>
      <c r="AN521" s="170" t="str">
        <f t="shared" si="254"/>
        <v>1.97483309977284i</v>
      </c>
      <c r="AO521" s="170" t="str">
        <f t="shared" si="255"/>
        <v>0.465599599457582-0.705443550453154i</v>
      </c>
      <c r="AP521" s="170" t="str">
        <f t="shared" si="256"/>
        <v>-0.0655222122426938-0.153246916708302i</v>
      </c>
      <c r="AQ521" s="170" t="str">
        <f t="shared" si="257"/>
        <v>1.06552221224269+0.153246916708302i</v>
      </c>
      <c r="AR521" s="170" t="str">
        <f t="shared" si="258"/>
        <v>0.765932859298635-0.110158988470111i</v>
      </c>
    </row>
    <row r="522" spans="7:44">
      <c r="G522" s="688">
        <v>72865.75</v>
      </c>
      <c r="H522" s="676">
        <f t="shared" si="250"/>
        <v>72.865750000000006</v>
      </c>
      <c r="I522" s="677">
        <f t="shared" si="230"/>
        <v>599.29900744763245</v>
      </c>
      <c r="J522" s="678">
        <f t="shared" si="231"/>
        <v>1.5691277098747616</v>
      </c>
      <c r="K522" s="678">
        <f t="shared" si="232"/>
        <v>1.0050596988457177</v>
      </c>
      <c r="L522" s="679">
        <f t="shared" si="233"/>
        <v>0.10038383096026593</v>
      </c>
      <c r="M522" s="678">
        <f t="shared" si="234"/>
        <v>1.0730523508904912</v>
      </c>
      <c r="N522" s="679">
        <f t="shared" si="235"/>
        <v>-0.37112212372537418</v>
      </c>
      <c r="O522" s="677">
        <f t="shared" si="236"/>
        <v>3021671.4612051006</v>
      </c>
      <c r="P522" s="680">
        <f t="shared" si="237"/>
        <v>1.5707959958522337</v>
      </c>
      <c r="Q522" s="689">
        <f t="shared" si="259"/>
        <v>120.87099516069431</v>
      </c>
      <c r="R522" s="690">
        <f t="shared" si="260"/>
        <v>1.5625229489932855</v>
      </c>
      <c r="S522" s="677">
        <f t="shared" si="238"/>
        <v>1.1409796924111129</v>
      </c>
      <c r="T522" s="680">
        <f t="shared" si="239"/>
        <v>0.50237845582321872</v>
      </c>
      <c r="U522" s="681">
        <f t="shared" si="251"/>
        <v>0.6517428965387716</v>
      </c>
      <c r="V522" s="682">
        <f t="shared" si="252"/>
        <v>-1.1350758290210983</v>
      </c>
      <c r="W522" s="683">
        <f t="shared" si="240"/>
        <v>-39.760350677682581</v>
      </c>
      <c r="X522" s="684">
        <f t="shared" si="241"/>
        <v>-199.70978738499539</v>
      </c>
      <c r="Y522" s="687">
        <f t="shared" si="242"/>
        <v>-19.709787384995394</v>
      </c>
      <c r="AA522" s="170">
        <f t="shared" si="243"/>
        <v>72865.75</v>
      </c>
      <c r="AB522" s="170">
        <f t="shared" si="244"/>
        <v>5309417523.0625</v>
      </c>
      <c r="AD522" s="686">
        <f t="shared" si="245"/>
        <v>16.001388906306641</v>
      </c>
      <c r="AE522" s="687">
        <f t="shared" si="246"/>
        <v>-29.258175939133942</v>
      </c>
      <c r="AG522" s="686">
        <f t="shared" si="247"/>
        <v>-7.340431387133842</v>
      </c>
      <c r="AH522" s="687">
        <f t="shared" si="248"/>
        <v>-40.38150243679074</v>
      </c>
      <c r="AJ522" s="170">
        <f t="shared" si="249"/>
        <v>0</v>
      </c>
      <c r="AK522" s="170">
        <f t="shared" si="261"/>
        <v>0</v>
      </c>
      <c r="AM522" s="170" t="str">
        <f t="shared" si="253"/>
        <v>1.40367830182422+0.914900993898417i</v>
      </c>
      <c r="AN522" s="170" t="str">
        <f t="shared" si="254"/>
        <v>1.9863300610095i</v>
      </c>
      <c r="AO522" s="170" t="str">
        <f t="shared" si="255"/>
        <v>0.460598674841301-0.70666921342913i</v>
      </c>
      <c r="AP522" s="170" t="str">
        <f t="shared" si="256"/>
        <v>-0.067279716970704-0.152483498983069i</v>
      </c>
      <c r="AQ522" s="170" t="str">
        <f t="shared" si="257"/>
        <v>1.0672797169707+0.152483498983069i</v>
      </c>
      <c r="AR522" s="170" t="str">
        <f t="shared" si="258"/>
        <v>0.764876143749743-0.109278747485875i</v>
      </c>
    </row>
    <row r="523" spans="7:44">
      <c r="G523" s="688">
        <v>73287.5</v>
      </c>
      <c r="H523" s="676">
        <f t="shared" si="250"/>
        <v>73.287499999999994</v>
      </c>
      <c r="I523" s="677">
        <f t="shared" si="230"/>
        <v>602.7677654673754</v>
      </c>
      <c r="J523" s="678">
        <f t="shared" si="231"/>
        <v>1.5691373123020658</v>
      </c>
      <c r="K523" s="678">
        <f t="shared" si="232"/>
        <v>1.0051182902831204</v>
      </c>
      <c r="L523" s="679">
        <f t="shared" si="233"/>
        <v>0.10096092771115044</v>
      </c>
      <c r="M523" s="678">
        <f t="shared" si="234"/>
        <v>1.0738712767025143</v>
      </c>
      <c r="N523" s="679">
        <f t="shared" si="235"/>
        <v>-0.37307682782928364</v>
      </c>
      <c r="O523" s="677">
        <f t="shared" si="236"/>
        <v>3039161.0216469145</v>
      </c>
      <c r="P523" s="680">
        <f t="shared" si="237"/>
        <v>1.5707959977567203</v>
      </c>
      <c r="Q523" s="689">
        <f t="shared" si="259"/>
        <v>121.57055377349842</v>
      </c>
      <c r="R523" s="690">
        <f t="shared" si="260"/>
        <v>1.5625705579202691</v>
      </c>
      <c r="S523" s="677">
        <f t="shared" si="238"/>
        <v>1.142514259679128</v>
      </c>
      <c r="T523" s="680">
        <f t="shared" si="239"/>
        <v>0.50481782252890972</v>
      </c>
      <c r="U523" s="681">
        <f t="shared" si="251"/>
        <v>0.64943319380606157</v>
      </c>
      <c r="V523" s="682">
        <f t="shared" si="252"/>
        <v>-1.1398768475399723</v>
      </c>
      <c r="W523" s="683">
        <f t="shared" si="240"/>
        <v>-39.845861412882932</v>
      </c>
      <c r="X523" s="684">
        <f t="shared" si="241"/>
        <v>-200.20138448522147</v>
      </c>
      <c r="Y523" s="687">
        <f t="shared" si="242"/>
        <v>-20.201384485221467</v>
      </c>
      <c r="AA523" s="170">
        <f t="shared" si="243"/>
        <v>73287.5</v>
      </c>
      <c r="AB523" s="170">
        <f t="shared" si="244"/>
        <v>5371057656.25</v>
      </c>
      <c r="AD523" s="686">
        <f t="shared" si="245"/>
        <v>15.989711206013768</v>
      </c>
      <c r="AE523" s="687">
        <f t="shared" si="246"/>
        <v>-29.395213674747104</v>
      </c>
      <c r="AG523" s="686">
        <f t="shared" si="247"/>
        <v>-7.3525914655424796</v>
      </c>
      <c r="AH523" s="687">
        <f t="shared" si="248"/>
        <v>-40.185905603783731</v>
      </c>
      <c r="AJ523" s="170">
        <f t="shared" si="249"/>
        <v>0</v>
      </c>
      <c r="AK523" s="170">
        <f t="shared" si="261"/>
        <v>0</v>
      </c>
      <c r="AM523" s="170" t="str">
        <f t="shared" si="253"/>
        <v>1.41416997253459+0.91019955715804i</v>
      </c>
      <c r="AN523" s="170" t="str">
        <f t="shared" si="254"/>
        <v>1.99782702224617i</v>
      </c>
      <c r="AO523" s="170" t="str">
        <f t="shared" si="255"/>
        <v>0.455594777236868-0.707854061831955i</v>
      </c>
      <c r="AP523" s="170" t="str">
        <f t="shared" si="256"/>
        <v>-0.0690283287557658-0.151699926193007i</v>
      </c>
      <c r="AQ523" s="170" t="str">
        <f t="shared" si="257"/>
        <v>1.06902832875577+0.151699926193007i</v>
      </c>
      <c r="AR523" s="170" t="str">
        <f t="shared" si="258"/>
        <v>0.763831098909483-0.108391067113587i</v>
      </c>
    </row>
    <row r="524" spans="7:44">
      <c r="G524" s="688">
        <v>73709.25</v>
      </c>
      <c r="H524" s="676">
        <f t="shared" si="250"/>
        <v>73.709249999999997</v>
      </c>
      <c r="I524" s="677">
        <f t="shared" si="230"/>
        <v>606.23652354206149</v>
      </c>
      <c r="J524" s="678">
        <f t="shared" si="231"/>
        <v>1.5691468048432258</v>
      </c>
      <c r="K524" s="678">
        <f t="shared" si="232"/>
        <v>1.0051772164266926</v>
      </c>
      <c r="L524" s="679">
        <f t="shared" si="233"/>
        <v>0.10153795699231857</v>
      </c>
      <c r="M524" s="678">
        <f t="shared" si="234"/>
        <v>1.0746942993727187</v>
      </c>
      <c r="N524" s="679">
        <f t="shared" si="235"/>
        <v>-0.37502854547693593</v>
      </c>
      <c r="O524" s="677">
        <f t="shared" si="236"/>
        <v>3056650.5820887284</v>
      </c>
      <c r="P524" s="680">
        <f t="shared" si="237"/>
        <v>1.5707959996394127</v>
      </c>
      <c r="Q524" s="689">
        <f t="shared" si="259"/>
        <v>122.27011265870243</v>
      </c>
      <c r="R524" s="690">
        <f t="shared" si="260"/>
        <v>1.562617622065855</v>
      </c>
      <c r="S524" s="677">
        <f t="shared" si="238"/>
        <v>1.1440556072277122</v>
      </c>
      <c r="T524" s="680">
        <f t="shared" si="239"/>
        <v>0.50725063072558385</v>
      </c>
      <c r="U524" s="681">
        <f t="shared" si="251"/>
        <v>0.64713082537136946</v>
      </c>
      <c r="V524" s="682">
        <f t="shared" si="252"/>
        <v>-1.1446635229316962</v>
      </c>
      <c r="W524" s="683">
        <f t="shared" si="240"/>
        <v>-39.931100744099325</v>
      </c>
      <c r="X524" s="684">
        <f t="shared" si="241"/>
        <v>-200.69164168071327</v>
      </c>
      <c r="Y524" s="687">
        <f t="shared" si="242"/>
        <v>-20.691641680713275</v>
      </c>
      <c r="AA524" s="170">
        <f t="shared" si="243"/>
        <v>73709.25</v>
      </c>
      <c r="AB524" s="170">
        <f t="shared" si="244"/>
        <v>5433053535.5625</v>
      </c>
      <c r="AD524" s="686">
        <f t="shared" si="245"/>
        <v>15.97799775656144</v>
      </c>
      <c r="AE524" s="687">
        <f t="shared" si="246"/>
        <v>-29.531906847899425</v>
      </c>
      <c r="AG524" s="686">
        <f t="shared" si="247"/>
        <v>-7.3644215456214859</v>
      </c>
      <c r="AH524" s="687">
        <f t="shared" si="248"/>
        <v>-39.990957029806665</v>
      </c>
      <c r="AJ524" s="170">
        <f t="shared" si="249"/>
        <v>0</v>
      </c>
      <c r="AK524" s="170">
        <f t="shared" si="261"/>
        <v>0</v>
      </c>
      <c r="AM524" s="170" t="str">
        <f t="shared" si="253"/>
        <v>1.42460689881227+0.905377811458302i</v>
      </c>
      <c r="AN524" s="170" t="str">
        <f t="shared" si="254"/>
        <v>2.00932398348284i</v>
      </c>
      <c r="AO524" s="170" t="str">
        <f t="shared" si="255"/>
        <v>0.45058826694985-0.708998106090857i</v>
      </c>
      <c r="AP524" s="170" t="str">
        <f t="shared" si="256"/>
        <v>-0.070767816468712-0.150896301909717i</v>
      </c>
      <c r="AQ524" s="170" t="str">
        <f t="shared" si="257"/>
        <v>1.07076781646871+0.150896301909717i</v>
      </c>
      <c r="AR524" s="170" t="str">
        <f t="shared" si="258"/>
        <v>0.762797709275295-0.107496089875437i</v>
      </c>
    </row>
    <row r="525" spans="7:44">
      <c r="G525" s="688">
        <v>74131</v>
      </c>
      <c r="H525" s="676">
        <f t="shared" si="250"/>
        <v>74.131</v>
      </c>
      <c r="I525" s="677">
        <f t="shared" ref="I525:I588" si="262">SQRT(1+(G525/pole1)^2)</f>
        <v>609.70528167075304</v>
      </c>
      <c r="J525" s="678">
        <f t="shared" ref="J525:J588" si="263">ATAN(G525/pole1)</f>
        <v>1.5691561893737451</v>
      </c>
      <c r="K525" s="678">
        <f t="shared" ref="K525:K588" si="264">SQRT(1+(G525/Zero1)^2)</f>
        <v>1.005236477217573</v>
      </c>
      <c r="L525" s="679">
        <f t="shared" ref="L525:L588" si="265">ATAN(G525/Zero1)</f>
        <v>0.10211491843141079</v>
      </c>
      <c r="M525" s="678">
        <f t="shared" ref="M525:M588" si="266">SQRT(1+(G525/z_RHP)^2)</f>
        <v>1.0755214094959715</v>
      </c>
      <c r="N525" s="679">
        <f t="shared" ref="N525:N588" si="267">-ATAN(G525/z_RHP)</f>
        <v>-0.37697726867245973</v>
      </c>
      <c r="O525" s="677">
        <f t="shared" ref="O525:O588" si="268">SQRT(1+(G525/Pole2)^2)</f>
        <v>3074140.1425305428</v>
      </c>
      <c r="P525" s="680">
        <f t="shared" ref="P525:P588" si="269">ATAN(G525/Pole2)</f>
        <v>1.570796001500683</v>
      </c>
      <c r="Q525" s="689">
        <f t="shared" si="259"/>
        <v>122.96967181165741</v>
      </c>
      <c r="R525" s="690">
        <f t="shared" si="260"/>
        <v>1.5626641507274139</v>
      </c>
      <c r="S525" s="677">
        <f t="shared" ref="S525:S588" si="270">SQRT(1+(G525/pole4)^2)</f>
        <v>1.1456037076893679</v>
      </c>
      <c r="T525" s="680">
        <f t="shared" ref="T525:T588" si="271">ATAN(G525/pole4)</f>
        <v>0.50967687814634532</v>
      </c>
      <c r="U525" s="681">
        <f t="shared" si="251"/>
        <v>0.64483581269477641</v>
      </c>
      <c r="V525" s="682">
        <f t="shared" si="252"/>
        <v>-1.1494360159467589</v>
      </c>
      <c r="W525" s="683">
        <f t="shared" ref="W525:W588" si="272">20*LOG10(((K525*Q525*M525*U525)/(I525*O525*S525))*Adc)</f>
        <v>-40.016071169187356</v>
      </c>
      <c r="X525" s="684">
        <f t="shared" ref="X525:X588" si="273">((L525+R525+N525+V525)-(J525+P525+T525))*radconv</f>
        <v>-201.18056718989652</v>
      </c>
      <c r="Y525" s="687">
        <f t="shared" ref="Y525:Y588" si="274">IF(X525&gt;0,X525,X525+180)</f>
        <v>-21.180567189896522</v>
      </c>
      <c r="AA525" s="170">
        <f t="shared" ref="AA525:AA588" si="275">IF(W525&lt;0,G525,1000000000)</f>
        <v>74131</v>
      </c>
      <c r="AB525" s="170">
        <f t="shared" ref="AB525:AB588" si="276">G525^2</f>
        <v>5495405161</v>
      </c>
      <c r="AD525" s="686">
        <f t="shared" ref="AD525:AD588" si="277">20*LOG10((Q525/(O525*S525))*Aea)</f>
        <v>15.966248929895867</v>
      </c>
      <c r="AE525" s="687">
        <f t="shared" ref="AE525:AE588" si="278">(R525-(P525+T525))*radconv</f>
        <v>-29.668254796028567</v>
      </c>
      <c r="AG525" s="686">
        <f t="shared" ref="AG525:AG588" si="279">20*LOG10((K525*M525/(I525*U525))*Acs*Am)</f>
        <v>-7.3759256129343846</v>
      </c>
      <c r="AH525" s="687">
        <f t="shared" ref="AH525:AH588" si="280">(L525+N525-(J525+V525))*radconv</f>
        <v>-39.796647175198324</v>
      </c>
      <c r="AJ525" s="170">
        <f t="shared" ref="AJ525:AJ588" si="281">SUM((W526&lt;0)*(W525&gt;0))*G525</f>
        <v>0</v>
      </c>
      <c r="AK525" s="170">
        <f t="shared" si="261"/>
        <v>0</v>
      </c>
      <c r="AM525" s="170" t="str">
        <f t="shared" si="253"/>
        <v>1.43498770111831+0.900436394131095i</v>
      </c>
      <c r="AN525" s="170" t="str">
        <f t="shared" si="254"/>
        <v>2.02082094471951i</v>
      </c>
      <c r="AO525" s="170" t="str">
        <f t="shared" si="255"/>
        <v>0.445579503955545-0.710101359978475i</v>
      </c>
      <c r="AP525" s="170" t="str">
        <f t="shared" si="256"/>
        <v>-0.0724979501863847-0.150072732355183i</v>
      </c>
      <c r="AQ525" s="170" t="str">
        <f t="shared" si="257"/>
        <v>1.07249795018638+0.150072732355183i</v>
      </c>
      <c r="AR525" s="170" t="str">
        <f t="shared" si="258"/>
        <v>0.761775958268547-0.106593956174911i</v>
      </c>
    </row>
    <row r="526" spans="7:44">
      <c r="G526" s="688">
        <v>74562.75</v>
      </c>
      <c r="H526" s="676">
        <f t="shared" ref="H526:H589" si="282">G526/1000</f>
        <v>74.562749999999994</v>
      </c>
      <c r="I526" s="677">
        <f t="shared" si="262"/>
        <v>613.25628663874909</v>
      </c>
      <c r="J526" s="678">
        <f t="shared" si="263"/>
        <v>1.5691656864493311</v>
      </c>
      <c r="K526" s="678">
        <f t="shared" si="264"/>
        <v>1.0052974897066991</v>
      </c>
      <c r="L526" s="679">
        <f t="shared" si="265"/>
        <v>0.10270548938439106</v>
      </c>
      <c r="M526" s="678">
        <f t="shared" si="266"/>
        <v>1.076372355142168</v>
      </c>
      <c r="N526" s="679">
        <f t="shared" si="267"/>
        <v>-0.37896908749426561</v>
      </c>
      <c r="O526" s="677">
        <f t="shared" si="268"/>
        <v>3092044.3932021568</v>
      </c>
      <c r="P526" s="680">
        <f t="shared" si="269"/>
        <v>1.5707960033842747</v>
      </c>
      <c r="Q526" s="689">
        <f t="shared" si="259"/>
        <v>123.68581829478687</v>
      </c>
      <c r="R526" s="690">
        <f t="shared" si="260"/>
        <v>1.562711237423712</v>
      </c>
      <c r="S526" s="677">
        <f t="shared" si="270"/>
        <v>1.14719548118472</v>
      </c>
      <c r="T526" s="680">
        <f t="shared" si="271"/>
        <v>0.51215385567170468</v>
      </c>
      <c r="U526" s="681">
        <f t="shared" ref="U526:U589" si="283">IMABS(IMPRODUCT(AO526, AR526))</f>
        <v>0.64249402333369476</v>
      </c>
      <c r="V526" s="682">
        <f t="shared" ref="V526:V589" si="284">IMARGUMENT(IMPRODUCT(AO526, AR526))</f>
        <v>-1.154307145056926</v>
      </c>
      <c r="W526" s="683">
        <f t="shared" si="272"/>
        <v>-40.10278033075388</v>
      </c>
      <c r="X526" s="684">
        <f t="shared" si="273"/>
        <v>-201.67971465833156</v>
      </c>
      <c r="Y526" s="687">
        <f t="shared" si="274"/>
        <v>-21.679714658331562</v>
      </c>
      <c r="AA526" s="170">
        <f t="shared" si="275"/>
        <v>74562.75</v>
      </c>
      <c r="AB526" s="170">
        <f t="shared" si="276"/>
        <v>5559603687.5625</v>
      </c>
      <c r="AD526" s="686">
        <f t="shared" si="277"/>
        <v>15.954185271515602</v>
      </c>
      <c r="AE526" s="687">
        <f t="shared" si="278"/>
        <v>-29.80747739329226</v>
      </c>
      <c r="AG526" s="686">
        <f t="shared" si="279"/>
        <v>-7.3873688324065103</v>
      </c>
      <c r="AH526" s="687">
        <f t="shared" si="280"/>
        <v>-39.598381766780079</v>
      </c>
      <c r="AJ526" s="170">
        <f t="shared" si="281"/>
        <v>0</v>
      </c>
      <c r="AK526" s="170">
        <f t="shared" si="261"/>
        <v>0</v>
      </c>
      <c r="AM526" s="170" t="str">
        <f t="shared" ref="AM526:AM589" si="285">IMSUB(1,IMEXP(COMPLEX(0,-2*Pi*G526*Tsw)))</f>
        <v>1.44555507146341+0.895254532685113i</v>
      </c>
      <c r="AN526" s="170" t="str">
        <f t="shared" ref="AN526:AN589" si="286">COMPLEX(0, 2*Pi*G526*Tsw)</f>
        <v>2.03259050728959i</v>
      </c>
      <c r="AO526" s="170" t="str">
        <f t="shared" ref="AO526:AO589" si="287">IMDIV(AM526, AN526)</f>
        <v>0.440450021523968-0.711188538113869i</v>
      </c>
      <c r="AP526" s="170" t="str">
        <f t="shared" ref="AP526:AP589" si="288">IMDIV(IMEXP(COMPLEX(0,-2*Pi*G526*Tsw)),6)</f>
        <v>-0.0742591785772342-0.149209088780852i</v>
      </c>
      <c r="AQ526" s="170" t="str">
        <f t="shared" ref="AQ526:AQ589" si="289">IMSUB(1, AP526)</f>
        <v>1.07425917857723+0.149209088780852i</v>
      </c>
      <c r="AR526" s="170" t="str">
        <f t="shared" ref="AR526:AR589" si="290">IMDIV(0.833, AQ526)</f>
        <v>0.760742018255788-0.105663163605999i</v>
      </c>
    </row>
    <row r="527" spans="7:44">
      <c r="G527" s="688">
        <v>74994.5</v>
      </c>
      <c r="H527" s="676">
        <f t="shared" si="282"/>
        <v>74.994500000000002</v>
      </c>
      <c r="I527" s="677">
        <f t="shared" si="262"/>
        <v>616.80729166142055</v>
      </c>
      <c r="J527" s="678">
        <f t="shared" si="263"/>
        <v>1.5691750741741903</v>
      </c>
      <c r="K527" s="678">
        <f t="shared" si="264"/>
        <v>1.0053588527748749</v>
      </c>
      <c r="L527" s="679">
        <f t="shared" si="265"/>
        <v>0.10329598845114113</v>
      </c>
      <c r="M527" s="678">
        <f t="shared" si="266"/>
        <v>1.0772275643693536</v>
      </c>
      <c r="N527" s="679">
        <f t="shared" si="267"/>
        <v>-0.38095775159186507</v>
      </c>
      <c r="O527" s="677">
        <f t="shared" si="268"/>
        <v>3109948.6438737707</v>
      </c>
      <c r="P527" s="680">
        <f t="shared" si="269"/>
        <v>1.5707960052461785</v>
      </c>
      <c r="Q527" s="689">
        <f t="shared" si="259"/>
        <v>124.40196504898985</v>
      </c>
      <c r="R527" s="690">
        <f t="shared" si="260"/>
        <v>1.5627577819906582</v>
      </c>
      <c r="S527" s="677">
        <f t="shared" si="270"/>
        <v>1.1487942736731307</v>
      </c>
      <c r="T527" s="680">
        <f t="shared" si="271"/>
        <v>0.51462395383100901</v>
      </c>
      <c r="U527" s="681">
        <f t="shared" si="283"/>
        <v>0.64015998180944356</v>
      </c>
      <c r="V527" s="682">
        <f t="shared" si="284"/>
        <v>-1.1591637514175959</v>
      </c>
      <c r="W527" s="683">
        <f t="shared" si="272"/>
        <v>-40.189212870326791</v>
      </c>
      <c r="X527" s="684">
        <f t="shared" si="273"/>
        <v>-202.1774840374124</v>
      </c>
      <c r="Y527" s="687">
        <f t="shared" si="274"/>
        <v>-22.177484037412398</v>
      </c>
      <c r="AA527" s="170">
        <f t="shared" si="275"/>
        <v>74994.5</v>
      </c>
      <c r="AB527" s="170">
        <f t="shared" si="276"/>
        <v>5624175030.25</v>
      </c>
      <c r="AD527" s="686">
        <f t="shared" si="277"/>
        <v>15.942085322903308</v>
      </c>
      <c r="AE527" s="687">
        <f t="shared" si="278"/>
        <v>-29.94633689239604</v>
      </c>
      <c r="AG527" s="686">
        <f t="shared" si="279"/>
        <v>-7.3984786075931037</v>
      </c>
      <c r="AH527" s="687">
        <f t="shared" si="280"/>
        <v>-39.400765551675612</v>
      </c>
      <c r="AJ527" s="170">
        <f t="shared" si="281"/>
        <v>0</v>
      </c>
      <c r="AK527" s="170">
        <f t="shared" si="261"/>
        <v>0</v>
      </c>
      <c r="AM527" s="170" t="str">
        <f t="shared" si="285"/>
        <v>1.45606072307264+0.889948659682378i</v>
      </c>
      <c r="AN527" s="170" t="str">
        <f t="shared" si="286"/>
        <v>2.04436006985967i</v>
      </c>
      <c r="AO527" s="170" t="str">
        <f t="shared" si="287"/>
        <v>0.435318940534515-0.712233008528966i</v>
      </c>
      <c r="AP527" s="170" t="str">
        <f t="shared" si="288"/>
        <v>-0.0760101205121067-0.14832477661373i</v>
      </c>
      <c r="AQ527" s="170" t="str">
        <f t="shared" si="289"/>
        <v>1.07601012051211+0.14832477661373i</v>
      </c>
      <c r="AR527" s="170" t="str">
        <f t="shared" si="290"/>
        <v>0.75972023694084-0.104725162231327i</v>
      </c>
    </row>
    <row r="528" spans="7:44">
      <c r="G528" s="688">
        <v>75426.25</v>
      </c>
      <c r="H528" s="676">
        <f t="shared" si="282"/>
        <v>75.426249999999996</v>
      </c>
      <c r="I528" s="677">
        <f t="shared" si="262"/>
        <v>620.35829673782848</v>
      </c>
      <c r="J528" s="678">
        <f t="shared" si="263"/>
        <v>1.5691843544261308</v>
      </c>
      <c r="K528" s="678">
        <f t="shared" si="264"/>
        <v>1.0054205663579103</v>
      </c>
      <c r="L528" s="679">
        <f t="shared" si="265"/>
        <v>0.10388641523305982</v>
      </c>
      <c r="M528" s="678">
        <f t="shared" si="266"/>
        <v>1.0780870270310734</v>
      </c>
      <c r="N528" s="679">
        <f t="shared" si="267"/>
        <v>-0.38294325276214647</v>
      </c>
      <c r="O528" s="677">
        <f t="shared" si="268"/>
        <v>3127852.8945453851</v>
      </c>
      <c r="P528" s="680">
        <f t="shared" si="269"/>
        <v>1.5707960070867666</v>
      </c>
      <c r="Q528" s="689">
        <f t="shared" si="259"/>
        <v>125.11811206961168</v>
      </c>
      <c r="R528" s="690">
        <f t="shared" si="260"/>
        <v>1.562803793737116</v>
      </c>
      <c r="S528" s="677">
        <f t="shared" si="270"/>
        <v>1.1504000558902236</v>
      </c>
      <c r="T528" s="680">
        <f t="shared" si="271"/>
        <v>0.51708717122733672</v>
      </c>
      <c r="U528" s="681">
        <f t="shared" si="283"/>
        <v>0.63783370476548251</v>
      </c>
      <c r="V528" s="682">
        <f t="shared" si="284"/>
        <v>-1.1640060066736699</v>
      </c>
      <c r="W528" s="683">
        <f t="shared" si="272"/>
        <v>-40.275371358123209</v>
      </c>
      <c r="X528" s="684">
        <f t="shared" si="273"/>
        <v>-202.67388420871731</v>
      </c>
      <c r="Y528" s="687">
        <f t="shared" si="274"/>
        <v>-22.673884208717311</v>
      </c>
      <c r="AA528" s="170">
        <f t="shared" si="275"/>
        <v>75426.25</v>
      </c>
      <c r="AB528" s="170">
        <f t="shared" si="276"/>
        <v>5689119189.0625</v>
      </c>
      <c r="AD528" s="686">
        <f t="shared" si="277"/>
        <v>15.929949478667691</v>
      </c>
      <c r="AE528" s="687">
        <f t="shared" si="278"/>
        <v>-30.084832679964951</v>
      </c>
      <c r="AG528" s="686">
        <f t="shared" si="279"/>
        <v>-7.409258973199341</v>
      </c>
      <c r="AH528" s="687">
        <f t="shared" si="280"/>
        <v>-39.203788355781441</v>
      </c>
      <c r="AJ528" s="170">
        <f t="shared" si="281"/>
        <v>0</v>
      </c>
      <c r="AK528" s="170">
        <f t="shared" si="261"/>
        <v>0</v>
      </c>
      <c r="AM528" s="170" t="str">
        <f t="shared" si="285"/>
        <v>1.46650320069261+0.884519510097745i</v>
      </c>
      <c r="AN528" s="170" t="str">
        <f t="shared" si="286"/>
        <v>2.05612963242975i</v>
      </c>
      <c r="AO528" s="170" t="str">
        <f t="shared" si="287"/>
        <v>0.43018664589377-0.713234796854529i</v>
      </c>
      <c r="AP528" s="170" t="str">
        <f t="shared" si="288"/>
        <v>-0.0777505334487675-0.147419918349624i</v>
      </c>
      <c r="AQ528" s="170" t="str">
        <f t="shared" si="289"/>
        <v>1.07775053344877+0.147419918349624i</v>
      </c>
      <c r="AR528" s="170" t="str">
        <f t="shared" si="290"/>
        <v>0.758710593367504-0.103780095907091i</v>
      </c>
    </row>
    <row r="529" spans="7:44">
      <c r="G529" s="688">
        <v>75858</v>
      </c>
      <c r="H529" s="676">
        <f t="shared" si="282"/>
        <v>75.858000000000004</v>
      </c>
      <c r="I529" s="677">
        <f t="shared" si="262"/>
        <v>623.90930186705543</v>
      </c>
      <c r="J529" s="678">
        <f t="shared" si="263"/>
        <v>1.5691935290402106</v>
      </c>
      <c r="K529" s="678">
        <f t="shared" si="264"/>
        <v>1.0054826303912645</v>
      </c>
      <c r="L529" s="679">
        <f t="shared" si="265"/>
        <v>0.10447676933184505</v>
      </c>
      <c r="M529" s="678">
        <f t="shared" si="266"/>
        <v>1.0789507329628187</v>
      </c>
      <c r="N529" s="679">
        <f t="shared" si="267"/>
        <v>-0.38492558292782164</v>
      </c>
      <c r="O529" s="677">
        <f t="shared" si="268"/>
        <v>3145757.1452169991</v>
      </c>
      <c r="P529" s="680">
        <f t="shared" si="269"/>
        <v>1.570796008906403</v>
      </c>
      <c r="Q529" s="689">
        <f t="shared" si="259"/>
        <v>125.83425935210366</v>
      </c>
      <c r="R529" s="690">
        <f t="shared" si="260"/>
        <v>1.562849281760045</v>
      </c>
      <c r="S529" s="677">
        <f t="shared" si="270"/>
        <v>1.1520127986072046</v>
      </c>
      <c r="T529" s="680">
        <f t="shared" si="271"/>
        <v>0.51954350680552419</v>
      </c>
      <c r="U529" s="681">
        <f t="shared" si="283"/>
        <v>0.63551520679585949</v>
      </c>
      <c r="V529" s="682">
        <f t="shared" si="284"/>
        <v>-1.1688340821670997</v>
      </c>
      <c r="W529" s="683">
        <f t="shared" si="272"/>
        <v>-40.361258329654355</v>
      </c>
      <c r="X529" s="684">
        <f t="shared" si="273"/>
        <v>-203.16892407293173</v>
      </c>
      <c r="Y529" s="687">
        <f t="shared" si="274"/>
        <v>-23.168924072931731</v>
      </c>
      <c r="AA529" s="170">
        <f t="shared" si="275"/>
        <v>75858</v>
      </c>
      <c r="AB529" s="170">
        <f t="shared" si="276"/>
        <v>5754436164</v>
      </c>
      <c r="AD529" s="686">
        <f t="shared" si="277"/>
        <v>15.91777813187996</v>
      </c>
      <c r="AE529" s="687">
        <f t="shared" si="278"/>
        <v>-30.222964174346018</v>
      </c>
      <c r="AG529" s="686">
        <f t="shared" si="279"/>
        <v>-7.4197138857783154</v>
      </c>
      <c r="AH529" s="687">
        <f t="shared" si="280"/>
        <v>-39.007440027094454</v>
      </c>
      <c r="AJ529" s="170">
        <f t="shared" si="281"/>
        <v>0</v>
      </c>
      <c r="AK529" s="170">
        <f t="shared" si="261"/>
        <v>0</v>
      </c>
      <c r="AM529" s="170" t="str">
        <f t="shared" si="285"/>
        <v>1.47688105782081+0.878967835982467i</v>
      </c>
      <c r="AN529" s="170" t="str">
        <f t="shared" si="286"/>
        <v>2.06789919499983i</v>
      </c>
      <c r="AO529" s="170" t="str">
        <f t="shared" si="287"/>
        <v>0.4250535220033-0.714193932369576i</v>
      </c>
      <c r="AP529" s="170" t="str">
        <f t="shared" si="288"/>
        <v>-0.079480176303469-0.146494639330411i</v>
      </c>
      <c r="AQ529" s="170" t="str">
        <f t="shared" si="289"/>
        <v>1.07948017630347+0.146494639330411i</v>
      </c>
      <c r="AR529" s="170" t="str">
        <f t="shared" si="290"/>
        <v>0.757713065619021-0.10282810625009i</v>
      </c>
    </row>
    <row r="530" spans="7:44">
      <c r="G530" s="688">
        <v>76299.75</v>
      </c>
      <c r="H530" s="676">
        <f t="shared" si="282"/>
        <v>76.299750000000003</v>
      </c>
      <c r="I530" s="677">
        <f t="shared" si="262"/>
        <v>627.54255383934321</v>
      </c>
      <c r="J530" s="678">
        <f t="shared" si="263"/>
        <v>1.5692028086866843</v>
      </c>
      <c r="K530" s="678">
        <f t="shared" si="264"/>
        <v>1.0055464945760397</v>
      </c>
      <c r="L530" s="679">
        <f t="shared" si="265"/>
        <v>0.10508072130475926</v>
      </c>
      <c r="M530" s="678">
        <f t="shared" si="266"/>
        <v>1.0798388248734938</v>
      </c>
      <c r="N530" s="679">
        <f t="shared" si="267"/>
        <v>-0.38695053662011347</v>
      </c>
      <c r="O530" s="677">
        <f t="shared" si="268"/>
        <v>3164076.0861184131</v>
      </c>
      <c r="P530" s="680">
        <f t="shared" si="269"/>
        <v>1.570796010746871</v>
      </c>
      <c r="Q530" s="689">
        <f t="shared" si="259"/>
        <v>126.56699398339468</v>
      </c>
      <c r="R530" s="690">
        <f t="shared" si="260"/>
        <v>1.5628952905689548</v>
      </c>
      <c r="S530" s="677">
        <f t="shared" si="270"/>
        <v>1.1536700686923202</v>
      </c>
      <c r="T530" s="680">
        <f t="shared" si="271"/>
        <v>0.52204961142716599</v>
      </c>
      <c r="U530" s="681">
        <f t="shared" si="283"/>
        <v>0.63315107336386633</v>
      </c>
      <c r="V530" s="682">
        <f t="shared" si="284"/>
        <v>-1.1737594855554514</v>
      </c>
      <c r="W530" s="683">
        <f t="shared" si="272"/>
        <v>-40.448856163790417</v>
      </c>
      <c r="X530" s="684">
        <f t="shared" si="273"/>
        <v>-203.67403119855874</v>
      </c>
      <c r="Y530" s="687">
        <f t="shared" si="274"/>
        <v>-23.674031198558737</v>
      </c>
      <c r="AA530" s="170">
        <f t="shared" si="275"/>
        <v>76299.75</v>
      </c>
      <c r="AB530" s="170">
        <f t="shared" si="276"/>
        <v>5821651850.0625</v>
      </c>
      <c r="AD530" s="686">
        <f t="shared" si="277"/>
        <v>15.905288540634871</v>
      </c>
      <c r="AE530" s="687">
        <f t="shared" si="278"/>
        <v>-30.363917387225499</v>
      </c>
      <c r="AG530" s="686">
        <f t="shared" si="279"/>
        <v>-7.4300781493571044</v>
      </c>
      <c r="AH530" s="687">
        <f t="shared" si="280"/>
        <v>-38.807184286093126</v>
      </c>
      <c r="AJ530" s="170">
        <f t="shared" si="281"/>
        <v>0</v>
      </c>
      <c r="AK530" s="170">
        <f t="shared" si="261"/>
        <v>0</v>
      </c>
      <c r="AM530" s="170" t="str">
        <f t="shared" si="285"/>
        <v>1.48743090002075+0.873161564491337i</v>
      </c>
      <c r="AN530" s="170" t="str">
        <f t="shared" si="286"/>
        <v>2.07994135890332i</v>
      </c>
      <c r="AO530" s="170" t="str">
        <f t="shared" si="287"/>
        <v>0.419801049079443-0.715131171200432i</v>
      </c>
      <c r="AP530" s="170" t="str">
        <f t="shared" si="288"/>
        <v>-0.081238483336792-0.145526927415223i</v>
      </c>
      <c r="AQ530" s="170" t="str">
        <f t="shared" si="289"/>
        <v>1.08123848333679+0.145526927415223i</v>
      </c>
      <c r="AR530" s="170" t="str">
        <f t="shared" si="290"/>
        <v>0.756704949775022-0.10184704669483i</v>
      </c>
    </row>
    <row r="531" spans="7:44">
      <c r="G531" s="688">
        <v>76741.5</v>
      </c>
      <c r="H531" s="676">
        <f t="shared" si="282"/>
        <v>76.741500000000002</v>
      </c>
      <c r="I531" s="677">
        <f t="shared" si="262"/>
        <v>631.17580586504778</v>
      </c>
      <c r="J531" s="678">
        <f t="shared" si="263"/>
        <v>1.5692119814998675</v>
      </c>
      <c r="K531" s="678">
        <f t="shared" si="264"/>
        <v>1.0056107254952635</v>
      </c>
      <c r="L531" s="679">
        <f t="shared" si="265"/>
        <v>0.10568459634601571</v>
      </c>
      <c r="M531" s="678">
        <f t="shared" si="266"/>
        <v>1.0807313373080358</v>
      </c>
      <c r="N531" s="679">
        <f t="shared" si="267"/>
        <v>-0.38897215401027835</v>
      </c>
      <c r="O531" s="677">
        <f t="shared" si="268"/>
        <v>3182395.0270198272</v>
      </c>
      <c r="P531" s="680">
        <f t="shared" si="269"/>
        <v>1.5707960125661502</v>
      </c>
      <c r="Q531" s="689">
        <f t="shared" si="259"/>
        <v>127.29972887951979</v>
      </c>
      <c r="R531" s="690">
        <f t="shared" si="260"/>
        <v>1.5629407697262456</v>
      </c>
      <c r="S531" s="677">
        <f t="shared" si="270"/>
        <v>1.1553345636582746</v>
      </c>
      <c r="T531" s="680">
        <f t="shared" si="271"/>
        <v>0.52454851059649865</v>
      </c>
      <c r="U531" s="681">
        <f t="shared" si="283"/>
        <v>0.6307951080848162</v>
      </c>
      <c r="V531" s="682">
        <f t="shared" si="284"/>
        <v>-1.178670406593038</v>
      </c>
      <c r="W531" s="683">
        <f t="shared" si="272"/>
        <v>-40.536175021983155</v>
      </c>
      <c r="X531" s="684">
        <f t="shared" si="273"/>
        <v>-204.17773318092108</v>
      </c>
      <c r="Y531" s="687">
        <f t="shared" si="274"/>
        <v>-24.177733180921081</v>
      </c>
      <c r="AA531" s="170">
        <f t="shared" si="275"/>
        <v>76741.5</v>
      </c>
      <c r="AB531" s="170">
        <f t="shared" si="276"/>
        <v>5889257822.25</v>
      </c>
      <c r="AD531" s="686">
        <f t="shared" si="277"/>
        <v>15.892762610694655</v>
      </c>
      <c r="AE531" s="687">
        <f t="shared" si="278"/>
        <v>-30.504488103686075</v>
      </c>
      <c r="AG531" s="686">
        <f t="shared" si="279"/>
        <v>-7.4401098451931622</v>
      </c>
      <c r="AH531" s="687">
        <f t="shared" si="280"/>
        <v>-38.607565453400383</v>
      </c>
      <c r="AJ531" s="170">
        <f t="shared" si="281"/>
        <v>0</v>
      </c>
      <c r="AK531" s="170">
        <f t="shared" si="261"/>
        <v>0</v>
      </c>
      <c r="AM531" s="170" t="str">
        <f t="shared" si="285"/>
        <v>1.49791005891097+0.867228674131149i</v>
      </c>
      <c r="AN531" s="170" t="str">
        <f t="shared" si="286"/>
        <v>2.09198352280682i</v>
      </c>
      <c r="AO531" s="170" t="str">
        <f t="shared" si="287"/>
        <v>0.414548520424093-0.716023832205533i</v>
      </c>
      <c r="AP531" s="170" t="str">
        <f t="shared" si="288"/>
        <v>-0.0829850098184955-0.144538112355192i</v>
      </c>
      <c r="AQ531" s="170" t="str">
        <f t="shared" si="289"/>
        <v>1.0829850098185+0.144538112355192i</v>
      </c>
      <c r="AR531" s="170" t="str">
        <f t="shared" si="290"/>
        <v>0.755709468224768-0.100859032245017i</v>
      </c>
    </row>
    <row r="532" spans="7:44">
      <c r="G532" s="688">
        <v>77183.25</v>
      </c>
      <c r="H532" s="676">
        <f t="shared" si="282"/>
        <v>77.183250000000001</v>
      </c>
      <c r="I532" s="677">
        <f t="shared" si="262"/>
        <v>634.80905794325167</v>
      </c>
      <c r="J532" s="678">
        <f t="shared" si="263"/>
        <v>1.5692210493141006</v>
      </c>
      <c r="K532" s="678">
        <f t="shared" si="264"/>
        <v>1.0056753230786681</v>
      </c>
      <c r="L532" s="679">
        <f t="shared" si="265"/>
        <v>0.106288394029973</v>
      </c>
      <c r="M532" s="678">
        <f t="shared" si="266"/>
        <v>1.0816282593235749</v>
      </c>
      <c r="N532" s="679">
        <f t="shared" si="267"/>
        <v>-0.39099042685328689</v>
      </c>
      <c r="O532" s="677">
        <f t="shared" si="268"/>
        <v>3200713.9679212412</v>
      </c>
      <c r="P532" s="680">
        <f t="shared" si="269"/>
        <v>1.5707960143646045</v>
      </c>
      <c r="Q532" s="689">
        <f t="shared" si="259"/>
        <v>128.03246403593198</v>
      </c>
      <c r="R532" s="690">
        <f t="shared" si="260"/>
        <v>1.562985728325383</v>
      </c>
      <c r="S532" s="677">
        <f t="shared" si="270"/>
        <v>1.1570062523234443</v>
      </c>
      <c r="T532" s="680">
        <f t="shared" si="271"/>
        <v>0.52704020426995279</v>
      </c>
      <c r="U532" s="681">
        <f t="shared" si="283"/>
        <v>0.6284473202531029</v>
      </c>
      <c r="V532" s="682">
        <f t="shared" si="284"/>
        <v>-1.1835670277372199</v>
      </c>
      <c r="W532" s="683">
        <f t="shared" si="272"/>
        <v>-40.623217514113307</v>
      </c>
      <c r="X532" s="684">
        <f t="shared" si="273"/>
        <v>-204.68003960764472</v>
      </c>
      <c r="Y532" s="687">
        <f t="shared" si="274"/>
        <v>-24.680039607644716</v>
      </c>
      <c r="AA532" s="170">
        <f t="shared" si="275"/>
        <v>77183.25</v>
      </c>
      <c r="AB532" s="170">
        <f t="shared" si="276"/>
        <v>5957254080.5625</v>
      </c>
      <c r="AD532" s="686">
        <f t="shared" si="277"/>
        <v>15.880200757944259</v>
      </c>
      <c r="AE532" s="687">
        <f t="shared" si="278"/>
        <v>-30.644675800235063</v>
      </c>
      <c r="AG532" s="686">
        <f t="shared" si="279"/>
        <v>-7.4498129670106428</v>
      </c>
      <c r="AH532" s="687">
        <f t="shared" si="280"/>
        <v>-38.408572732061558</v>
      </c>
      <c r="AJ532" s="170">
        <f t="shared" si="281"/>
        <v>0</v>
      </c>
      <c r="AK532" s="170">
        <f t="shared" si="261"/>
        <v>0</v>
      </c>
      <c r="AM532" s="170" t="str">
        <f t="shared" si="285"/>
        <v>1.5083170148881+0.861170025241967i</v>
      </c>
      <c r="AN532" s="170" t="str">
        <f t="shared" si="286"/>
        <v>2.10402568671031i</v>
      </c>
      <c r="AO532" s="170" t="str">
        <f t="shared" si="287"/>
        <v>0.409296345896055-0.716871958557876i</v>
      </c>
      <c r="AP532" s="170" t="str">
        <f t="shared" si="288"/>
        <v>-0.0847195024813502-0.143528337540328i</v>
      </c>
      <c r="AQ532" s="170" t="str">
        <f t="shared" si="289"/>
        <v>1.08471950248135+0.143528337540328i</v>
      </c>
      <c r="AR532" s="170" t="str">
        <f t="shared" si="290"/>
        <v>0.754726594709651-0.0998642074640965i</v>
      </c>
    </row>
    <row r="533" spans="7:44">
      <c r="G533" s="688">
        <v>77625</v>
      </c>
      <c r="H533" s="676">
        <f t="shared" si="282"/>
        <v>77.625</v>
      </c>
      <c r="I533" s="677">
        <f t="shared" si="262"/>
        <v>638.44231007305893</v>
      </c>
      <c r="J533" s="678">
        <f t="shared" si="263"/>
        <v>1.5692300139219684</v>
      </c>
      <c r="K533" s="678">
        <f t="shared" si="264"/>
        <v>1.0057402872556016</v>
      </c>
      <c r="L533" s="679">
        <f t="shared" si="265"/>
        <v>0.10689211393132449</v>
      </c>
      <c r="M533" s="678">
        <f t="shared" si="266"/>
        <v>1.0825295799595318</v>
      </c>
      <c r="N533" s="679">
        <f t="shared" si="267"/>
        <v>-0.39300534704035744</v>
      </c>
      <c r="O533" s="677">
        <f t="shared" si="268"/>
        <v>3219032.9088226552</v>
      </c>
      <c r="P533" s="680">
        <f t="shared" si="269"/>
        <v>1.5707960161425893</v>
      </c>
      <c r="Q533" s="689">
        <f t="shared" si="259"/>
        <v>128.76519944818784</v>
      </c>
      <c r="R533" s="690">
        <f t="shared" si="260"/>
        <v>1.5630301752528561</v>
      </c>
      <c r="S533" s="677">
        <f t="shared" si="270"/>
        <v>1.1586851035517811</v>
      </c>
      <c r="T533" s="680">
        <f t="shared" si="271"/>
        <v>0.52952469276209213</v>
      </c>
      <c r="U533" s="681">
        <f t="shared" si="283"/>
        <v>0.62610771713274171</v>
      </c>
      <c r="V533" s="682">
        <f t="shared" si="284"/>
        <v>-1.1884495310597147</v>
      </c>
      <c r="W533" s="683">
        <f t="shared" si="272"/>
        <v>-40.709986216561845</v>
      </c>
      <c r="X533" s="684">
        <f t="shared" si="273"/>
        <v>-205.1809600820327</v>
      </c>
      <c r="Y533" s="687">
        <f t="shared" si="274"/>
        <v>-25.180960082032698</v>
      </c>
      <c r="AA533" s="170">
        <f t="shared" si="275"/>
        <v>77625</v>
      </c>
      <c r="AB533" s="170">
        <f t="shared" si="276"/>
        <v>6025640625</v>
      </c>
      <c r="AD533" s="686">
        <f t="shared" si="277"/>
        <v>15.867603396492282</v>
      </c>
      <c r="AE533" s="687">
        <f t="shared" si="278"/>
        <v>-30.784479985757724</v>
      </c>
      <c r="AG533" s="686">
        <f t="shared" si="279"/>
        <v>-7.4591914294075696</v>
      </c>
      <c r="AH533" s="687">
        <f t="shared" si="280"/>
        <v>-38.210195352612502</v>
      </c>
      <c r="AJ533" s="170">
        <f t="shared" si="281"/>
        <v>0</v>
      </c>
      <c r="AK533" s="170">
        <f t="shared" si="261"/>
        <v>0</v>
      </c>
      <c r="AM533" s="170" t="str">
        <f t="shared" si="285"/>
        <v>1.51865025881907+0.85498649640033i</v>
      </c>
      <c r="AN533" s="170" t="str">
        <f t="shared" si="286"/>
        <v>2.1160678506138i</v>
      </c>
      <c r="AO533" s="170" t="str">
        <f t="shared" si="287"/>
        <v>0.404044934642491-0.717675597395689i</v>
      </c>
      <c r="AP533" s="170" t="str">
        <f t="shared" si="288"/>
        <v>-0.0864417098031785-0.142497749400055i</v>
      </c>
      <c r="AQ533" s="170" t="str">
        <f t="shared" si="289"/>
        <v>1.08644170980318+0.142497749400055i</v>
      </c>
      <c r="AR533" s="170" t="str">
        <f t="shared" si="290"/>
        <v>0.753756302142329-0.0988627145683204i</v>
      </c>
    </row>
    <row r="534" spans="7:44">
      <c r="G534" s="688">
        <v>78077</v>
      </c>
      <c r="H534" s="676">
        <f t="shared" si="282"/>
        <v>78.076999999999998</v>
      </c>
      <c r="I534" s="677">
        <f t="shared" si="262"/>
        <v>642.15986521932848</v>
      </c>
      <c r="J534" s="678">
        <f t="shared" si="263"/>
        <v>1.5692390815381763</v>
      </c>
      <c r="K534" s="678">
        <f t="shared" si="264"/>
        <v>1.0058071381846405</v>
      </c>
      <c r="L534" s="679">
        <f t="shared" si="265"/>
        <v>0.10750976109367981</v>
      </c>
      <c r="M534" s="678">
        <f t="shared" si="266"/>
        <v>1.0834563555373313</v>
      </c>
      <c r="N534" s="679">
        <f t="shared" si="267"/>
        <v>-0.3950635411990373</v>
      </c>
      <c r="O534" s="677">
        <f t="shared" si="268"/>
        <v>3237776.9072096148</v>
      </c>
      <c r="P534" s="680">
        <f t="shared" si="269"/>
        <v>1.5707960179410043</v>
      </c>
      <c r="Q534" s="689">
        <f t="shared" si="259"/>
        <v>129.51493690449055</v>
      </c>
      <c r="R534" s="690">
        <f t="shared" si="260"/>
        <v>1.5630751329302408</v>
      </c>
      <c r="S534" s="677">
        <f t="shared" si="270"/>
        <v>1.1604102908039031</v>
      </c>
      <c r="T534" s="680">
        <f t="shared" si="271"/>
        <v>0.53205937206512832</v>
      </c>
      <c r="U534" s="681">
        <f t="shared" si="283"/>
        <v>0.62372230508838578</v>
      </c>
      <c r="V534" s="682">
        <f t="shared" si="284"/>
        <v>-1.1934309004420256</v>
      </c>
      <c r="W534" s="683">
        <f t="shared" si="272"/>
        <v>-40.798487488668485</v>
      </c>
      <c r="X534" s="684">
        <f t="shared" si="273"/>
        <v>-205.69207896799134</v>
      </c>
      <c r="Y534" s="687">
        <f t="shared" si="274"/>
        <v>-25.692078967991336</v>
      </c>
      <c r="AA534" s="170">
        <f t="shared" si="275"/>
        <v>78077</v>
      </c>
      <c r="AB534" s="170">
        <f t="shared" si="276"/>
        <v>6096017929</v>
      </c>
      <c r="AD534" s="686">
        <f t="shared" si="277"/>
        <v>15.854677412260953</v>
      </c>
      <c r="AE534" s="687">
        <f t="shared" si="278"/>
        <v>-30.92713063027459</v>
      </c>
      <c r="AG534" s="686">
        <f t="shared" si="279"/>
        <v>-7.4684554571960859</v>
      </c>
      <c r="AH534" s="687">
        <f t="shared" si="280"/>
        <v>-38.007840709797769</v>
      </c>
      <c r="AJ534" s="170">
        <f t="shared" si="281"/>
        <v>0</v>
      </c>
      <c r="AK534" s="170">
        <f t="shared" si="261"/>
        <v>0</v>
      </c>
      <c r="AM534" s="170" t="str">
        <f t="shared" si="285"/>
        <v>1.52914540640831+0.848531165530753i</v>
      </c>
      <c r="AN534" s="170" t="str">
        <f t="shared" si="286"/>
        <v>2.12838943088404i</v>
      </c>
      <c r="AO534" s="170" t="str">
        <f t="shared" si="287"/>
        <v>0.398672890035124-0.718451888653276i</v>
      </c>
      <c r="AP534" s="170" t="str">
        <f t="shared" si="288"/>
        <v>-0.0881909010680525-0.141421860921792i</v>
      </c>
      <c r="AQ534" s="170" t="str">
        <f t="shared" si="289"/>
        <v>1.08819090106805+0.141421860921792i</v>
      </c>
      <c r="AR534" s="170" t="str">
        <f t="shared" si="290"/>
        <v>0.752776488855835-0.097831227781519i</v>
      </c>
    </row>
    <row r="535" spans="7:44">
      <c r="G535" s="688">
        <v>78529</v>
      </c>
      <c r="H535" s="676">
        <f t="shared" si="282"/>
        <v>78.528999999999996</v>
      </c>
      <c r="I535" s="677">
        <f t="shared" si="262"/>
        <v>645.87742041778972</v>
      </c>
      <c r="J535" s="678">
        <f t="shared" si="263"/>
        <v>1.5692480447712229</v>
      </c>
      <c r="K535" s="678">
        <f t="shared" si="264"/>
        <v>1.0058743727659625</v>
      </c>
      <c r="L535" s="679">
        <f t="shared" si="265"/>
        <v>0.10812732592214956</v>
      </c>
      <c r="M535" s="678">
        <f t="shared" si="266"/>
        <v>1.0843877129565356</v>
      </c>
      <c r="N535" s="679">
        <f t="shared" si="267"/>
        <v>-0.39711820857129088</v>
      </c>
      <c r="O535" s="677">
        <f t="shared" si="268"/>
        <v>3256520.9055965738</v>
      </c>
      <c r="P535" s="680">
        <f t="shared" si="269"/>
        <v>1.5707960197187165</v>
      </c>
      <c r="Q535" s="689">
        <f t="shared" ref="Q535:Q598" si="291">SQRT(1+(G535/Zero2)^2)</f>
        <v>130.26467461955465</v>
      </c>
      <c r="R535" s="690">
        <f t="shared" ref="R535:R598" si="292">ATAN(G535/Zero2)</f>
        <v>1.563119573100318</v>
      </c>
      <c r="S535" s="677">
        <f t="shared" si="270"/>
        <v>1.1621429110648991</v>
      </c>
      <c r="T535" s="680">
        <f t="shared" si="271"/>
        <v>0.534586509738181</v>
      </c>
      <c r="U535" s="681">
        <f t="shared" si="283"/>
        <v>0.62134547108432558</v>
      </c>
      <c r="V535" s="682">
        <f t="shared" si="284"/>
        <v>-1.1983978736208909</v>
      </c>
      <c r="W535" s="683">
        <f t="shared" si="272"/>
        <v>-40.88670747247523</v>
      </c>
      <c r="X535" s="684">
        <f t="shared" si="273"/>
        <v>-206.20176722517164</v>
      </c>
      <c r="Y535" s="687">
        <f t="shared" si="274"/>
        <v>-26.201767225171636</v>
      </c>
      <c r="AA535" s="170">
        <f t="shared" si="275"/>
        <v>78529</v>
      </c>
      <c r="AB535" s="170">
        <f t="shared" si="276"/>
        <v>6166803841</v>
      </c>
      <c r="AD535" s="686">
        <f t="shared" si="277"/>
        <v>15.841715123752465</v>
      </c>
      <c r="AE535" s="687">
        <f t="shared" si="278"/>
        <v>-31.069378821020702</v>
      </c>
      <c r="AG535" s="686">
        <f t="shared" si="279"/>
        <v>-7.4773876292705346</v>
      </c>
      <c r="AH535" s="687">
        <f t="shared" si="280"/>
        <v>-37.806107575374291</v>
      </c>
      <c r="AJ535" s="170">
        <f t="shared" si="281"/>
        <v>0</v>
      </c>
      <c r="AK535" s="170">
        <f t="shared" ref="AK535:AK598" si="293">IF(AJ535&gt;0,Y535,0)</f>
        <v>0</v>
      </c>
      <c r="AM535" s="170" t="str">
        <f t="shared" si="285"/>
        <v>1.5395602194491+0.841947011152151i</v>
      </c>
      <c r="AN535" s="170" t="str">
        <f t="shared" si="286"/>
        <v>2.14071101115428i</v>
      </c>
      <c r="AO535" s="170" t="str">
        <f t="shared" si="287"/>
        <v>0.393302508729644-0.719181716461094i</v>
      </c>
      <c r="AP535" s="170" t="str">
        <f t="shared" si="288"/>
        <v>-0.0899267032415165-0.140324501858692i</v>
      </c>
      <c r="AQ535" s="170" t="str">
        <f t="shared" si="289"/>
        <v>1.08992670324152+0.140324501858692i</v>
      </c>
      <c r="AR535" s="170" t="str">
        <f t="shared" si="290"/>
        <v>0.75180978732005-0.0967930536837189i</v>
      </c>
    </row>
    <row r="536" spans="7:44">
      <c r="G536" s="688">
        <v>78981</v>
      </c>
      <c r="H536" s="676">
        <f t="shared" si="282"/>
        <v>78.980999999999995</v>
      </c>
      <c r="I536" s="677">
        <f t="shared" si="262"/>
        <v>649.59497566754646</v>
      </c>
      <c r="J536" s="678">
        <f t="shared" si="263"/>
        <v>1.5692569054132239</v>
      </c>
      <c r="K536" s="678">
        <f t="shared" si="264"/>
        <v>1.0059419909226406</v>
      </c>
      <c r="L536" s="679">
        <f t="shared" si="265"/>
        <v>0.10874480796222859</v>
      </c>
      <c r="M536" s="678">
        <f t="shared" si="266"/>
        <v>1.0853236404215885</v>
      </c>
      <c r="N536" s="679">
        <f t="shared" si="267"/>
        <v>-0.399169340910704</v>
      </c>
      <c r="O536" s="677">
        <f t="shared" si="268"/>
        <v>3275264.9039835329</v>
      </c>
      <c r="P536" s="680">
        <f t="shared" si="269"/>
        <v>1.5707960214760814</v>
      </c>
      <c r="Q536" s="689">
        <f t="shared" si="291"/>
        <v>131.0144125889378</v>
      </c>
      <c r="R536" s="690">
        <f t="shared" si="292"/>
        <v>1.5631635046473118</v>
      </c>
      <c r="S536" s="677">
        <f t="shared" si="270"/>
        <v>1.1638829311392098</v>
      </c>
      <c r="T536" s="680">
        <f t="shared" si="271"/>
        <v>0.53710610725527808</v>
      </c>
      <c r="U536" s="681">
        <f t="shared" si="283"/>
        <v>0.6189772166378753</v>
      </c>
      <c r="V536" s="682">
        <f t="shared" si="284"/>
        <v>-1.2033506443117434</v>
      </c>
      <c r="W536" s="683">
        <f t="shared" si="272"/>
        <v>-40.974648825787988</v>
      </c>
      <c r="X536" s="684">
        <f t="shared" si="273"/>
        <v>-206.710035184335</v>
      </c>
      <c r="Y536" s="687">
        <f t="shared" si="274"/>
        <v>-26.710035184334998</v>
      </c>
      <c r="AA536" s="170">
        <f t="shared" si="275"/>
        <v>78981</v>
      </c>
      <c r="AB536" s="170">
        <f t="shared" si="276"/>
        <v>6237998361</v>
      </c>
      <c r="AD536" s="686">
        <f t="shared" si="277"/>
        <v>15.828716968662253</v>
      </c>
      <c r="AE536" s="687">
        <f t="shared" si="278"/>
        <v>-31.211224133443455</v>
      </c>
      <c r="AG536" s="686">
        <f t="shared" si="279"/>
        <v>-7.4859918917996415</v>
      </c>
      <c r="AH536" s="687">
        <f t="shared" si="280"/>
        <v>-37.604984506502468</v>
      </c>
      <c r="AJ536" s="170">
        <f t="shared" si="281"/>
        <v>0</v>
      </c>
      <c r="AK536" s="170">
        <f t="shared" si="293"/>
        <v>0</v>
      </c>
      <c r="AM536" s="170" t="str">
        <f t="shared" si="285"/>
        <v>1.54989311677056+0.835235032867013i</v>
      </c>
      <c r="AN536" s="170" t="str">
        <f t="shared" si="286"/>
        <v>2.15303259142453i</v>
      </c>
      <c r="AO536" s="170" t="str">
        <f t="shared" si="287"/>
        <v>0.387934226445866-0.719865144143076i</v>
      </c>
      <c r="AP536" s="170" t="str">
        <f t="shared" si="288"/>
        <v>-0.091648852795093-0.139205838811169i</v>
      </c>
      <c r="AQ536" s="170" t="str">
        <f t="shared" si="289"/>
        <v>1.09164885279509+0.139205838811169i</v>
      </c>
      <c r="AR536" s="170" t="str">
        <f t="shared" si="290"/>
        <v>0.750856166165183-0.095748337178148i</v>
      </c>
    </row>
    <row r="537" spans="7:44">
      <c r="G537" s="688">
        <v>79433</v>
      </c>
      <c r="H537" s="676">
        <f t="shared" si="282"/>
        <v>79.433000000000007</v>
      </c>
      <c r="I537" s="677">
        <f t="shared" si="262"/>
        <v>653.31253096772309</v>
      </c>
      <c r="J537" s="678">
        <f t="shared" si="263"/>
        <v>1.5692656652155048</v>
      </c>
      <c r="K537" s="678">
        <f t="shared" si="264"/>
        <v>1.0060099925773296</v>
      </c>
      <c r="L537" s="679">
        <f t="shared" si="265"/>
        <v>0.10936220675978608</v>
      </c>
      <c r="M537" s="678">
        <f t="shared" si="266"/>
        <v>1.0862641261198067</v>
      </c>
      <c r="N537" s="679">
        <f t="shared" si="267"/>
        <v>-0.40121693011819159</v>
      </c>
      <c r="O537" s="677">
        <f t="shared" si="268"/>
        <v>3294008.902370492</v>
      </c>
      <c r="P537" s="680">
        <f t="shared" si="269"/>
        <v>1.5707960232134464</v>
      </c>
      <c r="Q537" s="689">
        <f t="shared" si="291"/>
        <v>131.76415080829869</v>
      </c>
      <c r="R537" s="690">
        <f t="shared" si="292"/>
        <v>1.5632069362532497</v>
      </c>
      <c r="S537" s="677">
        <f t="shared" si="270"/>
        <v>1.1656303178881382</v>
      </c>
      <c r="T537" s="680">
        <f t="shared" si="271"/>
        <v>0.53961816646460381</v>
      </c>
      <c r="U537" s="681">
        <f t="shared" si="283"/>
        <v>0.6166175412643955</v>
      </c>
      <c r="V537" s="682">
        <f t="shared" si="284"/>
        <v>-1.2082894057608731</v>
      </c>
      <c r="W537" s="683">
        <f t="shared" si="272"/>
        <v>-41.06231417416889</v>
      </c>
      <c r="X537" s="684">
        <f t="shared" si="273"/>
        <v>-207.21689318846765</v>
      </c>
      <c r="Y537" s="687">
        <f t="shared" si="274"/>
        <v>-27.216893188467651</v>
      </c>
      <c r="AA537" s="170">
        <f t="shared" si="275"/>
        <v>79433</v>
      </c>
      <c r="AB537" s="170">
        <f t="shared" si="276"/>
        <v>6309601489</v>
      </c>
      <c r="AD537" s="686">
        <f t="shared" si="277"/>
        <v>15.815683382647725</v>
      </c>
      <c r="AE537" s="687">
        <f t="shared" si="278"/>
        <v>-31.35266617601237</v>
      </c>
      <c r="AG537" s="686">
        <f t="shared" si="279"/>
        <v>-7.4942721107921333</v>
      </c>
      <c r="AH537" s="687">
        <f t="shared" si="280"/>
        <v>-37.404460093305438</v>
      </c>
      <c r="AJ537" s="170">
        <f t="shared" si="281"/>
        <v>0</v>
      </c>
      <c r="AK537" s="170">
        <f t="shared" si="293"/>
        <v>0</v>
      </c>
      <c r="AM537" s="170" t="str">
        <f t="shared" si="285"/>
        <v>1.5601425296382+0.828396249683998i</v>
      </c>
      <c r="AN537" s="170" t="str">
        <f t="shared" si="286"/>
        <v>2.16535417169477i</v>
      </c>
      <c r="AO537" s="170" t="str">
        <f t="shared" si="287"/>
        <v>0.382568477948174-0.720502239325179i</v>
      </c>
      <c r="AP537" s="170" t="str">
        <f t="shared" si="288"/>
        <v>-0.093357088273034-0.138066041614i</v>
      </c>
      <c r="AQ537" s="170" t="str">
        <f t="shared" si="289"/>
        <v>1.09335708827303+0.138066041614i</v>
      </c>
      <c r="AR537" s="170" t="str">
        <f t="shared" si="290"/>
        <v>0.749915593338368-0.0946972207226294i</v>
      </c>
    </row>
    <row r="538" spans="7:44">
      <c r="G538" s="688">
        <v>79895.5</v>
      </c>
      <c r="H538" s="676">
        <f t="shared" si="282"/>
        <v>79.895499999999998</v>
      </c>
      <c r="I538" s="677">
        <f t="shared" si="262"/>
        <v>657.11644545780791</v>
      </c>
      <c r="J538" s="678">
        <f t="shared" si="263"/>
        <v>1.5692745259133449</v>
      </c>
      <c r="K538" s="678">
        <f t="shared" si="264"/>
        <v>1.0060799707998809</v>
      </c>
      <c r="L538" s="679">
        <f t="shared" si="265"/>
        <v>0.1099938611471466</v>
      </c>
      <c r="M538" s="678">
        <f t="shared" si="266"/>
        <v>1.0872311653397877</v>
      </c>
      <c r="N538" s="679">
        <f t="shared" si="267"/>
        <v>-0.40330840916095456</v>
      </c>
      <c r="O538" s="677">
        <f t="shared" si="268"/>
        <v>3313188.3254987411</v>
      </c>
      <c r="P538" s="680">
        <f t="shared" si="269"/>
        <v>1.5707960249708222</v>
      </c>
      <c r="Q538" s="689">
        <f t="shared" si="291"/>
        <v>132.53130576717427</v>
      </c>
      <c r="R538" s="690">
        <f t="shared" si="292"/>
        <v>1.5632508681331456</v>
      </c>
      <c r="S538" s="677">
        <f t="shared" si="270"/>
        <v>1.1674258874343613</v>
      </c>
      <c r="T538" s="680">
        <f t="shared" si="271"/>
        <v>0.54218078033215356</v>
      </c>
      <c r="U538" s="681">
        <f t="shared" si="283"/>
        <v>0.61421192820048987</v>
      </c>
      <c r="V538" s="682">
        <f t="shared" si="284"/>
        <v>-1.2133285949785768</v>
      </c>
      <c r="W538" s="683">
        <f t="shared" si="272"/>
        <v>-41.151733005593492</v>
      </c>
      <c r="X538" s="684">
        <f t="shared" si="273"/>
        <v>-207.73407688409276</v>
      </c>
      <c r="Y538" s="687">
        <f t="shared" si="274"/>
        <v>-27.734076884092758</v>
      </c>
      <c r="AA538" s="170">
        <f t="shared" si="275"/>
        <v>79895.5</v>
      </c>
      <c r="AB538" s="170">
        <f t="shared" si="276"/>
        <v>6383290920.25</v>
      </c>
      <c r="AD538" s="686">
        <f t="shared" si="277"/>
        <v>15.802310802483943</v>
      </c>
      <c r="AE538" s="687">
        <f t="shared" si="278"/>
        <v>-31.496976124695664</v>
      </c>
      <c r="AG538" s="686">
        <f t="shared" si="279"/>
        <v>-7.5024132079788854</v>
      </c>
      <c r="AH538" s="687">
        <f t="shared" si="280"/>
        <v>-37.199885290902905</v>
      </c>
      <c r="AJ538" s="170">
        <f t="shared" si="281"/>
        <v>0</v>
      </c>
      <c r="AK538" s="170">
        <f t="shared" si="293"/>
        <v>0</v>
      </c>
      <c r="AM538" s="170" t="str">
        <f t="shared" si="285"/>
        <v>1.57054199817227+0.821268426473093i</v>
      </c>
      <c r="AN538" s="170" t="str">
        <f t="shared" si="286"/>
        <v>2.17796198336509i</v>
      </c>
      <c r="AO538" s="170" t="str">
        <f t="shared" si="287"/>
        <v>0.377081157864923-0.721106249864693i</v>
      </c>
      <c r="AP538" s="170" t="str">
        <f t="shared" si="288"/>
        <v>-0.0950903330287122-0.136878071078849i</v>
      </c>
      <c r="AQ538" s="170" t="str">
        <f t="shared" si="289"/>
        <v>1.09509033302871+0.136878071078849i</v>
      </c>
      <c r="AR538" s="170" t="str">
        <f t="shared" si="290"/>
        <v>0.748966643344974-0.0936152081261889i</v>
      </c>
    </row>
    <row r="539" spans="7:44">
      <c r="G539" s="688">
        <v>80358</v>
      </c>
      <c r="H539" s="676">
        <f t="shared" si="282"/>
        <v>80.358000000000004</v>
      </c>
      <c r="I539" s="677">
        <f t="shared" si="262"/>
        <v>660.92035999889026</v>
      </c>
      <c r="J539" s="678">
        <f t="shared" si="263"/>
        <v>1.5692832846160307</v>
      </c>
      <c r="K539" s="678">
        <f t="shared" si="264"/>
        <v>1.0061503503795974</v>
      </c>
      <c r="L539" s="679">
        <f t="shared" si="265"/>
        <v>0.11062542741881609</v>
      </c>
      <c r="M539" s="678">
        <f t="shared" si="266"/>
        <v>1.0882029519535195</v>
      </c>
      <c r="N539" s="679">
        <f t="shared" si="267"/>
        <v>-0.40539616185884014</v>
      </c>
      <c r="O539" s="677">
        <f t="shared" si="268"/>
        <v>3332367.7486269902</v>
      </c>
      <c r="P539" s="680">
        <f t="shared" si="269"/>
        <v>1.5707960267079688</v>
      </c>
      <c r="Q539" s="689">
        <f t="shared" si="291"/>
        <v>133.29846097889242</v>
      </c>
      <c r="R539" s="690">
        <f t="shared" si="292"/>
        <v>1.5632942943423107</v>
      </c>
      <c r="S539" s="677">
        <f t="shared" si="270"/>
        <v>1.1692290998785992</v>
      </c>
      <c r="T539" s="680">
        <f t="shared" si="271"/>
        <v>0.54473550668755488</v>
      </c>
      <c r="U539" s="681">
        <f t="shared" si="283"/>
        <v>0.61181529020904002</v>
      </c>
      <c r="V539" s="682">
        <f t="shared" si="284"/>
        <v>-1.2183535243355124</v>
      </c>
      <c r="W539" s="683">
        <f t="shared" si="272"/>
        <v>-41.240868322774972</v>
      </c>
      <c r="X539" s="684">
        <f t="shared" si="273"/>
        <v>-208.24980630129124</v>
      </c>
      <c r="Y539" s="687">
        <f t="shared" si="274"/>
        <v>-28.249806301291244</v>
      </c>
      <c r="AA539" s="170">
        <f t="shared" si="275"/>
        <v>80358</v>
      </c>
      <c r="AB539" s="170">
        <f t="shared" si="276"/>
        <v>6457408164</v>
      </c>
      <c r="AD539" s="686">
        <f t="shared" si="277"/>
        <v>15.7889020423865</v>
      </c>
      <c r="AE539" s="687">
        <f t="shared" si="278"/>
        <v>-31.640863123861173</v>
      </c>
      <c r="AG539" s="686">
        <f t="shared" si="279"/>
        <v>-7.5102229707238424</v>
      </c>
      <c r="AH539" s="687">
        <f t="shared" si="280"/>
        <v>-36.995913219270371</v>
      </c>
      <c r="AJ539" s="170">
        <f t="shared" si="281"/>
        <v>0</v>
      </c>
      <c r="AK539" s="170">
        <f t="shared" si="293"/>
        <v>0</v>
      </c>
      <c r="AM539" s="170" t="str">
        <f t="shared" si="285"/>
        <v>1.5808507763117+0.814010058695895i</v>
      </c>
      <c r="AN539" s="170" t="str">
        <f t="shared" si="286"/>
        <v>2.19056979503541i</v>
      </c>
      <c r="AO539" s="170" t="str">
        <f t="shared" si="287"/>
        <v>0.371597408373257-0.721661907278396i</v>
      </c>
      <c r="AP539" s="170" t="str">
        <f t="shared" si="288"/>
        <v>-0.0968084627186167-0.135668343115982i</v>
      </c>
      <c r="AQ539" s="170" t="str">
        <f t="shared" si="289"/>
        <v>1.09680846271862+0.135668343115982i</v>
      </c>
      <c r="AR539" s="170" t="str">
        <f t="shared" si="290"/>
        <v>0.748031285087184-0.0925267888571464i</v>
      </c>
    </row>
    <row r="540" spans="7:44">
      <c r="G540" s="688">
        <v>80820.5</v>
      </c>
      <c r="H540" s="676">
        <f t="shared" si="282"/>
        <v>80.820499999999996</v>
      </c>
      <c r="I540" s="677">
        <f t="shared" si="262"/>
        <v>664.72427459009475</v>
      </c>
      <c r="J540" s="678">
        <f t="shared" si="263"/>
        <v>1.5692919430745762</v>
      </c>
      <c r="K540" s="678">
        <f t="shared" si="264"/>
        <v>1.006221131232262</v>
      </c>
      <c r="L540" s="679">
        <f t="shared" si="265"/>
        <v>0.11125690508950409</v>
      </c>
      <c r="M540" s="678">
        <f t="shared" si="266"/>
        <v>1.0891794732538578</v>
      </c>
      <c r="N540" s="679">
        <f t="shared" si="267"/>
        <v>-0.40748018001058545</v>
      </c>
      <c r="O540" s="677">
        <f t="shared" si="268"/>
        <v>3351547.1717552394</v>
      </c>
      <c r="P540" s="680">
        <f t="shared" si="269"/>
        <v>1.5707960284252336</v>
      </c>
      <c r="Q540" s="689">
        <f t="shared" si="291"/>
        <v>134.06561643911266</v>
      </c>
      <c r="R540" s="690">
        <f t="shared" si="292"/>
        <v>1.5633372235612857</v>
      </c>
      <c r="S540" s="677">
        <f t="shared" si="270"/>
        <v>1.1710399199143653</v>
      </c>
      <c r="T540" s="680">
        <f t="shared" si="271"/>
        <v>0.54728234869686121</v>
      </c>
      <c r="U540" s="681">
        <f t="shared" si="283"/>
        <v>0.60942762060922362</v>
      </c>
      <c r="V540" s="682">
        <f t="shared" si="284"/>
        <v>-1.2233643992750287</v>
      </c>
      <c r="W540" s="683">
        <f t="shared" si="272"/>
        <v>-41.329722840419187</v>
      </c>
      <c r="X540" s="684">
        <f t="shared" si="273"/>
        <v>-208.76409255339615</v>
      </c>
      <c r="Y540" s="687">
        <f t="shared" si="274"/>
        <v>-28.764092553396154</v>
      </c>
      <c r="AA540" s="170">
        <f t="shared" si="275"/>
        <v>80820.5</v>
      </c>
      <c r="AB540" s="170">
        <f t="shared" si="276"/>
        <v>6531953220.25</v>
      </c>
      <c r="AD540" s="686">
        <f t="shared" si="277"/>
        <v>15.775457562322115</v>
      </c>
      <c r="AE540" s="687">
        <f t="shared" si="278"/>
        <v>-31.784326857571962</v>
      </c>
      <c r="AG540" s="686">
        <f t="shared" si="279"/>
        <v>-7.5177052901492942</v>
      </c>
      <c r="AH540" s="687">
        <f t="shared" si="280"/>
        <v>-36.792531765604039</v>
      </c>
      <c r="AJ540" s="170">
        <f t="shared" si="281"/>
        <v>0</v>
      </c>
      <c r="AK540" s="170">
        <f t="shared" si="293"/>
        <v>0</v>
      </c>
      <c r="AM540" s="170" t="str">
        <f t="shared" si="285"/>
        <v>1.59106722542663+0.806622300104867i</v>
      </c>
      <c r="AN540" s="170" t="str">
        <f t="shared" si="286"/>
        <v>2.20317760670574i</v>
      </c>
      <c r="AO540" s="170" t="str">
        <f t="shared" si="287"/>
        <v>0.366117691850978-0.722169297919492i</v>
      </c>
      <c r="AP540" s="170" t="str">
        <f t="shared" si="288"/>
        <v>-0.0985112042377717-0.134437050017478i</v>
      </c>
      <c r="AQ540" s="170" t="str">
        <f t="shared" si="289"/>
        <v>1.09851120423777+0.134437050017478i</v>
      </c>
      <c r="AR540" s="170" t="str">
        <f t="shared" si="290"/>
        <v>0.747109482346867-0.0914321078012947i</v>
      </c>
    </row>
    <row r="541" spans="7:44">
      <c r="G541" s="688">
        <v>81283</v>
      </c>
      <c r="H541" s="676">
        <f t="shared" si="282"/>
        <v>81.283000000000001</v>
      </c>
      <c r="I541" s="677">
        <f t="shared" si="262"/>
        <v>668.52818923056577</v>
      </c>
      <c r="J541" s="678">
        <f t="shared" si="263"/>
        <v>1.5693005030001426</v>
      </c>
      <c r="K541" s="678">
        <f t="shared" si="264"/>
        <v>1.0062923132731991</v>
      </c>
      <c r="L541" s="679">
        <f t="shared" si="265"/>
        <v>0.11188829367433888</v>
      </c>
      <c r="M541" s="678">
        <f t="shared" si="266"/>
        <v>1.0901607165173877</v>
      </c>
      <c r="N541" s="679">
        <f t="shared" si="267"/>
        <v>-0.40956045557399778</v>
      </c>
      <c r="O541" s="677">
        <f t="shared" si="268"/>
        <v>3370726.5948834885</v>
      </c>
      <c r="P541" s="680">
        <f t="shared" si="269"/>
        <v>1.570796030122956</v>
      </c>
      <c r="Q541" s="689">
        <f t="shared" si="291"/>
        <v>134.83277214359327</v>
      </c>
      <c r="R541" s="690">
        <f t="shared" si="292"/>
        <v>1.5633796642730604</v>
      </c>
      <c r="S541" s="677">
        <f t="shared" si="270"/>
        <v>1.1728583123047198</v>
      </c>
      <c r="T541" s="680">
        <f t="shared" si="271"/>
        <v>0.54982130991574074</v>
      </c>
      <c r="U541" s="681">
        <f t="shared" si="283"/>
        <v>0.60704891075607081</v>
      </c>
      <c r="V541" s="682">
        <f t="shared" si="284"/>
        <v>-1.2283614246882524</v>
      </c>
      <c r="W541" s="683">
        <f t="shared" si="272"/>
        <v>-41.418299242309814</v>
      </c>
      <c r="X541" s="684">
        <f t="shared" si="273"/>
        <v>-209.27694676254862</v>
      </c>
      <c r="Y541" s="687">
        <f t="shared" si="274"/>
        <v>-29.276946762548619</v>
      </c>
      <c r="AA541" s="170">
        <f t="shared" si="275"/>
        <v>81283</v>
      </c>
      <c r="AB541" s="170">
        <f t="shared" si="276"/>
        <v>6606926089</v>
      </c>
      <c r="AD541" s="686">
        <f t="shared" si="277"/>
        <v>15.761977819933911</v>
      </c>
      <c r="AE541" s="687">
        <f t="shared" si="278"/>
        <v>-31.927367043532701</v>
      </c>
      <c r="AG541" s="686">
        <f t="shared" si="279"/>
        <v>-7.5248639761145899</v>
      </c>
      <c r="AH541" s="687">
        <f t="shared" si="280"/>
        <v>-36.589728855546831</v>
      </c>
      <c r="AJ541" s="170">
        <f t="shared" si="281"/>
        <v>0</v>
      </c>
      <c r="AK541" s="170">
        <f t="shared" si="293"/>
        <v>0</v>
      </c>
      <c r="AM541" s="170" t="str">
        <f t="shared" si="285"/>
        <v>1.60118972156332+0.799106325019778i</v>
      </c>
      <c r="AN541" s="170" t="str">
        <f t="shared" si="286"/>
        <v>2.21578541837606i</v>
      </c>
      <c r="AO541" s="170" t="str">
        <f t="shared" si="287"/>
        <v>0.360642469434355-0.722628512799234i</v>
      </c>
      <c r="AP541" s="170" t="str">
        <f t="shared" si="288"/>
        <v>-0.10019828692722-0.133184387503296i</v>
      </c>
      <c r="AQ541" s="170" t="str">
        <f t="shared" si="289"/>
        <v>1.10019828692722+0.133184387503296i</v>
      </c>
      <c r="AR541" s="170" t="str">
        <f t="shared" si="290"/>
        <v>0.746201198382307-0.0903313073121949i</v>
      </c>
    </row>
    <row r="542" spans="7:44">
      <c r="G542" s="688">
        <v>81756.25</v>
      </c>
      <c r="H542" s="676">
        <f t="shared" si="282"/>
        <v>81.756249999999994</v>
      </c>
      <c r="I542" s="677">
        <f t="shared" si="262"/>
        <v>672.42051923442727</v>
      </c>
      <c r="J542" s="678">
        <f t="shared" si="263"/>
        <v>1.5693091616355872</v>
      </c>
      <c r="K542" s="678">
        <f t="shared" si="264"/>
        <v>1.0063655650108403</v>
      </c>
      <c r="L542" s="679">
        <f t="shared" si="265"/>
        <v>0.11253426505639365</v>
      </c>
      <c r="M542" s="678">
        <f t="shared" si="266"/>
        <v>1.0911696416371834</v>
      </c>
      <c r="N542" s="679">
        <f t="shared" si="267"/>
        <v>-0.41168520118117902</v>
      </c>
      <c r="O542" s="677">
        <f t="shared" si="268"/>
        <v>3390351.8100087726</v>
      </c>
      <c r="P542" s="680">
        <f t="shared" si="269"/>
        <v>1.5707960318402558</v>
      </c>
      <c r="Q542" s="689">
        <f t="shared" si="291"/>
        <v>135.61775928323701</v>
      </c>
      <c r="R542" s="690">
        <f t="shared" si="292"/>
        <v>1.5634225944214162</v>
      </c>
      <c r="S542" s="677">
        <f t="shared" si="270"/>
        <v>1.1747267717581176</v>
      </c>
      <c r="T542" s="680">
        <f t="shared" si="271"/>
        <v>0.55241113125835684</v>
      </c>
      <c r="U542" s="681">
        <f t="shared" si="283"/>
        <v>0.60462417549772063</v>
      </c>
      <c r="V542" s="682">
        <f t="shared" si="284"/>
        <v>-1.2334604741952995</v>
      </c>
      <c r="W542" s="683">
        <f t="shared" si="272"/>
        <v>-41.508649327955531</v>
      </c>
      <c r="X542" s="684">
        <f t="shared" si="273"/>
        <v>-209.80025061935265</v>
      </c>
      <c r="Y542" s="687">
        <f t="shared" si="274"/>
        <v>-29.800250619352653</v>
      </c>
      <c r="AA542" s="170">
        <f t="shared" si="275"/>
        <v>81756.25</v>
      </c>
      <c r="AB542" s="170">
        <f t="shared" si="276"/>
        <v>6684084414.0625</v>
      </c>
      <c r="AD542" s="686">
        <f t="shared" si="277"/>
        <v>15.748148738282257</v>
      </c>
      <c r="AE542" s="687">
        <f t="shared" si="278"/>
        <v>-32.073293258403616</v>
      </c>
      <c r="AG542" s="686">
        <f t="shared" si="279"/>
        <v>-7.5318579394965637</v>
      </c>
      <c r="AH542" s="687">
        <f t="shared" si="280"/>
        <v>-36.382798464248111</v>
      </c>
      <c r="AJ542" s="170">
        <f t="shared" si="281"/>
        <v>0</v>
      </c>
      <c r="AK542" s="170">
        <f t="shared" si="293"/>
        <v>0</v>
      </c>
      <c r="AM542" s="170" t="str">
        <f t="shared" si="285"/>
        <v>1.61144856496003+0.79128417929864i</v>
      </c>
      <c r="AN542" s="170" t="str">
        <f t="shared" si="286"/>
        <v>2.2286862764798i</v>
      </c>
      <c r="AO542" s="170" t="str">
        <f t="shared" si="287"/>
        <v>0.355045116779949-0.723048632715281i</v>
      </c>
      <c r="AP542" s="170" t="str">
        <f t="shared" si="288"/>
        <v>-0.101908094160005-0.131880696549773i</v>
      </c>
      <c r="AQ542" s="170" t="str">
        <f t="shared" si="289"/>
        <v>1.10190809416001+0.131880696549773i</v>
      </c>
      <c r="AR542" s="170" t="str">
        <f t="shared" si="290"/>
        <v>0.745285757889464-0.0891987320902784i</v>
      </c>
    </row>
    <row r="543" spans="7:44">
      <c r="G543" s="688">
        <v>82229.5</v>
      </c>
      <c r="H543" s="676">
        <f t="shared" si="282"/>
        <v>82.229500000000002</v>
      </c>
      <c r="I543" s="677">
        <f t="shared" si="262"/>
        <v>676.31284928812113</v>
      </c>
      <c r="J543" s="678">
        <f t="shared" si="263"/>
        <v>1.569317720606308</v>
      </c>
      <c r="K543" s="678">
        <f t="shared" si="264"/>
        <v>1.0064392366224937</v>
      </c>
      <c r="L543" s="679">
        <f t="shared" si="265"/>
        <v>0.1131801421373831</v>
      </c>
      <c r="M543" s="678">
        <f t="shared" si="266"/>
        <v>1.0921834837760471</v>
      </c>
      <c r="N543" s="679">
        <f t="shared" si="267"/>
        <v>-0.41380601166906877</v>
      </c>
      <c r="O543" s="677">
        <f t="shared" si="268"/>
        <v>3409977.0251340568</v>
      </c>
      <c r="P543" s="680">
        <f t="shared" si="269"/>
        <v>1.5707960335377888</v>
      </c>
      <c r="Q543" s="689">
        <f t="shared" si="291"/>
        <v>136.40274666994716</v>
      </c>
      <c r="R543" s="690">
        <f t="shared" si="292"/>
        <v>1.5634650304504012</v>
      </c>
      <c r="S543" s="677">
        <f t="shared" si="270"/>
        <v>1.1766030852540965</v>
      </c>
      <c r="T543" s="680">
        <f t="shared" si="271"/>
        <v>0.55499270996196548</v>
      </c>
      <c r="U543" s="681">
        <f t="shared" si="283"/>
        <v>0.6022087969586376</v>
      </c>
      <c r="V543" s="682">
        <f t="shared" si="284"/>
        <v>-1.238545455115281</v>
      </c>
      <c r="W543" s="683">
        <f t="shared" si="272"/>
        <v>-41.598713809544591</v>
      </c>
      <c r="X543" s="684">
        <f t="shared" si="273"/>
        <v>-210.32207867384491</v>
      </c>
      <c r="Y543" s="687">
        <f t="shared" si="274"/>
        <v>-30.322078673844914</v>
      </c>
      <c r="AA543" s="170">
        <f t="shared" si="275"/>
        <v>82229.5</v>
      </c>
      <c r="AB543" s="170">
        <f t="shared" si="276"/>
        <v>6761690670.25</v>
      </c>
      <c r="AD543" s="686">
        <f t="shared" si="277"/>
        <v>15.734283697962887</v>
      </c>
      <c r="AE543" s="687">
        <f t="shared" si="278"/>
        <v>-32.21877551466882</v>
      </c>
      <c r="AG543" s="686">
        <f t="shared" si="279"/>
        <v>-7.5385208668785051</v>
      </c>
      <c r="AH543" s="687">
        <f t="shared" si="280"/>
        <v>-36.176448370570341</v>
      </c>
      <c r="AJ543" s="170">
        <f t="shared" si="281"/>
        <v>0</v>
      </c>
      <c r="AK543" s="170">
        <f t="shared" si="293"/>
        <v>0</v>
      </c>
      <c r="AM543" s="170" t="str">
        <f t="shared" si="285"/>
        <v>1.62160564507509+0.783330340284849i</v>
      </c>
      <c r="AN543" s="170" t="str">
        <f t="shared" si="286"/>
        <v>2.24158713458355i</v>
      </c>
      <c r="AO543" s="170" t="str">
        <f t="shared" si="287"/>
        <v>0.349453442250586-0.723418518984477i</v>
      </c>
      <c r="AP543" s="170" t="str">
        <f t="shared" si="288"/>
        <v>-0.103600940845849-0.130555056714141i</v>
      </c>
      <c r="AQ543" s="170" t="str">
        <f t="shared" si="289"/>
        <v>1.10360094084585+0.130555056714141i</v>
      </c>
      <c r="AR543" s="170" t="str">
        <f t="shared" si="290"/>
        <v>0.744384392630001-0.0880600432638682i</v>
      </c>
    </row>
    <row r="544" spans="7:44">
      <c r="G544" s="688">
        <v>82702.75</v>
      </c>
      <c r="H544" s="676">
        <f t="shared" si="282"/>
        <v>82.702749999999995</v>
      </c>
      <c r="I544" s="677">
        <f t="shared" si="262"/>
        <v>680.20517939079184</v>
      </c>
      <c r="J544" s="678">
        <f t="shared" si="263"/>
        <v>1.569326181623234</v>
      </c>
      <c r="K544" s="678">
        <f t="shared" si="264"/>
        <v>1.0065133280159619</v>
      </c>
      <c r="L544" s="679">
        <f t="shared" si="265"/>
        <v>0.11382592439920919</v>
      </c>
      <c r="M544" s="678">
        <f t="shared" si="266"/>
        <v>1.0932022292537622</v>
      </c>
      <c r="N544" s="679">
        <f t="shared" si="267"/>
        <v>-0.41592287893450208</v>
      </c>
      <c r="O544" s="677">
        <f t="shared" si="268"/>
        <v>3429602.240259341</v>
      </c>
      <c r="P544" s="680">
        <f t="shared" si="269"/>
        <v>1.5707960352158943</v>
      </c>
      <c r="Q544" s="689">
        <f t="shared" si="291"/>
        <v>137.18773429948254</v>
      </c>
      <c r="R544" s="690">
        <f t="shared" si="292"/>
        <v>1.5635069808419078</v>
      </c>
      <c r="S544" s="677">
        <f t="shared" si="270"/>
        <v>1.1784872152785135</v>
      </c>
      <c r="T544" s="680">
        <f t="shared" si="271"/>
        <v>0.55756605106889445</v>
      </c>
      <c r="U544" s="681">
        <f t="shared" si="283"/>
        <v>0.59980275984699061</v>
      </c>
      <c r="V544" s="682">
        <f t="shared" si="284"/>
        <v>-1.2436165851196097</v>
      </c>
      <c r="W544" s="683">
        <f t="shared" si="272"/>
        <v>-41.688495468493855</v>
      </c>
      <c r="X544" s="684">
        <f t="shared" si="273"/>
        <v>-210.84244286406232</v>
      </c>
      <c r="Y544" s="687">
        <f t="shared" si="274"/>
        <v>-30.84244286406232</v>
      </c>
      <c r="AA544" s="170">
        <f t="shared" si="275"/>
        <v>82702.75</v>
      </c>
      <c r="AB544" s="170">
        <f t="shared" si="276"/>
        <v>6839744857.5625</v>
      </c>
      <c r="AD544" s="686">
        <f t="shared" si="277"/>
        <v>15.720383181590201</v>
      </c>
      <c r="AE544" s="687">
        <f t="shared" si="278"/>
        <v>-32.36381361527522</v>
      </c>
      <c r="AG544" s="686">
        <f t="shared" si="279"/>
        <v>-7.54485658583559</v>
      </c>
      <c r="AH544" s="687">
        <f t="shared" si="280"/>
        <v>-35.970665766296939</v>
      </c>
      <c r="AJ544" s="170">
        <f t="shared" si="281"/>
        <v>0</v>
      </c>
      <c r="AK544" s="170">
        <f t="shared" si="293"/>
        <v>0</v>
      </c>
      <c r="AM544" s="170" t="str">
        <f t="shared" si="285"/>
        <v>1.63165927146737+0.775246131734506i</v>
      </c>
      <c r="AN544" s="170" t="str">
        <f t="shared" si="286"/>
        <v>2.25448799268729i</v>
      </c>
      <c r="AO544" s="170" t="str">
        <f t="shared" si="287"/>
        <v>0.343867935535302-0.723738284151372i</v>
      </c>
      <c r="AP544" s="170" t="str">
        <f t="shared" si="288"/>
        <v>-0.105276545244561-0.129207688622418i</v>
      </c>
      <c r="AQ544" s="170" t="str">
        <f t="shared" si="289"/>
        <v>1.10527654524456+0.129207688622418i</v>
      </c>
      <c r="AR544" s="170" t="str">
        <f t="shared" si="290"/>
        <v>0.743497061877554-0.0869153853631279i</v>
      </c>
    </row>
    <row r="545" spans="7:44">
      <c r="G545" s="688">
        <v>83176</v>
      </c>
      <c r="H545" s="676">
        <f t="shared" si="282"/>
        <v>83.176000000000002</v>
      </c>
      <c r="I545" s="677">
        <f t="shared" si="262"/>
        <v>684.09750954160359</v>
      </c>
      <c r="J545" s="678">
        <f t="shared" si="263"/>
        <v>1.5693345463583566</v>
      </c>
      <c r="K545" s="678">
        <f t="shared" si="264"/>
        <v>1.0065878390985492</v>
      </c>
      <c r="L545" s="679">
        <f t="shared" si="265"/>
        <v>0.11447161132424227</v>
      </c>
      <c r="M545" s="678">
        <f t="shared" si="266"/>
        <v>1.0942258643750185</v>
      </c>
      <c r="N545" s="679">
        <f t="shared" si="267"/>
        <v>-0.41803579504577776</v>
      </c>
      <c r="O545" s="677">
        <f t="shared" si="268"/>
        <v>3449227.4553846251</v>
      </c>
      <c r="P545" s="680">
        <f t="shared" si="269"/>
        <v>1.5707960368749034</v>
      </c>
      <c r="Q545" s="689">
        <f t="shared" si="291"/>
        <v>137.97272216769861</v>
      </c>
      <c r="R545" s="690">
        <f t="shared" si="292"/>
        <v>1.5635484538848068</v>
      </c>
      <c r="S545" s="677">
        <f t="shared" si="270"/>
        <v>1.1803791244009656</v>
      </c>
      <c r="T545" s="680">
        <f t="shared" si="271"/>
        <v>0.56013116002574259</v>
      </c>
      <c r="U545" s="681">
        <f t="shared" si="283"/>
        <v>0.59740604695386068</v>
      </c>
      <c r="V545" s="682">
        <f t="shared" si="284"/>
        <v>-1.248674081246183</v>
      </c>
      <c r="W545" s="683">
        <f t="shared" si="272"/>
        <v>-41.777997056703555</v>
      </c>
      <c r="X545" s="684">
        <f t="shared" si="273"/>
        <v>-211.36135513353219</v>
      </c>
      <c r="Y545" s="687">
        <f t="shared" si="274"/>
        <v>-31.361355133532186</v>
      </c>
      <c r="AA545" s="170">
        <f t="shared" si="275"/>
        <v>83176</v>
      </c>
      <c r="AB545" s="170">
        <f t="shared" si="276"/>
        <v>6918246976</v>
      </c>
      <c r="AD545" s="686">
        <f t="shared" si="277"/>
        <v>15.706447669144634</v>
      </c>
      <c r="AE545" s="687">
        <f t="shared" si="278"/>
        <v>-32.508407397391579</v>
      </c>
      <c r="AG545" s="686">
        <f t="shared" si="279"/>
        <v>-7.5508688414952116</v>
      </c>
      <c r="AH545" s="687">
        <f t="shared" si="280"/>
        <v>-35.765437887075407</v>
      </c>
      <c r="AJ545" s="170">
        <f t="shared" si="281"/>
        <v>0</v>
      </c>
      <c r="AK545" s="170">
        <f t="shared" si="293"/>
        <v>0</v>
      </c>
      <c r="AM545" s="170" t="str">
        <f t="shared" si="285"/>
        <v>1.64160777091351+0.767032899101071i</v>
      </c>
      <c r="AN545" s="170" t="str">
        <f t="shared" si="286"/>
        <v>2.26738885079103i</v>
      </c>
      <c r="AO545" s="170" t="str">
        <f t="shared" si="287"/>
        <v>0.338289084747627-0.724008045792762i</v>
      </c>
      <c r="AP545" s="170" t="str">
        <f t="shared" si="288"/>
        <v>-0.106934628485585-0.127838816516845i</v>
      </c>
      <c r="AQ545" s="170" t="str">
        <f t="shared" si="289"/>
        <v>1.10693462848558+0.127838816516845i</v>
      </c>
      <c r="AR545" s="170" t="str">
        <f t="shared" si="290"/>
        <v>0.742623724555452-0.0857649003124824i</v>
      </c>
    </row>
    <row r="546" spans="7:44">
      <c r="G546" s="688">
        <v>83660.5</v>
      </c>
      <c r="H546" s="676">
        <f t="shared" si="282"/>
        <v>83.660499999999999</v>
      </c>
      <c r="I546" s="677">
        <f t="shared" si="262"/>
        <v>688.08236739953509</v>
      </c>
      <c r="J546" s="678">
        <f t="shared" si="263"/>
        <v>1.5693430119020879</v>
      </c>
      <c r="K546" s="678">
        <f t="shared" si="264"/>
        <v>1.0066645561185379</v>
      </c>
      <c r="L546" s="679">
        <f t="shared" si="265"/>
        <v>0.11513254808057723</v>
      </c>
      <c r="M546" s="678">
        <f t="shared" si="266"/>
        <v>1.0952788841996437</v>
      </c>
      <c r="N546" s="679">
        <f t="shared" si="267"/>
        <v>-0.42019483769468935</v>
      </c>
      <c r="O546" s="677">
        <f t="shared" si="268"/>
        <v>3469319.1970184343</v>
      </c>
      <c r="P546" s="680">
        <f t="shared" si="269"/>
        <v>1.5707960385539066</v>
      </c>
      <c r="Q546" s="689">
        <f t="shared" si="291"/>
        <v>138.77637084633469</v>
      </c>
      <c r="R546" s="690">
        <f t="shared" si="292"/>
        <v>1.5635904267694118</v>
      </c>
      <c r="S546" s="677">
        <f t="shared" si="270"/>
        <v>1.1823240272788926</v>
      </c>
      <c r="T546" s="680">
        <f t="shared" si="271"/>
        <v>0.56274872430625489</v>
      </c>
      <c r="U546" s="681">
        <f t="shared" si="283"/>
        <v>0.59496199931343319</v>
      </c>
      <c r="V546" s="682">
        <f t="shared" si="284"/>
        <v>-1.2538379051793482</v>
      </c>
      <c r="W546" s="683">
        <f t="shared" si="272"/>
        <v>-41.869338964870941</v>
      </c>
      <c r="X546" s="684">
        <f t="shared" si="273"/>
        <v>-211.89111124942744</v>
      </c>
      <c r="Y546" s="687">
        <f t="shared" si="274"/>
        <v>-31.891111249427439</v>
      </c>
      <c r="AA546" s="170">
        <f t="shared" si="275"/>
        <v>83660.5</v>
      </c>
      <c r="AB546" s="170">
        <f t="shared" si="276"/>
        <v>6999079260.25</v>
      </c>
      <c r="AD546" s="686">
        <f t="shared" si="277"/>
        <v>15.692145129156001</v>
      </c>
      <c r="AE546" s="687">
        <f t="shared" si="278"/>
        <v>-32.655978010495694</v>
      </c>
      <c r="AG546" s="686">
        <f t="shared" si="279"/>
        <v>-7.5566927561169841</v>
      </c>
      <c r="AH546" s="687">
        <f t="shared" si="280"/>
        <v>-35.555892754152367</v>
      </c>
      <c r="AJ546" s="170">
        <f t="shared" si="281"/>
        <v>0</v>
      </c>
      <c r="AK546" s="170">
        <f t="shared" si="293"/>
        <v>0</v>
      </c>
      <c r="AM546" s="170" t="str">
        <f t="shared" si="285"/>
        <v>1.65168213005829+0.758492189388058i</v>
      </c>
      <c r="AN546" s="170" t="str">
        <f t="shared" si="286"/>
        <v>2.28059638539486i</v>
      </c>
      <c r="AO546" s="170" t="str">
        <f t="shared" si="287"/>
        <v>0.332585017781098-0.724232547519503i</v>
      </c>
      <c r="AP546" s="170" t="str">
        <f t="shared" si="288"/>
        <v>-0.108613688343048-0.12641536489801i</v>
      </c>
      <c r="AQ546" s="170" t="str">
        <f t="shared" si="289"/>
        <v>1.10861368834305+0.12641536489801i</v>
      </c>
      <c r="AR546" s="170" t="str">
        <f t="shared" si="290"/>
        <v>0.741744079595739-0.0845811750919121i</v>
      </c>
    </row>
    <row r="547" spans="7:44">
      <c r="G547" s="688">
        <v>84145</v>
      </c>
      <c r="H547" s="676">
        <f t="shared" si="282"/>
        <v>84.144999999999996</v>
      </c>
      <c r="I547" s="677">
        <f t="shared" si="262"/>
        <v>692.0672253062105</v>
      </c>
      <c r="J547" s="678">
        <f t="shared" si="263"/>
        <v>1.5693513799582131</v>
      </c>
      <c r="K547" s="678">
        <f t="shared" si="264"/>
        <v>1.006741712820117</v>
      </c>
      <c r="L547" s="679">
        <f t="shared" si="265"/>
        <v>0.11579338381714521</v>
      </c>
      <c r="M547" s="678">
        <f t="shared" si="266"/>
        <v>1.0963369998070049</v>
      </c>
      <c r="N547" s="679">
        <f t="shared" si="267"/>
        <v>-0.42234972282771116</v>
      </c>
      <c r="O547" s="677">
        <f t="shared" si="268"/>
        <v>3489410.9386522435</v>
      </c>
      <c r="P547" s="680">
        <f t="shared" si="269"/>
        <v>1.5707960402135746</v>
      </c>
      <c r="Q547" s="689">
        <f t="shared" si="291"/>
        <v>139.58001976664099</v>
      </c>
      <c r="R547" s="690">
        <f t="shared" si="292"/>
        <v>1.5636319163261252</v>
      </c>
      <c r="S547" s="677">
        <f t="shared" si="270"/>
        <v>1.1842770043787596</v>
      </c>
      <c r="T547" s="680">
        <f t="shared" si="271"/>
        <v>0.56535767322520114</v>
      </c>
      <c r="U547" s="681">
        <f t="shared" si="283"/>
        <v>0.5925276820502785</v>
      </c>
      <c r="V547" s="682">
        <f t="shared" si="284"/>
        <v>-1.2589878976380342</v>
      </c>
      <c r="W547" s="683">
        <f t="shared" si="272"/>
        <v>-41.960393075222946</v>
      </c>
      <c r="X547" s="684">
        <f t="shared" si="273"/>
        <v>-212.4193709421568</v>
      </c>
      <c r="Y547" s="687">
        <f t="shared" si="274"/>
        <v>-32.419370942156803</v>
      </c>
      <c r="AA547" s="170">
        <f t="shared" si="275"/>
        <v>84145</v>
      </c>
      <c r="AB547" s="170">
        <f t="shared" si="276"/>
        <v>7080381025</v>
      </c>
      <c r="AD547" s="686">
        <f t="shared" si="277"/>
        <v>15.677806919039345</v>
      </c>
      <c r="AE547" s="687">
        <f t="shared" si="278"/>
        <v>-32.803082691283066</v>
      </c>
      <c r="AG547" s="686">
        <f t="shared" si="279"/>
        <v>-7.5621853319147991</v>
      </c>
      <c r="AH547" s="687">
        <f t="shared" si="280"/>
        <v>-35.346902100606215</v>
      </c>
      <c r="AJ547" s="170">
        <f t="shared" si="281"/>
        <v>0</v>
      </c>
      <c r="AK547" s="170">
        <f t="shared" si="293"/>
        <v>0</v>
      </c>
      <c r="AM547" s="170" t="str">
        <f t="shared" si="285"/>
        <v>1.66164281209582+0.749819171001872i</v>
      </c>
      <c r="AN547" s="170" t="str">
        <f t="shared" si="286"/>
        <v>2.29380391999869i</v>
      </c>
      <c r="AO547" s="170" t="str">
        <f t="shared" si="287"/>
        <v>0.32688895701351-0.724404905584418i</v>
      </c>
      <c r="AP547" s="170" t="str">
        <f t="shared" si="288"/>
        <v>-0.11027380201597-0.124969861833645i</v>
      </c>
      <c r="AQ547" s="170" t="str">
        <f t="shared" si="289"/>
        <v>1.11027380201597+0.124969861833645i</v>
      </c>
      <c r="AR547" s="170" t="str">
        <f t="shared" si="290"/>
        <v>0.74087901324134-0.0833916352453805i</v>
      </c>
    </row>
    <row r="548" spans="7:44">
      <c r="G548" s="688">
        <v>84629.5</v>
      </c>
      <c r="H548" s="676">
        <f t="shared" si="282"/>
        <v>84.629499999999993</v>
      </c>
      <c r="I548" s="677">
        <f t="shared" si="262"/>
        <v>696.05208326079253</v>
      </c>
      <c r="J548" s="678">
        <f t="shared" si="263"/>
        <v>1.5693596522010631</v>
      </c>
      <c r="K548" s="678">
        <f t="shared" si="264"/>
        <v>1.0068193091022033</v>
      </c>
      <c r="L548" s="679">
        <f t="shared" si="265"/>
        <v>0.11645411798005852</v>
      </c>
      <c r="M548" s="678">
        <f t="shared" si="266"/>
        <v>1.0974001964570079</v>
      </c>
      <c r="N548" s="679">
        <f t="shared" si="267"/>
        <v>-0.42450044248735719</v>
      </c>
      <c r="O548" s="677">
        <f t="shared" si="268"/>
        <v>3509502.6802860526</v>
      </c>
      <c r="P548" s="680">
        <f t="shared" si="269"/>
        <v>1.5707960418542395</v>
      </c>
      <c r="Q548" s="689">
        <f t="shared" si="291"/>
        <v>140.38366892446706</v>
      </c>
      <c r="R548" s="690">
        <f t="shared" si="292"/>
        <v>1.56367293085547</v>
      </c>
      <c r="S548" s="677">
        <f t="shared" si="270"/>
        <v>1.1862380158212922</v>
      </c>
      <c r="T548" s="680">
        <f t="shared" si="271"/>
        <v>0.56795801390609213</v>
      </c>
      <c r="U548" s="681">
        <f t="shared" si="283"/>
        <v>0.59010307081842772</v>
      </c>
      <c r="V548" s="682">
        <f t="shared" si="284"/>
        <v>-1.2641242894160756</v>
      </c>
      <c r="W548" s="683">
        <f t="shared" si="272"/>
        <v>-42.05116225108705</v>
      </c>
      <c r="X548" s="684">
        <f t="shared" si="273"/>
        <v>-212.94614703955133</v>
      </c>
      <c r="Y548" s="687">
        <f t="shared" si="274"/>
        <v>-32.946147039551335</v>
      </c>
      <c r="AA548" s="170">
        <f t="shared" si="275"/>
        <v>84629.5</v>
      </c>
      <c r="AB548" s="170">
        <f t="shared" si="276"/>
        <v>7162152270.25</v>
      </c>
      <c r="AD548" s="686">
        <f t="shared" si="277"/>
        <v>15.663433545118872</v>
      </c>
      <c r="AE548" s="687">
        <f t="shared" si="278"/>
        <v>-32.949721372334842</v>
      </c>
      <c r="AG548" s="686">
        <f t="shared" si="279"/>
        <v>-7.5673503290420188</v>
      </c>
      <c r="AH548" s="687">
        <f t="shared" si="280"/>
        <v>-35.138452374661462</v>
      </c>
      <c r="AJ548" s="170">
        <f t="shared" si="281"/>
        <v>0</v>
      </c>
      <c r="AK548" s="170">
        <f t="shared" si="293"/>
        <v>0</v>
      </c>
      <c r="AM548" s="170" t="str">
        <f t="shared" si="285"/>
        <v>1.67148807952024+0.741015356832916i</v>
      </c>
      <c r="AN548" s="170" t="str">
        <f t="shared" si="286"/>
        <v>2.30701145460252i</v>
      </c>
      <c r="AO548" s="170" t="str">
        <f t="shared" si="287"/>
        <v>0.321201420718818-0.724525262406304i</v>
      </c>
      <c r="AP548" s="170" t="str">
        <f t="shared" si="288"/>
        <v>-0.111914679920041-0.123502559472153i</v>
      </c>
      <c r="AQ548" s="170" t="str">
        <f t="shared" si="289"/>
        <v>1.11191467992004+0.123502559472153i</v>
      </c>
      <c r="AR548" s="170" t="str">
        <f t="shared" si="290"/>
        <v>0.740028480611134-0.0821964248590872i</v>
      </c>
    </row>
    <row r="549" spans="7:44">
      <c r="G549" s="688">
        <v>85114</v>
      </c>
      <c r="H549" s="676">
        <f t="shared" si="282"/>
        <v>85.114000000000004</v>
      </c>
      <c r="I549" s="677">
        <f t="shared" si="262"/>
        <v>700.0369412624633</v>
      </c>
      <c r="J549" s="678">
        <f t="shared" si="263"/>
        <v>1.5693678302668461</v>
      </c>
      <c r="K549" s="678">
        <f t="shared" si="264"/>
        <v>1.0068973448631675</v>
      </c>
      <c r="L549" s="679">
        <f t="shared" si="265"/>
        <v>0.11711475001595442</v>
      </c>
      <c r="M549" s="678">
        <f t="shared" si="266"/>
        <v>1.0984684593959821</v>
      </c>
      <c r="N549" s="679">
        <f t="shared" si="267"/>
        <v>-0.42664698890101682</v>
      </c>
      <c r="O549" s="677">
        <f t="shared" si="268"/>
        <v>3529594.4219198618</v>
      </c>
      <c r="P549" s="680">
        <f t="shared" si="269"/>
        <v>1.5707960434762258</v>
      </c>
      <c r="Q549" s="689">
        <f t="shared" si="291"/>
        <v>141.18731831575698</v>
      </c>
      <c r="R549" s="690">
        <f t="shared" si="292"/>
        <v>1.5637134784689877</v>
      </c>
      <c r="S549" s="677">
        <f t="shared" si="270"/>
        <v>1.1882070218269638</v>
      </c>
      <c r="T549" s="680">
        <f t="shared" si="271"/>
        <v>0.57054975389116236</v>
      </c>
      <c r="U549" s="681">
        <f t="shared" si="283"/>
        <v>0.58768813940705167</v>
      </c>
      <c r="V549" s="682">
        <f t="shared" si="284"/>
        <v>-1.2692473105943212</v>
      </c>
      <c r="W549" s="683">
        <f t="shared" si="272"/>
        <v>-42.141649327729326</v>
      </c>
      <c r="X549" s="684">
        <f t="shared" si="273"/>
        <v>-213.47145237178773</v>
      </c>
      <c r="Y549" s="687">
        <f t="shared" si="274"/>
        <v>-33.471452371787734</v>
      </c>
      <c r="AA549" s="170">
        <f t="shared" si="275"/>
        <v>85114</v>
      </c>
      <c r="AB549" s="170">
        <f t="shared" si="276"/>
        <v>7244392996</v>
      </c>
      <c r="AD549" s="686">
        <f t="shared" si="277"/>
        <v>15.649025510742751</v>
      </c>
      <c r="AE549" s="687">
        <f t="shared" si="278"/>
        <v>-33.095894021050796</v>
      </c>
      <c r="AG549" s="686">
        <f t="shared" si="279"/>
        <v>-7.5721914237483769</v>
      </c>
      <c r="AH549" s="687">
        <f t="shared" si="280"/>
        <v>-34.930530073771884</v>
      </c>
      <c r="AJ549" s="170">
        <f t="shared" si="281"/>
        <v>0</v>
      </c>
      <c r="AK549" s="170">
        <f t="shared" si="293"/>
        <v>0</v>
      </c>
      <c r="AM549" s="170" t="str">
        <f t="shared" si="285"/>
        <v>1.68121621495821+0.732082282587146i</v>
      </c>
      <c r="AN549" s="170" t="str">
        <f t="shared" si="286"/>
        <v>2.32021898920635i</v>
      </c>
      <c r="AO549" s="170" t="str">
        <f t="shared" si="287"/>
        <v>0.315522925203522-0.724593765838148i</v>
      </c>
      <c r="AP549" s="170" t="str">
        <f t="shared" si="288"/>
        <v>-0.113536035826369-0.122013713764524i</v>
      </c>
      <c r="AQ549" s="170" t="str">
        <f t="shared" si="289"/>
        <v>1.11353603582637+0.122013713764524i</v>
      </c>
      <c r="AR549" s="170" t="str">
        <f t="shared" si="290"/>
        <v>0.739192436660309-0.0809956853499039i</v>
      </c>
    </row>
    <row r="550" spans="7:44">
      <c r="G550" s="688">
        <v>85609.5</v>
      </c>
      <c r="H550" s="676">
        <f t="shared" si="282"/>
        <v>85.609499999999997</v>
      </c>
      <c r="I550" s="677">
        <f t="shared" si="262"/>
        <v>704.11227080430297</v>
      </c>
      <c r="J550" s="678">
        <f t="shared" si="263"/>
        <v>1.5693760982636815</v>
      </c>
      <c r="K550" s="678">
        <f t="shared" si="264"/>
        <v>1.0069776067863125</v>
      </c>
      <c r="L550" s="679">
        <f t="shared" si="265"/>
        <v>0.1177902747141247</v>
      </c>
      <c r="M550" s="678">
        <f t="shared" si="266"/>
        <v>1.0995662007247138</v>
      </c>
      <c r="N550" s="679">
        <f t="shared" si="267"/>
        <v>-0.42883794576272505</v>
      </c>
      <c r="O550" s="677">
        <f t="shared" si="268"/>
        <v>3550142.322806451</v>
      </c>
      <c r="P550" s="680">
        <f t="shared" si="269"/>
        <v>1.5707960451160485</v>
      </c>
      <c r="Q550" s="689">
        <f t="shared" si="291"/>
        <v>142.00921385420361</v>
      </c>
      <c r="R550" s="690">
        <f t="shared" si="292"/>
        <v>1.5637544719917686</v>
      </c>
      <c r="S550" s="677">
        <f t="shared" si="270"/>
        <v>1.1902289593222288</v>
      </c>
      <c r="T550" s="680">
        <f t="shared" si="271"/>
        <v>0.57319144874689121</v>
      </c>
      <c r="U550" s="681">
        <f t="shared" si="283"/>
        <v>0.58522836259053435</v>
      </c>
      <c r="V550" s="682">
        <f t="shared" si="284"/>
        <v>-1.2744730535507558</v>
      </c>
      <c r="W550" s="683">
        <f t="shared" si="272"/>
        <v>-42.233901953918291</v>
      </c>
      <c r="X550" s="684">
        <f t="shared" si="273"/>
        <v>-214.00717628116348</v>
      </c>
      <c r="Y550" s="687">
        <f t="shared" si="274"/>
        <v>-34.007176281163481</v>
      </c>
      <c r="AA550" s="170">
        <f t="shared" si="275"/>
        <v>85609.5</v>
      </c>
      <c r="AB550" s="170">
        <f t="shared" si="276"/>
        <v>7328986490.25</v>
      </c>
      <c r="AD550" s="686">
        <f t="shared" si="277"/>
        <v>15.63425503061649</v>
      </c>
      <c r="AE550" s="687">
        <f t="shared" si="278"/>
        <v>-33.24490332532794</v>
      </c>
      <c r="AG550" s="686">
        <f t="shared" si="279"/>
        <v>-7.5768111580435491</v>
      </c>
      <c r="AH550" s="687">
        <f t="shared" si="280"/>
        <v>-34.718418645738389</v>
      </c>
      <c r="AJ550" s="170">
        <f t="shared" si="281"/>
        <v>0</v>
      </c>
      <c r="AK550" s="170">
        <f t="shared" si="293"/>
        <v>0</v>
      </c>
      <c r="AM550" s="170" t="str">
        <f t="shared" si="285"/>
        <v>1.69104229669622+0.722814322061218i</v>
      </c>
      <c r="AN550" s="170" t="str">
        <f t="shared" si="286"/>
        <v>2.33372638527694i</v>
      </c>
      <c r="AO550" s="170" t="str">
        <f t="shared" si="287"/>
        <v>0.309725393097204-0.724610351652491i</v>
      </c>
      <c r="AP550" s="170" t="str">
        <f t="shared" si="288"/>
        <v>-0.115173716116036-0.12046905367687i</v>
      </c>
      <c r="AQ550" s="170" t="str">
        <f t="shared" si="289"/>
        <v>1.11517371611604+0.12046905367687i</v>
      </c>
      <c r="AR550" s="170" t="str">
        <f t="shared" si="290"/>
        <v>0.738352350095093-0.0797621102529583i</v>
      </c>
    </row>
    <row r="551" spans="7:44">
      <c r="G551" s="688">
        <v>86105</v>
      </c>
      <c r="H551" s="676">
        <f t="shared" si="282"/>
        <v>86.105000000000004</v>
      </c>
      <c r="I551" s="677">
        <f t="shared" si="262"/>
        <v>708.18760039372194</v>
      </c>
      <c r="J551" s="678">
        <f t="shared" si="263"/>
        <v>1.5693842711026464</v>
      </c>
      <c r="K551" s="678">
        <f t="shared" si="264"/>
        <v>1.0070583281538232</v>
      </c>
      <c r="L551" s="679">
        <f t="shared" si="265"/>
        <v>0.11846569142629028</v>
      </c>
      <c r="M551" s="678">
        <f t="shared" si="266"/>
        <v>1.1006692097490895</v>
      </c>
      <c r="N551" s="679">
        <f t="shared" si="267"/>
        <v>-0.43102452187430729</v>
      </c>
      <c r="O551" s="677">
        <f t="shared" si="268"/>
        <v>3570690.2236930402</v>
      </c>
      <c r="P551" s="680">
        <f t="shared" si="269"/>
        <v>1.5707960467369981</v>
      </c>
      <c r="Q551" s="689">
        <f t="shared" si="291"/>
        <v>142.83110962854587</v>
      </c>
      <c r="R551" s="690">
        <f t="shared" si="292"/>
        <v>1.5637949937349993</v>
      </c>
      <c r="S551" s="677">
        <f t="shared" si="270"/>
        <v>1.1922591746857514</v>
      </c>
      <c r="T551" s="680">
        <f t="shared" si="271"/>
        <v>0.5758241652056717</v>
      </c>
      <c r="U551" s="681">
        <f t="shared" si="283"/>
        <v>0.58277864894472753</v>
      </c>
      <c r="V551" s="682">
        <f t="shared" si="284"/>
        <v>-1.2796852963543313</v>
      </c>
      <c r="W551" s="683">
        <f t="shared" si="272"/>
        <v>-42.325865438819122</v>
      </c>
      <c r="X551" s="684">
        <f t="shared" si="273"/>
        <v>-214.5413890309043</v>
      </c>
      <c r="Y551" s="687">
        <f t="shared" si="274"/>
        <v>-34.541389030904298</v>
      </c>
      <c r="AA551" s="170">
        <f t="shared" si="275"/>
        <v>86105</v>
      </c>
      <c r="AB551" s="170">
        <f t="shared" si="276"/>
        <v>7414071025</v>
      </c>
      <c r="AD551" s="686">
        <f t="shared" si="277"/>
        <v>15.619449353592248</v>
      </c>
      <c r="AE551" s="687">
        <f t="shared" si="278"/>
        <v>-33.393425235248344</v>
      </c>
      <c r="AG551" s="686">
        <f t="shared" si="279"/>
        <v>-7.5810996308500052</v>
      </c>
      <c r="AH551" s="687">
        <f t="shared" si="280"/>
        <v>-34.506830455991732</v>
      </c>
      <c r="AJ551" s="170">
        <f t="shared" si="281"/>
        <v>0</v>
      </c>
      <c r="AK551" s="170">
        <f t="shared" si="293"/>
        <v>0</v>
      </c>
      <c r="AM551" s="170" t="str">
        <f t="shared" si="285"/>
        <v>1.70074229985784+0.713414486249016i</v>
      </c>
      <c r="AN551" s="170" t="str">
        <f t="shared" si="286"/>
        <v>2.34723378134752i</v>
      </c>
      <c r="AO551" s="170" t="str">
        <f t="shared" si="287"/>
        <v>0.303938402692659-0.724573032892132i</v>
      </c>
      <c r="AP551" s="170" t="str">
        <f t="shared" si="288"/>
        <v>-0.11679038330964-0.118902414374836i</v>
      </c>
      <c r="AQ551" s="170" t="str">
        <f t="shared" si="289"/>
        <v>1.11679038330964+0.118902414374836i</v>
      </c>
      <c r="AR551" s="170" t="str">
        <f t="shared" si="290"/>
        <v>0.737527321973005-0.0785230429636351i</v>
      </c>
    </row>
    <row r="552" spans="7:44">
      <c r="G552" s="688">
        <v>86600.5</v>
      </c>
      <c r="H552" s="676">
        <f t="shared" si="282"/>
        <v>86.600499999999997</v>
      </c>
      <c r="I552" s="677">
        <f t="shared" si="262"/>
        <v>712.26293002990292</v>
      </c>
      <c r="J552" s="678">
        <f t="shared" si="263"/>
        <v>1.5693923504171241</v>
      </c>
      <c r="K552" s="678">
        <f t="shared" si="264"/>
        <v>1.0071395088552271</v>
      </c>
      <c r="L552" s="679">
        <f t="shared" si="265"/>
        <v>0.11914099956225688</v>
      </c>
      <c r="M552" s="678">
        <f t="shared" si="266"/>
        <v>1.1017774706483583</v>
      </c>
      <c r="N552" s="679">
        <f t="shared" si="267"/>
        <v>-0.43320670951561979</v>
      </c>
      <c r="O552" s="677">
        <f t="shared" si="268"/>
        <v>3591238.1245796294</v>
      </c>
      <c r="P552" s="680">
        <f t="shared" si="269"/>
        <v>1.5707960483393988</v>
      </c>
      <c r="Q552" s="689">
        <f t="shared" si="291"/>
        <v>143.6530056347348</v>
      </c>
      <c r="R552" s="690">
        <f t="shared" si="292"/>
        <v>1.5638350517962611</v>
      </c>
      <c r="S552" s="677">
        <f t="shared" si="270"/>
        <v>1.1942976257022881</v>
      </c>
      <c r="T552" s="680">
        <f t="shared" si="271"/>
        <v>0.57844791265259488</v>
      </c>
      <c r="U552" s="681">
        <f t="shared" si="283"/>
        <v>0.58033896474897617</v>
      </c>
      <c r="V552" s="682">
        <f t="shared" si="284"/>
        <v>-1.2848842827908482</v>
      </c>
      <c r="W552" s="683">
        <f t="shared" si="272"/>
        <v>-42.417542730742014</v>
      </c>
      <c r="X552" s="684">
        <f t="shared" si="273"/>
        <v>-215.07410434776517</v>
      </c>
      <c r="Y552" s="687">
        <f t="shared" si="274"/>
        <v>-35.074104347765171</v>
      </c>
      <c r="AA552" s="170">
        <f t="shared" si="275"/>
        <v>86600.5</v>
      </c>
      <c r="AB552" s="170">
        <f t="shared" si="276"/>
        <v>7499646600.25</v>
      </c>
      <c r="AD552" s="686">
        <f t="shared" si="277"/>
        <v>15.604609008309861</v>
      </c>
      <c r="AE552" s="687">
        <f t="shared" si="278"/>
        <v>-33.541459824599428</v>
      </c>
      <c r="AG552" s="686">
        <f t="shared" si="279"/>
        <v>-7.5850605123216468</v>
      </c>
      <c r="AH552" s="687">
        <f t="shared" si="280"/>
        <v>-34.295751221704371</v>
      </c>
      <c r="AJ552" s="170">
        <f t="shared" si="281"/>
        <v>0</v>
      </c>
      <c r="AK552" s="170">
        <f t="shared" si="293"/>
        <v>0</v>
      </c>
      <c r="AM552" s="170" t="str">
        <f t="shared" si="285"/>
        <v>1.71031445470686+0.703884490122132i</v>
      </c>
      <c r="AN552" s="170" t="str">
        <f t="shared" si="286"/>
        <v>2.36074117741811i</v>
      </c>
      <c r="AO552" s="170" t="str">
        <f t="shared" si="287"/>
        <v>0.298162499496008-0.724481985177805i</v>
      </c>
      <c r="AP552" s="170" t="str">
        <f t="shared" si="288"/>
        <v>-0.118385742451144-0.117314081687022i</v>
      </c>
      <c r="AQ552" s="170" t="str">
        <f t="shared" si="289"/>
        <v>1.11838574245114+0.117314081687022i</v>
      </c>
      <c r="AR552" s="170" t="str">
        <f t="shared" si="290"/>
        <v>0.736717303909027-0.0772786264080991i</v>
      </c>
    </row>
    <row r="553" spans="7:44">
      <c r="G553" s="688">
        <v>87096</v>
      </c>
      <c r="H553" s="676">
        <f t="shared" si="282"/>
        <v>87.096000000000004</v>
      </c>
      <c r="I553" s="677">
        <f t="shared" si="262"/>
        <v>716.33825971204828</v>
      </c>
      <c r="J553" s="678">
        <f t="shared" si="263"/>
        <v>1.5694003378033277</v>
      </c>
      <c r="K553" s="678">
        <f t="shared" si="264"/>
        <v>1.0072211487794591</v>
      </c>
      <c r="L553" s="679">
        <f t="shared" si="265"/>
        <v>0.11981619853241611</v>
      </c>
      <c r="M553" s="678">
        <f t="shared" si="266"/>
        <v>1.1028909675901819</v>
      </c>
      <c r="N553" s="679">
        <f t="shared" si="267"/>
        <v>-0.43538450116465577</v>
      </c>
      <c r="O553" s="677">
        <f t="shared" si="268"/>
        <v>3611786.0254662186</v>
      </c>
      <c r="P553" s="680">
        <f t="shared" si="269"/>
        <v>1.5707960499235667</v>
      </c>
      <c r="Q553" s="689">
        <f t="shared" si="291"/>
        <v>144.47490186881356</v>
      </c>
      <c r="R553" s="690">
        <f t="shared" si="292"/>
        <v>1.5638746540888777</v>
      </c>
      <c r="S553" s="677">
        <f t="shared" si="270"/>
        <v>1.1963442702736522</v>
      </c>
      <c r="T553" s="680">
        <f t="shared" si="271"/>
        <v>0.58106270090285983</v>
      </c>
      <c r="U553" s="681">
        <f t="shared" si="283"/>
        <v>0.57790927448611118</v>
      </c>
      <c r="V553" s="682">
        <f t="shared" si="284"/>
        <v>-1.2900702558617445</v>
      </c>
      <c r="W553" s="683">
        <f t="shared" si="272"/>
        <v>-42.508936751641286</v>
      </c>
      <c r="X553" s="684">
        <f t="shared" si="273"/>
        <v>-215.60533595794951</v>
      </c>
      <c r="Y553" s="687">
        <f t="shared" si="274"/>
        <v>-35.605335957949507</v>
      </c>
      <c r="AA553" s="170">
        <f t="shared" si="275"/>
        <v>87096</v>
      </c>
      <c r="AB553" s="170">
        <f t="shared" si="276"/>
        <v>7585713216</v>
      </c>
      <c r="AD553" s="686">
        <f t="shared" si="277"/>
        <v>15.589734520077236</v>
      </c>
      <c r="AE553" s="687">
        <f t="shared" si="278"/>
        <v>-33.689007202368771</v>
      </c>
      <c r="AG553" s="686">
        <f t="shared" si="279"/>
        <v>-7.5886973874751593</v>
      </c>
      <c r="AH553" s="687">
        <f t="shared" si="280"/>
        <v>-34.085166714178584</v>
      </c>
      <c r="AJ553" s="170">
        <f t="shared" si="281"/>
        <v>0</v>
      </c>
      <c r="AK553" s="170">
        <f t="shared" si="293"/>
        <v>0</v>
      </c>
      <c r="AM553" s="170" t="str">
        <f t="shared" si="285"/>
        <v>1.71975701483258+0.694226072399542i</v>
      </c>
      <c r="AN553" s="170" t="str">
        <f t="shared" si="286"/>
        <v>2.37424857348869i</v>
      </c>
      <c r="AO553" s="170" t="str">
        <f t="shared" si="287"/>
        <v>0.29239822660163-0.724337389958117i</v>
      </c>
      <c r="AP553" s="170" t="str">
        <f t="shared" si="288"/>
        <v>-0.119959502472097-0.115704345399924i</v>
      </c>
      <c r="AQ553" s="170" t="str">
        <f t="shared" si="289"/>
        <v>1.1199595024721+0.115704345399924i</v>
      </c>
      <c r="AR553" s="170" t="str">
        <f t="shared" si="290"/>
        <v>0.735922247555204-0.0760290008082117i</v>
      </c>
    </row>
    <row r="554" spans="7:44">
      <c r="G554" s="688">
        <v>87603.25</v>
      </c>
      <c r="H554" s="676">
        <f t="shared" si="282"/>
        <v>87.603250000000003</v>
      </c>
      <c r="I554" s="677">
        <f t="shared" si="262"/>
        <v>720.51022944859017</v>
      </c>
      <c r="J554" s="678">
        <f t="shared" si="263"/>
        <v>1.5694084210023411</v>
      </c>
      <c r="K554" s="678">
        <f t="shared" si="264"/>
        <v>1.0073052002355503</v>
      </c>
      <c r="L554" s="679">
        <f t="shared" si="265"/>
        <v>0.12050729508537095</v>
      </c>
      <c r="M554" s="678">
        <f t="shared" si="266"/>
        <v>1.1040362765740952</v>
      </c>
      <c r="N554" s="679">
        <f t="shared" si="267"/>
        <v>-0.43760937446285342</v>
      </c>
      <c r="O554" s="677">
        <f t="shared" si="268"/>
        <v>3632821.1873728232</v>
      </c>
      <c r="P554" s="680">
        <f t="shared" si="269"/>
        <v>1.5707960515267376</v>
      </c>
      <c r="Q554" s="689">
        <f t="shared" si="291"/>
        <v>145.31628830615725</v>
      </c>
      <c r="R554" s="690">
        <f t="shared" si="292"/>
        <v>1.5639147314525872</v>
      </c>
      <c r="S554" s="677">
        <f t="shared" si="270"/>
        <v>1.1984478912660861</v>
      </c>
      <c r="T554" s="680">
        <f t="shared" si="271"/>
        <v>0.58373022502351102</v>
      </c>
      <c r="U554" s="681">
        <f t="shared" si="283"/>
        <v>0.57543228127664403</v>
      </c>
      <c r="V554" s="682">
        <f t="shared" si="284"/>
        <v>-1.2953659790629906</v>
      </c>
      <c r="W554" s="683">
        <f t="shared" si="272"/>
        <v>-42.602207634792222</v>
      </c>
      <c r="X554" s="684">
        <f t="shared" si="273"/>
        <v>-216.14764231679925</v>
      </c>
      <c r="Y554" s="687">
        <f t="shared" si="274"/>
        <v>-36.147642316799249</v>
      </c>
      <c r="AA554" s="170">
        <f t="shared" si="275"/>
        <v>87603.25</v>
      </c>
      <c r="AB554" s="170">
        <f t="shared" si="276"/>
        <v>7674329410.5625</v>
      </c>
      <c r="AD554" s="686">
        <f t="shared" si="277"/>
        <v>15.574472484751938</v>
      </c>
      <c r="AE554" s="687">
        <f t="shared" si="278"/>
        <v>-33.839548904463804</v>
      </c>
      <c r="AG554" s="686">
        <f t="shared" si="279"/>
        <v>-7.5920885381469834</v>
      </c>
      <c r="AH554" s="687">
        <f t="shared" si="280"/>
        <v>-33.870086192438073</v>
      </c>
      <c r="AJ554" s="170">
        <f t="shared" si="281"/>
        <v>0</v>
      </c>
      <c r="AK554" s="170">
        <f t="shared" si="293"/>
        <v>0</v>
      </c>
      <c r="AM554" s="170" t="str">
        <f t="shared" si="285"/>
        <v>1.72928745101021+0.684207434773279i</v>
      </c>
      <c r="AN554" s="170" t="str">
        <f t="shared" si="286"/>
        <v>2.38807627612604i</v>
      </c>
      <c r="AO554" s="170" t="str">
        <f t="shared" si="287"/>
        <v>0.286509874752915-0.724134094165316i</v>
      </c>
      <c r="AP554" s="170" t="str">
        <f t="shared" si="288"/>
        <v>-0.121547908501701-0.114034572462213i</v>
      </c>
      <c r="AQ554" s="170" t="str">
        <f t="shared" si="289"/>
        <v>1.1215479085017+0.114034572462213i</v>
      </c>
      <c r="AR554" s="170" t="str">
        <f t="shared" si="290"/>
        <v>0.735123785416895-0.0747444901295468i</v>
      </c>
    </row>
    <row r="555" spans="7:44">
      <c r="G555" s="688">
        <v>88110.5</v>
      </c>
      <c r="H555" s="676">
        <f t="shared" si="282"/>
        <v>88.110500000000002</v>
      </c>
      <c r="I555" s="677">
        <f t="shared" si="262"/>
        <v>724.68219923166669</v>
      </c>
      <c r="J555" s="678">
        <f t="shared" si="263"/>
        <v>1.5694164111319735</v>
      </c>
      <c r="K555" s="678">
        <f t="shared" si="264"/>
        <v>1.0073897327147405</v>
      </c>
      <c r="L555" s="679">
        <f t="shared" si="265"/>
        <v>0.12119827598517656</v>
      </c>
      <c r="M555" s="678">
        <f t="shared" si="266"/>
        <v>1.1051870392624825</v>
      </c>
      <c r="N555" s="679">
        <f t="shared" si="267"/>
        <v>-0.43982962548737631</v>
      </c>
      <c r="O555" s="677">
        <f t="shared" si="268"/>
        <v>3653856.349279427</v>
      </c>
      <c r="P555" s="680">
        <f t="shared" si="269"/>
        <v>1.5707960531114498</v>
      </c>
      <c r="Q555" s="689">
        <f t="shared" si="291"/>
        <v>146.15767497421999</v>
      </c>
      <c r="R555" s="690">
        <f t="shared" si="292"/>
        <v>1.5639543473892124</v>
      </c>
      <c r="S555" s="677">
        <f t="shared" si="270"/>
        <v>1.2005600101160585</v>
      </c>
      <c r="T555" s="680">
        <f t="shared" si="271"/>
        <v>0.5863883821702881</v>
      </c>
      <c r="U555" s="681">
        <f t="shared" si="283"/>
        <v>0.57296568075338739</v>
      </c>
      <c r="V555" s="682">
        <f t="shared" si="284"/>
        <v>-1.3006485772497387</v>
      </c>
      <c r="W555" s="683">
        <f t="shared" si="272"/>
        <v>-42.695187769705008</v>
      </c>
      <c r="X555" s="684">
        <f t="shared" si="273"/>
        <v>-216.68842287358888</v>
      </c>
      <c r="Y555" s="687">
        <f t="shared" si="274"/>
        <v>-36.688422873588877</v>
      </c>
      <c r="AA555" s="170">
        <f t="shared" si="275"/>
        <v>88110.5</v>
      </c>
      <c r="AB555" s="170">
        <f t="shared" si="276"/>
        <v>7763460210.25</v>
      </c>
      <c r="AD555" s="686">
        <f t="shared" si="277"/>
        <v>15.559175771304323</v>
      </c>
      <c r="AE555" s="687">
        <f t="shared" si="278"/>
        <v>-33.989580355255342</v>
      </c>
      <c r="AG555" s="686">
        <f t="shared" si="279"/>
        <v>-7.5951474702598096</v>
      </c>
      <c r="AH555" s="687">
        <f t="shared" si="280"/>
        <v>-33.655494135816177</v>
      </c>
      <c r="AJ555" s="170">
        <f t="shared" si="281"/>
        <v>0</v>
      </c>
      <c r="AK555" s="170">
        <f t="shared" si="293"/>
        <v>0</v>
      </c>
      <c r="AM555" s="170" t="str">
        <f t="shared" si="285"/>
        <v>1.7386784457399+0.674057975102498i</v>
      </c>
      <c r="AN555" s="170" t="str">
        <f t="shared" si="286"/>
        <v>2.40190397876338i</v>
      </c>
      <c r="AO555" s="170" t="str">
        <f t="shared" si="287"/>
        <v>0.280634855124199-0.723875084563147i</v>
      </c>
      <c r="AP555" s="170" t="str">
        <f t="shared" si="288"/>
        <v>-0.123113074289984-0.112342995850416i</v>
      </c>
      <c r="AQ555" s="170" t="str">
        <f t="shared" si="289"/>
        <v>1.12311307428998+0.112342995850416i</v>
      </c>
      <c r="AR555" s="170" t="str">
        <f t="shared" si="290"/>
        <v>0.734340900783733-0.0734548093669839i</v>
      </c>
    </row>
    <row r="556" spans="7:44">
      <c r="G556" s="688">
        <v>88617.75</v>
      </c>
      <c r="H556" s="676">
        <f t="shared" si="282"/>
        <v>88.617750000000001</v>
      </c>
      <c r="I556" s="677">
        <f t="shared" si="262"/>
        <v>728.85416906047908</v>
      </c>
      <c r="J556" s="678">
        <f t="shared" si="263"/>
        <v>1.5694243097904148</v>
      </c>
      <c r="K556" s="678">
        <f t="shared" si="264"/>
        <v>1.0074747460959483</v>
      </c>
      <c r="L556" s="679">
        <f t="shared" si="265"/>
        <v>0.12188914060120407</v>
      </c>
      <c r="M556" s="678">
        <f t="shared" si="266"/>
        <v>1.1063432386373346</v>
      </c>
      <c r="N556" s="679">
        <f t="shared" si="267"/>
        <v>-0.4420452468064916</v>
      </c>
      <c r="O556" s="677">
        <f t="shared" si="268"/>
        <v>3674891.5111860312</v>
      </c>
      <c r="P556" s="680">
        <f t="shared" si="269"/>
        <v>1.57079605467802</v>
      </c>
      <c r="Q556" s="689">
        <f t="shared" si="291"/>
        <v>146.99906186903999</v>
      </c>
      <c r="R556" s="690">
        <f t="shared" si="292"/>
        <v>1.5639935098219171</v>
      </c>
      <c r="S556" s="677">
        <f t="shared" si="270"/>
        <v>1.2026805820523683</v>
      </c>
      <c r="T556" s="680">
        <f t="shared" si="271"/>
        <v>0.58903718422828155</v>
      </c>
      <c r="U556" s="681">
        <f t="shared" si="283"/>
        <v>0.57050942933305071</v>
      </c>
      <c r="V556" s="682">
        <f t="shared" si="284"/>
        <v>-1.3059183085795991</v>
      </c>
      <c r="W556" s="683">
        <f t="shared" si="272"/>
        <v>-42.78788021193553</v>
      </c>
      <c r="X556" s="684">
        <f t="shared" si="273"/>
        <v>-217.22769234857464</v>
      </c>
      <c r="Y556" s="687">
        <f t="shared" si="274"/>
        <v>-37.227692348574635</v>
      </c>
      <c r="AA556" s="170">
        <f t="shared" si="275"/>
        <v>88617.75</v>
      </c>
      <c r="AB556" s="170">
        <f t="shared" si="276"/>
        <v>7853105615.0625</v>
      </c>
      <c r="AD556" s="686">
        <f t="shared" si="277"/>
        <v>15.543844932348589</v>
      </c>
      <c r="AE556" s="687">
        <f t="shared" si="278"/>
        <v>-34.139101781763216</v>
      </c>
      <c r="AG556" s="686">
        <f t="shared" si="279"/>
        <v>-7.5978777627655152</v>
      </c>
      <c r="AH556" s="687">
        <f t="shared" si="280"/>
        <v>-33.44137545486636</v>
      </c>
      <c r="AJ556" s="170">
        <f t="shared" si="281"/>
        <v>0</v>
      </c>
      <c r="AK556" s="170">
        <f t="shared" si="293"/>
        <v>0</v>
      </c>
      <c r="AM556" s="170" t="str">
        <f t="shared" si="285"/>
        <v>1.74792820344176+0.663779633987354i</v>
      </c>
      <c r="AN556" s="170" t="str">
        <f t="shared" si="286"/>
        <v>2.41573168140073i</v>
      </c>
      <c r="AO556" s="170" t="str">
        <f t="shared" si="287"/>
        <v>0.274773742091452-0.723560574586763i</v>
      </c>
      <c r="AP556" s="170" t="str">
        <f t="shared" si="288"/>
        <v>-0.124654700573626-0.110629938997892i</v>
      </c>
      <c r="AQ556" s="170" t="str">
        <f t="shared" si="289"/>
        <v>1.12465470057363+0.110629938997892i</v>
      </c>
      <c r="AR556" s="170" t="str">
        <f t="shared" si="290"/>
        <v>0.733573542227867-0.0721601005052868i</v>
      </c>
    </row>
    <row r="557" spans="7:44">
      <c r="G557" s="688">
        <v>89125</v>
      </c>
      <c r="H557" s="676">
        <f t="shared" si="282"/>
        <v>89.125</v>
      </c>
      <c r="I557" s="677">
        <f t="shared" si="262"/>
        <v>733.02613893424598</v>
      </c>
      <c r="J557" s="678">
        <f t="shared" si="263"/>
        <v>1.5694321185394702</v>
      </c>
      <c r="K557" s="678">
        <f t="shared" si="264"/>
        <v>1.0075602402574453</v>
      </c>
      <c r="L557" s="679">
        <f t="shared" si="265"/>
        <v>0.12257988830348085</v>
      </c>
      <c r="M557" s="678">
        <f t="shared" si="266"/>
        <v>1.1075048576714763</v>
      </c>
      <c r="N557" s="679">
        <f t="shared" si="267"/>
        <v>-0.44425623120124302</v>
      </c>
      <c r="O557" s="677">
        <f t="shared" si="268"/>
        <v>3695926.6730926358</v>
      </c>
      <c r="P557" s="680">
        <f t="shared" si="269"/>
        <v>1.5707960562267582</v>
      </c>
      <c r="Q557" s="689">
        <f t="shared" si="291"/>
        <v>147.84044898674568</v>
      </c>
      <c r="R557" s="690">
        <f t="shared" si="292"/>
        <v>1.5640322264935023</v>
      </c>
      <c r="S557" s="677">
        <f t="shared" si="270"/>
        <v>1.2048095624404658</v>
      </c>
      <c r="T557" s="680">
        <f t="shared" si="271"/>
        <v>0.59167664352416593</v>
      </c>
      <c r="U557" s="681">
        <f t="shared" si="283"/>
        <v>0.56806348170467402</v>
      </c>
      <c r="V557" s="682">
        <f t="shared" si="284"/>
        <v>-1.3111754303584893</v>
      </c>
      <c r="W557" s="683">
        <f t="shared" si="272"/>
        <v>-42.880287992451485</v>
      </c>
      <c r="X557" s="684">
        <f t="shared" si="273"/>
        <v>-217.76546545891804</v>
      </c>
      <c r="Y557" s="687">
        <f t="shared" si="274"/>
        <v>-37.765465458918044</v>
      </c>
      <c r="AA557" s="170">
        <f t="shared" si="275"/>
        <v>89125</v>
      </c>
      <c r="AB557" s="170">
        <f t="shared" si="276"/>
        <v>7943265625</v>
      </c>
      <c r="AD557" s="686">
        <f t="shared" si="277"/>
        <v>15.528480516771193</v>
      </c>
      <c r="AE557" s="687">
        <f t="shared" si="278"/>
        <v>-34.288113446641759</v>
      </c>
      <c r="AG557" s="686">
        <f t="shared" si="279"/>
        <v>-7.6002829077463954</v>
      </c>
      <c r="AH557" s="687">
        <f t="shared" si="280"/>
        <v>-33.227715119009375</v>
      </c>
      <c r="AJ557" s="170">
        <f t="shared" si="281"/>
        <v>0</v>
      </c>
      <c r="AK557" s="170">
        <f t="shared" si="293"/>
        <v>0</v>
      </c>
      <c r="AM557" s="170" t="str">
        <f t="shared" si="285"/>
        <v>1.75703495554068+0.653374376670464i</v>
      </c>
      <c r="AN557" s="170" t="str">
        <f t="shared" si="286"/>
        <v>2.42955938403807i</v>
      </c>
      <c r="AO557" s="170" t="str">
        <f t="shared" si="287"/>
        <v>0.268927107097303-0.723190783927407i</v>
      </c>
      <c r="AP557" s="170" t="str">
        <f t="shared" si="288"/>
        <v>-0.126172492590114-0.108895729445077i</v>
      </c>
      <c r="AQ557" s="170" t="str">
        <f t="shared" si="289"/>
        <v>1.12617249259011+0.108895729445077i</v>
      </c>
      <c r="AR557" s="170" t="str">
        <f t="shared" si="290"/>
        <v>0.732821658572712-0.0708605027990784i</v>
      </c>
    </row>
    <row r="558" spans="7:44">
      <c r="G558" s="688">
        <v>89644</v>
      </c>
      <c r="H558" s="676">
        <f t="shared" si="282"/>
        <v>89.644000000000005</v>
      </c>
      <c r="I558" s="677">
        <f t="shared" si="262"/>
        <v>737.29474886560729</v>
      </c>
      <c r="J558" s="678">
        <f t="shared" si="263"/>
        <v>1.5694400167057025</v>
      </c>
      <c r="K558" s="678">
        <f t="shared" si="264"/>
        <v>1.0076482123028925</v>
      </c>
      <c r="L558" s="679">
        <f t="shared" si="265"/>
        <v>0.12328651490480284</v>
      </c>
      <c r="M558" s="678">
        <f t="shared" si="266"/>
        <v>1.1086989762462571</v>
      </c>
      <c r="N558" s="679">
        <f t="shared" si="267"/>
        <v>-0.44651362451306659</v>
      </c>
      <c r="O558" s="677">
        <f t="shared" si="268"/>
        <v>3717449.096019255</v>
      </c>
      <c r="P558" s="680">
        <f t="shared" si="269"/>
        <v>1.5707960577932307</v>
      </c>
      <c r="Q558" s="689">
        <f t="shared" si="291"/>
        <v>148.70132632357183</v>
      </c>
      <c r="R558" s="690">
        <f t="shared" si="292"/>
        <v>1.5640713865254734</v>
      </c>
      <c r="S558" s="677">
        <f t="shared" si="270"/>
        <v>1.2069965152468183</v>
      </c>
      <c r="T558" s="680">
        <f t="shared" si="271"/>
        <v>0.59436758699058045</v>
      </c>
      <c r="U558" s="681">
        <f t="shared" si="283"/>
        <v>0.56557149141390195</v>
      </c>
      <c r="V558" s="682">
        <f t="shared" si="284"/>
        <v>-1.3165415451538223</v>
      </c>
      <c r="W558" s="683">
        <f t="shared" si="272"/>
        <v>-42.974544825524163</v>
      </c>
      <c r="X558" s="684">
        <f t="shared" si="273"/>
        <v>-218.31416219754098</v>
      </c>
      <c r="Y558" s="687">
        <f t="shared" si="274"/>
        <v>-38.314162197540981</v>
      </c>
      <c r="AA558" s="170">
        <f t="shared" si="275"/>
        <v>89644</v>
      </c>
      <c r="AB558" s="170">
        <f t="shared" si="276"/>
        <v>8036046736</v>
      </c>
      <c r="AD558" s="686">
        <f t="shared" si="277"/>
        <v>15.512726014300446</v>
      </c>
      <c r="AE558" s="687">
        <f t="shared" si="278"/>
        <v>-34.440049535543935</v>
      </c>
      <c r="AG558" s="686">
        <f t="shared" si="279"/>
        <v>-7.6024107861734445</v>
      </c>
      <c r="AH558" s="687">
        <f t="shared" si="280"/>
        <v>-33.00956430771695</v>
      </c>
      <c r="AJ558" s="170">
        <f t="shared" si="281"/>
        <v>0</v>
      </c>
      <c r="AK558" s="170">
        <f t="shared" si="293"/>
        <v>0</v>
      </c>
      <c r="AM558" s="170" t="str">
        <f t="shared" si="285"/>
        <v>1.76620282872318+0.642598805831909i</v>
      </c>
      <c r="AN558" s="170" t="str">
        <f t="shared" si="286"/>
        <v>2.44370739324217i</v>
      </c>
      <c r="AO558" s="170" t="str">
        <f t="shared" si="287"/>
        <v>0.262960617792847-0.722755446747609i</v>
      </c>
      <c r="AP558" s="170" t="str">
        <f t="shared" si="288"/>
        <v>-0.127700471453864-0.107099800971985i</v>
      </c>
      <c r="AQ558" s="170" t="str">
        <f t="shared" si="289"/>
        <v>1.12770047145386+0.107099800971985i</v>
      </c>
      <c r="AR558" s="170" t="str">
        <f t="shared" si="290"/>
        <v>0.732068321877435-0.0695258834731951i</v>
      </c>
    </row>
    <row r="559" spans="7:44">
      <c r="G559" s="688">
        <v>90163</v>
      </c>
      <c r="H559" s="676">
        <f t="shared" si="282"/>
        <v>90.162999999999997</v>
      </c>
      <c r="I559" s="677">
        <f t="shared" si="262"/>
        <v>741.56335884243242</v>
      </c>
      <c r="J559" s="678">
        <f t="shared" si="263"/>
        <v>1.569447823944597</v>
      </c>
      <c r="K559" s="678">
        <f t="shared" si="264"/>
        <v>1.0077366874004161</v>
      </c>
      <c r="L559" s="679">
        <f t="shared" si="265"/>
        <v>0.12399301778108114</v>
      </c>
      <c r="M559" s="678">
        <f t="shared" si="266"/>
        <v>1.10989873238286</v>
      </c>
      <c r="N559" s="679">
        <f t="shared" si="267"/>
        <v>-0.44876614897897232</v>
      </c>
      <c r="O559" s="677">
        <f t="shared" si="268"/>
        <v>3738971.5189458737</v>
      </c>
      <c r="P559" s="680">
        <f t="shared" si="269"/>
        <v>1.5707960593416692</v>
      </c>
      <c r="Q559" s="689">
        <f t="shared" si="291"/>
        <v>149.56220388580755</v>
      </c>
      <c r="R559" s="690">
        <f t="shared" si="292"/>
        <v>1.5641100957485154</v>
      </c>
      <c r="S559" s="677">
        <f t="shared" si="270"/>
        <v>1.2091921764767075</v>
      </c>
      <c r="T559" s="680">
        <f t="shared" si="271"/>
        <v>0.5970487773382207</v>
      </c>
      <c r="U559" s="681">
        <f t="shared" si="283"/>
        <v>0.56309018654143028</v>
      </c>
      <c r="V559" s="682">
        <f t="shared" si="284"/>
        <v>-1.3218950017129711</v>
      </c>
      <c r="W559" s="683">
        <f t="shared" si="272"/>
        <v>-43.068510001375316</v>
      </c>
      <c r="X559" s="684">
        <f t="shared" si="273"/>
        <v>-218.86132360337356</v>
      </c>
      <c r="Y559" s="687">
        <f t="shared" si="274"/>
        <v>-38.861323603373563</v>
      </c>
      <c r="AA559" s="170">
        <f t="shared" si="275"/>
        <v>90163</v>
      </c>
      <c r="AB559" s="170">
        <f t="shared" si="276"/>
        <v>8129366569</v>
      </c>
      <c r="AD559" s="686">
        <f t="shared" si="277"/>
        <v>15.496937512164477</v>
      </c>
      <c r="AE559" s="687">
        <f t="shared" si="278"/>
        <v>-34.591452640318401</v>
      </c>
      <c r="AG559" s="686">
        <f t="shared" si="279"/>
        <v>-7.6042054034271498</v>
      </c>
      <c r="AH559" s="687">
        <f t="shared" si="280"/>
        <v>-32.791861674782396</v>
      </c>
      <c r="AJ559" s="170">
        <f t="shared" si="281"/>
        <v>0</v>
      </c>
      <c r="AK559" s="170">
        <f t="shared" si="293"/>
        <v>0</v>
      </c>
      <c r="AM559" s="170" t="str">
        <f t="shared" si="285"/>
        <v>1.77521733658252+0.631694610600651i</v>
      </c>
      <c r="AN559" s="170" t="str">
        <f t="shared" si="286"/>
        <v>2.45785540244628i</v>
      </c>
      <c r="AO559" s="170" t="str">
        <f t="shared" si="287"/>
        <v>0.257010485633911-0.72226272335454i</v>
      </c>
      <c r="AP559" s="170" t="str">
        <f t="shared" si="288"/>
        <v>-0.129202889430419-0.105282435100108i</v>
      </c>
      <c r="AQ559" s="170" t="str">
        <f t="shared" si="289"/>
        <v>1.12920288943042+0.105282435100108i</v>
      </c>
      <c r="AR559" s="170" t="str">
        <f t="shared" si="290"/>
        <v>0.731331077932471-0.0681864326329833i</v>
      </c>
    </row>
    <row r="560" spans="7:44">
      <c r="G560" s="688">
        <v>90682</v>
      </c>
      <c r="H560" s="676">
        <f t="shared" si="282"/>
        <v>90.682000000000002</v>
      </c>
      <c r="I560" s="677">
        <f t="shared" si="262"/>
        <v>745.83196886394057</v>
      </c>
      <c r="J560" s="678">
        <f t="shared" si="263"/>
        <v>1.5694555418173626</v>
      </c>
      <c r="K560" s="678">
        <f t="shared" si="264"/>
        <v>1.0078256654175302</v>
      </c>
      <c r="L560" s="679">
        <f t="shared" si="265"/>
        <v>0.12469939625969716</v>
      </c>
      <c r="M560" s="678">
        <f t="shared" si="266"/>
        <v>1.1111041078191812</v>
      </c>
      <c r="N560" s="679">
        <f t="shared" si="267"/>
        <v>-0.45101379754998522</v>
      </c>
      <c r="O560" s="677">
        <f t="shared" si="268"/>
        <v>3760493.9418724934</v>
      </c>
      <c r="P560" s="680">
        <f t="shared" si="269"/>
        <v>1.5707960608723834</v>
      </c>
      <c r="Q560" s="689">
        <f t="shared" si="291"/>
        <v>150.42308166958273</v>
      </c>
      <c r="R560" s="690">
        <f t="shared" si="292"/>
        <v>1.5641483619025087</v>
      </c>
      <c r="S560" s="677">
        <f t="shared" si="270"/>
        <v>1.2113964987779715</v>
      </c>
      <c r="T560" s="680">
        <f t="shared" si="271"/>
        <v>0.59972022915557732</v>
      </c>
      <c r="U560" s="681">
        <f t="shared" si="283"/>
        <v>0.56061951330996496</v>
      </c>
      <c r="V560" s="682">
        <f t="shared" si="284"/>
        <v>-1.3272360729051322</v>
      </c>
      <c r="W560" s="683">
        <f t="shared" si="272"/>
        <v>-43.162186693234659</v>
      </c>
      <c r="X560" s="684">
        <f t="shared" si="273"/>
        <v>-219.40696542719573</v>
      </c>
      <c r="Y560" s="687">
        <f t="shared" si="274"/>
        <v>-39.406965427195729</v>
      </c>
      <c r="AA560" s="170">
        <f t="shared" si="275"/>
        <v>90682</v>
      </c>
      <c r="AB560" s="170">
        <f t="shared" si="276"/>
        <v>8223225124</v>
      </c>
      <c r="AD560" s="686">
        <f t="shared" si="277"/>
        <v>15.481115586074768</v>
      </c>
      <c r="AE560" s="687">
        <f t="shared" si="278"/>
        <v>-34.742323153379346</v>
      </c>
      <c r="AG560" s="686">
        <f t="shared" si="279"/>
        <v>-7.6056702275468213</v>
      </c>
      <c r="AH560" s="687">
        <f t="shared" si="280"/>
        <v>-32.574591310064754</v>
      </c>
      <c r="AJ560" s="170">
        <f t="shared" si="281"/>
        <v>0</v>
      </c>
      <c r="AK560" s="170">
        <f t="shared" si="293"/>
        <v>0</v>
      </c>
      <c r="AM560" s="170" t="str">
        <f t="shared" si="285"/>
        <v>1.78407667474931+0.620663973591235i</v>
      </c>
      <c r="AN560" s="170" t="str">
        <f t="shared" si="286"/>
        <v>2.47200341165038i</v>
      </c>
      <c r="AO560" s="170" t="str">
        <f t="shared" si="287"/>
        <v>0.25107731270357-0.721712869141313i</v>
      </c>
      <c r="AP560" s="170" t="str">
        <f t="shared" si="288"/>
        <v>-0.130679445791552-0.103443995598539i</v>
      </c>
      <c r="AQ560" s="170" t="str">
        <f t="shared" si="289"/>
        <v>1.13067944579155+0.103443995598539i</v>
      </c>
      <c r="AR560" s="170" t="str">
        <f t="shared" si="290"/>
        <v>0.730609873048845-0.0668422909545374i</v>
      </c>
    </row>
    <row r="561" spans="7:44">
      <c r="G561" s="688">
        <v>91201</v>
      </c>
      <c r="H561" s="676">
        <f t="shared" si="282"/>
        <v>91.200999999999993</v>
      </c>
      <c r="I561" s="677">
        <f t="shared" si="262"/>
        <v>750.10057892936902</v>
      </c>
      <c r="J561" s="678">
        <f t="shared" si="263"/>
        <v>1.5694631718496699</v>
      </c>
      <c r="K561" s="678">
        <f t="shared" si="264"/>
        <v>1.0079151462210427</v>
      </c>
      <c r="L561" s="679">
        <f t="shared" si="265"/>
        <v>0.1254056496687658</v>
      </c>
      <c r="M561" s="678">
        <f t="shared" si="266"/>
        <v>1.1123150842869289</v>
      </c>
      <c r="N561" s="679">
        <f t="shared" si="267"/>
        <v>-0.45325656340467335</v>
      </c>
      <c r="O561" s="677">
        <f t="shared" si="268"/>
        <v>3782016.3647991125</v>
      </c>
      <c r="P561" s="680">
        <f t="shared" si="269"/>
        <v>1.5707960623856758</v>
      </c>
      <c r="Q561" s="689">
        <f t="shared" si="291"/>
        <v>151.28395967111538</v>
      </c>
      <c r="R561" s="690">
        <f t="shared" si="292"/>
        <v>1.5641861925511635</v>
      </c>
      <c r="S561" s="677">
        <f t="shared" si="270"/>
        <v>1.2136094349563691</v>
      </c>
      <c r="T561" s="680">
        <f t="shared" si="271"/>
        <v>0.60238195748136203</v>
      </c>
      <c r="U561" s="681">
        <f t="shared" si="283"/>
        <v>0.55815941629389421</v>
      </c>
      <c r="V561" s="682">
        <f t="shared" si="284"/>
        <v>-1.3325650306916381</v>
      </c>
      <c r="W561" s="683">
        <f t="shared" si="272"/>
        <v>-43.255578051776915</v>
      </c>
      <c r="X561" s="684">
        <f t="shared" si="273"/>
        <v>-219.95110341461873</v>
      </c>
      <c r="Y561" s="687">
        <f t="shared" si="274"/>
        <v>-39.951103414618728</v>
      </c>
      <c r="AA561" s="170">
        <f t="shared" si="275"/>
        <v>91201</v>
      </c>
      <c r="AB561" s="170">
        <f t="shared" si="276"/>
        <v>8317622401</v>
      </c>
      <c r="AD561" s="686">
        <f t="shared" si="277"/>
        <v>15.465260807599428</v>
      </c>
      <c r="AE561" s="687">
        <f t="shared" si="278"/>
        <v>-34.892661503030112</v>
      </c>
      <c r="AG561" s="686">
        <f t="shared" si="279"/>
        <v>-7.6068086379484061</v>
      </c>
      <c r="AH561" s="687">
        <f t="shared" si="280"/>
        <v>-32.357737366398879</v>
      </c>
      <c r="AJ561" s="170">
        <f t="shared" si="281"/>
        <v>0</v>
      </c>
      <c r="AK561" s="170">
        <f t="shared" si="293"/>
        <v>0</v>
      </c>
      <c r="AM561" s="170" t="str">
        <f t="shared" si="285"/>
        <v>1.79277906991342+0.609509102727117i</v>
      </c>
      <c r="AN561" s="170" t="str">
        <f t="shared" si="286"/>
        <v>2.48615142085449i</v>
      </c>
      <c r="AO561" s="170" t="str">
        <f t="shared" si="287"/>
        <v>0.245161697559688-0.721106146180445i</v>
      </c>
      <c r="AP561" s="170" t="str">
        <f t="shared" si="288"/>
        <v>-0.13212984498557-0.101584850454519i</v>
      </c>
      <c r="AQ561" s="170" t="str">
        <f t="shared" si="289"/>
        <v>1.13212984498557+0.101584850454519i</v>
      </c>
      <c r="AR561" s="170" t="str">
        <f t="shared" si="290"/>
        <v>0.729904654015998-0.0654935963862146i</v>
      </c>
    </row>
    <row r="562" spans="7:44">
      <c r="G562" s="688">
        <v>91732</v>
      </c>
      <c r="H562" s="676">
        <f t="shared" si="282"/>
        <v>91.731999999999999</v>
      </c>
      <c r="I562" s="677">
        <f t="shared" si="262"/>
        <v>754.46788522595909</v>
      </c>
      <c r="J562" s="678">
        <f t="shared" si="263"/>
        <v>1.5694708889434257</v>
      </c>
      <c r="K562" s="678">
        <f t="shared" si="264"/>
        <v>1.0080072161636897</v>
      </c>
      <c r="L562" s="679">
        <f t="shared" si="265"/>
        <v>0.12612810249582165</v>
      </c>
      <c r="M562" s="678">
        <f t="shared" si="266"/>
        <v>1.1135598379366189</v>
      </c>
      <c r="N562" s="679">
        <f t="shared" si="267"/>
        <v>-0.45554612487593593</v>
      </c>
      <c r="O562" s="677">
        <f t="shared" si="268"/>
        <v>3804036.4160014917</v>
      </c>
      <c r="P562" s="680">
        <f t="shared" si="269"/>
        <v>1.5707960639162355</v>
      </c>
      <c r="Q562" s="689">
        <f t="shared" si="291"/>
        <v>152.16474258783853</v>
      </c>
      <c r="R562" s="690">
        <f t="shared" si="292"/>
        <v>1.5642244548797644</v>
      </c>
      <c r="S562" s="677">
        <f t="shared" si="270"/>
        <v>1.2158824031635596</v>
      </c>
      <c r="T562" s="680">
        <f t="shared" si="271"/>
        <v>0.60509518148472174</v>
      </c>
      <c r="U562" s="681">
        <f t="shared" si="283"/>
        <v>0.55565332479625251</v>
      </c>
      <c r="V562" s="682">
        <f t="shared" si="284"/>
        <v>-1.338004947305419</v>
      </c>
      <c r="W562" s="683">
        <f t="shared" si="272"/>
        <v>-43.350836705907689</v>
      </c>
      <c r="X562" s="684">
        <f t="shared" si="273"/>
        <v>-220.50628264839719</v>
      </c>
      <c r="Y562" s="687">
        <f t="shared" si="274"/>
        <v>-40.506282648397189</v>
      </c>
      <c r="AA562" s="170">
        <f t="shared" si="275"/>
        <v>91732</v>
      </c>
      <c r="AB562" s="170">
        <f t="shared" si="276"/>
        <v>8414759824</v>
      </c>
      <c r="AD562" s="686">
        <f t="shared" si="277"/>
        <v>15.449006035839014</v>
      </c>
      <c r="AE562" s="687">
        <f t="shared" si="278"/>
        <v>-35.045925605222791</v>
      </c>
      <c r="AG562" s="686">
        <f t="shared" si="279"/>
        <v>-7.607638981440136</v>
      </c>
      <c r="AH562" s="687">
        <f t="shared" si="280"/>
        <v>-32.136283971526915</v>
      </c>
      <c r="AJ562" s="170">
        <f t="shared" si="281"/>
        <v>0</v>
      </c>
      <c r="AK562" s="170">
        <f t="shared" si="293"/>
        <v>0</v>
      </c>
      <c r="AM562" s="170" t="str">
        <f t="shared" si="285"/>
        <v>1.8015184319857+0.597970068805439i</v>
      </c>
      <c r="AN562" s="170" t="str">
        <f t="shared" si="286"/>
        <v>2.50062655165868i</v>
      </c>
      <c r="AO562" s="170" t="str">
        <f t="shared" si="287"/>
        <v>0.239128097079831-0.720426818946933i</v>
      </c>
      <c r="AP562" s="170" t="str">
        <f t="shared" si="288"/>
        <v>-0.13358640533095-0.0996616781342398i</v>
      </c>
      <c r="AQ562" s="170" t="str">
        <f t="shared" si="289"/>
        <v>1.13358640533095+0.0996616781342398i</v>
      </c>
      <c r="AR562" s="170" t="str">
        <f t="shared" si="290"/>
        <v>0.729199618943351-0.0641091471959966i</v>
      </c>
    </row>
    <row r="563" spans="7:44">
      <c r="G563" s="688">
        <v>92263</v>
      </c>
      <c r="H563" s="676">
        <f t="shared" si="282"/>
        <v>92.263000000000005</v>
      </c>
      <c r="I563" s="677">
        <f t="shared" si="262"/>
        <v>758.83519156696332</v>
      </c>
      <c r="J563" s="678">
        <f t="shared" si="263"/>
        <v>1.5694785172091654</v>
      </c>
      <c r="K563" s="678">
        <f t="shared" si="264"/>
        <v>1.0080998121274343</v>
      </c>
      <c r="L563" s="679">
        <f t="shared" si="265"/>
        <v>0.12685042298238133</v>
      </c>
      <c r="M563" s="678">
        <f t="shared" si="266"/>
        <v>1.1148104159157137</v>
      </c>
      <c r="N563" s="679">
        <f t="shared" si="267"/>
        <v>-0.4578305615071151</v>
      </c>
      <c r="O563" s="677">
        <f t="shared" si="268"/>
        <v>3826056.4672038709</v>
      </c>
      <c r="P563" s="680">
        <f t="shared" si="269"/>
        <v>1.5707960654291775</v>
      </c>
      <c r="Q563" s="689">
        <f t="shared" si="291"/>
        <v>153.04552572476763</v>
      </c>
      <c r="R563" s="690">
        <f t="shared" si="292"/>
        <v>1.5642622768059495</v>
      </c>
      <c r="S563" s="677">
        <f t="shared" si="270"/>
        <v>1.2181642887508319</v>
      </c>
      <c r="T563" s="680">
        <f t="shared" si="271"/>
        <v>0.60779826041248142</v>
      </c>
      <c r="U563" s="681">
        <f t="shared" si="283"/>
        <v>0.55315818182572274</v>
      </c>
      <c r="V563" s="682">
        <f t="shared" si="284"/>
        <v>-1.3434327569560558</v>
      </c>
      <c r="W563" s="683">
        <f t="shared" si="272"/>
        <v>-43.445803284107299</v>
      </c>
      <c r="X563" s="684">
        <f t="shared" si="273"/>
        <v>-221.05992102783267</v>
      </c>
      <c r="Y563" s="687">
        <f t="shared" si="274"/>
        <v>-41.059921027832672</v>
      </c>
      <c r="AA563" s="170">
        <f t="shared" si="275"/>
        <v>92263</v>
      </c>
      <c r="AB563" s="170">
        <f t="shared" si="276"/>
        <v>8512461169</v>
      </c>
      <c r="AD563" s="686">
        <f t="shared" si="277"/>
        <v>15.432718072057314</v>
      </c>
      <c r="AE563" s="687">
        <f t="shared" si="278"/>
        <v>-35.198633669590379</v>
      </c>
      <c r="AG563" s="686">
        <f t="shared" si="279"/>
        <v>-7.6081345217265293</v>
      </c>
      <c r="AH563" s="687">
        <f t="shared" si="280"/>
        <v>-31.915233115920294</v>
      </c>
      <c r="AJ563" s="170">
        <f t="shared" si="281"/>
        <v>0</v>
      </c>
      <c r="AK563" s="170">
        <f t="shared" si="293"/>
        <v>0</v>
      </c>
      <c r="AM563" s="170" t="str">
        <f t="shared" si="285"/>
        <v>1.81008985530476+0.58630574475465i</v>
      </c>
      <c r="AN563" s="170" t="str">
        <f t="shared" si="286"/>
        <v>2.51510168246288i</v>
      </c>
      <c r="AO563" s="170" t="str">
        <f t="shared" si="287"/>
        <v>0.233114131664259-0.719688539006603i</v>
      </c>
      <c r="AP563" s="170" t="str">
        <f t="shared" si="288"/>
        <v>-0.135014975884128-0.097717624125775i</v>
      </c>
      <c r="AQ563" s="170" t="str">
        <f t="shared" si="289"/>
        <v>1.13501497588413+0.097717624125775i</v>
      </c>
      <c r="AR563" s="170" t="str">
        <f t="shared" si="290"/>
        <v>0.728511206542279-0.0627202158252233i</v>
      </c>
    </row>
    <row r="564" spans="7:44">
      <c r="G564" s="688">
        <v>92794</v>
      </c>
      <c r="H564" s="676">
        <f t="shared" si="282"/>
        <v>92.793999999999997</v>
      </c>
      <c r="I564" s="677">
        <f t="shared" si="262"/>
        <v>763.20249795161908</v>
      </c>
      <c r="J564" s="678">
        <f t="shared" si="263"/>
        <v>1.5694860581718013</v>
      </c>
      <c r="K564" s="678">
        <f t="shared" si="264"/>
        <v>1.0081929339673414</v>
      </c>
      <c r="L564" s="679">
        <f t="shared" si="265"/>
        <v>0.1275726104112761</v>
      </c>
      <c r="M564" s="678">
        <f t="shared" si="266"/>
        <v>1.116066798645337</v>
      </c>
      <c r="N564" s="679">
        <f t="shared" si="267"/>
        <v>-0.46010986672249388</v>
      </c>
      <c r="O564" s="677">
        <f t="shared" si="268"/>
        <v>3848076.51840625</v>
      </c>
      <c r="P564" s="680">
        <f t="shared" si="269"/>
        <v>1.5707960669248042</v>
      </c>
      <c r="Q564" s="689">
        <f t="shared" si="291"/>
        <v>153.92630907812256</v>
      </c>
      <c r="R564" s="690">
        <f t="shared" si="292"/>
        <v>1.5642996658897039</v>
      </c>
      <c r="S564" s="677">
        <f t="shared" si="270"/>
        <v>1.2204550416996935</v>
      </c>
      <c r="T564" s="680">
        <f t="shared" si="271"/>
        <v>0.61049121177930343</v>
      </c>
      <c r="U564" s="681">
        <f t="shared" si="283"/>
        <v>0.55067392303454032</v>
      </c>
      <c r="V564" s="682">
        <f t="shared" si="284"/>
        <v>-1.3488487480174505</v>
      </c>
      <c r="W564" s="683">
        <f t="shared" si="272"/>
        <v>-43.540481094106525</v>
      </c>
      <c r="X564" s="684">
        <f t="shared" si="273"/>
        <v>-221.61203539761183</v>
      </c>
      <c r="Y564" s="687">
        <f t="shared" si="274"/>
        <v>-41.612035397611834</v>
      </c>
      <c r="AA564" s="170">
        <f t="shared" si="275"/>
        <v>92794</v>
      </c>
      <c r="AB564" s="170">
        <f t="shared" si="276"/>
        <v>8610726436</v>
      </c>
      <c r="AD564" s="686">
        <f t="shared" si="277"/>
        <v>15.416397514853319</v>
      </c>
      <c r="AE564" s="687">
        <f t="shared" si="278"/>
        <v>-35.350786266511236</v>
      </c>
      <c r="AG564" s="686">
        <f t="shared" si="279"/>
        <v>-7.60829859992847</v>
      </c>
      <c r="AH564" s="687">
        <f t="shared" si="280"/>
        <v>-31.694568028672442</v>
      </c>
      <c r="AJ564" s="170">
        <f t="shared" si="281"/>
        <v>0</v>
      </c>
      <c r="AK564" s="170">
        <f t="shared" si="293"/>
        <v>0</v>
      </c>
      <c r="AM564" s="170" t="str">
        <f t="shared" si="285"/>
        <v>1.81849154393667+0.574518574551041i</v>
      </c>
      <c r="AN564" s="170" t="str">
        <f t="shared" si="286"/>
        <v>2.52957681326708i</v>
      </c>
      <c r="AO564" s="170" t="str">
        <f t="shared" si="287"/>
        <v>0.227120430396822-0.718891608429947i</v>
      </c>
      <c r="AP564" s="170" t="str">
        <f t="shared" si="288"/>
        <v>-0.136415257322779-0.0957530957585068i</v>
      </c>
      <c r="AQ564" s="170" t="str">
        <f t="shared" si="289"/>
        <v>1.13641525732278+0.0957530957585068i</v>
      </c>
      <c r="AR564" s="170" t="str">
        <f t="shared" si="290"/>
        <v>0.727839361677508-0.0613269415791747i</v>
      </c>
    </row>
    <row r="565" spans="7:44">
      <c r="G565" s="688">
        <v>93325</v>
      </c>
      <c r="H565" s="676">
        <f t="shared" si="282"/>
        <v>93.325000000000003</v>
      </c>
      <c r="I565" s="677">
        <f t="shared" si="262"/>
        <v>767.56980437918116</v>
      </c>
      <c r="J565" s="678">
        <f t="shared" si="263"/>
        <v>1.5694935133215395</v>
      </c>
      <c r="K565" s="678">
        <f t="shared" si="264"/>
        <v>1.0082865815377069</v>
      </c>
      <c r="L565" s="679">
        <f t="shared" si="265"/>
        <v>0.12829466406615647</v>
      </c>
      <c r="M565" s="678">
        <f t="shared" si="266"/>
        <v>1.1173289665439998</v>
      </c>
      <c r="N565" s="679">
        <f t="shared" si="267"/>
        <v>-0.46238403418913288</v>
      </c>
      <c r="O565" s="677">
        <f t="shared" si="268"/>
        <v>3870096.5696086292</v>
      </c>
      <c r="P565" s="680">
        <f t="shared" si="269"/>
        <v>1.5707960684034115</v>
      </c>
      <c r="Q565" s="689">
        <f t="shared" si="291"/>
        <v>154.80709264420918</v>
      </c>
      <c r="R565" s="690">
        <f t="shared" si="292"/>
        <v>1.5643366295189651</v>
      </c>
      <c r="S565" s="677">
        <f t="shared" si="270"/>
        <v>1.2227546121728323</v>
      </c>
      <c r="T565" s="680">
        <f t="shared" si="271"/>
        <v>0.61317405355641375</v>
      </c>
      <c r="U565" s="681">
        <f t="shared" si="283"/>
        <v>0.54820048251170417</v>
      </c>
      <c r="V565" s="682">
        <f t="shared" si="284"/>
        <v>-1.3542532079115854</v>
      </c>
      <c r="W565" s="683">
        <f t="shared" si="272"/>
        <v>-43.634873423376881</v>
      </c>
      <c r="X565" s="684">
        <f t="shared" si="273"/>
        <v>-222.16264259577162</v>
      </c>
      <c r="Y565" s="687">
        <f t="shared" si="274"/>
        <v>-42.162642595771615</v>
      </c>
      <c r="AA565" s="170">
        <f t="shared" si="275"/>
        <v>93325</v>
      </c>
      <c r="AB565" s="170">
        <f t="shared" si="276"/>
        <v>8709555625</v>
      </c>
      <c r="AD565" s="686">
        <f t="shared" si="277"/>
        <v>15.400044958240729</v>
      </c>
      <c r="AE565" s="687">
        <f t="shared" si="278"/>
        <v>-35.502384002380076</v>
      </c>
      <c r="AG565" s="686">
        <f t="shared" si="279"/>
        <v>-7.6081344665449464</v>
      </c>
      <c r="AH565" s="687">
        <f t="shared" si="280"/>
        <v>-31.474272005292434</v>
      </c>
      <c r="AJ565" s="170">
        <f t="shared" si="281"/>
        <v>0</v>
      </c>
      <c r="AK565" s="170">
        <f t="shared" si="293"/>
        <v>0</v>
      </c>
      <c r="AM565" s="170" t="str">
        <f t="shared" si="285"/>
        <v>1.82672173751129+0.562611027910329i</v>
      </c>
      <c r="AN565" s="170" t="str">
        <f t="shared" si="286"/>
        <v>2.54405194407128i</v>
      </c>
      <c r="AO565" s="170" t="str">
        <f t="shared" si="287"/>
        <v>0.221147618161434-0.718036336391765i</v>
      </c>
      <c r="AP565" s="170" t="str">
        <f t="shared" si="288"/>
        <v>-0.137786956251881-0.0937685046517215i</v>
      </c>
      <c r="AQ565" s="170" t="str">
        <f t="shared" si="289"/>
        <v>1.13778695625188+0.0937685046517215i</v>
      </c>
      <c r="AR565" s="170" t="str">
        <f t="shared" si="290"/>
        <v>0.727184029932156-0.0599294610635842i</v>
      </c>
    </row>
    <row r="566" spans="7:44">
      <c r="G566" s="688">
        <v>93868.5</v>
      </c>
      <c r="H566" s="676">
        <f t="shared" si="282"/>
        <v>93.868499999999997</v>
      </c>
      <c r="I566" s="677">
        <f t="shared" si="262"/>
        <v>772.03991938213926</v>
      </c>
      <c r="J566" s="678">
        <f t="shared" si="263"/>
        <v>1.5695010566223113</v>
      </c>
      <c r="K566" s="678">
        <f t="shared" si="264"/>
        <v>1.0083829779049074</v>
      </c>
      <c r="L566" s="679">
        <f t="shared" si="265"/>
        <v>0.12903357593608236</v>
      </c>
      <c r="M566" s="678">
        <f t="shared" si="266"/>
        <v>1.1186268171044249</v>
      </c>
      <c r="N566" s="679">
        <f t="shared" si="267"/>
        <v>-0.46470640972481309</v>
      </c>
      <c r="O566" s="677">
        <f t="shared" si="268"/>
        <v>3892634.9835982588</v>
      </c>
      <c r="P566" s="680">
        <f t="shared" si="269"/>
        <v>1.570796069899502</v>
      </c>
      <c r="Q566" s="689">
        <f t="shared" si="291"/>
        <v>155.7086105032449</v>
      </c>
      <c r="R566" s="690">
        <f t="shared" si="292"/>
        <v>1.5643740302300719</v>
      </c>
      <c r="S566" s="677">
        <f t="shared" si="270"/>
        <v>1.2251173951578738</v>
      </c>
      <c r="T566" s="680">
        <f t="shared" si="271"/>
        <v>0.61590960060122768</v>
      </c>
      <c r="U566" s="681">
        <f t="shared" si="283"/>
        <v>0.54567994888105764</v>
      </c>
      <c r="V566" s="682">
        <f t="shared" si="284"/>
        <v>-1.3597732489021417</v>
      </c>
      <c r="W566" s="683">
        <f t="shared" si="272"/>
        <v>-43.731195564964025</v>
      </c>
      <c r="X566" s="684">
        <f t="shared" si="273"/>
        <v>-222.72466811541952</v>
      </c>
      <c r="Y566" s="687">
        <f t="shared" si="274"/>
        <v>-42.724668115419519</v>
      </c>
      <c r="AA566" s="170">
        <f t="shared" si="275"/>
        <v>93868.5</v>
      </c>
      <c r="AB566" s="170">
        <f t="shared" si="276"/>
        <v>8811295292.25</v>
      </c>
      <c r="AD566" s="686">
        <f t="shared" si="277"/>
        <v>15.383274931398589</v>
      </c>
      <c r="AE566" s="687">
        <f t="shared" si="278"/>
        <v>-35.656976485706494</v>
      </c>
      <c r="AG566" s="686">
        <f t="shared" si="279"/>
        <v>-7.6076298765057535</v>
      </c>
      <c r="AH566" s="687">
        <f t="shared" si="280"/>
        <v>-31.249154937894971</v>
      </c>
      <c r="AJ566" s="170">
        <f t="shared" si="281"/>
        <v>0</v>
      </c>
      <c r="AK566" s="170">
        <f t="shared" si="293"/>
        <v>0</v>
      </c>
      <c r="AM566" s="170" t="str">
        <f t="shared" si="285"/>
        <v>1.83496627608451+0.550301115573623i</v>
      </c>
      <c r="AN566" s="170" t="str">
        <f t="shared" si="286"/>
        <v>2.55886782654225i</v>
      </c>
      <c r="AO566" s="170" t="str">
        <f t="shared" si="287"/>
        <v>0.215056483131149-0.717100843213174i</v>
      </c>
      <c r="AP566" s="170" t="str">
        <f t="shared" si="288"/>
        <v>-0.139161046014084-0.0917168525956038i</v>
      </c>
      <c r="AQ566" s="170" t="str">
        <f t="shared" si="289"/>
        <v>1.13916104601408+0.0917168525956038i</v>
      </c>
      <c r="AR566" s="170" t="str">
        <f t="shared" si="290"/>
        <v>0.72653031614705-0.0584948670299536i</v>
      </c>
    </row>
    <row r="567" spans="7:44">
      <c r="G567" s="688">
        <v>94412</v>
      </c>
      <c r="H567" s="676">
        <f t="shared" si="282"/>
        <v>94.412000000000006</v>
      </c>
      <c r="I567" s="677">
        <f t="shared" si="262"/>
        <v>776.51003442852152</v>
      </c>
      <c r="J567" s="678">
        <f t="shared" si="263"/>
        <v>1.5695085130744382</v>
      </c>
      <c r="K567" s="678">
        <f t="shared" si="264"/>
        <v>1.0084799247344594</v>
      </c>
      <c r="L567" s="679">
        <f t="shared" si="265"/>
        <v>0.1297723461436851</v>
      </c>
      <c r="M567" s="678">
        <f t="shared" si="266"/>
        <v>1.1199306868958061</v>
      </c>
      <c r="N567" s="679">
        <f t="shared" si="267"/>
        <v>-0.46702339012078387</v>
      </c>
      <c r="O567" s="677">
        <f t="shared" si="268"/>
        <v>3915173.3975878879</v>
      </c>
      <c r="P567" s="680">
        <f t="shared" si="269"/>
        <v>1.5707960713783675</v>
      </c>
      <c r="Q567" s="689">
        <f t="shared" si="291"/>
        <v>156.61012857758024</v>
      </c>
      <c r="R567" s="690">
        <f t="shared" si="292"/>
        <v>1.5644110003507266</v>
      </c>
      <c r="S567" s="677">
        <f t="shared" si="270"/>
        <v>1.2274893106289737</v>
      </c>
      <c r="T567" s="680">
        <f t="shared" si="271"/>
        <v>0.61863459600833814</v>
      </c>
      <c r="U567" s="681">
        <f t="shared" si="283"/>
        <v>0.54317060434728359</v>
      </c>
      <c r="V567" s="682">
        <f t="shared" si="284"/>
        <v>-1.3652818157534541</v>
      </c>
      <c r="W567" s="683">
        <f t="shared" si="272"/>
        <v>-43.827225535667154</v>
      </c>
      <c r="X567" s="684">
        <f t="shared" si="273"/>
        <v>-223.285150342892</v>
      </c>
      <c r="Y567" s="687">
        <f t="shared" si="274"/>
        <v>-43.285150342891995</v>
      </c>
      <c r="AA567" s="170">
        <f t="shared" si="275"/>
        <v>94412</v>
      </c>
      <c r="AB567" s="170">
        <f t="shared" si="276"/>
        <v>8913625744</v>
      </c>
      <c r="AD567" s="686">
        <f t="shared" si="277"/>
        <v>15.36647262537106</v>
      </c>
      <c r="AE567" s="687">
        <f t="shared" si="278"/>
        <v>-35.810989074753607</v>
      </c>
      <c r="AG567" s="686">
        <f t="shared" si="279"/>
        <v>-7.6067880469558293</v>
      </c>
      <c r="AH567" s="687">
        <f t="shared" si="280"/>
        <v>-31.024389312107321</v>
      </c>
      <c r="AJ567" s="170">
        <f t="shared" si="281"/>
        <v>0</v>
      </c>
      <c r="AK567" s="170">
        <f t="shared" si="293"/>
        <v>0</v>
      </c>
      <c r="AM567" s="170" t="str">
        <f t="shared" si="285"/>
        <v>1.84302753425138+0.53787040864323i</v>
      </c>
      <c r="AN567" s="170" t="str">
        <f t="shared" si="286"/>
        <v>2.57368370901321i</v>
      </c>
      <c r="AO567" s="170" t="str">
        <f t="shared" si="287"/>
        <v>0.208988543059729-0.716104907451128i</v>
      </c>
      <c r="AP567" s="170" t="str">
        <f t="shared" si="288"/>
        <v>-0.140504589041897-0.089645068107205i</v>
      </c>
      <c r="AQ567" s="170" t="str">
        <f t="shared" si="289"/>
        <v>1.1405045890419+0.089645068107205i</v>
      </c>
      <c r="AR567" s="170" t="str">
        <f t="shared" si="290"/>
        <v>0.725893789219872-0.0570561476020697i</v>
      </c>
    </row>
    <row r="568" spans="7:44">
      <c r="G568" s="688">
        <v>94955.5</v>
      </c>
      <c r="H568" s="676">
        <f t="shared" si="282"/>
        <v>94.955500000000001</v>
      </c>
      <c r="I568" s="677">
        <f t="shared" si="262"/>
        <v>780.98014951758262</v>
      </c>
      <c r="J568" s="678">
        <f t="shared" si="263"/>
        <v>1.5695158841692123</v>
      </c>
      <c r="K568" s="678">
        <f t="shared" si="264"/>
        <v>1.008577421867628</v>
      </c>
      <c r="L568" s="679">
        <f t="shared" si="265"/>
        <v>0.13051097392351804</v>
      </c>
      <c r="M568" s="678">
        <f t="shared" si="266"/>
        <v>1.1212405549191888</v>
      </c>
      <c r="N568" s="679">
        <f t="shared" si="267"/>
        <v>-0.46933496936528041</v>
      </c>
      <c r="O568" s="677">
        <f t="shared" si="268"/>
        <v>3937711.8115775175</v>
      </c>
      <c r="P568" s="680">
        <f t="shared" si="269"/>
        <v>1.5707960728403036</v>
      </c>
      <c r="Q568" s="689">
        <f t="shared" si="291"/>
        <v>157.51164686351848</v>
      </c>
      <c r="R568" s="690">
        <f t="shared" si="292"/>
        <v>1.5644475472742834</v>
      </c>
      <c r="S568" s="677">
        <f t="shared" si="270"/>
        <v>1.2298703057476714</v>
      </c>
      <c r="T568" s="680">
        <f t="shared" si="271"/>
        <v>0.62134906047463345</v>
      </c>
      <c r="U568" s="681">
        <f t="shared" si="283"/>
        <v>0.5406723735104102</v>
      </c>
      <c r="V568" s="682">
        <f t="shared" si="284"/>
        <v>-1.3707792136569428</v>
      </c>
      <c r="W568" s="683">
        <f t="shared" si="272"/>
        <v>-43.92296680157321</v>
      </c>
      <c r="X568" s="684">
        <f t="shared" si="273"/>
        <v>-223.84410731147551</v>
      </c>
      <c r="Y568" s="687">
        <f t="shared" si="274"/>
        <v>-43.844107311475511</v>
      </c>
      <c r="AA568" s="170">
        <f t="shared" si="275"/>
        <v>94955.5</v>
      </c>
      <c r="AB568" s="170">
        <f t="shared" si="276"/>
        <v>9016546980.25</v>
      </c>
      <c r="AD568" s="686">
        <f t="shared" si="277"/>
        <v>15.349638662142839</v>
      </c>
      <c r="AE568" s="687">
        <f t="shared" si="278"/>
        <v>-35.964422531774645</v>
      </c>
      <c r="AG568" s="686">
        <f t="shared" si="279"/>
        <v>-7.6056121781343702</v>
      </c>
      <c r="AH568" s="687">
        <f t="shared" si="280"/>
        <v>-30.799957426601988</v>
      </c>
      <c r="AJ568" s="170">
        <f t="shared" si="281"/>
        <v>0</v>
      </c>
      <c r="AK568" s="170">
        <f t="shared" si="293"/>
        <v>0</v>
      </c>
      <c r="AM568" s="170" t="str">
        <f t="shared" si="285"/>
        <v>1.8509037425145+0.525321635738348i</v>
      </c>
      <c r="AN568" s="170" t="str">
        <f t="shared" si="286"/>
        <v>2.58849959148417i</v>
      </c>
      <c r="AO568" s="170" t="str">
        <f t="shared" si="287"/>
        <v>0.20294445379346-0.715048883377743i</v>
      </c>
      <c r="AP568" s="170" t="str">
        <f t="shared" si="288"/>
        <v>-0.141817290419084-0.0875536059563913i</v>
      </c>
      <c r="AQ568" s="170" t="str">
        <f t="shared" si="289"/>
        <v>1.14181729041908+0.0875536059563913i</v>
      </c>
      <c r="AR568" s="170" t="str">
        <f t="shared" si="290"/>
        <v>0.725274393420327-0.0556134409459481i</v>
      </c>
    </row>
    <row r="569" spans="7:44">
      <c r="G569" s="688">
        <v>95499</v>
      </c>
      <c r="H569" s="676">
        <f t="shared" si="282"/>
        <v>95.498999999999995</v>
      </c>
      <c r="I569" s="677">
        <f t="shared" si="262"/>
        <v>785.4502646485937</v>
      </c>
      <c r="J569" s="678">
        <f t="shared" si="263"/>
        <v>1.5695231713639775</v>
      </c>
      <c r="K569" s="678">
        <f t="shared" si="264"/>
        <v>1.0086754691448383</v>
      </c>
      <c r="L569" s="679">
        <f t="shared" si="265"/>
        <v>0.13124945851105144</v>
      </c>
      <c r="M569" s="678">
        <f t="shared" si="266"/>
        <v>1.1225564001772523</v>
      </c>
      <c r="N569" s="679">
        <f t="shared" si="267"/>
        <v>-0.47164114170541543</v>
      </c>
      <c r="O569" s="677">
        <f t="shared" si="268"/>
        <v>3960250.2255671467</v>
      </c>
      <c r="P569" s="680">
        <f t="shared" si="269"/>
        <v>1.5707960742855998</v>
      </c>
      <c r="Q569" s="689">
        <f t="shared" si="291"/>
        <v>158.4131653574469</v>
      </c>
      <c r="R569" s="690">
        <f t="shared" si="292"/>
        <v>1.5644836782258014</v>
      </c>
      <c r="S569" s="677">
        <f t="shared" si="270"/>
        <v>1.2322603278824031</v>
      </c>
      <c r="T569" s="680">
        <f t="shared" si="271"/>
        <v>0.62405301515810652</v>
      </c>
      <c r="U569" s="681">
        <f t="shared" si="283"/>
        <v>0.53818517949398426</v>
      </c>
      <c r="V569" s="682">
        <f t="shared" si="284"/>
        <v>-1.3762657468213801</v>
      </c>
      <c r="W569" s="683">
        <f t="shared" si="272"/>
        <v>-44.018422811101523</v>
      </c>
      <c r="X569" s="684">
        <f t="shared" si="273"/>
        <v>-224.40155704705148</v>
      </c>
      <c r="Y569" s="687">
        <f t="shared" si="274"/>
        <v>-44.401557047051483</v>
      </c>
      <c r="AA569" s="170">
        <f t="shared" si="275"/>
        <v>95499</v>
      </c>
      <c r="AB569" s="170">
        <f t="shared" si="276"/>
        <v>9120059001</v>
      </c>
      <c r="AD569" s="686">
        <f t="shared" si="277"/>
        <v>15.332773658636302</v>
      </c>
      <c r="AE569" s="687">
        <f t="shared" si="278"/>
        <v>-36.117277655084557</v>
      </c>
      <c r="AG569" s="686">
        <f t="shared" si="279"/>
        <v>-7.6041053771816909</v>
      </c>
      <c r="AH569" s="687">
        <f t="shared" si="280"/>
        <v>-30.575841649188039</v>
      </c>
      <c r="AJ569" s="170">
        <f t="shared" si="281"/>
        <v>0</v>
      </c>
      <c r="AK569" s="170">
        <f t="shared" si="293"/>
        <v>0</v>
      </c>
      <c r="AM569" s="170" t="str">
        <f t="shared" si="285"/>
        <v>1.85859317199608+0.512657551394407i</v>
      </c>
      <c r="AN569" s="170" t="str">
        <f t="shared" si="286"/>
        <v>2.60331547395514i</v>
      </c>
      <c r="AO569" s="170" t="str">
        <f t="shared" si="287"/>
        <v>0.196924866203611-0.713933132803292i</v>
      </c>
      <c r="AP569" s="170" t="str">
        <f t="shared" si="288"/>
        <v>-0.143098861999347-0.0854429252324012i</v>
      </c>
      <c r="AQ569" s="170" t="str">
        <f t="shared" si="289"/>
        <v>1.14309886199935+0.0854429252324012i</v>
      </c>
      <c r="AR569" s="170" t="str">
        <f t="shared" si="290"/>
        <v>0.724672073990796-0.0541668825806599i</v>
      </c>
    </row>
    <row r="570" spans="7:44">
      <c r="G570" s="688">
        <v>96611.5</v>
      </c>
      <c r="H570" s="676">
        <f t="shared" si="282"/>
        <v>96.611500000000007</v>
      </c>
      <c r="I570" s="677">
        <f t="shared" si="262"/>
        <v>794.6002244512249</v>
      </c>
      <c r="J570" s="678">
        <f t="shared" si="263"/>
        <v>1.5695378319780107</v>
      </c>
      <c r="K570" s="678">
        <f t="shared" si="264"/>
        <v>1.0088778787847377</v>
      </c>
      <c r="L570" s="679">
        <f t="shared" si="265"/>
        <v>0.13276062625554283</v>
      </c>
      <c r="M570" s="678">
        <f t="shared" si="266"/>
        <v>1.1252683787557078</v>
      </c>
      <c r="N570" s="679">
        <f t="shared" si="267"/>
        <v>-0.47634480395633033</v>
      </c>
      <c r="O570" s="677">
        <f t="shared" si="268"/>
        <v>4006384.5136323948</v>
      </c>
      <c r="P570" s="680">
        <f t="shared" si="269"/>
        <v>1.5707960771932927</v>
      </c>
      <c r="Q570" s="689">
        <f t="shared" si="291"/>
        <v>160.25850053496686</v>
      </c>
      <c r="R570" s="690">
        <f t="shared" si="292"/>
        <v>1.5645563676900365</v>
      </c>
      <c r="S570" s="677">
        <f t="shared" si="270"/>
        <v>1.2371804370238249</v>
      </c>
      <c r="T570" s="680">
        <f t="shared" si="271"/>
        <v>0.62955510672771786</v>
      </c>
      <c r="U570" s="681">
        <f t="shared" si="283"/>
        <v>0.53312818328885814</v>
      </c>
      <c r="V570" s="682">
        <f t="shared" si="284"/>
        <v>-1.3874636250240142</v>
      </c>
      <c r="W570" s="683">
        <f t="shared" si="272"/>
        <v>-44.212938324105828</v>
      </c>
      <c r="X570" s="684">
        <f t="shared" si="273"/>
        <v>-225.53798665402454</v>
      </c>
      <c r="Y570" s="687">
        <f t="shared" si="274"/>
        <v>-45.537986654024536</v>
      </c>
      <c r="AA570" s="170">
        <f t="shared" si="275"/>
        <v>96611.5</v>
      </c>
      <c r="AB570" s="170">
        <f t="shared" si="276"/>
        <v>9333781932.25</v>
      </c>
      <c r="AD570" s="686">
        <f t="shared" si="277"/>
        <v>15.298158149700221</v>
      </c>
      <c r="AE570" s="687">
        <f t="shared" si="278"/>
        <v>-36.428359647956043</v>
      </c>
      <c r="AG570" s="686">
        <f t="shared" si="279"/>
        <v>-7.60000168743389</v>
      </c>
      <c r="AH570" s="687">
        <f t="shared" si="280"/>
        <v>-30.118006940798356</v>
      </c>
      <c r="AJ570" s="170">
        <f t="shared" si="281"/>
        <v>0</v>
      </c>
      <c r="AK570" s="170">
        <f t="shared" si="293"/>
        <v>0</v>
      </c>
      <c r="AM570" s="170" t="str">
        <f t="shared" si="285"/>
        <v>1.87374329963007+0.486387341890763i</v>
      </c>
      <c r="AN570" s="170" t="str">
        <f t="shared" si="286"/>
        <v>2.63364237229727i</v>
      </c>
      <c r="AO570" s="170" t="str">
        <f t="shared" si="287"/>
        <v>0.184682380192151-0.711464593423762i</v>
      </c>
      <c r="AP570" s="170" t="str">
        <f t="shared" si="288"/>
        <v>-0.145623883271678-0.0810645569817938i</v>
      </c>
      <c r="AQ570" s="170" t="str">
        <f t="shared" si="289"/>
        <v>1.14562388327168+0.0810645569817938i</v>
      </c>
      <c r="AR570" s="170" t="str">
        <f t="shared" si="290"/>
        <v>0.723492201401195-0.0511944414242471i</v>
      </c>
    </row>
    <row r="571" spans="7:44">
      <c r="G571" s="688">
        <v>97724</v>
      </c>
      <c r="H571" s="676">
        <f t="shared" si="282"/>
        <v>97.724000000000004</v>
      </c>
      <c r="I571" s="677">
        <f t="shared" si="262"/>
        <v>803.75018442075407</v>
      </c>
      <c r="J571" s="678">
        <f t="shared" si="263"/>
        <v>1.5695521587967107</v>
      </c>
      <c r="K571" s="678">
        <f t="shared" si="264"/>
        <v>1.0090825913990236</v>
      </c>
      <c r="L571" s="679">
        <f t="shared" si="265"/>
        <v>0.13427118430713908</v>
      </c>
      <c r="M571" s="678">
        <f t="shared" si="266"/>
        <v>1.1280051332340169</v>
      </c>
      <c r="N571" s="679">
        <f t="shared" si="267"/>
        <v>-0.48102574539961529</v>
      </c>
      <c r="O571" s="677">
        <f t="shared" si="268"/>
        <v>4052518.8016976435</v>
      </c>
      <c r="P571" s="680">
        <f t="shared" si="269"/>
        <v>1.5707960800347829</v>
      </c>
      <c r="Q571" s="689">
        <f t="shared" si="291"/>
        <v>162.10383653997533</v>
      </c>
      <c r="R571" s="690">
        <f t="shared" si="292"/>
        <v>1.5646274022094093</v>
      </c>
      <c r="S571" s="677">
        <f t="shared" si="270"/>
        <v>1.2421377019804951</v>
      </c>
      <c r="T571" s="680">
        <f t="shared" si="271"/>
        <v>0.63501344569360518</v>
      </c>
      <c r="U571" s="681">
        <f t="shared" si="283"/>
        <v>0.52811641137074061</v>
      </c>
      <c r="V571" s="682">
        <f t="shared" si="284"/>
        <v>-1.3986198393224605</v>
      </c>
      <c r="W571" s="683">
        <f t="shared" si="272"/>
        <v>-44.406302247991604</v>
      </c>
      <c r="X571" s="684">
        <f t="shared" si="273"/>
        <v>-226.66833107453081</v>
      </c>
      <c r="Y571" s="687">
        <f t="shared" si="274"/>
        <v>-46.668331074530812</v>
      </c>
      <c r="AA571" s="170">
        <f t="shared" si="275"/>
        <v>97724</v>
      </c>
      <c r="AB571" s="170">
        <f t="shared" si="276"/>
        <v>9549980176</v>
      </c>
      <c r="AD571" s="686">
        <f t="shared" si="277"/>
        <v>15.263420325088743</v>
      </c>
      <c r="AE571" s="687">
        <f t="shared" si="278"/>
        <v>-36.737029618851508</v>
      </c>
      <c r="AG571" s="686">
        <f t="shared" si="279"/>
        <v>-7.5945486606866464</v>
      </c>
      <c r="AH571" s="687">
        <f t="shared" si="280"/>
        <v>-29.661273399659489</v>
      </c>
      <c r="AJ571" s="170">
        <f t="shared" si="281"/>
        <v>0</v>
      </c>
      <c r="AK571" s="170">
        <f t="shared" si="293"/>
        <v>0</v>
      </c>
      <c r="AM571" s="170" t="str">
        <f t="shared" si="285"/>
        <v>1.88808988899854+0.459669826134543i</v>
      </c>
      <c r="AN571" s="170" t="str">
        <f t="shared" si="286"/>
        <v>2.6639692706394i</v>
      </c>
      <c r="AO571" s="170" t="str">
        <f t="shared" si="287"/>
        <v>0.172550723914399-0.708750626295837i</v>
      </c>
      <c r="AP571" s="170" t="str">
        <f t="shared" si="288"/>
        <v>-0.148014981499757-0.0766116376890905i</v>
      </c>
      <c r="AQ571" s="170" t="str">
        <f t="shared" si="289"/>
        <v>1.14801498149976+0.0766116376890905i</v>
      </c>
      <c r="AR571" s="170" t="str">
        <f t="shared" si="290"/>
        <v>0.722383205757501-0.0482075245741808i</v>
      </c>
    </row>
    <row r="572" spans="7:44">
      <c r="G572" s="688">
        <v>98862</v>
      </c>
      <c r="H572" s="676">
        <f t="shared" si="282"/>
        <v>98.861999999999995</v>
      </c>
      <c r="I572" s="677">
        <f t="shared" si="262"/>
        <v>813.1098739766154</v>
      </c>
      <c r="J572" s="678">
        <f t="shared" si="263"/>
        <v>1.5695664803939466</v>
      </c>
      <c r="K572" s="678">
        <f t="shared" si="264"/>
        <v>1.0092943776016883</v>
      </c>
      <c r="L572" s="679">
        <f t="shared" si="265"/>
        <v>0.13581572877267373</v>
      </c>
      <c r="M572" s="678">
        <f t="shared" si="266"/>
        <v>1.1308300645225511</v>
      </c>
      <c r="N572" s="679">
        <f t="shared" si="267"/>
        <v>-0.48579043130515487</v>
      </c>
      <c r="O572" s="677">
        <f t="shared" si="268"/>
        <v>4099710.5498488825</v>
      </c>
      <c r="P572" s="680">
        <f t="shared" si="269"/>
        <v>1.5707960828752374</v>
      </c>
      <c r="Q572" s="689">
        <f t="shared" si="291"/>
        <v>163.99147096134593</v>
      </c>
      <c r="R572" s="690">
        <f t="shared" si="292"/>
        <v>1.5646984108996711</v>
      </c>
      <c r="S572" s="677">
        <f t="shared" si="270"/>
        <v>1.2472465752962163</v>
      </c>
      <c r="T572" s="680">
        <f t="shared" si="271"/>
        <v>0.64055183566470963</v>
      </c>
      <c r="U572" s="681">
        <f t="shared" si="283"/>
        <v>0.52303581234853069</v>
      </c>
      <c r="V572" s="682">
        <f t="shared" si="284"/>
        <v>-1.4099913436970359</v>
      </c>
      <c r="W572" s="683">
        <f t="shared" si="272"/>
        <v>-44.602937083675151</v>
      </c>
      <c r="X572" s="684">
        <f t="shared" si="273"/>
        <v>-227.81844939937488</v>
      </c>
      <c r="Y572" s="687">
        <f t="shared" si="274"/>
        <v>-47.818449399374884</v>
      </c>
      <c r="AA572" s="170">
        <f t="shared" si="275"/>
        <v>98862</v>
      </c>
      <c r="AB572" s="170">
        <f t="shared" si="276"/>
        <v>9773695044</v>
      </c>
      <c r="AD572" s="686">
        <f t="shared" si="277"/>
        <v>15.227765017754562</v>
      </c>
      <c r="AE572" s="687">
        <f t="shared" si="278"/>
        <v>-37.050287654336621</v>
      </c>
      <c r="AG572" s="686">
        <f t="shared" si="279"/>
        <v>-7.5875986920384175</v>
      </c>
      <c r="AH572" s="687">
        <f t="shared" si="280"/>
        <v>-29.195055272773988</v>
      </c>
      <c r="AJ572" s="170">
        <f t="shared" si="281"/>
        <v>0</v>
      </c>
      <c r="AK572" s="170">
        <f t="shared" si="293"/>
        <v>0</v>
      </c>
      <c r="AM572" s="170" t="str">
        <f t="shared" si="285"/>
        <v>1.90192019415048+0.431902724445624i</v>
      </c>
      <c r="AN572" s="170" t="str">
        <f t="shared" si="286"/>
        <v>2.69499130238173i</v>
      </c>
      <c r="AO572" s="170" t="str">
        <f t="shared" si="287"/>
        <v>0.160261268399614-0.70572405650053i</v>
      </c>
      <c r="AP572" s="170" t="str">
        <f t="shared" si="288"/>
        <v>-0.150320032358414-0.071983787407604i</v>
      </c>
      <c r="AQ572" s="170" t="str">
        <f t="shared" si="289"/>
        <v>1.15032003235841+0.071983787407604i</v>
      </c>
      <c r="AR572" s="170" t="str">
        <f t="shared" si="290"/>
        <v>0.721321677790136-0.0451382787797643i</v>
      </c>
    </row>
    <row r="573" spans="7:44">
      <c r="G573" s="688">
        <v>100000</v>
      </c>
      <c r="H573" s="676">
        <f t="shared" si="282"/>
        <v>100</v>
      </c>
      <c r="I573" s="677">
        <f t="shared" si="262"/>
        <v>822.46956369545626</v>
      </c>
      <c r="J573" s="678">
        <f t="shared" si="263"/>
        <v>1.5695804760321168</v>
      </c>
      <c r="K573" s="678">
        <f t="shared" si="264"/>
        <v>1.0095085705811724</v>
      </c>
      <c r="L573" s="679">
        <f t="shared" si="265"/>
        <v>0.1373596214910808</v>
      </c>
      <c r="M573" s="678">
        <f t="shared" si="266"/>
        <v>1.1336805398963294</v>
      </c>
      <c r="N573" s="679">
        <f t="shared" si="267"/>
        <v>-0.49053126416542936</v>
      </c>
      <c r="O573" s="677">
        <f t="shared" si="268"/>
        <v>4146902.298000121</v>
      </c>
      <c r="P573" s="680">
        <f t="shared" si="269"/>
        <v>1.5707960856510432</v>
      </c>
      <c r="Q573" s="689">
        <f t="shared" si="291"/>
        <v>165.8791061907807</v>
      </c>
      <c r="R573" s="690">
        <f t="shared" si="292"/>
        <v>1.5647678034915593</v>
      </c>
      <c r="S573" s="677">
        <f t="shared" si="270"/>
        <v>1.2523933935483531</v>
      </c>
      <c r="T573" s="680">
        <f t="shared" si="271"/>
        <v>0.64604487200071159</v>
      </c>
      <c r="U573" s="681">
        <f t="shared" si="283"/>
        <v>0.51800100686468187</v>
      </c>
      <c r="V573" s="682">
        <f t="shared" si="284"/>
        <v>-1.4213246812293523</v>
      </c>
      <c r="W573" s="683">
        <f t="shared" si="272"/>
        <v>-44.798428108782886</v>
      </c>
      <c r="X573" s="684">
        <f t="shared" si="273"/>
        <v>-228.96252693272703</v>
      </c>
      <c r="Y573" s="687">
        <f t="shared" si="274"/>
        <v>-48.96252693272703</v>
      </c>
      <c r="AA573" s="170">
        <f t="shared" si="275"/>
        <v>100000</v>
      </c>
      <c r="AB573" s="170">
        <f t="shared" si="276"/>
        <v>10000000000</v>
      </c>
      <c r="AD573" s="686">
        <f t="shared" si="277"/>
        <v>15.191992405209543</v>
      </c>
      <c r="AE573" s="687">
        <f t="shared" si="278"/>
        <v>-37.361039709853905</v>
      </c>
      <c r="AG573" s="686">
        <f t="shared" si="279"/>
        <v>-7.5792842168344441</v>
      </c>
      <c r="AH573" s="687">
        <f t="shared" si="280"/>
        <v>-28.72967593232698</v>
      </c>
      <c r="AJ573" s="170">
        <f t="shared" si="281"/>
        <v>0</v>
      </c>
      <c r="AK573" s="170">
        <f t="shared" si="293"/>
        <v>0</v>
      </c>
      <c r="AM573" s="170" t="str">
        <f t="shared" si="285"/>
        <v>1.91488259117107+0.403720007396351i</v>
      </c>
      <c r="AN573" s="170" t="str">
        <f t="shared" si="286"/>
        <v>2.72601333412406i</v>
      </c>
      <c r="AO573" s="170" t="str">
        <f t="shared" si="287"/>
        <v>0.148099058189705-0.70244799143155i</v>
      </c>
      <c r="AP573" s="170" t="str">
        <f t="shared" si="288"/>
        <v>-0.152480431861845-0.0672866678993918i</v>
      </c>
      <c r="AQ573" s="170" t="str">
        <f t="shared" si="289"/>
        <v>1.15248043186185+0.0672866678993918i</v>
      </c>
      <c r="AR573" s="170" t="str">
        <f t="shared" si="290"/>
        <v>0.720333432111907-0.0420561035861067i</v>
      </c>
    </row>
    <row r="574" spans="7:44">
      <c r="G574" s="688">
        <v>101165</v>
      </c>
      <c r="H574" s="676">
        <f t="shared" si="282"/>
        <v>101.16500000000001</v>
      </c>
      <c r="I574" s="677">
        <f t="shared" si="262"/>
        <v>832.05132002940923</v>
      </c>
      <c r="J574" s="678">
        <f t="shared" si="263"/>
        <v>1.5695944775619612</v>
      </c>
      <c r="K574" s="678">
        <f t="shared" si="264"/>
        <v>1.0097303369770765</v>
      </c>
      <c r="L574" s="679">
        <f t="shared" si="265"/>
        <v>0.13893946197889623</v>
      </c>
      <c r="M574" s="678">
        <f t="shared" si="266"/>
        <v>1.1366249048746453</v>
      </c>
      <c r="N574" s="679">
        <f t="shared" si="267"/>
        <v>-0.49535983433405067</v>
      </c>
      <c r="O574" s="677">
        <f t="shared" si="268"/>
        <v>4195213.7097718194</v>
      </c>
      <c r="P574" s="680">
        <f t="shared" si="269"/>
        <v>1.5707960884280172</v>
      </c>
      <c r="Q574" s="689">
        <f t="shared" si="291"/>
        <v>167.8115279504072</v>
      </c>
      <c r="R574" s="690">
        <f t="shared" si="292"/>
        <v>1.5648372253510332</v>
      </c>
      <c r="S574" s="677">
        <f t="shared" si="270"/>
        <v>1.2577011440024242</v>
      </c>
      <c r="T574" s="680">
        <f t="shared" si="271"/>
        <v>0.65162149218480725</v>
      </c>
      <c r="U574" s="681">
        <f t="shared" si="283"/>
        <v>0.51289334289346267</v>
      </c>
      <c r="V574" s="682">
        <f t="shared" si="284"/>
        <v>-1.4328902169983684</v>
      </c>
      <c r="W574" s="683">
        <f t="shared" si="272"/>
        <v>-44.9974044830427</v>
      </c>
      <c r="X574" s="684">
        <f t="shared" si="273"/>
        <v>-230.12766342953773</v>
      </c>
      <c r="Y574" s="687">
        <f t="shared" si="274"/>
        <v>-50.127663429537733</v>
      </c>
      <c r="AA574" s="170">
        <f t="shared" si="275"/>
        <v>101165</v>
      </c>
      <c r="AB574" s="170">
        <f t="shared" si="276"/>
        <v>10234357225</v>
      </c>
      <c r="AD574" s="686">
        <f t="shared" si="277"/>
        <v>15.155255032368252</v>
      </c>
      <c r="AE574" s="687">
        <f t="shared" si="278"/>
        <v>-37.676579090265705</v>
      </c>
      <c r="AG574" s="686">
        <f t="shared" si="279"/>
        <v>-7.5693815488412266</v>
      </c>
      <c r="AH574" s="687">
        <f t="shared" si="280"/>
        <v>-28.253960272467058</v>
      </c>
      <c r="AJ574" s="170">
        <f t="shared" si="281"/>
        <v>0</v>
      </c>
      <c r="AK574" s="170">
        <f t="shared" si="293"/>
        <v>0</v>
      </c>
      <c r="AM574" s="170" t="str">
        <f t="shared" si="285"/>
        <v>1.92724047374376+0.374466425532978i</v>
      </c>
      <c r="AN574" s="170" t="str">
        <f t="shared" si="286"/>
        <v>2.75777138946661i</v>
      </c>
      <c r="AO574" s="170" t="str">
        <f t="shared" si="287"/>
        <v>0.135785883834775-0.698839824470191i</v>
      </c>
      <c r="AP574" s="170" t="str">
        <f t="shared" si="288"/>
        <v>-0.154540078957293-0.062411070922163i</v>
      </c>
      <c r="AQ574" s="170" t="str">
        <f t="shared" si="289"/>
        <v>1.15454007895729+0.062411070922163i</v>
      </c>
      <c r="AR574" s="170" t="str">
        <f t="shared" si="290"/>
        <v>0.719397222468028-0.0388885166405038i</v>
      </c>
    </row>
    <row r="575" spans="7:44">
      <c r="G575" s="688">
        <v>102330</v>
      </c>
      <c r="H575" s="676">
        <f t="shared" si="282"/>
        <v>102.33</v>
      </c>
      <c r="I575" s="677">
        <f t="shared" si="262"/>
        <v>841.6330765227658</v>
      </c>
      <c r="J575" s="678">
        <f t="shared" si="263"/>
        <v>1.5696081602848284</v>
      </c>
      <c r="K575" s="678">
        <f t="shared" si="264"/>
        <v>1.0099546224444222</v>
      </c>
      <c r="L575" s="679">
        <f t="shared" si="265"/>
        <v>0.1405186047211264</v>
      </c>
      <c r="M575" s="678">
        <f t="shared" si="266"/>
        <v>1.1395956330670713</v>
      </c>
      <c r="N575" s="679">
        <f t="shared" si="267"/>
        <v>-0.50016334152256947</v>
      </c>
      <c r="O575" s="677">
        <f t="shared" si="268"/>
        <v>4243525.1215435173</v>
      </c>
      <c r="P575" s="680">
        <f t="shared" si="269"/>
        <v>1.5707960911417613</v>
      </c>
      <c r="Q575" s="689">
        <f t="shared" si="291"/>
        <v>169.74395050036949</v>
      </c>
      <c r="R575" s="690">
        <f t="shared" si="292"/>
        <v>1.5649050665669664</v>
      </c>
      <c r="S575" s="677">
        <f t="shared" si="270"/>
        <v>1.2630476778810287</v>
      </c>
      <c r="T575" s="680">
        <f t="shared" si="271"/>
        <v>0.65715107098935555</v>
      </c>
      <c r="U575" s="681">
        <f t="shared" si="283"/>
        <v>0.50783194495854578</v>
      </c>
      <c r="V575" s="682">
        <f t="shared" si="284"/>
        <v>-1.4444215090814934</v>
      </c>
      <c r="W575" s="683">
        <f t="shared" si="272"/>
        <v>-45.195246983221303</v>
      </c>
      <c r="X575" s="684">
        <f t="shared" si="273"/>
        <v>-231.28681890433654</v>
      </c>
      <c r="Y575" s="687">
        <f t="shared" si="274"/>
        <v>-51.286818904336542</v>
      </c>
      <c r="AA575" s="170">
        <f t="shared" si="275"/>
        <v>102330</v>
      </c>
      <c r="AB575" s="170">
        <f t="shared" si="276"/>
        <v>10471428900</v>
      </c>
      <c r="AD575" s="686">
        <f t="shared" si="277"/>
        <v>15.11840576513876</v>
      </c>
      <c r="AE575" s="687">
        <f t="shared" si="278"/>
        <v>-37.98951375874497</v>
      </c>
      <c r="AG575" s="686">
        <f t="shared" si="279"/>
        <v>-7.5580929554293599</v>
      </c>
      <c r="AH575" s="687">
        <f t="shared" si="280"/>
        <v>-27.778792339885328</v>
      </c>
      <c r="AJ575" s="170">
        <f t="shared" si="281"/>
        <v>0</v>
      </c>
      <c r="AK575" s="170">
        <f t="shared" si="293"/>
        <v>0</v>
      </c>
      <c r="AM575" s="170" t="str">
        <f t="shared" si="285"/>
        <v>1.93866324420762+0.344835198281193i</v>
      </c>
      <c r="AN575" s="170" t="str">
        <f t="shared" si="286"/>
        <v>2.78952944480915i</v>
      </c>
      <c r="AO575" s="170" t="str">
        <f t="shared" si="287"/>
        <v>0.123617694347294-0.694978591394742i</v>
      </c>
      <c r="AP575" s="170" t="str">
        <f t="shared" si="288"/>
        <v>-0.156443874034603-0.0574725330468655i</v>
      </c>
      <c r="AQ575" s="170" t="str">
        <f t="shared" si="289"/>
        <v>1.1564438740346+0.0574725330468655i</v>
      </c>
      <c r="AR575" s="170" t="str">
        <f t="shared" si="290"/>
        <v>0.718536971749339-0.035709592814206i</v>
      </c>
    </row>
    <row r="576" spans="7:44">
      <c r="G576" s="688">
        <v>103520</v>
      </c>
      <c r="H576" s="676">
        <f t="shared" si="282"/>
        <v>103.52</v>
      </c>
      <c r="I576" s="677">
        <f t="shared" si="262"/>
        <v>851.42045026723008</v>
      </c>
      <c r="J576" s="678">
        <f t="shared" si="263"/>
        <v>1.5696218186777875</v>
      </c>
      <c r="K576" s="678">
        <f t="shared" si="264"/>
        <v>1.0101863198973022</v>
      </c>
      <c r="L576" s="679">
        <f t="shared" si="265"/>
        <v>0.14213090657764113</v>
      </c>
      <c r="M576" s="678">
        <f t="shared" si="266"/>
        <v>1.1426571148617719</v>
      </c>
      <c r="N576" s="679">
        <f t="shared" si="267"/>
        <v>-0.50504402647255664</v>
      </c>
      <c r="O576" s="677">
        <f t="shared" si="268"/>
        <v>4292873.258889717</v>
      </c>
      <c r="P576" s="680">
        <f t="shared" si="269"/>
        <v>1.5707960938506795</v>
      </c>
      <c r="Q576" s="689">
        <f t="shared" si="291"/>
        <v>171.71784213360903</v>
      </c>
      <c r="R576" s="690">
        <f t="shared" si="292"/>
        <v>1.5649727872030517</v>
      </c>
      <c r="S576" s="677">
        <f t="shared" si="270"/>
        <v>1.2685484750754221</v>
      </c>
      <c r="T576" s="680">
        <f t="shared" si="271"/>
        <v>0.66275101303990458</v>
      </c>
      <c r="U576" s="681">
        <f t="shared" si="283"/>
        <v>0.50270876051873581</v>
      </c>
      <c r="V576" s="682">
        <f t="shared" si="284"/>
        <v>-1.4561679033708073</v>
      </c>
      <c r="W576" s="683">
        <f t="shared" si="272"/>
        <v>-45.396198318214815</v>
      </c>
      <c r="X576" s="684">
        <f t="shared" si="273"/>
        <v>-232.4648579419065</v>
      </c>
      <c r="Y576" s="687">
        <f t="shared" si="274"/>
        <v>-52.464857941906502</v>
      </c>
      <c r="AA576" s="170">
        <f t="shared" si="275"/>
        <v>103520</v>
      </c>
      <c r="AB576" s="170">
        <f t="shared" si="276"/>
        <v>10716390400</v>
      </c>
      <c r="AD576" s="686">
        <f t="shared" si="277"/>
        <v>15.080655862788701</v>
      </c>
      <c r="AE576" s="687">
        <f t="shared" si="278"/>
        <v>-38.306486852697411</v>
      </c>
      <c r="AG576" s="686">
        <f t="shared" si="279"/>
        <v>-7.5451518709018774</v>
      </c>
      <c r="AH576" s="687">
        <f t="shared" si="280"/>
        <v>-27.293820647416279</v>
      </c>
      <c r="AJ576" s="170">
        <f t="shared" si="281"/>
        <v>0</v>
      </c>
      <c r="AK576" s="170">
        <f t="shared" si="293"/>
        <v>0</v>
      </c>
      <c r="AM576" s="170" t="str">
        <f t="shared" si="285"/>
        <v>1.94935373794735+0.314209293696726i</v>
      </c>
      <c r="AN576" s="170" t="str">
        <f t="shared" si="286"/>
        <v>2.82196900348523i</v>
      </c>
      <c r="AO576" s="170" t="str">
        <f t="shared" si="287"/>
        <v>0.111343991839976-0.690777870182071i</v>
      </c>
      <c r="AP576" s="170" t="str">
        <f t="shared" si="288"/>
        <v>-0.158225622991225-0.052368215616121i</v>
      </c>
      <c r="AQ576" s="170" t="str">
        <f t="shared" si="289"/>
        <v>1.15822562299123+0.052368215616121i</v>
      </c>
      <c r="AR576" s="170" t="str">
        <f t="shared" si="290"/>
        <v>0.717736283697278-0.0324518536924624i</v>
      </c>
    </row>
    <row r="577" spans="7:44">
      <c r="G577" s="688">
        <v>104710</v>
      </c>
      <c r="H577" s="676">
        <f t="shared" si="282"/>
        <v>104.71</v>
      </c>
      <c r="I577" s="677">
        <f t="shared" si="262"/>
        <v>861.20782416691782</v>
      </c>
      <c r="J577" s="678">
        <f t="shared" si="263"/>
        <v>1.5696351666235027</v>
      </c>
      <c r="K577" s="678">
        <f t="shared" si="264"/>
        <v>1.0104206421386688</v>
      </c>
      <c r="L577" s="679">
        <f t="shared" si="265"/>
        <v>0.14374246481804442</v>
      </c>
      <c r="M577" s="678">
        <f t="shared" si="266"/>
        <v>1.1457456701498783</v>
      </c>
      <c r="N577" s="679">
        <f t="shared" si="267"/>
        <v>-0.50989851308669876</v>
      </c>
      <c r="O577" s="677">
        <f t="shared" si="268"/>
        <v>4342221.3962359158</v>
      </c>
      <c r="P577" s="680">
        <f t="shared" si="269"/>
        <v>1.5707960964980259</v>
      </c>
      <c r="Q577" s="689">
        <f t="shared" si="291"/>
        <v>173.69173453646195</v>
      </c>
      <c r="R577" s="690">
        <f t="shared" si="292"/>
        <v>1.5650389686383963</v>
      </c>
      <c r="S577" s="677">
        <f t="shared" si="270"/>
        <v>1.2740887088999651</v>
      </c>
      <c r="T577" s="680">
        <f t="shared" si="271"/>
        <v>0.66830242646651206</v>
      </c>
      <c r="U577" s="681">
        <f t="shared" si="283"/>
        <v>0.49763192593978633</v>
      </c>
      <c r="V577" s="682">
        <f t="shared" si="284"/>
        <v>-1.4678846456764161</v>
      </c>
      <c r="W577" s="683">
        <f t="shared" si="272"/>
        <v>-45.59603532388288</v>
      </c>
      <c r="X577" s="684">
        <f t="shared" si="273"/>
        <v>-233.63702951146405</v>
      </c>
      <c r="Y577" s="687">
        <f t="shared" si="274"/>
        <v>-53.63702951146405</v>
      </c>
      <c r="AA577" s="170">
        <f t="shared" si="275"/>
        <v>104710</v>
      </c>
      <c r="AB577" s="170">
        <f t="shared" si="276"/>
        <v>10964184100</v>
      </c>
      <c r="AD577" s="686">
        <f t="shared" si="277"/>
        <v>15.042800546427767</v>
      </c>
      <c r="AE577" s="687">
        <f t="shared" si="278"/>
        <v>-38.620767647487789</v>
      </c>
      <c r="AG577" s="686">
        <f t="shared" si="279"/>
        <v>-7.530804819161343</v>
      </c>
      <c r="AH577" s="687">
        <f t="shared" si="280"/>
        <v>-26.809071653141714</v>
      </c>
      <c r="AJ577" s="170">
        <f t="shared" si="281"/>
        <v>0</v>
      </c>
      <c r="AK577" s="170">
        <f t="shared" si="293"/>
        <v>0</v>
      </c>
      <c r="AM577" s="170" t="str">
        <f t="shared" si="285"/>
        <v>1.95904529065152+0.283252767822553i</v>
      </c>
      <c r="AN577" s="170" t="str">
        <f t="shared" si="286"/>
        <v>2.85440856216131i</v>
      </c>
      <c r="AO577" s="170" t="str">
        <f t="shared" si="287"/>
        <v>0.0992334354574941-0.686322664744308i</v>
      </c>
      <c r="AP577" s="170" t="str">
        <f t="shared" si="288"/>
        <v>-0.159840881775254-0.0472087946370922i</v>
      </c>
      <c r="AQ577" s="170" t="str">
        <f t="shared" si="289"/>
        <v>1.15984088177525+0.0472087946370922i</v>
      </c>
      <c r="AR577" s="170" t="str">
        <f t="shared" si="290"/>
        <v>0.717014073436587-0.0291844947670434i</v>
      </c>
    </row>
    <row r="578" spans="7:44">
      <c r="G578" s="688">
        <v>105930</v>
      </c>
      <c r="H578" s="676">
        <f t="shared" si="282"/>
        <v>105.93</v>
      </c>
      <c r="I578" s="677">
        <f t="shared" si="262"/>
        <v>871.24193874075161</v>
      </c>
      <c r="J578" s="678">
        <f t="shared" si="263"/>
        <v>1.5696485397393118</v>
      </c>
      <c r="K578" s="678">
        <f t="shared" si="264"/>
        <v>1.0106635946313645</v>
      </c>
      <c r="L578" s="679">
        <f t="shared" si="265"/>
        <v>0.14539387038639978</v>
      </c>
      <c r="M578" s="678">
        <f t="shared" si="266"/>
        <v>1.1489399654823809</v>
      </c>
      <c r="N578" s="679">
        <f t="shared" si="267"/>
        <v>-0.5148481670325642</v>
      </c>
      <c r="O578" s="677">
        <f t="shared" si="268"/>
        <v>4392813.6042715143</v>
      </c>
      <c r="P578" s="680">
        <f t="shared" si="269"/>
        <v>1.570796099150364</v>
      </c>
      <c r="Q578" s="689">
        <f t="shared" si="291"/>
        <v>175.71538970447358</v>
      </c>
      <c r="R578" s="690">
        <f t="shared" si="292"/>
        <v>1.5651052749199632</v>
      </c>
      <c r="S578" s="677">
        <f t="shared" si="270"/>
        <v>1.2798090167680192</v>
      </c>
      <c r="T578" s="680">
        <f t="shared" si="271"/>
        <v>0.67394371633101224</v>
      </c>
      <c r="U578" s="681">
        <f t="shared" si="283"/>
        <v>0.49247417536228627</v>
      </c>
      <c r="V578" s="682">
        <f t="shared" si="284"/>
        <v>-1.4798691775210471</v>
      </c>
      <c r="W578" s="683">
        <f t="shared" si="272"/>
        <v>-45.799789701670818</v>
      </c>
      <c r="X578" s="684">
        <f t="shared" si="273"/>
        <v>-234.83285772400458</v>
      </c>
      <c r="Y578" s="687">
        <f t="shared" si="274"/>
        <v>-54.832857724004583</v>
      </c>
      <c r="AA578" s="170">
        <f t="shared" si="275"/>
        <v>105930</v>
      </c>
      <c r="AB578" s="170">
        <f t="shared" si="276"/>
        <v>11221164900</v>
      </c>
      <c r="AD578" s="686">
        <f t="shared" si="277"/>
        <v>15.00388727653695</v>
      </c>
      <c r="AE578" s="687">
        <f t="shared" si="278"/>
        <v>-38.940190829977375</v>
      </c>
      <c r="AG578" s="686">
        <f t="shared" si="279"/>
        <v>-7.514654990903602</v>
      </c>
      <c r="AH578" s="687">
        <f t="shared" si="280"/>
        <v>-26.312150493348412</v>
      </c>
      <c r="AJ578" s="170">
        <f t="shared" si="281"/>
        <v>0</v>
      </c>
      <c r="AK578" s="170">
        <f t="shared" si="293"/>
        <v>0</v>
      </c>
      <c r="AM578" s="170" t="str">
        <f t="shared" si="285"/>
        <v>1.96793346605006+0.251206698358789i</v>
      </c>
      <c r="AN578" s="170" t="str">
        <f t="shared" si="286"/>
        <v>2.88766592483762i</v>
      </c>
      <c r="AO578" s="170" t="str">
        <f t="shared" si="287"/>
        <v>0.0869929918825063-0.681496238579164i</v>
      </c>
      <c r="AP578" s="170" t="str">
        <f t="shared" si="288"/>
        <v>-0.161322244341676-0.0418677830597982i</v>
      </c>
      <c r="AQ578" s="170" t="str">
        <f t="shared" si="289"/>
        <v>1.16132224434168+0.0418677830597982i</v>
      </c>
      <c r="AR578" s="170" t="str">
        <f t="shared" si="290"/>
        <v>0.716354768106497-0.0258258947256595i</v>
      </c>
    </row>
    <row r="579" spans="7:44">
      <c r="G579" s="688">
        <v>107150</v>
      </c>
      <c r="H579" s="676">
        <f t="shared" si="282"/>
        <v>107.15</v>
      </c>
      <c r="I579" s="677">
        <f t="shared" si="262"/>
        <v>881.2760534668505</v>
      </c>
      <c r="J579" s="678">
        <f t="shared" si="263"/>
        <v>1.5696616083253958</v>
      </c>
      <c r="K579" s="678">
        <f t="shared" si="264"/>
        <v>1.010909302016338</v>
      </c>
      <c r="L579" s="679">
        <f t="shared" si="265"/>
        <v>0.14704447768692391</v>
      </c>
      <c r="M579" s="678">
        <f t="shared" si="266"/>
        <v>1.1521622523025319</v>
      </c>
      <c r="N579" s="679">
        <f t="shared" si="267"/>
        <v>-0.5197702553136897</v>
      </c>
      <c r="O579" s="677">
        <f t="shared" si="268"/>
        <v>4443405.8123071129</v>
      </c>
      <c r="P579" s="680">
        <f t="shared" si="269"/>
        <v>1.5707961017423036</v>
      </c>
      <c r="Q579" s="689">
        <f t="shared" si="291"/>
        <v>177.73904562743047</v>
      </c>
      <c r="R579" s="690">
        <f t="shared" si="292"/>
        <v>1.565170071335489</v>
      </c>
      <c r="S579" s="677">
        <f t="shared" si="270"/>
        <v>1.2855696902633309</v>
      </c>
      <c r="T579" s="680">
        <f t="shared" si="271"/>
        <v>0.6795346252459773</v>
      </c>
      <c r="U579" s="681">
        <f t="shared" si="283"/>
        <v>0.48736299675693634</v>
      </c>
      <c r="V579" s="682">
        <f t="shared" si="284"/>
        <v>-1.4918290205523113</v>
      </c>
      <c r="W579" s="683">
        <f t="shared" si="272"/>
        <v>-46.002446654498677</v>
      </c>
      <c r="X579" s="684">
        <f t="shared" si="273"/>
        <v>-236.02292015430692</v>
      </c>
      <c r="Y579" s="687">
        <f t="shared" si="274"/>
        <v>-56.022920154306917</v>
      </c>
      <c r="AA579" s="170">
        <f t="shared" si="275"/>
        <v>107150</v>
      </c>
      <c r="AB579" s="170">
        <f t="shared" si="276"/>
        <v>11481122500</v>
      </c>
      <c r="AD579" s="686">
        <f t="shared" si="277"/>
        <v>14.964874912939909</v>
      </c>
      <c r="AE579" s="687">
        <f t="shared" si="278"/>
        <v>-39.256813902178742</v>
      </c>
      <c r="AG579" s="686">
        <f t="shared" si="279"/>
        <v>-7.4970631983129294</v>
      </c>
      <c r="AH579" s="687">
        <f t="shared" si="280"/>
        <v>-25.815092791222646</v>
      </c>
      <c r="AJ579" s="170">
        <f t="shared" si="281"/>
        <v>0</v>
      </c>
      <c r="AK579" s="170">
        <f t="shared" si="293"/>
        <v>0</v>
      </c>
      <c r="AM579" s="170" t="str">
        <f t="shared" si="285"/>
        <v>1.9757511552092+0.2188828067892i</v>
      </c>
      <c r="AN579" s="170" t="str">
        <f t="shared" si="286"/>
        <v>2.92092328751393i</v>
      </c>
      <c r="AO579" s="170" t="str">
        <f t="shared" si="287"/>
        <v>0.0749361709445976-0.676413229904032i</v>
      </c>
      <c r="AP579" s="170" t="str">
        <f t="shared" si="288"/>
        <v>-0.162625192534866-0.0364804677982i</v>
      </c>
      <c r="AQ579" s="170" t="str">
        <f t="shared" si="289"/>
        <v>1.16262519253487+0.0364804677982i</v>
      </c>
      <c r="AR579" s="170" t="str">
        <f t="shared" si="290"/>
        <v>0.715777255769279-0.0224594214003255i</v>
      </c>
    </row>
    <row r="580" spans="7:44">
      <c r="G580" s="688">
        <v>108400</v>
      </c>
      <c r="H580" s="676">
        <f t="shared" si="282"/>
        <v>108.4</v>
      </c>
      <c r="I580" s="677">
        <f t="shared" si="262"/>
        <v>891.55690887155231</v>
      </c>
      <c r="J580" s="678">
        <f t="shared" si="263"/>
        <v>1.5696746931675574</v>
      </c>
      <c r="K580" s="678">
        <f t="shared" si="264"/>
        <v>1.0111639066260809</v>
      </c>
      <c r="L580" s="679">
        <f t="shared" si="265"/>
        <v>0.14873483694510584</v>
      </c>
      <c r="M580" s="678">
        <f t="shared" si="266"/>
        <v>1.1554925632178665</v>
      </c>
      <c r="N580" s="679">
        <f t="shared" si="267"/>
        <v>-0.5247847806437842</v>
      </c>
      <c r="O580" s="677">
        <f t="shared" si="268"/>
        <v>4495242.0910321111</v>
      </c>
      <c r="P580" s="680">
        <f t="shared" si="269"/>
        <v>1.5707961043374672</v>
      </c>
      <c r="Q580" s="689">
        <f t="shared" si="291"/>
        <v>179.81246433764596</v>
      </c>
      <c r="R580" s="690">
        <f t="shared" si="292"/>
        <v>1.5652349483969985</v>
      </c>
      <c r="S580" s="677">
        <f t="shared" si="270"/>
        <v>1.2915133215476589</v>
      </c>
      <c r="T580" s="680">
        <f t="shared" si="271"/>
        <v>0.68521110305682364</v>
      </c>
      <c r="U580" s="681">
        <f t="shared" si="283"/>
        <v>0.48217327556524098</v>
      </c>
      <c r="V580" s="682">
        <f t="shared" si="284"/>
        <v>-1.504060759607021</v>
      </c>
      <c r="W580" s="683">
        <f t="shared" si="272"/>
        <v>-46.208987880045427</v>
      </c>
      <c r="X580" s="684">
        <f t="shared" si="273"/>
        <v>-237.23647876012785</v>
      </c>
      <c r="Y580" s="687">
        <f t="shared" si="274"/>
        <v>-57.236478760127852</v>
      </c>
      <c r="AA580" s="170">
        <f t="shared" si="275"/>
        <v>108400</v>
      </c>
      <c r="AB580" s="170">
        <f t="shared" si="276"/>
        <v>11750560000</v>
      </c>
      <c r="AD580" s="686">
        <f t="shared" si="277"/>
        <v>14.924806449124652</v>
      </c>
      <c r="AE580" s="687">
        <f t="shared" si="278"/>
        <v>-39.578335090487506</v>
      </c>
      <c r="AG580" s="686">
        <f t="shared" si="279"/>
        <v>-7.4775593139248429</v>
      </c>
      <c r="AH580" s="687">
        <f t="shared" si="280"/>
        <v>-25.305476159252741</v>
      </c>
      <c r="AJ580" s="170">
        <f t="shared" si="281"/>
        <v>0</v>
      </c>
      <c r="AK580" s="170">
        <f t="shared" si="293"/>
        <v>0</v>
      </c>
      <c r="AM580" s="170" t="str">
        <f t="shared" si="285"/>
        <v>1.98264175424911+0.185513295497206i</v>
      </c>
      <c r="AN580" s="170" t="str">
        <f t="shared" si="286"/>
        <v>2.95499845419048i</v>
      </c>
      <c r="AO580" s="170" t="str">
        <f t="shared" si="287"/>
        <v>0.0627794898620437-0.670945107073585i</v>
      </c>
      <c r="AP580" s="170" t="str">
        <f t="shared" si="288"/>
        <v>-0.163773625708185-0.0309188825828677i</v>
      </c>
      <c r="AQ580" s="170" t="str">
        <f t="shared" si="289"/>
        <v>1.16377362570818+0.0309188825828677i</v>
      </c>
      <c r="AR580" s="170" t="str">
        <f t="shared" si="290"/>
        <v>0.715270071262038-0.0190031384625448i</v>
      </c>
    </row>
    <row r="581" spans="7:44">
      <c r="G581" s="688">
        <v>109650</v>
      </c>
      <c r="H581" s="676">
        <f t="shared" si="282"/>
        <v>109.65</v>
      </c>
      <c r="I581" s="677">
        <f t="shared" si="262"/>
        <v>901.83776442542012</v>
      </c>
      <c r="J581" s="678">
        <f t="shared" si="263"/>
        <v>1.5696874796780753</v>
      </c>
      <c r="K581" s="678">
        <f t="shared" si="264"/>
        <v>1.0114213989896221</v>
      </c>
      <c r="L581" s="679">
        <f t="shared" si="265"/>
        <v>0.15042434034964994</v>
      </c>
      <c r="M581" s="678">
        <f t="shared" si="266"/>
        <v>1.1588517621064789</v>
      </c>
      <c r="N581" s="679">
        <f t="shared" si="267"/>
        <v>-0.5297703592214178</v>
      </c>
      <c r="O581" s="677">
        <f t="shared" si="268"/>
        <v>4547078.3697571103</v>
      </c>
      <c r="P581" s="680">
        <f t="shared" si="269"/>
        <v>1.5707961068734617</v>
      </c>
      <c r="Q581" s="689">
        <f t="shared" si="291"/>
        <v>181.88588378744288</v>
      </c>
      <c r="R581" s="690">
        <f t="shared" si="292"/>
        <v>1.5652983463185706</v>
      </c>
      <c r="S581" s="677">
        <f t="shared" si="270"/>
        <v>1.2974981864438924</v>
      </c>
      <c r="T581" s="680">
        <f t="shared" si="271"/>
        <v>0.69083539384969717</v>
      </c>
      <c r="U581" s="681">
        <f t="shared" si="283"/>
        <v>0.47703006716218388</v>
      </c>
      <c r="V581" s="682">
        <f t="shared" si="284"/>
        <v>-1.5162734967267077</v>
      </c>
      <c r="W581" s="683">
        <f t="shared" si="272"/>
        <v>-46.414456723322843</v>
      </c>
      <c r="X581" s="684">
        <f t="shared" si="273"/>
        <v>-238.44441670138389</v>
      </c>
      <c r="Y581" s="687">
        <f t="shared" si="274"/>
        <v>-58.444416701383886</v>
      </c>
      <c r="AA581" s="170">
        <f t="shared" si="275"/>
        <v>109650</v>
      </c>
      <c r="AB581" s="170">
        <f t="shared" si="276"/>
        <v>12023122500</v>
      </c>
      <c r="AD581" s="686">
        <f t="shared" si="277"/>
        <v>14.884646017044236</v>
      </c>
      <c r="AE581" s="687">
        <f t="shared" si="278"/>
        <v>-39.896950928003314</v>
      </c>
      <c r="AG581" s="686">
        <f t="shared" si="279"/>
        <v>-7.4565724247602008</v>
      </c>
      <c r="AH581" s="687">
        <f t="shared" si="280"/>
        <v>-24.795321674872255</v>
      </c>
      <c r="AJ581" s="170">
        <f t="shared" si="281"/>
        <v>0</v>
      </c>
      <c r="AK581" s="170">
        <f t="shared" si="293"/>
        <v>0</v>
      </c>
      <c r="AM581" s="170" t="str">
        <f t="shared" si="285"/>
        <v>1.98839150165387+0.151928402408544i</v>
      </c>
      <c r="AN581" s="170" t="str">
        <f t="shared" si="286"/>
        <v>2.98907362086703i</v>
      </c>
      <c r="AO581" s="170" t="str">
        <f t="shared" si="287"/>
        <v>0.0508279225201802-0.66521998246303i</v>
      </c>
      <c r="AP581" s="170" t="str">
        <f t="shared" si="288"/>
        <v>-0.164731916942311-0.025321400401424i</v>
      </c>
      <c r="AQ581" s="170" t="str">
        <f t="shared" si="289"/>
        <v>1.16473191694231+0.025321400401424i</v>
      </c>
      <c r="AR581" s="170" t="str">
        <f t="shared" si="290"/>
        <v>0.71484817329214-0.015540878170211i</v>
      </c>
    </row>
    <row r="582" spans="7:44">
      <c r="G582" s="688">
        <v>110925</v>
      </c>
      <c r="H582" s="676">
        <f t="shared" si="282"/>
        <v>110.925</v>
      </c>
      <c r="I582" s="677">
        <f t="shared" si="262"/>
        <v>912.32423723880629</v>
      </c>
      <c r="J582" s="678">
        <f t="shared" si="263"/>
        <v>1.5697002250369663</v>
      </c>
      <c r="K582" s="678">
        <f t="shared" si="264"/>
        <v>1.0116870138775818</v>
      </c>
      <c r="L582" s="679">
        <f t="shared" si="265"/>
        <v>0.15214674280095106</v>
      </c>
      <c r="M582" s="678">
        <f t="shared" si="266"/>
        <v>1.1623076455990256</v>
      </c>
      <c r="N582" s="679">
        <f t="shared" si="267"/>
        <v>-0.53482583283785434</v>
      </c>
      <c r="O582" s="677">
        <f t="shared" si="268"/>
        <v>4599951.3740566093</v>
      </c>
      <c r="P582" s="680">
        <f t="shared" si="269"/>
        <v>1.5707961094012943</v>
      </c>
      <c r="Q582" s="689">
        <f t="shared" si="291"/>
        <v>184.0007723622237</v>
      </c>
      <c r="R582" s="690">
        <f t="shared" si="292"/>
        <v>1.5653615402448389</v>
      </c>
      <c r="S582" s="677">
        <f t="shared" si="270"/>
        <v>1.3036446385395328</v>
      </c>
      <c r="T582" s="680">
        <f t="shared" si="271"/>
        <v>0.69651878640863807</v>
      </c>
      <c r="U582" s="681">
        <f t="shared" si="283"/>
        <v>0.47183063944309328</v>
      </c>
      <c r="V582" s="682">
        <f t="shared" si="284"/>
        <v>-1.5287145258760093</v>
      </c>
      <c r="W582" s="683">
        <f t="shared" si="272"/>
        <v>-46.622972246127539</v>
      </c>
      <c r="X582" s="684">
        <f t="shared" si="273"/>
        <v>-239.67095013820298</v>
      </c>
      <c r="Y582" s="687">
        <f t="shared" si="274"/>
        <v>-59.670950138202983</v>
      </c>
      <c r="AA582" s="170">
        <f t="shared" si="275"/>
        <v>110925</v>
      </c>
      <c r="AB582" s="170">
        <f t="shared" si="276"/>
        <v>12304355625</v>
      </c>
      <c r="AD582" s="686">
        <f t="shared" si="277"/>
        <v>14.8435937489485</v>
      </c>
      <c r="AE582" s="687">
        <f t="shared" si="278"/>
        <v>-40.218964734882732</v>
      </c>
      <c r="AG582" s="686">
        <f t="shared" si="279"/>
        <v>-7.4336511180267113</v>
      </c>
      <c r="AH582" s="687">
        <f t="shared" si="280"/>
        <v>-24.274204377074422</v>
      </c>
      <c r="AJ582" s="170">
        <f t="shared" si="281"/>
        <v>0</v>
      </c>
      <c r="AK582" s="170">
        <f t="shared" si="293"/>
        <v>0</v>
      </c>
      <c r="AM582" s="170" t="str">
        <f t="shared" si="285"/>
        <v>1.99307402262348+0.117490363819419i</v>
      </c>
      <c r="AN582" s="170" t="str">
        <f t="shared" si="286"/>
        <v>3.02383029087712i</v>
      </c>
      <c r="AO582" s="170" t="str">
        <f t="shared" si="287"/>
        <v>0.0388548140991533-0.659122315374832i</v>
      </c>
      <c r="AP582" s="170" t="str">
        <f t="shared" si="288"/>
        <v>-0.165512337103913-0.0195817273032365i</v>
      </c>
      <c r="AQ582" s="170" t="str">
        <f t="shared" si="289"/>
        <v>1.16551233710391+0.0195817273032365i</v>
      </c>
      <c r="AR582" s="170" t="str">
        <f t="shared" si="290"/>
        <v>0.714505464270275-0.012004378428785i</v>
      </c>
    </row>
    <row r="583" spans="7:44">
      <c r="G583" s="688">
        <v>112200</v>
      </c>
      <c r="H583" s="676">
        <f t="shared" si="282"/>
        <v>112.2</v>
      </c>
      <c r="I583" s="677">
        <f t="shared" si="262"/>
        <v>922.81071019702597</v>
      </c>
      <c r="J583" s="678">
        <f t="shared" si="263"/>
        <v>1.5697126807289539</v>
      </c>
      <c r="K583" s="678">
        <f t="shared" si="264"/>
        <v>1.0119556285265037</v>
      </c>
      <c r="L583" s="679">
        <f t="shared" si="265"/>
        <v>0.15386823596418936</v>
      </c>
      <c r="M583" s="678">
        <f t="shared" si="266"/>
        <v>1.1657930585707224</v>
      </c>
      <c r="N583" s="679">
        <f t="shared" si="267"/>
        <v>-0.53985120519646168</v>
      </c>
      <c r="O583" s="677">
        <f t="shared" si="268"/>
        <v>4652824.3783561075</v>
      </c>
      <c r="P583" s="680">
        <f t="shared" si="269"/>
        <v>1.570796111871676</v>
      </c>
      <c r="Q583" s="689">
        <f t="shared" si="291"/>
        <v>186.11566165510692</v>
      </c>
      <c r="R583" s="690">
        <f t="shared" si="292"/>
        <v>1.5654232979874532</v>
      </c>
      <c r="S583" s="677">
        <f t="shared" si="270"/>
        <v>1.3098328036110816</v>
      </c>
      <c r="T583" s="680">
        <f t="shared" si="271"/>
        <v>0.70214865823164574</v>
      </c>
      <c r="U583" s="681">
        <f t="shared" si="283"/>
        <v>0.46667700938148537</v>
      </c>
      <c r="V583" s="682">
        <f t="shared" si="284"/>
        <v>-1.5411430983937224</v>
      </c>
      <c r="W583" s="683">
        <f t="shared" si="272"/>
        <v>-46.830457572677346</v>
      </c>
      <c r="X583" s="684">
        <f t="shared" si="273"/>
        <v>-240.89209646092951</v>
      </c>
      <c r="Y583" s="687">
        <f t="shared" si="274"/>
        <v>-60.892096460929508</v>
      </c>
      <c r="AA583" s="170">
        <f t="shared" si="275"/>
        <v>112200</v>
      </c>
      <c r="AB583" s="170">
        <f t="shared" si="276"/>
        <v>12588840000</v>
      </c>
      <c r="AD583" s="686">
        <f t="shared" si="277"/>
        <v>14.802458052557308</v>
      </c>
      <c r="AE583" s="687">
        <f t="shared" si="278"/>
        <v>-40.537994313443647</v>
      </c>
      <c r="AG583" s="686">
        <f t="shared" si="279"/>
        <v>-7.4092114159625124</v>
      </c>
      <c r="AH583" s="687">
        <f t="shared" si="280"/>
        <v>-23.752111618338127</v>
      </c>
      <c r="AJ583" s="170">
        <f t="shared" si="281"/>
        <v>0</v>
      </c>
      <c r="AK583" s="170">
        <f t="shared" si="293"/>
        <v>0</v>
      </c>
      <c r="AM583" s="170" t="str">
        <f t="shared" si="285"/>
        <v>1.99655700500787+0.0829104080906118i</v>
      </c>
      <c r="AN583" s="170" t="str">
        <f t="shared" si="286"/>
        <v>3.0585869608872i</v>
      </c>
      <c r="AO583" s="170" t="str">
        <f t="shared" si="287"/>
        <v>0.0271074222021015-0.65277104445274i</v>
      </c>
      <c r="AP583" s="170" t="str">
        <f t="shared" si="288"/>
        <v>-0.166092834167978-0.0138184013484353i</v>
      </c>
      <c r="AQ583" s="170" t="str">
        <f t="shared" si="289"/>
        <v>1.16609283416798+0.0138184013484353i</v>
      </c>
      <c r="AR583" s="170" t="str">
        <f t="shared" si="290"/>
        <v>0.714251058466089-0.00846399832005773i</v>
      </c>
    </row>
    <row r="584" spans="7:44">
      <c r="G584" s="688">
        <v>113510</v>
      </c>
      <c r="H584" s="676">
        <f t="shared" si="282"/>
        <v>113.51</v>
      </c>
      <c r="I584" s="677">
        <f t="shared" si="262"/>
        <v>933.58504726452657</v>
      </c>
      <c r="J584" s="678">
        <f t="shared" si="263"/>
        <v>1.5697251868980511</v>
      </c>
      <c r="K584" s="678">
        <f t="shared" si="264"/>
        <v>1.0122347388113542</v>
      </c>
      <c r="L584" s="679">
        <f t="shared" si="265"/>
        <v>0.15563602877131638</v>
      </c>
      <c r="M584" s="678">
        <f t="shared" si="266"/>
        <v>1.169404628528312</v>
      </c>
      <c r="N584" s="679">
        <f t="shared" si="267"/>
        <v>-0.5449831942581489</v>
      </c>
      <c r="O584" s="677">
        <f t="shared" si="268"/>
        <v>4707148.7984599061</v>
      </c>
      <c r="P584" s="680">
        <f t="shared" si="269"/>
        <v>1.5707961143520692</v>
      </c>
      <c r="Q584" s="689">
        <f t="shared" si="291"/>
        <v>188.28860745500899</v>
      </c>
      <c r="R584" s="690">
        <f t="shared" si="292"/>
        <v>1.5654853060449485</v>
      </c>
      <c r="S584" s="677">
        <f t="shared" si="270"/>
        <v>1.3162336677531818</v>
      </c>
      <c r="T584" s="680">
        <f t="shared" si="271"/>
        <v>0.7078777519577738</v>
      </c>
      <c r="U584" s="681">
        <f t="shared" si="283"/>
        <v>0.46142820770562354</v>
      </c>
      <c r="V584" s="682">
        <f t="shared" si="284"/>
        <v>-1.5539037424378899</v>
      </c>
      <c r="W584" s="683">
        <f t="shared" si="272"/>
        <v>-47.042611426401137</v>
      </c>
      <c r="X584" s="684">
        <f t="shared" si="273"/>
        <v>-242.14139854057152</v>
      </c>
      <c r="Y584" s="687">
        <f t="shared" si="274"/>
        <v>-62.141398540571515</v>
      </c>
      <c r="AA584" s="170">
        <f t="shared" si="275"/>
        <v>113510</v>
      </c>
      <c r="AB584" s="170">
        <f t="shared" si="276"/>
        <v>12884520100</v>
      </c>
      <c r="AD584" s="686">
        <f t="shared" si="277"/>
        <v>14.760112523138318</v>
      </c>
      <c r="AE584" s="687">
        <f t="shared" si="278"/>
        <v>-40.862694546882445</v>
      </c>
      <c r="AG584" s="686">
        <f t="shared" si="279"/>
        <v>-7.3825290954286071</v>
      </c>
      <c r="AH584" s="687">
        <f t="shared" si="280"/>
        <v>-23.21445136767138</v>
      </c>
      <c r="AJ584" s="170">
        <f t="shared" si="281"/>
        <v>0</v>
      </c>
      <c r="AK584" s="170">
        <f t="shared" si="293"/>
        <v>0</v>
      </c>
      <c r="AM584" s="170" t="str">
        <f t="shared" si="285"/>
        <v>1.99888180382042+0.047277288378878i</v>
      </c>
      <c r="AN584" s="170" t="str">
        <f t="shared" si="286"/>
        <v>3.09429773556422i</v>
      </c>
      <c r="AO584" s="170" t="str">
        <f t="shared" si="287"/>
        <v>0.0152788427033048-0.645988839679625i</v>
      </c>
      <c r="AP584" s="170" t="str">
        <f t="shared" si="288"/>
        <v>-0.166480300636737-0.00787954806314633i</v>
      </c>
      <c r="AQ584" s="170" t="str">
        <f t="shared" si="289"/>
        <v>1.16648030063674+0.00787954806314633i</v>
      </c>
      <c r="AR584" s="170" t="str">
        <f t="shared" si="290"/>
        <v>0.714081490894586-0.00482360432956793i</v>
      </c>
    </row>
    <row r="585" spans="7:44">
      <c r="G585" s="688">
        <v>114820</v>
      </c>
      <c r="H585" s="676">
        <f t="shared" si="282"/>
        <v>114.82</v>
      </c>
      <c r="I585" s="677">
        <f t="shared" si="262"/>
        <v>944.35938447471199</v>
      </c>
      <c r="J585" s="678">
        <f t="shared" si="263"/>
        <v>1.5697374076976494</v>
      </c>
      <c r="K585" s="678">
        <f t="shared" si="264"/>
        <v>1.0125170106725223</v>
      </c>
      <c r="L585" s="679">
        <f t="shared" si="265"/>
        <v>0.15740284143851271</v>
      </c>
      <c r="M585" s="678">
        <f t="shared" si="266"/>
        <v>1.1730468073412359</v>
      </c>
      <c r="N585" s="679">
        <f t="shared" si="267"/>
        <v>-0.55008344845392632</v>
      </c>
      <c r="O585" s="677">
        <f t="shared" si="268"/>
        <v>4761473.2185637057</v>
      </c>
      <c r="P585" s="680">
        <f t="shared" si="269"/>
        <v>1.5707961167758637</v>
      </c>
      <c r="Q585" s="689">
        <f t="shared" si="291"/>
        <v>190.46155396236125</v>
      </c>
      <c r="R585" s="690">
        <f t="shared" si="292"/>
        <v>1.5655458992219351</v>
      </c>
      <c r="S585" s="677">
        <f t="shared" si="270"/>
        <v>1.3226773150340687</v>
      </c>
      <c r="T585" s="680">
        <f t="shared" si="271"/>
        <v>0.71355120988944121</v>
      </c>
      <c r="U585" s="681">
        <f t="shared" si="283"/>
        <v>0.45622488696748231</v>
      </c>
      <c r="V585" s="682">
        <f t="shared" si="284"/>
        <v>-1.5666591100813698</v>
      </c>
      <c r="W585" s="683">
        <f t="shared" si="272"/>
        <v>-47.253771541407644</v>
      </c>
      <c r="X585" s="684">
        <f t="shared" si="273"/>
        <v>-243.38551320547694</v>
      </c>
      <c r="Y585" s="687">
        <f t="shared" si="274"/>
        <v>-63.38551320547694</v>
      </c>
      <c r="AA585" s="170">
        <f t="shared" si="275"/>
        <v>114820</v>
      </c>
      <c r="AB585" s="170">
        <f t="shared" si="276"/>
        <v>13183632400</v>
      </c>
      <c r="AD585" s="686">
        <f t="shared" si="277"/>
        <v>14.717691548795564</v>
      </c>
      <c r="AE585" s="687">
        <f t="shared" si="278"/>
        <v>-41.184288147544066</v>
      </c>
      <c r="AG585" s="686">
        <f t="shared" si="279"/>
        <v>-7.354261527020034</v>
      </c>
      <c r="AH585" s="687">
        <f t="shared" si="280"/>
        <v>-22.675314966026789</v>
      </c>
      <c r="AJ585" s="170">
        <f t="shared" si="281"/>
        <v>0</v>
      </c>
      <c r="AK585" s="170">
        <f t="shared" si="293"/>
        <v>0</v>
      </c>
      <c r="AM585" s="170" t="str">
        <f t="shared" si="285"/>
        <v>1.99993290456175+0.0115838842663263i</v>
      </c>
      <c r="AN585" s="170" t="str">
        <f t="shared" si="286"/>
        <v>3.13000851024125i</v>
      </c>
      <c r="AO585" s="170" t="str">
        <f t="shared" si="287"/>
        <v>0.00370091142833137-0.638954462270009i</v>
      </c>
      <c r="AP585" s="170" t="str">
        <f t="shared" si="288"/>
        <v>-0.166655484093625-0.00193064737772105i</v>
      </c>
      <c r="AQ585" s="170" t="str">
        <f t="shared" si="289"/>
        <v>1.16665548409362+0.00193064737772105i</v>
      </c>
      <c r="AR585" s="170" t="str">
        <f t="shared" si="290"/>
        <v>0.714004888462258-0.00118157561026735i</v>
      </c>
    </row>
    <row r="586" spans="7:44">
      <c r="G586" s="688">
        <v>116155</v>
      </c>
      <c r="H586" s="676">
        <f t="shared" si="282"/>
        <v>116.155</v>
      </c>
      <c r="I586" s="677">
        <f t="shared" si="262"/>
        <v>955.33933894902623</v>
      </c>
      <c r="J586" s="678">
        <f t="shared" si="263"/>
        <v>1.5697495781247184</v>
      </c>
      <c r="K586" s="678">
        <f t="shared" si="264"/>
        <v>1.0128079193194321</v>
      </c>
      <c r="L586" s="679">
        <f t="shared" si="265"/>
        <v>0.1592023529616966</v>
      </c>
      <c r="M586" s="678">
        <f t="shared" si="266"/>
        <v>1.1767896897567744</v>
      </c>
      <c r="N586" s="679">
        <f t="shared" si="267"/>
        <v>-0.55524841833876237</v>
      </c>
      <c r="O586" s="677">
        <f t="shared" si="268"/>
        <v>4816834.3642420033</v>
      </c>
      <c r="P586" s="680">
        <f t="shared" si="269"/>
        <v>1.5707961191896678</v>
      </c>
      <c r="Q586" s="689">
        <f t="shared" si="291"/>
        <v>192.67596961755942</v>
      </c>
      <c r="R586" s="690">
        <f t="shared" si="292"/>
        <v>1.5656062426785715</v>
      </c>
      <c r="S586" s="677">
        <f t="shared" si="270"/>
        <v>1.3292873041383968</v>
      </c>
      <c r="T586" s="680">
        <f t="shared" si="271"/>
        <v>0.71927616373772874</v>
      </c>
      <c r="U586" s="681">
        <f t="shared" si="283"/>
        <v>0.45096753181904614</v>
      </c>
      <c r="V586" s="682">
        <f t="shared" si="284"/>
        <v>-1.5796565974573753</v>
      </c>
      <c r="W586" s="683">
        <f t="shared" si="272"/>
        <v>-47.467989011425914</v>
      </c>
      <c r="X586" s="684">
        <f t="shared" si="273"/>
        <v>-244.64829665852355</v>
      </c>
      <c r="Y586" s="687">
        <f t="shared" si="274"/>
        <v>-64.648296658523549</v>
      </c>
      <c r="AA586" s="170">
        <f t="shared" si="275"/>
        <v>116155</v>
      </c>
      <c r="AB586" s="170">
        <f t="shared" si="276"/>
        <v>13491984025</v>
      </c>
      <c r="AD586" s="686">
        <f t="shared" si="277"/>
        <v>14.674389777393717</v>
      </c>
      <c r="AE586" s="687">
        <f t="shared" si="278"/>
        <v>-41.50884655424327</v>
      </c>
      <c r="AG586" s="686">
        <f t="shared" si="279"/>
        <v>-7.3238293445107061</v>
      </c>
      <c r="AH586" s="687">
        <f t="shared" si="280"/>
        <v>-22.124137668832905</v>
      </c>
      <c r="AJ586" s="170">
        <f t="shared" si="281"/>
        <v>0</v>
      </c>
      <c r="AK586" s="170">
        <f t="shared" si="293"/>
        <v>0</v>
      </c>
      <c r="AM586" s="170" t="str">
        <f t="shared" si="285"/>
        <v>1.99969229400909-0.0248055900725855i</v>
      </c>
      <c r="AN586" s="170" t="str">
        <f t="shared" si="286"/>
        <v>3.1664007882518i</v>
      </c>
      <c r="AO586" s="170" t="str">
        <f t="shared" si="287"/>
        <v>-0.00783400198882622-0.631534801730876i</v>
      </c>
      <c r="AP586" s="170" t="str">
        <f t="shared" si="288"/>
        <v>-0.166615382334848+0.00413426501209758i</v>
      </c>
      <c r="AQ586" s="170" t="str">
        <f t="shared" si="289"/>
        <v>1.16661538233485-0.00413426501209758i</v>
      </c>
      <c r="AR586" s="170" t="str">
        <f t="shared" si="290"/>
        <v>0.714022420268851+0.00253036086671747i</v>
      </c>
    </row>
    <row r="587" spans="7:44">
      <c r="G587" s="688">
        <v>117490</v>
      </c>
      <c r="H587" s="676">
        <f t="shared" si="282"/>
        <v>117.49</v>
      </c>
      <c r="I587" s="677">
        <f t="shared" si="262"/>
        <v>966.31929356162902</v>
      </c>
      <c r="J587" s="678">
        <f t="shared" si="263"/>
        <v>1.5697614719750144</v>
      </c>
      <c r="K587" s="678">
        <f t="shared" si="264"/>
        <v>1.0131021057934917</v>
      </c>
      <c r="L587" s="679">
        <f t="shared" si="265"/>
        <v>0.16100082521495712</v>
      </c>
      <c r="M587" s="678">
        <f t="shared" si="266"/>
        <v>1.1805637657441295</v>
      </c>
      <c r="N587" s="679">
        <f t="shared" si="267"/>
        <v>-0.56038050121922067</v>
      </c>
      <c r="O587" s="677">
        <f t="shared" si="268"/>
        <v>4872195.5099203028</v>
      </c>
      <c r="P587" s="680">
        <f t="shared" si="269"/>
        <v>1.5707961215486175</v>
      </c>
      <c r="Q587" s="689">
        <f t="shared" si="291"/>
        <v>194.89038595841123</v>
      </c>
      <c r="R587" s="690">
        <f t="shared" si="292"/>
        <v>1.5656652148462624</v>
      </c>
      <c r="S587" s="677">
        <f t="shared" si="270"/>
        <v>1.3359404288060768</v>
      </c>
      <c r="T587" s="680">
        <f t="shared" si="271"/>
        <v>0.72494428007302891</v>
      </c>
      <c r="U587" s="681">
        <f t="shared" si="283"/>
        <v>0.44575430649677888</v>
      </c>
      <c r="V587" s="682">
        <f t="shared" si="284"/>
        <v>-1.5926569588093153</v>
      </c>
      <c r="W587" s="683">
        <f t="shared" si="272"/>
        <v>-47.681276223674217</v>
      </c>
      <c r="X587" s="684">
        <f t="shared" si="273"/>
        <v>-245.9062262071169</v>
      </c>
      <c r="Y587" s="687">
        <f t="shared" si="274"/>
        <v>-65.906226207116902</v>
      </c>
      <c r="AA587" s="170">
        <f t="shared" si="275"/>
        <v>117490</v>
      </c>
      <c r="AB587" s="170">
        <f t="shared" si="276"/>
        <v>13803900100</v>
      </c>
      <c r="AD587" s="686">
        <f t="shared" si="277"/>
        <v>14.631022414386033</v>
      </c>
      <c r="AE587" s="687">
        <f t="shared" si="278"/>
        <v>-41.830226977252799</v>
      </c>
      <c r="AG587" s="686">
        <f t="shared" si="279"/>
        <v>-7.2917600906333204</v>
      </c>
      <c r="AH587" s="687">
        <f t="shared" si="280"/>
        <v>-21.570955117492158</v>
      </c>
      <c r="AJ587" s="170">
        <f t="shared" si="281"/>
        <v>0</v>
      </c>
      <c r="AK587" s="170">
        <f t="shared" si="293"/>
        <v>0</v>
      </c>
      <c r="AM587" s="170" t="str">
        <f t="shared" si="285"/>
        <v>1.99812783920051-0.061162215565788i</v>
      </c>
      <c r="AN587" s="170" t="str">
        <f t="shared" si="286"/>
        <v>3.20279306626236i</v>
      </c>
      <c r="AO587" s="170" t="str">
        <f t="shared" si="287"/>
        <v>-0.0190965242837758-0.623870414935147i</v>
      </c>
      <c r="AP587" s="170" t="str">
        <f t="shared" si="288"/>
        <v>-0.166354639866752+0.010193702594298i</v>
      </c>
      <c r="AQ587" s="170" t="str">
        <f t="shared" si="289"/>
        <v>1.16635463986675-0.010193702594298i</v>
      </c>
      <c r="AR587" s="170" t="str">
        <f t="shared" si="290"/>
        <v>0.714136462853451+0.00624140760043934i</v>
      </c>
    </row>
    <row r="588" spans="7:44">
      <c r="G588" s="688">
        <v>118860</v>
      </c>
      <c r="H588" s="676">
        <f t="shared" si="282"/>
        <v>118.86</v>
      </c>
      <c r="I588" s="677">
        <f t="shared" si="262"/>
        <v>977.58711229172673</v>
      </c>
      <c r="J588" s="678">
        <f t="shared" si="263"/>
        <v>1.5697733998742949</v>
      </c>
      <c r="K588" s="678">
        <f t="shared" si="264"/>
        <v>1.0134074098845132</v>
      </c>
      <c r="L588" s="679">
        <f t="shared" si="265"/>
        <v>0.16284535668220043</v>
      </c>
      <c r="M588" s="678">
        <f t="shared" si="266"/>
        <v>1.1844689058185254</v>
      </c>
      <c r="N588" s="679">
        <f t="shared" si="267"/>
        <v>-0.56561298906982471</v>
      </c>
      <c r="O588" s="677">
        <f t="shared" si="268"/>
        <v>4929008.0714029018</v>
      </c>
      <c r="P588" s="680">
        <f t="shared" si="269"/>
        <v>1.57079612391432</v>
      </c>
      <c r="Q588" s="689">
        <f t="shared" si="291"/>
        <v>197.16285884701082</v>
      </c>
      <c r="R588" s="690">
        <f t="shared" si="292"/>
        <v>1.5657243558702392</v>
      </c>
      <c r="S588" s="677">
        <f t="shared" si="270"/>
        <v>1.3428121542439415</v>
      </c>
      <c r="T588" s="680">
        <f t="shared" si="271"/>
        <v>0.73070241350660659</v>
      </c>
      <c r="U588" s="681">
        <f t="shared" si="283"/>
        <v>0.4404486210991968</v>
      </c>
      <c r="V588" s="682">
        <f t="shared" si="284"/>
        <v>-1.6060055649645277</v>
      </c>
      <c r="W588" s="683">
        <f t="shared" si="272"/>
        <v>-47.899243010696779</v>
      </c>
      <c r="X588" s="684">
        <f t="shared" si="273"/>
        <v>-247.19237237198277</v>
      </c>
      <c r="Y588" s="687">
        <f t="shared" si="274"/>
        <v>-67.192372371982771</v>
      </c>
      <c r="AA588" s="170">
        <f t="shared" si="275"/>
        <v>118860</v>
      </c>
      <c r="AB588" s="170">
        <f t="shared" si="276"/>
        <v>14127699600</v>
      </c>
      <c r="AD588" s="686">
        <f t="shared" si="277"/>
        <v>14.586456380097319</v>
      </c>
      <c r="AE588" s="687">
        <f t="shared" si="278"/>
        <v>-42.156755325717896</v>
      </c>
      <c r="AG588" s="686">
        <f t="shared" si="279"/>
        <v>-7.2571491249968512</v>
      </c>
      <c r="AH588" s="687">
        <f t="shared" si="280"/>
        <v>-21.000935341992999</v>
      </c>
      <c r="AJ588" s="170">
        <f t="shared" si="281"/>
        <v>0</v>
      </c>
      <c r="AK588" s="170">
        <f t="shared" si="293"/>
        <v>0</v>
      </c>
      <c r="AM588" s="170" t="str">
        <f t="shared" si="285"/>
        <v>1.99514819298567-0.0983873670617949i</v>
      </c>
      <c r="AN588" s="170" t="str">
        <f t="shared" si="286"/>
        <v>3.24013944893986i</v>
      </c>
      <c r="AO588" s="170" t="str">
        <f t="shared" si="287"/>
        <v>-0.0303651644048796-0.615759977132608i</v>
      </c>
      <c r="AP588" s="170" t="str">
        <f t="shared" si="288"/>
        <v>-0.165858032164279+0.0163978945102991i</v>
      </c>
      <c r="AQ588" s="170" t="str">
        <f t="shared" si="289"/>
        <v>1.16585803216428-0.0163978945102991i</v>
      </c>
      <c r="AR588" s="170" t="str">
        <f t="shared" si="290"/>
        <v>0.714353909310964+0.0100474497964006i</v>
      </c>
    </row>
    <row r="589" spans="7:44">
      <c r="G589" s="688">
        <v>120230</v>
      </c>
      <c r="H589" s="676">
        <f t="shared" si="282"/>
        <v>120.23</v>
      </c>
      <c r="I589" s="677">
        <f t="shared" ref="I589:I613" si="294">SQRT(1+(G589/pole1)^2)</f>
        <v>988.85493115774091</v>
      </c>
      <c r="J589" s="678">
        <f t="shared" ref="J589:J613" si="295">ATAN(G589/pole1)</f>
        <v>1.5697850559411688</v>
      </c>
      <c r="K589" s="678">
        <f t="shared" ref="K589:K613" si="296">SQRT(1+(G589/Zero1)^2)</f>
        <v>1.013716159804172</v>
      </c>
      <c r="L589" s="679">
        <f t="shared" ref="L589:L613" si="297">ATAN(G589/Zero1)</f>
        <v>0.16468877083152622</v>
      </c>
      <c r="M589" s="678">
        <f t="shared" ref="M589:M613" si="298">SQRT(1+(G589/z_RHP)^2)</f>
        <v>1.1884062617385343</v>
      </c>
      <c r="N589" s="679">
        <f t="shared" ref="N589:N613" si="299">-ATAN(G589/z_RHP)</f>
        <v>-0.57081094652695952</v>
      </c>
      <c r="O589" s="677">
        <f t="shared" ref="O589:O613" si="300">SQRT(1+(G589/Pole2)^2)</f>
        <v>4985820.6328855008</v>
      </c>
      <c r="P589" s="680">
        <f t="shared" ref="P589:P613" si="301">ATAN(G589/Pole2)</f>
        <v>1.570796126226109</v>
      </c>
      <c r="Q589" s="689">
        <f t="shared" si="291"/>
        <v>199.4353324095037</v>
      </c>
      <c r="R589" s="690">
        <f t="shared" si="292"/>
        <v>1.5657821491250714</v>
      </c>
      <c r="S589" s="677">
        <f t="shared" ref="S589:S613" si="302">SQRT(1+(G589/pole4)^2)</f>
        <v>1.3497279478963242</v>
      </c>
      <c r="T589" s="680">
        <f t="shared" ref="T589:T613" si="303">ATAN(G589/pole4)</f>
        <v>0.73640172676179139</v>
      </c>
      <c r="U589" s="681">
        <f t="shared" si="283"/>
        <v>0.43518600992504752</v>
      </c>
      <c r="V589" s="682">
        <f t="shared" si="284"/>
        <v>-1.6193662026210636</v>
      </c>
      <c r="W589" s="683">
        <f t="shared" ref="W589:W613" si="304">20*LOG10(((K589*Q589*M589*U589)/(I589*O589*S589))*Adc)</f>
        <v>-48.116342760506974</v>
      </c>
      <c r="X589" s="684">
        <f t="shared" ref="X589:X613" si="305">((L589+R589+N589+V589)-(J589+P589+T589))*radconv</f>
        <v>-248.47398495845377</v>
      </c>
      <c r="Y589" s="687">
        <f t="shared" ref="Y589:Y613" si="306">IF(X589&gt;0,X589,X589+180)</f>
        <v>-68.473984958453769</v>
      </c>
      <c r="AA589" s="170">
        <f t="shared" ref="AA589:AA613" si="307">IF(W589&lt;0,G589,1000000000)</f>
        <v>120230</v>
      </c>
      <c r="AB589" s="170">
        <f t="shared" ref="AB589:AB613" si="308">G589^2</f>
        <v>14455252900</v>
      </c>
      <c r="AD589" s="686">
        <f t="shared" ref="AD589:AD613" si="309">20*LOG10((Q589/(O589*S589))*Aea)</f>
        <v>14.541834306943509</v>
      </c>
      <c r="AE589" s="687">
        <f t="shared" ref="AE589:AE613" si="310">(R589-(P589+T589))*radconv</f>
        <v>-42.479990744601842</v>
      </c>
      <c r="AG589" s="686">
        <f t="shared" ref="AG589:AG613" si="311">20*LOG10((K589*M589/(I589*U589))*Acs*Am)</f>
        <v>-7.2208136340403168</v>
      </c>
      <c r="AH589" s="687">
        <f t="shared" ref="AH589:AH613" si="312">(L589+N589-(J589+V589))*radconv</f>
        <v>-20.428296209184513</v>
      </c>
      <c r="AJ589" s="170">
        <f t="shared" ref="AJ589:AJ613" si="313">SUM((W590&lt;0)*(W589&gt;0))*G589</f>
        <v>0</v>
      </c>
      <c r="AK589" s="170">
        <f t="shared" si="293"/>
        <v>0</v>
      </c>
      <c r="AM589" s="170" t="str">
        <f t="shared" si="285"/>
        <v>1.99078072285786-0.135475308500339i</v>
      </c>
      <c r="AN589" s="170" t="str">
        <f t="shared" si="286"/>
        <v>3.27748583161736i</v>
      </c>
      <c r="AO589" s="170" t="str">
        <f t="shared" si="287"/>
        <v>-0.0413351317016938-0.607410931773718i</v>
      </c>
      <c r="AP589" s="170" t="str">
        <f t="shared" si="288"/>
        <v>-0.16513012047631+0.0225792180833898i</v>
      </c>
      <c r="AQ589" s="170" t="str">
        <f t="shared" si="289"/>
        <v>1.16513012047631-0.0225792180833898i</v>
      </c>
      <c r="AR589" s="170" t="str">
        <f t="shared" si="290"/>
        <v>0.714673210153657+0.0138497511881496i</v>
      </c>
    </row>
    <row r="590" spans="7:44">
      <c r="G590" s="688">
        <v>126030</v>
      </c>
      <c r="H590" s="676">
        <f t="shared" ref="H590:H613" si="314">G590/1000</f>
        <v>126.03</v>
      </c>
      <c r="I590" s="677">
        <f t="shared" si="294"/>
        <v>1036.5581073226688</v>
      </c>
      <c r="J590" s="678">
        <f t="shared" si="295"/>
        <v>1.5698315953938748</v>
      </c>
      <c r="K590" s="678">
        <f t="shared" si="296"/>
        <v>1.0150613773969317</v>
      </c>
      <c r="L590" s="679">
        <f t="shared" si="297"/>
        <v>0.17248036391531474</v>
      </c>
      <c r="M590" s="678">
        <f t="shared" si="298"/>
        <v>1.2054249440647338</v>
      </c>
      <c r="N590" s="679">
        <f t="shared" si="299"/>
        <v>-0.59243591738768697</v>
      </c>
      <c r="O590" s="677">
        <f t="shared" si="300"/>
        <v>5226340.9661694961</v>
      </c>
      <c r="P590" s="680">
        <f t="shared" si="301"/>
        <v>1.5707961354564428</v>
      </c>
      <c r="Q590" s="689">
        <f t="shared" si="291"/>
        <v>209.05603036376829</v>
      </c>
      <c r="R590" s="690">
        <f t="shared" si="292"/>
        <v>1.5660129019312574</v>
      </c>
      <c r="S590" s="677">
        <f t="shared" si="302"/>
        <v>1.3794793591434511</v>
      </c>
      <c r="T590" s="680">
        <f t="shared" si="303"/>
        <v>0.75989089277326505</v>
      </c>
      <c r="U590" s="681">
        <f t="shared" ref="U590:U613" si="315">IMABS(IMPRODUCT(AO590, AR590))</f>
        <v>0.41334318669549142</v>
      </c>
      <c r="V590" s="682">
        <f t="shared" ref="V590:V613" si="316">IMARGUMENT(IMPRODUCT(AO590, AR590))</f>
        <v>-1.6761682194397447</v>
      </c>
      <c r="W590" s="683">
        <f t="shared" si="304"/>
        <v>-49.027212597294238</v>
      </c>
      <c r="X590" s="684">
        <f t="shared" si="305"/>
        <v>-253.85637091708867</v>
      </c>
      <c r="Y590" s="687">
        <f t="shared" si="306"/>
        <v>-73.856370917088668</v>
      </c>
      <c r="AA590" s="170">
        <f t="shared" si="307"/>
        <v>126030</v>
      </c>
      <c r="AB590" s="170">
        <f t="shared" si="308"/>
        <v>15883560900</v>
      </c>
      <c r="AD590" s="686">
        <f t="shared" si="309"/>
        <v>14.352445168435635</v>
      </c>
      <c r="AE590" s="687">
        <f t="shared" si="310"/>
        <v>-43.812600189818063</v>
      </c>
      <c r="AG590" s="686">
        <f t="shared" si="311"/>
        <v>-7.0477286471073501</v>
      </c>
      <c r="AH590" s="687">
        <f t="shared" si="312"/>
        <v>-17.969041052082428</v>
      </c>
      <c r="AJ590" s="170">
        <f t="shared" si="313"/>
        <v>0</v>
      </c>
      <c r="AK590" s="170">
        <f t="shared" si="293"/>
        <v>0</v>
      </c>
      <c r="AM590" s="170" t="str">
        <f t="shared" ref="AM590:AM613" si="317">IMSUB(1,IMEXP(COMPLEX(0,-2*Pi*G590*Tsw)))</f>
        <v>1.95709183823551-0.289784770446917i</v>
      </c>
      <c r="AN590" s="170" t="str">
        <f t="shared" ref="AN590:AN613" si="318">COMPLEX(0, 2*Pi*G590*Tsw)</f>
        <v>3.43559460499656i</v>
      </c>
      <c r="AO590" s="170" t="str">
        <f t="shared" ref="AO590:AO613" si="319">IMDIV(AM590, AN590)</f>
        <v>-0.084347777827299-0.569651563484589i</v>
      </c>
      <c r="AP590" s="170" t="str">
        <f t="shared" ref="AP590:AP613" si="320">IMDIV(IMEXP(COMPLEX(0,-2*Pi*G590*Tsw)),6)</f>
        <v>-0.159515306372585+0.0482974617411528i</v>
      </c>
      <c r="AQ590" s="170" t="str">
        <f t="shared" ref="AQ590:AQ613" si="321">IMSUB(1, AP590)</f>
        <v>1.15951530637258-0.0482974617411528i</v>
      </c>
      <c r="AR590" s="170" t="str">
        <f t="shared" ref="AR590:AR613" si="322">IMDIV(0.833, AQ590)</f>
        <v>0.717159365062561+0.029871944601384i</v>
      </c>
    </row>
    <row r="591" spans="7:44">
      <c r="G591" s="688">
        <v>131830</v>
      </c>
      <c r="H591" s="676">
        <f t="shared" si="314"/>
        <v>131.83000000000001</v>
      </c>
      <c r="I591" s="677">
        <f t="shared" si="294"/>
        <v>1084.2612855351483</v>
      </c>
      <c r="J591" s="678">
        <f t="shared" si="295"/>
        <v>1.5698740397455391</v>
      </c>
      <c r="K591" s="678">
        <f t="shared" si="296"/>
        <v>1.0164680529862331</v>
      </c>
      <c r="L591" s="679">
        <f t="shared" si="297"/>
        <v>0.18025086232330789</v>
      </c>
      <c r="M591" s="678">
        <f t="shared" si="298"/>
        <v>1.2229914908073787</v>
      </c>
      <c r="N591" s="679">
        <f t="shared" si="299"/>
        <v>-0.61344925989242527</v>
      </c>
      <c r="O591" s="677">
        <f t="shared" si="300"/>
        <v>5466861.2994534913</v>
      </c>
      <c r="P591" s="680">
        <f t="shared" si="301"/>
        <v>1.5707961438745799</v>
      </c>
      <c r="Q591" s="689">
        <f t="shared" si="291"/>
        <v>218.67673847014024</v>
      </c>
      <c r="R591" s="690">
        <f t="shared" si="292"/>
        <v>1.5662233507556702</v>
      </c>
      <c r="S591" s="677">
        <f t="shared" si="302"/>
        <v>1.4099595266151921</v>
      </c>
      <c r="T591" s="680">
        <f t="shared" si="303"/>
        <v>0.78237646021529417</v>
      </c>
      <c r="U591" s="681">
        <f t="shared" si="315"/>
        <v>0.39210609743104186</v>
      </c>
      <c r="V591" s="682">
        <f t="shared" si="316"/>
        <v>-1.7336179725351408</v>
      </c>
      <c r="W591" s="683">
        <f t="shared" si="304"/>
        <v>-49.928305833616243</v>
      </c>
      <c r="X591" s="684">
        <f t="shared" si="305"/>
        <v>-259.18546103458709</v>
      </c>
      <c r="Y591" s="687">
        <f t="shared" si="306"/>
        <v>-79.185461034587092</v>
      </c>
      <c r="AA591" s="170">
        <f t="shared" si="307"/>
        <v>131830</v>
      </c>
      <c r="AB591" s="170">
        <f t="shared" si="308"/>
        <v>17379148900</v>
      </c>
      <c r="AD591" s="686">
        <f t="shared" si="309"/>
        <v>14.162607823916096</v>
      </c>
      <c r="AE591" s="687">
        <f t="shared" si="310"/>
        <v>-45.088870958542842</v>
      </c>
      <c r="AG591" s="686">
        <f t="shared" si="311"/>
        <v>-6.8426970374341671</v>
      </c>
      <c r="AH591" s="687">
        <f t="shared" si="312"/>
        <v>-15.438603620463908</v>
      </c>
      <c r="AJ591" s="170">
        <f t="shared" si="313"/>
        <v>0</v>
      </c>
      <c r="AK591" s="170">
        <f t="shared" si="293"/>
        <v>0</v>
      </c>
      <c r="AM591" s="170" t="str">
        <f t="shared" si="317"/>
        <v>1.89952700468368-0.436865159797392i</v>
      </c>
      <c r="AN591" s="170" t="str">
        <f t="shared" si="318"/>
        <v>3.59370337837575i</v>
      </c>
      <c r="AO591" s="170" t="str">
        <f t="shared" si="319"/>
        <v>-0.121564056295276-0.528570893222192i</v>
      </c>
      <c r="AP591" s="170" t="str">
        <f t="shared" si="320"/>
        <v>-0.14992116744728+0.072810859966232i</v>
      </c>
      <c r="AQ591" s="170" t="str">
        <f t="shared" si="321"/>
        <v>1.14992116744728-0.072810859966232i</v>
      </c>
      <c r="AR591" s="170" t="str">
        <f t="shared" si="322"/>
        <v>0.721504836617366+0.0456843382929679i</v>
      </c>
    </row>
    <row r="592" spans="7:44">
      <c r="G592" s="688">
        <v>144540</v>
      </c>
      <c r="H592" s="676">
        <f t="shared" si="314"/>
        <v>144.54</v>
      </c>
      <c r="I592" s="677">
        <f t="shared" si="294"/>
        <v>1188.7970492632701</v>
      </c>
      <c r="J592" s="678">
        <f t="shared" si="295"/>
        <v>1.5699551402201553</v>
      </c>
      <c r="K592" s="678">
        <f t="shared" si="296"/>
        <v>1.0197642580474269</v>
      </c>
      <c r="L592" s="679">
        <f t="shared" si="297"/>
        <v>0.19720108374770487</v>
      </c>
      <c r="M592" s="678">
        <f t="shared" si="298"/>
        <v>1.2632895214684114</v>
      </c>
      <c r="N592" s="679">
        <f t="shared" si="299"/>
        <v>-0.65739915443384889</v>
      </c>
      <c r="O592" s="677">
        <f t="shared" si="300"/>
        <v>5993932.581529283</v>
      </c>
      <c r="P592" s="680">
        <f t="shared" si="301"/>
        <v>1.5707961599595199</v>
      </c>
      <c r="Q592" s="689">
        <f t="shared" si="291"/>
        <v>239.75938869430678</v>
      </c>
      <c r="R592" s="690">
        <f t="shared" si="292"/>
        <v>1.5666254665637391</v>
      </c>
      <c r="S592" s="677">
        <f t="shared" si="302"/>
        <v>1.4790797651914922</v>
      </c>
      <c r="T592" s="680">
        <f t="shared" si="303"/>
        <v>0.82834507167700577</v>
      </c>
      <c r="U592" s="681">
        <f t="shared" si="315"/>
        <v>0.34700138216038812</v>
      </c>
      <c r="V592" s="682">
        <f t="shared" si="316"/>
        <v>-1.8635374806942253</v>
      </c>
      <c r="W592" s="683">
        <f t="shared" si="304"/>
        <v>-51.895233037721617</v>
      </c>
      <c r="X592" s="684">
        <f t="shared" si="305"/>
        <v>-270.79168338428468</v>
      </c>
      <c r="Y592" s="687">
        <f t="shared" si="306"/>
        <v>-90.791683384284681</v>
      </c>
      <c r="AA592" s="170">
        <f t="shared" si="307"/>
        <v>144540</v>
      </c>
      <c r="AB592" s="170">
        <f t="shared" si="308"/>
        <v>20891811600</v>
      </c>
      <c r="AD592" s="686">
        <f t="shared" si="309"/>
        <v>13.746893565721162</v>
      </c>
      <c r="AE592" s="687">
        <f t="shared" si="310"/>
        <v>-47.699639771280204</v>
      </c>
      <c r="AG592" s="686">
        <f t="shared" si="311"/>
        <v>-6.2710143363062816</v>
      </c>
      <c r="AH592" s="687">
        <f t="shared" si="312"/>
        <v>-9.5463781525505276</v>
      </c>
      <c r="AJ592" s="170">
        <f t="shared" si="313"/>
        <v>0</v>
      </c>
      <c r="AK592" s="170">
        <f t="shared" si="293"/>
        <v>0</v>
      </c>
      <c r="AM592" s="170" t="str">
        <f t="shared" si="317"/>
        <v>1.69771962364763-0.716370942164054i</v>
      </c>
      <c r="AN592" s="170" t="str">
        <f t="shared" si="318"/>
        <v>3.94017967314292i</v>
      </c>
      <c r="AO592" s="170" t="str">
        <f t="shared" si="319"/>
        <v>-0.181811745044772-0.43087365665572i</v>
      </c>
      <c r="AP592" s="170" t="str">
        <f t="shared" si="320"/>
        <v>-0.116286603941271+0.119395157027342i</v>
      </c>
      <c r="AQ592" s="170" t="str">
        <f t="shared" si="321"/>
        <v>1.11628660394127-0.119395157027342i</v>
      </c>
      <c r="AR592" s="170" t="str">
        <f t="shared" si="322"/>
        <v>0.73778395991487+0.0789114833370557i</v>
      </c>
    </row>
    <row r="593" spans="7:44">
      <c r="G593" s="688">
        <v>158490</v>
      </c>
      <c r="H593" s="676">
        <f t="shared" si="314"/>
        <v>158.49</v>
      </c>
      <c r="I593" s="677">
        <f t="shared" si="294"/>
        <v>1303.5314315733422</v>
      </c>
      <c r="J593" s="678">
        <f t="shared" si="295"/>
        <v>1.5700291798938981</v>
      </c>
      <c r="K593" s="678">
        <f t="shared" si="296"/>
        <v>1.0237169619270394</v>
      </c>
      <c r="L593" s="679">
        <f t="shared" si="297"/>
        <v>0.21567341764358447</v>
      </c>
      <c r="M593" s="678">
        <f t="shared" si="298"/>
        <v>1.3101432962450148</v>
      </c>
      <c r="N593" s="679">
        <f t="shared" si="299"/>
        <v>-0.70242875406406735</v>
      </c>
      <c r="O593" s="677">
        <f t="shared" si="300"/>
        <v>6572425.452100276</v>
      </c>
      <c r="P593" s="680">
        <f t="shared" si="301"/>
        <v>1.5707961746440648</v>
      </c>
      <c r="Q593" s="689">
        <f t="shared" si="291"/>
        <v>262.89891996252715</v>
      </c>
      <c r="R593" s="690">
        <f t="shared" si="292"/>
        <v>1.5669925743429325</v>
      </c>
      <c r="S593" s="677">
        <f t="shared" si="302"/>
        <v>1.5582017217718354</v>
      </c>
      <c r="T593" s="680">
        <f t="shared" si="303"/>
        <v>0.87399823935091314</v>
      </c>
      <c r="U593" s="681">
        <f t="shared" si="315"/>
        <v>0.29824266169614089</v>
      </c>
      <c r="V593" s="682">
        <f t="shared" si="316"/>
        <v>-2.0164189581487273</v>
      </c>
      <c r="W593" s="683">
        <f t="shared" si="304"/>
        <v>-54.113471619261027</v>
      </c>
      <c r="X593" s="684">
        <f t="shared" si="305"/>
        <v>-283.6717091697829</v>
      </c>
      <c r="Y593" s="687">
        <f t="shared" si="306"/>
        <v>-103.6717091697829</v>
      </c>
      <c r="AA593" s="170">
        <f t="shared" si="307"/>
        <v>158490</v>
      </c>
      <c r="AB593" s="170">
        <f t="shared" si="308"/>
        <v>25119080100</v>
      </c>
      <c r="AD593" s="686">
        <f t="shared" si="309"/>
        <v>13.294239166872632</v>
      </c>
      <c r="AE593" s="687">
        <f t="shared" si="310"/>
        <v>-50.294340718351286</v>
      </c>
      <c r="AG593" s="686">
        <f t="shared" si="311"/>
        <v>-5.4061409965401719</v>
      </c>
      <c r="AH593" s="687">
        <f t="shared" si="312"/>
        <v>-2.3127761232245247</v>
      </c>
      <c r="AJ593" s="170">
        <f t="shared" si="313"/>
        <v>0</v>
      </c>
      <c r="AK593" s="170">
        <f t="shared" si="293"/>
        <v>0</v>
      </c>
      <c r="AM593" s="170" t="str">
        <f t="shared" si="317"/>
        <v>1.38197319364583-0.924173403283175i</v>
      </c>
      <c r="AN593" s="170" t="str">
        <f t="shared" si="318"/>
        <v>4.32045853325323i</v>
      </c>
      <c r="AO593" s="170" t="str">
        <f t="shared" si="319"/>
        <v>-0.213906324101967-0.319867250896915i</v>
      </c>
      <c r="AP593" s="170" t="str">
        <f t="shared" si="320"/>
        <v>-0.0636621989409715+0.154028900547196i</v>
      </c>
      <c r="AQ593" s="170" t="str">
        <f t="shared" si="321"/>
        <v>1.06366219894097-0.154028900547196i</v>
      </c>
      <c r="AR593" s="170" t="str">
        <f t="shared" si="322"/>
        <v>0.767058213886392+0.111077683740431i</v>
      </c>
    </row>
    <row r="594" spans="7:44">
      <c r="G594" s="688">
        <v>173780</v>
      </c>
      <c r="H594" s="676">
        <f t="shared" si="314"/>
        <v>173.78</v>
      </c>
      <c r="I594" s="677">
        <f t="shared" si="294"/>
        <v>1429.2869011619457</v>
      </c>
      <c r="J594" s="678">
        <f t="shared" si="295"/>
        <v>1.5700966771438909</v>
      </c>
      <c r="K594" s="678">
        <f t="shared" si="296"/>
        <v>1.0284472936274351</v>
      </c>
      <c r="L594" s="679">
        <f t="shared" si="297"/>
        <v>0.23574942143863667</v>
      </c>
      <c r="M594" s="678">
        <f t="shared" si="298"/>
        <v>1.3643257450120729</v>
      </c>
      <c r="N594" s="679">
        <f t="shared" si="299"/>
        <v>-0.7481292159183911</v>
      </c>
      <c r="O594" s="677">
        <f t="shared" si="300"/>
        <v>7206486.8134644702</v>
      </c>
      <c r="P594" s="680">
        <f t="shared" si="301"/>
        <v>1.5707961880310266</v>
      </c>
      <c r="Q594" s="689">
        <f t="shared" si="291"/>
        <v>288.26120708173352</v>
      </c>
      <c r="R594" s="690">
        <f t="shared" si="292"/>
        <v>1.5673272439589421</v>
      </c>
      <c r="S594" s="677">
        <f t="shared" si="302"/>
        <v>1.6482743512372735</v>
      </c>
      <c r="T594" s="680">
        <f t="shared" si="303"/>
        <v>0.91889979237733266</v>
      </c>
      <c r="U594" s="681">
        <f t="shared" si="315"/>
        <v>0.24320461193411927</v>
      </c>
      <c r="V594" s="682">
        <f t="shared" si="316"/>
        <v>-2.2028596777488572</v>
      </c>
      <c r="W594" s="683">
        <f t="shared" si="304"/>
        <v>-56.781487612041701</v>
      </c>
      <c r="X594" s="684">
        <f t="shared" si="305"/>
        <v>-298.3795112482025</v>
      </c>
      <c r="Y594" s="687">
        <f t="shared" si="306"/>
        <v>-118.3795112482025</v>
      </c>
      <c r="AA594" s="170">
        <f t="shared" si="307"/>
        <v>173780</v>
      </c>
      <c r="AB594" s="170">
        <f t="shared" si="308"/>
        <v>30199488400</v>
      </c>
      <c r="AD594" s="686">
        <f t="shared" si="309"/>
        <v>12.806112181397644</v>
      </c>
      <c r="AE594" s="687">
        <f t="shared" si="310"/>
        <v>-52.847835813753591</v>
      </c>
      <c r="AG594" s="686">
        <f t="shared" si="311"/>
        <v>-4.0421115914563268</v>
      </c>
      <c r="AH594" s="687">
        <f t="shared" si="312"/>
        <v>6.897449643109562</v>
      </c>
      <c r="AJ594" s="170">
        <f t="shared" si="313"/>
        <v>0</v>
      </c>
      <c r="AK594" s="170">
        <f t="shared" si="293"/>
        <v>0</v>
      </c>
      <c r="AM594" s="170" t="str">
        <f t="shared" si="317"/>
        <v>0.975125574179881-0.999690583600806i</v>
      </c>
      <c r="AN594" s="170" t="str">
        <f t="shared" si="318"/>
        <v>4.7372659720408i</v>
      </c>
      <c r="AO594" s="170" t="str">
        <f t="shared" si="319"/>
        <v>-0.211026906553474-0.20584142413262i</v>
      </c>
      <c r="AP594" s="170" t="str">
        <f t="shared" si="320"/>
        <v>0.00414573763668653+0.166615097266801i</v>
      </c>
      <c r="AQ594" s="170" t="str">
        <f t="shared" si="321"/>
        <v>0.995854262363313-0.166615097266801i</v>
      </c>
      <c r="AR594" s="170" t="str">
        <f t="shared" si="322"/>
        <v>0.81369077594356+0.136137558378471i</v>
      </c>
    </row>
    <row r="595" spans="7:44">
      <c r="G595" s="688">
        <v>190550</v>
      </c>
      <c r="H595" s="676">
        <f t="shared" si="314"/>
        <v>190.55</v>
      </c>
      <c r="I595" s="677">
        <f t="shared" si="294"/>
        <v>1567.2149142570579</v>
      </c>
      <c r="J595" s="678">
        <f t="shared" si="295"/>
        <v>1.5701582521704405</v>
      </c>
      <c r="K595" s="678">
        <f t="shared" si="296"/>
        <v>1.0341074393413461</v>
      </c>
      <c r="L595" s="679">
        <f t="shared" si="297"/>
        <v>0.25754770527911591</v>
      </c>
      <c r="M595" s="678">
        <f t="shared" si="298"/>
        <v>1.4267641442101222</v>
      </c>
      <c r="N595" s="679">
        <f t="shared" si="299"/>
        <v>-0.79415645753058028</v>
      </c>
      <c r="O595" s="677">
        <f t="shared" si="300"/>
        <v>7901922.3288390636</v>
      </c>
      <c r="P595" s="680">
        <f t="shared" si="301"/>
        <v>1.5707962002434122</v>
      </c>
      <c r="Q595" s="689">
        <f t="shared" si="291"/>
        <v>316.078475043156</v>
      </c>
      <c r="R595" s="690">
        <f t="shared" si="292"/>
        <v>1.5676325502418984</v>
      </c>
      <c r="S595" s="677">
        <f t="shared" si="302"/>
        <v>1.7504698447527096</v>
      </c>
      <c r="T595" s="680">
        <f t="shared" si="303"/>
        <v>0.96273763291478065</v>
      </c>
      <c r="U595" s="681">
        <f t="shared" si="315"/>
        <v>0.1777487355711114</v>
      </c>
      <c r="V595" s="682">
        <f t="shared" si="316"/>
        <v>-2.4385137037592486</v>
      </c>
      <c r="W595" s="683">
        <f t="shared" si="304"/>
        <v>-60.391132938185244</v>
      </c>
      <c r="X595" s="684">
        <f t="shared" si="305"/>
        <v>-315.76746857920631</v>
      </c>
      <c r="Y595" s="687">
        <f t="shared" si="306"/>
        <v>-135.76746857920631</v>
      </c>
      <c r="AA595" s="170">
        <f t="shared" si="307"/>
        <v>190550</v>
      </c>
      <c r="AB595" s="170">
        <f t="shared" si="308"/>
        <v>36309302500</v>
      </c>
      <c r="AD595" s="686">
        <f t="shared" si="309"/>
        <v>12.283600727357129</v>
      </c>
      <c r="AE595" s="687">
        <f t="shared" si="310"/>
        <v>-55.342067000612886</v>
      </c>
      <c r="AG595" s="686">
        <f t="shared" si="311"/>
        <v>-1.6826340132028084</v>
      </c>
      <c r="AH595" s="687">
        <f t="shared" si="312"/>
        <v>19.007685761144703</v>
      </c>
      <c r="AJ595" s="170">
        <f t="shared" si="313"/>
        <v>0</v>
      </c>
      <c r="AK595" s="170">
        <f t="shared" si="293"/>
        <v>0</v>
      </c>
      <c r="AM595" s="170" t="str">
        <f t="shared" si="317"/>
        <v>0.536421684485674-0.886055949353595i</v>
      </c>
      <c r="AN595" s="170" t="str">
        <f t="shared" si="318"/>
        <v>5.1944184081734i</v>
      </c>
      <c r="AO595" s="170" t="str">
        <f t="shared" si="319"/>
        <v>-0.17057847091397-0.103268863294034i</v>
      </c>
      <c r="AP595" s="170" t="str">
        <f t="shared" si="320"/>
        <v>0.077263052585721+0.147675991558932i</v>
      </c>
      <c r="AQ595" s="170" t="str">
        <f t="shared" si="321"/>
        <v>0.922736947414279-0.147675991558932i</v>
      </c>
      <c r="AR595" s="170" t="str">
        <f t="shared" si="322"/>
        <v>0.880204299983745+0.140869012711351i</v>
      </c>
    </row>
    <row r="596" spans="7:44">
      <c r="G596" s="688">
        <v>208930</v>
      </c>
      <c r="H596" s="676">
        <f t="shared" si="314"/>
        <v>208.93</v>
      </c>
      <c r="I596" s="677">
        <f t="shared" si="294"/>
        <v>1718.384680261222</v>
      </c>
      <c r="J596" s="678">
        <f t="shared" si="295"/>
        <v>1.5702143848886811</v>
      </c>
      <c r="K596" s="678">
        <f t="shared" si="296"/>
        <v>1.0408687754095256</v>
      </c>
      <c r="L596" s="679">
        <f t="shared" si="297"/>
        <v>0.28115394151503298</v>
      </c>
      <c r="M596" s="678">
        <f t="shared" si="298"/>
        <v>1.4983609571800596</v>
      </c>
      <c r="N596" s="679">
        <f t="shared" si="299"/>
        <v>-0.84008983651996283</v>
      </c>
      <c r="O596" s="677">
        <f t="shared" si="300"/>
        <v>8664122.9712114576</v>
      </c>
      <c r="P596" s="680">
        <f t="shared" si="301"/>
        <v>1.5707962113764056</v>
      </c>
      <c r="Q596" s="689">
        <f t="shared" si="291"/>
        <v>346.56636157659176</v>
      </c>
      <c r="R596" s="690">
        <f t="shared" si="292"/>
        <v>1.5679108725254942</v>
      </c>
      <c r="S596" s="677">
        <f t="shared" si="302"/>
        <v>1.8658924424926471</v>
      </c>
      <c r="T596" s="680">
        <f t="shared" si="303"/>
        <v>1.0051796263275456</v>
      </c>
      <c r="U596" s="681">
        <f t="shared" si="315"/>
        <v>9.7809841923773483E-2</v>
      </c>
      <c r="V596" s="682">
        <f t="shared" si="316"/>
        <v>-2.740845455199461</v>
      </c>
      <c r="W596" s="683">
        <f t="shared" si="304"/>
        <v>-66.452204086279124</v>
      </c>
      <c r="X596" s="684">
        <f t="shared" si="305"/>
        <v>-336.78807023210828</v>
      </c>
      <c r="Y596" s="687">
        <f t="shared" si="306"/>
        <v>-156.78807023210828</v>
      </c>
      <c r="AA596" s="170">
        <f t="shared" si="307"/>
        <v>208930</v>
      </c>
      <c r="AB596" s="170">
        <f t="shared" si="308"/>
        <v>43651744900</v>
      </c>
      <c r="AD596" s="686">
        <f t="shared" si="309"/>
        <v>11.728953974164892</v>
      </c>
      <c r="AE596" s="687">
        <f t="shared" si="310"/>
        <v>-57.757868045725864</v>
      </c>
      <c r="AG596" s="686">
        <f t="shared" si="311"/>
        <v>3.1879001122397179</v>
      </c>
      <c r="AH596" s="687">
        <f t="shared" si="312"/>
        <v>35.047551933587883</v>
      </c>
      <c r="AJ596" s="170">
        <f t="shared" si="313"/>
        <v>0</v>
      </c>
      <c r="AK596" s="170">
        <f t="shared" si="293"/>
        <v>0</v>
      </c>
      <c r="AM596" s="170" t="str">
        <f t="shared" si="317"/>
        <v>0.167796110386158-0.55446973417094i</v>
      </c>
      <c r="AN596" s="170" t="str">
        <f t="shared" si="318"/>
        <v>5.6954596589854i</v>
      </c>
      <c r="AO596" s="170" t="str">
        <f t="shared" si="319"/>
        <v>-0.0973529385457388-0.0294613815974336i</v>
      </c>
      <c r="AP596" s="170" t="str">
        <f t="shared" si="320"/>
        <v>0.138700648268974+0.0924116223618233i</v>
      </c>
      <c r="AQ596" s="170" t="str">
        <f t="shared" si="321"/>
        <v>0.861299351731026-0.0924116223618233i</v>
      </c>
      <c r="AR596" s="170" t="str">
        <f t="shared" si="322"/>
        <v>0.956136523370906+0.102587012455679i</v>
      </c>
    </row>
    <row r="597" spans="7:44">
      <c r="G597" s="688">
        <v>229090</v>
      </c>
      <c r="H597" s="676">
        <f t="shared" si="314"/>
        <v>229.09</v>
      </c>
      <c r="I597" s="677">
        <f t="shared" si="294"/>
        <v>1884.1943961389118</v>
      </c>
      <c r="J597" s="678">
        <f t="shared" si="295"/>
        <v>1.5702655959695662</v>
      </c>
      <c r="K597" s="678">
        <f t="shared" si="296"/>
        <v>1.0489426586565112</v>
      </c>
      <c r="L597" s="679">
        <f t="shared" si="297"/>
        <v>0.30668051453334366</v>
      </c>
      <c r="M597" s="678">
        <f t="shared" si="298"/>
        <v>1.5801768298659919</v>
      </c>
      <c r="N597" s="679">
        <f t="shared" si="299"/>
        <v>-0.8855799456493888</v>
      </c>
      <c r="O597" s="677">
        <f t="shared" si="300"/>
        <v>9500138.4744882528</v>
      </c>
      <c r="P597" s="680">
        <f t="shared" si="301"/>
        <v>1.5707962215332731</v>
      </c>
      <c r="Q597" s="689">
        <f t="shared" si="291"/>
        <v>380.00685474754476</v>
      </c>
      <c r="R597" s="690">
        <f t="shared" si="292"/>
        <v>1.5681647922800059</v>
      </c>
      <c r="S597" s="677">
        <f t="shared" si="302"/>
        <v>1.9958852799511433</v>
      </c>
      <c r="T597" s="680">
        <f t="shared" si="303"/>
        <v>1.0460068754881142</v>
      </c>
      <c r="U597" s="681">
        <f t="shared" si="315"/>
        <v>6.1068008623313226E-3</v>
      </c>
      <c r="V597" s="682">
        <f t="shared" si="316"/>
        <v>-3.1148828128296078</v>
      </c>
      <c r="W597" s="683">
        <f t="shared" si="304"/>
        <v>-91.399771675544599</v>
      </c>
      <c r="X597" s="684">
        <f t="shared" si="305"/>
        <v>-361.69027389282564</v>
      </c>
      <c r="Y597" s="687">
        <f t="shared" si="306"/>
        <v>-181.69027389282564</v>
      </c>
      <c r="AA597" s="170">
        <f t="shared" si="307"/>
        <v>229090</v>
      </c>
      <c r="AB597" s="170">
        <f t="shared" si="308"/>
        <v>52482228100</v>
      </c>
      <c r="AD597" s="686">
        <f t="shared" si="309"/>
        <v>11.143968500043824</v>
      </c>
      <c r="AE597" s="687">
        <f t="shared" si="310"/>
        <v>-60.082549166088938</v>
      </c>
      <c r="AG597" s="686">
        <f t="shared" si="311"/>
        <v>27.008069947937837</v>
      </c>
      <c r="AH597" s="687">
        <f t="shared" si="312"/>
        <v>55.331553387075608</v>
      </c>
      <c r="AJ597" s="170">
        <f t="shared" si="313"/>
        <v>0</v>
      </c>
      <c r="AK597" s="170">
        <f t="shared" si="293"/>
        <v>0</v>
      </c>
      <c r="AM597" s="170" t="str">
        <f t="shared" si="317"/>
        <v>0.000728056338357042-0.0381520983785016i</v>
      </c>
      <c r="AN597" s="170" t="str">
        <f t="shared" si="318"/>
        <v>6.24502394714481i</v>
      </c>
      <c r="AO597" s="170" t="str">
        <f t="shared" si="319"/>
        <v>-0.00610919969265202-0.000116581832915133i</v>
      </c>
      <c r="AP597" s="170" t="str">
        <f t="shared" si="320"/>
        <v>0.166545323943607+0.0063586830630836i</v>
      </c>
      <c r="AQ597" s="170" t="str">
        <f t="shared" si="321"/>
        <v>0.833454676056393-0.0063586830630836i</v>
      </c>
      <c r="AR597" s="170" t="str">
        <f t="shared" si="322"/>
        <v>0.99939629695507+0.00762470292544941i</v>
      </c>
    </row>
    <row r="598" spans="7:44">
      <c r="G598" s="688">
        <v>251190</v>
      </c>
      <c r="H598" s="676">
        <f t="shared" si="314"/>
        <v>251.19</v>
      </c>
      <c r="I598" s="677">
        <f t="shared" si="294"/>
        <v>2065.9600120169143</v>
      </c>
      <c r="J598" s="678">
        <f t="shared" si="295"/>
        <v>1.5703122903018223</v>
      </c>
      <c r="K598" s="678">
        <f t="shared" si="296"/>
        <v>1.0585659253294368</v>
      </c>
      <c r="L598" s="679">
        <f t="shared" si="297"/>
        <v>0.33419617662260215</v>
      </c>
      <c r="M598" s="678">
        <f t="shared" si="298"/>
        <v>1.6732330861909088</v>
      </c>
      <c r="N598" s="679">
        <f t="shared" si="299"/>
        <v>-0.93023527341667567</v>
      </c>
      <c r="O598" s="677">
        <f t="shared" si="300"/>
        <v>10416603.882346248</v>
      </c>
      <c r="P598" s="680">
        <f t="shared" si="301"/>
        <v>1.570796230794318</v>
      </c>
      <c r="Q598" s="689">
        <f t="shared" si="291"/>
        <v>416.66535529935277</v>
      </c>
      <c r="R598" s="690">
        <f t="shared" si="292"/>
        <v>1.5683963169373694</v>
      </c>
      <c r="S598" s="677">
        <f t="shared" si="302"/>
        <v>2.1417196801065499</v>
      </c>
      <c r="T598" s="680">
        <f t="shared" si="303"/>
        <v>1.0849979527195703</v>
      </c>
      <c r="U598" s="681">
        <f t="shared" si="315"/>
        <v>7.842113383018888E-2</v>
      </c>
      <c r="V598" s="682">
        <f t="shared" si="316"/>
        <v>-0.38552000758534732</v>
      </c>
      <c r="W598" s="683">
        <f t="shared" si="304"/>
        <v>-70.063516337503515</v>
      </c>
      <c r="X598" s="684">
        <f t="shared" si="305"/>
        <v>-208.5147694200256</v>
      </c>
      <c r="Y598" s="687">
        <f t="shared" si="306"/>
        <v>-28.514769420025601</v>
      </c>
      <c r="AA598" s="170">
        <f t="shared" si="307"/>
        <v>251190</v>
      </c>
      <c r="AB598" s="170">
        <f t="shared" si="308"/>
        <v>63096416100</v>
      </c>
      <c r="AD598" s="686">
        <f t="shared" si="309"/>
        <v>10.531422396276277</v>
      </c>
      <c r="AE598" s="687">
        <f t="shared" si="310"/>
        <v>-62.303308477556243</v>
      </c>
      <c r="AG598" s="686">
        <f t="shared" si="311"/>
        <v>4.6120970341934351</v>
      </c>
      <c r="AH598" s="687">
        <f t="shared" si="312"/>
        <v>-102.03412218700558</v>
      </c>
      <c r="AJ598" s="170">
        <f t="shared" si="313"/>
        <v>0</v>
      </c>
      <c r="AK598" s="170">
        <f t="shared" si="293"/>
        <v>0</v>
      </c>
      <c r="AM598" s="170" t="str">
        <f t="shared" si="317"/>
        <v>0.155030176645751+0.534813984129706i</v>
      </c>
      <c r="AN598" s="170" t="str">
        <f t="shared" si="318"/>
        <v>6.84747289398623i</v>
      </c>
      <c r="AO598" s="170" t="str">
        <f t="shared" si="319"/>
        <v>0.078103848296998-0.0226404951207482i</v>
      </c>
      <c r="AP598" s="170" t="str">
        <f t="shared" si="320"/>
        <v>0.140828303892375-0.0891356640216177i</v>
      </c>
      <c r="AQ598" s="170" t="str">
        <f t="shared" si="321"/>
        <v>0.859171696107625+0.0891356640216177i</v>
      </c>
      <c r="AR598" s="170" t="str">
        <f t="shared" si="322"/>
        <v>0.959214202251277-0.0995146781999248i</v>
      </c>
    </row>
    <row r="599" spans="7:44">
      <c r="G599" s="688">
        <v>275420</v>
      </c>
      <c r="H599" s="676">
        <f t="shared" si="314"/>
        <v>275.42</v>
      </c>
      <c r="I599" s="677">
        <f t="shared" si="294"/>
        <v>2265.2442187084971</v>
      </c>
      <c r="J599" s="678">
        <f t="shared" si="295"/>
        <v>1.5703548732755712</v>
      </c>
      <c r="K599" s="678">
        <f t="shared" si="296"/>
        <v>1.0700199060122879</v>
      </c>
      <c r="L599" s="679">
        <f t="shared" si="297"/>
        <v>0.36377013820853704</v>
      </c>
      <c r="M599" s="678">
        <f t="shared" si="298"/>
        <v>1.7786673670554243</v>
      </c>
      <c r="N599" s="679">
        <f t="shared" si="299"/>
        <v>-0.97373013657014784</v>
      </c>
      <c r="O599" s="677">
        <f t="shared" si="300"/>
        <v>11421398.309151644</v>
      </c>
      <c r="P599" s="680">
        <f t="shared" si="301"/>
        <v>1.5707962392399428</v>
      </c>
      <c r="Q599" s="689">
        <f t="shared" ref="Q599:Q613" si="323">SQRT(1+(G599/Zero2)^2)</f>
        <v>456.85702680167424</v>
      </c>
      <c r="R599" s="690">
        <f t="shared" ref="R599:R613" si="324">ATAN(G599/Zero2)</f>
        <v>1.5686074564484631</v>
      </c>
      <c r="S599" s="677">
        <f t="shared" si="302"/>
        <v>2.3048517948538532</v>
      </c>
      <c r="T599" s="680">
        <f t="shared" si="303"/>
        <v>1.1220155380384502</v>
      </c>
      <c r="U599" s="681">
        <f t="shared" si="315"/>
        <v>0.13336631979719007</v>
      </c>
      <c r="V599" s="682">
        <f t="shared" si="316"/>
        <v>-0.77707809190798771</v>
      </c>
      <c r="W599" s="683">
        <f t="shared" si="304"/>
        <v>-66.26448467512003</v>
      </c>
      <c r="X599" s="684">
        <f t="shared" si="305"/>
        <v>-233.85829833397332</v>
      </c>
      <c r="Y599" s="687">
        <f t="shared" si="306"/>
        <v>-53.858298333973323</v>
      </c>
      <c r="AA599" s="170">
        <f t="shared" si="307"/>
        <v>275420</v>
      </c>
      <c r="AB599" s="170">
        <f t="shared" si="308"/>
        <v>75856176400</v>
      </c>
      <c r="AD599" s="686">
        <f t="shared" si="309"/>
        <v>9.8938106385591293</v>
      </c>
      <c r="AE599" s="687">
        <f t="shared" si="310"/>
        <v>-64.412162967527749</v>
      </c>
      <c r="AG599" s="686">
        <f t="shared" si="311"/>
        <v>-0.17578154483570532</v>
      </c>
      <c r="AH599" s="687">
        <f t="shared" si="312"/>
        <v>-80.399545227881447</v>
      </c>
      <c r="AJ599" s="170">
        <f t="shared" si="313"/>
        <v>0</v>
      </c>
      <c r="AK599" s="170">
        <f t="shared" ref="AK599:AK613" si="325">IF(AJ599&gt;0,Y599,0)</f>
        <v>0</v>
      </c>
      <c r="AM599" s="170" t="str">
        <f t="shared" si="317"/>
        <v>0.660866453137151+0.940738240634569i</v>
      </c>
      <c r="AN599" s="170" t="str">
        <f t="shared" si="318"/>
        <v>7.50798592484449i</v>
      </c>
      <c r="AO599" s="170" t="str">
        <f t="shared" si="319"/>
        <v>0.125298348991518-0.0880218023518523i</v>
      </c>
      <c r="AP599" s="170" t="str">
        <f t="shared" si="320"/>
        <v>0.0565222578104748-0.156789706772428i</v>
      </c>
      <c r="AQ599" s="170" t="str">
        <f t="shared" si="321"/>
        <v>0.943477742189525+0.156789706772428i</v>
      </c>
      <c r="AR599" s="170" t="str">
        <f t="shared" si="322"/>
        <v>0.859176102758939-0.142780230198998i</v>
      </c>
    </row>
    <row r="600" spans="7:44">
      <c r="G600" s="688">
        <v>302000</v>
      </c>
      <c r="H600" s="676">
        <f t="shared" si="314"/>
        <v>302</v>
      </c>
      <c r="I600" s="677">
        <f t="shared" si="294"/>
        <v>2483.8564477252858</v>
      </c>
      <c r="J600" s="678">
        <f t="shared" si="295"/>
        <v>1.5703937270279373</v>
      </c>
      <c r="K600" s="678">
        <f t="shared" si="296"/>
        <v>1.0836367178175665</v>
      </c>
      <c r="L600" s="679">
        <f t="shared" si="297"/>
        <v>0.3954625039901315</v>
      </c>
      <c r="M600" s="678">
        <f t="shared" si="298"/>
        <v>1.8977423374810583</v>
      </c>
      <c r="N600" s="679">
        <f t="shared" si="299"/>
        <v>-1.0157979451589338</v>
      </c>
      <c r="O600" s="677">
        <f t="shared" si="300"/>
        <v>12523644.939960042</v>
      </c>
      <c r="P600" s="680">
        <f t="shared" si="301"/>
        <v>1.5707962469459384</v>
      </c>
      <c r="Q600" s="689">
        <f t="shared" si="323"/>
        <v>500.94679570938189</v>
      </c>
      <c r="R600" s="690">
        <f t="shared" si="324"/>
        <v>1.5688001054941212</v>
      </c>
      <c r="S600" s="677">
        <f t="shared" si="302"/>
        <v>2.4869356668360658</v>
      </c>
      <c r="T600" s="680">
        <f t="shared" si="303"/>
        <v>1.1569856526313143</v>
      </c>
      <c r="U600" s="681">
        <f t="shared" si="315"/>
        <v>0.15609482193045746</v>
      </c>
      <c r="V600" s="682">
        <f t="shared" si="316"/>
        <v>-1.1195446967492626</v>
      </c>
      <c r="W600" s="683">
        <f t="shared" si="304"/>
        <v>-65.685614455527073</v>
      </c>
      <c r="X600" s="684">
        <f t="shared" si="305"/>
        <v>-256.06948711993073</v>
      </c>
      <c r="Y600" s="687">
        <f t="shared" si="306"/>
        <v>-76.069487119930727</v>
      </c>
      <c r="AA600" s="170">
        <f t="shared" si="307"/>
        <v>302000</v>
      </c>
      <c r="AB600" s="170">
        <f t="shared" si="308"/>
        <v>91204000000</v>
      </c>
      <c r="AD600" s="686">
        <f t="shared" si="309"/>
        <v>9.2333762170078266</v>
      </c>
      <c r="AE600" s="687">
        <f t="shared" si="310"/>
        <v>-66.40476540934219</v>
      </c>
      <c r="AG600" s="686">
        <f t="shared" si="311"/>
        <v>-1.6701700842728864</v>
      </c>
      <c r="AH600" s="687">
        <f t="shared" si="312"/>
        <v>-61.374349364022692</v>
      </c>
      <c r="AJ600" s="170">
        <f t="shared" si="313"/>
        <v>0</v>
      </c>
      <c r="AK600" s="170">
        <f t="shared" si="325"/>
        <v>0</v>
      </c>
      <c r="AM600" s="170" t="str">
        <f t="shared" si="317"/>
        <v>1.36960012384094+0.929190910661937i</v>
      </c>
      <c r="AN600" s="170" t="str">
        <f t="shared" si="318"/>
        <v>8.23256026905467i</v>
      </c>
      <c r="AO600" s="170" t="str">
        <f t="shared" si="319"/>
        <v>0.112867793285968-0.166363813817328i</v>
      </c>
      <c r="AP600" s="170" t="str">
        <f t="shared" si="320"/>
        <v>-0.061600020640157-0.15486515177699i</v>
      </c>
      <c r="AQ600" s="170" t="str">
        <f t="shared" si="321"/>
        <v>1.06160002064016+0.15486515177699i</v>
      </c>
      <c r="AR600" s="170" t="str">
        <f t="shared" si="322"/>
        <v>0.768314386733299-0.112080936134635i</v>
      </c>
    </row>
    <row r="601" spans="7:44">
      <c r="G601" s="688">
        <v>331130</v>
      </c>
      <c r="H601" s="676">
        <f t="shared" si="314"/>
        <v>331.13</v>
      </c>
      <c r="I601" s="677">
        <f t="shared" si="294"/>
        <v>2723.4416368324369</v>
      </c>
      <c r="J601" s="678">
        <f t="shared" si="295"/>
        <v>1.5704291443266012</v>
      </c>
      <c r="K601" s="678">
        <f t="shared" si="296"/>
        <v>1.0997766796597566</v>
      </c>
      <c r="L601" s="679">
        <f t="shared" si="297"/>
        <v>0.42925633906719085</v>
      </c>
      <c r="M601" s="678">
        <f t="shared" si="298"/>
        <v>2.0316202280613038</v>
      </c>
      <c r="N601" s="679">
        <f t="shared" si="299"/>
        <v>-1.0561603867821834</v>
      </c>
      <c r="O601" s="677">
        <f t="shared" si="300"/>
        <v>13731637.579367438</v>
      </c>
      <c r="P601" s="680">
        <f t="shared" si="301"/>
        <v>1.5707962539703704</v>
      </c>
      <c r="Q601" s="689">
        <f t="shared" si="323"/>
        <v>549.26641348051862</v>
      </c>
      <c r="R601" s="690">
        <f t="shared" si="324"/>
        <v>1.5689757156526623</v>
      </c>
      <c r="S601" s="677">
        <f t="shared" si="302"/>
        <v>2.6894828567459612</v>
      </c>
      <c r="T601" s="680">
        <f t="shared" si="303"/>
        <v>1.1898289193775138</v>
      </c>
      <c r="U601" s="681">
        <f t="shared" si="315"/>
        <v>0.15658097666956916</v>
      </c>
      <c r="V601" s="682">
        <f t="shared" si="316"/>
        <v>-1.4276837216942972</v>
      </c>
      <c r="W601" s="683">
        <f t="shared" si="304"/>
        <v>-66.418002021708816</v>
      </c>
      <c r="X601" s="684">
        <f t="shared" si="305"/>
        <v>-275.97465472094234</v>
      </c>
      <c r="Y601" s="687">
        <f t="shared" si="306"/>
        <v>-95.97465472094234</v>
      </c>
      <c r="AA601" s="170">
        <f t="shared" si="307"/>
        <v>331130</v>
      </c>
      <c r="AB601" s="170">
        <f t="shared" si="308"/>
        <v>109647076900</v>
      </c>
      <c r="AD601" s="686">
        <f t="shared" si="309"/>
        <v>8.5532887167767786</v>
      </c>
      <c r="AE601" s="687">
        <f t="shared" si="310"/>
        <v>-68.276484663006812</v>
      </c>
      <c r="AG601" s="686">
        <f t="shared" si="311"/>
        <v>-1.7764901905668793</v>
      </c>
      <c r="AH601" s="687">
        <f t="shared" si="312"/>
        <v>-44.097666405768216</v>
      </c>
      <c r="AJ601" s="170">
        <f t="shared" si="313"/>
        <v>0</v>
      </c>
      <c r="AK601" s="170">
        <f t="shared" si="325"/>
        <v>0</v>
      </c>
      <c r="AM601" s="170" t="str">
        <f t="shared" si="317"/>
        <v>1.92178759254831+0.387695285274396i</v>
      </c>
      <c r="AN601" s="170" t="str">
        <f t="shared" si="318"/>
        <v>9.02664795328501i</v>
      </c>
      <c r="AO601" s="170" t="str">
        <f t="shared" si="319"/>
        <v>0.0429500837166586-0.212901577916188i</v>
      </c>
      <c r="AP601" s="170" t="str">
        <f t="shared" si="320"/>
        <v>-0.153631265424718-0.064615880879066i</v>
      </c>
      <c r="AQ601" s="170" t="str">
        <f t="shared" si="321"/>
        <v>1.15363126542472+0.064615880879066i</v>
      </c>
      <c r="AR601" s="170" t="str">
        <f t="shared" si="322"/>
        <v>0.719809610158463-0.0403171562869204i</v>
      </c>
    </row>
    <row r="602" spans="7:44">
      <c r="G602" s="688">
        <v>363080</v>
      </c>
      <c r="H602" s="676">
        <f t="shared" si="314"/>
        <v>363.08</v>
      </c>
      <c r="I602" s="677">
        <f t="shared" si="294"/>
        <v>2986.2204520454497</v>
      </c>
      <c r="J602" s="678">
        <f t="shared" si="295"/>
        <v>1.5704614553295282</v>
      </c>
      <c r="K602" s="678">
        <f t="shared" si="296"/>
        <v>1.118878598516412</v>
      </c>
      <c r="L602" s="679">
        <f t="shared" si="297"/>
        <v>0.46515508046044324</v>
      </c>
      <c r="M602" s="678">
        <f t="shared" si="298"/>
        <v>2.1817709862913564</v>
      </c>
      <c r="N602" s="679">
        <f t="shared" si="299"/>
        <v>-1.0946661106175724</v>
      </c>
      <c r="O602" s="677">
        <f t="shared" si="300"/>
        <v>15056572.863578435</v>
      </c>
      <c r="P602" s="680">
        <f t="shared" si="301"/>
        <v>1.5707962603787202</v>
      </c>
      <c r="Q602" s="689">
        <f t="shared" si="323"/>
        <v>602.26374474476938</v>
      </c>
      <c r="R602" s="690">
        <f t="shared" si="324"/>
        <v>1.5691359239095901</v>
      </c>
      <c r="S602" s="677">
        <f t="shared" si="302"/>
        <v>2.9144858293466895</v>
      </c>
      <c r="T602" s="680">
        <f t="shared" si="303"/>
        <v>1.2205664968916632</v>
      </c>
      <c r="U602" s="681">
        <f t="shared" si="315"/>
        <v>0.14218727822805521</v>
      </c>
      <c r="V602" s="682">
        <f t="shared" si="316"/>
        <v>-1.7412135981492216</v>
      </c>
      <c r="W602" s="683">
        <f t="shared" si="304"/>
        <v>-67.984606899164334</v>
      </c>
      <c r="X602" s="684">
        <f t="shared" si="305"/>
        <v>-295.84176836529099</v>
      </c>
      <c r="Y602" s="687">
        <f t="shared" si="306"/>
        <v>-115.84176836529099</v>
      </c>
      <c r="AA602" s="170">
        <f t="shared" si="307"/>
        <v>363080</v>
      </c>
      <c r="AB602" s="170">
        <f t="shared" si="308"/>
        <v>131827086400</v>
      </c>
      <c r="AD602" s="686">
        <f t="shared" si="309"/>
        <v>7.8554229407040719</v>
      </c>
      <c r="AE602" s="687">
        <f t="shared" si="310"/>
        <v>-70.028439239231986</v>
      </c>
      <c r="AG602" s="686">
        <f t="shared" si="311"/>
        <v>-0.97009902491106614</v>
      </c>
      <c r="AH602" s="687">
        <f t="shared" si="312"/>
        <v>-26.284948088587623</v>
      </c>
      <c r="AJ602" s="170">
        <f t="shared" si="313"/>
        <v>0</v>
      </c>
      <c r="AK602" s="170">
        <f t="shared" si="325"/>
        <v>0</v>
      </c>
      <c r="AM602" s="170" t="str">
        <f t="shared" si="317"/>
        <v>1.89028248095936-0.455408722025453i</v>
      </c>
      <c r="AN602" s="170" t="str">
        <f t="shared" si="318"/>
        <v>9.89760921353764i</v>
      </c>
      <c r="AO602" s="170" t="str">
        <f t="shared" si="319"/>
        <v>-0.0460119926135858-0.19098374568819i</v>
      </c>
      <c r="AP602" s="170" t="str">
        <f t="shared" si="320"/>
        <v>-0.148380413493226+0.0759014536709088i</v>
      </c>
      <c r="AQ602" s="170" t="str">
        <f t="shared" si="321"/>
        <v>1.14838041349323-0.0759014536709088i</v>
      </c>
      <c r="AR602" s="170" t="str">
        <f t="shared" si="322"/>
        <v>0.722214423195412+0.0477342907790301i</v>
      </c>
    </row>
    <row r="603" spans="7:44">
      <c r="G603" s="688">
        <v>398110</v>
      </c>
      <c r="H603" s="676">
        <f t="shared" si="314"/>
        <v>398.11</v>
      </c>
      <c r="I603" s="677">
        <f t="shared" si="294"/>
        <v>3274.3313125188847</v>
      </c>
      <c r="J603" s="678">
        <f t="shared" si="295"/>
        <v>1.5704909209211164</v>
      </c>
      <c r="K603" s="678">
        <f t="shared" si="296"/>
        <v>1.1414195672330325</v>
      </c>
      <c r="L603" s="679">
        <f t="shared" si="297"/>
        <v>0.5030794627182118</v>
      </c>
      <c r="M603" s="678">
        <f t="shared" si="298"/>
        <v>2.34961272113964</v>
      </c>
      <c r="N603" s="679">
        <f t="shared" si="299"/>
        <v>-1.1311692264175335</v>
      </c>
      <c r="O603" s="677">
        <f t="shared" si="300"/>
        <v>16509232.738567831</v>
      </c>
      <c r="P603" s="680">
        <f t="shared" si="301"/>
        <v>1.5707962662227297</v>
      </c>
      <c r="Q603" s="689">
        <f t="shared" si="323"/>
        <v>660.37006669436357</v>
      </c>
      <c r="R603" s="690">
        <f t="shared" si="324"/>
        <v>1.5692820237811465</v>
      </c>
      <c r="S603" s="677">
        <f t="shared" si="302"/>
        <v>3.1638702401336363</v>
      </c>
      <c r="T603" s="680">
        <f t="shared" si="303"/>
        <v>1.2492135558742228</v>
      </c>
      <c r="U603" s="681">
        <f t="shared" si="315"/>
        <v>0.1118931482497387</v>
      </c>
      <c r="V603" s="682">
        <f t="shared" si="316"/>
        <v>-2.1249104711683735</v>
      </c>
      <c r="W603" s="683">
        <f t="shared" si="304"/>
        <v>-70.761913903937725</v>
      </c>
      <c r="X603" s="684">
        <f t="shared" si="305"/>
        <v>-319.37922051696654</v>
      </c>
      <c r="Y603" s="687">
        <f t="shared" si="306"/>
        <v>-139.37922051696654</v>
      </c>
      <c r="AA603" s="170">
        <f t="shared" si="307"/>
        <v>398110</v>
      </c>
      <c r="AB603" s="170">
        <f t="shared" si="308"/>
        <v>158491572100</v>
      </c>
      <c r="AD603" s="686">
        <f t="shared" si="309"/>
        <v>7.1422866182233848</v>
      </c>
      <c r="AE603" s="687">
        <f t="shared" si="310"/>
        <v>-71.661424245070435</v>
      </c>
      <c r="AG603" s="686">
        <f t="shared" si="311"/>
        <v>1.1280201943034935</v>
      </c>
      <c r="AH603" s="687">
        <f t="shared" si="312"/>
        <v>-4.220992311454391</v>
      </c>
      <c r="AJ603" s="170">
        <f t="shared" si="313"/>
        <v>0</v>
      </c>
      <c r="AK603" s="170">
        <f t="shared" si="325"/>
        <v>0</v>
      </c>
      <c r="AM603" s="170" t="str">
        <f t="shared" si="317"/>
        <v>1.14255529833355-0.989786839131048i</v>
      </c>
      <c r="AN603" s="170" t="str">
        <f t="shared" si="318"/>
        <v>10.8525316844813i</v>
      </c>
      <c r="AO603" s="170" t="str">
        <f t="shared" si="319"/>
        <v>-0.0912033125456252-0.105280070268522i</v>
      </c>
      <c r="AP603" s="170" t="str">
        <f t="shared" si="320"/>
        <v>-0.0237592163889258+0.164964473188508i</v>
      </c>
      <c r="AQ603" s="170" t="str">
        <f t="shared" si="321"/>
        <v>1.02375921638893-0.164964473188508i</v>
      </c>
      <c r="AR603" s="170" t="str">
        <f t="shared" si="322"/>
        <v>0.793075823090008+0.127793072101519i</v>
      </c>
    </row>
    <row r="604" spans="7:44">
      <c r="G604" s="688">
        <v>436520</v>
      </c>
      <c r="H604" s="676">
        <f t="shared" si="314"/>
        <v>436.52</v>
      </c>
      <c r="I604" s="677">
        <f t="shared" si="294"/>
        <v>3590.2416249935991</v>
      </c>
      <c r="J604" s="678">
        <f t="shared" si="295"/>
        <v>1.5705177940059143</v>
      </c>
      <c r="K604" s="678">
        <f t="shared" si="296"/>
        <v>1.1679443007179133</v>
      </c>
      <c r="L604" s="679">
        <f t="shared" si="297"/>
        <v>0.54291716583645155</v>
      </c>
      <c r="M604" s="678">
        <f t="shared" si="298"/>
        <v>2.5367457972975029</v>
      </c>
      <c r="N604" s="679">
        <f t="shared" si="299"/>
        <v>-1.1655927752825896</v>
      </c>
      <c r="O604" s="677">
        <f t="shared" si="300"/>
        <v>18102057.911229629</v>
      </c>
      <c r="P604" s="680">
        <f t="shared" si="301"/>
        <v>1.5707962715525587</v>
      </c>
      <c r="Q604" s="689">
        <f t="shared" si="323"/>
        <v>724.08300697807874</v>
      </c>
      <c r="R604" s="690">
        <f t="shared" si="324"/>
        <v>1.5694152692251848</v>
      </c>
      <c r="S604" s="677">
        <f t="shared" si="302"/>
        <v>3.4398467226158855</v>
      </c>
      <c r="T604" s="680">
        <f t="shared" si="303"/>
        <v>1.2758268683922676</v>
      </c>
      <c r="U604" s="681">
        <f t="shared" si="315"/>
        <v>5.2354010050555275E-2</v>
      </c>
      <c r="V604" s="682">
        <f t="shared" si="316"/>
        <v>-2.69014511447463</v>
      </c>
      <c r="W604" s="683">
        <f t="shared" si="304"/>
        <v>-78.020266428091091</v>
      </c>
      <c r="X604" s="684">
        <f t="shared" si="305"/>
        <v>-352.97330796732615</v>
      </c>
      <c r="Y604" s="687">
        <f t="shared" si="306"/>
        <v>-172.97330796732615</v>
      </c>
      <c r="AA604" s="170">
        <f t="shared" si="307"/>
        <v>436520</v>
      </c>
      <c r="AB604" s="170">
        <f t="shared" si="308"/>
        <v>190549710400</v>
      </c>
      <c r="AD604" s="686">
        <f t="shared" si="309"/>
        <v>6.4158763896829623</v>
      </c>
      <c r="AE604" s="687">
        <f t="shared" si="310"/>
        <v>-73.178620636744697</v>
      </c>
      <c r="AG604" s="686">
        <f t="shared" si="311"/>
        <v>7.7902195542481607</v>
      </c>
      <c r="AH604" s="687">
        <f t="shared" si="312"/>
        <v>28.473235695934022</v>
      </c>
      <c r="AJ604" s="170">
        <f t="shared" si="313"/>
        <v>0</v>
      </c>
      <c r="AK604" s="170">
        <f t="shared" si="325"/>
        <v>0</v>
      </c>
      <c r="AM604" s="170" t="str">
        <f t="shared" si="317"/>
        <v>0.214181099595875-0.61845667250637i</v>
      </c>
      <c r="AN604" s="170" t="str">
        <f t="shared" si="318"/>
        <v>11.8995934061184i</v>
      </c>
      <c r="AO604" s="170" t="str">
        <f t="shared" si="319"/>
        <v>-0.0519729247377796-0.0179990267134463i</v>
      </c>
      <c r="AP604" s="170" t="str">
        <f t="shared" si="320"/>
        <v>0.130969816734021+0.103076112084395i</v>
      </c>
      <c r="AQ604" s="170" t="str">
        <f t="shared" si="321"/>
        <v>0.869030183265979-0.103076112084395i</v>
      </c>
      <c r="AR604" s="170" t="str">
        <f t="shared" si="322"/>
        <v>0.945241691131782+0.112115597798658i</v>
      </c>
    </row>
    <row r="605" spans="7:44">
      <c r="G605" s="688">
        <v>478630</v>
      </c>
      <c r="H605" s="676">
        <f t="shared" si="314"/>
        <v>478.63</v>
      </c>
      <c r="I605" s="677">
        <f t="shared" si="294"/>
        <v>3936.5832900156506</v>
      </c>
      <c r="J605" s="678">
        <f t="shared" si="295"/>
        <v>1.5705422993967488</v>
      </c>
      <c r="K605" s="678">
        <f t="shared" si="296"/>
        <v>1.1990532126286451</v>
      </c>
      <c r="L605" s="679">
        <f t="shared" si="297"/>
        <v>0.58449408754562537</v>
      </c>
      <c r="M605" s="678">
        <f t="shared" si="298"/>
        <v>2.7448634160108187</v>
      </c>
      <c r="N605" s="679">
        <f t="shared" si="299"/>
        <v>-1.1978971906446831</v>
      </c>
      <c r="O605" s="677">
        <f t="shared" si="300"/>
        <v>19848318.468917426</v>
      </c>
      <c r="P605" s="680">
        <f t="shared" si="301"/>
        <v>1.570796276412795</v>
      </c>
      <c r="Q605" s="689">
        <f t="shared" si="323"/>
        <v>793.93336853271774</v>
      </c>
      <c r="R605" s="690">
        <f t="shared" si="324"/>
        <v>1.5695367749180684</v>
      </c>
      <c r="S605" s="677">
        <f t="shared" si="302"/>
        <v>3.744773751205972</v>
      </c>
      <c r="T605" s="680">
        <f t="shared" si="303"/>
        <v>1.3004773644956571</v>
      </c>
      <c r="U605" s="681">
        <f t="shared" si="315"/>
        <v>3.5551357675176601E-2</v>
      </c>
      <c r="V605" s="682">
        <f t="shared" si="316"/>
        <v>-0.33083177219630944</v>
      </c>
      <c r="W605" s="683">
        <f t="shared" si="304"/>
        <v>-82.006585949856031</v>
      </c>
      <c r="X605" s="684">
        <f t="shared" si="305"/>
        <v>-218.67014723339446</v>
      </c>
      <c r="Y605" s="687">
        <f t="shared" si="306"/>
        <v>-38.670147233394459</v>
      </c>
      <c r="AA605" s="170">
        <f t="shared" si="307"/>
        <v>478630</v>
      </c>
      <c r="AB605" s="170">
        <f t="shared" si="308"/>
        <v>229086676900</v>
      </c>
      <c r="AD605" s="686">
        <f t="shared" si="309"/>
        <v>5.6781451392669302</v>
      </c>
      <c r="AE605" s="687">
        <f t="shared" si="310"/>
        <v>-74.584028543060484</v>
      </c>
      <c r="AG605" s="686">
        <f t="shared" si="311"/>
        <v>11.265381735963151</v>
      </c>
      <c r="AH605" s="687">
        <f t="shared" si="312"/>
        <v>-106.17559009565082</v>
      </c>
      <c r="AJ605" s="170">
        <f t="shared" si="313"/>
        <v>0</v>
      </c>
      <c r="AK605" s="170">
        <f t="shared" si="325"/>
        <v>0</v>
      </c>
      <c r="AM605" s="170" t="str">
        <f t="shared" si="317"/>
        <v>0.113535324416072+0.462796260725907i</v>
      </c>
      <c r="AN605" s="170" t="str">
        <f t="shared" si="318"/>
        <v>13.047517621118i</v>
      </c>
      <c r="AO605" s="170" t="str">
        <f t="shared" si="319"/>
        <v>0.0354700621347964-0.0087016800983131i</v>
      </c>
      <c r="AP605" s="170" t="str">
        <f t="shared" si="320"/>
        <v>0.147744112597321-0.0771327101209845i</v>
      </c>
      <c r="AQ605" s="170" t="str">
        <f t="shared" si="321"/>
        <v>0.852255887402679+0.0771327101209845i</v>
      </c>
      <c r="AR605" s="170" t="str">
        <f t="shared" si="322"/>
        <v>0.969465086183698-0.0877406311535295i</v>
      </c>
    </row>
    <row r="606" spans="7:44">
      <c r="G606" s="688">
        <v>524810</v>
      </c>
      <c r="H606" s="676">
        <f t="shared" si="314"/>
        <v>524.80999999999995</v>
      </c>
      <c r="I606" s="677">
        <f t="shared" si="294"/>
        <v>4316.3994426138242</v>
      </c>
      <c r="J606" s="678">
        <f t="shared" si="295"/>
        <v>1.5705646522193064</v>
      </c>
      <c r="K606" s="678">
        <f t="shared" si="296"/>
        <v>1.2354233414167757</v>
      </c>
      <c r="L606" s="679">
        <f t="shared" si="297"/>
        <v>0.62759998796289207</v>
      </c>
      <c r="M606" s="678">
        <f t="shared" si="298"/>
        <v>2.975904184056021</v>
      </c>
      <c r="N606" s="679">
        <f t="shared" si="299"/>
        <v>-1.2280952509757967</v>
      </c>
      <c r="O606" s="677">
        <f t="shared" si="300"/>
        <v>21763357.950133823</v>
      </c>
      <c r="P606" s="680">
        <f t="shared" si="301"/>
        <v>1.5707962808461049</v>
      </c>
      <c r="Q606" s="689">
        <f t="shared" si="323"/>
        <v>870.53489236505811</v>
      </c>
      <c r="R606" s="690">
        <f t="shared" si="324"/>
        <v>1.5696476075089767</v>
      </c>
      <c r="S606" s="677">
        <f t="shared" si="302"/>
        <v>4.0813777825414812</v>
      </c>
      <c r="T606" s="680">
        <f t="shared" si="303"/>
        <v>1.3232608537302759</v>
      </c>
      <c r="U606" s="681">
        <f t="shared" si="315"/>
        <v>8.5493067731638936E-2</v>
      </c>
      <c r="V606" s="682">
        <f t="shared" si="316"/>
        <v>-1.0284706667904107</v>
      </c>
      <c r="W606" s="683">
        <f t="shared" si="304"/>
        <v>-74.971249795695798</v>
      </c>
      <c r="X606" s="684">
        <f t="shared" si="305"/>
        <v>-259.20267531699398</v>
      </c>
      <c r="Y606" s="687">
        <f t="shared" si="306"/>
        <v>-79.202675316993975</v>
      </c>
      <c r="AA606" s="170">
        <f t="shared" si="307"/>
        <v>524810</v>
      </c>
      <c r="AB606" s="170">
        <f t="shared" si="308"/>
        <v>275425536100</v>
      </c>
      <c r="AD606" s="686">
        <f t="shared" si="309"/>
        <v>4.9305197390262947</v>
      </c>
      <c r="AE606" s="687">
        <f t="shared" si="310"/>
        <v>-75.883076334588665</v>
      </c>
      <c r="AG606" s="686">
        <f t="shared" si="311"/>
        <v>3.8053548759654872</v>
      </c>
      <c r="AH606" s="687">
        <f t="shared" si="312"/>
        <v>-65.46554172754513</v>
      </c>
      <c r="AJ606" s="170">
        <f t="shared" si="313"/>
        <v>0</v>
      </c>
      <c r="AK606" s="170">
        <f t="shared" si="325"/>
        <v>0</v>
      </c>
      <c r="AM606" s="170" t="str">
        <f t="shared" si="317"/>
        <v>1.168417127264+0.985715816675446i</v>
      </c>
      <c r="AN606" s="170" t="str">
        <f t="shared" si="318"/>
        <v>14.3063905788165i</v>
      </c>
      <c r="AO606" s="170" t="str">
        <f t="shared" si="319"/>
        <v>0.0689003848486422-0.0816709931709873i</v>
      </c>
      <c r="AP606" s="170" t="str">
        <f t="shared" si="320"/>
        <v>-0.0280695212106662-0.164285969445908i</v>
      </c>
      <c r="AQ606" s="170" t="str">
        <f t="shared" si="321"/>
        <v>1.02806952121067+0.164285969445908i</v>
      </c>
      <c r="AR606" s="170" t="str">
        <f t="shared" si="322"/>
        <v>0.790080839423793-0.12625527162066i</v>
      </c>
    </row>
    <row r="607" spans="7:44">
      <c r="G607" s="688">
        <v>575440</v>
      </c>
      <c r="H607" s="676">
        <f t="shared" si="314"/>
        <v>575.44000000000005</v>
      </c>
      <c r="I607" s="677">
        <f t="shared" si="294"/>
        <v>4732.8154647282499</v>
      </c>
      <c r="J607" s="678">
        <f t="shared" si="295"/>
        <v>1.5705850360706135</v>
      </c>
      <c r="K607" s="678">
        <f t="shared" si="296"/>
        <v>1.27777569190532</v>
      </c>
      <c r="L607" s="679">
        <f t="shared" si="297"/>
        <v>0.67194884425064771</v>
      </c>
      <c r="M607" s="678">
        <f t="shared" si="298"/>
        <v>3.2318581200397176</v>
      </c>
      <c r="N607" s="679">
        <f t="shared" si="299"/>
        <v>-1.2562137879923396</v>
      </c>
      <c r="O607" s="677">
        <f t="shared" si="300"/>
        <v>23862934.583611224</v>
      </c>
      <c r="P607" s="680">
        <f t="shared" si="301"/>
        <v>1.5707962848889023</v>
      </c>
      <c r="Q607" s="689">
        <f t="shared" si="323"/>
        <v>954.51790716923267</v>
      </c>
      <c r="R607" s="690">
        <f t="shared" si="324"/>
        <v>1.5697486773213587</v>
      </c>
      <c r="S607" s="677">
        <f t="shared" si="302"/>
        <v>4.4524657369337328</v>
      </c>
      <c r="T607" s="680">
        <f t="shared" si="303"/>
        <v>1.3442692841144159</v>
      </c>
      <c r="U607" s="681">
        <f t="shared" si="315"/>
        <v>9.1030621694828645E-2</v>
      </c>
      <c r="V607" s="682">
        <f t="shared" si="316"/>
        <v>-1.563156134779508</v>
      </c>
      <c r="W607" s="683">
        <f t="shared" si="304"/>
        <v>-74.972510033136857</v>
      </c>
      <c r="X607" s="684">
        <f t="shared" si="305"/>
        <v>-290.10703890247487</v>
      </c>
      <c r="Y607" s="687">
        <f t="shared" si="306"/>
        <v>-110.10703890247487</v>
      </c>
      <c r="AA607" s="170">
        <f t="shared" si="307"/>
        <v>575440</v>
      </c>
      <c r="AB607" s="170">
        <f t="shared" si="308"/>
        <v>331131193600</v>
      </c>
      <c r="AD607" s="686">
        <f t="shared" si="309"/>
        <v>4.1746429728864189</v>
      </c>
      <c r="AE607" s="687">
        <f t="shared" si="310"/>
        <v>-77.080980089112671</v>
      </c>
      <c r="AG607" s="686">
        <f t="shared" si="311"/>
        <v>3.4697070969324169</v>
      </c>
      <c r="AH607" s="687">
        <f t="shared" si="312"/>
        <v>-33.901560122985238</v>
      </c>
      <c r="AJ607" s="170">
        <f t="shared" si="313"/>
        <v>0</v>
      </c>
      <c r="AK607" s="170">
        <f t="shared" si="325"/>
        <v>0</v>
      </c>
      <c r="AM607" s="170" t="str">
        <f t="shared" si="317"/>
        <v>1.99977119694017+0.0213905065116961i</v>
      </c>
      <c r="AN607" s="170" t="str">
        <f t="shared" si="318"/>
        <v>15.6865711298835i</v>
      </c>
      <c r="AO607" s="170" t="str">
        <f t="shared" si="319"/>
        <v>0.00136361900472605-0.127483003161254i</v>
      </c>
      <c r="AP607" s="170" t="str">
        <f t="shared" si="320"/>
        <v>-0.166628532823361-0.00356508441861602i</v>
      </c>
      <c r="AQ607" s="170" t="str">
        <f t="shared" si="321"/>
        <v>1.16662853282336+0.00356508441861602i</v>
      </c>
      <c r="AR607" s="170" t="str">
        <f t="shared" si="322"/>
        <v>0.714016670871343-0.00218195392649541i</v>
      </c>
    </row>
    <row r="608" spans="7:44">
      <c r="G608" s="688">
        <v>630960</v>
      </c>
      <c r="H608" s="676">
        <f t="shared" si="314"/>
        <v>630.96</v>
      </c>
      <c r="I608" s="677">
        <f t="shared" si="294"/>
        <v>5189.450219675713</v>
      </c>
      <c r="J608" s="678">
        <f t="shared" si="295"/>
        <v>1.5706036281536422</v>
      </c>
      <c r="K608" s="678">
        <f t="shared" si="296"/>
        <v>1.3269106345203403</v>
      </c>
      <c r="L608" s="679">
        <f t="shared" si="297"/>
        <v>0.71722860485826179</v>
      </c>
      <c r="M608" s="678">
        <f t="shared" si="298"/>
        <v>3.5150204513185765</v>
      </c>
      <c r="N608" s="679">
        <f t="shared" si="299"/>
        <v>-1.2823184115133488</v>
      </c>
      <c r="O608" s="677">
        <f t="shared" si="300"/>
        <v>26165294.739460818</v>
      </c>
      <c r="P608" s="680">
        <f t="shared" si="301"/>
        <v>1.5707962885763322</v>
      </c>
      <c r="Q608" s="689">
        <f t="shared" si="323"/>
        <v>1046.6122673103771</v>
      </c>
      <c r="R608" s="690">
        <f t="shared" si="324"/>
        <v>1.5698408629776019</v>
      </c>
      <c r="S608" s="677">
        <f t="shared" si="302"/>
        <v>4.8612913592412079</v>
      </c>
      <c r="T608" s="680">
        <f t="shared" si="303"/>
        <v>1.3636105729997627</v>
      </c>
      <c r="U608" s="681">
        <f t="shared" si="315"/>
        <v>6.9286391469996961E-2</v>
      </c>
      <c r="V608" s="682">
        <f t="shared" si="316"/>
        <v>-2.1542870146357216</v>
      </c>
      <c r="W608" s="683">
        <f t="shared" si="304"/>
        <v>-77.849106578409277</v>
      </c>
      <c r="X608" s="684">
        <f t="shared" si="305"/>
        <v>-323.98164690375432</v>
      </c>
      <c r="Y608" s="687">
        <f t="shared" si="306"/>
        <v>-143.98164690375432</v>
      </c>
      <c r="AA608" s="170">
        <f t="shared" si="307"/>
        <v>630960</v>
      </c>
      <c r="AB608" s="170">
        <f t="shared" si="308"/>
        <v>398110521600</v>
      </c>
      <c r="AD608" s="686">
        <f t="shared" si="309"/>
        <v>3.4116208714927243</v>
      </c>
      <c r="AE608" s="687">
        <f t="shared" si="310"/>
        <v>-78.183872676086352</v>
      </c>
      <c r="AG608" s="686">
        <f t="shared" si="311"/>
        <v>6.0977152726230157</v>
      </c>
      <c r="AH608" s="687">
        <f t="shared" si="312"/>
        <v>1.0653336513435725</v>
      </c>
      <c r="AJ608" s="170">
        <f t="shared" si="313"/>
        <v>0</v>
      </c>
      <c r="AK608" s="170">
        <f t="shared" si="325"/>
        <v>0</v>
      </c>
      <c r="AM608" s="170" t="str">
        <f t="shared" si="317"/>
        <v>1.0786246281978-0.99690429221704i</v>
      </c>
      <c r="AN608" s="170" t="str">
        <f t="shared" si="318"/>
        <v>17.2000537329892i</v>
      </c>
      <c r="AO608" s="170" t="str">
        <f t="shared" si="319"/>
        <v>-0.0579593708073718-0.0627105382891351i</v>
      </c>
      <c r="AP608" s="170" t="str">
        <f t="shared" si="320"/>
        <v>-0.0131041046996336+0.166150715369507i</v>
      </c>
      <c r="AQ608" s="170" t="str">
        <f t="shared" si="321"/>
        <v>1.01310410469963-0.166150715369507i</v>
      </c>
      <c r="AR608" s="170" t="str">
        <f t="shared" si="322"/>
        <v>0.800689695576607+0.131314407958587i</v>
      </c>
    </row>
    <row r="609" spans="7:44">
      <c r="G609" s="688">
        <v>691830</v>
      </c>
      <c r="H609" s="676">
        <f t="shared" si="314"/>
        <v>691.83</v>
      </c>
      <c r="I609" s="677">
        <f t="shared" si="294"/>
        <v>5690.0870645757086</v>
      </c>
      <c r="J609" s="678">
        <f t="shared" si="295"/>
        <v>1.5706205825586839</v>
      </c>
      <c r="K609" s="678">
        <f t="shared" si="296"/>
        <v>1.3836699282104066</v>
      </c>
      <c r="L609" s="679">
        <f t="shared" si="297"/>
        <v>0.76307274262958014</v>
      </c>
      <c r="M609" s="678">
        <f t="shared" si="298"/>
        <v>3.8277934615082323</v>
      </c>
      <c r="N609" s="679">
        <f t="shared" si="299"/>
        <v>-1.3064823659159865</v>
      </c>
      <c r="O609" s="677">
        <f t="shared" si="300"/>
        <v>28689514.168253422</v>
      </c>
      <c r="P609" s="680">
        <f t="shared" si="301"/>
        <v>1.570796291938956</v>
      </c>
      <c r="Q609" s="689">
        <f t="shared" si="323"/>
        <v>1147.58100242931</v>
      </c>
      <c r="R609" s="690">
        <f t="shared" si="324"/>
        <v>1.5699249285019317</v>
      </c>
      <c r="S609" s="677">
        <f t="shared" si="302"/>
        <v>5.3112642600433322</v>
      </c>
      <c r="T609" s="680">
        <f t="shared" si="303"/>
        <v>1.3813867238433903</v>
      </c>
      <c r="U609" s="681">
        <f t="shared" si="315"/>
        <v>5.2059224472169154E-4</v>
      </c>
      <c r="V609" s="682">
        <f t="shared" si="316"/>
        <v>-6.8754364886255345E-3</v>
      </c>
      <c r="W609" s="683">
        <f t="shared" si="304"/>
        <v>-120.79675928237053</v>
      </c>
      <c r="X609" s="684">
        <f t="shared" si="305"/>
        <v>-200.71649687955039</v>
      </c>
      <c r="Y609" s="687">
        <f t="shared" si="306"/>
        <v>-20.716496879550391</v>
      </c>
      <c r="AA609" s="170">
        <f t="shared" si="307"/>
        <v>691830</v>
      </c>
      <c r="AB609" s="170">
        <f t="shared" si="308"/>
        <v>478628748900</v>
      </c>
      <c r="AD609" s="686">
        <f t="shared" si="309"/>
        <v>2.6426950239260489</v>
      </c>
      <c r="AE609" s="687">
        <f t="shared" si="310"/>
        <v>-79.197554689489934</v>
      </c>
      <c r="AG609" s="686">
        <f t="shared" si="311"/>
        <v>48.884998382168526</v>
      </c>
      <c r="AH609" s="687">
        <f t="shared" si="312"/>
        <v>-120.7310752029432</v>
      </c>
      <c r="AJ609" s="170">
        <f t="shared" si="313"/>
        <v>0</v>
      </c>
      <c r="AK609" s="170">
        <f t="shared" si="325"/>
        <v>0</v>
      </c>
      <c r="AM609" s="170" t="str">
        <f t="shared" si="317"/>
        <v>0.0000482367107520476+0.00982197000218481i</v>
      </c>
      <c r="AN609" s="170" t="str">
        <f t="shared" si="318"/>
        <v>18.8593780494705i</v>
      </c>
      <c r="AO609" s="170" t="str">
        <f t="shared" si="319"/>
        <v>0.000520800313585133-2.55770421620038E-06i</v>
      </c>
      <c r="AP609" s="170" t="str">
        <f t="shared" si="320"/>
        <v>0.166658627214875-0.00163699500036414i</v>
      </c>
      <c r="AQ609" s="170" t="str">
        <f t="shared" si="321"/>
        <v>0.833341372785125+0.00163699500036414i</v>
      </c>
      <c r="AR609" s="170" t="str">
        <f t="shared" si="322"/>
        <v>0.999586499436088-0.00196356277924808i</v>
      </c>
    </row>
    <row r="610" spans="7:44">
      <c r="G610" s="688">
        <v>758580</v>
      </c>
      <c r="H610" s="676">
        <f t="shared" si="314"/>
        <v>758.58</v>
      </c>
      <c r="I610" s="677">
        <f t="shared" si="294"/>
        <v>6239.0850848200216</v>
      </c>
      <c r="J610" s="678">
        <f t="shared" si="295"/>
        <v>1.5706360468835496</v>
      </c>
      <c r="K610" s="678">
        <f t="shared" si="296"/>
        <v>1.4489761909202112</v>
      </c>
      <c r="L610" s="679">
        <f t="shared" si="297"/>
        <v>0.80911042901167274</v>
      </c>
      <c r="M610" s="678">
        <f t="shared" si="298"/>
        <v>4.1729448134501341</v>
      </c>
      <c r="N610" s="679">
        <f t="shared" si="299"/>
        <v>-1.3288024068354312</v>
      </c>
      <c r="O610" s="677">
        <f t="shared" si="300"/>
        <v>31457571.452168416</v>
      </c>
      <c r="P610" s="680">
        <f t="shared" si="301"/>
        <v>1.5707962950060472</v>
      </c>
      <c r="Q610" s="689">
        <f t="shared" si="323"/>
        <v>1258.3032554472902</v>
      </c>
      <c r="R610" s="690">
        <f t="shared" si="324"/>
        <v>1.5700016057283059</v>
      </c>
      <c r="S610" s="677">
        <f t="shared" si="302"/>
        <v>5.8063197307313654</v>
      </c>
      <c r="T610" s="680">
        <f t="shared" si="303"/>
        <v>1.3977071992969725</v>
      </c>
      <c r="U610" s="681">
        <f t="shared" si="315"/>
        <v>6.0510525514884735E-2</v>
      </c>
      <c r="V610" s="682">
        <f t="shared" si="316"/>
        <v>-1.0680408214628665</v>
      </c>
      <c r="W610" s="683">
        <f t="shared" si="304"/>
        <v>-79.913738057828269</v>
      </c>
      <c r="X610" s="684">
        <f t="shared" si="305"/>
        <v>-261.08946118589876</v>
      </c>
      <c r="Y610" s="687">
        <f t="shared" si="306"/>
        <v>-81.089461185898756</v>
      </c>
      <c r="AA610" s="170">
        <f t="shared" si="307"/>
        <v>758580</v>
      </c>
      <c r="AB610" s="170">
        <f t="shared" si="308"/>
        <v>575443616400</v>
      </c>
      <c r="AD610" s="686">
        <f t="shared" si="309"/>
        <v>1.8686337313743342</v>
      </c>
      <c r="AE610" s="687">
        <f t="shared" si="310"/>
        <v>-80.128255947965911</v>
      </c>
      <c r="AG610" s="686">
        <f t="shared" si="311"/>
        <v>7.9287516778088438</v>
      </c>
      <c r="AH610" s="687">
        <f t="shared" si="312"/>
        <v>-58.572742263068214</v>
      </c>
      <c r="AJ610" s="170">
        <f t="shared" si="313"/>
        <v>0</v>
      </c>
      <c r="AK610" s="170">
        <f t="shared" si="325"/>
        <v>0</v>
      </c>
      <c r="AM610" s="170" t="str">
        <f t="shared" si="317"/>
        <v>1.25576573576663+0.966738790163999i</v>
      </c>
      <c r="AN610" s="170" t="str">
        <f t="shared" si="318"/>
        <v>20.6789919499983i</v>
      </c>
      <c r="AO610" s="170" t="str">
        <f t="shared" si="319"/>
        <v>0.0467498025291353-0.0607266417436143i</v>
      </c>
      <c r="AP610" s="170" t="str">
        <f t="shared" si="320"/>
        <v>-0.0426276226277725-0.161123131694i</v>
      </c>
      <c r="AQ610" s="170" t="str">
        <f t="shared" si="321"/>
        <v>1.04262762262777+0.161123131694i</v>
      </c>
      <c r="AR610" s="170" t="str">
        <f t="shared" si="322"/>
        <v>0.780308213391558-0.120585432708302i</v>
      </c>
    </row>
    <row r="611" spans="7:44">
      <c r="G611" s="688">
        <v>831760</v>
      </c>
      <c r="H611" s="676">
        <f t="shared" si="314"/>
        <v>831.76</v>
      </c>
      <c r="I611" s="677">
        <f t="shared" si="294"/>
        <v>6840.9678596016247</v>
      </c>
      <c r="J611" s="678">
        <f t="shared" si="295"/>
        <v>1.5706501486481659</v>
      </c>
      <c r="K611" s="678">
        <f t="shared" si="296"/>
        <v>1.5237807526375562</v>
      </c>
      <c r="L611" s="679">
        <f t="shared" si="297"/>
        <v>0.85494184467791867</v>
      </c>
      <c r="M611" s="678">
        <f t="shared" si="298"/>
        <v>4.5533530751222893</v>
      </c>
      <c r="N611" s="679">
        <f t="shared" si="299"/>
        <v>-1.3493730494505778</v>
      </c>
      <c r="O611" s="677">
        <f t="shared" si="300"/>
        <v>34492274.553844817</v>
      </c>
      <c r="P611" s="680">
        <f t="shared" si="301"/>
        <v>1.5707962978028973</v>
      </c>
      <c r="Q611" s="689">
        <f t="shared" si="323"/>
        <v>1379.6913445537357</v>
      </c>
      <c r="R611" s="690">
        <f t="shared" si="324"/>
        <v>1.570071526939115</v>
      </c>
      <c r="S611" s="677">
        <f t="shared" si="302"/>
        <v>6.3505501912951612</v>
      </c>
      <c r="T611" s="680">
        <f t="shared" si="303"/>
        <v>1.4126715345059444</v>
      </c>
      <c r="U611" s="681">
        <f t="shared" si="315"/>
        <v>6.1044965569104014E-2</v>
      </c>
      <c r="V611" s="682">
        <f t="shared" si="316"/>
        <v>-1.8193207476809066</v>
      </c>
      <c r="W611" s="683">
        <f t="shared" si="304"/>
        <v>-80.22050248969073</v>
      </c>
      <c r="X611" s="684">
        <f t="shared" si="305"/>
        <v>-303.54148974879428</v>
      </c>
      <c r="Y611" s="687">
        <f t="shared" si="306"/>
        <v>-123.54148974879428</v>
      </c>
      <c r="AA611" s="170">
        <f t="shared" si="307"/>
        <v>831760</v>
      </c>
      <c r="AB611" s="170">
        <f t="shared" si="308"/>
        <v>691824697600</v>
      </c>
      <c r="AD611" s="686">
        <f t="shared" si="309"/>
        <v>1.0904251540737433</v>
      </c>
      <c r="AE611" s="687">
        <f t="shared" si="310"/>
        <v>-80.981643169604041</v>
      </c>
      <c r="AG611" s="686">
        <f t="shared" si="311"/>
        <v>8.2474386849311134</v>
      </c>
      <c r="AH611" s="687">
        <f t="shared" si="312"/>
        <v>-14.08104549556586</v>
      </c>
      <c r="AJ611" s="170">
        <f t="shared" si="313"/>
        <v>0</v>
      </c>
      <c r="AK611" s="170">
        <f t="shared" si="325"/>
        <v>0</v>
      </c>
      <c r="AM611" s="170" t="str">
        <f t="shared" si="317"/>
        <v>1.77584695157969-0.630921158089109i</v>
      </c>
      <c r="AN611" s="170" t="str">
        <f t="shared" si="318"/>
        <v>22.6738885079103i</v>
      </c>
      <c r="AO611" s="170" t="str">
        <f t="shared" si="319"/>
        <v>-0.0278258913493818-0.0783212350612091i</v>
      </c>
      <c r="AP611" s="170" t="str">
        <f t="shared" si="320"/>
        <v>-0.129307825263282+0.105153526348185i</v>
      </c>
      <c r="AQ611" s="170" t="str">
        <f t="shared" si="321"/>
        <v>1.12930782526328-0.105153526348185i</v>
      </c>
      <c r="AR611" s="170" t="str">
        <f t="shared" si="322"/>
        <v>0.731279714079631+0.0680918337428845i</v>
      </c>
    </row>
    <row r="612" spans="7:44">
      <c r="G612" s="688">
        <v>912010</v>
      </c>
      <c r="H612" s="676">
        <f t="shared" si="314"/>
        <v>912.01</v>
      </c>
      <c r="I612" s="677">
        <f t="shared" si="294"/>
        <v>7500.9991901757621</v>
      </c>
      <c r="J612" s="678">
        <f t="shared" si="295"/>
        <v>1.5706630112221831</v>
      </c>
      <c r="K612" s="678">
        <f t="shared" si="296"/>
        <v>1.6091283970456143</v>
      </c>
      <c r="L612" s="679">
        <f t="shared" si="297"/>
        <v>0.90019852230715536</v>
      </c>
      <c r="M612" s="678">
        <f t="shared" si="298"/>
        <v>4.9723721374434309</v>
      </c>
      <c r="N612" s="679">
        <f t="shared" si="299"/>
        <v>-1.3683041047415396</v>
      </c>
      <c r="O612" s="677">
        <f t="shared" si="300"/>
        <v>37820163.647989817</v>
      </c>
      <c r="P612" s="680">
        <f t="shared" si="301"/>
        <v>1.5707963003539744</v>
      </c>
      <c r="Q612" s="689">
        <f t="shared" si="323"/>
        <v>1512.8068764310819</v>
      </c>
      <c r="R612" s="690">
        <f t="shared" si="324"/>
        <v>1.5701353038392207</v>
      </c>
      <c r="S612" s="677">
        <f t="shared" si="302"/>
        <v>6.948725499076196</v>
      </c>
      <c r="T612" s="680">
        <f t="shared" si="303"/>
        <v>1.4263836119031921</v>
      </c>
      <c r="U612" s="681">
        <f t="shared" si="315"/>
        <v>1.0777605744261589E-2</v>
      </c>
      <c r="V612" s="682">
        <f t="shared" si="316"/>
        <v>-2.9528353928966711</v>
      </c>
      <c r="W612" s="683">
        <f t="shared" si="304"/>
        <v>-95.626951269654356</v>
      </c>
      <c r="X612" s="684">
        <f t="shared" si="305"/>
        <v>-367.76147508965335</v>
      </c>
      <c r="Y612" s="687">
        <f t="shared" si="306"/>
        <v>-187.76147508965335</v>
      </c>
      <c r="AA612" s="170">
        <f t="shared" si="307"/>
        <v>912010</v>
      </c>
      <c r="AB612" s="170">
        <f t="shared" si="308"/>
        <v>831762240100</v>
      </c>
      <c r="AD612" s="686">
        <f t="shared" si="309"/>
        <v>0.30854871138875534</v>
      </c>
      <c r="AE612" s="687">
        <f t="shared" si="310"/>
        <v>-81.763633332676108</v>
      </c>
      <c r="AG612" s="686">
        <f t="shared" si="311"/>
        <v>23.747968767625025</v>
      </c>
      <c r="AH612" s="687">
        <f t="shared" si="312"/>
        <v>52.372169849333794</v>
      </c>
      <c r="AJ612" s="170">
        <f t="shared" si="313"/>
        <v>0</v>
      </c>
      <c r="AK612" s="170">
        <f t="shared" si="325"/>
        <v>0</v>
      </c>
      <c r="AM612" s="170" t="str">
        <f t="shared" si="317"/>
        <v>0.036557113921975-0.267913801931977i</v>
      </c>
      <c r="AN612" s="170" t="str">
        <f t="shared" si="318"/>
        <v>24.8615142085449i</v>
      </c>
      <c r="AO612" s="170" t="str">
        <f t="shared" si="319"/>
        <v>-0.0107762463575085-0.00147042990283393i</v>
      </c>
      <c r="AP612" s="170" t="str">
        <f t="shared" si="320"/>
        <v>0.160573814346337+0.0446523003219962i</v>
      </c>
      <c r="AQ612" s="170" t="str">
        <f t="shared" si="321"/>
        <v>0.839426185653663-0.0446523003219962i</v>
      </c>
      <c r="AR612" s="170" t="str">
        <f t="shared" si="322"/>
        <v>0.989544549655618+0.0526376722198746i</v>
      </c>
    </row>
    <row r="613" spans="7:44">
      <c r="G613" s="688">
        <v>1000000</v>
      </c>
      <c r="H613" s="676">
        <f t="shared" si="314"/>
        <v>1000</v>
      </c>
      <c r="I613" s="677">
        <f t="shared" si="294"/>
        <v>8224.6896184925681</v>
      </c>
      <c r="J613" s="678">
        <f t="shared" si="295"/>
        <v>1.570674741659305</v>
      </c>
      <c r="K613" s="678">
        <f t="shared" si="296"/>
        <v>1.7060936104693043</v>
      </c>
      <c r="L613" s="679">
        <f t="shared" si="297"/>
        <v>0.94451696467950974</v>
      </c>
      <c r="M613" s="678">
        <f t="shared" si="298"/>
        <v>5.4335215702123909</v>
      </c>
      <c r="N613" s="679">
        <f t="shared" si="299"/>
        <v>-1.3856984862890174</v>
      </c>
      <c r="O613" s="677">
        <f t="shared" si="300"/>
        <v>41469022.980000019</v>
      </c>
      <c r="P613" s="680">
        <f t="shared" si="301"/>
        <v>1.5707963026805112</v>
      </c>
      <c r="Q613" s="689">
        <f t="shared" si="323"/>
        <v>1658.7612206297897</v>
      </c>
      <c r="R613" s="690">
        <f t="shared" si="324"/>
        <v>1.5701934672343183</v>
      </c>
      <c r="S613" s="677">
        <f t="shared" si="302"/>
        <v>7.6058478304759678</v>
      </c>
      <c r="T613" s="680">
        <f t="shared" si="303"/>
        <v>1.43893677148458</v>
      </c>
      <c r="U613" s="681">
        <f t="shared" si="315"/>
        <v>4.8690590309636156E-2</v>
      </c>
      <c r="V613" s="682">
        <f t="shared" si="316"/>
        <v>-1.1930282425626406</v>
      </c>
      <c r="W613" s="683">
        <f t="shared" si="304"/>
        <v>-82.834755583522877</v>
      </c>
      <c r="X613" s="684">
        <f t="shared" si="305"/>
        <v>-266.10590023413778</v>
      </c>
      <c r="Y613" s="687">
        <f t="shared" si="306"/>
        <v>-86.105900234137778</v>
      </c>
      <c r="AA613" s="170">
        <f t="shared" si="307"/>
        <v>1000000</v>
      </c>
      <c r="AB613" s="170">
        <f t="shared" si="308"/>
        <v>1000000000000</v>
      </c>
      <c r="AD613" s="686">
        <f t="shared" si="309"/>
        <v>-0.47630113840098554</v>
      </c>
      <c r="AE613" s="687">
        <f t="shared" si="310"/>
        <v>-82.479544013301364</v>
      </c>
      <c r="AG613" s="686">
        <f t="shared" si="311"/>
        <v>11.128104415097832</v>
      </c>
      <c r="AH613" s="687">
        <f t="shared" si="312"/>
        <v>-46.915389787123082</v>
      </c>
      <c r="AJ613" s="170">
        <f t="shared" si="313"/>
        <v>0</v>
      </c>
      <c r="AK613" s="170">
        <f t="shared" si="325"/>
        <v>0</v>
      </c>
      <c r="AM613" s="170" t="str">
        <f t="shared" si="317"/>
        <v>1.52829888768106+0.84905846987999i</v>
      </c>
      <c r="AN613" s="170" t="str">
        <f t="shared" si="318"/>
        <v>27.2601333412406i</v>
      </c>
      <c r="AO613" s="170" t="str">
        <f t="shared" si="319"/>
        <v>0.031146526660436-0.0560635147506402i</v>
      </c>
      <c r="AP613" s="170" t="str">
        <f t="shared" si="320"/>
        <v>-0.0880498146135107-0.141509744979998i</v>
      </c>
      <c r="AQ613" s="170" t="str">
        <f t="shared" si="321"/>
        <v>1.08804981461351+0.141509744979998i</v>
      </c>
      <c r="AR613" s="170" t="str">
        <f t="shared" si="322"/>
        <v>0.752855307608113-0.0979149678218594i</v>
      </c>
    </row>
    <row r="614" spans="7:44">
      <c r="G614" s="692"/>
      <c r="H614" s="692"/>
      <c r="I614" s="693"/>
      <c r="J614" s="693"/>
      <c r="K614" s="693"/>
      <c r="L614" s="693"/>
      <c r="M614" s="678"/>
      <c r="N614" s="679"/>
      <c r="O614" s="693"/>
      <c r="P614" s="693"/>
      <c r="Q614" s="693"/>
      <c r="R614" s="693"/>
      <c r="S614" s="693"/>
      <c r="T614" s="693"/>
      <c r="U614" s="693"/>
      <c r="V614" s="694"/>
      <c r="W614" s="695"/>
      <c r="X614" s="684"/>
      <c r="Y614" s="696"/>
      <c r="AG614" s="686"/>
      <c r="AH614" s="687"/>
    </row>
    <row r="615" spans="7:44">
      <c r="G615" s="692"/>
      <c r="H615" s="692"/>
      <c r="I615" s="693"/>
      <c r="J615" s="693"/>
      <c r="K615" s="693"/>
      <c r="L615" s="693"/>
      <c r="M615" s="678"/>
      <c r="N615" s="679"/>
      <c r="O615" s="693"/>
      <c r="P615" s="693"/>
      <c r="Q615" s="693"/>
      <c r="R615" s="693"/>
      <c r="S615" s="693"/>
      <c r="T615" s="693"/>
      <c r="U615" s="693"/>
      <c r="V615" s="694"/>
      <c r="W615" s="696"/>
      <c r="X615" s="684"/>
      <c r="Y615" s="696"/>
      <c r="AG615" s="686"/>
      <c r="AH615" s="687"/>
    </row>
    <row r="616" spans="7:44">
      <c r="G616" s="170" t="s">
        <v>724</v>
      </c>
      <c r="M616" s="678"/>
      <c r="N616" s="679"/>
      <c r="W616" s="683"/>
      <c r="X616" s="684"/>
      <c r="Y616" s="697"/>
      <c r="AG616" s="686"/>
      <c r="AH616" s="687"/>
    </row>
    <row r="617" spans="7:44">
      <c r="G617" s="698">
        <f>W4*1000</f>
        <v>1318.3</v>
      </c>
      <c r="H617" s="698"/>
      <c r="I617" s="699">
        <f t="shared" ref="I617:I626" si="326">SQRT(1+(G617/pole1)^2)</f>
        <v>10.888624960527991</v>
      </c>
      <c r="J617" s="689">
        <f t="shared" ref="J617:J626" si="327">ATAN(G617/pole1)</f>
        <v>1.4788277725974464</v>
      </c>
      <c r="K617" s="689">
        <f t="shared" ref="K617:K626" si="328">SQRT(1+(G617/Zero1)^2)</f>
        <v>1.0000016603637587</v>
      </c>
      <c r="L617" s="690">
        <f t="shared" ref="L617:L626" si="329">ATAN(G617/Zero1)</f>
        <v>1.8222850827138385E-3</v>
      </c>
      <c r="M617" s="678">
        <v>1</v>
      </c>
      <c r="N617" s="679">
        <v>0</v>
      </c>
      <c r="O617" s="699">
        <f t="shared" ref="O617:O626" si="330">SQRT(1+(G617/Pole2)^2)</f>
        <v>54668.613003680017</v>
      </c>
      <c r="P617" s="700">
        <f t="shared" ref="P617:P626" si="331">ATAN(G617/Pole2)</f>
        <v>1.5707780347632332</v>
      </c>
      <c r="Q617" s="689">
        <f t="shared" ref="Q617:Q626" si="332">SQRT(1+(G617/Zero2)^2)</f>
        <v>2.404548106150886</v>
      </c>
      <c r="R617" s="690">
        <f t="shared" ref="R617:R626" si="333">ATAN(G617/Zero2)</f>
        <v>1.1418876726108755</v>
      </c>
      <c r="S617" s="699">
        <f t="shared" ref="S617:S626" si="334">SQRT(1+(G617/pole4)^2)</f>
        <v>1.0000493980732499</v>
      </c>
      <c r="T617" s="700">
        <f t="shared" ref="T617:T626" si="335">ATAN(G617/pole4)</f>
        <v>9.9394204922459324E-3</v>
      </c>
      <c r="U617" s="699" t="e">
        <v>#DIV/0!</v>
      </c>
      <c r="V617" s="701" t="e">
        <v>#DIV/0!</v>
      </c>
      <c r="W617" s="683" t="e">
        <f>20*LOG10(((K617*Q617*M617)/(I617*O617*U617*S617))*Adc)</f>
        <v>#DIV/0!</v>
      </c>
      <c r="X617" s="684" t="e">
        <f>((L617+R617+N617)-(J617+P617+V617+T617))*radconv</f>
        <v>#DIV/0!</v>
      </c>
      <c r="Y617" s="687" t="e">
        <f t="shared" ref="Y617:Y626" si="336">IF(X617&gt;0,X617,X617+180)</f>
        <v>#DIV/0!</v>
      </c>
      <c r="Z617" s="170" t="s">
        <v>725</v>
      </c>
      <c r="AD617" s="686">
        <f>20*LOG10((Q617/(O617*S617))*Aea)</f>
        <v>17.970929337955202</v>
      </c>
      <c r="AE617" s="687">
        <f>(R617-(P617+T617))*radconv</f>
        <v>-25.143094498909214</v>
      </c>
      <c r="AG617" s="686" t="e">
        <f>20*LOG10((K617*M617/(I617*U617))*Acs*Am)</f>
        <v>#DIV/0!</v>
      </c>
      <c r="AH617" s="687" t="e">
        <f>(L617+N617-(J617+V617))*radconv</f>
        <v>#DIV/0!</v>
      </c>
    </row>
    <row r="618" spans="7:44">
      <c r="G618" s="698">
        <f>G617</f>
        <v>1318.3</v>
      </c>
      <c r="H618" s="698"/>
      <c r="I618" s="699"/>
      <c r="J618" s="689"/>
      <c r="K618" s="689"/>
      <c r="L618" s="690"/>
      <c r="M618" s="678"/>
      <c r="N618" s="679"/>
      <c r="O618" s="699"/>
      <c r="P618" s="700"/>
      <c r="Q618" s="689"/>
      <c r="R618" s="690"/>
      <c r="S618" s="677"/>
      <c r="T618" s="680"/>
      <c r="U618" s="699"/>
      <c r="V618" s="682"/>
      <c r="W618" s="683"/>
      <c r="X618" s="684">
        <v>-135</v>
      </c>
      <c r="Y618" s="687"/>
      <c r="AD618" s="686"/>
      <c r="AE618" s="687"/>
      <c r="AG618" s="686"/>
      <c r="AH618" s="687"/>
    </row>
    <row r="619" spans="7:44">
      <c r="G619" s="170">
        <f>G618</f>
        <v>1318.3</v>
      </c>
      <c r="H619" s="698"/>
      <c r="I619" s="699"/>
      <c r="J619" s="689"/>
      <c r="K619" s="689"/>
      <c r="L619" s="690"/>
      <c r="M619" s="678"/>
      <c r="N619" s="679"/>
      <c r="O619" s="699"/>
      <c r="P619" s="700"/>
      <c r="Q619" s="689"/>
      <c r="R619" s="690"/>
      <c r="S619" s="677"/>
      <c r="T619" s="680"/>
      <c r="U619" s="699"/>
      <c r="V619" s="682"/>
      <c r="W619" s="683"/>
      <c r="X619" s="684"/>
      <c r="Y619" s="687"/>
      <c r="AD619" s="686"/>
      <c r="AE619" s="687"/>
      <c r="AG619" s="686"/>
      <c r="AH619" s="687"/>
    </row>
    <row r="620" spans="7:44">
      <c r="G620" s="698">
        <v>1000000</v>
      </c>
      <c r="H620" s="698"/>
      <c r="I620" s="699"/>
      <c r="J620" s="689"/>
      <c r="K620" s="689"/>
      <c r="L620" s="690"/>
      <c r="M620" s="678"/>
      <c r="N620" s="679"/>
      <c r="O620" s="699"/>
      <c r="P620" s="700"/>
      <c r="Q620" s="689"/>
      <c r="R620" s="690"/>
      <c r="S620" s="677"/>
      <c r="T620" s="680"/>
      <c r="U620" s="699"/>
      <c r="V620" s="682"/>
      <c r="W620" s="683"/>
      <c r="X620" s="684" t="e">
        <f>X617</f>
        <v>#DIV/0!</v>
      </c>
      <c r="Y620" s="687"/>
      <c r="AD620" s="686"/>
      <c r="AE620" s="687"/>
      <c r="AG620" s="686"/>
      <c r="AH620" s="687"/>
    </row>
    <row r="621" spans="7:44">
      <c r="G621" s="698"/>
      <c r="H621" s="698"/>
      <c r="I621" s="699"/>
      <c r="J621" s="689"/>
      <c r="K621" s="689"/>
      <c r="L621" s="690"/>
      <c r="M621" s="678"/>
      <c r="N621" s="679"/>
      <c r="O621" s="699"/>
      <c r="P621" s="700"/>
      <c r="Q621" s="689"/>
      <c r="R621" s="690"/>
      <c r="S621" s="677"/>
      <c r="T621" s="680"/>
      <c r="U621" s="699"/>
      <c r="V621" s="682"/>
      <c r="W621" s="683"/>
      <c r="X621" s="684"/>
      <c r="Y621" s="687"/>
      <c r="AD621" s="686"/>
      <c r="AE621" s="687"/>
      <c r="AG621" s="686"/>
      <c r="AH621" s="687"/>
    </row>
    <row r="622" spans="7:44">
      <c r="G622" s="702">
        <f>pole1</f>
        <v>121.58513619079939</v>
      </c>
      <c r="H622" s="703"/>
      <c r="I622" s="699">
        <f t="shared" si="326"/>
        <v>1.4142135623730951</v>
      </c>
      <c r="J622" s="689">
        <f t="shared" si="327"/>
        <v>0.78539816339744828</v>
      </c>
      <c r="K622" s="689">
        <f t="shared" si="328"/>
        <v>1.0000000141232963</v>
      </c>
      <c r="L622" s="690">
        <f t="shared" si="329"/>
        <v>1.6806722530831418E-4</v>
      </c>
      <c r="M622" s="678">
        <v>1</v>
      </c>
      <c r="N622" s="679">
        <v>0</v>
      </c>
      <c r="O622" s="699">
        <f t="shared" si="330"/>
        <v>5042.0169058893553</v>
      </c>
      <c r="P622" s="700">
        <f t="shared" si="331"/>
        <v>1.5705979934641638</v>
      </c>
      <c r="Q622" s="689">
        <f t="shared" si="332"/>
        <v>1.0201348408748907</v>
      </c>
      <c r="R622" s="690">
        <f t="shared" si="333"/>
        <v>0.19901106732975971</v>
      </c>
      <c r="S622" s="677">
        <f t="shared" si="334"/>
        <v>1.0000004201971593</v>
      </c>
      <c r="T622" s="680">
        <f t="shared" si="335"/>
        <v>9.167300716901236E-4</v>
      </c>
      <c r="U622" s="699" t="e">
        <f>SQRT((1-(G622^2/(pole3^2)))^2+(G622/(Q*pole3))^2)</f>
        <v>#DIV/0!</v>
      </c>
      <c r="V622" s="682" t="e">
        <f>ATAN((G622/(Q*pole3))/(1-G622^2/pole3^2))</f>
        <v>#NAME?</v>
      </c>
      <c r="W622" s="683" t="e">
        <f t="shared" ref="W622:W628" si="337">20*LOG10(((K622*Q622*M622)/(I622*O622*U622*S622))*Adc)</f>
        <v>#DIV/0!</v>
      </c>
      <c r="X622" s="684" t="e">
        <f t="shared" ref="X622:X628" si="338">((L622+R622+N622)-(J622+P622+V622+T622))*radconv</f>
        <v>#NAME?</v>
      </c>
      <c r="Y622" s="687" t="e">
        <f t="shared" si="336"/>
        <v>#NAME?</v>
      </c>
      <c r="Z622" s="170" t="s">
        <v>713</v>
      </c>
      <c r="AD622" s="686">
        <f>20*LOG10((Q622/(O622*S622))*Aea)</f>
        <v>31.226512108969565</v>
      </c>
      <c r="AE622" s="687">
        <f>(R622-(P622+T622))*radconv</f>
        <v>-78.638666956741503</v>
      </c>
      <c r="AG622" s="686" t="e">
        <f t="shared" ref="AG622:AG628" si="339">20*LOG10((K622*M622/(I622*U622))*Acs*Am)</f>
        <v>#DIV/0!</v>
      </c>
      <c r="AH622" s="687" t="e">
        <f t="shared" ref="AH622:AH628" si="340">(L622+N622-(J622+V622))*radconv</f>
        <v>#NAME?</v>
      </c>
    </row>
    <row r="623" spans="7:44">
      <c r="G623" s="702">
        <f>Zero1</f>
        <v>723431.56033525639</v>
      </c>
      <c r="H623" s="703"/>
      <c r="I623" s="699">
        <f t="shared" si="326"/>
        <v>5950.0000840336124</v>
      </c>
      <c r="J623" s="689">
        <f t="shared" si="327"/>
        <v>1.5706282595695884</v>
      </c>
      <c r="K623" s="689">
        <f t="shared" si="328"/>
        <v>1.4142135623730951</v>
      </c>
      <c r="L623" s="690">
        <f t="shared" si="329"/>
        <v>0.78539816339744828</v>
      </c>
      <c r="M623" s="678">
        <v>1</v>
      </c>
      <c r="N623" s="679">
        <v>0</v>
      </c>
      <c r="O623" s="699">
        <f t="shared" si="330"/>
        <v>30000000.000000026</v>
      </c>
      <c r="P623" s="700">
        <f t="shared" si="331"/>
        <v>1.5707962934615634</v>
      </c>
      <c r="Q623" s="689">
        <f t="shared" si="332"/>
        <v>1200.0004166665944</v>
      </c>
      <c r="R623" s="690">
        <f t="shared" si="333"/>
        <v>1.5699629936544643</v>
      </c>
      <c r="S623" s="677">
        <f t="shared" si="334"/>
        <v>5.5454545454545476</v>
      </c>
      <c r="T623" s="680">
        <f t="shared" si="335"/>
        <v>1.3894765523934065</v>
      </c>
      <c r="U623" s="699" t="e">
        <f>SQRT((1-(G623^2/(pole3^2)))^2+(G623/(Q*pole3))^2)</f>
        <v>#DIV/0!</v>
      </c>
      <c r="V623" s="682" t="e">
        <f>ATAN((G623/(Q*pole3))/(1-G623^2/pole3^2))</f>
        <v>#NAME?</v>
      </c>
      <c r="W623" s="683" t="e">
        <f t="shared" si="337"/>
        <v>#DIV/0!</v>
      </c>
      <c r="X623" s="684" t="e">
        <f t="shared" si="338"/>
        <v>#NAME?</v>
      </c>
      <c r="Y623" s="687" t="e">
        <f t="shared" si="336"/>
        <v>#NAME?</v>
      </c>
      <c r="Z623" s="170" t="s">
        <v>714</v>
      </c>
      <c r="AD623" s="686">
        <f>20*LOG10((Q623/(O623*S623))*Aea)</f>
        <v>2.267909947507373</v>
      </c>
      <c r="AE623" s="687">
        <f>(R623-(P623+T623))*radconv</f>
        <v>-79.658886837569781</v>
      </c>
      <c r="AG623" s="686" t="e">
        <f t="shared" si="339"/>
        <v>#DIV/0!</v>
      </c>
      <c r="AH623" s="687" t="e">
        <f t="shared" si="340"/>
        <v>#NAME?</v>
      </c>
    </row>
    <row r="624" spans="7:44">
      <c r="G624" s="702">
        <f>Pole2</f>
        <v>2.4114385344508542E-2</v>
      </c>
      <c r="H624" s="703"/>
      <c r="I624" s="699">
        <f t="shared" si="326"/>
        <v>1.0000000196680554</v>
      </c>
      <c r="J624" s="689">
        <f t="shared" si="327"/>
        <v>1.9833333073277935E-4</v>
      </c>
      <c r="K624" s="689">
        <f t="shared" si="328"/>
        <v>1.0000000000000004</v>
      </c>
      <c r="L624" s="690">
        <f t="shared" si="329"/>
        <v>3.3333333333333314E-8</v>
      </c>
      <c r="M624" s="678">
        <v>1</v>
      </c>
      <c r="N624" s="679">
        <v>0</v>
      </c>
      <c r="O624" s="699">
        <f t="shared" si="330"/>
        <v>1.4142135623730951</v>
      </c>
      <c r="P624" s="700">
        <f t="shared" si="331"/>
        <v>0.78539816339744828</v>
      </c>
      <c r="Q624" s="689">
        <f t="shared" si="332"/>
        <v>1.0000000007999998</v>
      </c>
      <c r="R624" s="690">
        <f t="shared" si="333"/>
        <v>3.9999999978666672E-5</v>
      </c>
      <c r="S624" s="677">
        <f t="shared" si="334"/>
        <v>1.0000000000000164</v>
      </c>
      <c r="T624" s="680">
        <f t="shared" si="335"/>
        <v>1.8181818181817984E-7</v>
      </c>
      <c r="U624" s="699" t="e">
        <f>SQRT((1-(G624^2/(pole3^2)))^2+(G624/(Q*pole3))^2)</f>
        <v>#DIV/0!</v>
      </c>
      <c r="V624" s="682" t="e">
        <f>ATAN((G624/(Q*pole3))/(1-G624^2/pole3^2))</f>
        <v>#NAME?</v>
      </c>
      <c r="W624" s="683" t="e">
        <f t="shared" si="337"/>
        <v>#DIV/0!</v>
      </c>
      <c r="X624" s="684" t="e">
        <f t="shared" si="338"/>
        <v>#NAME?</v>
      </c>
      <c r="Y624" s="687" t="e">
        <f t="shared" si="336"/>
        <v>#NAME?</v>
      </c>
      <c r="Z624" s="170" t="s">
        <v>715</v>
      </c>
      <c r="AC624" s="170">
        <f>Pole2</f>
        <v>2.4114385344508542E-2</v>
      </c>
      <c r="AD624" s="686">
        <f>20*LOG10((Q624/(O624*S624))*Aea)</f>
        <v>102.09515015237487</v>
      </c>
      <c r="AE624" s="687">
        <f>(R624-(P624+T624))*radconv</f>
        <v>-44.997718637652547</v>
      </c>
      <c r="AG624" s="686" t="e">
        <f t="shared" si="339"/>
        <v>#DIV/0!</v>
      </c>
      <c r="AH624" s="687" t="e">
        <f t="shared" si="340"/>
        <v>#NAME?</v>
      </c>
    </row>
    <row r="625" spans="7:34">
      <c r="G625" s="702">
        <f>Zero2</f>
        <v>602.85963361271354</v>
      </c>
      <c r="H625" s="703"/>
      <c r="I625" s="699">
        <f t="shared" si="326"/>
        <v>5.0581685860046646</v>
      </c>
      <c r="J625" s="689">
        <f t="shared" si="327"/>
        <v>1.371785259465137</v>
      </c>
      <c r="K625" s="689">
        <f t="shared" si="328"/>
        <v>1.0000003472221619</v>
      </c>
      <c r="L625" s="690">
        <f t="shared" si="329"/>
        <v>8.3333314043217903E-4</v>
      </c>
      <c r="M625" s="678">
        <v>1</v>
      </c>
      <c r="N625" s="679">
        <v>0</v>
      </c>
      <c r="O625" s="699">
        <f t="shared" si="330"/>
        <v>25000.000019999999</v>
      </c>
      <c r="P625" s="700">
        <f t="shared" si="331"/>
        <v>1.5707563267949181</v>
      </c>
      <c r="Q625" s="689">
        <f t="shared" si="332"/>
        <v>1.4142135623730951</v>
      </c>
      <c r="R625" s="690">
        <f t="shared" si="333"/>
        <v>0.78539816339744828</v>
      </c>
      <c r="S625" s="677">
        <f t="shared" si="334"/>
        <v>1.0000103305251524</v>
      </c>
      <c r="T625" s="680">
        <f t="shared" si="335"/>
        <v>4.5454232410592453E-3</v>
      </c>
      <c r="U625" s="699" t="e">
        <f>SQRT((1-(G625^2/(pole3^2)))^2+(G625/(Q*pole3))^2)</f>
        <v>#DIV/0!</v>
      </c>
      <c r="V625" s="682" t="e">
        <f>ATAN((G625/(Q*pole3))/(1-G625^2/pole3^2))</f>
        <v>#NAME?</v>
      </c>
      <c r="W625" s="683" t="e">
        <f t="shared" si="337"/>
        <v>#DIV/0!</v>
      </c>
      <c r="X625" s="684" t="e">
        <f t="shared" si="338"/>
        <v>#NAME?</v>
      </c>
      <c r="Y625" s="687" t="e">
        <f t="shared" si="336"/>
        <v>#NAME?</v>
      </c>
      <c r="Z625" s="170" t="s">
        <v>726</v>
      </c>
      <c r="AC625" s="170">
        <f>Zero2</f>
        <v>602.85963361271354</v>
      </c>
      <c r="AD625" s="686">
        <f>20*LOG10((Q625/(O625*S625))*Aea)</f>
        <v>20.156860148978566</v>
      </c>
      <c r="AE625" s="687">
        <f>(R625-(P625+T625))*radconv</f>
        <v>-45.25814178834905</v>
      </c>
      <c r="AG625" s="686" t="e">
        <f t="shared" si="339"/>
        <v>#DIV/0!</v>
      </c>
      <c r="AH625" s="687" t="e">
        <f t="shared" si="340"/>
        <v>#NAME?</v>
      </c>
    </row>
    <row r="626" spans="7:34">
      <c r="G626" s="702">
        <f>pole3</f>
        <v>0</v>
      </c>
      <c r="H626" s="703"/>
      <c r="I626" s="699">
        <f t="shared" si="326"/>
        <v>1</v>
      </c>
      <c r="J626" s="689">
        <f t="shared" si="327"/>
        <v>0</v>
      </c>
      <c r="K626" s="689">
        <f t="shared" si="328"/>
        <v>1</v>
      </c>
      <c r="L626" s="690">
        <f t="shared" si="329"/>
        <v>0</v>
      </c>
      <c r="M626" s="678">
        <v>1</v>
      </c>
      <c r="N626" s="679">
        <v>0</v>
      </c>
      <c r="O626" s="699">
        <f t="shared" si="330"/>
        <v>1</v>
      </c>
      <c r="P626" s="700">
        <f t="shared" si="331"/>
        <v>0</v>
      </c>
      <c r="Q626" s="689">
        <f t="shared" si="332"/>
        <v>1</v>
      </c>
      <c r="R626" s="690">
        <f t="shared" si="333"/>
        <v>0</v>
      </c>
      <c r="S626" s="677">
        <f t="shared" si="334"/>
        <v>1</v>
      </c>
      <c r="T626" s="680">
        <f t="shared" si="335"/>
        <v>0</v>
      </c>
      <c r="U626" s="699" t="e">
        <f>SQRT((1-(G626^2/(pole3^2)))^2+(G626/(Q*pole3))^2)</f>
        <v>#DIV/0!</v>
      </c>
      <c r="V626" s="682" t="e">
        <f>ATAN((G626/(Q*pole3))/(1-G626^2/pole3^2))</f>
        <v>#NAME?</v>
      </c>
      <c r="W626" s="683" t="e">
        <f t="shared" si="337"/>
        <v>#DIV/0!</v>
      </c>
      <c r="X626" s="684" t="e">
        <f t="shared" si="338"/>
        <v>#NAME?</v>
      </c>
      <c r="Y626" s="687" t="e">
        <f t="shared" si="336"/>
        <v>#NAME?</v>
      </c>
      <c r="Z626" s="170" t="s">
        <v>691</v>
      </c>
      <c r="AD626" s="686">
        <f>20*LOG10((Q626/(O626*S626))*Aea)</f>
        <v>105.10545010206611</v>
      </c>
      <c r="AE626" s="687">
        <f>(R626-(P626+T626))*radconv</f>
        <v>0</v>
      </c>
      <c r="AG626" s="686" t="e">
        <f t="shared" si="339"/>
        <v>#DIV/0!</v>
      </c>
      <c r="AH626" s="687" t="e">
        <f t="shared" si="340"/>
        <v>#NAME?</v>
      </c>
    </row>
    <row r="627" spans="7:34" ht="13" thickBot="1">
      <c r="G627" s="197">
        <v>195034.73926858415</v>
      </c>
      <c r="I627" s="699">
        <f>SQRT(1+(G627/pole1)^2)</f>
        <v>1604.1004951522655</v>
      </c>
      <c r="J627" s="689">
        <f>ATAN(G627/pole1)</f>
        <v>1.5701729244159348</v>
      </c>
      <c r="K627" s="689">
        <f>SQRT(1+(G627/Zero1)^2)</f>
        <v>1.0357038013828048</v>
      </c>
      <c r="L627" s="690">
        <f>ATAN(G627/Zero1)</f>
        <v>0.26333587077918175</v>
      </c>
      <c r="M627" s="678">
        <v>1</v>
      </c>
      <c r="N627" s="679">
        <v>0</v>
      </c>
      <c r="O627" s="699">
        <f>SQRT(1+(G627/Pole2)^2)</f>
        <v>8087900.0846272875</v>
      </c>
      <c r="P627" s="700">
        <f>ATAN(G627/Pole2)</f>
        <v>1.5707962031534088</v>
      </c>
      <c r="Q627" s="689">
        <f>SQRT(1+(G627/Zero2)^2)</f>
        <v>323.5175488999954</v>
      </c>
      <c r="R627" s="690">
        <f>ATAN(G627/Zero2)</f>
        <v>1.5677052994431802</v>
      </c>
      <c r="S627" s="677">
        <f>SQRT(1+(G627/pole4)^2)</f>
        <v>1.7783280082954429</v>
      </c>
      <c r="T627" s="680">
        <f>ATAN(G627/pole4)</f>
        <v>0.97360039711116519</v>
      </c>
      <c r="U627" s="699" t="e">
        <v>#DIV/0!</v>
      </c>
      <c r="V627" s="682" t="e">
        <v>#DIV/0!</v>
      </c>
      <c r="W627" s="683" t="e">
        <f t="shared" si="337"/>
        <v>#DIV/0!</v>
      </c>
      <c r="X627" s="684" t="e">
        <f t="shared" si="338"/>
        <v>#DIV/0!</v>
      </c>
      <c r="Y627" s="687" t="e">
        <f>IF(X627&gt;0,X627,X627+180)</f>
        <v>#DIV/0!</v>
      </c>
      <c r="Z627" s="170" t="s">
        <v>727</v>
      </c>
      <c r="AD627" s="704"/>
      <c r="AE627" s="705"/>
      <c r="AG627" s="686" t="e">
        <f t="shared" si="339"/>
        <v>#DIV/0!</v>
      </c>
      <c r="AH627" s="687" t="e">
        <f t="shared" si="340"/>
        <v>#DIV/0!</v>
      </c>
    </row>
    <row r="628" spans="7:34">
      <c r="G628" s="197">
        <f>z_RHP</f>
        <v>187241.10973383105</v>
      </c>
      <c r="I628" s="699">
        <f>SQRT(1+(G628/pole1)^2)</f>
        <v>1540.0003246752904</v>
      </c>
      <c r="J628" s="689">
        <f>ATAN(G628/pole1)</f>
        <v>1.5701469762368134</v>
      </c>
      <c r="K628" s="689">
        <f>SQRT(1+(G628/Zero1)^2)</f>
        <v>1.0329518959647457</v>
      </c>
      <c r="L628" s="690">
        <f>ATAN(G628/Zero1)</f>
        <v>0.25326576623075286</v>
      </c>
      <c r="M628" s="678">
        <v>1</v>
      </c>
      <c r="N628" s="679">
        <v>0</v>
      </c>
      <c r="O628" s="699">
        <f>SQRT(1+(G628/Pole2)^2)</f>
        <v>7764705.8823530059</v>
      </c>
      <c r="P628" s="700">
        <f>ATAN(G628/Pole2)</f>
        <v>1.5707961980070178</v>
      </c>
      <c r="Q628" s="689">
        <f>SQRT(1+(G628/Zero2)^2)</f>
        <v>310.58984513843046</v>
      </c>
      <c r="R628" s="690">
        <f>ATAN(G628/Zero2)</f>
        <v>1.5675766409507381</v>
      </c>
      <c r="S628" s="677">
        <f>SQRT(1+(G628/pole4)^2)</f>
        <v>1.7300519023356169</v>
      </c>
      <c r="T628" s="680">
        <f>ATAN(G628/pole4)</f>
        <v>0.95449938939882539</v>
      </c>
      <c r="U628" s="699" t="e">
        <v>#DIV/0!</v>
      </c>
      <c r="V628" s="682" t="e">
        <v>#DIV/0!</v>
      </c>
      <c r="W628" s="683" t="e">
        <f t="shared" si="337"/>
        <v>#DIV/0!</v>
      </c>
      <c r="X628" s="684" t="e">
        <f t="shared" si="338"/>
        <v>#DIV/0!</v>
      </c>
      <c r="Y628" s="687" t="e">
        <f>IF(X628&gt;0,X628,X628+180)</f>
        <v>#DIV/0!</v>
      </c>
      <c r="Z628" s="170" t="s">
        <v>712</v>
      </c>
      <c r="AD628" s="696"/>
      <c r="AE628" s="696"/>
      <c r="AG628" s="686" t="e">
        <f t="shared" si="339"/>
        <v>#DIV/0!</v>
      </c>
      <c r="AH628" s="687" t="e">
        <f t="shared" si="340"/>
        <v>#DIV/0!</v>
      </c>
    </row>
    <row r="629" spans="7:34">
      <c r="G629" s="197">
        <v>195034.73926858415</v>
      </c>
      <c r="W629" s="683">
        <v>-25</v>
      </c>
    </row>
    <row r="631" spans="7:34">
      <c r="J631" s="170" t="s">
        <v>728</v>
      </c>
      <c r="K631" s="170" t="s">
        <v>729</v>
      </c>
    </row>
    <row r="632" spans="7:34">
      <c r="G632" s="170" t="s">
        <v>713</v>
      </c>
      <c r="H632" s="170" t="s">
        <v>730</v>
      </c>
      <c r="I632" s="172">
        <f>pole1</f>
        <v>121.58513619079939</v>
      </c>
      <c r="J632" s="172" t="e">
        <f>W622</f>
        <v>#DIV/0!</v>
      </c>
      <c r="K632" s="172" t="e">
        <f>AG622</f>
        <v>#DIV/0!</v>
      </c>
    </row>
    <row r="633" spans="7:34">
      <c r="G633" s="170" t="s">
        <v>714</v>
      </c>
      <c r="H633" s="170" t="s">
        <v>731</v>
      </c>
      <c r="I633" s="172">
        <f>Zero1</f>
        <v>723431.56033525639</v>
      </c>
      <c r="J633" s="172" t="e">
        <f>W623</f>
        <v>#DIV/0!</v>
      </c>
      <c r="K633" s="172" t="e">
        <f>AG623</f>
        <v>#DIV/0!</v>
      </c>
    </row>
    <row r="634" spans="7:34">
      <c r="G634" s="170" t="s">
        <v>715</v>
      </c>
      <c r="H634" s="170" t="s">
        <v>732</v>
      </c>
      <c r="I634" s="172">
        <f>Pole2</f>
        <v>2.4114385344508542E-2</v>
      </c>
      <c r="J634" s="172" t="e">
        <f>W624</f>
        <v>#DIV/0!</v>
      </c>
      <c r="K634" s="172" t="e">
        <f>AG624</f>
        <v>#DIV/0!</v>
      </c>
    </row>
    <row r="635" spans="7:34">
      <c r="G635" s="170" t="s">
        <v>726</v>
      </c>
      <c r="H635" s="170" t="s">
        <v>733</v>
      </c>
      <c r="I635" s="172">
        <f>Zero2</f>
        <v>602.85963361271354</v>
      </c>
      <c r="J635" s="172" t="e">
        <f>W625</f>
        <v>#DIV/0!</v>
      </c>
      <c r="K635" s="172" t="e">
        <f>AG625</f>
        <v>#DIV/0!</v>
      </c>
    </row>
    <row r="636" spans="7:34">
      <c r="G636" s="170" t="s">
        <v>691</v>
      </c>
      <c r="H636" s="170" t="s">
        <v>734</v>
      </c>
      <c r="I636" s="170">
        <f>pole3</f>
        <v>0</v>
      </c>
      <c r="J636" s="172" t="e">
        <f>W626</f>
        <v>#DIV/0!</v>
      </c>
      <c r="K636" s="172" t="e">
        <f>AG626</f>
        <v>#DIV/0!</v>
      </c>
    </row>
    <row r="637" spans="7:34">
      <c r="I637" s="197"/>
      <c r="J637" s="172"/>
      <c r="K637" s="172"/>
    </row>
    <row r="639" spans="7:34">
      <c r="G639" s="172">
        <f>W4*1000</f>
        <v>1318.3</v>
      </c>
    </row>
    <row r="640" spans="7:34">
      <c r="G640" s="172">
        <f>W4*1000</f>
        <v>1318.3</v>
      </c>
    </row>
    <row r="687" spans="36:37">
      <c r="AJ687" s="170" t="s">
        <v>705</v>
      </c>
      <c r="AK687" s="172">
        <f>SUM(AK689:AK1306)</f>
        <v>0</v>
      </c>
    </row>
  </sheetData>
  <sheetProtection algorithmName="SHA-512" hashValue="3wRbkLafQbWEivON440wq1tRtzjKSQuX0+eAYjdySUS0l8YP+HdKBoadk1H5JN48H/8nnVQKvlUIHNGXSS7ncQ==" saltValue="FWF0zQLVZY8DG1HaDs4a7Q==" spinCount="100000" sheet="1" selectLockedCells="1" selectUnlockedCells="1"/>
  <mergeCells count="20">
    <mergeCell ref="G10:G12"/>
    <mergeCell ref="H10:H11"/>
    <mergeCell ref="I10:N10"/>
    <mergeCell ref="O10:T10"/>
    <mergeCell ref="U10:V10"/>
    <mergeCell ref="G2:J2"/>
    <mergeCell ref="K2:M2"/>
    <mergeCell ref="P2:R2"/>
    <mergeCell ref="S2:U2"/>
    <mergeCell ref="V2:X2"/>
    <mergeCell ref="W10:Y10"/>
    <mergeCell ref="AD10:AE10"/>
    <mergeCell ref="AG10:AH10"/>
    <mergeCell ref="I11:J11"/>
    <mergeCell ref="K11:L11"/>
    <mergeCell ref="M11:N11"/>
    <mergeCell ref="O11:P11"/>
    <mergeCell ref="Q11:R11"/>
    <mergeCell ref="S11:T11"/>
    <mergeCell ref="U11:V11"/>
  </mergeCells>
  <phoneticPr fontId="83"/>
  <hyperlinks>
    <hyperlink ref="C50" r:id="rId1" display="Gpwr_@Fco" xr:uid="{4F4202D4-BC5C-4B6D-9289-7BEBC6947453}"/>
  </hyperlinks>
  <pageMargins left="0.75" right="0.75" top="1" bottom="1" header="0.5" footer="0.5"/>
  <pageSetup scale="48" orientation="portrait" horizontalDpi="300" verticalDpi="300" r:id="rId2"/>
  <headerFooter alignWithMargins="0"/>
  <colBreaks count="1" manualBreakCount="1">
    <brk id="25"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740353" r:id="rId5" name="Drop Down 1">
              <controlPr locked="0" defaultSize="0" autoLine="0" autoPict="0">
                <anchor moveWithCells="1">
                  <from>
                    <xdr:col>0</xdr:col>
                    <xdr:colOff>38100</xdr:colOff>
                    <xdr:row>2</xdr:row>
                    <xdr:rowOff>127000</xdr:rowOff>
                  </from>
                  <to>
                    <xdr:col>1</xdr:col>
                    <xdr:colOff>107950</xdr:colOff>
                    <xdr:row>4</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00FF"/>
  </sheetPr>
  <dimension ref="A1:Z315"/>
  <sheetViews>
    <sheetView zoomScale="70" zoomScaleNormal="70" workbookViewId="0">
      <pane ySplit="5" topLeftCell="A84" activePane="bottomLeft" state="frozenSplit"/>
      <selection pane="bottomLeft" activeCell="S122" sqref="S122"/>
    </sheetView>
  </sheetViews>
  <sheetFormatPr defaultRowHeight="13"/>
  <cols>
    <col min="1" max="1" width="40.453125" customWidth="1"/>
    <col min="2" max="2" width="11.81640625" customWidth="1"/>
    <col min="3" max="3" width="9.453125" style="3" customWidth="1"/>
    <col min="4" max="4" width="10.26953125" customWidth="1"/>
    <col min="5" max="5" width="11.54296875" customWidth="1"/>
    <col min="6" max="6" width="14.81640625" customWidth="1"/>
    <col min="7" max="7" width="12.453125" bestFit="1" customWidth="1"/>
    <col min="8" max="8" width="20.1796875" customWidth="1"/>
    <col min="9" max="9" width="14.453125" customWidth="1"/>
    <col min="10" max="10" width="12.453125" bestFit="1" customWidth="1"/>
    <col min="11" max="11" width="12" customWidth="1"/>
    <col min="12" max="12" width="8.81640625" customWidth="1"/>
    <col min="13" max="13" width="7" customWidth="1"/>
    <col min="14" max="14" width="9.26953125" customWidth="1"/>
    <col min="16" max="16" width="7.1796875" customWidth="1"/>
    <col min="17" max="17" width="11" customWidth="1"/>
    <col min="18" max="18" width="13.81640625" customWidth="1"/>
    <col min="19" max="19" width="5.453125" customWidth="1"/>
    <col min="20" max="20" width="16.26953125" customWidth="1"/>
    <col min="22" max="22" width="9.7265625" customWidth="1"/>
    <col min="23" max="23" width="11.26953125" customWidth="1"/>
    <col min="24" max="24" width="5.81640625" customWidth="1"/>
    <col min="25" max="25" width="12" bestFit="1" customWidth="1"/>
    <col min="26" max="26" width="7.81640625" customWidth="1"/>
  </cols>
  <sheetData>
    <row r="1" spans="1:26" ht="30.75" customHeight="1">
      <c r="A1" s="942" t="s">
        <v>171</v>
      </c>
      <c r="B1" s="942"/>
      <c r="C1" s="942"/>
      <c r="D1" s="942"/>
      <c r="E1" s="942"/>
      <c r="F1" s="942"/>
      <c r="G1" s="942"/>
      <c r="H1" s="942"/>
      <c r="I1" s="942"/>
    </row>
    <row r="2" spans="1:26" ht="12" customHeight="1">
      <c r="A2" s="19"/>
      <c r="B2" s="19" t="s">
        <v>81</v>
      </c>
      <c r="C2" s="20"/>
      <c r="E2" s="19"/>
      <c r="F2" s="19"/>
      <c r="G2" s="19"/>
      <c r="H2" s="19"/>
      <c r="I2" s="19"/>
    </row>
    <row r="3" spans="1:26" ht="11.25" customHeight="1">
      <c r="A3" s="19"/>
      <c r="B3" s="19" t="s">
        <v>100</v>
      </c>
      <c r="C3" s="21"/>
      <c r="E3" s="19"/>
      <c r="F3" s="19"/>
      <c r="G3" s="19"/>
      <c r="H3" s="19"/>
      <c r="I3" s="19"/>
    </row>
    <row r="4" spans="1:26" ht="11.25" customHeight="1">
      <c r="A4" s="19"/>
      <c r="B4" s="19" t="s">
        <v>82</v>
      </c>
      <c r="C4" s="22"/>
      <c r="E4" s="19"/>
      <c r="F4" s="19"/>
      <c r="G4" s="19"/>
      <c r="H4" s="19"/>
      <c r="I4" s="19"/>
    </row>
    <row r="5" spans="1:26">
      <c r="A5" s="3" t="s">
        <v>19</v>
      </c>
      <c r="B5" s="3" t="s">
        <v>6</v>
      </c>
      <c r="C5" s="3" t="s">
        <v>7</v>
      </c>
      <c r="E5" s="941" t="s">
        <v>9</v>
      </c>
      <c r="F5" s="941"/>
      <c r="G5" s="941"/>
      <c r="H5" s="941"/>
      <c r="I5" s="3" t="s">
        <v>173</v>
      </c>
    </row>
    <row r="6" spans="1:26" ht="16" thickBot="1">
      <c r="A6" s="50" t="s">
        <v>61</v>
      </c>
      <c r="B6" s="39"/>
      <c r="C6" s="39"/>
      <c r="D6" s="39"/>
      <c r="E6" s="51"/>
      <c r="F6" s="51"/>
      <c r="G6" s="51"/>
      <c r="H6" s="51"/>
      <c r="I6" s="39"/>
    </row>
    <row r="7" spans="1:26" ht="12.5">
      <c r="A7" s="109" t="s">
        <v>145</v>
      </c>
      <c r="B7" s="9">
        <f>'Design Converter'!E6</f>
        <v>10</v>
      </c>
      <c r="C7" s="31" t="s">
        <v>0</v>
      </c>
      <c r="D7" s="79" t="s">
        <v>146</v>
      </c>
      <c r="E7" s="31"/>
      <c r="F7" s="31"/>
      <c r="G7" s="31"/>
      <c r="H7" s="31"/>
      <c r="I7" s="32">
        <v>1</v>
      </c>
    </row>
    <row r="8" spans="1:26" ht="12.5">
      <c r="A8" s="110" t="s">
        <v>143</v>
      </c>
      <c r="B8" s="10">
        <f>'Design Converter'!E7</f>
        <v>24</v>
      </c>
      <c r="C8" s="7" t="s">
        <v>0</v>
      </c>
      <c r="D8" s="7" t="s">
        <v>10</v>
      </c>
      <c r="F8" s="7"/>
      <c r="G8" s="7"/>
      <c r="H8" s="7"/>
      <c r="I8" s="25"/>
    </row>
    <row r="9" spans="1:26" ht="12.5">
      <c r="A9" s="110" t="s">
        <v>144</v>
      </c>
      <c r="B9" s="10">
        <f>'Design Converter'!E8</f>
        <v>36</v>
      </c>
      <c r="C9" s="7" t="s">
        <v>0</v>
      </c>
      <c r="D9" s="77" t="s">
        <v>147</v>
      </c>
      <c r="F9" s="7"/>
      <c r="G9" s="7"/>
      <c r="H9" s="7"/>
      <c r="I9" s="25"/>
    </row>
    <row r="10" spans="1:26" thickBot="1">
      <c r="A10" s="110"/>
      <c r="B10" s="205"/>
      <c r="C10" s="60"/>
      <c r="D10" s="77"/>
      <c r="F10" s="7"/>
      <c r="G10" s="7"/>
      <c r="H10" s="7"/>
      <c r="I10" s="25"/>
    </row>
    <row r="11" spans="1:26">
      <c r="A11" s="24" t="s">
        <v>4</v>
      </c>
      <c r="B11" s="10">
        <f>'Design Converter'!E10</f>
        <v>16.399999999999999</v>
      </c>
      <c r="C11" s="7" t="s">
        <v>0</v>
      </c>
      <c r="D11" s="77" t="s">
        <v>563</v>
      </c>
      <c r="F11" s="7"/>
      <c r="G11" s="7">
        <f>(Vout+Vfwd2)*Nps</f>
        <v>17.099999999999998</v>
      </c>
      <c r="H11" s="7"/>
      <c r="I11" s="25">
        <v>1</v>
      </c>
      <c r="K11" t="str">
        <f>'Variable Mgmt'!B73&amp;" Output PSR Flyback Converter, "&amp;"VIN = "&amp;Vin&amp;" V, VOUT = "&amp;Vout&amp;" V, IOUT = "&amp;Iout&amp;" A"</f>
        <v>SINGLE Output PSR Flyback Converter, VIN = 24 V, VOUT = 16.4 V, IOUT = 1 A</v>
      </c>
      <c r="W11" s="751" t="s">
        <v>788</v>
      </c>
      <c r="X11" s="152"/>
      <c r="Y11" s="152"/>
      <c r="Z11" s="738"/>
    </row>
    <row r="12" spans="1:26" ht="12.5">
      <c r="A12" s="24" t="s">
        <v>5</v>
      </c>
      <c r="B12" s="572">
        <f>'Design Converter'!E11</f>
        <v>1</v>
      </c>
      <c r="C12" s="77" t="s">
        <v>1</v>
      </c>
      <c r="D12" s="77" t="s">
        <v>648</v>
      </c>
      <c r="F12" s="7"/>
      <c r="G12" s="7"/>
      <c r="H12" s="7"/>
      <c r="I12" s="25">
        <v>1</v>
      </c>
      <c r="K12" t="str">
        <f>'Variable Mgmt'!B73&amp;" Output PSR Flyback Converter, "&amp;"VIN = "&amp;Vin&amp;" V, VOUT1 = "&amp;Vout&amp;" V, IOUT1 = "&amp;Iout&amp;" A"&amp;", VOUT2 = "&amp;Vout2_actual&amp;" V, IOUT2 = "&amp;Iout2_actual&amp;" A"</f>
        <v>SINGLE Output PSR Flyback Converter, VIN = 24 V, VOUT1 = 16.4 V, IOUT1 = 1 A, VOUT2 = 8 V, IOUT2 = 0.25 A</v>
      </c>
      <c r="L12" s="76"/>
      <c r="W12" s="24"/>
      <c r="X12" s="7" t="s">
        <v>787</v>
      </c>
      <c r="Y12" s="7">
        <f>'Calculations - Single'!AQ105*1000</f>
        <v>230489.89604516912</v>
      </c>
      <c r="Z12" s="25" t="s">
        <v>8</v>
      </c>
    </row>
    <row r="13" spans="1:26" ht="12.5">
      <c r="A13" s="110" t="s">
        <v>168</v>
      </c>
      <c r="B13" s="153">
        <f>Vout/Iout</f>
        <v>16.399999999999999</v>
      </c>
      <c r="C13" s="113" t="s">
        <v>45</v>
      </c>
      <c r="D13" s="111" t="s">
        <v>169</v>
      </c>
      <c r="F13" s="7"/>
      <c r="G13" s="7"/>
      <c r="H13" s="7"/>
      <c r="I13" s="25"/>
      <c r="W13" s="24"/>
      <c r="X13" s="7" t="s">
        <v>789</v>
      </c>
      <c r="Y13" s="7">
        <f>Lmag</f>
        <v>1.2E-5</v>
      </c>
      <c r="Z13" s="25" t="s">
        <v>11</v>
      </c>
    </row>
    <row r="14" spans="1:26" ht="12.5">
      <c r="A14" s="110" t="s">
        <v>152</v>
      </c>
      <c r="B14" s="571">
        <f>Vout*Iout</f>
        <v>16.399999999999999</v>
      </c>
      <c r="C14" s="60" t="s">
        <v>45</v>
      </c>
      <c r="D14" s="111" t="s">
        <v>158</v>
      </c>
      <c r="F14" s="7"/>
      <c r="G14" s="7"/>
      <c r="H14" s="7"/>
      <c r="I14" s="25"/>
      <c r="L14" s="76"/>
      <c r="W14" s="24"/>
      <c r="X14" s="7" t="s">
        <v>791</v>
      </c>
      <c r="Y14" s="7">
        <f>G11/(G11+VIN_nom/Npri_sec)</f>
        <v>0.41605839416058393</v>
      </c>
      <c r="Z14" s="25"/>
    </row>
    <row r="15" spans="1:26" ht="12.5">
      <c r="B15" s="372"/>
      <c r="C15" s="60"/>
      <c r="D15" s="111"/>
      <c r="F15" s="7"/>
      <c r="G15" s="7"/>
      <c r="H15" s="7"/>
      <c r="I15" s="25"/>
      <c r="L15" s="76"/>
      <c r="W15" s="24"/>
      <c r="X15" s="7" t="s">
        <v>790</v>
      </c>
      <c r="Y15" s="7">
        <f>VIN_nom/Lmag*Y14/Y12</f>
        <v>3.6102093957216148</v>
      </c>
      <c r="Z15" s="25" t="s">
        <v>1</v>
      </c>
    </row>
    <row r="16" spans="1:26" ht="12.5">
      <c r="A16" s="110" t="s">
        <v>608</v>
      </c>
      <c r="B16" s="573">
        <f>ABS('Design Converter'!E12)</f>
        <v>8</v>
      </c>
      <c r="C16" s="7" t="s">
        <v>0</v>
      </c>
      <c r="D16" s="77" t="s">
        <v>565</v>
      </c>
      <c r="F16" s="7"/>
      <c r="G16" s="7"/>
      <c r="H16" s="7"/>
      <c r="I16" s="25"/>
      <c r="L16" s="76"/>
      <c r="W16" s="24"/>
      <c r="X16" s="7" t="s">
        <v>792</v>
      </c>
      <c r="Y16" s="7">
        <f>0.5*Y15^2*Y13*Y12</f>
        <v>18.024695085208645</v>
      </c>
      <c r="Z16" s="25"/>
    </row>
    <row r="17" spans="1:26">
      <c r="A17" s="110" t="s">
        <v>609</v>
      </c>
      <c r="B17" s="611">
        <f>'Design Converter'!E12</f>
        <v>8</v>
      </c>
      <c r="C17" s="60" t="s">
        <v>0</v>
      </c>
      <c r="D17" s="77"/>
      <c r="F17" s="7"/>
      <c r="G17" s="7"/>
      <c r="H17" s="7"/>
      <c r="I17" s="25"/>
      <c r="L17" s="76"/>
      <c r="P17" s="3" t="s">
        <v>769</v>
      </c>
      <c r="W17" s="24"/>
      <c r="X17" s="7" t="s">
        <v>769</v>
      </c>
      <c r="Y17" s="39" t="str">
        <f>IF((Y16/(G11*Iout))&lt;1.01, "BCM", "DCM")</f>
        <v>DCM</v>
      </c>
      <c r="Z17" s="25"/>
    </row>
    <row r="18" spans="1:26">
      <c r="A18" s="110" t="s">
        <v>498</v>
      </c>
      <c r="B18" s="573">
        <f>ABS('Design Converter'!E13)</f>
        <v>0.25</v>
      </c>
      <c r="C18" s="77" t="s">
        <v>1</v>
      </c>
      <c r="D18" s="77" t="s">
        <v>564</v>
      </c>
      <c r="F18" s="7"/>
      <c r="G18" s="7"/>
      <c r="H18" s="7"/>
      <c r="I18" s="25"/>
      <c r="L18" s="76"/>
      <c r="P18" s="3" t="s">
        <v>768</v>
      </c>
      <c r="Q18">
        <v>1</v>
      </c>
      <c r="W18" s="24"/>
      <c r="X18" s="7"/>
      <c r="Y18" s="7"/>
      <c r="Z18" s="25"/>
    </row>
    <row r="19" spans="1:26" ht="13.5" thickBot="1">
      <c r="A19" s="111" t="s">
        <v>647</v>
      </c>
      <c r="B19">
        <f>Iout2*SIGN(Vout2_actual)</f>
        <v>0.25</v>
      </c>
      <c r="C19" s="76" t="s">
        <v>1</v>
      </c>
      <c r="F19" s="7"/>
      <c r="G19" s="7"/>
      <c r="H19" s="7"/>
      <c r="I19" s="25"/>
      <c r="L19" s="76"/>
      <c r="P19" s="3" t="s">
        <v>767</v>
      </c>
      <c r="Q19">
        <v>2</v>
      </c>
      <c r="W19" s="748"/>
      <c r="X19" s="180" t="s">
        <v>793</v>
      </c>
      <c r="Y19" s="180">
        <f>Vout*Iout</f>
        <v>16.399999999999999</v>
      </c>
      <c r="Z19" s="750"/>
    </row>
    <row r="20" spans="1:26">
      <c r="A20" s="110" t="s">
        <v>499</v>
      </c>
      <c r="B20" s="571">
        <f>ABS(Vout2/Iout2)</f>
        <v>32</v>
      </c>
      <c r="C20" s="113" t="s">
        <v>45</v>
      </c>
      <c r="D20" s="111" t="s">
        <v>501</v>
      </c>
      <c r="F20" s="7"/>
      <c r="G20" s="7"/>
      <c r="H20" s="7"/>
      <c r="I20" s="25"/>
      <c r="K20" s="76" t="s">
        <v>530</v>
      </c>
      <c r="L20" s="76" t="s">
        <v>531</v>
      </c>
      <c r="Q20" s="3">
        <v>2</v>
      </c>
    </row>
    <row r="21" spans="1:26" ht="12.5">
      <c r="A21" s="110" t="s">
        <v>500</v>
      </c>
      <c r="B21" s="571">
        <f>ABS(Vout2*Iout2)</f>
        <v>2</v>
      </c>
      <c r="C21" s="60" t="s">
        <v>45</v>
      </c>
      <c r="D21" s="111" t="s">
        <v>502</v>
      </c>
      <c r="F21" s="7"/>
      <c r="G21" s="7"/>
      <c r="H21" s="7"/>
      <c r="I21" s="25"/>
      <c r="K21">
        <v>5</v>
      </c>
      <c r="L21" s="76">
        <v>-5</v>
      </c>
    </row>
    <row r="22" spans="1:26" ht="12.5">
      <c r="A22" s="110" t="s">
        <v>503</v>
      </c>
      <c r="B22" s="571">
        <f>CHOOSE(MODE, Pout, Pout + Pout2)</f>
        <v>16.399999999999999</v>
      </c>
      <c r="C22" s="60" t="s">
        <v>45</v>
      </c>
      <c r="D22" s="111" t="s">
        <v>504</v>
      </c>
      <c r="F22" s="7"/>
      <c r="G22" s="7"/>
      <c r="H22" s="7"/>
      <c r="I22" s="25"/>
      <c r="K22">
        <v>0.2</v>
      </c>
      <c r="L22" s="76">
        <v>0.2</v>
      </c>
    </row>
    <row r="23" spans="1:26" ht="12.5">
      <c r="A23" s="110"/>
      <c r="B23" s="372"/>
      <c r="C23" s="60"/>
      <c r="D23" s="111"/>
      <c r="F23" s="7"/>
      <c r="G23" s="7"/>
      <c r="H23" s="7"/>
      <c r="I23" s="25"/>
      <c r="L23" s="76"/>
    </row>
    <row r="24" spans="1:26">
      <c r="A24" s="34" t="str">
        <f>CHOOSE(MODE, "Turns Ratio, PRI : SEC", "Turns Ratio, PRI : SEC1")</f>
        <v>Turns Ratio, PRI : SEC</v>
      </c>
      <c r="B24" s="556" t="str">
        <f>Nps</f>
        <v>1</v>
      </c>
      <c r="C24" s="60"/>
      <c r="D24" s="111" t="str">
        <f>CHOOSE(MODE, "TR primary-secondary (single output) = Np/Ns", "TR primary-secondary1 (dual output) = Np/Nsec1")</f>
        <v>TR primary-secondary (single output) = Np/Ns</v>
      </c>
      <c r="F24" s="7"/>
      <c r="G24" s="7"/>
      <c r="H24" s="7"/>
      <c r="I24" s="25"/>
      <c r="L24" s="76"/>
    </row>
    <row r="25" spans="1:26">
      <c r="A25" s="34" t="s">
        <v>576</v>
      </c>
      <c r="B25" s="173">
        <f>Npri_sec2</f>
        <v>2.0117647058823525</v>
      </c>
      <c r="D25" s="111" t="s">
        <v>577</v>
      </c>
      <c r="F25" s="7"/>
      <c r="G25" s="7"/>
      <c r="H25" s="7"/>
      <c r="I25" s="25"/>
      <c r="L25" s="76"/>
    </row>
    <row r="26" spans="1:26" ht="13.5" thickBot="1">
      <c r="A26" s="34" t="s">
        <v>589</v>
      </c>
      <c r="B26" s="610">
        <f>Nsec1sec2</f>
        <v>0.49707602339181295</v>
      </c>
      <c r="D26" s="76" t="s">
        <v>578</v>
      </c>
      <c r="F26" s="7"/>
      <c r="G26" s="7"/>
      <c r="H26" s="7"/>
      <c r="I26" s="25"/>
      <c r="L26" s="76"/>
      <c r="R26" s="157" t="s">
        <v>389</v>
      </c>
      <c r="V26" s="157" t="s">
        <v>389</v>
      </c>
    </row>
    <row r="27" spans="1:26">
      <c r="H27" s="7"/>
      <c r="I27" s="25"/>
      <c r="K27" s="157" t="s">
        <v>529</v>
      </c>
      <c r="P27" s="737"/>
      <c r="Q27" s="152"/>
      <c r="R27" s="155" t="s">
        <v>571</v>
      </c>
      <c r="S27" s="152"/>
      <c r="T27" s="152"/>
      <c r="U27" s="152"/>
      <c r="V27" s="155" t="s">
        <v>572</v>
      </c>
      <c r="W27" s="738"/>
    </row>
    <row r="28" spans="1:26" ht="12.5">
      <c r="A28" s="76" t="s">
        <v>610</v>
      </c>
      <c r="B28" s="5">
        <f>Vout+VIN_max/Nps</f>
        <v>52.4</v>
      </c>
      <c r="C28" s="76" t="s">
        <v>0</v>
      </c>
      <c r="G28" s="7"/>
      <c r="H28" s="7"/>
      <c r="I28" s="25"/>
      <c r="K28" s="76" t="s">
        <v>526</v>
      </c>
      <c r="L28">
        <v>1</v>
      </c>
      <c r="P28" s="24"/>
      <c r="Q28" s="7"/>
      <c r="R28" s="7" t="str">
        <f>"20 : 1"</f>
        <v>20 : 1</v>
      </c>
      <c r="S28" s="7">
        <v>1</v>
      </c>
      <c r="T28" s="7">
        <v>20</v>
      </c>
      <c r="U28" s="7"/>
      <c r="V28" s="7" t="str">
        <f>"20 : 1"</f>
        <v>20 : 1</v>
      </c>
      <c r="W28" s="7">
        <v>1</v>
      </c>
    </row>
    <row r="29" spans="1:26" ht="12.5">
      <c r="A29" s="76"/>
      <c r="B29" s="5"/>
      <c r="C29" s="76"/>
      <c r="G29" s="7"/>
      <c r="H29" s="7"/>
      <c r="I29" s="848"/>
      <c r="K29" s="76"/>
      <c r="P29" s="24"/>
      <c r="Q29" s="7"/>
      <c r="R29" s="7" t="str">
        <f>"15 : 1"</f>
        <v>15 : 1</v>
      </c>
      <c r="S29" s="7">
        <v>2</v>
      </c>
      <c r="T29" s="7">
        <v>15</v>
      </c>
      <c r="U29" s="7"/>
      <c r="V29" s="7" t="str">
        <f>"15 : 1"</f>
        <v>15 : 1</v>
      </c>
      <c r="W29" s="7">
        <v>2</v>
      </c>
    </row>
    <row r="30" spans="1:26" ht="12.5">
      <c r="A30" s="76"/>
      <c r="B30" s="5"/>
      <c r="C30" s="76"/>
      <c r="G30" s="7"/>
      <c r="H30" s="7"/>
      <c r="I30" s="848"/>
      <c r="K30" s="76"/>
      <c r="P30" s="24"/>
      <c r="Q30" s="7"/>
      <c r="R30" s="7" t="str">
        <f>"10 : 1"</f>
        <v>10 : 1</v>
      </c>
      <c r="S30" s="7">
        <v>3</v>
      </c>
      <c r="T30" s="7">
        <v>10</v>
      </c>
      <c r="U30" s="7"/>
      <c r="V30" s="7" t="str">
        <f>"10 : 1"</f>
        <v>10 : 1</v>
      </c>
      <c r="W30" s="7">
        <v>3</v>
      </c>
    </row>
    <row r="31" spans="1:26" ht="12.5">
      <c r="A31" s="76"/>
      <c r="B31" s="5"/>
      <c r="C31" s="76"/>
      <c r="G31" s="7"/>
      <c r="H31" s="7"/>
      <c r="I31" s="848"/>
      <c r="K31" s="76"/>
      <c r="P31" s="24"/>
      <c r="Q31" s="7"/>
      <c r="R31" s="7" t="str">
        <f>"8 : 1"</f>
        <v>8 : 1</v>
      </c>
      <c r="S31" s="7">
        <v>4</v>
      </c>
      <c r="T31" s="12">
        <v>8</v>
      </c>
      <c r="U31" s="7"/>
      <c r="V31" s="7" t="str">
        <f>"8 : 1"</f>
        <v>8 : 1</v>
      </c>
      <c r="W31" s="7">
        <v>4</v>
      </c>
    </row>
    <row r="32" spans="1:26" ht="12.5">
      <c r="A32" s="76"/>
      <c r="B32" s="5"/>
      <c r="C32" s="76"/>
      <c r="G32" s="7"/>
      <c r="H32" s="7"/>
      <c r="I32" s="848"/>
      <c r="K32" s="76"/>
      <c r="P32" s="24"/>
      <c r="Q32" s="7"/>
      <c r="R32" s="7" t="str">
        <f>"6 : 1"</f>
        <v>6 : 1</v>
      </c>
      <c r="S32" s="7">
        <v>5</v>
      </c>
      <c r="T32" s="12">
        <v>6</v>
      </c>
      <c r="U32" s="7"/>
      <c r="V32" s="7" t="str">
        <f>"6 : 1"</f>
        <v>6 : 1</v>
      </c>
      <c r="W32" s="7">
        <v>5</v>
      </c>
    </row>
    <row r="33" spans="1:23" ht="12.5">
      <c r="A33" s="76"/>
      <c r="B33" s="5"/>
      <c r="C33" s="76"/>
      <c r="G33" s="7"/>
      <c r="H33" s="7"/>
      <c r="I33" s="848"/>
      <c r="K33" s="76"/>
      <c r="P33" s="24"/>
      <c r="Q33" s="7"/>
      <c r="R33" s="7" t="str">
        <f>"5 : 1"</f>
        <v>5 : 1</v>
      </c>
      <c r="S33" s="7">
        <v>6</v>
      </c>
      <c r="T33" s="7">
        <v>5</v>
      </c>
      <c r="U33" s="7"/>
      <c r="V33" s="7" t="str">
        <f>"5 : 1"</f>
        <v>5 : 1</v>
      </c>
      <c r="W33" s="7">
        <v>6</v>
      </c>
    </row>
    <row r="34" spans="1:23">
      <c r="F34" s="7"/>
      <c r="G34" s="7"/>
      <c r="H34" s="7"/>
      <c r="I34" s="25"/>
      <c r="K34" s="76" t="s">
        <v>527</v>
      </c>
      <c r="L34">
        <v>2</v>
      </c>
      <c r="P34" s="24"/>
      <c r="Q34" s="7"/>
      <c r="R34" s="7" t="str">
        <f>"4 : 1"</f>
        <v>4 : 1</v>
      </c>
      <c r="S34" s="7">
        <v>7</v>
      </c>
      <c r="T34" s="7">
        <v>4</v>
      </c>
      <c r="U34" s="7"/>
      <c r="V34" s="7" t="str">
        <f>"4 : 1"</f>
        <v>4 : 1</v>
      </c>
      <c r="W34" s="7">
        <v>7</v>
      </c>
    </row>
    <row r="35" spans="1:23" ht="12.5">
      <c r="A35" s="110" t="s">
        <v>436</v>
      </c>
      <c r="B35" s="371">
        <f>1%*Vout*1000</f>
        <v>163.99999999999997</v>
      </c>
      <c r="C35" s="60" t="s">
        <v>149</v>
      </c>
      <c r="D35" s="111" t="s">
        <v>454</v>
      </c>
      <c r="F35" s="7"/>
      <c r="G35" s="7"/>
      <c r="H35" s="7"/>
      <c r="I35" s="25"/>
      <c r="K35" s="76" t="s">
        <v>528</v>
      </c>
      <c r="L35">
        <v>3</v>
      </c>
      <c r="P35" s="24"/>
      <c r="Q35" s="7"/>
      <c r="R35" s="7" t="str">
        <f>"3 : 1"</f>
        <v>3 : 1</v>
      </c>
      <c r="S35" s="7">
        <v>8</v>
      </c>
      <c r="T35" s="7">
        <v>3</v>
      </c>
      <c r="U35" s="7"/>
      <c r="V35" s="7" t="str">
        <f>"3 : 1"</f>
        <v>3 : 1</v>
      </c>
      <c r="W35" s="7">
        <v>8</v>
      </c>
    </row>
    <row r="36" spans="1:23" ht="12.5">
      <c r="A36" s="110" t="s">
        <v>547</v>
      </c>
      <c r="B36" s="371">
        <f>1%*Vout2*1000</f>
        <v>80</v>
      </c>
      <c r="C36" s="60" t="s">
        <v>149</v>
      </c>
      <c r="D36" s="111" t="s">
        <v>546</v>
      </c>
      <c r="F36" s="7"/>
      <c r="G36" s="7"/>
      <c r="H36" s="7"/>
      <c r="I36" s="25"/>
      <c r="P36" s="24"/>
      <c r="Q36" s="7"/>
      <c r="R36" s="7" t="str">
        <f>"2.5 : 1"</f>
        <v>2.5 : 1</v>
      </c>
      <c r="S36" s="7">
        <v>9</v>
      </c>
      <c r="T36" s="7">
        <v>2.5</v>
      </c>
      <c r="U36" s="7"/>
      <c r="V36" s="7" t="str">
        <f>"2.5 : 1"</f>
        <v>2.5 : 1</v>
      </c>
      <c r="W36" s="7">
        <v>9</v>
      </c>
    </row>
    <row r="37" spans="1:23">
      <c r="F37" s="7"/>
      <c r="G37" s="7"/>
      <c r="H37" s="7"/>
      <c r="I37" s="25"/>
      <c r="P37" s="24"/>
      <c r="Q37" s="739"/>
      <c r="R37" s="7" t="str">
        <f>"2 : 1"</f>
        <v>2 : 1</v>
      </c>
      <c r="S37" s="7">
        <v>10</v>
      </c>
      <c r="T37" s="12">
        <v>2</v>
      </c>
      <c r="U37" s="7"/>
      <c r="V37" s="7" t="str">
        <f>"2 : 1"</f>
        <v>2 : 1</v>
      </c>
      <c r="W37" s="7">
        <v>10</v>
      </c>
    </row>
    <row r="38" spans="1:23">
      <c r="F38" s="7"/>
      <c r="G38" s="7"/>
      <c r="H38" s="7"/>
      <c r="I38" s="25"/>
      <c r="P38" s="24"/>
      <c r="Q38" s="739"/>
      <c r="R38" s="7" t="str">
        <f>"1.8 :1"</f>
        <v>1.8 :1</v>
      </c>
      <c r="S38" s="7">
        <v>11</v>
      </c>
      <c r="T38" s="12">
        <v>1.8</v>
      </c>
      <c r="U38" s="7"/>
      <c r="V38" s="7" t="str">
        <f>"1.8 : 1"</f>
        <v>1.8 : 1</v>
      </c>
      <c r="W38" s="7">
        <v>11</v>
      </c>
    </row>
    <row r="39" spans="1:23" ht="12.5">
      <c r="A39" s="110" t="s">
        <v>47</v>
      </c>
      <c r="B39" s="612">
        <v>1</v>
      </c>
      <c r="C39" s="60"/>
      <c r="D39" s="77" t="s">
        <v>175</v>
      </c>
      <c r="F39" s="7"/>
      <c r="G39" s="7"/>
      <c r="H39" s="7"/>
      <c r="I39" s="25"/>
      <c r="P39" s="24"/>
      <c r="Q39" s="7"/>
      <c r="R39" s="7" t="str">
        <f>"1.5 : 1"</f>
        <v>1.5 : 1</v>
      </c>
      <c r="S39" s="7">
        <v>12</v>
      </c>
      <c r="T39" s="12">
        <v>1.5</v>
      </c>
      <c r="U39" s="7"/>
      <c r="V39" s="7" t="str">
        <f>"1.5 : 1"</f>
        <v>1.5 : 1</v>
      </c>
      <c r="W39" s="7">
        <v>12</v>
      </c>
    </row>
    <row r="40" spans="1:23" ht="12.5">
      <c r="A40" s="110"/>
      <c r="B40" s="612"/>
      <c r="C40" s="60"/>
      <c r="D40" s="77"/>
      <c r="F40" s="7"/>
      <c r="G40" s="7"/>
      <c r="H40" s="7"/>
      <c r="I40" s="25"/>
      <c r="P40" s="24"/>
      <c r="Q40" s="7"/>
      <c r="R40" s="7" t="str">
        <f>"1.2 : 1"</f>
        <v>1.2 : 1</v>
      </c>
      <c r="S40" s="7">
        <v>13</v>
      </c>
      <c r="T40" s="12">
        <v>1.2</v>
      </c>
      <c r="U40" s="7"/>
      <c r="V40" s="740" t="s">
        <v>785</v>
      </c>
      <c r="W40" s="7">
        <v>13</v>
      </c>
    </row>
    <row r="41" spans="1:23" ht="12.5">
      <c r="A41" s="110" t="s">
        <v>156</v>
      </c>
      <c r="B41" s="420">
        <f>Pout_total/Efficiency</f>
        <v>16.399999999999999</v>
      </c>
      <c r="C41" s="60" t="s">
        <v>45</v>
      </c>
      <c r="D41" s="111" t="s">
        <v>455</v>
      </c>
      <c r="F41" s="7"/>
      <c r="G41" s="7"/>
      <c r="H41" s="7"/>
      <c r="I41" s="25"/>
      <c r="P41" s="24"/>
      <c r="Q41" s="7"/>
      <c r="R41" s="7" t="str">
        <f>"1 : 1"</f>
        <v>1 : 1</v>
      </c>
      <c r="S41" s="7">
        <v>14</v>
      </c>
      <c r="T41" s="12">
        <v>1</v>
      </c>
      <c r="U41" s="7"/>
      <c r="V41" s="7" t="str">
        <f>"1 : 1"</f>
        <v>1 : 1</v>
      </c>
      <c r="W41" s="7">
        <v>14</v>
      </c>
    </row>
    <row r="42" spans="1:23" ht="12.5">
      <c r="A42" s="110"/>
      <c r="B42" s="420"/>
      <c r="C42" s="60"/>
      <c r="D42" s="111"/>
      <c r="F42" s="7"/>
      <c r="G42" s="7"/>
      <c r="H42" s="7"/>
      <c r="I42" s="25"/>
      <c r="P42" s="24"/>
      <c r="Q42" s="7"/>
      <c r="R42" s="7" t="str">
        <f>"1 : 1.2"</f>
        <v>1 : 1.2</v>
      </c>
      <c r="S42" s="7">
        <v>15</v>
      </c>
      <c r="T42" s="7">
        <f>0.833</f>
        <v>0.83299999999999996</v>
      </c>
      <c r="U42" s="7"/>
      <c r="V42" s="740" t="s">
        <v>786</v>
      </c>
      <c r="W42" s="7">
        <v>15</v>
      </c>
    </row>
    <row r="43" spans="1:23" ht="12.5">
      <c r="A43" s="110" t="s">
        <v>153</v>
      </c>
      <c r="B43" s="162">
        <f>Pin/VIN_min</f>
        <v>1.64</v>
      </c>
      <c r="C43" s="60" t="s">
        <v>1</v>
      </c>
      <c r="D43" s="77"/>
      <c r="F43" s="7"/>
      <c r="G43" s="7"/>
      <c r="H43" s="7"/>
      <c r="I43" s="25"/>
      <c r="P43" s="24"/>
      <c r="Q43" s="7"/>
      <c r="R43" s="7" t="str">
        <f>"1 : 1.5"</f>
        <v>1 : 1.5</v>
      </c>
      <c r="S43" s="7">
        <v>16</v>
      </c>
      <c r="T43" s="7">
        <f>0.667</f>
        <v>0.66700000000000004</v>
      </c>
      <c r="U43" s="7"/>
      <c r="V43" s="7" t="str">
        <f>"1 : 1.5"</f>
        <v>1 : 1.5</v>
      </c>
      <c r="W43" s="7">
        <v>16</v>
      </c>
    </row>
    <row r="44" spans="1:23" ht="12.5">
      <c r="A44" s="110"/>
      <c r="B44" s="162"/>
      <c r="C44" s="60"/>
      <c r="D44" s="77"/>
      <c r="F44" s="7"/>
      <c r="G44" s="7"/>
      <c r="H44" s="7"/>
      <c r="I44" s="25"/>
      <c r="P44" s="24"/>
      <c r="Q44" s="7"/>
      <c r="R44" s="7" t="str">
        <f>"1 : 1.8"</f>
        <v>1 : 1.8</v>
      </c>
      <c r="S44" s="7">
        <v>17</v>
      </c>
      <c r="T44" s="7">
        <f>0.556</f>
        <v>0.55600000000000005</v>
      </c>
      <c r="U44" s="7"/>
      <c r="V44" s="7" t="str">
        <f>"1 : 1.8"</f>
        <v>1 : 1.8</v>
      </c>
      <c r="W44" s="7">
        <v>17</v>
      </c>
    </row>
    <row r="45" spans="1:23" ht="12.5">
      <c r="A45" s="110" t="s">
        <v>154</v>
      </c>
      <c r="B45" s="162">
        <f>Pin/VIN_nom</f>
        <v>0.68333333333333324</v>
      </c>
      <c r="C45" s="60" t="s">
        <v>1</v>
      </c>
      <c r="D45" s="111" t="s">
        <v>159</v>
      </c>
      <c r="F45" s="7"/>
      <c r="G45" s="7"/>
      <c r="H45" s="7"/>
      <c r="I45" s="25">
        <v>1</v>
      </c>
      <c r="K45" s="76"/>
      <c r="P45" s="24"/>
      <c r="Q45" s="7"/>
      <c r="R45" s="7" t="str">
        <f>"1 : 2"</f>
        <v>1 : 2</v>
      </c>
      <c r="S45" s="12">
        <v>18</v>
      </c>
      <c r="T45" s="7">
        <f>1/2</f>
        <v>0.5</v>
      </c>
      <c r="U45" s="7"/>
      <c r="V45" s="7" t="str">
        <f>"1 : 2"</f>
        <v>1 : 2</v>
      </c>
      <c r="W45" s="12">
        <v>18</v>
      </c>
    </row>
    <row r="46" spans="1:23" ht="12.5">
      <c r="A46" s="110"/>
      <c r="B46" s="162"/>
      <c r="C46" s="60"/>
      <c r="D46" s="111"/>
      <c r="F46" s="7"/>
      <c r="G46" s="7"/>
      <c r="H46" s="7"/>
      <c r="I46" s="25"/>
      <c r="K46" s="76"/>
      <c r="P46" s="24"/>
      <c r="Q46" s="7"/>
      <c r="R46" s="7" t="str">
        <f>"1 : 2.5"</f>
        <v>1 : 2.5</v>
      </c>
      <c r="S46" s="12">
        <v>19</v>
      </c>
      <c r="T46" s="7">
        <f>1/2.5</f>
        <v>0.4</v>
      </c>
      <c r="U46" s="7"/>
      <c r="V46" s="7" t="str">
        <f>"1 : 2.5"</f>
        <v>1 : 2.5</v>
      </c>
      <c r="W46" s="12">
        <v>19</v>
      </c>
    </row>
    <row r="47" spans="1:23" ht="12.5">
      <c r="A47" s="110" t="s">
        <v>155</v>
      </c>
      <c r="B47" s="162">
        <f>Pin/VIN_max</f>
        <v>0.45555555555555549</v>
      </c>
      <c r="C47" s="60" t="s">
        <v>1</v>
      </c>
      <c r="D47" s="77"/>
      <c r="F47" s="7"/>
      <c r="G47" s="7"/>
      <c r="H47" s="7"/>
      <c r="I47" s="25"/>
      <c r="P47" s="24"/>
      <c r="Q47" s="7"/>
      <c r="R47" s="7" t="str">
        <f>"1 : 3"</f>
        <v>1 : 3</v>
      </c>
      <c r="S47" s="12">
        <v>20</v>
      </c>
      <c r="T47" s="7">
        <f>0.333</f>
        <v>0.33300000000000002</v>
      </c>
      <c r="U47" s="7"/>
      <c r="V47" s="7" t="str">
        <f>"1 : 3"</f>
        <v>1 : 3</v>
      </c>
      <c r="W47" s="12">
        <v>20</v>
      </c>
    </row>
    <row r="48" spans="1:23" ht="12.5">
      <c r="A48" s="110" t="s">
        <v>607</v>
      </c>
      <c r="B48" s="162">
        <f>CHOOSE(MODE,'Calculations - Single'!H212,'Calculations - Dual'!H212+'Calculations - Dual'!I212)*0+CHOOSE(MODE,'Calculations - Single'!H212,'Calculations - Dual'!O212+'Calculations - Dual'!P212)</f>
        <v>20.973868284989926</v>
      </c>
      <c r="C48" s="60" t="s">
        <v>45</v>
      </c>
      <c r="D48" s="77" t="b">
        <f>B48&lt;Pout_total</f>
        <v>0</v>
      </c>
      <c r="F48" s="7"/>
      <c r="G48" s="7"/>
      <c r="H48" s="7"/>
      <c r="I48" s="25"/>
      <c r="P48" s="24"/>
      <c r="Q48" s="7"/>
      <c r="R48" s="7" t="str">
        <f>"1 : 4"</f>
        <v>1 : 4</v>
      </c>
      <c r="S48" s="12">
        <v>21</v>
      </c>
      <c r="T48" s="7">
        <f>1/4</f>
        <v>0.25</v>
      </c>
      <c r="U48" s="7"/>
      <c r="V48" s="7" t="str">
        <f>R48</f>
        <v>1 : 4</v>
      </c>
      <c r="W48" s="12">
        <v>21</v>
      </c>
    </row>
    <row r="49" spans="1:23" ht="12.5">
      <c r="A49" s="110"/>
      <c r="B49" s="162"/>
      <c r="C49" s="60"/>
      <c r="D49" s="77"/>
      <c r="F49" s="7"/>
      <c r="G49" s="7"/>
      <c r="H49" s="7"/>
      <c r="I49" s="848"/>
      <c r="P49" s="24"/>
      <c r="Q49" s="7"/>
      <c r="R49" s="7" t="str">
        <f>"1 : 5"</f>
        <v>1 : 5</v>
      </c>
      <c r="S49" s="12">
        <v>22</v>
      </c>
      <c r="T49" s="7">
        <v>0.2</v>
      </c>
      <c r="U49" s="7"/>
      <c r="V49" s="7" t="str">
        <f>"1 : 5"</f>
        <v>1 : 5</v>
      </c>
      <c r="W49" s="12">
        <v>22</v>
      </c>
    </row>
    <row r="50" spans="1:23" ht="12.5">
      <c r="A50" s="110"/>
      <c r="B50" s="162"/>
      <c r="C50" s="60"/>
      <c r="D50" s="77"/>
      <c r="F50" s="7"/>
      <c r="G50" s="7"/>
      <c r="H50" s="7"/>
      <c r="I50" s="848"/>
      <c r="P50" s="24"/>
      <c r="Q50" s="7"/>
      <c r="R50" s="7" t="str">
        <f>"1 : 6"</f>
        <v>1 : 6</v>
      </c>
      <c r="S50" s="12">
        <v>23</v>
      </c>
      <c r="T50" s="7">
        <f>0.167</f>
        <v>0.16700000000000001</v>
      </c>
      <c r="U50" s="7"/>
      <c r="V50" s="7" t="str">
        <f>"1 : 6"</f>
        <v>1 : 6</v>
      </c>
      <c r="W50" s="12">
        <v>23</v>
      </c>
    </row>
    <row r="51" spans="1:23" ht="12.5">
      <c r="A51" s="110"/>
      <c r="B51" s="162"/>
      <c r="C51" s="60"/>
      <c r="D51" s="77"/>
      <c r="F51" s="7"/>
      <c r="G51" s="7"/>
      <c r="H51" s="7"/>
      <c r="I51" s="848"/>
      <c r="P51" s="24"/>
      <c r="Q51" s="7"/>
      <c r="R51" s="7" t="str">
        <f>"1 : 8"</f>
        <v>1 : 8</v>
      </c>
      <c r="S51" s="12">
        <v>24</v>
      </c>
      <c r="T51" s="7">
        <f>1/8</f>
        <v>0.125</v>
      </c>
      <c r="U51" s="7"/>
      <c r="V51" s="7" t="str">
        <f>"1 : 8"</f>
        <v>1 : 8</v>
      </c>
      <c r="W51" s="12">
        <v>24</v>
      </c>
    </row>
    <row r="52" spans="1:23" ht="12.5">
      <c r="A52" s="110"/>
      <c r="B52" s="162"/>
      <c r="C52" s="60"/>
      <c r="D52" s="77"/>
      <c r="F52" s="7"/>
      <c r="G52" s="7"/>
      <c r="H52" s="7"/>
      <c r="I52" s="848"/>
      <c r="P52" s="24"/>
      <c r="Q52" s="7"/>
      <c r="R52" s="7" t="str">
        <f>"1 : 10"</f>
        <v>1 : 10</v>
      </c>
      <c r="S52" s="12">
        <v>25</v>
      </c>
      <c r="T52" s="7">
        <f>1/10</f>
        <v>0.1</v>
      </c>
      <c r="U52" s="7"/>
      <c r="V52" s="7" t="str">
        <f>"1 : 10"</f>
        <v>1 : 10</v>
      </c>
      <c r="W52" s="12">
        <v>25</v>
      </c>
    </row>
    <row r="53" spans="1:23" ht="12.5">
      <c r="A53" s="110"/>
      <c r="B53" s="162"/>
      <c r="C53" s="60"/>
      <c r="D53" s="77"/>
      <c r="F53" s="7"/>
      <c r="G53" s="7"/>
      <c r="H53" s="7"/>
      <c r="I53" s="848"/>
      <c r="P53" s="24"/>
      <c r="Q53" s="7"/>
      <c r="R53" s="7" t="str">
        <f>"1 : 15"</f>
        <v>1 : 15</v>
      </c>
      <c r="S53" s="12">
        <v>26</v>
      </c>
      <c r="T53" s="7">
        <f>0.0667</f>
        <v>6.6699999999999995E-2</v>
      </c>
      <c r="U53" s="7"/>
      <c r="V53" s="7" t="str">
        <f>"1 : 15"</f>
        <v>1 : 15</v>
      </c>
      <c r="W53" s="12">
        <v>26</v>
      </c>
    </row>
    <row r="54" spans="1:23" ht="12.5">
      <c r="A54" s="110"/>
      <c r="B54" s="162"/>
      <c r="C54" s="60"/>
      <c r="D54" s="77"/>
      <c r="F54" s="7"/>
      <c r="G54" s="7"/>
      <c r="H54" s="7"/>
      <c r="I54" s="848"/>
      <c r="P54" s="24"/>
      <c r="Q54" s="7"/>
      <c r="R54" s="7" t="str">
        <f>"1 : 20"</f>
        <v>1 : 20</v>
      </c>
      <c r="S54" s="12">
        <v>27</v>
      </c>
      <c r="T54" s="7">
        <f>1/20</f>
        <v>0.05</v>
      </c>
      <c r="U54" s="7"/>
      <c r="V54" s="7" t="str">
        <f>"1 : 20"</f>
        <v>1 : 20</v>
      </c>
      <c r="W54" s="12">
        <v>27</v>
      </c>
    </row>
    <row r="55" spans="1:23" ht="12.5">
      <c r="A55" s="110"/>
      <c r="B55" s="162"/>
      <c r="C55" s="60"/>
      <c r="D55" s="77"/>
      <c r="F55" s="7"/>
      <c r="G55" s="7"/>
      <c r="H55" s="7"/>
      <c r="I55" s="848"/>
      <c r="P55" s="24"/>
      <c r="Q55" s="7"/>
      <c r="R55" s="7" t="str">
        <f>"1 : 30"</f>
        <v>1 : 30</v>
      </c>
      <c r="S55" s="12">
        <v>28</v>
      </c>
      <c r="T55" s="7">
        <f>0.0333</f>
        <v>3.3300000000000003E-2</v>
      </c>
      <c r="U55" s="7"/>
      <c r="V55" s="7" t="str">
        <f>"1 : 30"</f>
        <v>1 : 30</v>
      </c>
      <c r="W55" s="12">
        <v>28</v>
      </c>
    </row>
    <row r="56" spans="1:23" ht="12.5">
      <c r="A56" s="110"/>
      <c r="B56" s="162"/>
      <c r="C56" s="60"/>
      <c r="D56" s="77"/>
      <c r="F56" s="7"/>
      <c r="G56" s="7"/>
      <c r="H56" s="7"/>
      <c r="I56" s="848"/>
      <c r="P56" s="24"/>
      <c r="Q56" s="7"/>
      <c r="R56" s="7" t="str">
        <f>"1 : 40"</f>
        <v>1 : 40</v>
      </c>
      <c r="S56" s="7">
        <v>29</v>
      </c>
      <c r="T56" s="7">
        <f>1/40</f>
        <v>2.5000000000000001E-2</v>
      </c>
      <c r="U56" s="7"/>
      <c r="V56" s="7" t="str">
        <f>"1 : 40"</f>
        <v>1 : 40</v>
      </c>
      <c r="W56" s="7">
        <v>29</v>
      </c>
    </row>
    <row r="57" spans="1:23" ht="12.5">
      <c r="A57" s="110"/>
      <c r="B57" s="162"/>
      <c r="C57" s="60"/>
      <c r="D57" s="77"/>
      <c r="F57" s="7"/>
      <c r="G57" s="7"/>
      <c r="H57" s="7"/>
      <c r="I57" s="848"/>
      <c r="P57" s="24"/>
      <c r="Q57" s="7"/>
      <c r="R57" s="7" t="str">
        <f>"1 : 50"</f>
        <v>1 : 50</v>
      </c>
      <c r="S57" s="12">
        <v>30</v>
      </c>
      <c r="T57" s="7">
        <f>1/50</f>
        <v>0.02</v>
      </c>
      <c r="U57" s="7"/>
      <c r="V57" s="7" t="str">
        <f>"1 : 50"</f>
        <v>1 : 50</v>
      </c>
      <c r="W57" s="12">
        <v>30</v>
      </c>
    </row>
    <row r="58" spans="1:23" ht="12.5">
      <c r="A58" s="110"/>
      <c r="B58" s="162"/>
      <c r="C58" s="60"/>
      <c r="D58" s="77"/>
      <c r="F58" s="7"/>
      <c r="G58" s="7"/>
      <c r="H58" s="7"/>
      <c r="I58" s="848"/>
      <c r="P58" s="24"/>
      <c r="Q58" s="7"/>
      <c r="R58" s="7" t="str">
        <f>"1 : 60"</f>
        <v>1 : 60</v>
      </c>
      <c r="S58" s="12">
        <v>31</v>
      </c>
      <c r="T58" s="7">
        <f>0.0167</f>
        <v>1.67E-2</v>
      </c>
      <c r="U58" s="7"/>
      <c r="V58" s="7" t="str">
        <f>"1 : 60"</f>
        <v>1 : 60</v>
      </c>
      <c r="W58" s="12">
        <v>31</v>
      </c>
    </row>
    <row r="59" spans="1:23" ht="12.5">
      <c r="A59" s="110"/>
      <c r="B59" s="162"/>
      <c r="C59" s="60"/>
      <c r="D59" s="77"/>
      <c r="F59" s="7"/>
      <c r="G59" s="7"/>
      <c r="H59" s="7"/>
      <c r="I59" s="848"/>
      <c r="P59" s="24"/>
      <c r="Q59" s="7"/>
      <c r="R59" s="7" t="str">
        <f>"1 : 80"</f>
        <v>1 : 80</v>
      </c>
      <c r="S59" s="12">
        <v>32</v>
      </c>
      <c r="T59" s="7">
        <f>1/80</f>
        <v>1.2500000000000001E-2</v>
      </c>
      <c r="U59" s="7"/>
      <c r="V59" s="7" t="str">
        <f>"1 : 80"</f>
        <v>1 : 80</v>
      </c>
      <c r="W59" s="12">
        <v>32</v>
      </c>
    </row>
    <row r="60" spans="1:23">
      <c r="A60" s="110"/>
      <c r="B60" s="518"/>
      <c r="C60" s="111"/>
      <c r="D60" s="77"/>
      <c r="F60" s="7"/>
      <c r="G60" s="7"/>
      <c r="H60" s="7"/>
      <c r="I60" s="25"/>
      <c r="P60" s="24"/>
      <c r="Q60" s="7"/>
      <c r="R60" s="7" t="str">
        <f>"1 : 100"</f>
        <v>1 : 100</v>
      </c>
      <c r="S60" s="7">
        <v>33</v>
      </c>
      <c r="T60" s="7">
        <f>1/100</f>
        <v>0.01</v>
      </c>
      <c r="U60" s="741"/>
      <c r="V60" s="7" t="str">
        <f>"1 : 100"</f>
        <v>1 : 100</v>
      </c>
      <c r="W60" s="7">
        <v>33</v>
      </c>
    </row>
    <row r="61" spans="1:23">
      <c r="A61" s="110" t="s">
        <v>428</v>
      </c>
      <c r="B61" s="132">
        <v>350000</v>
      </c>
      <c r="C61" s="111" t="s">
        <v>8</v>
      </c>
      <c r="D61" s="77" t="s">
        <v>566</v>
      </c>
      <c r="F61" s="7"/>
      <c r="G61" s="7"/>
      <c r="H61" s="7"/>
      <c r="I61" s="25"/>
      <c r="P61" s="24"/>
      <c r="Q61" s="741" t="s">
        <v>388</v>
      </c>
      <c r="R61" s="374" t="str">
        <f>CHOOSE(Turns_Ratio,"20 : 1", "15 : 1", "10 : 1", "8 : 1", "6 : 1",  "5 : 1", "4 : 1", "3 : 1", "2.5 : 1", "2 : 1", "1.8 : 1", "1.5 : 1", "1.2 : 1", "1 : 1", "1 : 1.2", "1 : 1.5", "1 : 1.8", "1 : 2",  "1 : 2.5","1 : 3", "1 : 4", "1 : 5", "1 : 6", "1 : 8", "1 : 10", "1 : 15", "1 : 20", "1 : 30", "1 : 40", "1 : 50", "1 : 60", "1 : 80", "1 : 100")</f>
        <v>1 : 1</v>
      </c>
      <c r="S61" s="39">
        <v>14</v>
      </c>
      <c r="T61" s="7"/>
      <c r="U61" s="741" t="s">
        <v>570</v>
      </c>
      <c r="V61" s="596" t="str">
        <f>CHOOSE(Turns_Ratio2, "20 : 1", "15 : 1", "10 : 1", "8 : 1", "6 : 1",  "5 : 1", "4 : 1", "3 : 1", "2.5 : 1", "2 : 1", "1.8 : 1", "1.5 : 1", "1.2 : 1", "1 : 1", "1 : 1.2", "1 : 1.5", "1 : 1.8", "1 : 2",  "1 : 2.5","1 : 3", "1 : 4", "1 : 5", "1 : 6", "1 : 8", "1 : 10", "1 : 15", "1 : 20", "1 : 30", "1 : 40", "1 : 50", "1 : 60", "1 : 80", "1 : 100")</f>
        <v>2.5 : 1</v>
      </c>
      <c r="W61" s="25">
        <v>9</v>
      </c>
    </row>
    <row r="62" spans="1:23">
      <c r="A62" s="26" t="s">
        <v>18</v>
      </c>
      <c r="B62" s="731">
        <v>1</v>
      </c>
      <c r="C62" s="7" t="s">
        <v>0</v>
      </c>
      <c r="D62" s="732" t="s">
        <v>782</v>
      </c>
      <c r="F62" s="7"/>
      <c r="G62" s="7"/>
      <c r="H62" s="7"/>
      <c r="I62" s="25"/>
      <c r="P62" s="24"/>
      <c r="Q62" s="7"/>
      <c r="R62" s="7"/>
      <c r="S62" s="7"/>
      <c r="T62" s="7"/>
      <c r="U62" s="7"/>
      <c r="V62" s="7"/>
      <c r="W62" s="25"/>
    </row>
    <row r="63" spans="1:23">
      <c r="A63" s="110" t="s">
        <v>386</v>
      </c>
      <c r="B63" s="163">
        <f>'Design Converter'!E40*1000</f>
        <v>168000</v>
      </c>
      <c r="C63" s="113" t="s">
        <v>45</v>
      </c>
      <c r="D63" s="111" t="s">
        <v>567</v>
      </c>
      <c r="F63" s="7"/>
      <c r="G63" s="7"/>
      <c r="H63" s="7"/>
      <c r="I63" s="25"/>
      <c r="P63" s="24"/>
      <c r="Q63" s="77" t="s">
        <v>447</v>
      </c>
      <c r="R63" s="374" t="str">
        <f>CHOOSE(Turns_Ratio,"20", "15", "10", "8", "6", "5", "4 ", "3", "2.5", "2", "1.8", "1.5", "1.2", "1", "0.833",  "0.667", "0.556", "0.5", "0.4", "0.33", "0.25", "0.2", "0.167", "0.125", "0.1", "0.0667", "0.05", "0.0333", "0.025", "0.02", "0.0167", "0.0125", "0.01")</f>
        <v>1</v>
      </c>
      <c r="S63" s="7"/>
      <c r="T63" s="7"/>
      <c r="U63" s="7"/>
      <c r="V63" s="77" t="s">
        <v>574</v>
      </c>
      <c r="W63" s="742" t="str">
        <f>CHOOSE(Turns_Ratio,"1", "1", "1", "1", "1", "1", "1", "1", "1", "1", "1", "1", "1", "1", "1.2", "1.5", "1.8",  "2", "2.5", "3", "4", "5", "6", "8", "10", "15", "20", "30", "40", "50", "60", "80", "100")</f>
        <v>1</v>
      </c>
    </row>
    <row r="64" spans="1:23">
      <c r="A64" s="110"/>
      <c r="B64" s="371"/>
      <c r="C64" s="113"/>
      <c r="D64" s="60"/>
      <c r="F64" s="7"/>
      <c r="G64" s="7"/>
      <c r="H64" s="7"/>
      <c r="I64" s="25"/>
      <c r="K64" s="76" t="s">
        <v>390</v>
      </c>
      <c r="P64" s="24"/>
      <c r="Q64" s="77" t="s">
        <v>494</v>
      </c>
      <c r="R64" s="374" t="str">
        <f>CHOOSE(Turns_Ratio, "20", "15", "10", "8", "6", "5", "4 ", "3", "2.5", "2", "1.8", "1.5", "1.2", "1", "0.833",  "0.667", "0.556", "0.5", "0.4", "0.33", "0.25", "0.2", "0.167", "0.125", "0.1", "0.0667", "0.05", "0.0333", "0.025", "0.02", "0.0167", "0.0125", "0.01")</f>
        <v>1</v>
      </c>
      <c r="S64" s="7"/>
      <c r="T64" s="7"/>
      <c r="U64" s="7"/>
      <c r="V64" s="77" t="s">
        <v>573</v>
      </c>
      <c r="W64" s="743">
        <f>Nsec1sec2</f>
        <v>0.49707602339181295</v>
      </c>
    </row>
    <row r="65" spans="1:23" ht="15.5">
      <c r="A65" s="110" t="s">
        <v>387</v>
      </c>
      <c r="B65" s="518">
        <v>0.1</v>
      </c>
      <c r="C65" s="77" t="s">
        <v>45</v>
      </c>
      <c r="D65" s="111" t="s">
        <v>568</v>
      </c>
      <c r="F65" s="596" t="s">
        <v>569</v>
      </c>
      <c r="G65" s="7"/>
      <c r="H65" s="7"/>
      <c r="I65" s="25"/>
      <c r="P65" s="24"/>
      <c r="Q65" s="77" t="s">
        <v>573</v>
      </c>
      <c r="R65" s="744">
        <f>ABS((Vout2+Vfwd22)/(Vout+Vfwd2))</f>
        <v>0.49707602339181295</v>
      </c>
      <c r="S65" s="7"/>
      <c r="T65" s="7"/>
      <c r="U65" s="7"/>
      <c r="V65" s="39"/>
      <c r="W65" s="745">
        <f>W63*W64</f>
        <v>0.49707602339181295</v>
      </c>
    </row>
    <row r="66" spans="1:23" ht="13.5" thickBot="1">
      <c r="A66" s="28"/>
      <c r="B66" s="29"/>
      <c r="C66" s="80"/>
      <c r="D66" s="29"/>
      <c r="E66" s="29"/>
      <c r="F66" s="29"/>
      <c r="G66" s="29"/>
      <c r="H66" s="29"/>
      <c r="I66" s="30"/>
      <c r="K66" s="441" t="str">
        <f>"SCH_"&amp;B73&amp;"_"&amp;F78&amp;"_"&amp;I78&amp;"_"&amp;F72</f>
        <v>SCH_SINGLE_UVLOadj_SSint_TCno</v>
      </c>
      <c r="P66" s="24"/>
      <c r="Q66" s="386" t="s">
        <v>495</v>
      </c>
      <c r="R66" s="746">
        <f>Nps/Nsec1sec2</f>
        <v>2.0117647058823525</v>
      </c>
      <c r="S66" s="7"/>
      <c r="T66" s="7"/>
      <c r="U66" s="7"/>
      <c r="V66" s="377" t="s">
        <v>575</v>
      </c>
      <c r="W66" s="747" t="str">
        <f>CHOOSE(MODE, R61, R61&amp;" : "&amp;ROUND(W65,2))</f>
        <v>1 : 1</v>
      </c>
    </row>
    <row r="67" spans="1:23" ht="13.5" thickBot="1">
      <c r="A67" s="7"/>
      <c r="B67" s="7"/>
      <c r="C67" s="39"/>
      <c r="D67" s="7"/>
      <c r="E67" s="7"/>
      <c r="F67" s="7"/>
      <c r="G67" s="7"/>
      <c r="H67" s="7"/>
      <c r="I67" s="7"/>
      <c r="P67" s="748"/>
      <c r="Q67" s="180"/>
      <c r="R67" s="749">
        <f>ROUND(Nsec1sec2,1)</f>
        <v>0.5</v>
      </c>
      <c r="S67" s="180"/>
      <c r="T67" s="180"/>
      <c r="U67" s="180"/>
      <c r="V67" s="180"/>
      <c r="W67" s="750"/>
    </row>
    <row r="68" spans="1:23" ht="16" thickBot="1">
      <c r="A68" s="50" t="s">
        <v>557</v>
      </c>
      <c r="B68" s="7"/>
      <c r="C68" s="39"/>
      <c r="D68" s="7"/>
      <c r="E68" s="7"/>
      <c r="F68" s="7"/>
      <c r="G68" s="7"/>
      <c r="H68" s="7"/>
      <c r="I68" s="7"/>
    </row>
    <row r="69" spans="1:23" ht="15.5">
      <c r="A69" s="380"/>
      <c r="B69" s="381"/>
      <c r="C69" s="382"/>
      <c r="D69" s="381"/>
      <c r="E69" s="381"/>
      <c r="F69" s="381"/>
      <c r="G69" s="381"/>
      <c r="H69" s="381"/>
      <c r="I69" s="433"/>
      <c r="J69" s="433"/>
      <c r="K69" s="433"/>
      <c r="L69" s="433"/>
      <c r="M69" s="433"/>
      <c r="N69" s="433"/>
      <c r="O69" s="24"/>
    </row>
    <row r="70" spans="1:23">
      <c r="A70" s="377" t="s">
        <v>361</v>
      </c>
      <c r="B70" s="77" t="s">
        <v>362</v>
      </c>
      <c r="C70" s="434">
        <v>1</v>
      </c>
      <c r="D70" s="7"/>
      <c r="E70" s="377" t="s">
        <v>375</v>
      </c>
      <c r="F70" s="77" t="s">
        <v>364</v>
      </c>
      <c r="G70" s="160" t="b">
        <v>1</v>
      </c>
      <c r="I70" s="154" t="s">
        <v>300</v>
      </c>
      <c r="J70" s="160">
        <v>1</v>
      </c>
      <c r="K70" t="str">
        <f>B73&amp;", "&amp;F72&amp;", "&amp;I72&amp;", "&amp;F78&amp;", "&amp;I78</f>
        <v>SINGLE, TCno, IlimRes, UVLOadj, SSint</v>
      </c>
      <c r="O70" s="24"/>
    </row>
    <row r="71" spans="1:23">
      <c r="A71" s="376"/>
      <c r="B71" s="77" t="s">
        <v>363</v>
      </c>
      <c r="C71" s="434">
        <v>2</v>
      </c>
      <c r="D71" s="7"/>
      <c r="E71" s="37"/>
      <c r="F71" s="77" t="s">
        <v>365</v>
      </c>
      <c r="G71" s="160" t="b">
        <v>0</v>
      </c>
      <c r="I71" s="154" t="s">
        <v>301</v>
      </c>
      <c r="J71" s="160">
        <v>2</v>
      </c>
      <c r="K71" t="str">
        <f>C73&amp;", "&amp;G72&amp;", "&amp;J72&amp;", "&amp;G78&amp;", "&amp;J78</f>
        <v>1, 2, 2, 1, 2</v>
      </c>
      <c r="O71" s="24"/>
      <c r="Q71" s="395" t="s">
        <v>333</v>
      </c>
      <c r="R71" s="3" t="s">
        <v>328</v>
      </c>
      <c r="S71" s="368">
        <v>1</v>
      </c>
    </row>
    <row r="72" spans="1:23">
      <c r="B72" s="76" t="s">
        <v>506</v>
      </c>
      <c r="C72" s="576">
        <v>3</v>
      </c>
      <c r="D72" s="7"/>
      <c r="E72" s="440" t="s">
        <v>376</v>
      </c>
      <c r="F72" s="379" t="str">
        <f>CHOOSE(G72, "TCyes", "TCno")</f>
        <v>TCno</v>
      </c>
      <c r="G72" s="374">
        <v>2</v>
      </c>
      <c r="H72" s="440" t="s">
        <v>299</v>
      </c>
      <c r="I72" s="436" t="str">
        <f>CHOOSE(J72, "IlimGND", "IlimRes")</f>
        <v>IlimRes</v>
      </c>
      <c r="J72" s="374">
        <f>IF(C78=4, 1, 2)</f>
        <v>2</v>
      </c>
      <c r="K72" t="str">
        <f>C73&amp;G72&amp;J72&amp;G78&amp;J78</f>
        <v>12212</v>
      </c>
      <c r="O72" s="24"/>
      <c r="Q72" s="395" t="s">
        <v>335</v>
      </c>
      <c r="R72" s="3" t="s">
        <v>329</v>
      </c>
      <c r="S72" s="368">
        <v>2</v>
      </c>
    </row>
    <row r="73" spans="1:23">
      <c r="A73" s="437" t="s">
        <v>286</v>
      </c>
      <c r="B73" s="435" t="str">
        <f>CHOOSE(C73,"SINGLE", IF(Vout2_actual&gt;0, "DUAL", "BIPOLAR"))</f>
        <v>SINGLE</v>
      </c>
      <c r="C73" s="378">
        <v>1</v>
      </c>
      <c r="D73" s="7"/>
      <c r="E73" s="7"/>
      <c r="G73" s="78">
        <f>TC</f>
        <v>2</v>
      </c>
      <c r="I73" s="374"/>
      <c r="J73" s="7"/>
      <c r="O73" s="24"/>
      <c r="Q73" s="395" t="s">
        <v>336</v>
      </c>
      <c r="R73" s="3" t="s">
        <v>330</v>
      </c>
      <c r="S73" s="368">
        <v>3</v>
      </c>
    </row>
    <row r="74" spans="1:23">
      <c r="A74" s="376"/>
      <c r="B74" s="3" t="b">
        <f>CHOOSE(C73, TRUE, FALSE)</f>
        <v>1</v>
      </c>
      <c r="C74" s="78" t="str">
        <f>CHOOSE(C73,"1", IF(Vout2&gt;0, "2", "3"))</f>
        <v>1</v>
      </c>
      <c r="O74" s="24"/>
      <c r="Q74" s="395" t="s">
        <v>334</v>
      </c>
      <c r="R74" s="3" t="s">
        <v>331</v>
      </c>
      <c r="S74" s="368">
        <v>4</v>
      </c>
    </row>
    <row r="75" spans="1:23">
      <c r="O75" s="24"/>
      <c r="Q75" s="395" t="s">
        <v>338</v>
      </c>
      <c r="R75" s="3" t="s">
        <v>337</v>
      </c>
      <c r="S75" s="368">
        <v>5</v>
      </c>
    </row>
    <row r="76" spans="1:23">
      <c r="A76" s="383" t="s">
        <v>188</v>
      </c>
      <c r="B76" s="111" t="s">
        <v>364</v>
      </c>
      <c r="C76" s="434">
        <v>1</v>
      </c>
      <c r="D76" s="7"/>
      <c r="E76" s="157" t="s">
        <v>318</v>
      </c>
      <c r="F76" s="474" t="s">
        <v>534</v>
      </c>
      <c r="G76" s="160">
        <v>1</v>
      </c>
      <c r="H76" s="377" t="s">
        <v>296</v>
      </c>
      <c r="I76" s="77" t="s">
        <v>534</v>
      </c>
      <c r="J76" s="160">
        <v>1</v>
      </c>
      <c r="L76" s="154" t="s">
        <v>316</v>
      </c>
      <c r="M76" s="160">
        <v>1</v>
      </c>
      <c r="O76" s="24"/>
      <c r="Q76" s="439" t="s">
        <v>332</v>
      </c>
      <c r="R76" s="445" t="str">
        <f>CHOOSE(S76,"6.3V","10V","16V","25V","50V")</f>
        <v>25V</v>
      </c>
      <c r="S76" s="458">
        <f>IF(Vout&lt;=5, 1, IF(Vout&lt;=8, 2, IF(Vout&lt;=12, 3, IF(Vout&lt;=20, 4, 5))))</f>
        <v>4</v>
      </c>
    </row>
    <row r="77" spans="1:23">
      <c r="A77" s="384"/>
      <c r="B77" s="111" t="s">
        <v>365</v>
      </c>
      <c r="C77" s="434">
        <v>2</v>
      </c>
      <c r="D77" s="7"/>
      <c r="F77" s="474" t="s">
        <v>535</v>
      </c>
      <c r="G77" s="160">
        <v>2</v>
      </c>
      <c r="H77" s="37"/>
      <c r="I77" s="77" t="s">
        <v>649</v>
      </c>
      <c r="J77" s="160">
        <v>2</v>
      </c>
      <c r="L77" s="154" t="s">
        <v>317</v>
      </c>
      <c r="M77" s="160">
        <v>2</v>
      </c>
      <c r="O77" s="24"/>
      <c r="T77" s="3" t="s">
        <v>116</v>
      </c>
      <c r="U77" s="3" t="s">
        <v>634</v>
      </c>
    </row>
    <row r="78" spans="1:23">
      <c r="A78" s="438" t="s">
        <v>287</v>
      </c>
      <c r="B78" s="435" t="str">
        <f>CHOOSE(C78, "YES", "NO")</f>
        <v>YES</v>
      </c>
      <c r="C78" s="378">
        <v>1</v>
      </c>
      <c r="D78" s="7"/>
      <c r="E78" s="439" t="s">
        <v>304</v>
      </c>
      <c r="F78" s="436" t="str">
        <f>CHOOSE(G78, "UVLOadj", "UVLOint")</f>
        <v>UVLOadj</v>
      </c>
      <c r="G78" s="374">
        <v>1</v>
      </c>
      <c r="H78" s="440" t="s">
        <v>288</v>
      </c>
      <c r="I78" s="379" t="str">
        <f>CHOOSE(J78, "SSadj", "SSint")</f>
        <v>SSint</v>
      </c>
      <c r="J78" s="374">
        <v>2</v>
      </c>
      <c r="L78" s="375" t="s">
        <v>297</v>
      </c>
      <c r="M78" s="374">
        <v>1</v>
      </c>
      <c r="O78" s="24"/>
      <c r="R78" s="3" t="s">
        <v>633</v>
      </c>
      <c r="S78" s="3"/>
      <c r="T78" s="76" t="s">
        <v>347</v>
      </c>
      <c r="U78" s="460">
        <v>0.5</v>
      </c>
    </row>
    <row r="79" spans="1:23" ht="13.5" thickBot="1">
      <c r="A79" s="28"/>
      <c r="B79" s="29"/>
      <c r="C79" s="159"/>
      <c r="D79" s="29"/>
      <c r="E79" s="29"/>
      <c r="F79" s="29"/>
      <c r="G79" s="29"/>
      <c r="H79" s="29"/>
      <c r="I79" s="29"/>
      <c r="J79" s="29"/>
      <c r="K79" s="29"/>
      <c r="L79" s="29"/>
      <c r="M79" s="29"/>
      <c r="N79" s="29"/>
      <c r="O79" s="24"/>
      <c r="R79" s="457" t="s">
        <v>341</v>
      </c>
      <c r="S79" s="368">
        <v>1</v>
      </c>
      <c r="T79" s="76" t="s">
        <v>351</v>
      </c>
      <c r="U79" s="460">
        <v>1.3</v>
      </c>
    </row>
    <row r="80" spans="1:23">
      <c r="A80" s="7"/>
      <c r="B80" s="7" t="b">
        <f>(CONFIG="2")</f>
        <v>0</v>
      </c>
      <c r="C80" s="39" t="str">
        <f>CONFIG</f>
        <v>1</v>
      </c>
      <c r="D80" s="7"/>
      <c r="E80" s="7"/>
      <c r="F80" s="7"/>
      <c r="G80" s="7"/>
      <c r="H80" s="7"/>
      <c r="I80" s="7"/>
      <c r="R80" s="457" t="s">
        <v>119</v>
      </c>
      <c r="S80" s="368">
        <v>2</v>
      </c>
      <c r="T80" s="76" t="s">
        <v>352</v>
      </c>
      <c r="U80" s="460">
        <v>2.5</v>
      </c>
    </row>
    <row r="81" spans="1:26" ht="16" thickBot="1">
      <c r="A81" s="50" t="s">
        <v>558</v>
      </c>
      <c r="B81" s="39"/>
      <c r="C81" s="39"/>
      <c r="E81" s="7"/>
      <c r="F81" s="7"/>
      <c r="G81" s="7"/>
      <c r="H81" s="7"/>
      <c r="I81" s="7"/>
      <c r="R81" s="457" t="s">
        <v>342</v>
      </c>
      <c r="S81" s="368">
        <v>3</v>
      </c>
      <c r="T81" s="76" t="s">
        <v>350</v>
      </c>
      <c r="U81" s="460">
        <v>5.0999999999999996</v>
      </c>
    </row>
    <row r="82" spans="1:26">
      <c r="A82" s="109"/>
      <c r="B82" s="594"/>
      <c r="C82" s="595"/>
      <c r="D82" s="152"/>
      <c r="E82" s="79"/>
      <c r="F82" s="31"/>
      <c r="G82" s="31"/>
      <c r="H82" s="31"/>
      <c r="I82" s="32">
        <v>1</v>
      </c>
      <c r="K82" s="76"/>
      <c r="R82" s="457" t="s">
        <v>343</v>
      </c>
      <c r="S82" s="368">
        <v>4</v>
      </c>
      <c r="T82" s="76" t="s">
        <v>353</v>
      </c>
      <c r="U82" s="460">
        <v>8</v>
      </c>
    </row>
    <row r="83" spans="1:26">
      <c r="A83" s="110" t="s">
        <v>150</v>
      </c>
      <c r="B83" s="161">
        <f>Nps*(Vout+Vfwd2)/(VIN_min+Nps*(Vout+Vfwd2))*0+IF(H83="BAD",'Calculations - Single'!CQ210,CHOOSE(MODE,'Calculations - Single'!M210,'Calculations - Dual'!N210))</f>
        <v>0.63117080548059357</v>
      </c>
      <c r="C83" s="7"/>
      <c r="D83" t="b">
        <f>B83&gt;0.75</f>
        <v>0</v>
      </c>
      <c r="E83" s="77"/>
      <c r="F83" s="7"/>
      <c r="G83" s="7">
        <f>Vfwd2</f>
        <v>0.7</v>
      </c>
      <c r="H83" s="7">
        <f>'Calculations - Single'!DT210</f>
        <v>1000</v>
      </c>
      <c r="I83" s="25">
        <v>1</v>
      </c>
      <c r="R83" s="457" t="s">
        <v>344</v>
      </c>
      <c r="S83" s="368">
        <v>5</v>
      </c>
      <c r="T83" s="445" t="str">
        <f>CHOOSE(S85,T78,T79, T80,T81,T82)</f>
        <v>3.2 x 2.5</v>
      </c>
      <c r="U83" s="460">
        <v>8</v>
      </c>
    </row>
    <row r="84" spans="1:26">
      <c r="A84" s="110"/>
      <c r="B84" s="161"/>
      <c r="C84" s="7"/>
      <c r="E84" s="77"/>
      <c r="F84" s="7"/>
      <c r="G84" s="7"/>
      <c r="H84" s="7"/>
      <c r="I84" s="848"/>
      <c r="R84" s="457" t="s">
        <v>943</v>
      </c>
      <c r="S84" s="368">
        <v>6</v>
      </c>
      <c r="T84" s="445" t="s">
        <v>944</v>
      </c>
      <c r="U84" s="460">
        <v>25.1</v>
      </c>
    </row>
    <row r="85" spans="1:26">
      <c r="A85" s="110" t="s">
        <v>157</v>
      </c>
      <c r="B85" s="161">
        <f>Nps*(Vout+Vfwd1)/(VIN_nom+Nps*(Vout+Vfwd1))</f>
        <v>0.41176470588235292</v>
      </c>
      <c r="C85" s="7"/>
      <c r="F85" s="7"/>
      <c r="G85" s="7"/>
      <c r="H85" s="7"/>
      <c r="I85" s="25"/>
      <c r="Q85" s="439" t="s">
        <v>345</v>
      </c>
      <c r="R85" s="445" t="str">
        <f>CHOOSE(S85,"0402","0603","0805","1206","1210")</f>
        <v>1210</v>
      </c>
      <c r="S85" s="458">
        <v>5</v>
      </c>
    </row>
    <row r="86" spans="1:26">
      <c r="A86" s="110" t="s">
        <v>151</v>
      </c>
      <c r="B86" s="161">
        <f>Nps*(Vout+Vfwd1)/(VIN_max+Nps*(Vout+Vfwd1))*0+CHOOSE(MODE, 'Calculations - Single'!M316, 'Calculations - Dual'!N316)</f>
        <v>0.31920359612541782</v>
      </c>
      <c r="C86" s="7"/>
      <c r="E86" s="77"/>
      <c r="F86" s="7"/>
      <c r="G86" s="7"/>
      <c r="H86" s="7"/>
      <c r="I86" s="25"/>
    </row>
    <row r="87" spans="1:26">
      <c r="A87" s="76"/>
      <c r="B87" s="7"/>
      <c r="C87" s="7"/>
      <c r="D87" s="7"/>
      <c r="E87" s="77"/>
      <c r="F87" s="7"/>
      <c r="G87" s="7"/>
      <c r="H87" s="7"/>
      <c r="I87" s="25"/>
      <c r="T87" s="3" t="s">
        <v>116</v>
      </c>
      <c r="U87" s="3" t="s">
        <v>634</v>
      </c>
      <c r="W87" s="3" t="s">
        <v>633</v>
      </c>
      <c r="X87" s="3"/>
      <c r="Y87" s="3" t="s">
        <v>116</v>
      </c>
      <c r="Z87" s="3" t="s">
        <v>634</v>
      </c>
    </row>
    <row r="88" spans="1:26">
      <c r="A88" s="110" t="s">
        <v>832</v>
      </c>
      <c r="B88" s="784">
        <f>MIN(0.667*VIN_nom/Vout, 1.857*VIN_min/Vout*1+0*3.33*VIN_min/Vout)</f>
        <v>0.97609756097560996</v>
      </c>
      <c r="C88" s="77"/>
      <c r="D88" s="77" t="s">
        <v>834</v>
      </c>
      <c r="F88" s="7"/>
      <c r="G88" s="7"/>
      <c r="H88" s="7"/>
      <c r="I88" s="25"/>
      <c r="R88" s="3" t="s">
        <v>633</v>
      </c>
      <c r="S88" s="3"/>
      <c r="T88" s="474" t="s">
        <v>621</v>
      </c>
      <c r="U88" s="460">
        <v>36</v>
      </c>
      <c r="W88" s="76" t="s">
        <v>639</v>
      </c>
      <c r="X88" s="368">
        <v>1</v>
      </c>
      <c r="Y88" s="76" t="s">
        <v>351</v>
      </c>
      <c r="Z88">
        <v>1.3</v>
      </c>
    </row>
    <row r="89" spans="1:26">
      <c r="A89" s="110"/>
      <c r="B89" s="629"/>
      <c r="C89" s="7"/>
      <c r="D89" s="77"/>
      <c r="F89" s="7"/>
      <c r="G89" s="7"/>
      <c r="H89" s="7"/>
      <c r="I89" s="25"/>
      <c r="R89" s="76" t="s">
        <v>348</v>
      </c>
      <c r="S89" s="368">
        <v>1</v>
      </c>
      <c r="T89" s="474" t="s">
        <v>620</v>
      </c>
      <c r="U89" s="460">
        <v>49</v>
      </c>
      <c r="W89" s="76" t="s">
        <v>630</v>
      </c>
      <c r="X89" s="368">
        <v>2</v>
      </c>
      <c r="Y89" s="76" t="s">
        <v>638</v>
      </c>
      <c r="Z89">
        <v>3.2</v>
      </c>
    </row>
    <row r="90" spans="1:26">
      <c r="A90" s="110"/>
      <c r="B90" s="629"/>
      <c r="C90" s="77"/>
      <c r="D90" s="77"/>
      <c r="F90" s="7"/>
      <c r="G90" s="7"/>
      <c r="H90" s="7"/>
      <c r="I90" s="25"/>
      <c r="R90" s="76" t="s">
        <v>349</v>
      </c>
      <c r="S90" s="368">
        <v>2</v>
      </c>
      <c r="T90" s="474" t="s">
        <v>619</v>
      </c>
      <c r="U90" s="460">
        <v>64</v>
      </c>
      <c r="W90" s="76" t="s">
        <v>631</v>
      </c>
      <c r="X90" s="368">
        <v>3</v>
      </c>
      <c r="Y90" s="76" t="s">
        <v>637</v>
      </c>
      <c r="Z90">
        <v>6.5</v>
      </c>
    </row>
    <row r="91" spans="1:26" ht="12.5">
      <c r="A91" s="76"/>
      <c r="B91" s="11"/>
      <c r="C91"/>
      <c r="I91" s="25">
        <v>1</v>
      </c>
      <c r="R91" s="76" t="s">
        <v>611</v>
      </c>
      <c r="S91" s="368">
        <v>3</v>
      </c>
      <c r="T91" s="474" t="s">
        <v>618</v>
      </c>
      <c r="U91" s="460">
        <v>81</v>
      </c>
      <c r="W91" s="76" t="s">
        <v>632</v>
      </c>
      <c r="X91" s="368">
        <v>4</v>
      </c>
      <c r="Y91" s="76" t="s">
        <v>636</v>
      </c>
      <c r="Z91">
        <v>12.5</v>
      </c>
    </row>
    <row r="92" spans="1:26">
      <c r="A92" s="111" t="s">
        <v>850</v>
      </c>
      <c r="B92" s="630">
        <f>VIN_max+Nps*(Vout+Vfwd2)*1.5</f>
        <v>61.65</v>
      </c>
      <c r="C92" s="77"/>
      <c r="D92" s="77"/>
      <c r="E92" s="77"/>
      <c r="F92" s="7"/>
      <c r="G92" s="7"/>
      <c r="H92" s="7"/>
      <c r="I92" s="25"/>
      <c r="R92" s="76" t="s">
        <v>612</v>
      </c>
      <c r="S92" s="368">
        <v>4</v>
      </c>
      <c r="T92" s="474" t="s">
        <v>617</v>
      </c>
      <c r="U92" s="460">
        <v>100</v>
      </c>
      <c r="W92" s="439" t="s">
        <v>635</v>
      </c>
    </row>
    <row r="93" spans="1:26">
      <c r="A93" s="111"/>
      <c r="B93" s="630"/>
      <c r="C93" s="7"/>
      <c r="D93" s="77">
        <f>Isw_min</f>
        <v>1.3333333333333335</v>
      </c>
      <c r="E93" s="77"/>
      <c r="F93" s="7"/>
      <c r="G93" s="7"/>
      <c r="H93" s="7"/>
      <c r="I93" s="25"/>
      <c r="R93" s="76" t="s">
        <v>613</v>
      </c>
      <c r="S93" s="368">
        <v>5</v>
      </c>
      <c r="T93" s="474" t="s">
        <v>616</v>
      </c>
      <c r="U93" s="460">
        <v>120</v>
      </c>
    </row>
    <row r="94" spans="1:26">
      <c r="A94" s="111"/>
      <c r="B94" s="630"/>
      <c r="C94" s="77"/>
      <c r="D94" s="77"/>
      <c r="E94" s="77"/>
      <c r="F94" s="7"/>
      <c r="G94" s="7"/>
      <c r="H94" s="7"/>
      <c r="I94" s="25"/>
      <c r="R94" s="76" t="s">
        <v>614</v>
      </c>
      <c r="S94" s="368">
        <v>6</v>
      </c>
      <c r="T94" s="474" t="s">
        <v>622</v>
      </c>
      <c r="U94" s="460">
        <v>143</v>
      </c>
    </row>
    <row r="95" spans="1:26" ht="15.5">
      <c r="A95" s="76"/>
      <c r="B95" s="7"/>
      <c r="C95" s="77"/>
      <c r="D95" s="7"/>
      <c r="E95" s="77"/>
      <c r="F95" s="7"/>
      <c r="G95" s="7"/>
      <c r="H95" s="7"/>
      <c r="I95" s="25"/>
      <c r="K95" s="76" t="s">
        <v>320</v>
      </c>
      <c r="R95" s="76" t="s">
        <v>615</v>
      </c>
      <c r="S95" s="368">
        <v>7</v>
      </c>
      <c r="T95" s="474" t="s">
        <v>955</v>
      </c>
      <c r="U95">
        <f>11*14</f>
        <v>154</v>
      </c>
    </row>
    <row r="96" spans="1:26">
      <c r="A96" s="110" t="s">
        <v>680</v>
      </c>
      <c r="B96" s="41">
        <f>'Design Converter'!L7/1000000</f>
        <v>1.2E-5</v>
      </c>
      <c r="C96" s="7" t="s">
        <v>11</v>
      </c>
      <c r="D96" s="77" t="s">
        <v>452</v>
      </c>
      <c r="F96" s="7"/>
      <c r="G96" s="7"/>
      <c r="H96" s="7"/>
      <c r="I96" s="25"/>
      <c r="Q96" s="439" t="s">
        <v>453</v>
      </c>
      <c r="R96" s="76" t="s">
        <v>954</v>
      </c>
      <c r="S96" s="368">
        <v>8</v>
      </c>
      <c r="T96" s="474" t="s">
        <v>956</v>
      </c>
      <c r="U96">
        <f>23*17</f>
        <v>391</v>
      </c>
    </row>
    <row r="97" spans="1:17" ht="12.5">
      <c r="A97" s="110" t="s">
        <v>661</v>
      </c>
      <c r="B97" s="132">
        <f>'Design Converter'!L11</f>
        <v>10</v>
      </c>
      <c r="C97" s="7" t="s">
        <v>662</v>
      </c>
      <c r="D97" s="77"/>
      <c r="F97" s="7"/>
      <c r="G97" s="7"/>
      <c r="H97" s="7"/>
      <c r="I97" s="25"/>
    </row>
    <row r="98" spans="1:17" ht="12.5">
      <c r="A98" s="110" t="s">
        <v>826</v>
      </c>
      <c r="B98" s="41">
        <f>Lmag/(Nps)^2</f>
        <v>1.2E-5</v>
      </c>
      <c r="C98" s="7" t="s">
        <v>11</v>
      </c>
      <c r="D98" s="77"/>
      <c r="F98" s="7"/>
      <c r="G98" s="7"/>
      <c r="H98" s="7"/>
      <c r="I98" s="25"/>
    </row>
    <row r="99" spans="1:17" ht="12.5">
      <c r="A99" s="110" t="s">
        <v>827</v>
      </c>
      <c r="B99" s="41">
        <f>Lmag/(Nps/Nsec1sec2)^2</f>
        <v>2.9650148763722186E-6</v>
      </c>
      <c r="C99" s="12" t="s">
        <v>11</v>
      </c>
      <c r="D99" s="77"/>
      <c r="F99" s="7"/>
      <c r="G99" s="7"/>
      <c r="H99" s="7"/>
      <c r="I99" s="25"/>
    </row>
    <row r="100" spans="1:17" ht="12.5">
      <c r="A100" s="110"/>
      <c r="B100" s="132"/>
      <c r="C100" s="7"/>
      <c r="D100" s="77"/>
      <c r="F100" s="7"/>
      <c r="G100" s="7"/>
      <c r="H100" s="7"/>
      <c r="I100" s="25"/>
    </row>
    <row r="101" spans="1:17" ht="12.5">
      <c r="A101" s="110" t="s">
        <v>385</v>
      </c>
      <c r="B101" s="10">
        <f>'Design Converter'!L8/1000</f>
        <v>0.03</v>
      </c>
      <c r="C101" s="113" t="s">
        <v>45</v>
      </c>
      <c r="D101" s="77" t="s">
        <v>450</v>
      </c>
      <c r="F101" s="7"/>
      <c r="G101" s="7"/>
      <c r="H101" s="7"/>
      <c r="I101" s="25"/>
    </row>
    <row r="102" spans="1:17" thickBot="1">
      <c r="A102" s="110" t="s">
        <v>448</v>
      </c>
      <c r="B102" s="10">
        <f>'Design Converter'!L9/1000</f>
        <v>0.03</v>
      </c>
      <c r="C102" s="113" t="s">
        <v>45</v>
      </c>
      <c r="D102" s="77" t="s">
        <v>451</v>
      </c>
      <c r="F102" s="7"/>
      <c r="G102" s="7"/>
      <c r="H102" s="7"/>
      <c r="I102" s="25">
        <v>2</v>
      </c>
    </row>
    <row r="103" spans="1:17" ht="12.5">
      <c r="A103" s="110" t="s">
        <v>449</v>
      </c>
      <c r="B103" s="10">
        <f>'Design Converter'!L10/1000</f>
        <v>5.0000000000000001E-3</v>
      </c>
      <c r="C103" s="113" t="s">
        <v>45</v>
      </c>
      <c r="D103" s="77" t="s">
        <v>540</v>
      </c>
      <c r="E103" s="77"/>
      <c r="F103" s="7"/>
      <c r="G103" s="7"/>
      <c r="H103" s="7"/>
      <c r="I103" s="25">
        <v>1</v>
      </c>
      <c r="K103" s="847" t="s">
        <v>880</v>
      </c>
      <c r="L103" s="738"/>
    </row>
    <row r="104" spans="1:17" ht="12.5">
      <c r="A104" s="110"/>
      <c r="B104" s="7"/>
      <c r="C104" s="7"/>
      <c r="D104" s="7"/>
      <c r="E104" s="7"/>
      <c r="F104" s="7"/>
      <c r="G104" s="7"/>
      <c r="H104" s="7"/>
      <c r="I104" s="25"/>
      <c r="K104" s="110" t="s">
        <v>644</v>
      </c>
      <c r="L104" s="848">
        <f>Vfwd1</f>
        <v>0.4</v>
      </c>
      <c r="Q104">
        <f>ktr_rcmd</f>
        <v>0.97609756097560996</v>
      </c>
    </row>
    <row r="105" spans="1:17" ht="15.75" customHeight="1">
      <c r="A105" s="77" t="s">
        <v>539</v>
      </c>
      <c r="B105" s="191">
        <v>100</v>
      </c>
      <c r="C105" s="111" t="s">
        <v>102</v>
      </c>
      <c r="D105" s="77"/>
      <c r="E105" s="7"/>
      <c r="F105" s="7"/>
      <c r="H105" s="7"/>
      <c r="I105" s="25"/>
      <c r="K105" s="110" t="s">
        <v>645</v>
      </c>
      <c r="L105" s="848">
        <f>Vfwd2</f>
        <v>0.7</v>
      </c>
      <c r="M105" s="76"/>
      <c r="Q105" t="str">
        <f>Nps</f>
        <v>1</v>
      </c>
    </row>
    <row r="106" spans="1:17" ht="13.5" thickBot="1">
      <c r="A106" s="110" t="s">
        <v>536</v>
      </c>
      <c r="B106" s="183">
        <f>Rdcr_pri*(1+0.0039*(B105-25))</f>
        <v>3.8774999999999997E-2</v>
      </c>
      <c r="C106" s="113" t="s">
        <v>45</v>
      </c>
      <c r="D106" s="7"/>
      <c r="H106" s="7"/>
      <c r="I106" s="25"/>
      <c r="K106" s="849" t="s">
        <v>881</v>
      </c>
      <c r="L106" s="750">
        <f>'Design Converter'!S31</f>
        <v>0.5</v>
      </c>
      <c r="M106" s="76"/>
    </row>
    <row r="107" spans="1:17">
      <c r="A107" s="110" t="s">
        <v>537</v>
      </c>
      <c r="B107" s="183">
        <f>Rdcr_sec*(1+0.0039*(B105-25))</f>
        <v>3.8774999999999997E-2</v>
      </c>
      <c r="C107" s="113" t="s">
        <v>45</v>
      </c>
      <c r="D107" s="7"/>
      <c r="H107" s="7"/>
      <c r="I107" s="25"/>
    </row>
    <row r="108" spans="1:17">
      <c r="A108" s="110" t="s">
        <v>538</v>
      </c>
      <c r="B108" s="183">
        <f>Rdcr_sec2*(1+0.0039*(B105-25))</f>
        <v>6.4625000000000004E-3</v>
      </c>
      <c r="C108" s="113" t="s">
        <v>45</v>
      </c>
      <c r="D108" s="7"/>
      <c r="H108" s="7"/>
      <c r="I108" s="25"/>
    </row>
    <row r="109" spans="1:17">
      <c r="A109" s="912" t="s">
        <v>957</v>
      </c>
      <c r="B109" s="911">
        <v>3.9999999999999998E-7</v>
      </c>
      <c r="C109" s="3" t="s">
        <v>51</v>
      </c>
      <c r="I109" s="25"/>
      <c r="K109" t="s">
        <v>883</v>
      </c>
    </row>
    <row r="110" spans="1:17">
      <c r="A110" s="441" t="s">
        <v>660</v>
      </c>
      <c r="B110" s="623">
        <f>(Vout+Vfwd1)*Nps*0.00000045/Isw_min*1000000*0+0.32*VIN_nom^2/Pin*0+MAX(2*(Vout+Vfwd2)^2*VIN_nom^2/(Pin*(Vout+Vfwd2+VIN_nom/ktr_rcmd)^2),B111)</f>
        <v>11.81911216258405</v>
      </c>
      <c r="C110" s="3" t="s">
        <v>833</v>
      </c>
      <c r="I110" s="25"/>
      <c r="K110" t="s">
        <v>884</v>
      </c>
      <c r="L110">
        <f>MAX('Calculations - Single'!BM316,'Calculations - Single'!BM210,'Calculations - Single'!BM105)</f>
        <v>0.99884311444995588</v>
      </c>
    </row>
    <row r="111" spans="1:17">
      <c r="A111" s="913" t="s">
        <v>846</v>
      </c>
      <c r="B111" s="623">
        <f>(Vout+Vfwd1)*Nps*toff_max/(0.02/RCS/1000)</f>
        <v>5.0399999999999991</v>
      </c>
      <c r="C111" s="3" t="s">
        <v>833</v>
      </c>
      <c r="I111" s="25"/>
      <c r="K111" t="s">
        <v>885</v>
      </c>
      <c r="L111">
        <f>MAX('Calculations - Dual'!BK316,'Calculations - Dual'!BK210,'Calculations - Dual'!BK105)</f>
        <v>1.018162913556472</v>
      </c>
    </row>
    <row r="112" spans="1:17">
      <c r="A112" t="s">
        <v>837</v>
      </c>
      <c r="B112" s="623">
        <f>MIN(350000,('Calculations - Single'!CQ210*VIN_min)^2/(2*Pin*Lmag))</f>
        <v>99837.543262935404</v>
      </c>
      <c r="C112" s="3" t="s">
        <v>8</v>
      </c>
      <c r="D112" s="76" t="s">
        <v>845</v>
      </c>
      <c r="I112" s="25"/>
      <c r="K112" t="s">
        <v>886</v>
      </c>
      <c r="L112">
        <f>CHOOSE(MODE,L110,L111)</f>
        <v>0.99884311444995588</v>
      </c>
    </row>
    <row r="113" spans="1:12">
      <c r="A113" t="s">
        <v>838</v>
      </c>
      <c r="B113" s="623">
        <f>VIN_min/Lmag*'Calculations - Single'!CQ210/B112*1.2</f>
        <v>6.2788571428571425</v>
      </c>
      <c r="C113" s="3" t="s">
        <v>1</v>
      </c>
      <c r="I113" s="25"/>
    </row>
    <row r="114" spans="1:12">
      <c r="A114" t="s">
        <v>839</v>
      </c>
      <c r="B114" s="183">
        <f>0.1/B113</f>
        <v>1.5926465234801603E-2</v>
      </c>
      <c r="C114" s="113" t="s">
        <v>45</v>
      </c>
      <c r="D114" t="s">
        <v>841</v>
      </c>
      <c r="I114" s="25"/>
    </row>
    <row r="115" spans="1:12">
      <c r="A115" t="s">
        <v>840</v>
      </c>
      <c r="B115" s="183">
        <f>0.02*Lmag/((Vout+Vfwd1)*0.00000045*Nps)</f>
        <v>3.1746031746031758E-2</v>
      </c>
      <c r="C115" s="113"/>
      <c r="D115" t="s">
        <v>842</v>
      </c>
      <c r="I115" s="25"/>
    </row>
    <row r="116" spans="1:12">
      <c r="B116" s="183"/>
      <c r="C116" s="113"/>
      <c r="I116" s="25"/>
    </row>
    <row r="117" spans="1:12" ht="13.5" thickBot="1">
      <c r="A117" s="165" t="s">
        <v>773</v>
      </c>
      <c r="B117" s="166">
        <f>Iout*((Vout+Parameters!B49)/VIN_min+1/'Variable Mgmt'!B24)*0+CHOOSE(MODE, 'Calculations - Single'!U210,'Calculations - Dual'!T210)*1.1</f>
        <v>5.9648206614084724</v>
      </c>
      <c r="C117" s="29" t="s">
        <v>1</v>
      </c>
      <c r="D117" s="29"/>
      <c r="E117" s="29"/>
      <c r="F117" s="29"/>
      <c r="G117" s="29"/>
      <c r="H117" s="29"/>
      <c r="I117" s="30"/>
    </row>
    <row r="118" spans="1:12">
      <c r="A118" s="39" t="s">
        <v>774</v>
      </c>
      <c r="B118" s="727">
        <f>MIN(B114,B115)</f>
        <v>1.5926465234801603E-2</v>
      </c>
      <c r="C118" s="113" t="s">
        <v>45</v>
      </c>
      <c r="D118" s="7"/>
      <c r="E118" s="7"/>
      <c r="F118" s="7"/>
      <c r="G118" s="7"/>
      <c r="H118" s="7"/>
      <c r="I118" s="7"/>
    </row>
    <row r="120" spans="1:12" ht="16" thickBot="1">
      <c r="A120" s="50" t="s">
        <v>559</v>
      </c>
      <c r="B120" s="7"/>
      <c r="D120" s="39"/>
      <c r="E120" s="7"/>
      <c r="F120" s="7"/>
      <c r="G120" s="7"/>
      <c r="H120" s="7"/>
      <c r="I120" s="7"/>
    </row>
    <row r="121" spans="1:12" ht="12.5">
      <c r="A121" s="109" t="s">
        <v>164</v>
      </c>
      <c r="B121" s="419"/>
      <c r="C121" s="164" t="s">
        <v>1</v>
      </c>
      <c r="D121" s="79" t="s">
        <v>163</v>
      </c>
      <c r="E121" s="31"/>
      <c r="F121" s="31"/>
      <c r="G121" s="31"/>
      <c r="H121" s="31"/>
      <c r="I121" s="32"/>
      <c r="L121" s="5"/>
    </row>
    <row r="122" spans="1:12" ht="12.5">
      <c r="A122" s="110" t="s">
        <v>165</v>
      </c>
      <c r="B122" s="420"/>
      <c r="C122" s="111" t="s">
        <v>1</v>
      </c>
      <c r="D122" s="7"/>
      <c r="E122" s="77"/>
      <c r="F122" s="7"/>
      <c r="G122" s="7"/>
      <c r="H122" s="7"/>
      <c r="I122" s="25"/>
      <c r="L122" s="5"/>
    </row>
    <row r="123" spans="1:12" ht="12.5">
      <c r="A123" s="110" t="s">
        <v>166</v>
      </c>
      <c r="B123" s="420"/>
      <c r="C123" s="111" t="s">
        <v>1</v>
      </c>
      <c r="D123" s="7"/>
      <c r="E123" s="77"/>
      <c r="F123" s="7"/>
      <c r="G123" s="7"/>
      <c r="H123" s="7"/>
      <c r="I123" s="25"/>
      <c r="L123" s="5"/>
    </row>
    <row r="124" spans="1:12" ht="12.5">
      <c r="A124" s="110"/>
      <c r="B124" s="167"/>
      <c r="C124" s="111"/>
      <c r="D124" s="7"/>
      <c r="E124" s="77"/>
      <c r="F124" s="7"/>
      <c r="G124" s="7"/>
      <c r="H124" s="7"/>
      <c r="I124" s="25"/>
      <c r="L124" s="5"/>
    </row>
    <row r="125" spans="1:12" ht="12.5">
      <c r="A125" s="110" t="s">
        <v>174</v>
      </c>
      <c r="B125" s="549">
        <f>Vout_ripple</f>
        <v>163.99999999999997</v>
      </c>
      <c r="C125" s="111" t="s">
        <v>149</v>
      </c>
      <c r="D125" s="77" t="s">
        <v>594</v>
      </c>
      <c r="F125" s="7"/>
      <c r="G125" s="7"/>
      <c r="H125" s="7"/>
      <c r="I125" s="25"/>
      <c r="L125" s="5"/>
    </row>
    <row r="126" spans="1:12">
      <c r="A126" s="499" t="s">
        <v>12</v>
      </c>
      <c r="B126" s="192">
        <f>MAX(4.7, CHOOSE(MODE, 'Calculations - Single'!EE212, 'Calculations - Dual'!AW105))</f>
        <v>38.285714285714299</v>
      </c>
      <c r="C126" s="201" t="s">
        <v>97</v>
      </c>
      <c r="D126" s="77" t="s">
        <v>593</v>
      </c>
      <c r="E126" s="77"/>
      <c r="F126" s="7"/>
      <c r="G126" s="7"/>
      <c r="H126" s="7"/>
      <c r="I126" s="25"/>
    </row>
    <row r="127" spans="1:12" ht="12.5">
      <c r="A127" s="110" t="s">
        <v>14</v>
      </c>
      <c r="B127" s="591">
        <f>'Design Converter'!E34</f>
        <v>110</v>
      </c>
      <c r="C127" s="201" t="s">
        <v>97</v>
      </c>
      <c r="D127" s="77" t="s">
        <v>167</v>
      </c>
      <c r="F127" s="7"/>
      <c r="G127" s="7"/>
      <c r="H127" s="7"/>
      <c r="I127" s="25"/>
    </row>
    <row r="128" spans="1:12" ht="12.5">
      <c r="A128" s="200" t="s">
        <v>181</v>
      </c>
      <c r="B128" s="550">
        <f>(Vripple1_spec-Iout*B130/Cout*1000)/Iout</f>
        <v>148.44668773029807</v>
      </c>
      <c r="C128" s="113" t="s">
        <v>258</v>
      </c>
      <c r="D128" s="77" t="s">
        <v>107</v>
      </c>
      <c r="F128" s="7"/>
      <c r="G128" s="7"/>
      <c r="H128" s="7"/>
      <c r="I128" s="25"/>
    </row>
    <row r="129" spans="1:9" ht="12.5">
      <c r="A129" s="110" t="s">
        <v>54</v>
      </c>
      <c r="B129" s="193">
        <f>'Design Converter'!E35</f>
        <v>2</v>
      </c>
      <c r="C129" s="113" t="s">
        <v>258</v>
      </c>
      <c r="D129" s="77" t="s">
        <v>108</v>
      </c>
      <c r="F129" s="7"/>
      <c r="G129" s="7"/>
      <c r="H129" s="7"/>
      <c r="I129" s="25"/>
    </row>
    <row r="130" spans="1:9" ht="12.5">
      <c r="A130" s="110" t="s">
        <v>438</v>
      </c>
      <c r="B130" s="192">
        <f>CHOOSE(MODE, 'Calculations - Single'!AT105, 'Calculations - Dual'!AR105)</f>
        <v>1.7108643496672105</v>
      </c>
      <c r="C130" s="201" t="s">
        <v>247</v>
      </c>
      <c r="D130" s="77"/>
      <c r="F130" s="7"/>
      <c r="G130" s="7"/>
      <c r="H130" s="7"/>
      <c r="I130" s="25"/>
    </row>
    <row r="131" spans="1:9">
      <c r="A131" s="34" t="s">
        <v>437</v>
      </c>
      <c r="B131" s="588">
        <f>Iout*B130/Cout*1000+Iout*CoutEsr</f>
        <v>17.553312269701912</v>
      </c>
      <c r="C131" s="77" t="s">
        <v>443</v>
      </c>
      <c r="D131" s="77" t="s">
        <v>596</v>
      </c>
      <c r="F131" s="7"/>
      <c r="G131" s="7"/>
      <c r="H131" s="445" t="s">
        <v>562</v>
      </c>
      <c r="I131" s="25"/>
    </row>
    <row r="132" spans="1:9">
      <c r="A132" s="34"/>
      <c r="B132" s="192"/>
      <c r="C132" s="77"/>
      <c r="D132" s="77"/>
      <c r="F132" s="7"/>
      <c r="G132" s="7"/>
      <c r="H132" s="7"/>
      <c r="I132" s="25"/>
    </row>
    <row r="133" spans="1:9">
      <c r="A133" s="34"/>
      <c r="B133" s="192"/>
      <c r="C133" s="77"/>
      <c r="D133" s="77"/>
      <c r="F133" s="7"/>
      <c r="G133" s="7"/>
      <c r="H133" s="7"/>
      <c r="I133" s="25"/>
    </row>
    <row r="134" spans="1:9" ht="15.5">
      <c r="A134" s="634" t="s">
        <v>560</v>
      </c>
      <c r="B134" s="192"/>
      <c r="C134" s="201"/>
      <c r="D134" s="77"/>
      <c r="F134" s="7"/>
      <c r="G134" s="7"/>
      <c r="H134" s="7"/>
      <c r="I134" s="25"/>
    </row>
    <row r="135" spans="1:9" ht="12.5">
      <c r="A135" s="110" t="s">
        <v>541</v>
      </c>
      <c r="B135" s="549">
        <f>Vout_ripple2</f>
        <v>80</v>
      </c>
      <c r="C135" s="111" t="s">
        <v>149</v>
      </c>
      <c r="D135" s="77" t="s">
        <v>597</v>
      </c>
      <c r="F135" s="7"/>
      <c r="G135" s="7"/>
      <c r="H135" s="7"/>
      <c r="I135" s="25"/>
    </row>
    <row r="136" spans="1:9">
      <c r="A136" s="499" t="s">
        <v>543</v>
      </c>
      <c r="B136" s="192">
        <f>MAX(4.7, 'Calculations - Dual'!AX105)</f>
        <v>5.7889712095772259</v>
      </c>
      <c r="C136" s="201" t="s">
        <v>97</v>
      </c>
      <c r="D136" s="77" t="s">
        <v>593</v>
      </c>
      <c r="F136" s="7"/>
      <c r="G136" s="7"/>
      <c r="H136" s="7"/>
      <c r="I136" s="25"/>
    </row>
    <row r="137" spans="1:9" ht="12.5">
      <c r="A137" s="110" t="s">
        <v>542</v>
      </c>
      <c r="B137" s="591">
        <f>MAX(4.7,'Design Converter'!L34)</f>
        <v>55</v>
      </c>
      <c r="C137" s="201" t="s">
        <v>97</v>
      </c>
      <c r="D137" s="77" t="s">
        <v>167</v>
      </c>
      <c r="F137" s="7"/>
      <c r="G137" s="7"/>
      <c r="H137" s="7"/>
      <c r="I137" s="25"/>
    </row>
    <row r="138" spans="1:9">
      <c r="A138" s="200" t="s">
        <v>544</v>
      </c>
      <c r="B138" s="550">
        <f>(Vout_ripple2-Iout2*B140/Cout2*1000)/Iout2</f>
        <v>235.7922646494921</v>
      </c>
      <c r="C138" s="113" t="s">
        <v>258</v>
      </c>
      <c r="D138" s="77" t="s">
        <v>107</v>
      </c>
      <c r="F138" s="7"/>
      <c r="G138" s="7"/>
      <c r="H138" s="445" t="s">
        <v>561</v>
      </c>
      <c r="I138" s="25"/>
    </row>
    <row r="139" spans="1:9" ht="12.5">
      <c r="A139" s="110" t="s">
        <v>545</v>
      </c>
      <c r="B139" s="193">
        <f>'Design Converter'!L35</f>
        <v>8</v>
      </c>
      <c r="C139" s="113" t="s">
        <v>258</v>
      </c>
      <c r="D139" s="77" t="s">
        <v>108</v>
      </c>
      <c r="F139" s="7"/>
      <c r="G139" s="7"/>
      <c r="I139" s="25"/>
    </row>
    <row r="140" spans="1:9">
      <c r="A140" s="110" t="s">
        <v>438</v>
      </c>
      <c r="B140" s="192">
        <f>'Calculations - Dual'!AR105</f>
        <v>4.6314254442779346</v>
      </c>
      <c r="C140" s="201" t="s">
        <v>247</v>
      </c>
      <c r="D140" s="77"/>
      <c r="F140" s="7"/>
      <c r="G140" s="7"/>
      <c r="H140" s="445" t="s">
        <v>561</v>
      </c>
      <c r="I140" s="25"/>
    </row>
    <row r="141" spans="1:9">
      <c r="A141" s="34" t="s">
        <v>437</v>
      </c>
      <c r="B141" s="588">
        <f>Iout2*B140/Cout2*1000+Iout2*CoutEsr2</f>
        <v>23.051933837626976</v>
      </c>
      <c r="C141" s="77" t="s">
        <v>443</v>
      </c>
      <c r="D141" s="77" t="s">
        <v>595</v>
      </c>
      <c r="F141" s="7"/>
      <c r="G141" s="7"/>
      <c r="H141" s="7"/>
      <c r="I141" s="25"/>
    </row>
    <row r="142" spans="1:9">
      <c r="A142" s="39"/>
      <c r="B142" s="192"/>
      <c r="C142" s="77"/>
      <c r="D142" s="77"/>
      <c r="F142" s="7"/>
      <c r="G142" s="7"/>
      <c r="H142" s="7"/>
      <c r="I142" s="25"/>
    </row>
    <row r="143" spans="1:9" thickBot="1">
      <c r="A143" s="29"/>
      <c r="B143" s="29"/>
      <c r="C143" s="29"/>
      <c r="D143" s="29"/>
      <c r="E143" s="29"/>
      <c r="F143" s="29"/>
      <c r="G143" s="29"/>
      <c r="H143" s="29"/>
      <c r="I143" s="30"/>
    </row>
    <row r="145" spans="1:9" ht="13.5" thickBot="1">
      <c r="A145" s="7"/>
      <c r="B145" s="7"/>
      <c r="C145" s="39"/>
      <c r="D145" s="7"/>
      <c r="E145" s="7"/>
      <c r="F145" s="7"/>
      <c r="G145" s="7"/>
      <c r="H145" s="7"/>
      <c r="I145" s="7"/>
    </row>
    <row r="146" spans="1:9" ht="15.5">
      <c r="A146" s="61" t="s">
        <v>55</v>
      </c>
      <c r="B146" s="62"/>
      <c r="C146" s="168"/>
      <c r="D146" s="62"/>
      <c r="E146" s="62"/>
      <c r="F146" s="62"/>
      <c r="G146" s="62"/>
      <c r="H146" s="62"/>
      <c r="I146" s="63"/>
    </row>
    <row r="147" spans="1:9" ht="12.5">
      <c r="A147" s="552" t="s">
        <v>507</v>
      </c>
      <c r="B147" s="555">
        <f>0.05*VIN_nom</f>
        <v>1.2000000000000002</v>
      </c>
      <c r="C147" s="111" t="s">
        <v>444</v>
      </c>
      <c r="D147" s="76" t="s">
        <v>439</v>
      </c>
      <c r="E147" s="7"/>
      <c r="F147" s="7"/>
      <c r="G147" s="7"/>
      <c r="H147" s="7"/>
      <c r="I147" s="65"/>
    </row>
    <row r="148" spans="1:9" ht="12.5">
      <c r="A148" s="64"/>
      <c r="B148" s="12"/>
      <c r="C148" s="60"/>
      <c r="E148" s="7"/>
      <c r="F148" s="7"/>
      <c r="G148" s="7"/>
      <c r="H148" s="7"/>
      <c r="I148" s="65"/>
    </row>
    <row r="149" spans="1:9" ht="12.5">
      <c r="A149" s="66" t="s">
        <v>58</v>
      </c>
      <c r="B149" s="421"/>
      <c r="C149" s="201" t="s">
        <v>30</v>
      </c>
      <c r="E149" s="7"/>
      <c r="F149" s="7"/>
      <c r="G149" s="7"/>
      <c r="H149" s="7"/>
      <c r="I149" s="65"/>
    </row>
    <row r="150" spans="1:9" ht="12.5">
      <c r="A150" s="66" t="s">
        <v>98</v>
      </c>
      <c r="B150" s="185">
        <f>'Calculations - Single'!BB105</f>
        <v>1.5017742879064861</v>
      </c>
      <c r="C150" s="201" t="s">
        <v>97</v>
      </c>
      <c r="E150" s="7"/>
      <c r="F150" s="7"/>
      <c r="G150" s="7"/>
      <c r="H150" s="7"/>
      <c r="I150" s="65"/>
    </row>
    <row r="151" spans="1:9" ht="12.5">
      <c r="A151" s="200" t="s">
        <v>180</v>
      </c>
      <c r="B151" s="597">
        <f>MAX(2.2,Cinmin)</f>
        <v>2.2000000000000002</v>
      </c>
      <c r="C151" s="201" t="s">
        <v>97</v>
      </c>
      <c r="E151" s="7"/>
      <c r="F151" s="7"/>
      <c r="G151" s="7"/>
      <c r="H151" s="7"/>
      <c r="I151" s="65"/>
    </row>
    <row r="152" spans="1:9" ht="12.5">
      <c r="A152" s="66" t="s">
        <v>28</v>
      </c>
      <c r="B152" s="553">
        <f>'Design Converter'!E30</f>
        <v>22</v>
      </c>
      <c r="C152" s="201" t="s">
        <v>97</v>
      </c>
      <c r="D152" s="7" t="s">
        <v>60</v>
      </c>
      <c r="F152" s="7"/>
      <c r="G152" s="7"/>
      <c r="H152" s="7"/>
      <c r="I152" s="65"/>
    </row>
    <row r="153" spans="1:9" ht="12.5">
      <c r="A153" s="66"/>
      <c r="B153" s="551"/>
      <c r="C153" s="58"/>
      <c r="D153" s="7"/>
      <c r="F153" s="7"/>
      <c r="G153" s="7"/>
      <c r="H153" s="7"/>
      <c r="I153" s="65"/>
    </row>
    <row r="154" spans="1:9" ht="12.5">
      <c r="A154" s="67" t="s">
        <v>99</v>
      </c>
      <c r="B154" s="420">
        <f>(Vinripple1-B157*B159/Cin)/B158</f>
        <v>0.32803371262237413</v>
      </c>
      <c r="C154" s="113" t="s">
        <v>45</v>
      </c>
      <c r="D154" s="7"/>
      <c r="F154" s="7"/>
      <c r="G154" s="7"/>
      <c r="H154" s="7"/>
      <c r="I154" s="65"/>
    </row>
    <row r="155" spans="1:9" ht="12.5">
      <c r="A155" s="66" t="s">
        <v>37</v>
      </c>
      <c r="B155" s="59">
        <f>'Design Converter'!E31/1000</f>
        <v>3.0000000000000001E-3</v>
      </c>
      <c r="C155" s="113" t="s">
        <v>45</v>
      </c>
      <c r="D155" s="77" t="s">
        <v>109</v>
      </c>
      <c r="F155" s="7"/>
      <c r="G155" s="7"/>
      <c r="H155" s="7"/>
      <c r="I155" s="65"/>
    </row>
    <row r="156" spans="1:9">
      <c r="A156" s="200" t="s">
        <v>182</v>
      </c>
      <c r="B156" s="369">
        <f>'Design Converter'!E31</f>
        <v>3</v>
      </c>
      <c r="C156" s="17" t="s">
        <v>161</v>
      </c>
      <c r="D156" s="77"/>
      <c r="F156" s="7"/>
      <c r="G156" s="7"/>
      <c r="H156" s="7"/>
      <c r="I156" s="65"/>
    </row>
    <row r="157" spans="1:9" ht="12.5">
      <c r="A157" s="200" t="s">
        <v>441</v>
      </c>
      <c r="B157" s="426">
        <f>Vout*Iout/VIN_nom/Efficiency</f>
        <v>0.68333333333333324</v>
      </c>
      <c r="C157" s="77" t="s">
        <v>1</v>
      </c>
      <c r="D157" s="77"/>
      <c r="F157" s="7"/>
      <c r="G157" s="7"/>
      <c r="H157" s="7"/>
      <c r="I157" s="65"/>
    </row>
    <row r="158" spans="1:9" ht="12.5">
      <c r="A158" s="200" t="s">
        <v>445</v>
      </c>
      <c r="B158" s="426">
        <f>CHOOSE(MODE, 'Calculations - Single'!AJ105, 'Calculations - Dual'!$AI$105)</f>
        <v>3.4093489838627278</v>
      </c>
      <c r="C158" s="77" t="s">
        <v>1</v>
      </c>
      <c r="D158" s="77"/>
      <c r="F158" s="7"/>
      <c r="G158" s="7"/>
      <c r="H158" s="7"/>
      <c r="I158" s="65"/>
    </row>
    <row r="159" spans="1:9" ht="12.5">
      <c r="A159" s="200" t="s">
        <v>442</v>
      </c>
      <c r="B159" s="426">
        <f>CHOOSE(MODE, 'Calculations - Single'!AU105, 'Calculations - Dual'!$AT$105)</f>
        <v>2.6277206258929748</v>
      </c>
      <c r="C159" s="201" t="s">
        <v>247</v>
      </c>
      <c r="D159" s="77"/>
      <c r="F159" s="7"/>
      <c r="G159" s="7"/>
      <c r="H159" s="7"/>
      <c r="I159" s="65"/>
    </row>
    <row r="160" spans="1:9" ht="12.5">
      <c r="A160" s="200" t="s">
        <v>440</v>
      </c>
      <c r="B160" s="185">
        <f>B157*B159/Cin+B158*RCinEsr</f>
        <v>9.1846642149779056E-2</v>
      </c>
      <c r="C160" s="201" t="s">
        <v>444</v>
      </c>
      <c r="D160" s="76" t="s">
        <v>446</v>
      </c>
      <c r="E160" s="554"/>
      <c r="F160" s="201"/>
      <c r="G160" s="7"/>
      <c r="H160" s="7"/>
      <c r="I160" s="65"/>
    </row>
    <row r="161" spans="1:9" thickBot="1">
      <c r="A161" s="68"/>
      <c r="B161" s="69"/>
      <c r="C161" s="69"/>
      <c r="D161" s="69"/>
      <c r="E161" s="70"/>
      <c r="F161" s="70"/>
      <c r="G161" s="70"/>
      <c r="H161" s="70"/>
      <c r="I161" s="71"/>
    </row>
    <row r="162" spans="1:9">
      <c r="A162" s="7"/>
      <c r="B162" s="7"/>
      <c r="C162" s="39"/>
      <c r="D162" s="7"/>
      <c r="E162" s="7"/>
      <c r="F162" s="7"/>
      <c r="G162" s="7"/>
      <c r="H162" s="7"/>
      <c r="I162" s="7"/>
    </row>
    <row r="163" spans="1:9" ht="16" thickBot="1">
      <c r="A163" s="50" t="s">
        <v>62</v>
      </c>
      <c r="B163" s="7"/>
      <c r="C163" s="39"/>
      <c r="D163" s="7"/>
      <c r="E163" s="7"/>
      <c r="F163" s="7"/>
      <c r="G163" s="7"/>
      <c r="H163" s="7"/>
      <c r="I163" s="7"/>
    </row>
    <row r="164" spans="1:9" ht="12.5">
      <c r="A164" s="52" t="s">
        <v>64</v>
      </c>
      <c r="B164" s="9">
        <f>'Design Converter'!E42/1000</f>
        <v>0.01</v>
      </c>
      <c r="C164" s="31" t="s">
        <v>51</v>
      </c>
      <c r="D164" s="79" t="s">
        <v>176</v>
      </c>
      <c r="E164" s="31"/>
      <c r="F164" s="31"/>
      <c r="G164" s="31"/>
      <c r="H164" s="31"/>
      <c r="I164" s="32"/>
    </row>
    <row r="165" spans="1:9" ht="12.5">
      <c r="A165" s="24" t="s">
        <v>65</v>
      </c>
      <c r="B165" s="195">
        <v>5.0000000000000004E-6</v>
      </c>
      <c r="C165" s="7" t="s">
        <v>1</v>
      </c>
      <c r="D165" s="77" t="s">
        <v>306</v>
      </c>
      <c r="E165" s="7"/>
      <c r="F165" s="7"/>
      <c r="G165" s="7"/>
      <c r="H165" s="7"/>
      <c r="I165" s="25"/>
    </row>
    <row r="166" spans="1:9" ht="12.5">
      <c r="A166" s="24" t="s">
        <v>66</v>
      </c>
      <c r="B166" s="195">
        <f>0.000005*Tss/1</f>
        <v>5.0000000000000004E-8</v>
      </c>
      <c r="C166" s="7" t="s">
        <v>13</v>
      </c>
      <c r="D166" s="77" t="s">
        <v>308</v>
      </c>
      <c r="E166" s="7"/>
      <c r="F166" s="7"/>
      <c r="G166" s="7"/>
      <c r="H166" s="7"/>
      <c r="I166" s="25"/>
    </row>
    <row r="167" spans="1:9" thickBot="1">
      <c r="A167" s="28" t="s">
        <v>72</v>
      </c>
      <c r="B167" s="196">
        <f>'Standard Value Calculator'!B4</f>
        <v>4.6999999999999997E-8</v>
      </c>
      <c r="C167" s="29" t="s">
        <v>13</v>
      </c>
      <c r="D167" s="80" t="s">
        <v>309</v>
      </c>
      <c r="E167" s="29"/>
      <c r="F167" s="29"/>
      <c r="G167" s="29"/>
      <c r="H167" s="29"/>
      <c r="I167" s="30"/>
    </row>
    <row r="169" spans="1:9" ht="16" thickBot="1">
      <c r="A169" s="50" t="s">
        <v>556</v>
      </c>
      <c r="B169" s="7"/>
      <c r="C169" s="39"/>
      <c r="D169" s="7"/>
      <c r="E169" s="7"/>
      <c r="F169" s="7"/>
      <c r="G169" s="7"/>
      <c r="H169" s="7"/>
      <c r="I169" s="7"/>
    </row>
    <row r="170" spans="1:9" ht="12.75" customHeight="1">
      <c r="A170" s="109"/>
      <c r="B170" s="53"/>
      <c r="C170" s="155"/>
      <c r="D170" s="79"/>
      <c r="E170" s="31"/>
      <c r="F170" s="31"/>
      <c r="G170" s="31"/>
      <c r="H170" s="31"/>
      <c r="I170" s="32"/>
    </row>
    <row r="171" spans="1:9" ht="12.75" customHeight="1">
      <c r="A171" s="110" t="s">
        <v>111</v>
      </c>
      <c r="B171" s="186">
        <v>1.5</v>
      </c>
      <c r="C171" s="77" t="s">
        <v>0</v>
      </c>
      <c r="D171" s="77"/>
      <c r="E171" s="7"/>
      <c r="F171" s="7"/>
      <c r="G171" s="7"/>
      <c r="H171" s="7"/>
      <c r="I171" s="25"/>
    </row>
    <row r="172" spans="1:9" ht="12.75" customHeight="1">
      <c r="A172" s="110" t="s">
        <v>112</v>
      </c>
      <c r="B172" s="186">
        <v>1.45</v>
      </c>
      <c r="C172" s="77" t="s">
        <v>0</v>
      </c>
      <c r="D172" s="77"/>
      <c r="E172" s="7"/>
      <c r="F172" s="7"/>
      <c r="G172" s="7"/>
      <c r="H172" s="7"/>
      <c r="I172" s="25"/>
    </row>
    <row r="173" spans="1:9" ht="12.75" customHeight="1">
      <c r="A173" s="110" t="s">
        <v>148</v>
      </c>
      <c r="B173" s="37">
        <f>B171-B172</f>
        <v>5.0000000000000044E-2</v>
      </c>
      <c r="C173" s="77" t="s">
        <v>0</v>
      </c>
      <c r="D173" s="77"/>
      <c r="E173" s="7"/>
      <c r="F173" s="7"/>
      <c r="G173" s="7"/>
      <c r="H173" s="7"/>
      <c r="I173" s="25"/>
    </row>
    <row r="174" spans="1:9" ht="12.75" customHeight="1">
      <c r="A174" s="110" t="s">
        <v>373</v>
      </c>
      <c r="B174" s="7">
        <v>0</v>
      </c>
      <c r="C174" s="111" t="s">
        <v>1</v>
      </c>
      <c r="D174" s="77"/>
      <c r="E174" s="7"/>
      <c r="F174" s="7"/>
      <c r="G174" s="7"/>
      <c r="H174" s="7"/>
      <c r="I174" s="25"/>
    </row>
    <row r="175" spans="1:9" ht="12.75" customHeight="1">
      <c r="A175" s="110" t="s">
        <v>372</v>
      </c>
      <c r="B175" s="519">
        <v>5.0000000000000001E-3</v>
      </c>
      <c r="C175" s="111" t="s">
        <v>30</v>
      </c>
      <c r="D175" s="77"/>
      <c r="E175" s="7"/>
      <c r="F175" s="7"/>
      <c r="G175" s="7"/>
      <c r="H175" s="7"/>
      <c r="I175" s="25"/>
    </row>
    <row r="176" spans="1:9" ht="12.75" customHeight="1">
      <c r="A176" s="110" t="s">
        <v>371</v>
      </c>
      <c r="B176" s="520">
        <f>Iuvlo2-Iuvlo1</f>
        <v>5.0000000000000001E-3</v>
      </c>
      <c r="C176" s="111" t="s">
        <v>30</v>
      </c>
      <c r="D176" s="77"/>
      <c r="F176" s="7"/>
      <c r="G176" s="7"/>
      <c r="H176" s="7"/>
      <c r="I176" s="25"/>
    </row>
    <row r="177" spans="1:9" ht="12.75" customHeight="1">
      <c r="A177" s="110"/>
      <c r="B177" s="37"/>
      <c r="C177" s="377"/>
      <c r="D177" s="77"/>
      <c r="E177" s="7"/>
      <c r="F177" s="7"/>
      <c r="G177" s="7"/>
      <c r="H177" s="7"/>
      <c r="I177" s="25"/>
    </row>
    <row r="178" spans="1:9" ht="12.75" customHeight="1">
      <c r="A178" s="110" t="s">
        <v>110</v>
      </c>
      <c r="B178" s="184">
        <f>'Design Converter'!E48</f>
        <v>9.5</v>
      </c>
      <c r="C178" s="111" t="s">
        <v>0</v>
      </c>
      <c r="E178" s="7"/>
      <c r="F178" s="7"/>
      <c r="G178" s="7"/>
      <c r="H178" s="7"/>
      <c r="I178" s="25"/>
    </row>
    <row r="179" spans="1:9" ht="12.75" customHeight="1">
      <c r="A179" s="110" t="s">
        <v>294</v>
      </c>
      <c r="B179" s="184">
        <f>'Design Converter'!E49</f>
        <v>9</v>
      </c>
      <c r="C179" s="111" t="s">
        <v>0</v>
      </c>
      <c r="E179" s="7"/>
      <c r="F179" s="7"/>
      <c r="G179" s="7"/>
      <c r="H179" s="7"/>
      <c r="I179" s="25"/>
    </row>
    <row r="180" spans="1:9" ht="12.75" customHeight="1">
      <c r="A180" s="110"/>
      <c r="B180" s="37"/>
      <c r="C180" s="111"/>
      <c r="E180" s="7"/>
      <c r="F180" s="7"/>
      <c r="G180" s="7"/>
      <c r="H180" s="7"/>
      <c r="I180" s="25"/>
    </row>
    <row r="181" spans="1:9" ht="12.75" customHeight="1">
      <c r="A181" s="110" t="s">
        <v>126</v>
      </c>
      <c r="B181" s="589">
        <f>(VINuvlo_off-VINuvlo_on*Vuvlo_off/Vuvlo_on)/(Iuvlo1*Vuvlo_off/Vuvlo_on-Iuvlo2)</f>
        <v>36.666666666666714</v>
      </c>
      <c r="C181" s="17" t="s">
        <v>113</v>
      </c>
      <c r="D181" s="7">
        <f>'Standard Value Calculator'!J16</f>
        <v>36.5</v>
      </c>
      <c r="E181" s="17" t="s">
        <v>113</v>
      </c>
      <c r="F181" s="37">
        <f>IF(Ruvlo1&lt;0,"N/A",D181)</f>
        <v>36.5</v>
      </c>
      <c r="G181" s="37" t="str">
        <f>IF(Ruvlo1&lt;0,"N/A",D181&amp;"kΩ")</f>
        <v>36.5kΩ</v>
      </c>
      <c r="I181" s="25"/>
    </row>
    <row r="182" spans="1:9" ht="12.75" customHeight="1">
      <c r="A182" s="110" t="s">
        <v>127</v>
      </c>
      <c r="B182" s="187">
        <f>D181*Vuvlo_on/(VINuvlo_on-Vuvlo_on+Ruvlo1*Iuvlo1)</f>
        <v>6.84375</v>
      </c>
      <c r="C182" s="17" t="s">
        <v>113</v>
      </c>
      <c r="D182" s="7">
        <f>'Standard Value Calculator'!J17</f>
        <v>6.8100000000000005</v>
      </c>
      <c r="E182" s="17" t="s">
        <v>113</v>
      </c>
      <c r="F182" s="37">
        <f>IF(F181="N/A","N/A",D182)</f>
        <v>6.8100000000000005</v>
      </c>
      <c r="G182" s="37" t="str">
        <f>IF(G181="N/A","N/A",D182&amp;"kΩ")</f>
        <v>6.81kΩ</v>
      </c>
      <c r="I182" s="25"/>
    </row>
    <row r="183" spans="1:9" ht="12.75" customHeight="1">
      <c r="A183" s="110"/>
      <c r="B183" s="112"/>
      <c r="C183" s="17"/>
      <c r="D183" s="37"/>
      <c r="E183" s="17"/>
      <c r="F183" s="37"/>
      <c r="G183" s="37"/>
      <c r="I183" s="25"/>
    </row>
    <row r="184" spans="1:9" ht="12.75" customHeight="1">
      <c r="A184" s="110" t="s">
        <v>114</v>
      </c>
      <c r="B184" s="590">
        <f>(D181+D182)/D182*Vuvlo_on</f>
        <v>9.5396475770925093</v>
      </c>
      <c r="C184" s="3" t="s">
        <v>0</v>
      </c>
      <c r="E184" s="7"/>
      <c r="F184" s="17"/>
      <c r="G184" s="7"/>
      <c r="H184" s="7"/>
      <c r="I184" s="25"/>
    </row>
    <row r="185" spans="1:9" ht="12.75" customHeight="1">
      <c r="A185" s="110" t="s">
        <v>115</v>
      </c>
      <c r="B185" s="590">
        <f>(D181+D182)/D182*Vuvlo_off-Iuvlo2*D181</f>
        <v>9.0391593245227604</v>
      </c>
      <c r="C185" s="3" t="s">
        <v>0</v>
      </c>
      <c r="E185" s="7"/>
      <c r="F185" s="17"/>
      <c r="G185" s="7"/>
      <c r="H185" s="7"/>
      <c r="I185" s="25"/>
    </row>
    <row r="186" spans="1:9" ht="12.75" customHeight="1" thickBot="1">
      <c r="A186" s="28"/>
      <c r="B186" s="38"/>
      <c r="C186" s="156"/>
      <c r="D186" s="29"/>
      <c r="E186" s="29"/>
      <c r="F186" s="29"/>
      <c r="G186" s="29"/>
      <c r="H186" s="29"/>
      <c r="I186" s="30"/>
    </row>
    <row r="187" spans="1:9">
      <c r="B187" s="16"/>
      <c r="C187" s="157"/>
    </row>
    <row r="188" spans="1:9" ht="16" thickBot="1">
      <c r="A188" s="50" t="s">
        <v>518</v>
      </c>
      <c r="B188" s="7"/>
      <c r="C188" s="39"/>
      <c r="D188" s="7"/>
      <c r="E188" s="7"/>
      <c r="F188" s="7"/>
      <c r="G188" s="7"/>
      <c r="H188" s="7"/>
      <c r="I188" s="7"/>
    </row>
    <row r="189" spans="1:9">
      <c r="A189" s="175" t="s">
        <v>16</v>
      </c>
      <c r="B189" s="176">
        <v>3.1415926500000002</v>
      </c>
      <c r="C189" s="177"/>
      <c r="D189" s="178" t="s">
        <v>170</v>
      </c>
      <c r="E189" s="31"/>
      <c r="F189" s="31"/>
      <c r="G189" s="31"/>
      <c r="H189" s="31"/>
      <c r="I189" s="32"/>
    </row>
    <row r="190" spans="1:9">
      <c r="A190" s="76" t="s">
        <v>185</v>
      </c>
      <c r="B190" s="204"/>
      <c r="C190" s="179" t="s">
        <v>184</v>
      </c>
      <c r="D190" s="181" t="s">
        <v>548</v>
      </c>
      <c r="I190" s="25"/>
    </row>
    <row r="191" spans="1:9">
      <c r="A191" s="76" t="s">
        <v>186</v>
      </c>
      <c r="B191" s="204"/>
      <c r="C191" s="179" t="s">
        <v>184</v>
      </c>
      <c r="D191" s="181"/>
      <c r="I191" s="25"/>
    </row>
    <row r="192" spans="1:9" ht="12.5">
      <c r="C192" s="7"/>
      <c r="D192" s="7"/>
      <c r="F192" s="7"/>
      <c r="G192" s="7"/>
      <c r="H192" s="7"/>
      <c r="I192" s="25"/>
    </row>
    <row r="193" spans="1:9">
      <c r="A193" s="110" t="s">
        <v>386</v>
      </c>
      <c r="B193" s="169">
        <f>(Vout+Vfwd1)*Nps*10</f>
        <v>167.99999999999997</v>
      </c>
      <c r="C193" s="17" t="s">
        <v>113</v>
      </c>
      <c r="D193" s="77" t="s">
        <v>520</v>
      </c>
      <c r="F193" s="7"/>
      <c r="G193" s="7"/>
      <c r="H193" s="7"/>
      <c r="I193" s="25">
        <v>1</v>
      </c>
    </row>
    <row r="194" spans="1:9">
      <c r="A194" s="34" t="s">
        <v>519</v>
      </c>
      <c r="B194" s="174">
        <f>Rfb/1000</f>
        <v>168</v>
      </c>
      <c r="C194" s="17" t="s">
        <v>113</v>
      </c>
      <c r="D194" s="77" t="s">
        <v>517</v>
      </c>
      <c r="F194" s="7"/>
      <c r="G194" s="7"/>
      <c r="H194" s="7"/>
      <c r="I194" s="25"/>
    </row>
    <row r="195" spans="1:9">
      <c r="A195" s="110" t="s">
        <v>53</v>
      </c>
      <c r="B195" s="36">
        <f>'Standard Value Calculator'!J10/1000</f>
        <v>169</v>
      </c>
      <c r="C195" s="17" t="s">
        <v>113</v>
      </c>
      <c r="D195" s="77" t="s">
        <v>359</v>
      </c>
      <c r="F195" s="7"/>
      <c r="G195" s="7"/>
      <c r="H195" s="7"/>
      <c r="I195" s="25"/>
    </row>
    <row r="196" spans="1:9">
      <c r="A196" s="77"/>
      <c r="B196" s="12"/>
      <c r="C196" s="17"/>
      <c r="D196" s="77"/>
      <c r="F196" s="7"/>
      <c r="G196" s="7"/>
      <c r="H196" s="7"/>
      <c r="I196" s="25"/>
    </row>
    <row r="197" spans="1:9">
      <c r="A197" s="111" t="s">
        <v>521</v>
      </c>
      <c r="B197" s="592">
        <f>'Design Converter'!E45</f>
        <v>-1.875</v>
      </c>
      <c r="C197" s="111" t="s">
        <v>380</v>
      </c>
      <c r="D197" s="77"/>
      <c r="F197" s="7"/>
      <c r="G197" s="7"/>
      <c r="H197" s="7"/>
      <c r="I197" s="25"/>
    </row>
    <row r="198" spans="1:9" ht="15.5">
      <c r="A198" s="24" t="s">
        <v>516</v>
      </c>
      <c r="B198" s="371">
        <f>4*B194/Nps/ABS(Diode_TC)*1000</f>
        <v>358400</v>
      </c>
      <c r="C198" s="17" t="s">
        <v>136</v>
      </c>
      <c r="D198" s="77"/>
      <c r="F198" s="7"/>
      <c r="G198" s="7"/>
      <c r="H198" s="7"/>
      <c r="I198" s="25"/>
    </row>
    <row r="199" spans="1:9">
      <c r="A199" s="12" t="s">
        <v>522</v>
      </c>
      <c r="B199" s="167">
        <f>'Standard Value Calculator'!J9/1000</f>
        <v>357</v>
      </c>
      <c r="C199" s="17" t="s">
        <v>113</v>
      </c>
      <c r="D199" s="77"/>
      <c r="F199" s="7"/>
      <c r="G199" s="7"/>
      <c r="H199" s="7"/>
      <c r="I199" s="25"/>
    </row>
    <row r="200" spans="1:9" ht="13.5" thickBot="1">
      <c r="A200" s="180"/>
      <c r="B200" s="180"/>
      <c r="C200" s="40"/>
      <c r="D200" s="29"/>
      <c r="E200" s="40"/>
      <c r="F200" s="29"/>
      <c r="G200" s="29"/>
      <c r="H200" s="29"/>
      <c r="I200" s="30"/>
    </row>
    <row r="201" spans="1:9">
      <c r="A201" s="2"/>
      <c r="B201" s="18"/>
      <c r="C201" s="18"/>
      <c r="E201" s="18"/>
    </row>
    <row r="202" spans="1:9">
      <c r="A202" s="2"/>
      <c r="B202" s="18"/>
      <c r="C202" s="18"/>
      <c r="E202" s="18"/>
    </row>
    <row r="203" spans="1:9" ht="16" thickBot="1">
      <c r="A203" s="54" t="s">
        <v>83</v>
      </c>
      <c r="B203" s="7"/>
      <c r="C203" s="39"/>
      <c r="D203" s="7"/>
      <c r="E203" s="7"/>
      <c r="F203" s="7"/>
      <c r="G203" s="7"/>
      <c r="H203" s="7"/>
      <c r="I203" s="7"/>
    </row>
    <row r="204" spans="1:9">
      <c r="A204" s="52"/>
      <c r="B204" s="31"/>
      <c r="C204" s="158"/>
      <c r="D204" s="31"/>
      <c r="E204" s="31"/>
      <c r="F204" s="31"/>
      <c r="G204" s="31"/>
      <c r="H204" s="31"/>
      <c r="I204" s="32"/>
    </row>
    <row r="205" spans="1:9">
      <c r="A205" s="34" t="s">
        <v>26</v>
      </c>
      <c r="B205" s="7"/>
      <c r="C205" s="39"/>
      <c r="D205" s="7"/>
      <c r="E205" s="7"/>
      <c r="F205" s="7"/>
      <c r="G205" s="7"/>
      <c r="H205" s="7"/>
      <c r="I205" s="25"/>
    </row>
    <row r="206" spans="1:9" ht="12.5">
      <c r="A206" s="24" t="s">
        <v>36</v>
      </c>
      <c r="B206" s="132">
        <f>'Design Converter'!E83</f>
        <v>85</v>
      </c>
      <c r="C206" s="77" t="s">
        <v>102</v>
      </c>
      <c r="D206" s="7" t="s">
        <v>40</v>
      </c>
      <c r="F206" s="7"/>
      <c r="G206" s="7"/>
      <c r="H206" s="7"/>
      <c r="I206" s="25"/>
    </row>
    <row r="207" spans="1:9">
      <c r="A207" s="34" t="s">
        <v>29</v>
      </c>
      <c r="B207" s="7"/>
      <c r="C207" s="7"/>
      <c r="D207" s="7"/>
      <c r="F207" s="7"/>
      <c r="G207" s="7"/>
      <c r="H207" s="7"/>
      <c r="I207" s="25"/>
    </row>
    <row r="208" spans="1:9" ht="12.5">
      <c r="A208" s="24" t="s">
        <v>35</v>
      </c>
      <c r="B208" s="27">
        <f>4000/1000000</f>
        <v>4.0000000000000001E-3</v>
      </c>
      <c r="C208" s="77" t="s">
        <v>138</v>
      </c>
      <c r="D208" s="77" t="s">
        <v>549</v>
      </c>
      <c r="F208" s="7"/>
      <c r="G208" s="7"/>
      <c r="H208" s="7"/>
      <c r="I208" s="25"/>
    </row>
    <row r="209" spans="1:9" ht="15.5">
      <c r="A209" s="110" t="s">
        <v>177</v>
      </c>
      <c r="B209" s="27">
        <v>20</v>
      </c>
      <c r="C209" s="111" t="s">
        <v>84</v>
      </c>
      <c r="D209" s="77" t="s">
        <v>550</v>
      </c>
      <c r="F209" s="7"/>
      <c r="G209" s="7"/>
      <c r="H209" s="7"/>
      <c r="I209" s="25"/>
    </row>
    <row r="210" spans="1:9" ht="12.5">
      <c r="A210" s="24" t="s">
        <v>37</v>
      </c>
      <c r="B210" s="10">
        <f>RCinEsr</f>
        <v>3.0000000000000001E-3</v>
      </c>
      <c r="C210" s="113" t="s">
        <v>45</v>
      </c>
      <c r="D210" s="77" t="s">
        <v>178</v>
      </c>
      <c r="F210" s="7"/>
      <c r="G210" s="7"/>
      <c r="H210" s="7"/>
      <c r="I210" s="25"/>
    </row>
    <row r="211" spans="1:9" ht="12.5">
      <c r="A211" s="24"/>
      <c r="B211" s="10"/>
      <c r="C211" s="113"/>
      <c r="D211" s="77"/>
      <c r="F211" s="7"/>
      <c r="G211" s="7"/>
      <c r="H211" s="7"/>
      <c r="I211" s="25"/>
    </row>
    <row r="212" spans="1:9">
      <c r="A212" s="33" t="s">
        <v>52</v>
      </c>
      <c r="B212" s="7"/>
      <c r="C212" s="7"/>
      <c r="D212" s="7"/>
      <c r="F212" s="7"/>
      <c r="G212" s="7"/>
      <c r="H212" s="7"/>
      <c r="I212" s="25"/>
    </row>
    <row r="213" spans="1:9">
      <c r="A213" s="110" t="s">
        <v>285</v>
      </c>
      <c r="B213" s="27">
        <f>Vdd</f>
        <v>5</v>
      </c>
      <c r="C213" s="60" t="s">
        <v>0</v>
      </c>
      <c r="D213" s="182"/>
      <c r="F213" s="7"/>
      <c r="G213" s="7"/>
      <c r="H213" s="7"/>
      <c r="I213" s="25"/>
    </row>
    <row r="214" spans="1:9" ht="12.5">
      <c r="A214" s="24" t="s">
        <v>49</v>
      </c>
      <c r="B214" s="35">
        <f>IQ</f>
        <v>4.4999999999999999E-4</v>
      </c>
      <c r="C214" s="7" t="s">
        <v>1</v>
      </c>
      <c r="D214" s="7" t="s">
        <v>50</v>
      </c>
      <c r="F214" s="7"/>
      <c r="G214" s="7"/>
      <c r="H214" s="7"/>
      <c r="I214" s="25"/>
    </row>
    <row r="215" spans="1:9" ht="12.5">
      <c r="A215" s="24"/>
      <c r="B215" s="7"/>
      <c r="C215" s="7"/>
      <c r="D215" s="7"/>
      <c r="F215" s="7"/>
      <c r="G215" s="7"/>
      <c r="H215" s="7"/>
      <c r="I215" s="25"/>
    </row>
    <row r="216" spans="1:9">
      <c r="A216" s="55" t="s">
        <v>172</v>
      </c>
      <c r="B216" s="42" t="s">
        <v>6</v>
      </c>
      <c r="C216" s="14" t="s">
        <v>33</v>
      </c>
      <c r="D216" s="7"/>
      <c r="F216" s="7"/>
      <c r="G216" s="7"/>
      <c r="H216" s="7"/>
      <c r="I216" s="25"/>
    </row>
    <row r="217" spans="1:9" ht="12.5">
      <c r="A217" s="56" t="s">
        <v>44</v>
      </c>
      <c r="B217" s="43"/>
      <c r="C217" s="44" t="s">
        <v>45</v>
      </c>
      <c r="D217" s="7"/>
      <c r="F217" s="7"/>
      <c r="G217" s="7"/>
      <c r="H217" s="7"/>
      <c r="I217" s="25"/>
    </row>
    <row r="218" spans="1:9" ht="12.5">
      <c r="A218" s="56" t="s">
        <v>46</v>
      </c>
      <c r="B218" s="13">
        <v>0</v>
      </c>
      <c r="C218" s="111" t="s">
        <v>102</v>
      </c>
      <c r="D218" s="7"/>
      <c r="F218" s="7"/>
      <c r="G218" s="7"/>
      <c r="H218" s="7"/>
      <c r="I218" s="25"/>
    </row>
    <row r="219" spans="1:9" ht="12.5">
      <c r="A219" s="56" t="s">
        <v>87</v>
      </c>
      <c r="B219" s="13" t="e">
        <v>#NAME?</v>
      </c>
      <c r="C219" s="12" t="s">
        <v>1</v>
      </c>
      <c r="D219" s="7"/>
      <c r="F219" s="7"/>
      <c r="G219" s="7"/>
      <c r="H219" s="7"/>
      <c r="I219" s="25"/>
    </row>
    <row r="220" spans="1:9" ht="12.5">
      <c r="A220" s="56" t="s">
        <v>88</v>
      </c>
      <c r="B220" s="12" t="e">
        <v>#NAME?</v>
      </c>
      <c r="C220" s="12" t="s">
        <v>1</v>
      </c>
      <c r="D220" s="7"/>
      <c r="F220" s="7"/>
      <c r="G220" s="7"/>
      <c r="H220" s="7"/>
      <c r="I220" s="25"/>
    </row>
    <row r="221" spans="1:9" ht="12.5">
      <c r="A221" s="56" t="s">
        <v>89</v>
      </c>
      <c r="B221" s="12" t="e">
        <f>C221/Vin</f>
        <v>#NAME?</v>
      </c>
      <c r="C221" s="12" t="e">
        <v>#NAME?</v>
      </c>
      <c r="D221" s="7"/>
      <c r="F221" s="7"/>
      <c r="G221" s="7"/>
      <c r="H221" s="7"/>
      <c r="I221" s="25"/>
    </row>
    <row r="222" spans="1:9" ht="12.5">
      <c r="A222" s="56" t="s">
        <v>91</v>
      </c>
      <c r="B222" s="12" t="e">
        <f>SUM(B219:B221)</f>
        <v>#NAME?</v>
      </c>
      <c r="C222" s="12" t="s">
        <v>1</v>
      </c>
      <c r="D222" s="7"/>
      <c r="F222" s="7"/>
      <c r="G222" s="7"/>
      <c r="H222" s="7"/>
      <c r="I222" s="25"/>
    </row>
    <row r="223" spans="1:9" ht="13.5" thickBot="1">
      <c r="A223" s="28"/>
      <c r="B223" s="29"/>
      <c r="C223" s="159"/>
      <c r="D223" s="29"/>
      <c r="E223" s="29"/>
      <c r="F223" s="29"/>
      <c r="G223" s="29"/>
      <c r="H223" s="29"/>
      <c r="I223" s="30"/>
    </row>
    <row r="224" spans="1:9">
      <c r="A224" s="2"/>
      <c r="B224" s="2"/>
      <c r="C224" s="2"/>
    </row>
    <row r="225" spans="1:9" ht="21.75" customHeight="1" thickBot="1">
      <c r="A225" s="50" t="s">
        <v>85</v>
      </c>
      <c r="B225" s="7"/>
      <c r="C225" s="39"/>
      <c r="D225" s="7"/>
      <c r="E225" s="7"/>
      <c r="F225" s="7"/>
      <c r="G225" s="7"/>
      <c r="H225" s="7"/>
      <c r="I225" s="7"/>
    </row>
    <row r="226" spans="1:9">
      <c r="A226" s="52"/>
      <c r="B226" s="31"/>
      <c r="C226" s="158"/>
      <c r="D226" s="31"/>
      <c r="E226" s="57"/>
      <c r="F226" s="57"/>
      <c r="G226" s="57"/>
      <c r="H226" s="57"/>
      <c r="I226" s="32"/>
    </row>
    <row r="227" spans="1:9">
      <c r="A227" s="24"/>
      <c r="B227" s="111"/>
      <c r="C227" s="39"/>
      <c r="D227" s="7"/>
      <c r="E227" s="199"/>
      <c r="F227" s="199"/>
      <c r="G227" s="199"/>
      <c r="H227" s="199"/>
      <c r="I227" s="25"/>
    </row>
    <row r="228" spans="1:9">
      <c r="A228" s="24" t="str">
        <f>"RUV1 = "&amp;'Design Converter'!E50&amp;"MΩ"</f>
        <v>RUV1 = 36.5MΩ</v>
      </c>
      <c r="B228" s="7" t="str">
        <f>C269</f>
        <v>36.5kΩ</v>
      </c>
      <c r="C228" s="39"/>
      <c r="D228" s="7"/>
      <c r="E228" s="199"/>
      <c r="F228" s="199"/>
      <c r="G228" s="199"/>
      <c r="H228" s="199"/>
      <c r="I228" s="25"/>
    </row>
    <row r="229" spans="1:9">
      <c r="A229" s="24" t="str">
        <f>"RUV2 = "&amp;'Design Converter'!E51&amp;"kΩ"</f>
        <v>RUV2 = 6.81kΩ</v>
      </c>
      <c r="B229" s="7" t="str">
        <f>C270</f>
        <v>6.81kΩ</v>
      </c>
      <c r="C229" s="39"/>
      <c r="D229" s="7"/>
      <c r="E229" s="199"/>
      <c r="F229" s="199"/>
      <c r="G229" s="199"/>
      <c r="H229" s="199"/>
      <c r="I229" s="25"/>
    </row>
    <row r="230" spans="1:9">
      <c r="A230" s="24"/>
      <c r="B230" s="7"/>
      <c r="C230" s="39"/>
      <c r="D230" s="7"/>
      <c r="E230" s="199"/>
      <c r="F230" s="199"/>
      <c r="G230" s="199"/>
      <c r="H230" s="199"/>
      <c r="I230" s="25"/>
    </row>
    <row r="231" spans="1:9">
      <c r="A231" s="24" t="str">
        <f>"Lmag = "&amp;'Design Converter'!L7&amp;"µH"</f>
        <v>Lmag = 12µH</v>
      </c>
      <c r="B231" s="7" t="str">
        <f>'Design Converter'!L7&amp;"µH"</f>
        <v>12µH</v>
      </c>
      <c r="C231" s="39"/>
      <c r="D231" s="7"/>
      <c r="E231" s="7"/>
      <c r="F231" s="7"/>
      <c r="G231" s="7"/>
      <c r="H231" s="7"/>
      <c r="I231" s="25"/>
    </row>
    <row r="232" spans="1:9">
      <c r="A232" s="24" t="str">
        <f>"Rdcr = "&amp;Rdcr_pri*1000&amp;"mΩ"</f>
        <v>Rdcr = 30mΩ</v>
      </c>
      <c r="B232" s="198" t="str">
        <f>Rdcr_pri*1000&amp;"mΩ"</f>
        <v>30mΩ</v>
      </c>
      <c r="C232" s="39"/>
      <c r="D232" s="7"/>
      <c r="E232" s="7"/>
      <c r="F232" s="7"/>
      <c r="G232" s="7"/>
      <c r="H232" s="7"/>
      <c r="I232" s="25"/>
    </row>
    <row r="233" spans="1:9">
      <c r="A233" s="110" t="s">
        <v>384</v>
      </c>
      <c r="B233" s="198" t="str">
        <f>W66</f>
        <v>1 : 1</v>
      </c>
      <c r="C233" s="39"/>
      <c r="D233" s="7"/>
      <c r="E233" s="7"/>
      <c r="F233" s="7"/>
      <c r="G233" s="7"/>
      <c r="H233" s="7"/>
      <c r="I233" s="25"/>
    </row>
    <row r="234" spans="1:9">
      <c r="A234" s="24"/>
      <c r="B234" s="198"/>
      <c r="C234" s="39"/>
      <c r="D234" s="7"/>
      <c r="E234" s="7"/>
      <c r="F234" s="7"/>
      <c r="G234" s="7"/>
      <c r="H234" s="7"/>
      <c r="I234" s="25"/>
    </row>
    <row r="235" spans="1:9">
      <c r="A235" s="24" t="str">
        <f>"Css = "&amp;ROUND(Css_u*1000000000,1)&amp;"nF"</f>
        <v>Css = 47nF</v>
      </c>
      <c r="B235" s="7" t="str">
        <f>ROUND(Css_u*1000000000,1)&amp;"nF"</f>
        <v>47nF</v>
      </c>
      <c r="C235" s="39"/>
      <c r="D235" s="7"/>
      <c r="E235" s="7"/>
      <c r="F235" s="7"/>
      <c r="G235" s="7"/>
      <c r="H235" s="7"/>
      <c r="I235" s="25"/>
    </row>
    <row r="236" spans="1:9">
      <c r="A236" s="24"/>
      <c r="B236" s="7"/>
      <c r="C236" s="39"/>
      <c r="D236" s="7"/>
      <c r="E236" s="7"/>
      <c r="F236" s="7"/>
      <c r="G236" s="7"/>
      <c r="H236" s="7"/>
      <c r="I236" s="25"/>
    </row>
    <row r="237" spans="1:9">
      <c r="A237" s="24" t="s">
        <v>57</v>
      </c>
      <c r="B237" s="7" t="str">
        <f>VIN_nom&amp;"V"</f>
        <v>24V</v>
      </c>
      <c r="C237" s="39"/>
      <c r="D237" s="7"/>
      <c r="E237" s="7"/>
      <c r="F237" s="7"/>
      <c r="G237" s="7"/>
      <c r="H237" s="7"/>
      <c r="I237" s="25"/>
    </row>
    <row r="238" spans="1:9">
      <c r="A238" s="110" t="s">
        <v>187</v>
      </c>
      <c r="B238" s="7" t="str">
        <f>VIN_min&amp;"V..."&amp;VIN_max&amp;"V"</f>
        <v>10V...36V</v>
      </c>
      <c r="C238" s="39"/>
      <c r="D238" s="7"/>
      <c r="E238" s="7"/>
      <c r="F238" s="7"/>
      <c r="G238" s="7"/>
      <c r="H238" s="7"/>
      <c r="I238" s="25"/>
    </row>
    <row r="239" spans="1:9">
      <c r="A239" s="110"/>
      <c r="B239" s="7"/>
      <c r="C239" s="39"/>
      <c r="D239" s="7"/>
      <c r="E239" s="7"/>
      <c r="F239" s="7"/>
      <c r="G239" s="7"/>
      <c r="H239" s="7"/>
      <c r="I239" s="25"/>
    </row>
    <row r="240" spans="1:9">
      <c r="A240" s="24" t="str">
        <f>"VOUT = "&amp;'Design Converter'!E10&amp;"V"</f>
        <v>VOUT = 16.4V</v>
      </c>
      <c r="B240" s="7" t="str">
        <f>'Design Converter'!E10&amp;"V"</f>
        <v>16.4V</v>
      </c>
      <c r="C240" s="39"/>
      <c r="D240" s="7">
        <f>MODE</f>
        <v>1</v>
      </c>
      <c r="E240" s="7"/>
      <c r="F240" s="7"/>
      <c r="G240" s="7"/>
      <c r="H240" s="7"/>
      <c r="I240" s="25"/>
    </row>
    <row r="241" spans="1:9">
      <c r="A241" s="24" t="str">
        <f>"VOUT2 = "&amp;'Design Converter'!E12&amp;"V"</f>
        <v>VOUT2 = 8V</v>
      </c>
      <c r="B241" s="7" t="str">
        <f>IF(MODE_TOP="DUAL", 'Design Converter'!E12&amp;"V", "")</f>
        <v/>
      </c>
      <c r="C241" s="39"/>
      <c r="D241" s="77" t="b">
        <f>MODE=2</f>
        <v>0</v>
      </c>
      <c r="E241" s="7"/>
      <c r="F241" s="7"/>
      <c r="G241" s="7"/>
      <c r="H241" s="7"/>
      <c r="I241" s="25"/>
    </row>
    <row r="242" spans="1:9">
      <c r="A242" s="24" t="str">
        <f>"VOUT2 = "&amp;'Design Converter'!E12&amp;"V"</f>
        <v>VOUT2 = 8V</v>
      </c>
      <c r="B242" s="7" t="str">
        <f>IF(MODE_TOP="BIPOLAR", 'Design Converter'!E12&amp;"V", "")</f>
        <v/>
      </c>
      <c r="C242" s="39"/>
      <c r="D242" s="7"/>
      <c r="E242" s="7"/>
      <c r="F242" s="7"/>
      <c r="G242" s="7"/>
      <c r="H242" s="7"/>
      <c r="I242" s="25"/>
    </row>
    <row r="243" spans="1:9">
      <c r="A243" s="24"/>
      <c r="B243" s="7"/>
      <c r="C243" s="39"/>
      <c r="D243" s="7"/>
      <c r="E243" s="7"/>
      <c r="F243" s="7"/>
      <c r="G243" s="7"/>
      <c r="H243" s="7"/>
      <c r="I243" s="25"/>
    </row>
    <row r="244" spans="1:9">
      <c r="A244" s="396" t="s">
        <v>510</v>
      </c>
      <c r="B244" s="77" t="str">
        <f>IF(MODE=1, "", "Co1")</f>
        <v/>
      </c>
      <c r="C244" s="77" t="str">
        <f>IF(MODE_TOP="DUAL", "Co2", "")</f>
        <v/>
      </c>
      <c r="D244" s="77" t="str">
        <f>IF(MODE_TOP="BIPOLAR", "Co2", "")</f>
        <v/>
      </c>
      <c r="E244" s="7"/>
      <c r="F244" s="77" t="str">
        <f>MODE_TOP</f>
        <v>SINGLE</v>
      </c>
      <c r="G244" s="7"/>
      <c r="H244" s="7"/>
      <c r="I244" s="25"/>
    </row>
    <row r="245" spans="1:9" ht="12.5">
      <c r="A245" s="24" t="str">
        <f>"COUT = "&amp;'Design Converter'!$E$34&amp;"µF"</f>
        <v>COUT = 110µF</v>
      </c>
      <c r="B245" s="7" t="str">
        <f>'Design Converter'!$E$34&amp;"µF"</f>
        <v>110µF</v>
      </c>
      <c r="C245" s="7" t="str">
        <f>IF(MODE_TOP="DUAL", 'Design Converter'!$L$34&amp;"µF", "")</f>
        <v/>
      </c>
      <c r="D245" s="7" t="str">
        <f>IF(MODE_TOP="BIPOLAR", 'Design Converter'!$L$34&amp;"µF", "")</f>
        <v/>
      </c>
      <c r="E245" s="7"/>
      <c r="F245" s="7" t="str">
        <f>'Design Converter'!$L$34&amp;"µF"</f>
        <v>55µF</v>
      </c>
      <c r="G245" s="7"/>
      <c r="H245" s="7"/>
      <c r="I245" s="25"/>
    </row>
    <row r="246" spans="1:9">
      <c r="A246" s="110" t="s">
        <v>134</v>
      </c>
      <c r="B246" s="7" t="str">
        <f>"22µF"</f>
        <v>22µF</v>
      </c>
      <c r="C246" s="39"/>
      <c r="D246" s="7"/>
      <c r="E246" s="7"/>
      <c r="F246" s="7"/>
      <c r="G246" s="7"/>
      <c r="H246" s="7"/>
      <c r="I246" s="25"/>
    </row>
    <row r="247" spans="1:9">
      <c r="A247" s="110" t="s">
        <v>135</v>
      </c>
      <c r="B247" s="78" t="str">
        <f>ROUNDUP(Cout/22,0)&amp;" x"</f>
        <v>5 x</v>
      </c>
      <c r="C247" s="160"/>
      <c r="D247" s="7"/>
      <c r="E247" s="7"/>
      <c r="F247" s="7"/>
      <c r="G247" s="7"/>
      <c r="H247" s="7"/>
      <c r="I247" s="25"/>
    </row>
    <row r="248" spans="1:9">
      <c r="A248" s="110"/>
      <c r="B248" s="78">
        <f>Cout</f>
        <v>110</v>
      </c>
      <c r="C248" s="160"/>
      <c r="D248" s="7"/>
      <c r="E248" s="7"/>
      <c r="F248" s="7"/>
      <c r="G248" s="7"/>
      <c r="H248" s="7"/>
      <c r="I248" s="25"/>
    </row>
    <row r="249" spans="1:9">
      <c r="A249" s="396" t="s">
        <v>511</v>
      </c>
      <c r="B249" s="7"/>
      <c r="C249" s="39"/>
      <c r="D249" s="7"/>
      <c r="E249" s="7"/>
      <c r="F249" s="7"/>
      <c r="G249" s="7"/>
      <c r="H249" s="7"/>
      <c r="I249" s="25"/>
    </row>
    <row r="250" spans="1:9">
      <c r="A250" s="24" t="s">
        <v>95</v>
      </c>
      <c r="B250" s="7" t="str">
        <f>Cin&amp;"µF"</f>
        <v>22µF</v>
      </c>
      <c r="E250" s="7"/>
      <c r="F250" s="7"/>
      <c r="G250" s="7"/>
      <c r="H250" s="7"/>
      <c r="I250" s="25"/>
    </row>
    <row r="251" spans="1:9">
      <c r="A251" s="110" t="s">
        <v>133</v>
      </c>
      <c r="B251" s="7" t="str">
        <f>"4.7µF"</f>
        <v>4.7µF</v>
      </c>
      <c r="C251" s="39"/>
      <c r="D251" s="7"/>
      <c r="E251" s="7"/>
      <c r="F251" s="7"/>
      <c r="G251" s="7"/>
      <c r="H251" s="7"/>
      <c r="I251" s="25"/>
    </row>
    <row r="252" spans="1:9">
      <c r="A252" s="110" t="s">
        <v>132</v>
      </c>
      <c r="B252" s="78" t="str">
        <f>ROUNDUP(Cin/4.7,0)&amp;" x"</f>
        <v>5 x</v>
      </c>
      <c r="C252" s="160"/>
      <c r="D252" s="7"/>
      <c r="E252" s="7"/>
      <c r="F252" s="7"/>
      <c r="G252" s="7"/>
      <c r="H252" s="7"/>
      <c r="I252" s="25"/>
    </row>
    <row r="253" spans="1:9">
      <c r="A253" s="110"/>
      <c r="B253" s="78"/>
      <c r="D253" s="7"/>
      <c r="E253" s="7"/>
      <c r="F253" s="7"/>
      <c r="G253" s="7"/>
      <c r="H253" s="7"/>
      <c r="I253" s="25"/>
    </row>
    <row r="254" spans="1:9" ht="15.5">
      <c r="A254" s="110" t="s">
        <v>512</v>
      </c>
      <c r="B254" s="577" t="s">
        <v>513</v>
      </c>
      <c r="C254" s="577" t="s">
        <v>551</v>
      </c>
      <c r="D254" s="7"/>
      <c r="E254" s="7"/>
      <c r="F254" s="7"/>
      <c r="G254" s="7"/>
      <c r="H254" s="7"/>
      <c r="I254" s="25"/>
    </row>
    <row r="255" spans="1:9">
      <c r="A255" s="110"/>
      <c r="B255" s="78"/>
      <c r="D255" s="7"/>
      <c r="E255" s="7"/>
      <c r="F255" s="7"/>
      <c r="G255" s="7"/>
      <c r="H255" s="7"/>
      <c r="I255" s="25"/>
    </row>
    <row r="256" spans="1:9">
      <c r="A256" s="396" t="s">
        <v>383</v>
      </c>
      <c r="B256" s="160" t="str">
        <f>IF(MODE_TC=1, "YES", "NO")</f>
        <v>NO</v>
      </c>
      <c r="D256" s="7"/>
      <c r="E256" s="7"/>
      <c r="F256" s="7"/>
      <c r="G256" s="7"/>
      <c r="H256" s="7"/>
      <c r="I256" s="25"/>
    </row>
    <row r="257" spans="1:9">
      <c r="A257" s="110" t="s">
        <v>298</v>
      </c>
      <c r="B257" s="160" t="str">
        <f>IF(MODE_TC=2, "YES", "NO")</f>
        <v>YES</v>
      </c>
      <c r="C257" s="386" t="str">
        <f>IF(MODE_TC=2, "R1", "")</f>
        <v>R1</v>
      </c>
      <c r="D257" s="386" t="str">
        <f>IF(MODE_TC=2, "R2", "")</f>
        <v>R2</v>
      </c>
      <c r="E257" s="386"/>
      <c r="F257" s="7"/>
      <c r="G257" s="7"/>
      <c r="H257" s="7"/>
      <c r="I257" s="25"/>
    </row>
    <row r="258" spans="1:9" ht="12.5">
      <c r="A258" s="24" t="str">
        <f>"RFB = "&amp;'Design Converter'!E39&amp;"kΩ"</f>
        <v>RFB = 168kΩ</v>
      </c>
      <c r="B258" s="7" t="str">
        <f>IF(MODE_TC=1, "", 'Design Converter'!E39&amp;"kΩ")</f>
        <v>168kΩ</v>
      </c>
      <c r="C258" s="77" t="str">
        <f>'Design Converter'!E39&amp;"kΩ"</f>
        <v>168kΩ</v>
      </c>
      <c r="D258" s="7"/>
      <c r="E258" s="7"/>
      <c r="F258" s="7"/>
      <c r="G258" s="7"/>
      <c r="H258" s="7"/>
      <c r="I258" s="25"/>
    </row>
    <row r="259" spans="1:9" ht="12.5">
      <c r="A259" s="24" t="str">
        <f>"RFB2 = "&amp;IF(Vout=Vref,"OPEN",'Design Converter'!E40&amp;"kΩ")</f>
        <v>RFB2 = 168kΩ</v>
      </c>
      <c r="B259" s="7" t="str">
        <f>IF(MODE_TC=1, "", IF(Vout=Vref,"OPEN",Rfb2_u/1000&amp;"kΩ"))</f>
        <v>0.169kΩ</v>
      </c>
      <c r="C259" s="77" t="str">
        <f>'Design Converter'!E40&amp;"kΩ"</f>
        <v>168kΩ</v>
      </c>
      <c r="D259" s="7"/>
      <c r="E259" s="7"/>
      <c r="F259" s="7"/>
      <c r="G259" s="7"/>
      <c r="H259" s="7"/>
      <c r="I259" s="25"/>
    </row>
    <row r="260" spans="1:9" ht="12.5">
      <c r="A260" s="24"/>
      <c r="B260" s="7"/>
      <c r="C260" s="77"/>
      <c r="D260" s="7"/>
      <c r="E260" s="7"/>
      <c r="F260" s="7"/>
      <c r="G260" s="7"/>
      <c r="H260" s="7"/>
      <c r="I260" s="25"/>
    </row>
    <row r="261" spans="1:9">
      <c r="A261" s="110" t="s">
        <v>302</v>
      </c>
      <c r="B261" s="39" t="str">
        <f>IF(MODE=1, "YES", "NO")</f>
        <v>YES</v>
      </c>
      <c r="C261" s="7" t="str">
        <f>IF(MODE=1,"Rt", "")</f>
        <v>Rt</v>
      </c>
      <c r="D261" s="7"/>
      <c r="E261" s="7"/>
      <c r="F261" s="7"/>
      <c r="G261" s="7"/>
      <c r="H261" s="7"/>
      <c r="I261" s="25"/>
    </row>
    <row r="262" spans="1:9">
      <c r="A262" s="110" t="s">
        <v>139</v>
      </c>
      <c r="B262" s="7" t="e">
        <f>IF(MODE=2, "", 'Standard Value Calculator'!J4/1000&amp;"kΩ")</f>
        <v>#NAME?</v>
      </c>
      <c r="C262" s="39"/>
      <c r="D262" s="7"/>
      <c r="E262" s="7"/>
      <c r="F262" s="7"/>
      <c r="G262" s="7"/>
      <c r="H262" s="7"/>
      <c r="I262" s="25"/>
    </row>
    <row r="263" spans="1:9">
      <c r="A263" s="110"/>
      <c r="B263" s="7"/>
      <c r="C263" s="39"/>
      <c r="D263" s="7"/>
      <c r="E263" s="7"/>
      <c r="F263" s="7"/>
      <c r="G263" s="7"/>
      <c r="H263" s="7"/>
      <c r="I263" s="25"/>
    </row>
    <row r="264" spans="1:9">
      <c r="A264" s="396" t="s">
        <v>374</v>
      </c>
      <c r="B264" s="160" t="str">
        <f>IF(MODE=1, "YES", "NO")</f>
        <v>YES</v>
      </c>
      <c r="C264" s="77" t="str">
        <f>IF(TC=1,"Rtc", "")</f>
        <v/>
      </c>
      <c r="D264" s="7"/>
      <c r="E264" s="7"/>
      <c r="F264" s="7"/>
      <c r="G264" s="7"/>
      <c r="H264" s="7"/>
      <c r="I264" s="25"/>
    </row>
    <row r="265" spans="1:9" ht="12.5">
      <c r="A265" s="521" t="str">
        <f>"RTC = "&amp;RTC&amp;"kΩ"</f>
        <v>RTC = 357kΩ</v>
      </c>
      <c r="B265" s="7" t="str">
        <f>IF(TC=1, RTC&amp;"kΩ", "")</f>
        <v/>
      </c>
      <c r="C265" s="77" t="str">
        <f>CHOOSE(TC,"Rtc","")</f>
        <v/>
      </c>
      <c r="D265" s="7"/>
      <c r="E265" s="7"/>
      <c r="F265" s="8"/>
      <c r="G265" s="7"/>
      <c r="H265" s="7"/>
      <c r="I265" s="25"/>
    </row>
    <row r="266" spans="1:9" ht="12.5">
      <c r="A266" s="110" t="s">
        <v>377</v>
      </c>
      <c r="B266" s="368"/>
      <c r="C266" s="7"/>
      <c r="D266" s="7"/>
      <c r="E266" s="7"/>
      <c r="F266" s="8"/>
      <c r="G266" s="7"/>
      <c r="H266" s="7"/>
      <c r="I266" s="25"/>
    </row>
    <row r="267" spans="1:9">
      <c r="A267" s="24"/>
      <c r="B267" s="78"/>
      <c r="C267" s="160"/>
      <c r="D267" s="7"/>
      <c r="E267" s="113"/>
      <c r="F267" s="7"/>
      <c r="G267" s="7"/>
      <c r="H267" s="7"/>
      <c r="I267" s="25"/>
    </row>
    <row r="268" spans="1:9">
      <c r="A268" s="396" t="s">
        <v>305</v>
      </c>
      <c r="B268" s="160" t="str">
        <f>IF(MODE_UVLO=1, "YES", "NO")</f>
        <v>YES</v>
      </c>
      <c r="C268" s="386" t="str">
        <f>IF(MODE_UVLO=1, "Ruv1", "")</f>
        <v>Ruv1</v>
      </c>
      <c r="D268" s="386" t="str">
        <f>IF(MODE_UVLO=1, "Ruv2", "")</f>
        <v>Ruv2</v>
      </c>
      <c r="E268" s="386"/>
      <c r="F268" s="386" t="s">
        <v>6</v>
      </c>
      <c r="G268" s="386" t="s">
        <v>33</v>
      </c>
      <c r="H268" s="77" t="s">
        <v>339</v>
      </c>
      <c r="I268" s="25"/>
    </row>
    <row r="269" spans="1:9" ht="12.5">
      <c r="A269" s="24" t="str">
        <f>"RUV1 = "&amp;C269</f>
        <v>RUV1 = 36.5kΩ</v>
      </c>
      <c r="B269" s="7" t="str">
        <f>'Design Converter'!E50&amp;" kΩ"</f>
        <v>36.5 kΩ</v>
      </c>
      <c r="C269" s="386" t="str">
        <f>IF(MODE_UVLO=1,'Design Converter'!E50&amp;"kΩ", "")</f>
        <v>36.5kΩ</v>
      </c>
      <c r="F269" s="7">
        <f>IF(MODE_UVLO=1,'Design Converter'!E50, "")</f>
        <v>36.5</v>
      </c>
      <c r="G269" s="77" t="str">
        <f>IF(MODE_UVLO=1,"kΩ", "")</f>
        <v>kΩ</v>
      </c>
      <c r="H269" s="386" t="str">
        <f>IF(MODE_UVLO=1,'Design Converter'!E50&amp;"k", "")</f>
        <v>36.5k</v>
      </c>
      <c r="I269" s="25"/>
    </row>
    <row r="270" spans="1:9" ht="12.5">
      <c r="A270" s="24" t="str">
        <f>"RUV2 = "&amp;C270</f>
        <v>RUV2 = 6.81kΩ</v>
      </c>
      <c r="B270" s="7" t="str">
        <f>IF(D182&gt;=1000, D182/1000&amp;" MΩ", D182&amp;" kΩ")</f>
        <v>6.81 kΩ</v>
      </c>
      <c r="C270" s="386" t="str">
        <f>IF(MODE_UVLO=1, IF(D182&lt;1, D182*1000&amp;"Ω", IF(D182&lt;1000, D182&amp;"kΩ", D182/1000&amp;"MΩ")), "")</f>
        <v>6.81kΩ</v>
      </c>
      <c r="F270" s="7">
        <f>IF(MODE_UVLO=1, IF(D182&lt;1, D182*1000, IF(D182&lt;1000, D182, D182/1000)), "")</f>
        <v>6.8100000000000005</v>
      </c>
      <c r="G270" s="77" t="str">
        <f>IF(MODE_UVLO=1, IF(D182&lt;1, "Ω", IF(D182&lt;1000,"kΩ", "MΩ")), "")</f>
        <v>kΩ</v>
      </c>
      <c r="H270" s="386" t="str">
        <f>IF(MODE_UVLO=1, IF(D182&lt;1, D182*1000, IF(D182&lt;1000, D182&amp;"k", D182/1000&amp;"M")), "")</f>
        <v>6.81k</v>
      </c>
      <c r="I270" s="25"/>
    </row>
    <row r="271" spans="1:9" ht="12.5">
      <c r="A271" s="24"/>
      <c r="B271" s="7"/>
      <c r="C271" s="386"/>
      <c r="F271" s="7"/>
      <c r="G271" s="77"/>
      <c r="H271" s="386"/>
      <c r="I271" s="25"/>
    </row>
    <row r="272" spans="1:9">
      <c r="A272" s="396" t="s">
        <v>378</v>
      </c>
      <c r="B272" s="7"/>
      <c r="C272" s="386"/>
      <c r="F272" s="7"/>
      <c r="G272" s="77"/>
      <c r="H272" s="386"/>
      <c r="I272" s="25"/>
    </row>
    <row r="273" spans="1:9" ht="12.5">
      <c r="A273" s="24" t="str">
        <f>"RSET = "&amp;C273</f>
        <v>RSET = 10kΩ</v>
      </c>
      <c r="B273" s="77" t="s">
        <v>783</v>
      </c>
      <c r="C273" s="77" t="s">
        <v>784</v>
      </c>
      <c r="F273" s="7">
        <f>IF(MODE_UVLO=1, IF(D183&lt;1, D183*1000, IF(D183&lt;1000, D183, D183/1000)), "")</f>
        <v>0</v>
      </c>
      <c r="G273" s="77" t="str">
        <f>IF(MODE_UVLO=1, IF(D183&lt;1, "Ω", IF(D183&lt;1000,"kΩ", "MΩ")), "")</f>
        <v>Ω</v>
      </c>
      <c r="H273" s="386">
        <f>IF(MODE_UVLO=1, IF(D183&lt;1, D183*1000, IF(D183&lt;1000, D183&amp;"k", D183&amp;"M")), "")</f>
        <v>0</v>
      </c>
      <c r="I273" s="25"/>
    </row>
    <row r="274" spans="1:9" ht="12.5">
      <c r="A274" s="24"/>
      <c r="B274" s="77"/>
      <c r="C274" s="77"/>
      <c r="F274" s="7"/>
      <c r="G274" s="77"/>
      <c r="H274" s="386"/>
      <c r="I274" s="25"/>
    </row>
    <row r="275" spans="1:9">
      <c r="A275" s="396" t="s">
        <v>379</v>
      </c>
      <c r="B275" s="78"/>
      <c r="C275" s="160"/>
      <c r="D275" s="7"/>
      <c r="E275" s="113"/>
      <c r="F275" s="7"/>
      <c r="G275" s="7"/>
      <c r="H275" s="7"/>
      <c r="I275" s="25"/>
    </row>
    <row r="276" spans="1:9">
      <c r="A276" s="24" t="str">
        <f>"Css = "&amp;Css*1000000000&amp;"nF"</f>
        <v>Css = 50nF</v>
      </c>
      <c r="B276" s="7" t="str">
        <f>Css*1000000000&amp;"nF"</f>
        <v>50nF</v>
      </c>
      <c r="D276" s="7"/>
      <c r="E276" s="7"/>
      <c r="F276" s="7"/>
      <c r="G276" s="7"/>
      <c r="H276" s="7"/>
      <c r="I276" s="25"/>
    </row>
    <row r="277" spans="1:9" ht="12.5">
      <c r="A277" s="24" t="s">
        <v>66</v>
      </c>
      <c r="B277" s="7" t="str">
        <f>CHOOSE(MODE_SS,'Standard Value Calculator'!B4*1000000000&amp;"nF","")</f>
        <v/>
      </c>
      <c r="C277" s="7" t="str">
        <f>CHOOSE(MODE_SS,"Css","")</f>
        <v/>
      </c>
      <c r="D277" s="397" t="str">
        <f>B277</f>
        <v/>
      </c>
      <c r="E277" s="7"/>
      <c r="F277" s="7"/>
      <c r="G277" s="7"/>
      <c r="H277" s="7"/>
      <c r="I277" s="25"/>
    </row>
    <row r="278" spans="1:9">
      <c r="A278" s="24"/>
      <c r="B278" s="7"/>
      <c r="C278" s="77" t="str">
        <f>C277</f>
        <v/>
      </c>
      <c r="D278" s="39"/>
      <c r="E278" s="7"/>
      <c r="F278" s="7"/>
      <c r="G278" s="7"/>
      <c r="H278" s="7"/>
      <c r="I278" s="25"/>
    </row>
    <row r="279" spans="1:9">
      <c r="A279" s="24"/>
      <c r="B279" s="7"/>
      <c r="C279" s="77"/>
      <c r="D279" s="39"/>
      <c r="E279" s="7"/>
      <c r="F279" s="7"/>
      <c r="G279" s="7"/>
      <c r="H279" s="7"/>
      <c r="I279" s="25"/>
    </row>
    <row r="280" spans="1:9" ht="12.5">
      <c r="A280" s="110" t="s">
        <v>640</v>
      </c>
      <c r="B280" s="77">
        <f>ROUND(Iout*2,1)</f>
        <v>2</v>
      </c>
      <c r="C280" s="77" t="s">
        <v>1</v>
      </c>
      <c r="D280" s="7"/>
      <c r="E280" s="7"/>
      <c r="F280" s="7"/>
      <c r="G280" s="7"/>
      <c r="H280" s="7"/>
      <c r="I280" s="25"/>
    </row>
    <row r="281" spans="1:9" ht="12.5">
      <c r="A281" s="110" t="s">
        <v>641</v>
      </c>
      <c r="B281">
        <f>ROUND(VRRM_DIODE,0)</f>
        <v>52</v>
      </c>
      <c r="C281" s="77" t="s">
        <v>0</v>
      </c>
      <c r="D281" s="7"/>
      <c r="E281" s="7"/>
      <c r="F281" s="7"/>
      <c r="G281" s="7"/>
      <c r="H281" s="7"/>
      <c r="I281" s="25"/>
    </row>
    <row r="282" spans="1:9">
      <c r="F282" s="7"/>
      <c r="G282" s="7"/>
      <c r="H282" s="7"/>
      <c r="I282" s="25"/>
    </row>
    <row r="283" spans="1:9" ht="12.5">
      <c r="A283" s="110"/>
      <c r="B283" s="368"/>
      <c r="C283" s="7"/>
      <c r="D283" s="7"/>
      <c r="E283" s="7"/>
      <c r="F283" s="7"/>
      <c r="G283" s="7"/>
      <c r="H283" s="7"/>
      <c r="I283" s="25"/>
    </row>
    <row r="284" spans="1:9" ht="12.5">
      <c r="A284" s="110" t="s">
        <v>129</v>
      </c>
      <c r="B284" s="77" t="s">
        <v>310</v>
      </c>
      <c r="C284" s="7"/>
      <c r="D284" s="7"/>
      <c r="E284" s="7"/>
      <c r="F284" s="7"/>
      <c r="G284" s="7"/>
      <c r="H284" s="7"/>
      <c r="I284" s="25"/>
    </row>
    <row r="285" spans="1:9" ht="12.5">
      <c r="A285" s="110"/>
      <c r="B285" s="77"/>
      <c r="C285" s="7"/>
      <c r="D285" s="7"/>
      <c r="E285" s="7"/>
      <c r="F285" s="7"/>
      <c r="G285" s="7"/>
      <c r="H285" s="7"/>
      <c r="I285" s="25"/>
    </row>
    <row r="286" spans="1:9" ht="12.5">
      <c r="A286" s="110" t="s">
        <v>183</v>
      </c>
      <c r="B286" s="353" t="str">
        <f>CHOOSE(MODE, ROUND('Calculations - Single'!$CB$105,1)&amp;"%", ROUND('Calculations - Dual'!CB105,1)&amp;"%")</f>
        <v>89.8%</v>
      </c>
      <c r="C286" s="7"/>
      <c r="D286" s="7"/>
      <c r="E286" s="7"/>
      <c r="F286" s="7"/>
      <c r="G286" s="7"/>
      <c r="H286" s="7"/>
      <c r="I286" s="25"/>
    </row>
    <row r="287" spans="1:9" ht="12.5">
      <c r="A287" s="110" t="s">
        <v>492</v>
      </c>
      <c r="B287" s="353" t="str">
        <f>ROUND('Calculations - Single'!$CB$55,1)&amp;"%"</f>
        <v>86.1%</v>
      </c>
      <c r="C287" s="7"/>
      <c r="D287" s="7"/>
      <c r="E287" s="7"/>
      <c r="F287" s="7"/>
      <c r="G287" s="7"/>
      <c r="H287" s="7"/>
      <c r="I287" s="25"/>
    </row>
    <row r="288" spans="1:9" ht="12.5">
      <c r="A288" s="110" t="s">
        <v>307</v>
      </c>
      <c r="B288" s="353" t="str">
        <f>ROUND('Calculations - Single'!$CB$15,1)&amp;"%"</f>
        <v>80.2%</v>
      </c>
      <c r="C288" s="77" t="s">
        <v>312</v>
      </c>
      <c r="D288" s="7"/>
      <c r="E288" s="7"/>
      <c r="F288" s="7"/>
      <c r="G288" s="7"/>
      <c r="H288" s="7"/>
      <c r="I288" s="25"/>
    </row>
    <row r="289" spans="1:9" ht="12.5">
      <c r="A289" s="110" t="s">
        <v>311</v>
      </c>
      <c r="B289" s="353" t="str">
        <f>ROUND(Parameters!BZ56,1)&amp;"%"</f>
        <v>0%</v>
      </c>
      <c r="C289" s="77" t="s">
        <v>313</v>
      </c>
      <c r="D289" s="7"/>
      <c r="E289" s="7"/>
      <c r="F289" s="7"/>
      <c r="G289" s="7"/>
      <c r="H289" s="7"/>
      <c r="I289" s="25"/>
    </row>
    <row r="290" spans="1:9">
      <c r="A290" s="24"/>
      <c r="B290" s="7"/>
      <c r="C290" s="39"/>
      <c r="D290" s="7"/>
      <c r="E290" s="7"/>
      <c r="F290" s="7"/>
      <c r="G290" s="7"/>
      <c r="H290" s="7"/>
      <c r="I290" s="25"/>
    </row>
    <row r="291" spans="1:9">
      <c r="A291" s="24"/>
      <c r="B291" s="7"/>
      <c r="C291" s="39"/>
      <c r="D291" s="7"/>
      <c r="E291" s="7"/>
      <c r="F291" s="7"/>
      <c r="G291" s="7"/>
      <c r="H291" s="7"/>
      <c r="I291" s="25"/>
    </row>
    <row r="292" spans="1:9">
      <c r="A292" s="24"/>
      <c r="B292" s="7"/>
      <c r="C292" s="39"/>
      <c r="D292" s="7"/>
      <c r="E292" s="7"/>
      <c r="F292" s="7"/>
      <c r="G292" s="7"/>
      <c r="H292" s="7"/>
      <c r="I292" s="25"/>
    </row>
    <row r="293" spans="1:9">
      <c r="A293" s="24" t="s">
        <v>80</v>
      </c>
      <c r="B293" s="7" t="str">
        <f>IF(C293="y","","|")</f>
        <v>|</v>
      </c>
      <c r="C293" s="39" t="s">
        <v>319</v>
      </c>
      <c r="D293" s="7"/>
      <c r="E293" s="7"/>
      <c r="F293" s="7"/>
      <c r="G293" s="7"/>
      <c r="H293" s="7"/>
      <c r="I293" s="25"/>
    </row>
    <row r="294" spans="1:9">
      <c r="A294" s="24"/>
      <c r="B294" s="7"/>
      <c r="C294" s="39"/>
      <c r="D294" s="7"/>
      <c r="E294" s="7"/>
      <c r="F294" s="7"/>
      <c r="G294" s="7"/>
      <c r="H294" s="7"/>
      <c r="I294" s="25"/>
    </row>
    <row r="295" spans="1:9">
      <c r="A295" s="499" t="s">
        <v>86</v>
      </c>
      <c r="B295" s="7" t="str">
        <f>'Design Converter'!$E$11&amp;"A"</f>
        <v>1A</v>
      </c>
      <c r="C295" s="39"/>
      <c r="D295" s="7"/>
      <c r="E295" s="7"/>
      <c r="F295" s="7"/>
      <c r="G295" s="7"/>
      <c r="H295" s="7"/>
      <c r="I295" s="25"/>
    </row>
    <row r="296" spans="1:9">
      <c r="A296" s="499" t="s">
        <v>509</v>
      </c>
      <c r="B296" s="7" t="str">
        <f>IF(MODE_TOP="DUAL", 'Design Converter'!$E$13&amp;"A", "")</f>
        <v/>
      </c>
      <c r="C296" s="39"/>
      <c r="D296" s="77">
        <f>MODE</f>
        <v>1</v>
      </c>
      <c r="E296" s="7"/>
      <c r="F296" s="7"/>
      <c r="G296" s="7"/>
      <c r="H296" s="7"/>
      <c r="I296" s="25"/>
    </row>
    <row r="297" spans="1:9">
      <c r="A297" s="499" t="s">
        <v>508</v>
      </c>
      <c r="B297" s="7" t="str">
        <f>IF(MODE_TOP="BIPOLAR", Iout2_actual&amp;"A", "")</f>
        <v/>
      </c>
      <c r="C297" s="39"/>
      <c r="D297" s="7"/>
      <c r="E297" s="7"/>
      <c r="F297" s="7"/>
      <c r="G297" s="7"/>
      <c r="H297" s="7"/>
      <c r="I297" s="25"/>
    </row>
    <row r="298" spans="1:9">
      <c r="A298" s="24"/>
      <c r="B298" s="7"/>
      <c r="C298" s="39"/>
      <c r="D298" s="7"/>
      <c r="E298" s="7"/>
      <c r="F298" s="7"/>
      <c r="G298" s="7"/>
      <c r="H298" s="7"/>
      <c r="I298" s="25"/>
    </row>
    <row r="299" spans="1:9">
      <c r="A299" s="110" t="s">
        <v>94</v>
      </c>
      <c r="B299" s="7">
        <v>1</v>
      </c>
      <c r="C299" s="39"/>
      <c r="D299" s="7"/>
      <c r="E299" s="7"/>
      <c r="F299" s="7"/>
      <c r="G299" s="7"/>
      <c r="H299" s="7"/>
      <c r="I299" s="25"/>
    </row>
    <row r="300" spans="1:9">
      <c r="A300" s="110" t="s">
        <v>93</v>
      </c>
      <c r="B300" s="7">
        <v>2</v>
      </c>
      <c r="C300" s="39"/>
      <c r="D300" s="7"/>
      <c r="E300" s="7"/>
      <c r="F300" s="7"/>
      <c r="G300" s="7"/>
      <c r="H300" s="7"/>
      <c r="I300" s="25"/>
    </row>
    <row r="301" spans="1:9">
      <c r="A301" s="593" t="s">
        <v>57</v>
      </c>
      <c r="B301" s="7">
        <v>3</v>
      </c>
      <c r="C301" s="39"/>
      <c r="D301" s="7"/>
      <c r="E301" s="7"/>
      <c r="F301" s="7"/>
      <c r="G301" s="7"/>
      <c r="H301" s="7"/>
      <c r="I301" s="25"/>
    </row>
    <row r="302" spans="1:9">
      <c r="A302" s="110" t="s">
        <v>552</v>
      </c>
      <c r="B302" s="7">
        <v>4</v>
      </c>
      <c r="C302" s="39"/>
      <c r="D302" s="7"/>
      <c r="E302" s="7"/>
      <c r="F302" s="7"/>
      <c r="G302" s="7"/>
      <c r="H302" s="7"/>
      <c r="I302" s="25"/>
    </row>
    <row r="303" spans="1:9">
      <c r="A303" s="110" t="s">
        <v>553</v>
      </c>
      <c r="B303" s="7">
        <v>5</v>
      </c>
      <c r="C303" s="39"/>
      <c r="D303" s="7"/>
      <c r="E303" s="7"/>
      <c r="F303" s="7"/>
      <c r="G303" s="7"/>
      <c r="H303" s="7"/>
      <c r="I303" s="25"/>
    </row>
    <row r="304" spans="1:9">
      <c r="A304" s="110" t="s">
        <v>554</v>
      </c>
      <c r="B304" s="7">
        <v>6</v>
      </c>
      <c r="C304" s="39"/>
      <c r="D304" s="7"/>
      <c r="E304" s="7"/>
      <c r="F304" s="7"/>
      <c r="G304" s="7"/>
      <c r="H304" s="7"/>
      <c r="I304" s="25"/>
    </row>
    <row r="305" spans="1:9">
      <c r="A305" s="110" t="s">
        <v>555</v>
      </c>
      <c r="B305" s="7">
        <v>7</v>
      </c>
      <c r="C305" s="39"/>
      <c r="D305" s="7"/>
      <c r="E305" s="7"/>
      <c r="F305" s="7"/>
      <c r="G305" s="7"/>
      <c r="H305" s="7"/>
      <c r="I305" s="25"/>
    </row>
    <row r="306" spans="1:9">
      <c r="A306" s="593" t="s">
        <v>92</v>
      </c>
      <c r="B306" s="7">
        <v>8</v>
      </c>
      <c r="C306" s="39"/>
      <c r="D306" s="7"/>
      <c r="E306" s="7"/>
      <c r="F306" s="7"/>
      <c r="G306" s="7"/>
      <c r="H306" s="7"/>
      <c r="I306" s="25"/>
    </row>
    <row r="307" spans="1:9" ht="13.5" thickBot="1">
      <c r="A307" s="207"/>
      <c r="B307" s="29"/>
      <c r="C307" s="159"/>
      <c r="D307" s="29"/>
      <c r="E307" s="29"/>
      <c r="F307" s="29"/>
      <c r="G307" s="29"/>
      <c r="H307" s="29"/>
      <c r="I307" s="30"/>
    </row>
    <row r="309" spans="1:9">
      <c r="A309" t="s">
        <v>743</v>
      </c>
      <c r="B309">
        <f>'Design Converter'!$E$60</f>
        <v>12</v>
      </c>
      <c r="C309" s="3" t="s">
        <v>866</v>
      </c>
      <c r="D309" t="str">
        <f>B309&amp;"kΩ"</f>
        <v>12kΩ</v>
      </c>
    </row>
    <row r="310" spans="1:9">
      <c r="A310" t="s">
        <v>865</v>
      </c>
      <c r="B310">
        <f>'Design Converter'!$E$62</f>
        <v>22</v>
      </c>
      <c r="C310" s="3" t="s">
        <v>319</v>
      </c>
      <c r="D310" t="str">
        <f>B310&amp;"nF"</f>
        <v>22nF</v>
      </c>
    </row>
    <row r="311" spans="1:9">
      <c r="A311" t="s">
        <v>750</v>
      </c>
      <c r="B311">
        <f>'Design Converter'!$E$64</f>
        <v>100</v>
      </c>
      <c r="C311" s="3" t="s">
        <v>170</v>
      </c>
      <c r="D311" t="str">
        <f>B311&amp;"pF"</f>
        <v>100pF</v>
      </c>
    </row>
    <row r="313" spans="1:9">
      <c r="A313" t="s">
        <v>771</v>
      </c>
      <c r="B313">
        <f>RCS</f>
        <v>15</v>
      </c>
      <c r="C313" s="3" t="s">
        <v>867</v>
      </c>
      <c r="D313" t="str">
        <f>B313&amp;"mΩ"</f>
        <v>15mΩ</v>
      </c>
    </row>
    <row r="314" spans="1:9">
      <c r="A314" t="s">
        <v>868</v>
      </c>
      <c r="B314">
        <v>100</v>
      </c>
      <c r="D314" t="s">
        <v>869</v>
      </c>
    </row>
    <row r="315" spans="1:9">
      <c r="A315" t="s">
        <v>870</v>
      </c>
      <c r="B315">
        <v>100</v>
      </c>
      <c r="D315" t="str">
        <f>100&amp;"Ω"</f>
        <v>100Ω</v>
      </c>
    </row>
  </sheetData>
  <sheetProtection selectLockedCells="1" selectUnlockedCells="1"/>
  <mergeCells count="2">
    <mergeCell ref="E5:H5"/>
    <mergeCell ref="A1:I1"/>
  </mergeCells>
  <phoneticPr fontId="6" type="noConversion"/>
  <pageMargins left="0.75" right="0.75" top="1" bottom="1" header="0.5" footer="0.5"/>
  <pageSetup orientation="portrait" r:id="rId1"/>
  <headerFooter alignWithMargins="0"/>
  <ignoredErrors>
    <ignoredError sqref="R79:R83" numberStoredAsText="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CC133"/>
  <sheetViews>
    <sheetView showWhiteSpace="0" zoomScale="70" zoomScaleNormal="70" workbookViewId="0">
      <pane ySplit="5" topLeftCell="A6" activePane="bottomLeft" state="frozen"/>
      <selection pane="bottomLeft" activeCell="F12" sqref="F12"/>
    </sheetView>
  </sheetViews>
  <sheetFormatPr defaultColWidth="9.1796875" defaultRowHeight="12.5"/>
  <cols>
    <col min="1" max="1" width="15.7265625" style="170" customWidth="1"/>
    <col min="2" max="2" width="11.54296875" style="170" customWidth="1"/>
    <col min="3" max="3" width="9.1796875" style="170"/>
    <col min="4" max="4" width="12.453125" style="170" bestFit="1" customWidth="1"/>
    <col min="5" max="5" width="51.453125" style="170" customWidth="1"/>
    <col min="6" max="6" width="13.453125" style="170" customWidth="1"/>
    <col min="7" max="7" width="10" style="170" customWidth="1"/>
    <col min="8" max="8" width="6.81640625" style="170" customWidth="1"/>
    <col min="9" max="9" width="12.453125" style="170" bestFit="1" customWidth="1"/>
    <col min="10" max="10" width="9.1796875" style="216" customWidth="1"/>
    <col min="11" max="11" width="8.81640625"/>
    <col min="13" max="13" width="10.81640625" customWidth="1"/>
    <col min="14" max="14" width="12" style="170" customWidth="1"/>
    <col min="15" max="15" width="12.7265625" style="216" customWidth="1"/>
    <col min="16" max="16" width="11.453125" style="216" customWidth="1"/>
    <col min="17" max="17" width="12.453125" style="216" customWidth="1"/>
    <col min="18" max="19" width="10.54296875" style="197" customWidth="1"/>
    <col min="20" max="20" width="10" style="197" customWidth="1"/>
    <col min="21" max="21" width="10.54296875" style="197" customWidth="1"/>
    <col min="22" max="22" width="8.453125" style="216" customWidth="1"/>
    <col min="23" max="23" width="9.26953125" style="216" customWidth="1"/>
    <col min="24" max="24" width="9.453125" style="170" customWidth="1"/>
    <col min="25" max="25" width="9.453125" style="216" customWidth="1"/>
    <col min="26" max="26" width="8.26953125" style="217" customWidth="1"/>
    <col min="27" max="27" width="9.54296875" style="216" customWidth="1"/>
    <col min="28" max="28" width="9.453125" style="216" bestFit="1" customWidth="1"/>
    <col min="29" max="29" width="8.54296875" style="216" customWidth="1"/>
    <col min="30" max="30" width="9.7265625" style="218" customWidth="1"/>
    <col min="31" max="31" width="9.1796875" style="218" customWidth="1"/>
    <col min="32" max="32" width="8.1796875" style="216" customWidth="1"/>
    <col min="33" max="33" width="10.26953125" style="216" customWidth="1"/>
    <col min="34" max="34" width="9.453125" style="216" customWidth="1"/>
    <col min="35" max="35" width="8.81640625"/>
    <col min="36" max="36" width="9.7265625" style="216" customWidth="1"/>
    <col min="37" max="37" width="11.54296875" style="216" customWidth="1"/>
    <col min="38" max="38" width="10.1796875" style="216" customWidth="1"/>
    <col min="39" max="39" width="11.1796875" style="216" customWidth="1"/>
    <col min="40" max="40" width="9.1796875" style="216"/>
    <col min="41" max="41" width="10.26953125" style="216" customWidth="1"/>
    <col min="42" max="42" width="9.81640625" style="216" customWidth="1"/>
    <col min="43" max="43" width="9.7265625" style="216" customWidth="1"/>
    <col min="44" max="44" width="10.26953125" style="216" customWidth="1"/>
    <col min="45" max="45" width="10.1796875" style="216" customWidth="1"/>
    <col min="46" max="46" width="10.453125" style="216" customWidth="1"/>
    <col min="47" max="47" width="11.26953125" style="216" customWidth="1"/>
    <col min="48" max="48" width="11.7265625" style="216" customWidth="1"/>
    <col min="49" max="49" width="10.453125" style="216" customWidth="1"/>
    <col min="50" max="50" width="11.453125" style="216" customWidth="1"/>
    <col min="51" max="51" width="10.1796875" style="216" customWidth="1"/>
    <col min="52" max="52" width="10" style="172" bestFit="1" customWidth="1"/>
    <col min="53" max="55" width="12.7265625" style="345" customWidth="1"/>
    <col min="56" max="56" width="14" style="345" customWidth="1"/>
    <col min="57" max="57" width="12.81640625" style="345" customWidth="1"/>
    <col min="58" max="58" width="10.453125" style="345" customWidth="1"/>
    <col min="59" max="59" width="9" style="345" customWidth="1"/>
    <col min="60" max="60" width="8.81640625" style="345" customWidth="1"/>
    <col min="61" max="61" width="10.81640625" style="345" customWidth="1"/>
    <col min="62" max="62" width="11.1796875" style="345" customWidth="1"/>
    <col min="63" max="64" width="9.1796875" style="345"/>
    <col min="65" max="65" width="8.81640625" style="172" customWidth="1"/>
    <col min="66" max="66" width="9.1796875" style="217"/>
    <col min="67" max="67" width="12.54296875" style="170" customWidth="1"/>
    <col min="68" max="68" width="13.54296875" style="172" customWidth="1"/>
    <col min="69" max="69" width="12.7265625" style="197" customWidth="1"/>
    <col min="70" max="70" width="3.7265625" style="170" customWidth="1"/>
    <col min="71" max="71" width="12.453125" style="170" bestFit="1" customWidth="1"/>
    <col min="72" max="72" width="3.54296875" style="170" customWidth="1"/>
    <col min="73" max="73" width="9.1796875" style="172"/>
    <col min="74" max="74" width="11.1796875" style="172" customWidth="1"/>
    <col min="75" max="75" width="9.1796875" style="172"/>
    <col min="76" max="76" width="4.7265625" style="170" customWidth="1"/>
    <col min="77" max="77" width="3.7265625" style="170" customWidth="1"/>
    <col min="78" max="78" width="12.453125" style="170" customWidth="1"/>
    <col min="79" max="79" width="11.81640625" style="170" customWidth="1"/>
    <col min="80" max="80" width="11.54296875" style="170" customWidth="1"/>
    <col min="81" max="81" width="11.7265625" style="170" customWidth="1"/>
    <col min="82" max="82" width="9.1796875" style="170"/>
    <col min="83" max="83" width="9.1796875" style="170" customWidth="1"/>
    <col min="84" max="16384" width="9.1796875" style="170"/>
  </cols>
  <sheetData>
    <row r="1" spans="1:81">
      <c r="A1" s="943" t="s">
        <v>794</v>
      </c>
      <c r="B1" s="943"/>
      <c r="C1" s="943"/>
      <c r="D1" s="943"/>
      <c r="E1" s="943"/>
    </row>
    <row r="2" spans="1:81" ht="15.5">
      <c r="A2" s="943"/>
      <c r="B2" s="943"/>
      <c r="C2" s="943"/>
      <c r="D2" s="943"/>
      <c r="E2" s="943"/>
      <c r="G2" s="944" t="s">
        <v>22</v>
      </c>
      <c r="H2" s="944"/>
      <c r="AF2" s="216">
        <v>1.9257738538542499E-2</v>
      </c>
      <c r="AG2" s="216">
        <v>7.417209872377299E-4</v>
      </c>
      <c r="AH2" s="216">
        <v>1.2403450565440797E-3</v>
      </c>
      <c r="AI2">
        <v>20</v>
      </c>
      <c r="AJ2" s="216">
        <v>7.1523178807947021</v>
      </c>
      <c r="AK2" s="216">
        <v>0</v>
      </c>
      <c r="AL2" s="216">
        <v>8.3629954314142624E-4</v>
      </c>
      <c r="AM2" s="216">
        <v>1.5780205303791562E-3</v>
      </c>
      <c r="AO2" s="268" t="e">
        <f>Ifb</f>
        <v>#NAME?</v>
      </c>
    </row>
    <row r="3" spans="1:81" ht="13" thickBot="1">
      <c r="A3" s="943"/>
      <c r="B3" s="943"/>
      <c r="C3" s="943"/>
      <c r="D3" s="943"/>
      <c r="E3" s="943"/>
    </row>
    <row r="4" spans="1:81" ht="13.5" thickBot="1">
      <c r="A4" s="945"/>
      <c r="B4" s="945"/>
      <c r="C4" s="945"/>
      <c r="D4" s="945"/>
      <c r="E4" s="945"/>
      <c r="H4" s="220" t="s">
        <v>23</v>
      </c>
      <c r="I4" s="221"/>
      <c r="J4" s="222"/>
      <c r="K4" s="946" t="s">
        <v>189</v>
      </c>
      <c r="L4" s="947"/>
      <c r="M4" s="948"/>
      <c r="N4" s="948"/>
      <c r="O4" s="948"/>
      <c r="P4" s="947"/>
      <c r="Q4" s="947"/>
      <c r="R4" s="948"/>
      <c r="S4" s="948"/>
      <c r="T4" s="948"/>
      <c r="U4" s="949"/>
      <c r="V4" s="223" t="s">
        <v>190</v>
      </c>
      <c r="W4" s="224"/>
      <c r="X4" s="225"/>
      <c r="Y4" s="226"/>
      <c r="Z4" s="227" t="s">
        <v>14</v>
      </c>
      <c r="AA4" s="228"/>
      <c r="AB4" s="222"/>
      <c r="AC4" s="229" t="s">
        <v>28</v>
      </c>
      <c r="AD4" s="230"/>
      <c r="AE4" s="231"/>
      <c r="AF4" s="223" t="s">
        <v>191</v>
      </c>
      <c r="AG4" s="224"/>
      <c r="AH4" s="224"/>
      <c r="AI4" s="442"/>
      <c r="AJ4" s="442"/>
      <c r="AK4" s="224"/>
      <c r="AL4" s="224"/>
      <c r="AM4" s="222"/>
      <c r="AN4" s="232" t="s">
        <v>192</v>
      </c>
      <c r="AO4" s="233"/>
      <c r="AP4" s="233"/>
      <c r="AQ4" s="451" t="s">
        <v>193</v>
      </c>
      <c r="AR4" s="452"/>
      <c r="AS4" s="452"/>
      <c r="AT4" s="233"/>
      <c r="AU4" s="234"/>
      <c r="AV4" s="235"/>
      <c r="AW4" s="236"/>
      <c r="AX4" s="223" t="s">
        <v>179</v>
      </c>
      <c r="AY4" s="224"/>
      <c r="AZ4" s="225"/>
      <c r="BA4" s="346"/>
      <c r="BB4" s="346"/>
      <c r="BC4" s="346"/>
      <c r="BD4" s="346"/>
      <c r="BE4" s="346"/>
      <c r="BF4" s="346"/>
      <c r="BG4" s="346"/>
      <c r="BH4" s="346"/>
      <c r="BI4" s="346"/>
      <c r="BJ4" s="346"/>
      <c r="BK4" s="346"/>
      <c r="BL4" s="346"/>
      <c r="BM4" s="339"/>
      <c r="BN4" s="343"/>
      <c r="BO4" s="225"/>
      <c r="BP4" s="341"/>
      <c r="BQ4" s="448"/>
      <c r="BR4" s="449"/>
      <c r="BS4" s="449"/>
      <c r="BT4" s="449"/>
      <c r="BU4" s="449"/>
      <c r="BV4" s="449"/>
      <c r="BW4" s="449"/>
      <c r="BX4" s="449"/>
      <c r="BY4" s="449"/>
      <c r="BZ4" s="449"/>
      <c r="CA4" s="449"/>
      <c r="CB4" s="449"/>
      <c r="CC4" s="450"/>
    </row>
    <row r="5" spans="1:81" ht="78" customHeight="1" thickBot="1">
      <c r="A5" s="237" t="s">
        <v>42</v>
      </c>
      <c r="B5" s="238"/>
      <c r="C5" s="238"/>
      <c r="D5" s="239"/>
      <c r="E5" s="240"/>
      <c r="F5" s="189"/>
      <c r="G5" s="189"/>
      <c r="H5" s="241" t="s">
        <v>25</v>
      </c>
      <c r="I5" s="242" t="s">
        <v>194</v>
      </c>
      <c r="J5" s="243" t="s">
        <v>195</v>
      </c>
      <c r="K5" s="251" t="s">
        <v>322</v>
      </c>
      <c r="L5" s="244" t="s">
        <v>48</v>
      </c>
      <c r="M5" s="244" t="s">
        <v>323</v>
      </c>
      <c r="N5" s="444" t="s">
        <v>196</v>
      </c>
      <c r="O5" s="525" t="s">
        <v>404</v>
      </c>
      <c r="P5" s="525" t="s">
        <v>405</v>
      </c>
      <c r="Q5" s="525" t="s">
        <v>406</v>
      </c>
      <c r="R5" s="245" t="s">
        <v>197</v>
      </c>
      <c r="S5" s="246" t="s">
        <v>198</v>
      </c>
      <c r="T5" s="246" t="s">
        <v>199</v>
      </c>
      <c r="U5" s="245" t="s">
        <v>327</v>
      </c>
      <c r="V5" s="247" t="s">
        <v>200</v>
      </c>
      <c r="W5" s="244" t="s">
        <v>201</v>
      </c>
      <c r="X5" s="242" t="s">
        <v>202</v>
      </c>
      <c r="Y5" s="243" t="s">
        <v>203</v>
      </c>
      <c r="Z5" s="248" t="s">
        <v>200</v>
      </c>
      <c r="AA5" s="244" t="s">
        <v>204</v>
      </c>
      <c r="AB5" s="243" t="s">
        <v>205</v>
      </c>
      <c r="AC5" s="247" t="s">
        <v>200</v>
      </c>
      <c r="AD5" s="249" t="s">
        <v>206</v>
      </c>
      <c r="AE5" s="250" t="s">
        <v>207</v>
      </c>
      <c r="AF5" s="247" t="s">
        <v>200</v>
      </c>
      <c r="AG5" s="244" t="s">
        <v>208</v>
      </c>
      <c r="AH5" s="244" t="s">
        <v>209</v>
      </c>
      <c r="AI5" s="244" t="s">
        <v>324</v>
      </c>
      <c r="AJ5" s="244" t="s">
        <v>321</v>
      </c>
      <c r="AK5" s="244" t="s">
        <v>210</v>
      </c>
      <c r="AL5" s="251" t="s">
        <v>211</v>
      </c>
      <c r="AM5" s="243" t="s">
        <v>212</v>
      </c>
      <c r="AN5" s="252" t="s">
        <v>200</v>
      </c>
      <c r="AO5" s="253" t="s">
        <v>213</v>
      </c>
      <c r="AP5" s="253" t="s">
        <v>214</v>
      </c>
      <c r="AQ5" s="253" t="s">
        <v>215</v>
      </c>
      <c r="AR5" s="253" t="s">
        <v>216</v>
      </c>
      <c r="AS5" s="254" t="s">
        <v>217</v>
      </c>
      <c r="AT5" s="252" t="s">
        <v>218</v>
      </c>
      <c r="AU5" s="252" t="s">
        <v>219</v>
      </c>
      <c r="AV5" s="252" t="s">
        <v>220</v>
      </c>
      <c r="AW5" s="255" t="s">
        <v>221</v>
      </c>
      <c r="AX5" s="247" t="s">
        <v>222</v>
      </c>
      <c r="AY5" s="244" t="s">
        <v>223</v>
      </c>
      <c r="AZ5" s="256" t="s">
        <v>224</v>
      </c>
      <c r="BA5" s="347" t="s">
        <v>225</v>
      </c>
      <c r="BB5" s="347" t="s">
        <v>226</v>
      </c>
      <c r="BC5" s="347" t="s">
        <v>227</v>
      </c>
      <c r="BD5" s="347" t="s">
        <v>228</v>
      </c>
      <c r="BE5" s="347" t="s">
        <v>229</v>
      </c>
      <c r="BF5" s="347" t="s">
        <v>230</v>
      </c>
      <c r="BG5" s="347" t="s">
        <v>231</v>
      </c>
      <c r="BH5" s="348" t="s">
        <v>232</v>
      </c>
      <c r="BI5" s="349" t="s">
        <v>233</v>
      </c>
      <c r="BJ5" s="350" t="s">
        <v>234</v>
      </c>
      <c r="BK5" s="351" t="s">
        <v>235</v>
      </c>
      <c r="BL5" s="350" t="s">
        <v>281</v>
      </c>
      <c r="BM5" s="340" t="s">
        <v>236</v>
      </c>
      <c r="BN5" s="344" t="s">
        <v>237</v>
      </c>
      <c r="BO5" s="257" t="s">
        <v>238</v>
      </c>
      <c r="BP5" s="342" t="s">
        <v>238</v>
      </c>
      <c r="BQ5" s="258" t="s">
        <v>239</v>
      </c>
      <c r="BR5" s="259"/>
      <c r="BS5" s="260" t="s">
        <v>240</v>
      </c>
      <c r="BT5" s="259"/>
      <c r="BU5" s="354" t="s">
        <v>283</v>
      </c>
      <c r="BV5" s="355" t="s">
        <v>284</v>
      </c>
      <c r="BW5" s="447" t="s">
        <v>282</v>
      </c>
      <c r="BX5" s="259"/>
      <c r="BY5" s="259"/>
      <c r="BZ5" s="446" t="s">
        <v>289</v>
      </c>
      <c r="CA5" s="255" t="s">
        <v>340</v>
      </c>
      <c r="CB5" s="355" t="s">
        <v>291</v>
      </c>
      <c r="CC5" s="447" t="s">
        <v>290</v>
      </c>
    </row>
    <row r="6" spans="1:81" ht="13">
      <c r="A6" s="261" t="s">
        <v>26</v>
      </c>
      <c r="B6" s="262" t="s">
        <v>43</v>
      </c>
      <c r="C6" s="263" t="s">
        <v>33</v>
      </c>
      <c r="D6" s="264" t="s">
        <v>90</v>
      </c>
      <c r="E6" s="265" t="s">
        <v>41</v>
      </c>
      <c r="F6" s="266"/>
      <c r="G6" s="266"/>
      <c r="H6" s="170">
        <v>0.1</v>
      </c>
      <c r="I6" s="456">
        <f t="shared" ref="I6:I37" si="0">IF(PLOT_TYPE=1, H6/100*Iout_max, min_I*EXP(H6*rr/100))</f>
        <v>1E-3</v>
      </c>
      <c r="J6" s="217"/>
      <c r="K6" s="217"/>
      <c r="L6" s="217"/>
      <c r="M6" s="217"/>
      <c r="N6" s="267"/>
      <c r="O6" s="172"/>
      <c r="P6" s="217"/>
      <c r="Q6" s="443"/>
      <c r="S6" s="268"/>
      <c r="T6" s="268"/>
      <c r="U6" s="268"/>
      <c r="AJ6" s="443"/>
      <c r="AY6" s="216">
        <f>Vout*I6</f>
        <v>1.6399999999999998E-2</v>
      </c>
      <c r="AZ6" s="269">
        <f>AY6/(AY6+AX6)</f>
        <v>1</v>
      </c>
      <c r="BA6" s="345">
        <f>AG6/($AY6+$AX6)</f>
        <v>0</v>
      </c>
      <c r="BB6" s="345">
        <f>AO6/($AY6+$AX6)</f>
        <v>0</v>
      </c>
      <c r="BC6" s="345" t="e">
        <f>Vin*R6*(QgBot+Qg)/($AY6+$AX6)</f>
        <v>#NAME?</v>
      </c>
      <c r="BD6" s="345">
        <f>AK6/($AY6+$AX6)</f>
        <v>0</v>
      </c>
      <c r="BE6" s="345">
        <f>AQ6/(AX6+AY6)</f>
        <v>0</v>
      </c>
      <c r="BF6" s="345">
        <f>AR6/($AY6+$AX6)</f>
        <v>0</v>
      </c>
      <c r="BG6" s="345">
        <f t="shared" ref="BG6:BH9" si="1">W6/($AY6+$AX6)</f>
        <v>0</v>
      </c>
      <c r="BH6" s="345">
        <f t="shared" si="1"/>
        <v>0</v>
      </c>
      <c r="BI6" s="345">
        <f>(AB6+AE6)/($AY6+$AX6)</f>
        <v>0</v>
      </c>
      <c r="BJ6" s="219">
        <f>AT6/($AY6+$AX6)</f>
        <v>0</v>
      </c>
      <c r="BK6" s="219">
        <f>AX6/($AY6+$AX6)</f>
        <v>0</v>
      </c>
      <c r="BL6" s="219">
        <f>AZ6</f>
        <v>1</v>
      </c>
      <c r="BM6" s="172">
        <f>100*BL6</f>
        <v>100</v>
      </c>
      <c r="BN6" s="217">
        <f xml:space="preserve"> CHOOSE(MODE, I6*1000,#REF!)</f>
        <v>1</v>
      </c>
      <c r="BO6" s="172">
        <v>59.702372085750142</v>
      </c>
      <c r="BP6" s="219">
        <f>BO6/100</f>
        <v>0.59702372085750144</v>
      </c>
      <c r="BQ6" s="270">
        <f>R6/1000</f>
        <v>0</v>
      </c>
      <c r="BR6" s="271"/>
      <c r="BS6" s="219">
        <f>AL6/($AY6+$AX6)</f>
        <v>0</v>
      </c>
      <c r="BT6" s="272"/>
      <c r="BU6" s="172">
        <f>1000*AW6</f>
        <v>0</v>
      </c>
      <c r="BV6" s="172">
        <f>1000*AU6</f>
        <v>0</v>
      </c>
      <c r="BW6" s="172">
        <f>1000*Y6</f>
        <v>0</v>
      </c>
      <c r="BX6" s="219"/>
      <c r="BY6" s="219"/>
      <c r="BZ6" s="172">
        <f xml:space="preserve"> IF(MODE=1, BM6,#REF!)</f>
        <v>100</v>
      </c>
      <c r="CA6" s="172">
        <f xml:space="preserve"> IF(MODE=1, BU6,#REF!)</f>
        <v>0</v>
      </c>
      <c r="CB6" s="172">
        <f xml:space="preserve"> IF(MODE=1, BV6,#REF!)</f>
        <v>0</v>
      </c>
      <c r="CC6" s="172">
        <f xml:space="preserve"> IF(MODE=1, BW6,#REF!)</f>
        <v>0</v>
      </c>
    </row>
    <row r="7" spans="1:81" ht="13">
      <c r="A7" s="418"/>
      <c r="B7" s="262"/>
      <c r="C7" s="263"/>
      <c r="D7" s="264"/>
      <c r="E7" s="265"/>
      <c r="F7" s="266"/>
      <c r="G7" s="266"/>
      <c r="H7" s="170">
        <v>1</v>
      </c>
      <c r="I7" s="456">
        <f t="shared" si="0"/>
        <v>0.01</v>
      </c>
      <c r="J7" s="217"/>
      <c r="K7" s="217"/>
      <c r="L7" s="217"/>
      <c r="M7" s="217"/>
      <c r="N7" s="267"/>
      <c r="O7" s="172"/>
      <c r="P7" s="217"/>
      <c r="Q7" s="443"/>
      <c r="S7" s="268"/>
      <c r="T7" s="268"/>
      <c r="U7" s="268"/>
      <c r="AJ7" s="443"/>
      <c r="AY7" s="216">
        <f>Vout*I7</f>
        <v>0.16399999999999998</v>
      </c>
      <c r="AZ7" s="269">
        <f>AY7/(AY7+AX7)</f>
        <v>1</v>
      </c>
      <c r="BA7" s="345">
        <f>AG7/($AY7+$AX7)</f>
        <v>0</v>
      </c>
      <c r="BB7" s="345">
        <f>AO7/($AY7+$AX7)</f>
        <v>0</v>
      </c>
      <c r="BC7" s="345" t="e">
        <f>Vin*R7*(QgBot+Qg)/($AY7+$AX7)</f>
        <v>#NAME?</v>
      </c>
      <c r="BD7" s="345">
        <f>AK7/($AY7+$AX7)</f>
        <v>0</v>
      </c>
      <c r="BE7" s="345">
        <f>AQ7/(AX7+AY7)</f>
        <v>0</v>
      </c>
      <c r="BF7" s="345">
        <f>AR7/($AY7+$AX7)</f>
        <v>0</v>
      </c>
      <c r="BG7" s="345">
        <f t="shared" si="1"/>
        <v>0</v>
      </c>
      <c r="BH7" s="345">
        <f t="shared" si="1"/>
        <v>0</v>
      </c>
      <c r="BI7" s="345">
        <f>(AB7+AE7)/($AY7+$AX7)</f>
        <v>0</v>
      </c>
      <c r="BJ7" s="219">
        <f>AT7/($AY7+$AX7)</f>
        <v>0</v>
      </c>
      <c r="BK7" s="219">
        <f>AX7/($AY7+$AX7)</f>
        <v>0</v>
      </c>
      <c r="BL7" s="219">
        <f>AZ7</f>
        <v>1</v>
      </c>
      <c r="BM7" s="172">
        <f>100*BL7</f>
        <v>100</v>
      </c>
      <c r="BN7" s="217">
        <f xml:space="preserve"> CHOOSE(MODE, I7*1000,#REF!)</f>
        <v>10</v>
      </c>
      <c r="BO7" s="172">
        <v>83.682599061581868</v>
      </c>
      <c r="BP7" s="219">
        <f>BO7/100</f>
        <v>0.83682599061581864</v>
      </c>
      <c r="BQ7" s="270">
        <f>R7/1000</f>
        <v>0</v>
      </c>
      <c r="BR7" s="271"/>
      <c r="BS7" s="219">
        <f>AL7/($AY7+$AX7)</f>
        <v>0</v>
      </c>
      <c r="BT7" s="272"/>
      <c r="BU7" s="172">
        <f>1000*AW7</f>
        <v>0</v>
      </c>
      <c r="BV7" s="172">
        <f>1000*AU7</f>
        <v>0</v>
      </c>
      <c r="BW7" s="172">
        <f>1000*Y7</f>
        <v>0</v>
      </c>
      <c r="BX7" s="219"/>
      <c r="BY7" s="219"/>
      <c r="BZ7" s="172">
        <f xml:space="preserve"> IF(MODE=1, BM7,#REF!)</f>
        <v>100</v>
      </c>
      <c r="CA7" s="172">
        <f xml:space="preserve"> IF(MODE=1, BU7,#REF!)</f>
        <v>0</v>
      </c>
      <c r="CB7" s="172">
        <f xml:space="preserve"> IF(MODE=1, BV7,#REF!)</f>
        <v>0</v>
      </c>
      <c r="CC7" s="172">
        <f xml:space="preserve"> IF(MODE=1, BW7,#REF!)</f>
        <v>0</v>
      </c>
    </row>
    <row r="8" spans="1:81" ht="13">
      <c r="A8" s="273" t="s">
        <v>3</v>
      </c>
      <c r="B8" s="274">
        <f>Vin</f>
        <v>24</v>
      </c>
      <c r="C8" s="275" t="s">
        <v>0</v>
      </c>
      <c r="D8" s="194">
        <f>B8</f>
        <v>24</v>
      </c>
      <c r="E8" s="188" t="s">
        <v>3</v>
      </c>
      <c r="F8" s="266"/>
      <c r="G8" s="266"/>
      <c r="H8" s="170">
        <v>2</v>
      </c>
      <c r="I8" s="456">
        <f t="shared" si="0"/>
        <v>0.02</v>
      </c>
      <c r="J8" s="217"/>
      <c r="K8" s="217"/>
      <c r="L8" s="217"/>
      <c r="M8" s="217"/>
      <c r="N8" s="267"/>
      <c r="O8" s="172"/>
      <c r="P8" s="217"/>
      <c r="Q8" s="443"/>
      <c r="S8" s="268"/>
      <c r="T8" s="268"/>
      <c r="U8" s="268"/>
      <c r="AJ8" s="443"/>
      <c r="AY8" s="216">
        <f>Vout*I8</f>
        <v>0.32799999999999996</v>
      </c>
      <c r="AZ8" s="269">
        <f>AY8/(AY8+AX8)</f>
        <v>1</v>
      </c>
      <c r="BA8" s="345">
        <f>AG8/($AY8+$AX8)</f>
        <v>0</v>
      </c>
      <c r="BB8" s="345">
        <f>AO8/($AY8+$AX8)</f>
        <v>0</v>
      </c>
      <c r="BC8" s="345" t="e">
        <f>Vin*R8*(QgBot+Qg)/($AY8+$AX8)</f>
        <v>#NAME?</v>
      </c>
      <c r="BD8" s="345">
        <f>AK8/($AY8+$AX8)</f>
        <v>0</v>
      </c>
      <c r="BE8" s="345">
        <f>AQ8/(AX8+AY8)</f>
        <v>0</v>
      </c>
      <c r="BF8" s="345">
        <f>AR8/($AY8+$AX8)</f>
        <v>0</v>
      </c>
      <c r="BG8" s="345">
        <f t="shared" si="1"/>
        <v>0</v>
      </c>
      <c r="BH8" s="345">
        <f t="shared" si="1"/>
        <v>0</v>
      </c>
      <c r="BI8" s="345">
        <f>(AB8+AE8)/($AY8+$AX8)</f>
        <v>0</v>
      </c>
      <c r="BJ8" s="219">
        <f>AT8/($AY8+$AX8)</f>
        <v>0</v>
      </c>
      <c r="BK8" s="219">
        <f>AX8/($AY8+$AX8)</f>
        <v>0</v>
      </c>
      <c r="BL8" s="219">
        <f>AZ8</f>
        <v>1</v>
      </c>
      <c r="BM8" s="172">
        <f>100*BL8</f>
        <v>100</v>
      </c>
      <c r="BN8" s="217">
        <f xml:space="preserve"> CHOOSE(MODE, I8*1000,#REF!)</f>
        <v>20</v>
      </c>
      <c r="BO8" s="172">
        <v>85.591306536493136</v>
      </c>
      <c r="BP8" s="219">
        <f>BO8/100</f>
        <v>0.85591306536493139</v>
      </c>
      <c r="BQ8" s="270">
        <f>R8/1000</f>
        <v>0</v>
      </c>
      <c r="BR8" s="271"/>
      <c r="BS8" s="219">
        <f>AL8/($AY8+$AX8)</f>
        <v>0</v>
      </c>
      <c r="BT8" s="272"/>
      <c r="BU8" s="172">
        <f>1000*AW8</f>
        <v>0</v>
      </c>
      <c r="BV8" s="172">
        <f>1000*AU8</f>
        <v>0</v>
      </c>
      <c r="BW8" s="172">
        <f>1000*Y8</f>
        <v>0</v>
      </c>
      <c r="BX8" s="219"/>
      <c r="BY8" s="219"/>
      <c r="BZ8" s="172">
        <f xml:space="preserve"> IF(MODE=1, BM8,#REF!)</f>
        <v>100</v>
      </c>
      <c r="CA8" s="172">
        <f xml:space="preserve"> IF(MODE=1, BU8,#REF!)</f>
        <v>0</v>
      </c>
      <c r="CB8" s="172">
        <f xml:space="preserve"> IF(MODE=1, BV8,#REF!)</f>
        <v>0</v>
      </c>
      <c r="CC8" s="172">
        <f xml:space="preserve"> IF(MODE=1, BW8,#REF!)</f>
        <v>0</v>
      </c>
    </row>
    <row r="9" spans="1:81" ht="13">
      <c r="A9" s="276" t="s">
        <v>4</v>
      </c>
      <c r="B9" s="274">
        <f>Vout</f>
        <v>16.399999999999999</v>
      </c>
      <c r="C9" s="275" t="s">
        <v>0</v>
      </c>
      <c r="D9" s="194">
        <f>B9</f>
        <v>16.399999999999999</v>
      </c>
      <c r="E9" s="188" t="s">
        <v>4</v>
      </c>
      <c r="F9" s="266"/>
      <c r="G9" s="266"/>
      <c r="H9" s="170">
        <v>3</v>
      </c>
      <c r="I9" s="456">
        <f t="shared" si="0"/>
        <v>0.03</v>
      </c>
      <c r="J9" s="217"/>
      <c r="K9" s="217"/>
      <c r="L9" s="217"/>
      <c r="M9" s="217"/>
      <c r="N9" s="267"/>
      <c r="O9" s="172"/>
      <c r="P9" s="217"/>
      <c r="Q9" s="443"/>
      <c r="S9" s="268"/>
      <c r="T9" s="268"/>
      <c r="U9" s="268"/>
      <c r="AJ9" s="443"/>
      <c r="AY9" s="216">
        <f>Vout*I9</f>
        <v>0.49199999999999994</v>
      </c>
      <c r="AZ9" s="269">
        <f>AY9/(AY9+AX9)</f>
        <v>1</v>
      </c>
      <c r="BA9" s="345">
        <f>AG9/($AY9+$AX9)</f>
        <v>0</v>
      </c>
      <c r="BB9" s="345">
        <f>AO9/($AY9+$AX9)</f>
        <v>0</v>
      </c>
      <c r="BC9" s="345" t="e">
        <f>Vin*R9*(QgBot+Qg)/($AY9+$AX9)</f>
        <v>#NAME?</v>
      </c>
      <c r="BD9" s="345">
        <f>AK9/($AY9+$AX9)</f>
        <v>0</v>
      </c>
      <c r="BE9" s="345">
        <f>AQ9/(AX9+AY9)</f>
        <v>0</v>
      </c>
      <c r="BF9" s="345">
        <f>AR9/($AY9+$AX9)</f>
        <v>0</v>
      </c>
      <c r="BG9" s="345">
        <f t="shared" si="1"/>
        <v>0</v>
      </c>
      <c r="BH9" s="345">
        <f t="shared" si="1"/>
        <v>0</v>
      </c>
      <c r="BI9" s="345">
        <f>(AB9+AE9)/($AY9+$AX9)</f>
        <v>0</v>
      </c>
      <c r="BJ9" s="219">
        <f>AT9/($AY9+$AX9)</f>
        <v>0</v>
      </c>
      <c r="BK9" s="219">
        <f>AX9/($AY9+$AX9)</f>
        <v>0</v>
      </c>
      <c r="BL9" s="219">
        <f>AZ9</f>
        <v>1</v>
      </c>
      <c r="BM9" s="172">
        <f>100*BL9</f>
        <v>100</v>
      </c>
      <c r="BN9" s="217">
        <f xml:space="preserve"> CHOOSE(MODE, I9*1000,#REF!)</f>
        <v>30</v>
      </c>
      <c r="BO9" s="172">
        <v>86.246143423411425</v>
      </c>
      <c r="BP9" s="219">
        <f>BO9/100</f>
        <v>0.86246143423411425</v>
      </c>
      <c r="BQ9" s="270">
        <f>R9/1000</f>
        <v>0</v>
      </c>
      <c r="BR9" s="271"/>
      <c r="BS9" s="219">
        <f>AL9/($AY9+$AX9)</f>
        <v>0</v>
      </c>
      <c r="BT9" s="272"/>
      <c r="BU9" s="172">
        <f>1000*AW9</f>
        <v>0</v>
      </c>
      <c r="BV9" s="172">
        <f>1000*AU9</f>
        <v>0</v>
      </c>
      <c r="BW9" s="172">
        <f>1000*Y9</f>
        <v>0</v>
      </c>
      <c r="BX9" s="219"/>
      <c r="BY9" s="219"/>
      <c r="BZ9" s="172">
        <f xml:space="preserve"> IF(MODE=1, BM9,#REF!)</f>
        <v>100</v>
      </c>
      <c r="CA9" s="172">
        <f xml:space="preserve"> IF(MODE=1, BU9,#REF!)</f>
        <v>0</v>
      </c>
      <c r="CB9" s="172">
        <f xml:space="preserve"> IF(MODE=1, BV9,#REF!)</f>
        <v>0</v>
      </c>
      <c r="CC9" s="172">
        <f xml:space="preserve"> IF(MODE=1, BW9,#REF!)</f>
        <v>0</v>
      </c>
    </row>
    <row r="10" spans="1:81" ht="13">
      <c r="A10" s="276" t="s">
        <v>5</v>
      </c>
      <c r="B10" s="274">
        <f>Iout</f>
        <v>1</v>
      </c>
      <c r="C10" s="275" t="s">
        <v>1</v>
      </c>
      <c r="D10" s="194">
        <f>B10</f>
        <v>1</v>
      </c>
      <c r="E10" s="277" t="s">
        <v>241</v>
      </c>
      <c r="F10" s="266"/>
      <c r="G10" s="266"/>
      <c r="H10" s="170">
        <v>4</v>
      </c>
      <c r="I10" s="456">
        <f t="shared" si="0"/>
        <v>0.04</v>
      </c>
      <c r="J10" s="217"/>
      <c r="K10" s="217"/>
      <c r="L10" s="217"/>
      <c r="M10" s="217"/>
      <c r="N10" s="267"/>
      <c r="O10" s="172"/>
      <c r="P10" s="217"/>
      <c r="Q10" s="443"/>
      <c r="S10" s="268"/>
      <c r="T10" s="268"/>
      <c r="U10" s="268"/>
      <c r="AJ10" s="443"/>
      <c r="AZ10" s="269"/>
      <c r="BJ10" s="219"/>
      <c r="BK10" s="219"/>
      <c r="BL10" s="219"/>
      <c r="BO10" s="172"/>
      <c r="BP10" s="219"/>
      <c r="BQ10" s="270"/>
      <c r="BR10" s="271"/>
      <c r="BS10" s="219"/>
      <c r="BT10" s="272"/>
      <c r="BX10" s="219"/>
      <c r="BY10" s="219"/>
      <c r="BZ10" s="172"/>
      <c r="CA10" s="172"/>
      <c r="CB10" s="172"/>
      <c r="CC10" s="172"/>
    </row>
    <row r="11" spans="1:81" ht="13">
      <c r="A11" s="276" t="s">
        <v>139</v>
      </c>
      <c r="B11" s="357">
        <f>Vout/(Fsw/1000)*100000/16</f>
        <v>8541.6666666666661</v>
      </c>
      <c r="C11" s="278" t="s">
        <v>242</v>
      </c>
      <c r="D11" s="292">
        <f>B11*1000</f>
        <v>8541666.666666666</v>
      </c>
      <c r="E11" s="277"/>
      <c r="F11" s="266"/>
      <c r="G11" s="266"/>
      <c r="H11" s="170">
        <v>5</v>
      </c>
      <c r="I11" s="456">
        <f t="shared" si="0"/>
        <v>0.05</v>
      </c>
      <c r="J11" s="217"/>
      <c r="K11" s="217"/>
      <c r="L11" s="217"/>
      <c r="M11" s="217"/>
      <c r="N11" s="267"/>
      <c r="O11" s="172"/>
      <c r="P11" s="217"/>
      <c r="Q11" s="443"/>
      <c r="S11" s="268"/>
      <c r="T11" s="268"/>
      <c r="U11" s="268"/>
      <c r="AJ11" s="443"/>
      <c r="AZ11" s="269"/>
      <c r="BJ11" s="219"/>
      <c r="BK11" s="219"/>
      <c r="BL11" s="219"/>
      <c r="BO11" s="172"/>
      <c r="BP11" s="219"/>
      <c r="BQ11" s="270"/>
      <c r="BR11" s="271"/>
      <c r="BS11" s="219"/>
      <c r="BT11" s="272"/>
      <c r="BX11" s="219"/>
      <c r="BY11" s="219"/>
      <c r="BZ11" s="172"/>
      <c r="CA11" s="172"/>
      <c r="CB11" s="172"/>
      <c r="CC11" s="172"/>
    </row>
    <row r="12" spans="1:81" ht="13">
      <c r="A12" s="276" t="s">
        <v>243</v>
      </c>
      <c r="B12" s="274">
        <v>25</v>
      </c>
      <c r="C12" s="275" t="s">
        <v>102</v>
      </c>
      <c r="D12" s="194">
        <f>B12</f>
        <v>25</v>
      </c>
      <c r="E12" s="277" t="s">
        <v>244</v>
      </c>
      <c r="F12" s="266">
        <f>Turns_Ratio</f>
        <v>14</v>
      </c>
      <c r="H12" s="170">
        <v>6</v>
      </c>
      <c r="I12" s="456">
        <f t="shared" si="0"/>
        <v>0.06</v>
      </c>
      <c r="J12" s="217"/>
      <c r="K12" s="217"/>
      <c r="L12" s="217"/>
      <c r="M12" s="217"/>
      <c r="N12" s="267"/>
      <c r="O12" s="172"/>
      <c r="P12" s="217"/>
      <c r="Q12" s="443"/>
      <c r="S12" s="268"/>
      <c r="T12" s="268"/>
      <c r="U12" s="268"/>
      <c r="AJ12" s="443"/>
      <c r="AZ12" s="269"/>
      <c r="BJ12" s="219"/>
      <c r="BK12" s="219"/>
      <c r="BL12" s="219"/>
      <c r="BO12" s="172"/>
      <c r="BP12" s="219"/>
      <c r="BQ12" s="270"/>
      <c r="BR12" s="271"/>
      <c r="BS12" s="219"/>
      <c r="BT12" s="272"/>
      <c r="BX12" s="219"/>
      <c r="BY12" s="219"/>
      <c r="BZ12" s="172"/>
      <c r="CA12" s="172"/>
      <c r="CB12" s="172"/>
      <c r="CC12" s="172"/>
    </row>
    <row r="13" spans="1:81" ht="13">
      <c r="A13" s="279" t="s">
        <v>245</v>
      </c>
      <c r="B13" s="280">
        <v>5</v>
      </c>
      <c r="C13" s="275" t="s">
        <v>0</v>
      </c>
      <c r="D13" s="194">
        <f>B13</f>
        <v>5</v>
      </c>
      <c r="E13" s="277"/>
      <c r="F13" s="266"/>
      <c r="G13" s="266"/>
      <c r="H13" s="170">
        <v>7</v>
      </c>
      <c r="I13" s="456">
        <f t="shared" si="0"/>
        <v>7.0000000000000007E-2</v>
      </c>
      <c r="J13" s="217"/>
      <c r="K13" s="217"/>
      <c r="L13" s="217"/>
      <c r="M13" s="217"/>
      <c r="N13" s="267"/>
      <c r="O13" s="172"/>
      <c r="P13" s="217"/>
      <c r="Q13" s="443"/>
      <c r="S13" s="268"/>
      <c r="T13" s="268"/>
      <c r="U13" s="268"/>
      <c r="AJ13" s="443"/>
      <c r="AZ13" s="269"/>
      <c r="BJ13" s="219"/>
      <c r="BK13" s="219"/>
      <c r="BL13" s="219"/>
      <c r="BO13" s="172"/>
      <c r="BP13" s="219"/>
      <c r="BQ13" s="270"/>
      <c r="BR13" s="271"/>
      <c r="BS13" s="219"/>
      <c r="BT13" s="272"/>
      <c r="BX13" s="219"/>
      <c r="BY13" s="219"/>
      <c r="BZ13" s="172"/>
      <c r="CA13" s="172"/>
      <c r="CB13" s="172"/>
      <c r="CC13" s="172"/>
    </row>
    <row r="14" spans="1:81" ht="13">
      <c r="F14" s="266"/>
      <c r="G14" s="266"/>
      <c r="H14" s="170">
        <v>8</v>
      </c>
      <c r="I14" s="456">
        <f t="shared" si="0"/>
        <v>0.08</v>
      </c>
      <c r="J14" s="217"/>
      <c r="K14" s="217"/>
      <c r="L14" s="217"/>
      <c r="M14" s="217"/>
      <c r="N14" s="267"/>
      <c r="O14" s="172"/>
      <c r="P14" s="217"/>
      <c r="Q14" s="443"/>
      <c r="S14" s="268"/>
      <c r="T14" s="268"/>
      <c r="U14" s="268"/>
      <c r="AJ14" s="443"/>
      <c r="AZ14" s="269"/>
      <c r="BJ14" s="219"/>
      <c r="BK14" s="219"/>
      <c r="BL14" s="219"/>
      <c r="BO14" s="172"/>
      <c r="BP14" s="219"/>
      <c r="BQ14" s="270"/>
      <c r="BR14" s="271"/>
      <c r="BS14" s="219"/>
      <c r="BT14" s="272"/>
      <c r="BX14" s="219"/>
      <c r="BY14" s="219"/>
      <c r="BZ14" s="172"/>
      <c r="CA14" s="172"/>
      <c r="CB14" s="172"/>
      <c r="CC14" s="172"/>
    </row>
    <row r="15" spans="1:81" ht="13">
      <c r="A15" s="281" t="s">
        <v>34</v>
      </c>
      <c r="B15" s="239"/>
      <c r="C15" s="239"/>
      <c r="D15" s="239"/>
      <c r="E15" s="240"/>
      <c r="F15" s="266"/>
      <c r="G15" s="266"/>
      <c r="H15" s="170">
        <v>9</v>
      </c>
      <c r="I15" s="456">
        <f t="shared" si="0"/>
        <v>0.09</v>
      </c>
      <c r="J15" s="217"/>
      <c r="K15" s="217"/>
      <c r="L15" s="217"/>
      <c r="M15" s="217"/>
      <c r="N15" s="267"/>
      <c r="O15" s="172"/>
      <c r="P15" s="217"/>
      <c r="Q15" s="443"/>
      <c r="S15" s="268"/>
      <c r="T15" s="268"/>
      <c r="U15" s="268"/>
      <c r="AJ15" s="443"/>
      <c r="AZ15" s="269"/>
      <c r="BJ15" s="219"/>
      <c r="BK15" s="219"/>
      <c r="BL15" s="219"/>
      <c r="BO15" s="172"/>
      <c r="BP15" s="219"/>
      <c r="BQ15" s="270"/>
      <c r="BR15" s="271"/>
      <c r="BS15" s="219"/>
      <c r="BT15" s="272"/>
      <c r="BX15" s="219"/>
      <c r="BY15" s="219"/>
      <c r="BZ15" s="172"/>
      <c r="CA15" s="172"/>
      <c r="CB15" s="172"/>
      <c r="CC15" s="172"/>
    </row>
    <row r="16" spans="1:81" ht="13">
      <c r="A16" s="282" t="s">
        <v>26</v>
      </c>
      <c r="B16" s="262" t="s">
        <v>6</v>
      </c>
      <c r="C16" s="283" t="s">
        <v>33</v>
      </c>
      <c r="D16" s="284" t="s">
        <v>90</v>
      </c>
      <c r="E16" s="265" t="s">
        <v>41</v>
      </c>
      <c r="F16" s="266"/>
      <c r="G16" s="266"/>
      <c r="H16" s="170">
        <v>10</v>
      </c>
      <c r="I16" s="456">
        <f t="shared" si="0"/>
        <v>0.1</v>
      </c>
      <c r="J16" s="217"/>
      <c r="K16" s="217"/>
      <c r="L16" s="217"/>
      <c r="M16" s="217"/>
      <c r="N16" s="267"/>
      <c r="O16" s="172"/>
      <c r="P16" s="217"/>
      <c r="Q16" s="443"/>
      <c r="S16" s="268"/>
      <c r="T16" s="268"/>
      <c r="U16" s="268"/>
      <c r="AJ16" s="443"/>
      <c r="AZ16" s="269"/>
      <c r="BJ16" s="219"/>
      <c r="BK16" s="219"/>
      <c r="BL16" s="219"/>
      <c r="BO16" s="172"/>
      <c r="BP16" s="219"/>
      <c r="BQ16" s="270"/>
      <c r="BR16" s="271"/>
      <c r="BS16" s="219"/>
      <c r="BT16" s="272"/>
      <c r="BX16" s="219"/>
      <c r="BY16" s="219"/>
      <c r="BZ16" s="172"/>
      <c r="CA16" s="172"/>
      <c r="CB16" s="172"/>
      <c r="CC16" s="172"/>
    </row>
    <row r="17" spans="1:81" ht="13">
      <c r="A17" s="285" t="s">
        <v>246</v>
      </c>
      <c r="B17" s="286">
        <f>Vout/Vin/Fsw*1000000</f>
        <v>56.944444444444436</v>
      </c>
      <c r="C17" s="287" t="s">
        <v>247</v>
      </c>
      <c r="D17" s="288">
        <f>B17/1000000</f>
        <v>5.6944444444444439E-5</v>
      </c>
      <c r="E17" s="277" t="s">
        <v>248</v>
      </c>
      <c r="F17" s="266"/>
      <c r="G17" s="266"/>
      <c r="H17" s="170">
        <v>11</v>
      </c>
      <c r="I17" s="456">
        <f t="shared" si="0"/>
        <v>0.11</v>
      </c>
      <c r="J17" s="217"/>
      <c r="K17" s="217"/>
      <c r="L17" s="217"/>
      <c r="M17" s="217"/>
      <c r="N17" s="267"/>
      <c r="O17" s="172"/>
      <c r="P17" s="217"/>
      <c r="Q17" s="443"/>
      <c r="S17" s="268"/>
      <c r="T17" s="268"/>
      <c r="U17" s="268"/>
      <c r="AJ17" s="443"/>
      <c r="AZ17" s="269"/>
      <c r="BJ17" s="219"/>
      <c r="BK17" s="219"/>
      <c r="BL17" s="219"/>
      <c r="BO17" s="172"/>
      <c r="BP17" s="219"/>
      <c r="BQ17" s="270"/>
      <c r="BR17" s="271"/>
      <c r="BS17" s="219"/>
      <c r="BT17" s="272"/>
      <c r="BX17" s="219"/>
      <c r="BY17" s="219"/>
      <c r="BZ17" s="172"/>
      <c r="CA17" s="172"/>
      <c r="CB17" s="172"/>
      <c r="CC17" s="172"/>
    </row>
    <row r="18" spans="1:81" ht="13">
      <c r="A18" s="285" t="s">
        <v>249</v>
      </c>
      <c r="B18" s="286"/>
      <c r="C18" s="287" t="s">
        <v>247</v>
      </c>
      <c r="D18" s="289">
        <f>B18/1000000</f>
        <v>0</v>
      </c>
      <c r="E18" s="275" t="s">
        <v>250</v>
      </c>
      <c r="F18" s="266"/>
      <c r="G18" s="266"/>
      <c r="H18" s="170">
        <v>12</v>
      </c>
      <c r="I18" s="456">
        <f t="shared" si="0"/>
        <v>0.12</v>
      </c>
      <c r="J18" s="217"/>
      <c r="K18" s="217"/>
      <c r="L18" s="217"/>
      <c r="M18" s="217"/>
      <c r="N18" s="267"/>
      <c r="O18" s="172"/>
      <c r="P18" s="217"/>
      <c r="Q18" s="443"/>
      <c r="S18" s="268"/>
      <c r="T18" s="268"/>
      <c r="U18" s="268"/>
      <c r="AJ18" s="443"/>
      <c r="AZ18" s="269"/>
      <c r="BJ18" s="219"/>
      <c r="BK18" s="219"/>
      <c r="BL18" s="219"/>
      <c r="BO18" s="172"/>
      <c r="BP18" s="219"/>
      <c r="BQ18" s="270"/>
      <c r="BR18" s="271"/>
      <c r="BS18" s="219"/>
      <c r="BT18" s="272"/>
      <c r="BX18" s="219"/>
      <c r="BY18" s="219"/>
      <c r="BZ18" s="172"/>
      <c r="CA18" s="172"/>
      <c r="CB18" s="172"/>
      <c r="CC18" s="172"/>
    </row>
    <row r="19" spans="1:81" ht="15.5">
      <c r="A19" s="279" t="s">
        <v>251</v>
      </c>
      <c r="B19" s="290">
        <f>(Vin-Vout-(Rdcr_pri+Rdson)*Iout)/L*OnTime*1000</f>
        <v>35827.546296296299</v>
      </c>
      <c r="C19" s="277" t="s">
        <v>30</v>
      </c>
      <c r="D19" s="190">
        <f>B19/1000</f>
        <v>35.827546296296298</v>
      </c>
      <c r="E19" s="275" t="s">
        <v>252</v>
      </c>
      <c r="F19" s="266"/>
      <c r="G19" s="266"/>
      <c r="H19" s="170">
        <v>13</v>
      </c>
      <c r="I19" s="456">
        <f t="shared" si="0"/>
        <v>0.13</v>
      </c>
      <c r="J19" s="217"/>
      <c r="K19" s="217"/>
      <c r="L19" s="217"/>
      <c r="M19" s="217"/>
      <c r="N19" s="267"/>
      <c r="O19" s="172"/>
      <c r="P19" s="217"/>
      <c r="Q19" s="443"/>
      <c r="S19" s="268"/>
      <c r="T19" s="268"/>
      <c r="U19" s="268"/>
      <c r="AJ19" s="443"/>
      <c r="AZ19" s="269"/>
      <c r="BJ19" s="219"/>
      <c r="BK19" s="219"/>
      <c r="BL19" s="219"/>
      <c r="BO19" s="172"/>
      <c r="BP19" s="219"/>
      <c r="BQ19" s="270"/>
      <c r="BR19" s="271"/>
      <c r="BS19" s="219"/>
      <c r="BT19" s="272"/>
      <c r="BX19" s="219"/>
      <c r="BY19" s="219"/>
      <c r="BZ19" s="172"/>
      <c r="CA19" s="172"/>
      <c r="CB19" s="172"/>
      <c r="CC19" s="172"/>
    </row>
    <row r="20" spans="1:81" ht="13">
      <c r="A20" s="285" t="s">
        <v>253</v>
      </c>
      <c r="B20" s="291">
        <v>12</v>
      </c>
      <c r="C20" s="275" t="s">
        <v>2</v>
      </c>
      <c r="D20" s="292">
        <f>B20*1000</f>
        <v>12000</v>
      </c>
      <c r="E20" s="277" t="s">
        <v>254</v>
      </c>
      <c r="F20" s="359"/>
      <c r="G20" s="266"/>
      <c r="H20" s="170">
        <v>14</v>
      </c>
      <c r="I20" s="456">
        <f t="shared" si="0"/>
        <v>0.14000000000000001</v>
      </c>
      <c r="J20" s="217"/>
      <c r="K20" s="217"/>
      <c r="L20" s="217"/>
      <c r="M20" s="217"/>
      <c r="N20" s="267"/>
      <c r="O20" s="172"/>
      <c r="P20" s="217"/>
      <c r="Q20" s="443"/>
      <c r="S20" s="268"/>
      <c r="T20" s="268"/>
      <c r="U20" s="268"/>
      <c r="AJ20" s="443"/>
      <c r="AZ20" s="269"/>
      <c r="BJ20" s="219"/>
      <c r="BK20" s="219"/>
      <c r="BL20" s="219"/>
      <c r="BO20" s="172"/>
      <c r="BP20" s="219"/>
      <c r="BQ20" s="270"/>
      <c r="BR20" s="271"/>
      <c r="BS20" s="219"/>
      <c r="BT20" s="272"/>
      <c r="BX20" s="219"/>
      <c r="BY20" s="219"/>
      <c r="BZ20" s="172"/>
      <c r="CA20" s="172"/>
      <c r="CB20" s="172"/>
      <c r="CC20" s="172"/>
    </row>
    <row r="21" spans="1:81" ht="13">
      <c r="A21" s="285" t="s">
        <v>410</v>
      </c>
      <c r="B21" s="290">
        <v>350</v>
      </c>
      <c r="C21" s="277" t="s">
        <v>2</v>
      </c>
      <c r="D21" s="292">
        <f>B21*1000</f>
        <v>350000</v>
      </c>
      <c r="E21" s="277" t="s">
        <v>411</v>
      </c>
      <c r="F21" s="266"/>
      <c r="G21" s="266"/>
      <c r="H21" s="170">
        <v>15</v>
      </c>
      <c r="I21" s="456">
        <f t="shared" si="0"/>
        <v>0.15</v>
      </c>
      <c r="J21" s="217"/>
      <c r="K21" s="217"/>
      <c r="L21" s="217"/>
      <c r="M21" s="217"/>
      <c r="N21" s="267"/>
      <c r="O21" s="172"/>
      <c r="P21" s="217"/>
      <c r="Q21" s="443"/>
      <c r="S21" s="268"/>
      <c r="T21" s="268"/>
      <c r="U21" s="268"/>
      <c r="AJ21" s="443"/>
      <c r="AZ21" s="269"/>
      <c r="BJ21" s="219"/>
      <c r="BK21" s="219"/>
      <c r="BL21" s="219"/>
      <c r="BO21" s="172"/>
      <c r="BP21" s="219"/>
      <c r="BQ21" s="270"/>
      <c r="BR21" s="271"/>
      <c r="BS21" s="219"/>
      <c r="BT21" s="272"/>
      <c r="BX21" s="219"/>
      <c r="BY21" s="219"/>
      <c r="BZ21" s="172"/>
      <c r="CA21" s="172"/>
      <c r="CB21" s="172"/>
      <c r="CC21" s="172"/>
    </row>
    <row r="22" spans="1:81" ht="13">
      <c r="A22" s="293" t="s">
        <v>38</v>
      </c>
      <c r="B22" s="294">
        <f>B44+15</f>
        <v>40</v>
      </c>
      <c r="C22" s="275" t="s">
        <v>32</v>
      </c>
      <c r="D22" s="295">
        <f>B22/1000000000</f>
        <v>4.0000000000000001E-8</v>
      </c>
      <c r="E22" s="188" t="s">
        <v>255</v>
      </c>
      <c r="F22" s="266"/>
      <c r="G22" s="266"/>
      <c r="H22" s="170">
        <v>16</v>
      </c>
      <c r="I22" s="456">
        <f t="shared" si="0"/>
        <v>0.16</v>
      </c>
      <c r="J22" s="217"/>
      <c r="K22" s="217"/>
      <c r="L22" s="217"/>
      <c r="M22" s="217"/>
      <c r="N22" s="267"/>
      <c r="O22" s="172"/>
      <c r="P22" s="217"/>
      <c r="Q22" s="443"/>
      <c r="S22" s="268"/>
      <c r="T22" s="268"/>
      <c r="U22" s="268"/>
      <c r="AJ22" s="443"/>
      <c r="AZ22" s="269"/>
      <c r="BJ22" s="219"/>
      <c r="BK22" s="219"/>
      <c r="BL22" s="219"/>
      <c r="BO22" s="172"/>
      <c r="BP22" s="219"/>
      <c r="BQ22" s="270"/>
      <c r="BR22" s="271"/>
      <c r="BS22" s="219"/>
      <c r="BT22" s="272"/>
      <c r="BX22" s="219"/>
      <c r="BY22" s="219"/>
      <c r="BZ22" s="172"/>
      <c r="CA22" s="172"/>
      <c r="CB22" s="172"/>
      <c r="CC22" s="172"/>
    </row>
    <row r="23" spans="1:81" ht="13">
      <c r="A23" s="293" t="s">
        <v>39</v>
      </c>
      <c r="B23" s="294">
        <f>B44/2+25</f>
        <v>37.5</v>
      </c>
      <c r="C23" s="275" t="s">
        <v>32</v>
      </c>
      <c r="D23" s="295">
        <f>B23/1000000000</f>
        <v>3.7499999999999998E-8</v>
      </c>
      <c r="E23" s="188" t="s">
        <v>256</v>
      </c>
      <c r="F23" s="266"/>
      <c r="G23" s="266"/>
      <c r="H23" s="170">
        <v>17</v>
      </c>
      <c r="I23" s="456">
        <f t="shared" si="0"/>
        <v>0.17</v>
      </c>
      <c r="J23" s="217"/>
      <c r="K23" s="217"/>
      <c r="L23" s="217"/>
      <c r="M23" s="217"/>
      <c r="N23" s="267"/>
      <c r="O23" s="172"/>
      <c r="P23" s="217"/>
      <c r="Q23" s="443"/>
      <c r="S23" s="268"/>
      <c r="T23" s="268"/>
      <c r="U23" s="268"/>
      <c r="AJ23" s="443"/>
      <c r="AZ23" s="269"/>
      <c r="BJ23" s="219"/>
      <c r="BK23" s="219"/>
      <c r="BL23" s="219"/>
      <c r="BO23" s="172"/>
      <c r="BP23" s="219"/>
      <c r="BQ23" s="270"/>
      <c r="BR23" s="271"/>
      <c r="BS23" s="219"/>
      <c r="BT23" s="272"/>
      <c r="BX23" s="219"/>
      <c r="BY23" s="219"/>
      <c r="BZ23" s="172"/>
      <c r="CA23" s="172"/>
      <c r="CB23" s="172"/>
      <c r="CC23" s="172"/>
    </row>
    <row r="24" spans="1:81" ht="13">
      <c r="A24" s="240"/>
      <c r="B24" s="240"/>
      <c r="C24" s="240"/>
      <c r="D24" s="240"/>
      <c r="E24" s="240"/>
      <c r="F24" s="266"/>
      <c r="G24" s="266"/>
      <c r="H24" s="170">
        <v>18</v>
      </c>
      <c r="I24" s="456">
        <f t="shared" si="0"/>
        <v>0.18</v>
      </c>
      <c r="J24" s="217"/>
      <c r="K24" s="217"/>
      <c r="L24" s="217"/>
      <c r="M24" s="217"/>
      <c r="N24" s="267"/>
      <c r="O24" s="172"/>
      <c r="P24" s="217"/>
      <c r="Q24" s="443"/>
      <c r="S24" s="268"/>
      <c r="T24" s="268"/>
      <c r="U24" s="268"/>
      <c r="AJ24" s="443"/>
      <c r="AZ24" s="269"/>
      <c r="BJ24" s="219"/>
      <c r="BK24" s="219"/>
      <c r="BL24" s="219"/>
      <c r="BO24" s="172"/>
      <c r="BP24" s="219"/>
      <c r="BQ24" s="270"/>
      <c r="BR24" s="271"/>
      <c r="BS24" s="219"/>
      <c r="BT24" s="272"/>
      <c r="BX24" s="219"/>
      <c r="BY24" s="219"/>
      <c r="BZ24" s="172"/>
      <c r="CA24" s="172"/>
      <c r="CB24" s="172"/>
      <c r="CC24" s="172"/>
    </row>
    <row r="25" spans="1:81" ht="13">
      <c r="A25" s="282" t="s">
        <v>29</v>
      </c>
      <c r="B25" s="263" t="s">
        <v>43</v>
      </c>
      <c r="C25" s="283" t="s">
        <v>33</v>
      </c>
      <c r="D25" s="284" t="s">
        <v>90</v>
      </c>
      <c r="E25" s="265" t="s">
        <v>41</v>
      </c>
      <c r="F25" s="266"/>
      <c r="G25" s="266"/>
      <c r="H25" s="170">
        <v>19</v>
      </c>
      <c r="I25" s="456">
        <f t="shared" si="0"/>
        <v>0.19</v>
      </c>
      <c r="J25" s="217"/>
      <c r="K25" s="217"/>
      <c r="L25" s="217"/>
      <c r="M25" s="217"/>
      <c r="N25" s="267"/>
      <c r="O25" s="172"/>
      <c r="P25" s="217"/>
      <c r="Q25" s="443"/>
      <c r="S25" s="268"/>
      <c r="T25" s="268"/>
      <c r="U25" s="268"/>
      <c r="AJ25" s="443"/>
      <c r="AZ25" s="269"/>
      <c r="BJ25" s="219"/>
      <c r="BK25" s="219"/>
      <c r="BL25" s="219"/>
      <c r="BO25" s="172"/>
      <c r="BP25" s="219"/>
      <c r="BQ25" s="270"/>
      <c r="BR25" s="271"/>
      <c r="BS25" s="219"/>
      <c r="BT25" s="272"/>
      <c r="BX25" s="219"/>
      <c r="BY25" s="219"/>
      <c r="BZ25" s="172"/>
      <c r="CA25" s="172"/>
      <c r="CB25" s="172"/>
      <c r="CC25" s="172"/>
    </row>
    <row r="26" spans="1:81" ht="13.5" thickBot="1">
      <c r="A26" s="296" t="s">
        <v>27</v>
      </c>
      <c r="B26" s="277">
        <f>'Design Converter'!L7</f>
        <v>12</v>
      </c>
      <c r="C26" s="287" t="s">
        <v>96</v>
      </c>
      <c r="D26" s="194">
        <f>B26/1000000</f>
        <v>1.2E-5</v>
      </c>
      <c r="E26" s="277" t="s">
        <v>257</v>
      </c>
      <c r="F26" s="297"/>
      <c r="G26" s="266"/>
      <c r="H26" s="170">
        <v>20</v>
      </c>
      <c r="I26" s="456">
        <f t="shared" si="0"/>
        <v>0.2</v>
      </c>
      <c r="J26" s="217"/>
      <c r="K26" s="217"/>
      <c r="L26" s="217"/>
      <c r="M26" s="217"/>
      <c r="N26" s="267"/>
      <c r="O26" s="172"/>
      <c r="P26" s="217"/>
      <c r="Q26" s="443"/>
      <c r="S26" s="268"/>
      <c r="T26" s="268"/>
      <c r="U26" s="268"/>
      <c r="AJ26" s="443"/>
      <c r="AZ26" s="269"/>
      <c r="BJ26" s="219"/>
      <c r="BK26" s="219"/>
      <c r="BL26" s="219"/>
      <c r="BO26" s="172"/>
      <c r="BP26" s="219"/>
      <c r="BQ26" s="270"/>
      <c r="BR26" s="271"/>
      <c r="BS26" s="219"/>
      <c r="BT26" s="272"/>
      <c r="BX26" s="219"/>
      <c r="BY26" s="219"/>
      <c r="BZ26" s="172"/>
      <c r="CA26" s="172"/>
      <c r="CB26" s="172"/>
      <c r="CC26" s="172"/>
    </row>
    <row r="27" spans="1:81" ht="13.5" thickBot="1">
      <c r="A27" s="298" t="s">
        <v>385</v>
      </c>
      <c r="B27" s="299">
        <f>'Design Converter'!L8</f>
        <v>30</v>
      </c>
      <c r="C27" s="300" t="s">
        <v>258</v>
      </c>
      <c r="D27" s="194">
        <f>B27/1000</f>
        <v>0.03</v>
      </c>
      <c r="E27" s="277" t="s">
        <v>480</v>
      </c>
      <c r="F27" s="266"/>
      <c r="G27" s="266"/>
      <c r="H27" s="170">
        <v>21</v>
      </c>
      <c r="I27" s="456">
        <f t="shared" si="0"/>
        <v>0.21</v>
      </c>
      <c r="J27" s="217"/>
      <c r="K27" s="217"/>
      <c r="L27" s="217"/>
      <c r="M27" s="217"/>
      <c r="N27" s="267"/>
      <c r="O27" s="172"/>
      <c r="P27" s="217"/>
      <c r="Q27" s="443"/>
      <c r="S27" s="268"/>
      <c r="T27" s="268"/>
      <c r="U27" s="268"/>
      <c r="AJ27" s="443"/>
      <c r="AZ27" s="269"/>
      <c r="BJ27" s="219"/>
      <c r="BK27" s="219"/>
      <c r="BL27" s="219"/>
      <c r="BO27" s="172"/>
      <c r="BP27" s="219"/>
      <c r="BQ27" s="270"/>
      <c r="BR27" s="271"/>
      <c r="BS27" s="219"/>
      <c r="BT27" s="272"/>
      <c r="BX27" s="219"/>
      <c r="BY27" s="219"/>
      <c r="BZ27" s="172"/>
      <c r="CA27" s="172"/>
      <c r="CB27" s="172"/>
      <c r="CC27" s="172"/>
    </row>
    <row r="28" spans="1:81" ht="13.5" thickBot="1">
      <c r="A28" s="298" t="s">
        <v>448</v>
      </c>
      <c r="B28" s="299">
        <f>'Design Converter'!L9</f>
        <v>30</v>
      </c>
      <c r="C28" s="300" t="s">
        <v>258</v>
      </c>
      <c r="D28" s="194">
        <f>B28/1000</f>
        <v>0.03</v>
      </c>
      <c r="E28" s="277" t="s">
        <v>646</v>
      </c>
      <c r="F28" s="266"/>
      <c r="G28" s="266"/>
      <c r="H28" s="170">
        <v>22</v>
      </c>
      <c r="I28" s="456">
        <f t="shared" si="0"/>
        <v>0.22</v>
      </c>
      <c r="J28" s="217"/>
      <c r="K28" s="217"/>
      <c r="L28" s="217"/>
      <c r="M28" s="217"/>
      <c r="N28" s="267"/>
      <c r="O28" s="172"/>
      <c r="P28" s="217"/>
      <c r="Q28" s="443"/>
      <c r="S28" s="268"/>
      <c r="T28" s="268"/>
      <c r="U28" s="268"/>
      <c r="AJ28" s="443"/>
      <c r="AZ28" s="269"/>
      <c r="BJ28" s="219"/>
      <c r="BK28" s="219"/>
      <c r="BL28" s="219"/>
      <c r="BO28" s="172"/>
      <c r="BP28" s="219"/>
      <c r="BQ28" s="270"/>
      <c r="BR28" s="271"/>
      <c r="BS28" s="219"/>
      <c r="BT28" s="272"/>
      <c r="BX28" s="219"/>
      <c r="BY28" s="219"/>
      <c r="BZ28" s="172"/>
      <c r="CA28" s="172"/>
      <c r="CB28" s="172"/>
      <c r="CC28" s="172"/>
    </row>
    <row r="29" spans="1:81" ht="13.5" thickBot="1">
      <c r="A29" s="301" t="s">
        <v>259</v>
      </c>
      <c r="B29" s="302">
        <f>0.00000005</f>
        <v>4.9999999999999998E-8</v>
      </c>
      <c r="C29" s="300"/>
      <c r="D29" s="303">
        <f>B29</f>
        <v>4.9999999999999998E-8</v>
      </c>
      <c r="E29" s="304" t="s">
        <v>479</v>
      </c>
      <c r="F29" s="266"/>
      <c r="G29" s="266"/>
      <c r="H29" s="170">
        <v>23</v>
      </c>
      <c r="I29" s="456">
        <f t="shared" si="0"/>
        <v>0.23</v>
      </c>
      <c r="J29" s="217"/>
      <c r="K29" s="217"/>
      <c r="L29" s="217"/>
      <c r="M29" s="217"/>
      <c r="N29" s="267"/>
      <c r="O29" s="172"/>
      <c r="P29" s="217"/>
      <c r="Q29" s="443"/>
      <c r="S29" s="268"/>
      <c r="T29" s="268"/>
      <c r="U29" s="268"/>
      <c r="AJ29" s="443"/>
      <c r="AZ29" s="269"/>
      <c r="BJ29" s="219"/>
      <c r="BK29" s="219"/>
      <c r="BL29" s="219"/>
      <c r="BO29" s="172"/>
      <c r="BP29" s="219"/>
      <c r="BQ29" s="270"/>
      <c r="BR29" s="271"/>
      <c r="BS29" s="219"/>
      <c r="BT29" s="272"/>
      <c r="BX29" s="219"/>
      <c r="BY29" s="219"/>
      <c r="BZ29" s="172"/>
      <c r="CA29" s="172"/>
      <c r="CB29" s="172"/>
      <c r="CC29" s="172"/>
    </row>
    <row r="30" spans="1:81" ht="13.5" thickBot="1">
      <c r="A30" s="305" t="s">
        <v>28</v>
      </c>
      <c r="B30" s="299">
        <f>'Design Converter'!E30</f>
        <v>22</v>
      </c>
      <c r="C30" s="306" t="s">
        <v>97</v>
      </c>
      <c r="D30" s="307">
        <f>B30/1000000</f>
        <v>2.1999999999999999E-5</v>
      </c>
      <c r="E30" s="308" t="s">
        <v>60</v>
      </c>
      <c r="F30" s="266"/>
      <c r="G30" s="266"/>
      <c r="H30" s="170">
        <v>24</v>
      </c>
      <c r="I30" s="456">
        <f t="shared" si="0"/>
        <v>0.24</v>
      </c>
      <c r="J30" s="217"/>
      <c r="K30" s="217"/>
      <c r="L30" s="217"/>
      <c r="M30" s="217"/>
      <c r="N30" s="267"/>
      <c r="O30" s="172"/>
      <c r="P30" s="217"/>
      <c r="Q30" s="443"/>
      <c r="S30" s="268"/>
      <c r="T30" s="268"/>
      <c r="U30" s="268"/>
      <c r="AJ30" s="443"/>
      <c r="AZ30" s="269"/>
      <c r="BJ30" s="219"/>
      <c r="BK30" s="219"/>
      <c r="BL30" s="219"/>
      <c r="BO30" s="172"/>
      <c r="BP30" s="219"/>
      <c r="BQ30" s="270"/>
      <c r="BR30" s="271"/>
      <c r="BS30" s="219"/>
      <c r="BT30" s="272"/>
      <c r="BX30" s="219"/>
      <c r="BY30" s="219"/>
      <c r="BZ30" s="172"/>
      <c r="CA30" s="172"/>
      <c r="CB30" s="172"/>
      <c r="CC30" s="172"/>
    </row>
    <row r="31" spans="1:81" ht="13.5" thickBot="1">
      <c r="A31" s="301" t="s">
        <v>260</v>
      </c>
      <c r="B31" s="299">
        <f>'Design Converter'!E31</f>
        <v>3</v>
      </c>
      <c r="C31" s="300" t="s">
        <v>258</v>
      </c>
      <c r="D31" s="194">
        <f>B31/1000</f>
        <v>3.0000000000000001E-3</v>
      </c>
      <c r="E31" s="277" t="s">
        <v>261</v>
      </c>
      <c r="F31" s="266"/>
      <c r="G31" s="266"/>
      <c r="H31" s="170">
        <v>25</v>
      </c>
      <c r="I31" s="456">
        <f t="shared" si="0"/>
        <v>0.25</v>
      </c>
      <c r="J31" s="217"/>
      <c r="K31" s="217"/>
      <c r="L31" s="217"/>
      <c r="M31" s="217"/>
      <c r="N31" s="267"/>
      <c r="O31" s="172"/>
      <c r="P31" s="217"/>
      <c r="Q31" s="443"/>
      <c r="S31" s="268"/>
      <c r="T31" s="268"/>
      <c r="U31" s="268"/>
      <c r="AJ31" s="443"/>
      <c r="AZ31" s="269"/>
      <c r="BJ31" s="219"/>
      <c r="BK31" s="219"/>
      <c r="BL31" s="219"/>
      <c r="BO31" s="172"/>
      <c r="BP31" s="219"/>
      <c r="BQ31" s="270"/>
      <c r="BR31" s="271"/>
      <c r="BS31" s="219"/>
      <c r="BT31" s="272"/>
      <c r="BX31" s="219"/>
      <c r="BY31" s="219"/>
      <c r="BZ31" s="172"/>
      <c r="CA31" s="172"/>
      <c r="CB31" s="172"/>
      <c r="CC31" s="172"/>
    </row>
    <row r="32" spans="1:81" ht="13.5" thickBot="1">
      <c r="A32" s="296" t="s">
        <v>14</v>
      </c>
      <c r="B32" s="358">
        <f>'Design Converter'!E34</f>
        <v>110</v>
      </c>
      <c r="C32" s="287" t="s">
        <v>97</v>
      </c>
      <c r="D32" s="288">
        <f>B32/1000000</f>
        <v>1.1E-4</v>
      </c>
      <c r="E32" s="277" t="s">
        <v>262</v>
      </c>
      <c r="F32" s="266"/>
      <c r="G32" s="266"/>
      <c r="H32" s="170">
        <v>26</v>
      </c>
      <c r="I32" s="456">
        <f t="shared" si="0"/>
        <v>0.26</v>
      </c>
      <c r="J32" s="217"/>
      <c r="K32" s="217"/>
      <c r="L32" s="217"/>
      <c r="M32" s="217"/>
      <c r="N32" s="267"/>
      <c r="O32" s="172"/>
      <c r="P32" s="217"/>
      <c r="Q32" s="443"/>
      <c r="S32" s="268"/>
      <c r="T32" s="268"/>
      <c r="U32" s="268"/>
      <c r="AJ32" s="443"/>
      <c r="AZ32" s="269"/>
      <c r="BJ32" s="219"/>
      <c r="BK32" s="219"/>
      <c r="BL32" s="219"/>
      <c r="BO32" s="172"/>
      <c r="BP32" s="219"/>
      <c r="BQ32" s="270"/>
      <c r="BR32" s="271"/>
      <c r="BS32" s="219"/>
      <c r="BT32" s="272"/>
      <c r="BX32" s="219"/>
      <c r="BY32" s="219"/>
      <c r="BZ32" s="172"/>
      <c r="CA32" s="172"/>
      <c r="CB32" s="172"/>
      <c r="CC32" s="172"/>
    </row>
    <row r="33" spans="1:81" ht="13">
      <c r="A33" s="301" t="s">
        <v>263</v>
      </c>
      <c r="B33" s="358">
        <f>'Design Converter'!E35</f>
        <v>2</v>
      </c>
      <c r="C33" s="300" t="s">
        <v>258</v>
      </c>
      <c r="D33" s="194">
        <f>B33/1000</f>
        <v>2E-3</v>
      </c>
      <c r="E33" s="277" t="s">
        <v>264</v>
      </c>
      <c r="F33" s="266"/>
      <c r="G33" s="266"/>
      <c r="H33" s="170">
        <v>27</v>
      </c>
      <c r="I33" s="456">
        <f t="shared" si="0"/>
        <v>0.27</v>
      </c>
      <c r="J33" s="217"/>
      <c r="K33" s="217"/>
      <c r="L33" s="217"/>
      <c r="M33" s="217"/>
      <c r="N33" s="267"/>
      <c r="O33" s="172"/>
      <c r="P33" s="217"/>
      <c r="Q33" s="443"/>
      <c r="S33" s="268"/>
      <c r="T33" s="268"/>
      <c r="U33" s="268"/>
      <c r="AJ33" s="443"/>
      <c r="AZ33" s="269"/>
      <c r="BJ33" s="219"/>
      <c r="BK33" s="219"/>
      <c r="BL33" s="219"/>
      <c r="BO33" s="172"/>
      <c r="BP33" s="219"/>
      <c r="BQ33" s="270"/>
      <c r="BR33" s="271"/>
      <c r="BS33" s="219"/>
      <c r="BT33" s="272"/>
      <c r="BX33" s="219"/>
      <c r="BY33" s="219"/>
      <c r="BZ33" s="172"/>
      <c r="CA33" s="172"/>
      <c r="CB33" s="172"/>
      <c r="CC33" s="172"/>
    </row>
    <row r="34" spans="1:81" ht="13">
      <c r="A34" s="309" t="s">
        <v>394</v>
      </c>
      <c r="B34" s="263"/>
      <c r="C34" s="309" t="s">
        <v>33</v>
      </c>
      <c r="D34" s="310" t="s">
        <v>90</v>
      </c>
      <c r="E34" s="311" t="s">
        <v>41</v>
      </c>
      <c r="F34" s="266"/>
      <c r="G34" s="266"/>
      <c r="H34" s="170">
        <v>28</v>
      </c>
      <c r="I34" s="456">
        <f t="shared" si="0"/>
        <v>0.28000000000000003</v>
      </c>
      <c r="J34" s="217"/>
      <c r="K34" s="217"/>
      <c r="L34" s="217"/>
      <c r="M34" s="217"/>
      <c r="N34" s="267"/>
      <c r="O34" s="172"/>
      <c r="P34" s="217"/>
      <c r="Q34" s="443"/>
      <c r="S34" s="268"/>
      <c r="T34" s="268"/>
      <c r="U34" s="268"/>
      <c r="AJ34" s="443"/>
      <c r="AZ34" s="269"/>
      <c r="BJ34" s="219"/>
      <c r="BK34" s="219"/>
      <c r="BL34" s="219"/>
      <c r="BO34" s="172"/>
      <c r="BP34" s="219"/>
      <c r="BQ34" s="270"/>
      <c r="BR34" s="271"/>
      <c r="BS34" s="219"/>
      <c r="BT34" s="272"/>
      <c r="BX34" s="219"/>
      <c r="BY34" s="219"/>
      <c r="BZ34" s="172"/>
      <c r="CA34" s="172"/>
      <c r="CB34" s="172"/>
      <c r="CC34" s="172"/>
    </row>
    <row r="35" spans="1:81" ht="13">
      <c r="A35" s="298" t="s">
        <v>399</v>
      </c>
      <c r="B35" s="312">
        <f>100/RCS</f>
        <v>6.666666666666667</v>
      </c>
      <c r="C35" s="287" t="s">
        <v>1</v>
      </c>
      <c r="D35" s="269">
        <f>B35</f>
        <v>6.666666666666667</v>
      </c>
      <c r="E35" s="188" t="s">
        <v>398</v>
      </c>
      <c r="F35" s="266"/>
      <c r="G35" s="266"/>
      <c r="H35" s="170">
        <v>29</v>
      </c>
      <c r="I35" s="456">
        <f t="shared" si="0"/>
        <v>0.28999999999999998</v>
      </c>
      <c r="J35" s="217"/>
      <c r="K35" s="217"/>
      <c r="L35" s="217"/>
      <c r="M35" s="217"/>
      <c r="N35" s="267"/>
      <c r="O35" s="172"/>
      <c r="P35" s="217"/>
      <c r="Q35" s="443"/>
      <c r="S35" s="268"/>
      <c r="T35" s="268"/>
      <c r="U35" s="268"/>
      <c r="AJ35" s="443"/>
      <c r="AZ35" s="269"/>
      <c r="BJ35" s="219"/>
      <c r="BK35" s="219"/>
      <c r="BL35" s="219"/>
      <c r="BO35" s="172"/>
      <c r="BP35" s="219"/>
      <c r="BQ35" s="270"/>
      <c r="BR35" s="271"/>
      <c r="BS35" s="219"/>
      <c r="BT35" s="272"/>
      <c r="BX35" s="219"/>
      <c r="BY35" s="219"/>
      <c r="BZ35" s="172"/>
      <c r="CA35" s="172"/>
      <c r="CB35" s="172"/>
      <c r="CC35" s="172"/>
    </row>
    <row r="36" spans="1:81" ht="13">
      <c r="A36" s="298" t="s">
        <v>407</v>
      </c>
      <c r="B36" s="312">
        <f>B35/5</f>
        <v>1.3333333333333335</v>
      </c>
      <c r="C36" s="287" t="s">
        <v>1</v>
      </c>
      <c r="D36" s="269">
        <f>B36</f>
        <v>1.3333333333333335</v>
      </c>
      <c r="E36" s="188" t="s">
        <v>408</v>
      </c>
      <c r="F36" s="266"/>
      <c r="G36" s="266"/>
      <c r="H36" s="170">
        <v>30</v>
      </c>
      <c r="I36" s="456">
        <f t="shared" si="0"/>
        <v>0.3</v>
      </c>
      <c r="J36" s="217"/>
      <c r="K36" s="217"/>
      <c r="L36" s="217"/>
      <c r="M36" s="217"/>
      <c r="N36" s="267"/>
      <c r="O36" s="172"/>
      <c r="P36" s="217"/>
      <c r="Q36" s="443"/>
      <c r="S36" s="268"/>
      <c r="T36" s="268"/>
      <c r="U36" s="268"/>
      <c r="AJ36" s="443"/>
      <c r="AZ36" s="269"/>
      <c r="BJ36" s="219"/>
      <c r="BK36" s="219"/>
      <c r="BL36" s="219"/>
      <c r="BO36" s="172"/>
      <c r="BP36" s="219"/>
      <c r="BQ36" s="270"/>
      <c r="BR36" s="271"/>
      <c r="BS36" s="219"/>
      <c r="BT36" s="272"/>
      <c r="BX36" s="219"/>
      <c r="BY36" s="219"/>
      <c r="BZ36" s="172"/>
      <c r="CA36" s="172"/>
      <c r="CB36" s="172"/>
      <c r="CC36" s="172"/>
    </row>
    <row r="37" spans="1:81" ht="13.5" thickBot="1">
      <c r="A37" s="298" t="s">
        <v>678</v>
      </c>
      <c r="B37" s="635">
        <v>30</v>
      </c>
      <c r="C37" s="170" t="s">
        <v>32</v>
      </c>
      <c r="D37" s="170">
        <f>B37*0.000000001</f>
        <v>3.0000000000000004E-8</v>
      </c>
      <c r="E37" s="170" t="s">
        <v>679</v>
      </c>
      <c r="F37" s="266"/>
      <c r="G37" s="266"/>
      <c r="H37" s="170">
        <v>31</v>
      </c>
      <c r="I37" s="456">
        <f t="shared" si="0"/>
        <v>0.31</v>
      </c>
      <c r="J37" s="217"/>
      <c r="K37" s="217"/>
      <c r="L37" s="217"/>
      <c r="M37" s="217"/>
      <c r="N37" s="267"/>
      <c r="O37" s="172"/>
      <c r="P37" s="217"/>
      <c r="Q37" s="443"/>
      <c r="S37" s="268"/>
      <c r="T37" s="268"/>
      <c r="U37" s="268"/>
      <c r="AJ37" s="443"/>
      <c r="AZ37" s="269"/>
      <c r="BJ37" s="219"/>
      <c r="BK37" s="219"/>
      <c r="BL37" s="219"/>
      <c r="BO37" s="172"/>
      <c r="BP37" s="219"/>
      <c r="BQ37" s="270"/>
      <c r="BR37" s="271"/>
      <c r="BS37" s="219"/>
      <c r="BT37" s="272"/>
      <c r="BX37" s="219"/>
      <c r="BY37" s="219"/>
      <c r="BZ37" s="172"/>
      <c r="CA37" s="172"/>
      <c r="CB37" s="172"/>
      <c r="CC37" s="172"/>
    </row>
    <row r="38" spans="1:81" ht="13" thickBot="1">
      <c r="A38" s="313" t="s">
        <v>47</v>
      </c>
      <c r="B38" s="526">
        <v>1</v>
      </c>
      <c r="C38" s="287"/>
      <c r="D38" s="269">
        <f>B38</f>
        <v>1</v>
      </c>
      <c r="E38" s="188" t="s">
        <v>409</v>
      </c>
      <c r="H38" s="170">
        <v>32</v>
      </c>
      <c r="I38" s="456">
        <f t="shared" ref="I38:I69" si="2">IF(PLOT_TYPE=1, H38/100*Iout_max, min_I*EXP(H38*rr/100))</f>
        <v>0.32</v>
      </c>
      <c r="J38" s="217"/>
      <c r="K38" s="217"/>
      <c r="L38" s="217"/>
      <c r="M38" s="217"/>
      <c r="N38" s="267"/>
      <c r="O38" s="172"/>
      <c r="P38" s="217"/>
      <c r="Q38" s="443"/>
      <c r="S38" s="268"/>
      <c r="T38" s="268"/>
      <c r="U38" s="268"/>
      <c r="AJ38" s="443"/>
      <c r="AZ38" s="269"/>
      <c r="BJ38" s="219"/>
      <c r="BK38" s="219"/>
      <c r="BL38" s="219"/>
      <c r="BO38" s="172"/>
      <c r="BP38" s="219"/>
      <c r="BQ38" s="270"/>
      <c r="BR38" s="271"/>
      <c r="BS38" s="219"/>
      <c r="BT38" s="272"/>
      <c r="BX38" s="219"/>
      <c r="BY38" s="219"/>
      <c r="BZ38" s="172"/>
      <c r="CA38" s="172"/>
      <c r="CB38" s="172"/>
      <c r="CC38" s="172"/>
    </row>
    <row r="39" spans="1:81">
      <c r="A39" s="298" t="s">
        <v>24</v>
      </c>
      <c r="B39" s="314">
        <v>450</v>
      </c>
      <c r="C39" s="287" t="s">
        <v>265</v>
      </c>
      <c r="D39" s="289">
        <f>B39/1000000</f>
        <v>4.4999999999999999E-4</v>
      </c>
      <c r="E39" s="277" t="s">
        <v>775</v>
      </c>
      <c r="H39" s="170">
        <v>33</v>
      </c>
      <c r="I39" s="456">
        <f t="shared" si="2"/>
        <v>0.33</v>
      </c>
      <c r="J39" s="217"/>
      <c r="K39" s="217"/>
      <c r="L39" s="217"/>
      <c r="M39" s="217"/>
      <c r="N39" s="267"/>
      <c r="O39" s="172"/>
      <c r="P39" s="217"/>
      <c r="Q39" s="443"/>
      <c r="S39" s="268"/>
      <c r="T39" s="268"/>
      <c r="U39" s="268"/>
      <c r="AJ39" s="443"/>
      <c r="AZ39" s="269"/>
      <c r="BJ39" s="219"/>
      <c r="BK39" s="219"/>
      <c r="BL39" s="219"/>
      <c r="BO39" s="172"/>
      <c r="BP39" s="219"/>
      <c r="BQ39" s="270"/>
      <c r="BR39" s="271"/>
      <c r="BS39" s="219"/>
      <c r="BT39" s="272"/>
      <c r="BX39" s="219"/>
      <c r="BY39" s="219"/>
      <c r="BZ39" s="172"/>
      <c r="CA39" s="172"/>
      <c r="CB39" s="172"/>
      <c r="CC39" s="172"/>
    </row>
    <row r="40" spans="1:81" ht="13.5" thickBot="1">
      <c r="A40" s="309" t="s">
        <v>391</v>
      </c>
      <c r="B40" s="315"/>
      <c r="C40" s="309" t="s">
        <v>33</v>
      </c>
      <c r="D40" s="310" t="s">
        <v>90</v>
      </c>
      <c r="E40" s="316" t="s">
        <v>41</v>
      </c>
      <c r="H40" s="170">
        <v>34</v>
      </c>
      <c r="I40" s="456">
        <f t="shared" si="2"/>
        <v>0.34</v>
      </c>
      <c r="J40" s="217"/>
      <c r="K40" s="217"/>
      <c r="L40" s="217"/>
      <c r="M40" s="217"/>
      <c r="N40" s="267"/>
      <c r="O40" s="172"/>
      <c r="P40" s="217"/>
      <c r="Q40" s="443"/>
      <c r="S40" s="268"/>
      <c r="T40" s="268"/>
      <c r="U40" s="268"/>
      <c r="AJ40" s="443"/>
      <c r="AZ40" s="269"/>
      <c r="BJ40" s="219"/>
      <c r="BK40" s="219"/>
      <c r="BL40" s="219"/>
      <c r="BO40" s="172"/>
      <c r="BP40" s="219"/>
      <c r="BQ40" s="270"/>
      <c r="BR40" s="271"/>
      <c r="BS40" s="219"/>
      <c r="BT40" s="272"/>
      <c r="BX40" s="219"/>
      <c r="BY40" s="219"/>
      <c r="BZ40" s="172"/>
      <c r="CA40" s="172"/>
      <c r="CB40" s="172"/>
      <c r="CC40" s="172"/>
    </row>
    <row r="41" spans="1:81">
      <c r="A41" s="317" t="s">
        <v>392</v>
      </c>
      <c r="B41" s="318">
        <f>RON</f>
        <v>20</v>
      </c>
      <c r="C41" s="278" t="s">
        <v>258</v>
      </c>
      <c r="D41" s="171">
        <f>B41/1000</f>
        <v>0.02</v>
      </c>
      <c r="E41" s="277" t="s">
        <v>396</v>
      </c>
      <c r="H41" s="170">
        <v>35</v>
      </c>
      <c r="I41" s="456">
        <f t="shared" si="2"/>
        <v>0.35</v>
      </c>
      <c r="J41" s="217"/>
      <c r="K41" s="217"/>
      <c r="L41" s="217"/>
      <c r="M41" s="217"/>
      <c r="N41" s="267"/>
      <c r="O41" s="172"/>
      <c r="P41" s="217"/>
      <c r="Q41" s="443"/>
      <c r="S41" s="268"/>
      <c r="T41" s="268"/>
      <c r="U41" s="268"/>
      <c r="AJ41" s="443"/>
      <c r="AZ41" s="269"/>
      <c r="BJ41" s="219"/>
      <c r="BK41" s="219"/>
      <c r="BL41" s="219"/>
      <c r="BO41" s="172"/>
      <c r="BP41" s="219"/>
      <c r="BQ41" s="270"/>
      <c r="BR41" s="271"/>
      <c r="BS41" s="219"/>
      <c r="BT41" s="272"/>
      <c r="BX41" s="219"/>
      <c r="BY41" s="219"/>
      <c r="BZ41" s="172"/>
      <c r="CA41" s="172"/>
      <c r="CB41" s="172"/>
      <c r="CC41" s="172"/>
    </row>
    <row r="42" spans="1:81" ht="13" thickBot="1">
      <c r="A42" s="170" t="s">
        <v>668</v>
      </c>
      <c r="B42" s="170">
        <v>4500</v>
      </c>
      <c r="C42" s="631" t="s">
        <v>669</v>
      </c>
      <c r="D42" s="171">
        <f>B42/1000000</f>
        <v>4.4999999999999997E-3</v>
      </c>
      <c r="E42" s="632" t="s">
        <v>670</v>
      </c>
      <c r="H42" s="170">
        <v>36</v>
      </c>
      <c r="I42" s="456">
        <f t="shared" si="2"/>
        <v>0.36</v>
      </c>
      <c r="J42" s="217"/>
      <c r="K42" s="217"/>
      <c r="L42" s="217"/>
      <c r="M42" s="217"/>
      <c r="N42" s="267"/>
      <c r="O42" s="172"/>
      <c r="P42" s="217"/>
      <c r="Q42" s="443"/>
      <c r="S42" s="268"/>
      <c r="T42" s="268"/>
      <c r="U42" s="268"/>
      <c r="AJ42" s="443"/>
      <c r="AZ42" s="269"/>
      <c r="BJ42" s="219"/>
      <c r="BK42" s="219"/>
      <c r="BL42" s="219"/>
      <c r="BO42" s="172"/>
      <c r="BP42" s="219"/>
      <c r="BQ42" s="270"/>
      <c r="BR42" s="271"/>
      <c r="BS42" s="219"/>
      <c r="BT42" s="272"/>
      <c r="BX42" s="219"/>
      <c r="BY42" s="219"/>
      <c r="BZ42" s="172"/>
      <c r="CA42" s="172"/>
      <c r="CB42" s="172"/>
      <c r="CC42" s="172"/>
    </row>
    <row r="43" spans="1:81" ht="13.5" thickBot="1">
      <c r="A43" s="298" t="s">
        <v>266</v>
      </c>
      <c r="B43" s="319"/>
      <c r="C43" s="320" t="s">
        <v>267</v>
      </c>
      <c r="D43" s="171"/>
      <c r="E43" s="277" t="s">
        <v>266</v>
      </c>
      <c r="H43" s="170">
        <v>37</v>
      </c>
      <c r="I43" s="456">
        <f t="shared" si="2"/>
        <v>0.37</v>
      </c>
      <c r="J43" s="217"/>
      <c r="K43" s="217"/>
      <c r="L43" s="217"/>
      <c r="M43" s="217"/>
      <c r="N43" s="267"/>
      <c r="O43" s="172"/>
      <c r="P43" s="217"/>
      <c r="Q43" s="443"/>
      <c r="S43" s="268"/>
      <c r="T43" s="268"/>
      <c r="U43" s="268"/>
      <c r="AJ43" s="443"/>
      <c r="AZ43" s="269"/>
      <c r="BJ43" s="219"/>
      <c r="BK43" s="219"/>
      <c r="BL43" s="219"/>
      <c r="BO43" s="172"/>
      <c r="BP43" s="219"/>
      <c r="BQ43" s="270"/>
      <c r="BR43" s="271"/>
      <c r="BS43" s="219"/>
      <c r="BT43" s="272"/>
      <c r="BX43" s="219"/>
      <c r="BY43" s="219"/>
      <c r="BZ43" s="172"/>
      <c r="CA43" s="172"/>
      <c r="CB43" s="172"/>
      <c r="CC43" s="172"/>
    </row>
    <row r="44" spans="1:81" ht="13" thickBot="1">
      <c r="A44" s="298" t="s">
        <v>393</v>
      </c>
      <c r="B44" s="318">
        <f>'Design Converter'!L24</f>
        <v>25</v>
      </c>
      <c r="C44" s="287" t="s">
        <v>31</v>
      </c>
      <c r="D44" s="171">
        <f>B44/1000000000</f>
        <v>2.4999999999999999E-8</v>
      </c>
      <c r="E44" s="277" t="s">
        <v>395</v>
      </c>
      <c r="H44" s="170">
        <v>38</v>
      </c>
      <c r="I44" s="456">
        <f t="shared" si="2"/>
        <v>0.38</v>
      </c>
      <c r="J44" s="217"/>
      <c r="K44" s="217"/>
      <c r="L44" s="217"/>
      <c r="M44" s="217"/>
      <c r="N44" s="267"/>
      <c r="O44" s="172"/>
      <c r="P44" s="217"/>
      <c r="Q44" s="443"/>
      <c r="S44" s="268"/>
      <c r="T44" s="268"/>
      <c r="U44" s="268"/>
      <c r="AJ44" s="443"/>
      <c r="AZ44" s="269"/>
      <c r="BJ44" s="219"/>
      <c r="BK44" s="219"/>
      <c r="BL44" s="219"/>
      <c r="BO44" s="172"/>
      <c r="BP44" s="219"/>
      <c r="BQ44" s="270"/>
      <c r="BR44" s="271"/>
      <c r="BS44" s="219"/>
      <c r="BT44" s="272"/>
      <c r="BX44" s="219"/>
      <c r="BY44" s="219"/>
      <c r="BZ44" s="172"/>
      <c r="CA44" s="172"/>
      <c r="CB44" s="172"/>
      <c r="CC44" s="172"/>
    </row>
    <row r="45" spans="1:81" ht="13" thickBot="1">
      <c r="A45" s="301" t="s">
        <v>240</v>
      </c>
      <c r="B45" s="318">
        <f>'Design Converter'!L25</f>
        <v>150</v>
      </c>
      <c r="C45" s="287" t="s">
        <v>15</v>
      </c>
      <c r="D45" s="321">
        <f>B45/1000000000000</f>
        <v>1.5E-10</v>
      </c>
      <c r="E45" s="277" t="s">
        <v>326</v>
      </c>
      <c r="H45" s="170">
        <v>39</v>
      </c>
      <c r="I45" s="456">
        <f t="shared" si="2"/>
        <v>0.39</v>
      </c>
      <c r="J45" s="217"/>
      <c r="K45" s="217"/>
      <c r="L45" s="217"/>
      <c r="M45" s="217"/>
      <c r="N45" s="267"/>
      <c r="O45" s="172"/>
      <c r="P45" s="217"/>
      <c r="Q45" s="443"/>
      <c r="S45" s="268"/>
      <c r="T45" s="268"/>
      <c r="U45" s="268"/>
      <c r="AJ45" s="443"/>
      <c r="AZ45" s="269"/>
      <c r="BJ45" s="219"/>
      <c r="BK45" s="219"/>
      <c r="BL45" s="219"/>
      <c r="BO45" s="172"/>
      <c r="BP45" s="219"/>
      <c r="BQ45" s="270"/>
      <c r="BR45" s="271"/>
      <c r="BS45" s="219"/>
      <c r="BT45" s="272"/>
      <c r="BX45" s="219"/>
      <c r="BY45" s="219"/>
      <c r="BZ45" s="172"/>
      <c r="CA45" s="172"/>
      <c r="CB45" s="172"/>
      <c r="CC45" s="172"/>
    </row>
    <row r="46" spans="1:81">
      <c r="A46" s="324" t="s">
        <v>325</v>
      </c>
      <c r="B46" s="318">
        <f>CHOOSE(MODE, 50, 100)</f>
        <v>50</v>
      </c>
      <c r="C46" s="287" t="s">
        <v>15</v>
      </c>
      <c r="D46" s="289">
        <f>B46/1000000000000</f>
        <v>5.0000000000000002E-11</v>
      </c>
      <c r="E46" s="277" t="s">
        <v>472</v>
      </c>
      <c r="H46" s="170">
        <v>40</v>
      </c>
      <c r="I46" s="456">
        <f t="shared" si="2"/>
        <v>0.4</v>
      </c>
      <c r="J46" s="217"/>
      <c r="K46" s="217"/>
      <c r="L46" s="217"/>
      <c r="M46" s="217"/>
      <c r="N46" s="267"/>
      <c r="O46" s="172"/>
      <c r="P46" s="217"/>
      <c r="Q46" s="443"/>
      <c r="S46" s="268"/>
      <c r="T46" s="268"/>
      <c r="U46" s="268"/>
      <c r="AJ46" s="443"/>
      <c r="AZ46" s="269"/>
      <c r="BJ46" s="219"/>
      <c r="BK46" s="219"/>
      <c r="BL46" s="219"/>
      <c r="BO46" s="172"/>
      <c r="BP46" s="219"/>
      <c r="BQ46" s="270"/>
      <c r="BR46" s="271"/>
      <c r="BS46" s="219"/>
      <c r="BT46" s="272"/>
      <c r="BX46" s="219"/>
      <c r="BY46" s="219"/>
      <c r="BZ46" s="172"/>
      <c r="CA46" s="172"/>
      <c r="CB46" s="172"/>
      <c r="CC46" s="172"/>
    </row>
    <row r="47" spans="1:81" ht="13.5" thickBot="1">
      <c r="A47" s="309" t="s">
        <v>397</v>
      </c>
      <c r="B47" s="322"/>
      <c r="C47" s="309" t="s">
        <v>33</v>
      </c>
      <c r="D47" s="310" t="s">
        <v>90</v>
      </c>
      <c r="E47" s="323" t="s">
        <v>41</v>
      </c>
      <c r="H47" s="170">
        <v>41</v>
      </c>
      <c r="I47" s="456">
        <f t="shared" si="2"/>
        <v>0.41</v>
      </c>
      <c r="J47" s="217"/>
      <c r="K47" s="217"/>
      <c r="L47" s="217"/>
      <c r="M47" s="217"/>
      <c r="N47" s="267"/>
      <c r="O47" s="172"/>
      <c r="P47" s="217"/>
      <c r="Q47" s="443"/>
      <c r="S47" s="268"/>
      <c r="T47" s="268"/>
      <c r="U47" s="268"/>
      <c r="AJ47" s="443"/>
      <c r="AZ47" s="269"/>
      <c r="BJ47" s="219"/>
      <c r="BK47" s="219"/>
      <c r="BL47" s="219"/>
      <c r="BO47" s="172"/>
      <c r="BP47" s="219"/>
      <c r="BQ47" s="270"/>
      <c r="BR47" s="271"/>
      <c r="BS47" s="219"/>
      <c r="BT47" s="272"/>
      <c r="BX47" s="219"/>
      <c r="BY47" s="219"/>
      <c r="BZ47" s="172"/>
      <c r="CA47" s="172"/>
      <c r="CB47" s="172"/>
      <c r="CC47" s="172"/>
    </row>
    <row r="48" spans="1:81" ht="13" thickBot="1">
      <c r="A48" s="317" t="s">
        <v>644</v>
      </c>
      <c r="B48" s="318">
        <f>'Design Converter'!E80</f>
        <v>0.4</v>
      </c>
      <c r="C48" s="275" t="s">
        <v>0</v>
      </c>
      <c r="D48" s="171">
        <f>B48</f>
        <v>0.4</v>
      </c>
      <c r="E48" s="277" t="s">
        <v>643</v>
      </c>
      <c r="H48" s="170">
        <v>42</v>
      </c>
      <c r="I48" s="456">
        <f t="shared" si="2"/>
        <v>0.42</v>
      </c>
      <c r="J48" s="217"/>
      <c r="K48" s="217"/>
      <c r="L48" s="217"/>
      <c r="M48" s="217"/>
      <c r="N48" s="267"/>
      <c r="O48" s="172"/>
      <c r="P48" s="217"/>
      <c r="Q48" s="443"/>
      <c r="S48" s="268"/>
      <c r="T48" s="268"/>
      <c r="U48" s="268"/>
      <c r="AJ48" s="443"/>
      <c r="AZ48" s="269"/>
      <c r="BJ48" s="219"/>
      <c r="BK48" s="219"/>
      <c r="BL48" s="219"/>
      <c r="BO48" s="172"/>
      <c r="BP48" s="219"/>
      <c r="BQ48" s="270"/>
      <c r="BR48" s="271"/>
      <c r="BS48" s="219"/>
      <c r="BT48" s="272"/>
      <c r="BX48" s="219"/>
      <c r="BY48" s="219"/>
      <c r="BZ48" s="172"/>
      <c r="CA48" s="172"/>
      <c r="CB48" s="172"/>
      <c r="CC48" s="172"/>
    </row>
    <row r="49" spans="1:81" ht="13" thickBot="1">
      <c r="A49" s="317" t="s">
        <v>645</v>
      </c>
      <c r="B49" s="318">
        <f>'Design Converter'!E81</f>
        <v>0.7</v>
      </c>
      <c r="C49" s="275" t="s">
        <v>0</v>
      </c>
      <c r="D49" s="171">
        <f>B49</f>
        <v>0.7</v>
      </c>
      <c r="E49" s="277" t="s">
        <v>642</v>
      </c>
      <c r="H49" s="170">
        <v>43</v>
      </c>
      <c r="I49" s="456">
        <f t="shared" si="2"/>
        <v>0.43</v>
      </c>
      <c r="J49" s="217"/>
      <c r="K49" s="217"/>
      <c r="L49" s="217"/>
      <c r="M49" s="217"/>
      <c r="N49" s="267"/>
      <c r="O49" s="172"/>
      <c r="P49" s="217"/>
      <c r="Q49" s="443"/>
      <c r="S49" s="268"/>
      <c r="T49" s="268"/>
      <c r="U49" s="268"/>
      <c r="AJ49" s="443"/>
      <c r="AZ49" s="269"/>
      <c r="BJ49" s="219"/>
      <c r="BK49" s="219"/>
      <c r="BL49" s="219"/>
      <c r="BO49" s="172"/>
      <c r="BP49" s="219"/>
      <c r="BQ49" s="270"/>
      <c r="BR49" s="271"/>
      <c r="BS49" s="219"/>
      <c r="BT49" s="272"/>
      <c r="BX49" s="219"/>
      <c r="BY49" s="219"/>
      <c r="BZ49" s="172"/>
      <c r="CA49" s="172"/>
      <c r="CB49" s="172"/>
      <c r="CC49" s="172"/>
    </row>
    <row r="50" spans="1:81" ht="13" thickBot="1">
      <c r="A50" s="317" t="s">
        <v>268</v>
      </c>
      <c r="B50" s="318">
        <v>100</v>
      </c>
      <c r="C50" s="278" t="s">
        <v>258</v>
      </c>
      <c r="D50" s="171">
        <f>B50*0.001</f>
        <v>0.1</v>
      </c>
      <c r="E50" s="277" t="s">
        <v>269</v>
      </c>
      <c r="H50" s="170">
        <v>44</v>
      </c>
      <c r="I50" s="456">
        <f t="shared" si="2"/>
        <v>0.44</v>
      </c>
      <c r="J50" s="217"/>
      <c r="K50" s="217"/>
      <c r="L50" s="217"/>
      <c r="M50" s="217"/>
      <c r="N50" s="267"/>
      <c r="O50" s="172"/>
      <c r="P50" s="217"/>
      <c r="Q50" s="443"/>
      <c r="S50" s="268"/>
      <c r="T50" s="268"/>
      <c r="U50" s="268"/>
      <c r="AJ50" s="443"/>
      <c r="AZ50" s="269"/>
      <c r="BJ50" s="219"/>
      <c r="BK50" s="219"/>
      <c r="BL50" s="219"/>
      <c r="BO50" s="172"/>
      <c r="BP50" s="219"/>
      <c r="BQ50" s="270"/>
      <c r="BR50" s="271"/>
      <c r="BS50" s="219"/>
      <c r="BT50" s="272"/>
      <c r="BX50" s="219"/>
      <c r="BY50" s="219"/>
      <c r="BZ50" s="172"/>
      <c r="CA50" s="172"/>
      <c r="CB50" s="172"/>
      <c r="CC50" s="172"/>
    </row>
    <row r="51" spans="1:81" ht="13" thickBot="1">
      <c r="A51" s="298" t="s">
        <v>400</v>
      </c>
      <c r="B51" s="318">
        <v>2</v>
      </c>
      <c r="C51" s="287" t="s">
        <v>31</v>
      </c>
      <c r="D51" s="289">
        <f>B51*0.000000001</f>
        <v>2.0000000000000001E-9</v>
      </c>
      <c r="E51" s="277" t="s">
        <v>270</v>
      </c>
      <c r="H51" s="170">
        <v>45</v>
      </c>
      <c r="I51" s="456">
        <f t="shared" si="2"/>
        <v>0.45</v>
      </c>
      <c r="J51" s="217"/>
      <c r="K51" s="217"/>
      <c r="L51" s="217"/>
      <c r="M51" s="217"/>
      <c r="N51" s="267"/>
      <c r="O51" s="172"/>
      <c r="P51" s="217"/>
      <c r="Q51" s="443"/>
      <c r="S51" s="268"/>
      <c r="T51" s="268"/>
      <c r="U51" s="268"/>
      <c r="AJ51" s="443"/>
      <c r="AZ51" s="269"/>
      <c r="BJ51" s="219"/>
      <c r="BK51" s="219"/>
      <c r="BL51" s="219"/>
      <c r="BO51" s="172"/>
      <c r="BP51" s="219"/>
      <c r="BQ51" s="270"/>
      <c r="BR51" s="271"/>
      <c r="BS51" s="219"/>
      <c r="BT51" s="272"/>
      <c r="BX51" s="219"/>
      <c r="BY51" s="219"/>
      <c r="BZ51" s="172"/>
      <c r="CA51" s="172"/>
      <c r="CB51" s="172"/>
      <c r="CC51" s="172"/>
    </row>
    <row r="52" spans="1:81" ht="13" thickBot="1">
      <c r="A52" s="298" t="s">
        <v>401</v>
      </c>
      <c r="B52" s="318">
        <v>10</v>
      </c>
      <c r="C52" s="287" t="s">
        <v>32</v>
      </c>
      <c r="D52" s="289">
        <f>B52*0.000000001</f>
        <v>1E-8</v>
      </c>
      <c r="E52" s="277" t="s">
        <v>271</v>
      </c>
      <c r="H52" s="170">
        <v>46</v>
      </c>
      <c r="I52" s="456">
        <f t="shared" si="2"/>
        <v>0.46</v>
      </c>
      <c r="J52" s="217"/>
      <c r="K52" s="217"/>
      <c r="L52" s="217"/>
      <c r="M52" s="217"/>
      <c r="N52" s="267"/>
      <c r="O52" s="172"/>
      <c r="P52" s="217"/>
      <c r="Q52" s="443"/>
      <c r="S52" s="268"/>
      <c r="T52" s="268"/>
      <c r="U52" s="268"/>
      <c r="AJ52" s="443"/>
      <c r="AZ52" s="269"/>
      <c r="BJ52" s="219"/>
      <c r="BK52" s="219"/>
      <c r="BL52" s="219"/>
      <c r="BO52" s="172"/>
      <c r="BP52" s="219"/>
      <c r="BQ52" s="270"/>
      <c r="BR52" s="271"/>
      <c r="BS52" s="219"/>
      <c r="BT52" s="272"/>
      <c r="BX52" s="219"/>
      <c r="BY52" s="219"/>
      <c r="BZ52" s="172"/>
      <c r="CA52" s="172"/>
      <c r="CB52" s="172"/>
      <c r="CC52" s="172"/>
    </row>
    <row r="53" spans="1:81">
      <c r="A53" s="324" t="s">
        <v>488</v>
      </c>
      <c r="B53" s="318">
        <v>0</v>
      </c>
      <c r="C53" s="275" t="s">
        <v>272</v>
      </c>
      <c r="D53" s="289">
        <f>B53/1000000</f>
        <v>0</v>
      </c>
      <c r="E53" s="277" t="s">
        <v>273</v>
      </c>
      <c r="H53" s="170">
        <v>47</v>
      </c>
      <c r="I53" s="456">
        <f t="shared" si="2"/>
        <v>0.47</v>
      </c>
      <c r="J53" s="217"/>
      <c r="K53" s="217"/>
      <c r="L53" s="217"/>
      <c r="M53" s="217"/>
      <c r="N53" s="267"/>
      <c r="O53" s="172"/>
      <c r="P53" s="217"/>
      <c r="Q53" s="443"/>
      <c r="S53" s="268"/>
      <c r="T53" s="268"/>
      <c r="U53" s="268"/>
      <c r="AJ53" s="443"/>
      <c r="AZ53" s="269"/>
      <c r="BJ53" s="219"/>
      <c r="BK53" s="219"/>
      <c r="BL53" s="219"/>
      <c r="BO53" s="172"/>
      <c r="BP53" s="219"/>
      <c r="BQ53" s="270"/>
      <c r="BR53" s="271"/>
      <c r="BS53" s="219"/>
      <c r="BT53" s="272"/>
      <c r="BX53" s="219"/>
      <c r="BY53" s="219"/>
      <c r="BZ53" s="172"/>
      <c r="CA53" s="172"/>
      <c r="CB53" s="172"/>
      <c r="CC53" s="172"/>
    </row>
    <row r="54" spans="1:81">
      <c r="A54" s="170" t="s">
        <v>672</v>
      </c>
      <c r="B54" s="197">
        <f>'Design Converter'!E82</f>
        <v>52.8</v>
      </c>
      <c r="C54" s="631" t="s">
        <v>84</v>
      </c>
      <c r="D54" s="197">
        <f>B54</f>
        <v>52.8</v>
      </c>
      <c r="E54" s="170" t="s">
        <v>671</v>
      </c>
      <c r="H54" s="170">
        <v>48</v>
      </c>
      <c r="I54" s="456">
        <f t="shared" si="2"/>
        <v>0.48</v>
      </c>
      <c r="J54" s="217"/>
      <c r="K54" s="217"/>
      <c r="L54" s="217"/>
      <c r="M54" s="217"/>
      <c r="N54" s="267"/>
      <c r="O54" s="172"/>
      <c r="P54" s="217"/>
      <c r="Q54" s="443"/>
      <c r="S54" s="268"/>
      <c r="T54" s="268"/>
      <c r="U54" s="268"/>
      <c r="AJ54" s="443"/>
      <c r="AZ54" s="269"/>
      <c r="BJ54" s="219"/>
      <c r="BK54" s="219"/>
      <c r="BL54" s="219"/>
      <c r="BO54" s="172"/>
      <c r="BP54" s="219"/>
      <c r="BQ54" s="270"/>
      <c r="BR54" s="271"/>
      <c r="BS54" s="219"/>
      <c r="BT54" s="272"/>
      <c r="BX54" s="219"/>
      <c r="BY54" s="219"/>
      <c r="BZ54" s="172"/>
      <c r="CA54" s="172"/>
      <c r="CB54" s="172"/>
      <c r="CC54" s="172"/>
    </row>
    <row r="55" spans="1:81">
      <c r="H55" s="170">
        <v>49</v>
      </c>
      <c r="I55" s="456">
        <f t="shared" si="2"/>
        <v>0.49</v>
      </c>
      <c r="J55" s="217"/>
      <c r="K55" s="217"/>
      <c r="L55" s="217"/>
      <c r="M55" s="217"/>
      <c r="N55" s="267"/>
      <c r="O55" s="172"/>
      <c r="P55" s="217"/>
      <c r="Q55" s="443"/>
      <c r="S55" s="268"/>
      <c r="T55" s="268"/>
      <c r="U55" s="268"/>
      <c r="AJ55" s="443"/>
      <c r="AZ55" s="269"/>
      <c r="BJ55" s="219"/>
      <c r="BK55" s="219"/>
      <c r="BL55" s="219"/>
      <c r="BO55" s="172"/>
      <c r="BP55" s="219"/>
      <c r="BQ55" s="270"/>
      <c r="BR55" s="271"/>
      <c r="BS55" s="219"/>
      <c r="BT55" s="272"/>
      <c r="BX55" s="219"/>
      <c r="BY55" s="219"/>
      <c r="BZ55" s="172"/>
      <c r="CA55" s="172"/>
      <c r="CB55" s="172"/>
      <c r="CC55" s="172"/>
    </row>
    <row r="56" spans="1:81">
      <c r="H56" s="170">
        <v>50</v>
      </c>
      <c r="I56" s="456">
        <f t="shared" si="2"/>
        <v>0.5</v>
      </c>
      <c r="J56" s="217"/>
      <c r="K56" s="217"/>
      <c r="L56" s="217"/>
      <c r="M56" s="217"/>
      <c r="N56" s="267"/>
      <c r="O56" s="172"/>
      <c r="P56" s="217"/>
      <c r="Q56" s="443"/>
      <c r="S56" s="268"/>
      <c r="T56" s="268"/>
      <c r="U56" s="268"/>
      <c r="AJ56" s="443"/>
      <c r="AZ56" s="269"/>
      <c r="BJ56" s="219"/>
      <c r="BK56" s="219"/>
      <c r="BL56" s="219"/>
      <c r="BO56" s="172"/>
      <c r="BP56" s="219"/>
      <c r="BQ56" s="270"/>
      <c r="BR56" s="271"/>
      <c r="BS56" s="219"/>
      <c r="BT56" s="272"/>
      <c r="BX56" s="219"/>
      <c r="BY56" s="219"/>
      <c r="BZ56" s="172"/>
      <c r="CA56" s="172"/>
      <c r="CB56" s="172"/>
      <c r="CC56" s="172"/>
    </row>
    <row r="57" spans="1:81">
      <c r="H57" s="170">
        <v>51</v>
      </c>
      <c r="I57" s="456">
        <f t="shared" si="2"/>
        <v>0.51</v>
      </c>
      <c r="J57" s="217"/>
      <c r="K57" s="217"/>
      <c r="L57" s="217"/>
      <c r="M57" s="217"/>
      <c r="N57" s="267"/>
      <c r="O57" s="172"/>
      <c r="P57" s="217"/>
      <c r="Q57" s="443"/>
      <c r="S57" s="268"/>
      <c r="T57" s="268"/>
      <c r="U57" s="268"/>
      <c r="AJ57" s="443"/>
      <c r="AZ57" s="269"/>
      <c r="BJ57" s="219"/>
      <c r="BK57" s="219"/>
      <c r="BL57" s="219"/>
      <c r="BO57" s="172"/>
      <c r="BP57" s="219"/>
      <c r="BQ57" s="270"/>
      <c r="BR57" s="271"/>
      <c r="BS57" s="219"/>
      <c r="BT57" s="272"/>
      <c r="BX57" s="219"/>
      <c r="BY57" s="219"/>
      <c r="BZ57" s="172"/>
      <c r="CA57" s="172"/>
      <c r="CB57" s="172"/>
      <c r="CC57" s="172"/>
    </row>
    <row r="58" spans="1:81">
      <c r="H58" s="170">
        <v>52</v>
      </c>
      <c r="I58" s="456">
        <f t="shared" si="2"/>
        <v>0.52</v>
      </c>
      <c r="J58" s="217"/>
      <c r="K58" s="217"/>
      <c r="L58" s="217"/>
      <c r="M58" s="217"/>
      <c r="N58" s="267"/>
      <c r="O58" s="172"/>
      <c r="P58" s="217"/>
      <c r="Q58" s="443"/>
      <c r="S58" s="268"/>
      <c r="T58" s="268"/>
      <c r="U58" s="268"/>
      <c r="AJ58" s="443"/>
      <c r="AZ58" s="269"/>
      <c r="BJ58" s="219"/>
      <c r="BK58" s="219"/>
      <c r="BL58" s="219"/>
      <c r="BO58" s="172"/>
      <c r="BP58" s="219"/>
      <c r="BQ58" s="270"/>
      <c r="BR58" s="271"/>
      <c r="BS58" s="219"/>
      <c r="BT58" s="272"/>
      <c r="BX58" s="219"/>
      <c r="BY58" s="219"/>
      <c r="BZ58" s="172"/>
      <c r="CA58" s="172"/>
      <c r="CB58" s="172"/>
      <c r="CC58" s="172"/>
    </row>
    <row r="59" spans="1:81">
      <c r="H59" s="170">
        <v>53</v>
      </c>
      <c r="I59" s="456">
        <f t="shared" si="2"/>
        <v>0.53</v>
      </c>
      <c r="J59" s="217"/>
      <c r="K59" s="217"/>
      <c r="L59" s="217"/>
      <c r="M59" s="217"/>
      <c r="N59" s="267"/>
      <c r="O59" s="172"/>
      <c r="P59" s="217"/>
      <c r="Q59" s="443"/>
      <c r="S59" s="268"/>
      <c r="T59" s="268"/>
      <c r="U59" s="268"/>
      <c r="AJ59" s="443"/>
      <c r="AZ59" s="269"/>
      <c r="BJ59" s="219"/>
      <c r="BK59" s="219"/>
      <c r="BL59" s="219"/>
      <c r="BO59" s="172"/>
      <c r="BP59" s="219"/>
      <c r="BQ59" s="270"/>
      <c r="BR59" s="271"/>
      <c r="BS59" s="219"/>
      <c r="BT59" s="272"/>
      <c r="BX59" s="219"/>
      <c r="BY59" s="219"/>
      <c r="BZ59" s="172"/>
      <c r="CA59" s="172"/>
      <c r="CB59" s="172"/>
      <c r="CC59" s="172"/>
    </row>
    <row r="60" spans="1:81">
      <c r="H60" s="170">
        <v>54</v>
      </c>
      <c r="I60" s="456">
        <f t="shared" si="2"/>
        <v>0.54</v>
      </c>
      <c r="J60" s="217"/>
      <c r="K60" s="217"/>
      <c r="L60" s="217"/>
      <c r="M60" s="217"/>
      <c r="N60" s="267"/>
      <c r="O60" s="172"/>
      <c r="P60" s="217"/>
      <c r="Q60" s="443"/>
      <c r="S60" s="268"/>
      <c r="T60" s="268"/>
      <c r="U60" s="268"/>
      <c r="AJ60" s="443"/>
      <c r="AZ60" s="269"/>
      <c r="BJ60" s="219"/>
      <c r="BK60" s="219"/>
      <c r="BL60" s="219"/>
      <c r="BO60" s="172"/>
      <c r="BP60" s="219"/>
      <c r="BQ60" s="270"/>
      <c r="BR60" s="271"/>
      <c r="BS60" s="219"/>
      <c r="BT60" s="272"/>
      <c r="BX60" s="219"/>
      <c r="BY60" s="219"/>
      <c r="BZ60" s="172"/>
      <c r="CA60" s="172"/>
      <c r="CB60" s="172"/>
      <c r="CC60" s="172"/>
    </row>
    <row r="61" spans="1:81">
      <c r="H61" s="170">
        <v>55</v>
      </c>
      <c r="I61" s="456">
        <f t="shared" si="2"/>
        <v>0.55000000000000004</v>
      </c>
      <c r="J61" s="217"/>
      <c r="K61" s="217"/>
      <c r="L61" s="217"/>
      <c r="M61" s="217"/>
      <c r="N61" s="267"/>
      <c r="O61" s="172"/>
      <c r="P61" s="217"/>
      <c r="Q61" s="443"/>
      <c r="S61" s="268"/>
      <c r="T61" s="268"/>
      <c r="U61" s="268"/>
      <c r="AJ61" s="443"/>
      <c r="AZ61" s="269"/>
      <c r="BJ61" s="219"/>
      <c r="BK61" s="219"/>
      <c r="BL61" s="219"/>
      <c r="BO61" s="172"/>
      <c r="BP61" s="219"/>
      <c r="BQ61" s="270"/>
      <c r="BR61" s="271"/>
      <c r="BS61" s="219"/>
      <c r="BT61" s="272"/>
      <c r="BX61" s="219"/>
      <c r="BY61" s="219"/>
      <c r="BZ61" s="172"/>
      <c r="CA61" s="172"/>
      <c r="CB61" s="172"/>
      <c r="CC61" s="172"/>
    </row>
    <row r="62" spans="1:81">
      <c r="H62" s="170">
        <v>56</v>
      </c>
      <c r="I62" s="456">
        <f t="shared" si="2"/>
        <v>0.56000000000000005</v>
      </c>
      <c r="J62" s="217"/>
      <c r="K62" s="217"/>
      <c r="L62" s="217"/>
      <c r="M62" s="217"/>
      <c r="N62" s="267"/>
      <c r="O62" s="172"/>
      <c r="P62" s="217"/>
      <c r="Q62" s="443"/>
      <c r="S62" s="268"/>
      <c r="T62" s="268"/>
      <c r="U62" s="268"/>
      <c r="AJ62" s="443"/>
      <c r="AZ62" s="269"/>
      <c r="BJ62" s="219"/>
      <c r="BK62" s="219"/>
      <c r="BL62" s="219"/>
      <c r="BO62" s="172"/>
      <c r="BP62" s="219"/>
      <c r="BQ62" s="270"/>
      <c r="BR62" s="271"/>
      <c r="BS62" s="219"/>
      <c r="BT62" s="272"/>
      <c r="BX62" s="219"/>
      <c r="BY62" s="219"/>
      <c r="BZ62" s="172"/>
      <c r="CA62" s="172"/>
      <c r="CB62" s="172"/>
      <c r="CC62" s="172"/>
    </row>
    <row r="63" spans="1:81" ht="13">
      <c r="F63" s="325" t="s">
        <v>274</v>
      </c>
      <c r="G63" s="325" t="s">
        <v>275</v>
      </c>
      <c r="H63" s="170">
        <v>57</v>
      </c>
      <c r="I63" s="456">
        <f t="shared" si="2"/>
        <v>0.56999999999999995</v>
      </c>
      <c r="J63" s="217"/>
      <c r="K63" s="217"/>
      <c r="L63" s="217"/>
      <c r="M63" s="217"/>
      <c r="N63" s="267"/>
      <c r="O63" s="172"/>
      <c r="P63" s="217"/>
      <c r="Q63" s="443"/>
      <c r="S63" s="268"/>
      <c r="T63" s="268"/>
      <c r="U63" s="268"/>
      <c r="AJ63" s="443"/>
      <c r="AZ63" s="269"/>
      <c r="BJ63" s="219"/>
      <c r="BK63" s="219"/>
      <c r="BL63" s="219"/>
      <c r="BO63" s="172"/>
      <c r="BP63" s="219"/>
      <c r="BQ63" s="270"/>
      <c r="BR63" s="271"/>
      <c r="BS63" s="219"/>
      <c r="BT63" s="272"/>
      <c r="BX63" s="219"/>
      <c r="BY63" s="219"/>
      <c r="BZ63" s="172"/>
      <c r="CA63" s="172"/>
      <c r="CB63" s="172"/>
      <c r="CC63" s="172"/>
    </row>
    <row r="64" spans="1:81">
      <c r="F64" s="326">
        <f>BM56</f>
        <v>0</v>
      </c>
      <c r="G64" s="327">
        <f>I56*1000</f>
        <v>500</v>
      </c>
      <c r="H64" s="170">
        <v>58</v>
      </c>
      <c r="I64" s="456">
        <f t="shared" si="2"/>
        <v>0.57999999999999996</v>
      </c>
      <c r="J64" s="217"/>
      <c r="K64" s="217"/>
      <c r="L64" s="217"/>
      <c r="M64" s="217"/>
      <c r="N64" s="267"/>
      <c r="O64" s="172"/>
      <c r="P64" s="217"/>
      <c r="Q64" s="443"/>
      <c r="S64" s="268"/>
      <c r="T64" s="268"/>
      <c r="U64" s="268"/>
      <c r="AJ64" s="443"/>
      <c r="AZ64" s="269"/>
      <c r="BJ64" s="219"/>
      <c r="BK64" s="219"/>
      <c r="BL64" s="219"/>
      <c r="BO64" s="172"/>
      <c r="BP64" s="219"/>
      <c r="BQ64" s="270"/>
      <c r="BR64" s="271"/>
      <c r="BS64" s="219"/>
      <c r="BT64" s="272"/>
      <c r="BX64" s="219"/>
      <c r="BY64" s="219"/>
      <c r="BZ64" s="172"/>
      <c r="CA64" s="172"/>
      <c r="CB64" s="172"/>
      <c r="CC64" s="172"/>
    </row>
    <row r="65" spans="6:81">
      <c r="F65" s="326">
        <f>BM81</f>
        <v>0</v>
      </c>
      <c r="G65" s="327">
        <f>I81*1000</f>
        <v>750</v>
      </c>
      <c r="H65" s="170">
        <v>59</v>
      </c>
      <c r="I65" s="456">
        <f t="shared" si="2"/>
        <v>0.59</v>
      </c>
      <c r="J65" s="217"/>
      <c r="K65" s="217"/>
      <c r="L65" s="217"/>
      <c r="M65" s="217"/>
      <c r="N65" s="267"/>
      <c r="O65" s="172"/>
      <c r="P65" s="217"/>
      <c r="Q65" s="443"/>
      <c r="S65" s="268"/>
      <c r="T65" s="268"/>
      <c r="U65" s="268"/>
      <c r="AJ65" s="443"/>
      <c r="AZ65" s="269"/>
      <c r="BJ65" s="219"/>
      <c r="BK65" s="219"/>
      <c r="BL65" s="219"/>
      <c r="BO65" s="172"/>
      <c r="BP65" s="219"/>
      <c r="BQ65" s="270"/>
      <c r="BR65" s="271"/>
      <c r="BS65" s="219"/>
      <c r="BT65" s="272"/>
      <c r="BX65" s="219"/>
      <c r="BY65" s="219"/>
      <c r="BZ65" s="172"/>
      <c r="CA65" s="172"/>
      <c r="CB65" s="172"/>
      <c r="CC65" s="172"/>
    </row>
    <row r="66" spans="6:81">
      <c r="F66" s="326">
        <f>BM106</f>
        <v>100</v>
      </c>
      <c r="G66" s="327">
        <f>I106*1000</f>
        <v>1000</v>
      </c>
      <c r="H66" s="170">
        <v>60</v>
      </c>
      <c r="I66" s="456">
        <f t="shared" si="2"/>
        <v>0.6</v>
      </c>
      <c r="J66" s="217"/>
      <c r="K66" s="217"/>
      <c r="L66" s="217"/>
      <c r="M66" s="217"/>
      <c r="N66" s="267"/>
      <c r="O66" s="172"/>
      <c r="P66" s="217"/>
      <c r="Q66" s="443"/>
      <c r="S66" s="268"/>
      <c r="T66" s="268"/>
      <c r="U66" s="268"/>
      <c r="AJ66" s="443"/>
      <c r="AZ66" s="269"/>
      <c r="BJ66" s="219"/>
      <c r="BK66" s="219"/>
      <c r="BL66" s="219"/>
      <c r="BO66" s="172"/>
      <c r="BP66" s="219"/>
      <c r="BQ66" s="270"/>
      <c r="BR66" s="271"/>
      <c r="BS66" s="219"/>
      <c r="BT66" s="272"/>
      <c r="BX66" s="219"/>
      <c r="BY66" s="219"/>
      <c r="BZ66" s="172"/>
      <c r="CA66" s="172"/>
      <c r="CB66" s="172"/>
      <c r="CC66" s="172"/>
    </row>
    <row r="67" spans="6:81">
      <c r="H67" s="170">
        <v>61</v>
      </c>
      <c r="I67" s="456">
        <f t="shared" si="2"/>
        <v>0.61</v>
      </c>
      <c r="J67" s="217"/>
      <c r="K67" s="217"/>
      <c r="L67" s="217"/>
      <c r="M67" s="217"/>
      <c r="N67" s="267"/>
      <c r="O67" s="172"/>
      <c r="P67" s="217"/>
      <c r="Q67" s="443"/>
      <c r="S67" s="268"/>
      <c r="T67" s="268"/>
      <c r="U67" s="268"/>
      <c r="AJ67" s="443"/>
      <c r="AZ67" s="269"/>
      <c r="BJ67" s="219"/>
      <c r="BK67" s="219"/>
      <c r="BL67" s="219"/>
      <c r="BO67" s="172"/>
      <c r="BP67" s="219"/>
      <c r="BQ67" s="270"/>
      <c r="BR67" s="271"/>
      <c r="BS67" s="219"/>
      <c r="BT67" s="272"/>
      <c r="BX67" s="219"/>
      <c r="BY67" s="219"/>
      <c r="BZ67" s="172"/>
      <c r="CA67" s="172"/>
      <c r="CB67" s="172"/>
      <c r="CC67" s="172"/>
    </row>
    <row r="68" spans="6:81">
      <c r="H68" s="170">
        <v>62</v>
      </c>
      <c r="I68" s="456">
        <f t="shared" si="2"/>
        <v>0.62</v>
      </c>
      <c r="J68" s="217"/>
      <c r="K68" s="217"/>
      <c r="L68" s="217"/>
      <c r="M68" s="217"/>
      <c r="N68" s="267"/>
      <c r="O68" s="172"/>
      <c r="P68" s="217"/>
      <c r="Q68" s="443"/>
      <c r="S68" s="268"/>
      <c r="T68" s="268"/>
      <c r="U68" s="268"/>
      <c r="AJ68" s="443"/>
      <c r="AZ68" s="269"/>
      <c r="BJ68" s="219"/>
      <c r="BK68" s="219"/>
      <c r="BL68" s="219"/>
      <c r="BO68" s="172"/>
      <c r="BP68" s="219"/>
      <c r="BQ68" s="270"/>
      <c r="BR68" s="271"/>
      <c r="BS68" s="219"/>
      <c r="BT68" s="272"/>
      <c r="BX68" s="219"/>
      <c r="BY68" s="219"/>
      <c r="BZ68" s="172"/>
      <c r="CA68" s="172"/>
      <c r="CB68" s="172"/>
      <c r="CC68" s="172"/>
    </row>
    <row r="69" spans="6:81">
      <c r="H69" s="170">
        <v>63</v>
      </c>
      <c r="I69" s="456">
        <f t="shared" si="2"/>
        <v>0.63</v>
      </c>
      <c r="J69" s="217"/>
      <c r="K69" s="217"/>
      <c r="L69" s="217"/>
      <c r="M69" s="217"/>
      <c r="N69" s="267"/>
      <c r="O69" s="172"/>
      <c r="P69" s="217"/>
      <c r="Q69" s="443"/>
      <c r="S69" s="268"/>
      <c r="T69" s="268"/>
      <c r="U69" s="268"/>
      <c r="AJ69" s="443"/>
      <c r="AZ69" s="269"/>
      <c r="BJ69" s="219"/>
      <c r="BK69" s="219"/>
      <c r="BL69" s="219"/>
      <c r="BO69" s="172"/>
      <c r="BP69" s="219"/>
      <c r="BQ69" s="270"/>
      <c r="BR69" s="271"/>
      <c r="BS69" s="219"/>
      <c r="BT69" s="272"/>
      <c r="BX69" s="219"/>
      <c r="BY69" s="219"/>
      <c r="BZ69" s="172"/>
      <c r="CA69" s="172"/>
      <c r="CB69" s="172"/>
      <c r="CC69" s="172"/>
    </row>
    <row r="70" spans="6:81">
      <c r="H70" s="170">
        <v>64</v>
      </c>
      <c r="I70" s="456">
        <f t="shared" ref="I70:I101" si="3">IF(PLOT_TYPE=1, H70/100*Iout_max, min_I*EXP(H70*rr/100))</f>
        <v>0.64</v>
      </c>
      <c r="J70" s="217"/>
      <c r="K70" s="217"/>
      <c r="L70" s="217"/>
      <c r="M70" s="217"/>
      <c r="N70" s="267"/>
      <c r="O70" s="172"/>
      <c r="P70" s="217"/>
      <c r="Q70" s="443"/>
      <c r="S70" s="268"/>
      <c r="T70" s="268"/>
      <c r="U70" s="268"/>
      <c r="AJ70" s="443"/>
      <c r="AZ70" s="269"/>
      <c r="BJ70" s="219"/>
      <c r="BK70" s="219"/>
      <c r="BL70" s="219"/>
      <c r="BO70" s="172"/>
      <c r="BP70" s="219"/>
      <c r="BQ70" s="270"/>
      <c r="BR70" s="271"/>
      <c r="BS70" s="219"/>
      <c r="BT70" s="272"/>
      <c r="BX70" s="219"/>
      <c r="BY70" s="219"/>
      <c r="BZ70" s="172"/>
      <c r="CA70" s="172"/>
      <c r="CB70" s="172"/>
      <c r="CC70" s="172"/>
    </row>
    <row r="71" spans="6:81">
      <c r="H71" s="170">
        <v>65</v>
      </c>
      <c r="I71" s="456">
        <f t="shared" si="3"/>
        <v>0.65</v>
      </c>
      <c r="J71" s="217"/>
      <c r="K71" s="217"/>
      <c r="L71" s="217"/>
      <c r="M71" s="217"/>
      <c r="N71" s="267"/>
      <c r="O71" s="172"/>
      <c r="P71" s="217"/>
      <c r="Q71" s="443"/>
      <c r="S71" s="268"/>
      <c r="T71" s="268"/>
      <c r="U71" s="268"/>
      <c r="AJ71" s="443"/>
      <c r="AZ71" s="269"/>
      <c r="BJ71" s="219"/>
      <c r="BK71" s="219"/>
      <c r="BL71" s="219"/>
      <c r="BO71" s="172"/>
      <c r="BP71" s="219"/>
      <c r="BQ71" s="270"/>
      <c r="BR71" s="271"/>
      <c r="BS71" s="219"/>
      <c r="BT71" s="272"/>
      <c r="BX71" s="219"/>
      <c r="BY71" s="219"/>
      <c r="BZ71" s="172"/>
      <c r="CA71" s="172"/>
      <c r="CB71" s="172"/>
      <c r="CC71" s="172"/>
    </row>
    <row r="72" spans="6:81">
      <c r="H72" s="170">
        <v>66</v>
      </c>
      <c r="I72" s="456">
        <f t="shared" si="3"/>
        <v>0.66</v>
      </c>
      <c r="J72" s="217"/>
      <c r="K72" s="217"/>
      <c r="L72" s="217"/>
      <c r="M72" s="217"/>
      <c r="N72" s="267"/>
      <c r="O72" s="172"/>
      <c r="P72" s="217"/>
      <c r="Q72" s="443"/>
      <c r="S72" s="268"/>
      <c r="T72" s="268"/>
      <c r="U72" s="268"/>
      <c r="AJ72" s="443"/>
      <c r="AZ72" s="269"/>
      <c r="BJ72" s="219"/>
      <c r="BK72" s="219"/>
      <c r="BL72" s="219"/>
      <c r="BO72" s="172"/>
      <c r="BP72" s="219"/>
      <c r="BQ72" s="270"/>
      <c r="BR72" s="271"/>
      <c r="BS72" s="219"/>
      <c r="BT72" s="272"/>
      <c r="BX72" s="219"/>
      <c r="BY72" s="219"/>
      <c r="BZ72" s="172"/>
      <c r="CA72" s="172"/>
      <c r="CB72" s="172"/>
      <c r="CC72" s="172"/>
    </row>
    <row r="73" spans="6:81">
      <c r="H73" s="170">
        <v>67</v>
      </c>
      <c r="I73" s="456">
        <f t="shared" si="3"/>
        <v>0.67</v>
      </c>
      <c r="J73" s="217"/>
      <c r="K73" s="217"/>
      <c r="L73" s="217"/>
      <c r="M73" s="217"/>
      <c r="N73" s="267"/>
      <c r="O73" s="172"/>
      <c r="P73" s="217"/>
      <c r="Q73" s="443"/>
      <c r="S73" s="268"/>
      <c r="T73" s="268"/>
      <c r="U73" s="268"/>
      <c r="AJ73" s="443"/>
      <c r="AZ73" s="269"/>
      <c r="BJ73" s="219"/>
      <c r="BK73" s="219"/>
      <c r="BL73" s="219"/>
      <c r="BO73" s="172"/>
      <c r="BP73" s="219"/>
      <c r="BQ73" s="270"/>
      <c r="BR73" s="271"/>
      <c r="BS73" s="219"/>
      <c r="BT73" s="272"/>
      <c r="BX73" s="219"/>
      <c r="BY73" s="219"/>
      <c r="BZ73" s="172"/>
      <c r="CA73" s="172"/>
      <c r="CB73" s="172"/>
      <c r="CC73" s="172"/>
    </row>
    <row r="74" spans="6:81">
      <c r="H74" s="170">
        <v>68</v>
      </c>
      <c r="I74" s="456">
        <f t="shared" si="3"/>
        <v>0.68</v>
      </c>
      <c r="J74" s="217"/>
      <c r="K74" s="217"/>
      <c r="L74" s="217"/>
      <c r="M74" s="217"/>
      <c r="N74" s="267"/>
      <c r="O74" s="172"/>
      <c r="P74" s="217"/>
      <c r="Q74" s="443"/>
      <c r="S74" s="268"/>
      <c r="T74" s="268"/>
      <c r="U74" s="268"/>
      <c r="AJ74" s="443"/>
      <c r="AZ74" s="269"/>
      <c r="BJ74" s="219"/>
      <c r="BK74" s="219"/>
      <c r="BL74" s="219"/>
      <c r="BO74" s="172"/>
      <c r="BP74" s="219"/>
      <c r="BQ74" s="270"/>
      <c r="BR74" s="271"/>
      <c r="BS74" s="219"/>
      <c r="BT74" s="272"/>
      <c r="BX74" s="219"/>
      <c r="BY74" s="219"/>
      <c r="BZ74" s="172"/>
      <c r="CA74" s="172"/>
      <c r="CB74" s="172"/>
      <c r="CC74" s="172"/>
    </row>
    <row r="75" spans="6:81">
      <c r="H75" s="170">
        <v>69</v>
      </c>
      <c r="I75" s="456">
        <f t="shared" si="3"/>
        <v>0.69</v>
      </c>
      <c r="J75" s="217"/>
      <c r="K75" s="217"/>
      <c r="L75" s="217"/>
      <c r="M75" s="217"/>
      <c r="N75" s="267"/>
      <c r="O75" s="172"/>
      <c r="P75" s="217"/>
      <c r="Q75" s="443"/>
      <c r="S75" s="268"/>
      <c r="T75" s="268"/>
      <c r="U75" s="268"/>
      <c r="AJ75" s="443"/>
      <c r="AZ75" s="269"/>
      <c r="BJ75" s="219"/>
      <c r="BK75" s="219"/>
      <c r="BL75" s="219"/>
      <c r="BO75" s="172"/>
      <c r="BP75" s="219"/>
      <c r="BQ75" s="270"/>
      <c r="BR75" s="271"/>
      <c r="BS75" s="219"/>
      <c r="BT75" s="272"/>
      <c r="BX75" s="219"/>
      <c r="BY75" s="219"/>
      <c r="BZ75" s="172"/>
      <c r="CA75" s="172"/>
      <c r="CB75" s="172"/>
      <c r="CC75" s="172"/>
    </row>
    <row r="76" spans="6:81">
      <c r="H76" s="170">
        <v>70</v>
      </c>
      <c r="I76" s="456">
        <f t="shared" si="3"/>
        <v>0.7</v>
      </c>
      <c r="J76" s="217"/>
      <c r="K76" s="217"/>
      <c r="L76" s="217"/>
      <c r="M76" s="217"/>
      <c r="N76" s="267"/>
      <c r="O76" s="172"/>
      <c r="P76" s="217"/>
      <c r="Q76" s="443"/>
      <c r="S76" s="268"/>
      <c r="T76" s="268"/>
      <c r="U76" s="268"/>
      <c r="AJ76" s="443"/>
      <c r="AZ76" s="269"/>
      <c r="BJ76" s="219"/>
      <c r="BK76" s="219"/>
      <c r="BL76" s="219"/>
      <c r="BO76" s="172"/>
      <c r="BP76" s="219"/>
      <c r="BQ76" s="270"/>
      <c r="BR76" s="271"/>
      <c r="BS76" s="219"/>
      <c r="BT76" s="272"/>
      <c r="BX76" s="219"/>
      <c r="BY76" s="219"/>
      <c r="BZ76" s="172"/>
      <c r="CA76" s="172"/>
      <c r="CB76" s="172"/>
      <c r="CC76" s="172"/>
    </row>
    <row r="77" spans="6:81">
      <c r="H77" s="170">
        <v>71</v>
      </c>
      <c r="I77" s="456">
        <f t="shared" si="3"/>
        <v>0.71</v>
      </c>
      <c r="J77" s="217"/>
      <c r="K77" s="217"/>
      <c r="L77" s="217"/>
      <c r="M77" s="217"/>
      <c r="N77" s="267"/>
      <c r="O77" s="172"/>
      <c r="P77" s="217"/>
      <c r="Q77" s="443"/>
      <c r="S77" s="268"/>
      <c r="T77" s="268"/>
      <c r="U77" s="268"/>
      <c r="AJ77" s="443"/>
      <c r="AZ77" s="269"/>
      <c r="BJ77" s="219"/>
      <c r="BK77" s="219"/>
      <c r="BL77" s="219"/>
      <c r="BO77" s="172"/>
      <c r="BP77" s="219"/>
      <c r="BQ77" s="270"/>
      <c r="BR77" s="271"/>
      <c r="BS77" s="219"/>
      <c r="BT77" s="272"/>
      <c r="BX77" s="219"/>
      <c r="BY77" s="219"/>
      <c r="BZ77" s="172"/>
      <c r="CA77" s="172"/>
      <c r="CB77" s="172"/>
      <c r="CC77" s="172"/>
    </row>
    <row r="78" spans="6:81">
      <c r="H78" s="170">
        <v>72</v>
      </c>
      <c r="I78" s="456">
        <f t="shared" si="3"/>
        <v>0.72</v>
      </c>
      <c r="J78" s="217"/>
      <c r="K78" s="217"/>
      <c r="L78" s="217"/>
      <c r="M78" s="217"/>
      <c r="N78" s="267"/>
      <c r="O78" s="172"/>
      <c r="P78" s="217"/>
      <c r="Q78" s="443"/>
      <c r="S78" s="268"/>
      <c r="T78" s="268"/>
      <c r="U78" s="268"/>
      <c r="AJ78" s="443"/>
      <c r="AZ78" s="269"/>
      <c r="BJ78" s="219"/>
      <c r="BK78" s="219"/>
      <c r="BL78" s="219"/>
      <c r="BO78" s="172"/>
      <c r="BP78" s="219"/>
      <c r="BQ78" s="270"/>
      <c r="BR78" s="271"/>
      <c r="BS78" s="219"/>
      <c r="BT78" s="272"/>
      <c r="BX78" s="219"/>
      <c r="BY78" s="219"/>
      <c r="BZ78" s="172"/>
      <c r="CA78" s="172"/>
      <c r="CB78" s="172"/>
      <c r="CC78" s="172"/>
    </row>
    <row r="79" spans="6:81">
      <c r="H79" s="170">
        <v>73</v>
      </c>
      <c r="I79" s="456">
        <f t="shared" si="3"/>
        <v>0.73</v>
      </c>
      <c r="J79" s="217"/>
      <c r="K79" s="217"/>
      <c r="L79" s="217"/>
      <c r="M79" s="217"/>
      <c r="N79" s="267"/>
      <c r="O79" s="172"/>
      <c r="P79" s="217"/>
      <c r="Q79" s="443"/>
      <c r="S79" s="268"/>
      <c r="T79" s="268"/>
      <c r="U79" s="268"/>
      <c r="AJ79" s="443"/>
      <c r="AZ79" s="269"/>
      <c r="BJ79" s="219"/>
      <c r="BK79" s="219"/>
      <c r="BL79" s="219"/>
      <c r="BO79" s="172"/>
      <c r="BP79" s="219"/>
      <c r="BQ79" s="270"/>
      <c r="BR79" s="271"/>
      <c r="BS79" s="219"/>
      <c r="BT79" s="272"/>
      <c r="BX79" s="219"/>
      <c r="BY79" s="219"/>
      <c r="BZ79" s="172"/>
      <c r="CA79" s="172"/>
      <c r="CB79" s="172"/>
      <c r="CC79" s="172"/>
    </row>
    <row r="80" spans="6:81">
      <c r="H80" s="170">
        <v>74</v>
      </c>
      <c r="I80" s="456">
        <f t="shared" si="3"/>
        <v>0.74</v>
      </c>
      <c r="J80" s="217"/>
      <c r="K80" s="217"/>
      <c r="L80" s="217"/>
      <c r="M80" s="217"/>
      <c r="N80" s="267"/>
      <c r="O80" s="172"/>
      <c r="P80" s="217"/>
      <c r="Q80" s="443"/>
      <c r="S80" s="268"/>
      <c r="T80" s="268"/>
      <c r="U80" s="268"/>
      <c r="AJ80" s="443"/>
      <c r="AZ80" s="269"/>
      <c r="BJ80" s="219"/>
      <c r="BK80" s="219"/>
      <c r="BL80" s="219"/>
      <c r="BO80" s="172"/>
      <c r="BP80" s="219"/>
      <c r="BQ80" s="270"/>
      <c r="BR80" s="271"/>
      <c r="BS80" s="219"/>
      <c r="BT80" s="272"/>
      <c r="BX80" s="219"/>
      <c r="BY80" s="219"/>
      <c r="BZ80" s="172"/>
      <c r="CA80" s="172"/>
      <c r="CB80" s="172"/>
      <c r="CC80" s="172"/>
    </row>
    <row r="81" spans="6:81">
      <c r="H81" s="170">
        <v>75</v>
      </c>
      <c r="I81" s="456">
        <f t="shared" si="3"/>
        <v>0.75</v>
      </c>
      <c r="J81" s="217"/>
      <c r="K81" s="217"/>
      <c r="L81" s="217"/>
      <c r="M81" s="217"/>
      <c r="N81" s="267"/>
      <c r="O81" s="172"/>
      <c r="P81" s="217"/>
      <c r="Q81" s="443"/>
      <c r="S81" s="268"/>
      <c r="T81" s="268"/>
      <c r="U81" s="268"/>
      <c r="AJ81" s="443"/>
      <c r="AZ81" s="269"/>
      <c r="BJ81" s="219"/>
      <c r="BK81" s="219"/>
      <c r="BL81" s="219"/>
      <c r="BO81" s="172"/>
      <c r="BP81" s="219"/>
      <c r="BQ81" s="270"/>
      <c r="BR81" s="271"/>
      <c r="BS81" s="219"/>
      <c r="BT81" s="272"/>
      <c r="BX81" s="219"/>
      <c r="BY81" s="219"/>
      <c r="BZ81" s="172"/>
      <c r="CA81" s="172"/>
      <c r="CB81" s="172"/>
      <c r="CC81" s="172"/>
    </row>
    <row r="82" spans="6:81">
      <c r="H82" s="170">
        <v>76</v>
      </c>
      <c r="I82" s="456">
        <f t="shared" si="3"/>
        <v>0.76</v>
      </c>
      <c r="J82" s="217"/>
      <c r="K82" s="217"/>
      <c r="L82" s="217"/>
      <c r="M82" s="217"/>
      <c r="N82" s="267"/>
      <c r="O82" s="172"/>
      <c r="P82" s="217"/>
      <c r="Q82" s="443"/>
      <c r="S82" s="268"/>
      <c r="T82" s="268"/>
      <c r="U82" s="268"/>
      <c r="AJ82" s="443"/>
      <c r="AZ82" s="269"/>
      <c r="BJ82" s="219"/>
      <c r="BK82" s="219"/>
      <c r="BL82" s="219"/>
      <c r="BO82" s="172"/>
      <c r="BP82" s="219"/>
      <c r="BQ82" s="270"/>
      <c r="BR82" s="271"/>
      <c r="BS82" s="219"/>
      <c r="BT82" s="272"/>
      <c r="BX82" s="219"/>
      <c r="BY82" s="219"/>
      <c r="BZ82" s="172"/>
      <c r="CA82" s="172"/>
      <c r="CB82" s="172"/>
      <c r="CC82" s="172"/>
    </row>
    <row r="83" spans="6:81">
      <c r="H83" s="170">
        <v>77</v>
      </c>
      <c r="I83" s="456">
        <f t="shared" si="3"/>
        <v>0.77</v>
      </c>
      <c r="J83" s="217"/>
      <c r="K83" s="217"/>
      <c r="L83" s="217"/>
      <c r="M83" s="217"/>
      <c r="N83" s="267"/>
      <c r="O83" s="172"/>
      <c r="P83" s="217"/>
      <c r="Q83" s="443"/>
      <c r="S83" s="268"/>
      <c r="T83" s="268"/>
      <c r="U83" s="268"/>
      <c r="AJ83" s="443"/>
      <c r="AZ83" s="269"/>
      <c r="BJ83" s="219"/>
      <c r="BK83" s="219"/>
      <c r="BL83" s="219"/>
      <c r="BO83" s="172"/>
      <c r="BP83" s="219"/>
      <c r="BQ83" s="270"/>
      <c r="BR83" s="271"/>
      <c r="BS83" s="219"/>
      <c r="BT83" s="272"/>
      <c r="BX83" s="219"/>
      <c r="BY83" s="219"/>
      <c r="BZ83" s="172"/>
      <c r="CA83" s="172"/>
      <c r="CB83" s="172"/>
      <c r="CC83" s="172"/>
    </row>
    <row r="84" spans="6:81">
      <c r="H84" s="170">
        <v>78</v>
      </c>
      <c r="I84" s="456">
        <f t="shared" si="3"/>
        <v>0.78</v>
      </c>
      <c r="J84" s="217"/>
      <c r="K84" s="217"/>
      <c r="L84" s="217"/>
      <c r="M84" s="217"/>
      <c r="N84" s="267"/>
      <c r="O84" s="172"/>
      <c r="P84" s="217"/>
      <c r="Q84" s="443"/>
      <c r="S84" s="268"/>
      <c r="T84" s="268"/>
      <c r="U84" s="268"/>
      <c r="AJ84" s="443"/>
      <c r="AZ84" s="269"/>
      <c r="BJ84" s="219"/>
      <c r="BK84" s="219"/>
      <c r="BL84" s="219"/>
      <c r="BO84" s="172"/>
      <c r="BP84" s="219"/>
      <c r="BQ84" s="270"/>
      <c r="BR84" s="271"/>
      <c r="BS84" s="219"/>
      <c r="BT84" s="272"/>
      <c r="BX84" s="219"/>
      <c r="BY84" s="219"/>
      <c r="BZ84" s="172"/>
      <c r="CA84" s="172"/>
      <c r="CB84" s="172"/>
      <c r="CC84" s="172"/>
    </row>
    <row r="85" spans="6:81">
      <c r="H85" s="170">
        <v>79</v>
      </c>
      <c r="I85" s="456">
        <f t="shared" si="3"/>
        <v>0.79</v>
      </c>
      <c r="J85" s="217"/>
      <c r="K85" s="217"/>
      <c r="L85" s="217"/>
      <c r="M85" s="217"/>
      <c r="N85" s="267"/>
      <c r="O85" s="172"/>
      <c r="P85" s="217"/>
      <c r="Q85" s="443"/>
      <c r="S85" s="268"/>
      <c r="T85" s="268"/>
      <c r="U85" s="268"/>
      <c r="AJ85" s="443"/>
      <c r="AZ85" s="269"/>
      <c r="BJ85" s="219"/>
      <c r="BK85" s="219"/>
      <c r="BL85" s="219"/>
      <c r="BO85" s="172"/>
      <c r="BP85" s="219"/>
      <c r="BQ85" s="270"/>
      <c r="BR85" s="271"/>
      <c r="BS85" s="219"/>
      <c r="BT85" s="272"/>
      <c r="BX85" s="219"/>
      <c r="BY85" s="219"/>
      <c r="BZ85" s="172"/>
      <c r="CA85" s="172"/>
      <c r="CB85" s="172"/>
      <c r="CC85" s="172"/>
    </row>
    <row r="86" spans="6:81">
      <c r="H86" s="170">
        <v>80</v>
      </c>
      <c r="I86" s="456">
        <f t="shared" si="3"/>
        <v>0.8</v>
      </c>
      <c r="J86" s="217"/>
      <c r="K86" s="217"/>
      <c r="L86" s="217"/>
      <c r="M86" s="217"/>
      <c r="N86" s="267"/>
      <c r="O86" s="172"/>
      <c r="P86" s="217"/>
      <c r="Q86" s="443"/>
      <c r="S86" s="268"/>
      <c r="T86" s="268"/>
      <c r="U86" s="268"/>
      <c r="AJ86" s="443"/>
      <c r="AZ86" s="269"/>
      <c r="BJ86" s="219"/>
      <c r="BK86" s="219"/>
      <c r="BL86" s="219"/>
      <c r="BO86" s="172"/>
      <c r="BP86" s="219"/>
      <c r="BQ86" s="270"/>
      <c r="BR86" s="271"/>
      <c r="BS86" s="219"/>
      <c r="BT86" s="272"/>
      <c r="BX86" s="219"/>
      <c r="BY86" s="219"/>
      <c r="BZ86" s="172"/>
      <c r="CA86" s="172"/>
      <c r="CB86" s="172"/>
      <c r="CC86" s="172"/>
    </row>
    <row r="87" spans="6:81">
      <c r="H87" s="170">
        <v>81</v>
      </c>
      <c r="I87" s="456">
        <f t="shared" si="3"/>
        <v>0.81</v>
      </c>
      <c r="J87" s="217"/>
      <c r="K87" s="217"/>
      <c r="L87" s="217"/>
      <c r="M87" s="217"/>
      <c r="N87" s="267"/>
      <c r="O87" s="172"/>
      <c r="P87" s="217"/>
      <c r="Q87" s="443"/>
      <c r="S87" s="268"/>
      <c r="T87" s="268"/>
      <c r="U87" s="268"/>
      <c r="AJ87" s="443"/>
      <c r="AZ87" s="269"/>
      <c r="BJ87" s="219"/>
      <c r="BK87" s="219"/>
      <c r="BL87" s="219"/>
      <c r="BO87" s="172"/>
      <c r="BP87" s="219"/>
      <c r="BQ87" s="270"/>
      <c r="BR87" s="271"/>
      <c r="BS87" s="219"/>
      <c r="BT87" s="272"/>
      <c r="BX87" s="219"/>
      <c r="BY87" s="219"/>
      <c r="BZ87" s="172"/>
      <c r="CA87" s="172"/>
      <c r="CB87" s="172"/>
      <c r="CC87" s="172"/>
    </row>
    <row r="88" spans="6:81" ht="13">
      <c r="F88" s="325" t="s">
        <v>274</v>
      </c>
      <c r="G88" s="325" t="s">
        <v>275</v>
      </c>
      <c r="H88" s="170">
        <v>82</v>
      </c>
      <c r="I88" s="456">
        <f t="shared" si="3"/>
        <v>0.82</v>
      </c>
      <c r="J88" s="217"/>
      <c r="K88" s="217"/>
      <c r="L88" s="217"/>
      <c r="M88" s="217"/>
      <c r="N88" s="267"/>
      <c r="O88" s="172"/>
      <c r="P88" s="217"/>
      <c r="Q88" s="443"/>
      <c r="S88" s="268"/>
      <c r="T88" s="268"/>
      <c r="U88" s="268"/>
      <c r="AJ88" s="443"/>
      <c r="AZ88" s="269"/>
      <c r="BJ88" s="219"/>
      <c r="BK88" s="219"/>
      <c r="BL88" s="219"/>
      <c r="BO88" s="172"/>
      <c r="BP88" s="219"/>
      <c r="BQ88" s="270"/>
      <c r="BR88" s="271"/>
      <c r="BS88" s="219"/>
      <c r="BT88" s="272"/>
      <c r="BX88" s="219"/>
      <c r="BY88" s="219"/>
      <c r="BZ88" s="172"/>
      <c r="CA88" s="172"/>
      <c r="CB88" s="172"/>
      <c r="CC88" s="172"/>
    </row>
    <row r="89" spans="6:81">
      <c r="F89" s="326">
        <f>BO51</f>
        <v>0</v>
      </c>
      <c r="G89" s="327">
        <f>I56*1000</f>
        <v>500</v>
      </c>
      <c r="H89" s="170">
        <v>83</v>
      </c>
      <c r="I89" s="456">
        <f t="shared" si="3"/>
        <v>0.83</v>
      </c>
      <c r="J89" s="217"/>
      <c r="K89" s="217"/>
      <c r="L89" s="217"/>
      <c r="M89" s="217"/>
      <c r="N89" s="267"/>
      <c r="O89" s="172"/>
      <c r="P89" s="217"/>
      <c r="Q89" s="443"/>
      <c r="S89" s="268"/>
      <c r="T89" s="268"/>
      <c r="U89" s="268"/>
      <c r="AJ89" s="443"/>
      <c r="AZ89" s="269"/>
      <c r="BJ89" s="219"/>
      <c r="BK89" s="219"/>
      <c r="BL89" s="219"/>
      <c r="BO89" s="172"/>
      <c r="BP89" s="219"/>
      <c r="BQ89" s="270"/>
      <c r="BR89" s="271"/>
      <c r="BS89" s="219"/>
      <c r="BT89" s="272"/>
      <c r="BX89" s="219"/>
      <c r="BY89" s="219"/>
      <c r="BZ89" s="172"/>
      <c r="CA89" s="172"/>
      <c r="CB89" s="172"/>
      <c r="CC89" s="172"/>
    </row>
    <row r="90" spans="6:81">
      <c r="F90" s="326">
        <f>BO81</f>
        <v>0</v>
      </c>
      <c r="G90" s="327">
        <f>I81*1000</f>
        <v>750</v>
      </c>
      <c r="H90" s="170">
        <v>84</v>
      </c>
      <c r="I90" s="456">
        <f t="shared" si="3"/>
        <v>0.84</v>
      </c>
      <c r="J90" s="217"/>
      <c r="K90" s="217"/>
      <c r="L90" s="217"/>
      <c r="M90" s="217"/>
      <c r="N90" s="267"/>
      <c r="O90" s="172"/>
      <c r="P90" s="217"/>
      <c r="Q90" s="443"/>
      <c r="S90" s="268"/>
      <c r="T90" s="268"/>
      <c r="U90" s="268"/>
      <c r="AJ90" s="443"/>
      <c r="AZ90" s="269"/>
      <c r="BJ90" s="219"/>
      <c r="BK90" s="219"/>
      <c r="BL90" s="219"/>
      <c r="BO90" s="172"/>
      <c r="BP90" s="219"/>
      <c r="BQ90" s="270"/>
      <c r="BR90" s="271"/>
      <c r="BS90" s="219"/>
      <c r="BT90" s="272"/>
      <c r="BX90" s="219"/>
      <c r="BY90" s="219"/>
      <c r="BZ90" s="172"/>
      <c r="CA90" s="172"/>
      <c r="CB90" s="172"/>
      <c r="CC90" s="172"/>
    </row>
    <row r="91" spans="6:81">
      <c r="F91" s="326">
        <f>BO106</f>
        <v>88.698181382326453</v>
      </c>
      <c r="G91" s="327">
        <f>I106*1000</f>
        <v>1000</v>
      </c>
      <c r="H91" s="170">
        <v>85</v>
      </c>
      <c r="I91" s="456">
        <f t="shared" si="3"/>
        <v>0.85</v>
      </c>
      <c r="J91" s="217"/>
      <c r="K91" s="217"/>
      <c r="L91" s="217"/>
      <c r="M91" s="217"/>
      <c r="N91" s="267"/>
      <c r="O91" s="172"/>
      <c r="P91" s="217"/>
      <c r="Q91" s="443"/>
      <c r="S91" s="268"/>
      <c r="T91" s="268"/>
      <c r="U91" s="268"/>
      <c r="AJ91" s="443"/>
      <c r="AZ91" s="269"/>
      <c r="BJ91" s="219"/>
      <c r="BK91" s="219"/>
      <c r="BL91" s="219"/>
      <c r="BO91" s="172"/>
      <c r="BP91" s="219"/>
      <c r="BQ91" s="270"/>
      <c r="BR91" s="271"/>
      <c r="BS91" s="219"/>
      <c r="BT91" s="272"/>
      <c r="BX91" s="219"/>
      <c r="BY91" s="219"/>
      <c r="BZ91" s="172"/>
      <c r="CA91" s="172"/>
      <c r="CB91" s="172"/>
      <c r="CC91" s="172"/>
    </row>
    <row r="92" spans="6:81">
      <c r="H92" s="170">
        <v>86</v>
      </c>
      <c r="I92" s="456">
        <f t="shared" si="3"/>
        <v>0.86</v>
      </c>
      <c r="J92" s="217"/>
      <c r="K92" s="217"/>
      <c r="L92" s="217"/>
      <c r="M92" s="217"/>
      <c r="N92" s="267"/>
      <c r="O92" s="172"/>
      <c r="P92" s="217"/>
      <c r="Q92" s="443"/>
      <c r="S92" s="268"/>
      <c r="T92" s="268"/>
      <c r="U92" s="268"/>
      <c r="AJ92" s="443"/>
      <c r="AZ92" s="269"/>
      <c r="BJ92" s="219"/>
      <c r="BK92" s="219"/>
      <c r="BL92" s="219"/>
      <c r="BO92" s="172"/>
      <c r="BP92" s="219"/>
      <c r="BQ92" s="270"/>
      <c r="BR92" s="271"/>
      <c r="BS92" s="219"/>
      <c r="BT92" s="272"/>
      <c r="BX92" s="219"/>
      <c r="BY92" s="219"/>
      <c r="BZ92" s="172"/>
      <c r="CA92" s="172"/>
      <c r="CB92" s="172"/>
      <c r="CC92" s="172"/>
    </row>
    <row r="93" spans="6:81">
      <c r="H93" s="170">
        <v>87</v>
      </c>
      <c r="I93" s="456">
        <f t="shared" si="3"/>
        <v>0.87</v>
      </c>
      <c r="J93" s="217"/>
      <c r="K93" s="217"/>
      <c r="L93" s="217"/>
      <c r="M93" s="217"/>
      <c r="N93" s="267"/>
      <c r="O93" s="172"/>
      <c r="P93" s="217"/>
      <c r="Q93" s="443"/>
      <c r="S93" s="268"/>
      <c r="T93" s="268"/>
      <c r="U93" s="268"/>
      <c r="AJ93" s="443"/>
      <c r="AZ93" s="269"/>
      <c r="BJ93" s="219"/>
      <c r="BK93" s="219"/>
      <c r="BL93" s="219"/>
      <c r="BO93" s="172"/>
      <c r="BP93" s="219"/>
      <c r="BQ93" s="270"/>
      <c r="BR93" s="271"/>
      <c r="BS93" s="219"/>
      <c r="BT93" s="272"/>
      <c r="BX93" s="219"/>
      <c r="BY93" s="219"/>
      <c r="BZ93" s="172"/>
      <c r="CA93" s="172"/>
      <c r="CB93" s="172"/>
      <c r="CC93" s="172"/>
    </row>
    <row r="94" spans="6:81">
      <c r="H94" s="170">
        <v>88</v>
      </c>
      <c r="I94" s="456">
        <f t="shared" si="3"/>
        <v>0.88</v>
      </c>
      <c r="J94" s="217"/>
      <c r="K94" s="217"/>
      <c r="L94" s="217"/>
      <c r="M94" s="217"/>
      <c r="N94" s="267"/>
      <c r="O94" s="172"/>
      <c r="P94" s="217"/>
      <c r="Q94" s="443"/>
      <c r="S94" s="268"/>
      <c r="T94" s="268"/>
      <c r="U94" s="268"/>
      <c r="AJ94" s="443"/>
      <c r="AZ94" s="269"/>
      <c r="BJ94" s="219"/>
      <c r="BK94" s="219"/>
      <c r="BL94" s="219"/>
      <c r="BO94" s="172"/>
      <c r="BP94" s="219"/>
      <c r="BQ94" s="270"/>
      <c r="BR94" s="271"/>
      <c r="BS94" s="219"/>
      <c r="BT94" s="272"/>
      <c r="BX94" s="219"/>
      <c r="BY94" s="219"/>
      <c r="BZ94" s="172"/>
      <c r="CA94" s="172"/>
      <c r="CB94" s="172"/>
      <c r="CC94" s="172"/>
    </row>
    <row r="95" spans="6:81">
      <c r="H95" s="170">
        <v>89</v>
      </c>
      <c r="I95" s="456">
        <f t="shared" si="3"/>
        <v>0.89</v>
      </c>
      <c r="J95" s="217"/>
      <c r="K95" s="217"/>
      <c r="L95" s="217"/>
      <c r="M95" s="217"/>
      <c r="N95" s="267"/>
      <c r="O95" s="172"/>
      <c r="P95" s="217"/>
      <c r="Q95" s="443"/>
      <c r="S95" s="268"/>
      <c r="T95" s="268"/>
      <c r="U95" s="268"/>
      <c r="AJ95" s="443"/>
      <c r="AZ95" s="269"/>
      <c r="BJ95" s="219"/>
      <c r="BK95" s="219"/>
      <c r="BL95" s="219"/>
      <c r="BO95" s="172"/>
      <c r="BP95" s="219"/>
      <c r="BQ95" s="270"/>
      <c r="BR95" s="271"/>
      <c r="BS95" s="219"/>
      <c r="BT95" s="272"/>
      <c r="BX95" s="219"/>
      <c r="BY95" s="219"/>
      <c r="BZ95" s="172"/>
      <c r="CA95" s="172"/>
      <c r="CB95" s="172"/>
      <c r="CC95" s="172"/>
    </row>
    <row r="96" spans="6:81">
      <c r="H96" s="170">
        <v>90</v>
      </c>
      <c r="I96" s="456">
        <f t="shared" si="3"/>
        <v>0.9</v>
      </c>
      <c r="J96" s="217"/>
      <c r="K96" s="217"/>
      <c r="L96" s="217"/>
      <c r="M96" s="217"/>
      <c r="N96" s="267"/>
      <c r="O96" s="172"/>
      <c r="P96" s="217"/>
      <c r="Q96" s="443"/>
      <c r="S96" s="268"/>
      <c r="T96" s="268"/>
      <c r="U96" s="268"/>
      <c r="AJ96" s="443"/>
      <c r="AZ96" s="269"/>
      <c r="BJ96" s="219"/>
      <c r="BK96" s="219"/>
      <c r="BL96" s="219"/>
      <c r="BO96" s="172"/>
      <c r="BP96" s="219"/>
      <c r="BQ96" s="270"/>
      <c r="BR96" s="271"/>
      <c r="BS96" s="219"/>
      <c r="BT96" s="272"/>
      <c r="BX96" s="219"/>
      <c r="BY96" s="219"/>
      <c r="BZ96" s="172"/>
      <c r="CA96" s="172"/>
      <c r="CB96" s="172"/>
      <c r="CC96" s="172"/>
    </row>
    <row r="97" spans="8:81">
      <c r="H97" s="170">
        <v>91</v>
      </c>
      <c r="I97" s="456">
        <f t="shared" si="3"/>
        <v>0.91</v>
      </c>
      <c r="J97" s="217"/>
      <c r="K97" s="217"/>
      <c r="L97" s="217"/>
      <c r="M97" s="217"/>
      <c r="N97" s="267"/>
      <c r="O97" s="172"/>
      <c r="P97" s="217"/>
      <c r="Q97" s="443"/>
      <c r="S97" s="268"/>
      <c r="T97" s="268"/>
      <c r="U97" s="268"/>
      <c r="AJ97" s="443"/>
      <c r="AZ97" s="269"/>
      <c r="BJ97" s="219"/>
      <c r="BK97" s="219"/>
      <c r="BL97" s="219"/>
      <c r="BO97" s="172"/>
      <c r="BP97" s="219"/>
      <c r="BQ97" s="270"/>
      <c r="BR97" s="271"/>
      <c r="BS97" s="219"/>
      <c r="BT97" s="272"/>
      <c r="BX97" s="219"/>
      <c r="BY97" s="219"/>
      <c r="BZ97" s="172"/>
      <c r="CA97" s="172"/>
      <c r="CB97" s="172"/>
      <c r="CC97" s="172"/>
    </row>
    <row r="98" spans="8:81">
      <c r="H98" s="170">
        <v>92</v>
      </c>
      <c r="I98" s="456">
        <f t="shared" si="3"/>
        <v>0.92</v>
      </c>
      <c r="J98" s="217"/>
      <c r="K98" s="217"/>
      <c r="L98" s="217"/>
      <c r="M98" s="217"/>
      <c r="N98" s="267"/>
      <c r="O98" s="172"/>
      <c r="P98" s="217"/>
      <c r="Q98" s="443"/>
      <c r="S98" s="268"/>
      <c r="T98" s="268"/>
      <c r="U98" s="268"/>
      <c r="AJ98" s="443"/>
      <c r="AZ98" s="269"/>
      <c r="BJ98" s="219"/>
      <c r="BK98" s="219"/>
      <c r="BL98" s="219"/>
      <c r="BO98" s="172"/>
      <c r="BP98" s="219"/>
      <c r="BQ98" s="270"/>
      <c r="BR98" s="271"/>
      <c r="BS98" s="219"/>
      <c r="BT98" s="272"/>
      <c r="BX98" s="219"/>
      <c r="BY98" s="219"/>
      <c r="BZ98" s="172"/>
      <c r="CA98" s="172"/>
      <c r="CB98" s="172"/>
      <c r="CC98" s="172"/>
    </row>
    <row r="99" spans="8:81">
      <c r="H99" s="170">
        <v>93</v>
      </c>
      <c r="I99" s="456">
        <f t="shared" si="3"/>
        <v>0.93</v>
      </c>
      <c r="J99" s="217"/>
      <c r="K99" s="217"/>
      <c r="L99" s="217"/>
      <c r="M99" s="217"/>
      <c r="N99" s="267"/>
      <c r="O99" s="172"/>
      <c r="P99" s="217"/>
      <c r="Q99" s="443"/>
      <c r="S99" s="268"/>
      <c r="T99" s="268"/>
      <c r="U99" s="268"/>
      <c r="AJ99" s="443"/>
      <c r="AZ99" s="269"/>
      <c r="BJ99" s="219"/>
      <c r="BK99" s="219"/>
      <c r="BL99" s="219"/>
      <c r="BO99" s="172"/>
      <c r="BP99" s="219"/>
      <c r="BQ99" s="270"/>
      <c r="BR99" s="271"/>
      <c r="BS99" s="219"/>
      <c r="BT99" s="272"/>
      <c r="BX99" s="219"/>
      <c r="BY99" s="219"/>
      <c r="BZ99" s="172"/>
      <c r="CA99" s="172"/>
      <c r="CB99" s="172"/>
      <c r="CC99" s="172"/>
    </row>
    <row r="100" spans="8:81">
      <c r="H100" s="170">
        <v>94</v>
      </c>
      <c r="I100" s="456">
        <f t="shared" si="3"/>
        <v>0.94</v>
      </c>
      <c r="J100" s="217"/>
      <c r="K100" s="217"/>
      <c r="L100" s="217"/>
      <c r="M100" s="217"/>
      <c r="N100" s="267"/>
      <c r="O100" s="172"/>
      <c r="P100" s="217"/>
      <c r="Q100" s="443"/>
      <c r="S100" s="268"/>
      <c r="T100" s="268"/>
      <c r="U100" s="268"/>
      <c r="AJ100" s="443"/>
      <c r="AZ100" s="269"/>
      <c r="BJ100" s="219"/>
      <c r="BK100" s="219"/>
      <c r="BL100" s="219"/>
      <c r="BO100" s="172"/>
      <c r="BP100" s="219"/>
      <c r="BQ100" s="270"/>
      <c r="BR100" s="271"/>
      <c r="BS100" s="219"/>
      <c r="BT100" s="272"/>
      <c r="BX100" s="219"/>
      <c r="BY100" s="219"/>
      <c r="BZ100" s="172"/>
      <c r="CA100" s="172"/>
      <c r="CB100" s="172"/>
      <c r="CC100" s="172"/>
    </row>
    <row r="101" spans="8:81">
      <c r="H101" s="170">
        <v>95</v>
      </c>
      <c r="I101" s="456">
        <f t="shared" si="3"/>
        <v>0.95</v>
      </c>
      <c r="J101" s="217"/>
      <c r="K101" s="217"/>
      <c r="L101" s="217"/>
      <c r="M101" s="217"/>
      <c r="N101" s="267"/>
      <c r="O101" s="172"/>
      <c r="P101" s="217"/>
      <c r="Q101" s="443"/>
      <c r="S101" s="268"/>
      <c r="T101" s="268"/>
      <c r="U101" s="268"/>
      <c r="AJ101" s="443"/>
      <c r="AZ101" s="269"/>
      <c r="BJ101" s="219"/>
      <c r="BK101" s="219"/>
      <c r="BL101" s="219"/>
      <c r="BO101" s="172"/>
      <c r="BP101" s="219"/>
      <c r="BQ101" s="270"/>
      <c r="BR101" s="271"/>
      <c r="BS101" s="219"/>
      <c r="BT101" s="272"/>
      <c r="BX101" s="219"/>
      <c r="BY101" s="219"/>
      <c r="BZ101" s="172"/>
      <c r="CA101" s="172"/>
      <c r="CB101" s="172"/>
      <c r="CC101" s="172"/>
    </row>
    <row r="102" spans="8:81">
      <c r="H102" s="170">
        <v>96</v>
      </c>
      <c r="I102" s="456">
        <f>IF(PLOT_TYPE=1, H102/100*Iout_max, min_I*EXP(H102*rr/100))</f>
        <v>0.96</v>
      </c>
      <c r="J102" s="217"/>
      <c r="K102" s="217"/>
      <c r="L102" s="217"/>
      <c r="M102" s="217"/>
      <c r="N102" s="267"/>
      <c r="O102" s="172"/>
      <c r="P102" s="217"/>
      <c r="Q102" s="443"/>
      <c r="S102" s="268"/>
      <c r="T102" s="268"/>
      <c r="U102" s="268"/>
      <c r="AJ102" s="443"/>
      <c r="AZ102" s="269"/>
      <c r="BJ102" s="219"/>
      <c r="BK102" s="219"/>
      <c r="BL102" s="219"/>
      <c r="BO102" s="172"/>
      <c r="BP102" s="219"/>
      <c r="BQ102" s="270"/>
      <c r="BR102" s="271"/>
      <c r="BS102" s="219"/>
      <c r="BT102" s="272"/>
      <c r="BX102" s="219"/>
      <c r="BY102" s="219"/>
      <c r="BZ102" s="172"/>
      <c r="CA102" s="172"/>
      <c r="CB102" s="172"/>
      <c r="CC102" s="172"/>
    </row>
    <row r="103" spans="8:81">
      <c r="H103" s="170">
        <v>97</v>
      </c>
      <c r="I103" s="456">
        <f>IF(PLOT_TYPE=1, H103/100*Iout_max, min_I*EXP(H103*rr/100))</f>
        <v>0.97</v>
      </c>
      <c r="J103" s="217"/>
      <c r="K103" s="217"/>
      <c r="L103" s="217"/>
      <c r="M103" s="217"/>
      <c r="N103" s="267"/>
      <c r="O103" s="172"/>
      <c r="P103" s="217"/>
      <c r="Q103" s="443"/>
      <c r="S103" s="268"/>
      <c r="T103" s="268"/>
      <c r="U103" s="268"/>
      <c r="AJ103" s="443"/>
      <c r="AZ103" s="269"/>
      <c r="BJ103" s="219"/>
      <c r="BK103" s="219"/>
      <c r="BL103" s="219"/>
      <c r="BO103" s="172"/>
      <c r="BP103" s="219"/>
      <c r="BQ103" s="270"/>
      <c r="BR103" s="271"/>
      <c r="BS103" s="219"/>
      <c r="BT103" s="272"/>
      <c r="BX103" s="219"/>
      <c r="BY103" s="219"/>
      <c r="BZ103" s="172"/>
      <c r="CA103" s="172"/>
      <c r="CB103" s="172"/>
      <c r="CC103" s="172"/>
    </row>
    <row r="104" spans="8:81">
      <c r="H104" s="170">
        <v>98</v>
      </c>
      <c r="I104" s="456">
        <f>IF(PLOT_TYPE=1, H104/100*Iout_max, min_I*EXP(H104*rr/100))</f>
        <v>0.98</v>
      </c>
      <c r="J104" s="217"/>
      <c r="K104" s="217"/>
      <c r="L104" s="217"/>
      <c r="M104" s="217"/>
      <c r="N104" s="267"/>
      <c r="O104" s="172"/>
      <c r="P104" s="217"/>
      <c r="Q104" s="443"/>
      <c r="S104" s="268"/>
      <c r="T104" s="268"/>
      <c r="U104" s="268"/>
      <c r="AJ104" s="443"/>
      <c r="AZ104" s="269"/>
      <c r="BJ104" s="219"/>
      <c r="BK104" s="219"/>
      <c r="BL104" s="219"/>
      <c r="BO104" s="172"/>
      <c r="BP104" s="219"/>
      <c r="BQ104" s="270"/>
      <c r="BR104" s="271"/>
      <c r="BS104" s="219"/>
      <c r="BT104" s="272"/>
      <c r="BX104" s="219"/>
      <c r="BY104" s="219"/>
      <c r="BZ104" s="172"/>
      <c r="CA104" s="172"/>
      <c r="CB104" s="172"/>
      <c r="CC104" s="172"/>
    </row>
    <row r="105" spans="8:81">
      <c r="H105" s="170">
        <v>99</v>
      </c>
      <c r="I105" s="456">
        <f>IF(PLOT_TYPE=1, H105/100*Iout_max, min_I*EXP(H105*rr/100))</f>
        <v>0.99</v>
      </c>
      <c r="J105" s="217"/>
      <c r="K105" s="217"/>
      <c r="L105" s="217"/>
      <c r="M105" s="217"/>
      <c r="N105" s="267"/>
      <c r="O105" s="172"/>
      <c r="P105" s="217"/>
      <c r="Q105" s="443"/>
      <c r="S105" s="268"/>
      <c r="T105" s="268"/>
      <c r="U105" s="268"/>
      <c r="AJ105" s="443"/>
      <c r="AZ105" s="269"/>
      <c r="BJ105" s="219"/>
      <c r="BK105" s="219"/>
      <c r="BL105" s="219"/>
      <c r="BO105" s="172"/>
      <c r="BP105" s="219"/>
      <c r="BQ105" s="270"/>
      <c r="BR105" s="271"/>
      <c r="BS105" s="219"/>
      <c r="BT105" s="272"/>
      <c r="BX105" s="219"/>
      <c r="BY105" s="219"/>
      <c r="BZ105" s="172"/>
      <c r="CA105" s="172"/>
      <c r="CB105" s="172"/>
      <c r="CC105" s="172"/>
    </row>
    <row r="106" spans="8:81">
      <c r="H106" s="170">
        <v>100</v>
      </c>
      <c r="I106" s="456">
        <f>IF(PLOT_TYPE=1, H106/100*Iout_max, min_I*EXP(H106*rr/100))</f>
        <v>1</v>
      </c>
      <c r="J106" s="217"/>
      <c r="K106" s="217"/>
      <c r="L106" s="217"/>
      <c r="M106" s="217"/>
      <c r="N106" s="267"/>
      <c r="O106" s="172"/>
      <c r="P106" s="217"/>
      <c r="Q106" s="443"/>
      <c r="S106" s="268"/>
      <c r="T106" s="268"/>
      <c r="U106" s="268"/>
      <c r="AJ106" s="443"/>
      <c r="AY106" s="216">
        <f>Vout*I106</f>
        <v>16.399999999999999</v>
      </c>
      <c r="AZ106" s="269">
        <f>AY106/(AY106+AX106)</f>
        <v>1</v>
      </c>
      <c r="BA106" s="345">
        <f>AG106/($AY106+$AX106)</f>
        <v>0</v>
      </c>
      <c r="BB106" s="345">
        <f>AO106/($AY106+$AX106)</f>
        <v>0</v>
      </c>
      <c r="BC106" s="345" t="e">
        <f>Vin*R106*(QgBot+Qg)/($AY106+$AX106)</f>
        <v>#NAME?</v>
      </c>
      <c r="BD106" s="345">
        <f>AK106/($AY106+$AX106)</f>
        <v>0</v>
      </c>
      <c r="BE106" s="345">
        <f>AQ106/(AX106+AY106)</f>
        <v>0</v>
      </c>
      <c r="BF106" s="345">
        <f>AR106/($AY106+$AX106)</f>
        <v>0</v>
      </c>
      <c r="BG106" s="345">
        <f>W106/($AY106+$AX106)</f>
        <v>0</v>
      </c>
      <c r="BH106" s="345">
        <f>X106/($AY106+$AX106)</f>
        <v>0</v>
      </c>
      <c r="BI106" s="345">
        <f>(AB106+AE106)/($AY106+$AX106)</f>
        <v>0</v>
      </c>
      <c r="BJ106" s="219">
        <f>AT106/($AY106+$AX106)</f>
        <v>0</v>
      </c>
      <c r="BK106" s="219">
        <f>AX106/($AY106+$AX106)</f>
        <v>0</v>
      </c>
      <c r="BL106" s="219">
        <f>AZ106</f>
        <v>1</v>
      </c>
      <c r="BM106" s="172">
        <f>100*BL106</f>
        <v>100</v>
      </c>
      <c r="BN106" s="217">
        <f xml:space="preserve"> CHOOSE(MODE, I106*1000,#REF!)</f>
        <v>1000</v>
      </c>
      <c r="BO106" s="172">
        <v>88.698181382326453</v>
      </c>
      <c r="BP106" s="219">
        <f>BO106/100</f>
        <v>0.88698181382326458</v>
      </c>
      <c r="BQ106" s="270">
        <f>R106/1000</f>
        <v>0</v>
      </c>
      <c r="BR106" s="271"/>
      <c r="BS106" s="219">
        <f>AL106/($AY106+$AX106)</f>
        <v>0</v>
      </c>
      <c r="BT106" s="272"/>
      <c r="BU106" s="172">
        <f>1000*AW106</f>
        <v>0</v>
      </c>
      <c r="BV106" s="172">
        <f>1000*AU106</f>
        <v>0</v>
      </c>
      <c r="BW106" s="172">
        <f>1000*Y106</f>
        <v>0</v>
      </c>
      <c r="BX106" s="219"/>
      <c r="BY106" s="219"/>
      <c r="BZ106" s="172">
        <f xml:space="preserve"> IF(MODE=1, BM106,#REF!)</f>
        <v>100</v>
      </c>
      <c r="CA106" s="172">
        <f xml:space="preserve"> IF(MODE=1, BU106,#REF!)</f>
        <v>0</v>
      </c>
      <c r="CB106" s="172">
        <f xml:space="preserve"> IF(MODE=1, BV106,#REF!)</f>
        <v>0</v>
      </c>
      <c r="CC106" s="172">
        <f xml:space="preserve"> IF(MODE=1, BW106,#REF!)</f>
        <v>0</v>
      </c>
    </row>
    <row r="107" spans="8:81">
      <c r="BQ107" s="270"/>
      <c r="BR107" s="271"/>
      <c r="BS107" s="271"/>
      <c r="BT107" s="272"/>
      <c r="BX107" s="219"/>
      <c r="BY107" s="219"/>
    </row>
    <row r="108" spans="8:81" ht="13">
      <c r="H108" s="328">
        <v>1.0000000000000001E-5</v>
      </c>
      <c r="I108" s="329" t="s">
        <v>1</v>
      </c>
      <c r="J108" s="330" t="s">
        <v>276</v>
      </c>
      <c r="AG108" s="216">
        <v>4.9516878778202269E-3</v>
      </c>
      <c r="AH108" s="216">
        <v>3.7188236700537959E-3</v>
      </c>
      <c r="AI108">
        <v>20</v>
      </c>
      <c r="AJ108" s="216">
        <v>18.943591787921068</v>
      </c>
      <c r="AK108" s="216">
        <v>4.1453367485397245E-3</v>
      </c>
      <c r="AL108" s="216">
        <v>7.1640215182307235E-3</v>
      </c>
      <c r="AN108" s="216">
        <v>9.1940431932401354E-2</v>
      </c>
      <c r="AO108" s="216">
        <v>8.4530430239165271E-3</v>
      </c>
      <c r="AP108" s="216">
        <v>9.3281530185295868E-4</v>
      </c>
      <c r="AQ108" s="216">
        <v>9.1178757202630047E-3</v>
      </c>
      <c r="AR108" s="216">
        <v>1.2140752334887425E-3</v>
      </c>
      <c r="AS108" s="216">
        <v>1.8784993977668273E-2</v>
      </c>
      <c r="AZ108" s="332" t="s">
        <v>280</v>
      </c>
      <c r="BA108" s="352">
        <v>3.6409104085968987E-3</v>
      </c>
      <c r="BB108" s="352">
        <v>6.5692245841190103E-3</v>
      </c>
      <c r="BC108" s="352">
        <v>5.4394694205683519E-2</v>
      </c>
      <c r="BD108" s="352">
        <v>4.5907837520612008E-3</v>
      </c>
      <c r="BE108" s="352">
        <v>0</v>
      </c>
      <c r="BF108" s="352">
        <v>7.3751579484765363E-4</v>
      </c>
      <c r="BG108" s="352">
        <v>7.2151246180390156E-3</v>
      </c>
      <c r="BH108" s="352">
        <v>1.4929120352630757E-2</v>
      </c>
      <c r="BI108" s="352">
        <v>5.5024434421027814E-6</v>
      </c>
      <c r="BJ108" s="352">
        <v>8.2551506228875166E-2</v>
      </c>
    </row>
    <row r="109" spans="8:81" ht="13">
      <c r="H109" s="331">
        <f>Iout_max</f>
        <v>1</v>
      </c>
      <c r="I109" s="329" t="s">
        <v>1</v>
      </c>
      <c r="J109" s="330" t="s">
        <v>277</v>
      </c>
      <c r="AZ109" s="332" t="s">
        <v>278</v>
      </c>
      <c r="BA109" s="352">
        <v>8.1000709018000279E-3</v>
      </c>
      <c r="BB109" s="352">
        <v>1.4614802049391215E-2</v>
      </c>
      <c r="BC109" s="352">
        <v>2.4831534664325892E-2</v>
      </c>
      <c r="BD109" s="352">
        <v>9.9057039827182662E-3</v>
      </c>
      <c r="BE109" s="352">
        <v>1.1631608311305648E-2</v>
      </c>
      <c r="BF109" s="352">
        <v>1.6465542803473395E-3</v>
      </c>
      <c r="BG109" s="352">
        <v>1.6051760250250457E-2</v>
      </c>
      <c r="BH109" s="352">
        <v>6.8152413568584669E-3</v>
      </c>
      <c r="BI109" s="352">
        <v>1.7517781122613987E-5</v>
      </c>
      <c r="BJ109" s="352">
        <v>1.2837829865088564E-2</v>
      </c>
    </row>
    <row r="110" spans="8:81" ht="13">
      <c r="H110" s="331">
        <f>LOG(max_I/min_I,EXP(1))</f>
        <v>11.512925464970229</v>
      </c>
      <c r="I110" s="217"/>
      <c r="J110" s="330" t="s">
        <v>279</v>
      </c>
    </row>
    <row r="111" spans="8:81" ht="13">
      <c r="AZ111" s="332"/>
      <c r="BA111" s="352"/>
      <c r="BB111" s="352"/>
      <c r="BC111" s="352"/>
      <c r="BD111" s="352"/>
      <c r="BE111" s="352"/>
      <c r="BF111" s="352"/>
      <c r="BG111" s="352"/>
      <c r="BH111" s="352"/>
      <c r="BI111" s="352"/>
      <c r="BJ111" s="352"/>
    </row>
    <row r="112" spans="8:81" ht="13">
      <c r="J112" s="334"/>
      <c r="R112" s="335"/>
      <c r="S112" s="335"/>
      <c r="T112" s="335"/>
      <c r="U112" s="335"/>
      <c r="V112" s="336"/>
    </row>
    <row r="113" spans="10:22" ht="13">
      <c r="J113" s="334"/>
      <c r="R113" s="335"/>
      <c r="S113" s="335"/>
      <c r="T113" s="335"/>
      <c r="U113" s="335"/>
      <c r="V113" s="336"/>
    </row>
    <row r="114" spans="10:22" ht="13">
      <c r="R114" s="337"/>
      <c r="S114" s="337"/>
      <c r="T114" s="337"/>
      <c r="U114" s="337"/>
      <c r="V114" s="336"/>
    </row>
    <row r="116" spans="10:22" ht="13">
      <c r="R116" s="337"/>
      <c r="S116" s="337"/>
      <c r="T116" s="337"/>
      <c r="U116" s="337"/>
      <c r="V116" s="336"/>
    </row>
    <row r="121" spans="10:22">
      <c r="V121" s="330"/>
    </row>
    <row r="122" spans="10:22">
      <c r="O122" s="330"/>
      <c r="P122" s="330"/>
      <c r="Q122" s="330"/>
    </row>
    <row r="123" spans="10:22">
      <c r="O123" s="330"/>
      <c r="P123" s="330"/>
      <c r="Q123" s="330"/>
    </row>
    <row r="124" spans="10:22">
      <c r="O124" s="330"/>
      <c r="P124" s="330"/>
      <c r="Q124" s="330"/>
    </row>
    <row r="125" spans="10:22">
      <c r="O125" s="330"/>
      <c r="P125" s="330"/>
      <c r="Q125" s="330"/>
    </row>
    <row r="126" spans="10:22">
      <c r="J126" s="338"/>
      <c r="O126" s="330"/>
      <c r="P126" s="330"/>
      <c r="Q126" s="330"/>
    </row>
    <row r="127" spans="10:22">
      <c r="J127" s="338"/>
      <c r="O127" s="330"/>
      <c r="P127" s="330"/>
      <c r="Q127" s="330"/>
    </row>
    <row r="128" spans="10:22">
      <c r="J128" s="338"/>
      <c r="O128" s="330"/>
      <c r="P128" s="330"/>
      <c r="Q128" s="330"/>
    </row>
    <row r="129" spans="10:17">
      <c r="J129" s="329"/>
      <c r="O129" s="330"/>
      <c r="P129" s="330"/>
      <c r="Q129" s="330"/>
    </row>
    <row r="130" spans="10:17">
      <c r="J130" s="329"/>
    </row>
    <row r="131" spans="10:17">
      <c r="J131" s="329"/>
    </row>
    <row r="132" spans="10:17">
      <c r="J132" s="329"/>
    </row>
    <row r="133" spans="10:17">
      <c r="J133" s="329"/>
    </row>
  </sheetData>
  <sheetProtection algorithmName="SHA-512" hashValue="0cUnFa7ufQE2QFQ9eSByCEfmn6EpWCL2i4IB/IyFIfGoQvvqfVNOyvPgZhiw12bINkeNpez8XmCsyRLDVC5XpQ==" saltValue="Wk0yaZAbwsKsRJCgaB8scA==" spinCount="100000" sheet="1" selectLockedCells="1" selectUnlockedCells="1"/>
  <mergeCells count="4">
    <mergeCell ref="A1:E3"/>
    <mergeCell ref="G2:H2"/>
    <mergeCell ref="A4:E4"/>
    <mergeCell ref="K4:U4"/>
  </mergeCells>
  <phoneticPr fontId="83"/>
  <conditionalFormatting sqref="B26:B28">
    <cfRule type="cellIs" dxfId="12" priority="8" stopIfTrue="1" operator="notEqual">
      <formula>G28</formula>
    </cfRule>
  </conditionalFormatting>
  <conditionalFormatting sqref="B30:B33">
    <cfRule type="cellIs" dxfId="11" priority="6" stopIfTrue="1" operator="notEqual">
      <formula>G36</formula>
    </cfRule>
  </conditionalFormatting>
  <conditionalFormatting sqref="B35:B36">
    <cfRule type="cellIs" dxfId="10" priority="5" stopIfTrue="1" operator="notEqual">
      <formula>G42</formula>
    </cfRule>
  </conditionalFormatting>
  <conditionalFormatting sqref="B41">
    <cfRule type="cellIs" dxfId="9" priority="4" stopIfTrue="1" operator="notEqual">
      <formula>G53</formula>
    </cfRule>
  </conditionalFormatting>
  <conditionalFormatting sqref="B50:B53">
    <cfRule type="cellIs" dxfId="8" priority="9" stopIfTrue="1" operator="notEqual">
      <formula>G70</formula>
    </cfRule>
  </conditionalFormatting>
  <conditionalFormatting sqref="B48:B49">
    <cfRule type="cellIs" dxfId="7" priority="12" stopIfTrue="1" operator="notEqual">
      <formula>G68</formula>
    </cfRule>
  </conditionalFormatting>
  <conditionalFormatting sqref="B43:B45">
    <cfRule type="cellIs" dxfId="6" priority="13" stopIfTrue="1" operator="notEqual">
      <formula>G54</formula>
    </cfRule>
  </conditionalFormatting>
  <conditionalFormatting sqref="B46">
    <cfRule type="cellIs" dxfId="5" priority="2" stopIfTrue="1" operator="notEqual">
      <formula>G66</formula>
    </cfRule>
  </conditionalFormatting>
  <conditionalFormatting sqref="B29">
    <cfRule type="cellIs" dxfId="4" priority="145" stopIfTrue="1" operator="notEqual">
      <formula>G30</formula>
    </cfRule>
  </conditionalFormatting>
  <conditionalFormatting sqref="B38:B39">
    <cfRule type="cellIs" dxfId="3" priority="147" stopIfTrue="1" operator="notEqual">
      <formula>G43</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184150</xdr:colOff>
                <xdr:row>111</xdr:row>
                <xdr:rowOff>146050</xdr:rowOff>
              </from>
              <to>
                <xdr:col>36</xdr:col>
                <xdr:colOff>12700</xdr:colOff>
                <xdr:row>125</xdr:row>
                <xdr:rowOff>146050</xdr:rowOff>
              </to>
            </anchor>
          </objectPr>
        </oleObject>
      </mc:Choice>
      <mc:Fallback>
        <oleObject progId="Visio.Drawing.11" shapeId="68300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rgb="FF7030A0"/>
  </sheetPr>
  <dimension ref="B1:FL329"/>
  <sheetViews>
    <sheetView topLeftCell="G1" zoomScale="70" zoomScaleNormal="70" workbookViewId="0">
      <pane ySplit="3" topLeftCell="A4" activePane="bottomLeft" state="frozen"/>
      <selection pane="bottomLeft" activeCell="U316" sqref="U216:U316"/>
    </sheetView>
  </sheetViews>
  <sheetFormatPr defaultRowHeight="12.5"/>
  <cols>
    <col min="1" max="1" width="2.81640625" customWidth="1"/>
    <col min="2" max="2" width="3.54296875" customWidth="1"/>
    <col min="3" max="3" width="2.81640625" customWidth="1"/>
    <col min="4" max="4" width="3.7265625" customWidth="1"/>
    <col min="5" max="5" width="6.1796875" customWidth="1"/>
    <col min="6" max="7" width="7.7265625" customWidth="1"/>
    <col min="8" max="8" width="7.81640625" customWidth="1"/>
    <col min="9" max="9" width="6.26953125" customWidth="1"/>
    <col min="10" max="10" width="9.54296875" customWidth="1"/>
    <col min="11" max="11" width="9.26953125" customWidth="1"/>
    <col min="12" max="12" width="1.81640625" customWidth="1"/>
    <col min="13" max="13" width="8.453125" customWidth="1"/>
    <col min="14" max="15" width="9.54296875" customWidth="1"/>
    <col min="16" max="16" width="8.81640625" customWidth="1"/>
    <col min="17" max="18" width="8.54296875" customWidth="1"/>
    <col min="19" max="19" width="15.453125" customWidth="1"/>
    <col min="20" max="20" width="10.453125" customWidth="1"/>
    <col min="21" max="21" width="7.54296875" customWidth="1"/>
    <col min="22" max="22" width="9" customWidth="1"/>
    <col min="23" max="23" width="8.81640625" customWidth="1"/>
    <col min="24" max="24" width="10" customWidth="1"/>
    <col min="25" max="25" width="9.54296875" customWidth="1"/>
    <col min="26" max="26" width="1.81640625" customWidth="1"/>
    <col min="27" max="27" width="9.81640625" customWidth="1"/>
    <col min="28" max="28" width="10.453125" customWidth="1"/>
    <col min="29" max="29" width="10.1796875" customWidth="1"/>
    <col min="30" max="30" width="2" customWidth="1"/>
    <col min="31" max="31" width="9.1796875" customWidth="1"/>
    <col min="32" max="32" width="9.453125" customWidth="1"/>
    <col min="33" max="33" width="10.453125" customWidth="1"/>
    <col min="34" max="34" width="2.1796875" customWidth="1"/>
    <col min="36" max="36" width="8" customWidth="1"/>
    <col min="38" max="38" width="2.26953125" customWidth="1"/>
    <col min="39" max="39" width="6.54296875" customWidth="1"/>
    <col min="40" max="40" width="7.54296875" customWidth="1"/>
    <col min="41" max="41" width="2" customWidth="1"/>
    <col min="42" max="42" width="6.453125" customWidth="1"/>
    <col min="43" max="43" width="7.54296875" customWidth="1"/>
    <col min="44" max="44" width="2.1796875" customWidth="1"/>
    <col min="45" max="48" width="7" customWidth="1"/>
    <col min="49" max="50" width="8.453125" customWidth="1"/>
    <col min="51" max="52" width="11" customWidth="1"/>
    <col min="53" max="53" width="9.453125" customWidth="1"/>
    <col min="54" max="54" width="9.81640625" customWidth="1"/>
    <col min="55" max="55" width="2" customWidth="1"/>
    <col min="58" max="58" width="2.1796875" customWidth="1"/>
    <col min="59" max="59" width="9" customWidth="1"/>
    <col min="60" max="61" width="8.1796875" customWidth="1"/>
    <col min="62" max="62" width="8.7265625" customWidth="1"/>
    <col min="63" max="64" width="7.54296875" customWidth="1"/>
    <col min="65" max="65" width="10.54296875" customWidth="1"/>
    <col min="66" max="66" width="8.7265625" customWidth="1"/>
    <col min="67" max="68" width="10.26953125" customWidth="1"/>
    <col min="69" max="70" width="10.54296875" customWidth="1"/>
    <col min="71" max="71" width="8.7265625" customWidth="1"/>
    <col min="73" max="73" width="9.81640625" customWidth="1"/>
    <col min="74" max="74" width="11.54296875" customWidth="1"/>
    <col min="75" max="75" width="12.1796875" customWidth="1"/>
    <col min="76" max="76" width="9.1796875" customWidth="1"/>
    <col min="78" max="78" width="7.7265625" customWidth="1"/>
    <col min="79" max="79" width="10.453125" customWidth="1"/>
    <col min="80" max="80" width="12.453125" bestFit="1" customWidth="1"/>
    <col min="81" max="81" width="4.54296875" customWidth="1"/>
    <col min="82" max="82" width="5" customWidth="1"/>
    <col min="83" max="83" width="9.54296875" customWidth="1"/>
    <col min="85" max="85" width="12.54296875" customWidth="1"/>
    <col min="86" max="86" width="11.54296875" customWidth="1"/>
    <col min="87" max="87" width="6.1796875" customWidth="1"/>
    <col min="88" max="89" width="7.7265625" customWidth="1"/>
    <col min="90" max="90" width="7.81640625" customWidth="1"/>
    <col min="91" max="91" width="6.26953125" customWidth="1"/>
    <col min="92" max="92" width="9.54296875" customWidth="1"/>
    <col min="93" max="93" width="9.26953125" customWidth="1"/>
    <col min="94" max="94" width="1.81640625" customWidth="1"/>
    <col min="95" max="95" width="8.453125" customWidth="1"/>
    <col min="96" max="97" width="9.54296875" customWidth="1"/>
    <col min="98" max="98" width="8.81640625" customWidth="1"/>
    <col min="99" max="100" width="8.54296875" customWidth="1"/>
    <col min="101" max="101" width="15.453125" customWidth="1"/>
    <col min="102" max="102" width="10.453125" customWidth="1"/>
    <col min="103" max="103" width="7.54296875" customWidth="1"/>
    <col min="104" max="104" width="9" customWidth="1"/>
    <col min="105" max="105" width="8.81640625" customWidth="1"/>
    <col min="106" max="106" width="10" customWidth="1"/>
    <col min="107" max="107" width="9.54296875" customWidth="1"/>
    <col min="108" max="108" width="1.81640625" customWidth="1"/>
    <col min="109" max="109" width="9.81640625" customWidth="1"/>
    <col min="110" max="110" width="10.453125" customWidth="1"/>
    <col min="111" max="111" width="10.1796875" customWidth="1"/>
    <col min="112" max="112" width="2" customWidth="1"/>
    <col min="113" max="113" width="9.1796875" customWidth="1"/>
    <col min="114" max="114" width="9.453125" customWidth="1"/>
    <col min="115" max="115" width="10.453125" customWidth="1"/>
    <col min="116" max="116" width="2.1796875" customWidth="1"/>
    <col min="118" max="118" width="8" customWidth="1"/>
    <col min="120" max="120" width="2.26953125" customWidth="1"/>
    <col min="121" max="121" width="6.54296875" customWidth="1"/>
    <col min="122" max="122" width="7.54296875" customWidth="1"/>
    <col min="123" max="123" width="2" customWidth="1"/>
    <col min="124" max="124" width="6.453125" customWidth="1"/>
    <col min="125" max="125" width="7.54296875" customWidth="1"/>
    <col min="126" max="126" width="2.1796875" customWidth="1"/>
    <col min="127" max="130" width="7" customWidth="1"/>
    <col min="131" max="132" width="8.453125" customWidth="1"/>
    <col min="133" max="134" width="11" customWidth="1"/>
    <col min="135" max="135" width="9.453125" customWidth="1"/>
    <col min="136" max="136" width="9.81640625" customWidth="1"/>
    <col min="137" max="137" width="2" customWidth="1"/>
    <col min="140" max="140" width="2.1796875" customWidth="1"/>
    <col min="141" max="141" width="9" customWidth="1"/>
    <col min="142" max="143" width="8.1796875" customWidth="1"/>
    <col min="145" max="146" width="7.54296875" customWidth="1"/>
    <col min="147" max="147" width="10.54296875" customWidth="1"/>
    <col min="149" max="150" width="10.26953125" customWidth="1"/>
    <col min="151" max="152" width="10.54296875" customWidth="1"/>
    <col min="155" max="155" width="9.81640625" customWidth="1"/>
    <col min="156" max="156" width="11.54296875" customWidth="1"/>
    <col min="157" max="157" width="12.1796875" customWidth="1"/>
    <col min="158" max="158" width="9.1796875" customWidth="1"/>
    <col min="160" max="160" width="7.7265625" customWidth="1"/>
    <col min="161" max="161" width="10.453125" customWidth="1"/>
    <col min="162" max="162" width="12.453125" bestFit="1" customWidth="1"/>
    <col min="163" max="163" width="4.54296875" customWidth="1"/>
    <col min="164" max="164" width="5" customWidth="1"/>
    <col min="165" max="165" width="9.54296875" customWidth="1"/>
    <col min="168" max="168" width="12.1796875" bestFit="1" customWidth="1"/>
  </cols>
  <sheetData>
    <row r="1" spans="2:168" ht="25">
      <c r="B1" s="445" t="s">
        <v>824</v>
      </c>
      <c r="M1">
        <f>Vfwd2</f>
        <v>0.7</v>
      </c>
      <c r="BB1">
        <f>Ltc</f>
        <v>4.0000000000000001E-3</v>
      </c>
      <c r="BT1">
        <f>Ta</f>
        <v>85</v>
      </c>
      <c r="CI1" s="779" t="s">
        <v>823</v>
      </c>
      <c r="CQ1">
        <f>Vfwd2</f>
        <v>0.7</v>
      </c>
      <c r="EF1">
        <f>Ltc</f>
        <v>4.0000000000000001E-3</v>
      </c>
      <c r="EX1">
        <f>Ta</f>
        <v>85</v>
      </c>
    </row>
    <row r="2" spans="2:168" ht="13" thickBot="1">
      <c r="M2">
        <f>Vfwd1</f>
        <v>0.4</v>
      </c>
      <c r="U2">
        <f>Isw_max</f>
        <v>6.666666666666667</v>
      </c>
      <c r="CQ2">
        <f>Vfwd1</f>
        <v>0.4</v>
      </c>
      <c r="CY2">
        <f>Isw_max</f>
        <v>6.666666666666667</v>
      </c>
    </row>
    <row r="3" spans="2:168" ht="13">
      <c r="E3" s="220" t="s">
        <v>421</v>
      </c>
      <c r="F3" s="540"/>
      <c r="G3" s="540"/>
      <c r="H3" s="540"/>
      <c r="I3" s="221"/>
      <c r="J3" s="222"/>
      <c r="K3" s="524"/>
      <c r="L3" s="524"/>
      <c r="M3" s="947" t="s">
        <v>189</v>
      </c>
      <c r="N3" s="948"/>
      <c r="O3" s="950"/>
      <c r="P3" s="947"/>
      <c r="Q3" s="947"/>
      <c r="R3" s="950"/>
      <c r="S3" s="950"/>
      <c r="T3" s="950"/>
      <c r="U3" s="947"/>
      <c r="V3" s="948"/>
      <c r="W3" s="948"/>
      <c r="X3" s="947"/>
      <c r="Y3" s="948"/>
      <c r="Z3" s="947"/>
      <c r="AA3" s="949"/>
      <c r="AB3" s="533"/>
      <c r="AC3" s="533"/>
      <c r="AD3" s="533"/>
      <c r="AE3" s="533"/>
      <c r="AF3" s="533"/>
      <c r="AG3" s="533"/>
      <c r="AH3" s="533"/>
      <c r="AI3" s="533"/>
      <c r="AJ3" s="533"/>
      <c r="AK3" s="533"/>
      <c r="AL3" s="533"/>
      <c r="AM3" s="533"/>
      <c r="AN3" s="533"/>
      <c r="AO3" s="533"/>
      <c r="AP3" s="533"/>
      <c r="AQ3" s="533"/>
      <c r="AR3" s="533"/>
      <c r="AS3" s="533" t="s">
        <v>460</v>
      </c>
      <c r="AT3" s="533"/>
      <c r="AU3" s="533"/>
      <c r="AV3" s="533"/>
      <c r="AW3" s="533"/>
      <c r="AX3" s="533"/>
      <c r="AY3" s="533"/>
      <c r="AZ3" s="533"/>
      <c r="BA3" s="533" t="s">
        <v>470</v>
      </c>
      <c r="BB3" s="533"/>
      <c r="BC3" s="533"/>
      <c r="BD3" s="558" t="s">
        <v>471</v>
      </c>
      <c r="BE3" s="533"/>
      <c r="BF3" s="533"/>
      <c r="BG3" s="558" t="s">
        <v>888</v>
      </c>
      <c r="BH3" s="533"/>
      <c r="BI3" s="533"/>
      <c r="BJ3" s="533"/>
      <c r="BK3" s="533"/>
      <c r="BL3" s="533"/>
      <c r="BM3" s="533"/>
      <c r="BN3" s="533"/>
      <c r="BO3" s="558" t="s">
        <v>489</v>
      </c>
      <c r="BP3" s="533"/>
      <c r="BQ3" s="533"/>
      <c r="BR3" s="533"/>
      <c r="BS3" s="559" t="s">
        <v>490</v>
      </c>
      <c r="BT3" s="533"/>
      <c r="BU3" s="533"/>
      <c r="BV3" s="533"/>
      <c r="BW3" s="533"/>
      <c r="BX3" s="533"/>
      <c r="BY3" s="558"/>
      <c r="BZ3" s="533"/>
      <c r="CA3" s="533"/>
      <c r="CB3" s="533"/>
      <c r="CC3" s="533"/>
      <c r="CI3" s="220" t="s">
        <v>421</v>
      </c>
      <c r="CJ3" s="540"/>
      <c r="CK3" s="540"/>
      <c r="CL3" s="540"/>
      <c r="CM3" s="221"/>
      <c r="CN3" s="222"/>
      <c r="CO3" s="524"/>
      <c r="CP3" s="524"/>
      <c r="CQ3" s="947" t="s">
        <v>189</v>
      </c>
      <c r="CR3" s="948"/>
      <c r="CS3" s="950"/>
      <c r="CT3" s="947"/>
      <c r="CU3" s="947"/>
      <c r="CV3" s="950"/>
      <c r="CW3" s="950"/>
      <c r="CX3" s="950"/>
      <c r="CY3" s="947"/>
      <c r="CZ3" s="948"/>
      <c r="DA3" s="948"/>
      <c r="DB3" s="947"/>
      <c r="DC3" s="948"/>
      <c r="DD3" s="947"/>
      <c r="DE3" s="949"/>
      <c r="DF3" s="533"/>
      <c r="DG3" s="533"/>
      <c r="DH3" s="533"/>
      <c r="DI3" s="533"/>
      <c r="DJ3" s="533"/>
      <c r="DK3" s="533"/>
      <c r="DL3" s="533"/>
      <c r="DM3" s="533"/>
      <c r="DN3" s="533"/>
      <c r="DO3" s="533"/>
      <c r="DP3" s="533"/>
      <c r="DQ3" s="533"/>
      <c r="DR3" s="533"/>
      <c r="DS3" s="533"/>
      <c r="DT3" s="533"/>
      <c r="DU3" s="533"/>
      <c r="DV3" s="533"/>
      <c r="DW3" s="533" t="s">
        <v>460</v>
      </c>
      <c r="DX3" s="533"/>
      <c r="DY3" s="533"/>
      <c r="DZ3" s="533"/>
      <c r="EA3" s="533"/>
      <c r="EB3" s="533"/>
      <c r="EC3" s="533"/>
      <c r="ED3" s="533"/>
      <c r="EE3" s="533" t="s">
        <v>470</v>
      </c>
      <c r="EF3" s="533"/>
      <c r="EG3" s="533"/>
      <c r="EH3" s="558" t="s">
        <v>471</v>
      </c>
      <c r="EI3" s="533"/>
      <c r="EJ3" s="533"/>
      <c r="EK3" s="558" t="s">
        <v>493</v>
      </c>
      <c r="EL3" s="533"/>
      <c r="EM3" s="533"/>
      <c r="EN3" s="533"/>
      <c r="EO3" s="533"/>
      <c r="EP3" s="533"/>
      <c r="EQ3" s="533"/>
      <c r="ER3" s="533"/>
      <c r="ES3" s="558" t="s">
        <v>489</v>
      </c>
      <c r="ET3" s="533"/>
      <c r="EU3" s="533"/>
      <c r="EV3" s="533"/>
      <c r="EW3" s="559" t="s">
        <v>490</v>
      </c>
      <c r="EX3" s="533"/>
      <c r="EY3" s="533"/>
      <c r="EZ3" s="533"/>
      <c r="FA3" s="533"/>
      <c r="FB3" s="533"/>
      <c r="FC3" s="558"/>
      <c r="FD3" s="533"/>
      <c r="FE3" s="533"/>
      <c r="FF3" s="533"/>
      <c r="FG3" s="533"/>
    </row>
    <row r="4" spans="2:168" ht="45" customHeight="1" thickBot="1">
      <c r="E4" s="241" t="s">
        <v>25</v>
      </c>
      <c r="F4" s="444" t="s">
        <v>194</v>
      </c>
      <c r="G4" s="260"/>
      <c r="H4" s="527" t="s">
        <v>223</v>
      </c>
      <c r="I4" s="242" t="s">
        <v>412</v>
      </c>
      <c r="J4" s="243" t="s">
        <v>418</v>
      </c>
      <c r="K4" s="527" t="s">
        <v>413</v>
      </c>
      <c r="L4" s="527"/>
      <c r="M4" s="244" t="s">
        <v>48</v>
      </c>
      <c r="N4" s="527" t="s">
        <v>402</v>
      </c>
      <c r="O4" s="527" t="s">
        <v>656</v>
      </c>
      <c r="P4" s="527" t="s">
        <v>403</v>
      </c>
      <c r="Q4" s="527" t="s">
        <v>433</v>
      </c>
      <c r="R4" s="527" t="s">
        <v>654</v>
      </c>
      <c r="S4" s="527" t="s">
        <v>657</v>
      </c>
      <c r="T4" s="527" t="s">
        <v>655</v>
      </c>
      <c r="U4" s="527" t="s">
        <v>414</v>
      </c>
      <c r="V4" s="527" t="s">
        <v>466</v>
      </c>
      <c r="W4" s="527" t="s">
        <v>465</v>
      </c>
      <c r="X4" s="546" t="s">
        <v>420</v>
      </c>
      <c r="Y4" s="542" t="s">
        <v>425</v>
      </c>
      <c r="AA4" s="245" t="s">
        <v>417</v>
      </c>
      <c r="AB4" s="245" t="s">
        <v>464</v>
      </c>
      <c r="AC4" s="245" t="s">
        <v>423</v>
      </c>
      <c r="AD4" s="544"/>
      <c r="AE4" s="245" t="s">
        <v>463</v>
      </c>
      <c r="AF4" s="245" t="s">
        <v>681</v>
      </c>
      <c r="AG4" s="245" t="s">
        <v>427</v>
      </c>
      <c r="AH4" s="544"/>
      <c r="AI4" s="245" t="s">
        <v>429</v>
      </c>
      <c r="AJ4" s="547" t="s">
        <v>430</v>
      </c>
      <c r="AK4" s="547" t="s">
        <v>431</v>
      </c>
      <c r="AM4" s="543" t="s">
        <v>275</v>
      </c>
      <c r="AN4" s="543" t="s">
        <v>432</v>
      </c>
      <c r="AP4" s="245" t="s">
        <v>275</v>
      </c>
      <c r="AQ4" s="245" t="s">
        <v>432</v>
      </c>
      <c r="AR4" s="548"/>
      <c r="AS4" s="245" t="s">
        <v>467</v>
      </c>
      <c r="AT4" s="245" t="s">
        <v>461</v>
      </c>
      <c r="AU4" s="245" t="s">
        <v>462</v>
      </c>
      <c r="AV4" s="245" t="s">
        <v>653</v>
      </c>
      <c r="AW4" s="245" t="s">
        <v>48</v>
      </c>
      <c r="AX4" s="548" t="s">
        <v>651</v>
      </c>
      <c r="AY4" s="544" t="s">
        <v>650</v>
      </c>
      <c r="AZ4" s="544" t="s">
        <v>652</v>
      </c>
      <c r="BA4" s="245" t="s">
        <v>481</v>
      </c>
      <c r="BB4" s="245" t="s">
        <v>514</v>
      </c>
      <c r="BC4" s="544"/>
      <c r="BD4" s="557" t="s">
        <v>456</v>
      </c>
      <c r="BE4" s="245" t="s">
        <v>457</v>
      </c>
      <c r="BF4" s="544"/>
      <c r="BG4" s="557" t="s">
        <v>474</v>
      </c>
      <c r="BH4" s="245" t="s">
        <v>475</v>
      </c>
      <c r="BI4" s="245" t="s">
        <v>473</v>
      </c>
      <c r="BJ4" s="245" t="s">
        <v>469</v>
      </c>
      <c r="BK4" s="245" t="s">
        <v>478</v>
      </c>
      <c r="BL4" s="245" t="s">
        <v>777</v>
      </c>
      <c r="BM4" s="245" t="s">
        <v>776</v>
      </c>
      <c r="BN4" s="245" t="s">
        <v>491</v>
      </c>
      <c r="BO4" s="557" t="s">
        <v>476</v>
      </c>
      <c r="BP4" s="245" t="s">
        <v>477</v>
      </c>
      <c r="BQ4" s="245" t="s">
        <v>483</v>
      </c>
      <c r="BR4" s="245" t="s">
        <v>487</v>
      </c>
      <c r="BS4" s="557" t="s">
        <v>458</v>
      </c>
      <c r="BT4" s="245" t="s">
        <v>459</v>
      </c>
      <c r="BU4" s="245" t="s">
        <v>468</v>
      </c>
      <c r="BV4" s="245" t="s">
        <v>666</v>
      </c>
      <c r="BW4" s="245" t="s">
        <v>484</v>
      </c>
      <c r="BX4" s="245" t="s">
        <v>667</v>
      </c>
      <c r="BY4" s="557" t="s">
        <v>482</v>
      </c>
      <c r="BZ4" s="245" t="s">
        <v>223</v>
      </c>
      <c r="CA4" s="245" t="s">
        <v>47</v>
      </c>
      <c r="CB4" s="245" t="s">
        <v>485</v>
      </c>
      <c r="CC4" s="245"/>
      <c r="CE4" s="569" t="s">
        <v>664</v>
      </c>
      <c r="CF4" s="569" t="s">
        <v>665</v>
      </c>
      <c r="CG4" s="781" t="s">
        <v>828</v>
      </c>
      <c r="CI4" s="241" t="s">
        <v>25</v>
      </c>
      <c r="CJ4" s="444" t="s">
        <v>194</v>
      </c>
      <c r="CK4" s="260"/>
      <c r="CL4" s="527" t="s">
        <v>223</v>
      </c>
      <c r="CM4" s="242" t="s">
        <v>412</v>
      </c>
      <c r="CN4" s="243" t="s">
        <v>418</v>
      </c>
      <c r="CO4" s="527" t="s">
        <v>413</v>
      </c>
      <c r="CP4" s="527"/>
      <c r="CQ4" s="244" t="s">
        <v>48</v>
      </c>
      <c r="CR4" s="527" t="s">
        <v>402</v>
      </c>
      <c r="CS4" s="527" t="s">
        <v>656</v>
      </c>
      <c r="CT4" s="527" t="s">
        <v>403</v>
      </c>
      <c r="CU4" s="527" t="s">
        <v>433</v>
      </c>
      <c r="CV4" s="527" t="s">
        <v>654</v>
      </c>
      <c r="CW4" s="527" t="s">
        <v>657</v>
      </c>
      <c r="CX4" s="527" t="s">
        <v>655</v>
      </c>
      <c r="CY4" s="527" t="s">
        <v>414</v>
      </c>
      <c r="CZ4" s="527" t="s">
        <v>466</v>
      </c>
      <c r="DA4" s="527" t="s">
        <v>465</v>
      </c>
      <c r="DB4" s="546" t="s">
        <v>420</v>
      </c>
      <c r="DC4" s="542" t="s">
        <v>425</v>
      </c>
      <c r="DE4" s="245" t="s">
        <v>417</v>
      </c>
      <c r="DF4" s="245" t="s">
        <v>464</v>
      </c>
      <c r="DG4" s="245" t="s">
        <v>423</v>
      </c>
      <c r="DH4" s="544"/>
      <c r="DI4" s="245" t="s">
        <v>463</v>
      </c>
      <c r="DJ4" s="245" t="s">
        <v>681</v>
      </c>
      <c r="DK4" s="245" t="s">
        <v>427</v>
      </c>
      <c r="DL4" s="544"/>
      <c r="DM4" s="245" t="s">
        <v>429</v>
      </c>
      <c r="DN4" s="547" t="s">
        <v>430</v>
      </c>
      <c r="DO4" s="547" t="s">
        <v>431</v>
      </c>
      <c r="DQ4" s="543" t="s">
        <v>275</v>
      </c>
      <c r="DR4" s="543" t="s">
        <v>432</v>
      </c>
      <c r="DT4" s="245" t="s">
        <v>275</v>
      </c>
      <c r="DU4" s="245" t="s">
        <v>432</v>
      </c>
      <c r="DV4" s="548"/>
      <c r="DW4" s="245" t="s">
        <v>467</v>
      </c>
      <c r="DX4" s="245" t="s">
        <v>461</v>
      </c>
      <c r="DY4" s="245" t="s">
        <v>462</v>
      </c>
      <c r="DZ4" s="245" t="s">
        <v>653</v>
      </c>
      <c r="EA4" s="245" t="s">
        <v>48</v>
      </c>
      <c r="EB4" s="548" t="s">
        <v>651</v>
      </c>
      <c r="EC4" s="544" t="s">
        <v>650</v>
      </c>
      <c r="ED4" s="544" t="s">
        <v>652</v>
      </c>
      <c r="EE4" s="245" t="s">
        <v>481</v>
      </c>
      <c r="EF4" s="245" t="s">
        <v>514</v>
      </c>
      <c r="EG4" s="544"/>
      <c r="EH4" s="557" t="s">
        <v>456</v>
      </c>
      <c r="EI4" s="245" t="s">
        <v>457</v>
      </c>
      <c r="EJ4" s="544"/>
      <c r="EK4" s="557" t="s">
        <v>474</v>
      </c>
      <c r="EL4" s="245" t="s">
        <v>475</v>
      </c>
      <c r="EM4" s="245" t="s">
        <v>473</v>
      </c>
      <c r="EN4" s="245" t="s">
        <v>469</v>
      </c>
      <c r="EO4" s="245" t="s">
        <v>478</v>
      </c>
      <c r="EP4" s="245" t="s">
        <v>777</v>
      </c>
      <c r="EQ4" s="245" t="s">
        <v>776</v>
      </c>
      <c r="ER4" s="245" t="s">
        <v>491</v>
      </c>
      <c r="ES4" s="557" t="s">
        <v>476</v>
      </c>
      <c r="ET4" s="245" t="s">
        <v>477</v>
      </c>
      <c r="EU4" s="245" t="s">
        <v>483</v>
      </c>
      <c r="EV4" s="245" t="s">
        <v>487</v>
      </c>
      <c r="EW4" s="557" t="s">
        <v>458</v>
      </c>
      <c r="EX4" s="245" t="s">
        <v>459</v>
      </c>
      <c r="EY4" s="245" t="s">
        <v>468</v>
      </c>
      <c r="EZ4" s="245" t="s">
        <v>666</v>
      </c>
      <c r="FA4" s="245" t="s">
        <v>484</v>
      </c>
      <c r="FB4" s="245" t="s">
        <v>667</v>
      </c>
      <c r="FC4" s="557" t="s">
        <v>482</v>
      </c>
      <c r="FD4" s="245" t="s">
        <v>223</v>
      </c>
      <c r="FE4" s="245" t="s">
        <v>47</v>
      </c>
      <c r="FF4" s="245" t="s">
        <v>485</v>
      </c>
      <c r="FG4" s="245"/>
      <c r="FI4" s="569" t="s">
        <v>664</v>
      </c>
      <c r="FJ4" s="569" t="s">
        <v>665</v>
      </c>
      <c r="FL4" t="s">
        <v>825</v>
      </c>
    </row>
    <row r="5" spans="2:168">
      <c r="E5" s="170">
        <v>0.1</v>
      </c>
      <c r="F5" s="217">
        <v>1.0000000000000001E-9</v>
      </c>
      <c r="G5" s="217"/>
      <c r="H5" s="217">
        <f t="shared" ref="H5:H36" si="0">F5*Vout</f>
        <v>1.6399999999999998E-8</v>
      </c>
      <c r="I5" s="541">
        <f t="shared" ref="I5:I36" si="1">Vin-F5*(Rdcr_pri+RON/1000)/CG5/Nps</f>
        <v>23.999988068482448</v>
      </c>
      <c r="J5" s="172">
        <f t="shared" ref="J5:J36" si="2">(T5+Vfwd1+F5/CG5*Rdcr_sec)*Nps</f>
        <v>16.800007158910528</v>
      </c>
      <c r="K5" s="172">
        <f t="shared" ref="K5:K36" si="3">(Vout+Vfwd1+F5/CG5*Rdcr_sec)*Nps+VIN_nom</f>
        <v>40.800007158910532</v>
      </c>
      <c r="L5" s="443"/>
      <c r="M5" s="217">
        <f t="shared" ref="M5:M36" si="4">(Vout+Vfwd1+F5/FL5*Rdcr_sec)*Nps/((Vout+Vfwd1+F5/FL5*Rdcr_sec)*Nps+I5)</f>
        <v>0.41176493076344362</v>
      </c>
      <c r="N5" s="172">
        <f t="shared" ref="N5:N36" si="5">M5*I5*(Isw_max+VIN_nom/Lmag*ILIM_delay)*0.5*Efficiency</f>
        <v>33.237648687234092</v>
      </c>
      <c r="O5" s="172">
        <f>T5*F5</f>
        <v>1.6399999999999998E-8</v>
      </c>
      <c r="P5" s="217">
        <f t="shared" ref="P5:P36" si="6">N5/Vout</f>
        <v>2.0266858955630545</v>
      </c>
      <c r="Q5" s="217">
        <f t="shared" ref="Q5:Q36" si="7">MIN(Vout,N5/F5)</f>
        <v>16.399999999999999</v>
      </c>
      <c r="R5" s="217">
        <f t="shared" ref="R5:R36" si="8">Isw_max/2*I5*Nps*(Q5+Vfwd1+F5/FL5*Rdcr_sec)/Q5/(I5+Nps*(Q5+Vfwd1+F5/FL5*Rdcr_sec))</f>
        <v>2.0086084197849896</v>
      </c>
      <c r="S5" s="172">
        <f t="shared" ref="S5:S36" si="9">(SQRT(Isw_max^2*Nps^2*I5^2+4*Isw_max*F5/Efficiency*(Nps^2*Vfwd1*I5-Nps*I5^2)+4*(F5/Efficiency)^2*Nps^2*Vfwd1^2+8*(F5/Efficiency)^2*Nps*Vfwd1*I5+4*(F5/Efficiency)^2*I5^2)-2*F5/Efficiency*I5-2*F5/Efficiency*Nps*Vfwd1+Isw_max*Nps*I5)/(4*F5/Efficiency*Nps)</f>
        <v>79999960204.274857</v>
      </c>
      <c r="T5" s="172">
        <f t="shared" ref="T5:T36" si="10">MIN(Vout, S5)</f>
        <v>16.399999999999999</v>
      </c>
      <c r="U5" s="217">
        <f>MIN(2*(Vout+Vfwd1+F5/FL5*Rdcr_sec)*F5/(I5*M5), Isw_max)</f>
        <v>3.4000012998132014E-9</v>
      </c>
      <c r="V5" s="217">
        <f t="shared" ref="V5:V68" si="11">L*U5/I5*1000000</f>
        <v>1.7000014950565039E-9</v>
      </c>
      <c r="W5" s="217">
        <f t="shared" ref="W5:W36" si="12">L*U5/J5*1000000</f>
        <v>2.4285713221329531E-9</v>
      </c>
      <c r="X5" s="197">
        <f t="shared" ref="X5:X36" si="13">IF(1/((350000*L)*(1/I5+1/J5))&gt;Isw_min, 350, 0.001/((Isw_min*L)*(1/I5+1/J5)))</f>
        <v>350</v>
      </c>
      <c r="Y5" s="443">
        <f t="shared" ref="Y5:Y68" si="14">MIN(1/(V5+W5+0.2)*1000, 350)</f>
        <v>350</v>
      </c>
      <c r="AA5" s="217">
        <f t="shared" ref="AA5:AA36" si="15">1/((X5*1000*L)*(1/I5+1/J5))</f>
        <v>2.3529412845988658</v>
      </c>
      <c r="AB5" s="173">
        <f t="shared" ref="AB5:AB36" si="16">L*AA5/J5*1000000</f>
        <v>1.6806716299647955</v>
      </c>
      <c r="AC5" s="173">
        <f t="shared" ref="AC5:AC36" si="17">0.5*AB5*AA5*Nps*X5/1000</f>
        <v>0.69204129119969116</v>
      </c>
      <c r="AD5" s="173"/>
      <c r="AE5" s="173">
        <f t="shared" ref="AE5:AE36" si="18">L*Isw_min/J5*1000000</f>
        <v>0.95238054654719528</v>
      </c>
      <c r="AF5" s="545">
        <f>MAX(12, F5/(0.5*AE5/1000000*Isw_min*Nps)/1000)</f>
        <v>12</v>
      </c>
      <c r="AG5" s="528">
        <f t="shared" ref="AG5:AG36" si="19">0.5*AE5/1000000*Isw_min*Nps*X5*1000</f>
        <v>0.22222212752767889</v>
      </c>
      <c r="AI5" s="173">
        <f t="shared" ref="AI5:AI36" si="20">SQRT(F5/Efficiency/(0.5*L/J5*Fsw_DCM*Nps))</f>
        <v>8.9442738156906925E-5</v>
      </c>
      <c r="AJ5" s="173">
        <f t="shared" ref="AJ5:AJ36" si="21">MAX(IF(F5&gt;AC5,U5,AI5),Isw_min)</f>
        <v>1.3333333333333335</v>
      </c>
      <c r="AK5" s="173">
        <f t="shared" ref="AK5:AK36" si="22">IF(F5&gt;AG5, (AJ5-Isw_min)/1.08*0.8+1.2, AF5*0.2/350+1)</f>
        <v>1.0068571428571429</v>
      </c>
      <c r="AM5" s="545">
        <f t="shared" ref="AM5:AM36" si="23">F5*1000</f>
        <v>1.0000000000000002E-6</v>
      </c>
      <c r="AN5" s="460">
        <f t="shared" ref="AN5:AN36" si="24">IF(F5&gt;AG5, Y5, AF5)</f>
        <v>12</v>
      </c>
      <c r="AP5">
        <f t="shared" ref="AP5:AP36" si="25">IF(H5&gt;N5, "",AM5)</f>
        <v>1.0000000000000002E-6</v>
      </c>
      <c r="AQ5" s="460">
        <f t="shared" ref="AQ5:AQ36" si="26">IF(H5&gt;N5, "",AN5)</f>
        <v>12</v>
      </c>
      <c r="AR5" s="460"/>
      <c r="AS5" s="5">
        <f>1/AN5*1000</f>
        <v>83.333333333333329</v>
      </c>
      <c r="AT5" s="5">
        <f t="shared" ref="AT5:AT36" si="27">L*AJ5/I5*1000000</f>
        <v>0.66666699809787466</v>
      </c>
      <c r="AU5" s="5">
        <f>AS5-AT5</f>
        <v>82.666666335235448</v>
      </c>
      <c r="AV5" s="5">
        <f t="shared" ref="AV5:AV36" si="28">L*AJ5/J5*1000000</f>
        <v>0.95238054654719528</v>
      </c>
      <c r="AW5" s="173">
        <f>AT5/AS5</f>
        <v>8.0000039771744962E-3</v>
      </c>
      <c r="AX5" s="173">
        <f t="shared" ref="AX5:AX36" si="29">0.5*L*AJ5^2*AN5*1000</f>
        <v>0.12800000000000003</v>
      </c>
      <c r="AY5" s="173">
        <f t="shared" ref="AY5:AY36" si="30">AJ5*Nps/2*(1-AW5)</f>
        <v>0.66133333068188371</v>
      </c>
      <c r="AZ5" s="173">
        <f>AX5/AY5</f>
        <v>0.1935483878727578</v>
      </c>
      <c r="BA5" s="460">
        <f t="shared" ref="BA5:BA36" si="31">F5*AT5/Vout_ripple*1000</f>
        <v>4.0650426713285054E-9</v>
      </c>
      <c r="BB5" s="5">
        <f t="shared" ref="BB5:BB36" si="32">H5/Efficiency/I5*AU5/Vinripple1</f>
        <v>4.7074097288068146E-8</v>
      </c>
      <c r="BC5" s="5"/>
      <c r="BD5" s="173">
        <f>AJ5*SQRT(AW5/3)</f>
        <v>6.8853054380941497E-2</v>
      </c>
      <c r="BE5" s="173">
        <f t="shared" ref="BE5:BE36" si="33">AJ5*Nps*SQRT((1-AW5)/3)</f>
        <v>0.76671497278650291</v>
      </c>
      <c r="BF5" s="173"/>
      <c r="BG5" s="528">
        <f t="shared" ref="BG5:BG36" si="34">Rdson*BD5^2</f>
        <v>9.4814861951697738E-5</v>
      </c>
      <c r="BH5" s="528">
        <f t="shared" ref="BH5:BH36" si="35">0.5*K5*AJ5*AN5*1000*Tfall</f>
        <v>1.2240002147673158E-2</v>
      </c>
      <c r="BI5" s="528">
        <f t="shared" ref="BI5:BI36" si="36">Qg*Vdd*AN5*1000*0+Qg*I5*AN5*1000</f>
        <v>7.1999964205447346E-3</v>
      </c>
      <c r="BJ5" s="528">
        <f t="shared" ref="BJ5:BJ36" si="37">0.5*(Coss+Csw)*K5^2*AN5*1000</f>
        <v>1.9975687010005808E-3</v>
      </c>
      <c r="BK5">
        <f t="shared" ref="BK5:BK36" si="38">I5*IQ</f>
        <v>1.0799994630817102E-2</v>
      </c>
      <c r="BL5" s="460">
        <f>(BK5+BI5)*1000</f>
        <v>17.999991051361839</v>
      </c>
      <c r="BM5" s="528">
        <f t="shared" ref="BM5:BM36" si="39">(BH5+BI5*0+BJ5+BK5*0+BG5*(1+RdsonTC*(Ta-25)))/(1-BG5*RdsonTC*ThetaJA)</f>
        <v>1.4358309187502581E-2</v>
      </c>
      <c r="BN5" s="460">
        <f>BM5*1000</f>
        <v>14.358309187502581</v>
      </c>
      <c r="BO5" s="528">
        <f>Vfwd2*F5*(1+Diode_TC/1000*(Ta-25))</f>
        <v>6.212499999999999E-10</v>
      </c>
      <c r="BP5" s="528"/>
      <c r="BR5" s="460">
        <f>SUM(BO5:BQ5)*1000</f>
        <v>6.2124999999999988E-7</v>
      </c>
      <c r="BS5" s="528">
        <f t="shared" ref="BS5:BS36" si="40">Rdcr_pri*BD5^2</f>
        <v>1.4222229292754659E-4</v>
      </c>
      <c r="BT5" s="528">
        <f t="shared" ref="BT5:BT36" si="41">Rdcr_sec*BE5^2</f>
        <v>1.7635555484850237E-2</v>
      </c>
      <c r="BU5" s="528">
        <f t="shared" ref="BU5:BU36" si="42">AJ5^2.5*AN5^2.5*k_core*0+BZ5*0.015</f>
        <v>2.4599999999999998E-10</v>
      </c>
      <c r="BV5" s="528">
        <f t="shared" ref="BV5:BV36" si="43">(BU5+(BS5+BT5)*(1+Ltc*(Ta-25)))/(1-(BS5+BT5)*Ltc*ThetaCa)</f>
        <v>2.2075841442718545E-2</v>
      </c>
      <c r="BW5" s="528">
        <f t="shared" ref="BW5:BW36" si="44">0.5*Lleak*0.000000001*AJ5^2*AN5*1000</f>
        <v>1.0666666666666668E-4</v>
      </c>
      <c r="BX5" s="460">
        <f>1000*(BV5+BW5)</f>
        <v>22.182508109385214</v>
      </c>
      <c r="BY5" s="173">
        <f t="shared" ref="BY5:BY68" si="45">SUM(BM5,BO5:BQ5,BV5, BW5)+BK5+BI5</f>
        <v>5.454080896949963E-2</v>
      </c>
      <c r="BZ5" s="5">
        <f>MIN(H5,O5)</f>
        <v>1.6399999999999998E-8</v>
      </c>
      <c r="CA5" s="173">
        <f>BZ5/(BZ5+BY5)</f>
        <v>3.0069218587900618E-7</v>
      </c>
      <c r="CB5" s="5">
        <f>CA5*100</f>
        <v>3.0069218587900618E-5</v>
      </c>
      <c r="CE5" s="562">
        <f t="shared" ref="CE5:CE36" si="46">IF(ABS(F5-Ioutmax_Vinnom)&lt;Iout/200, AN5, -50)</f>
        <v>-50</v>
      </c>
      <c r="CF5">
        <f t="shared" ref="CF5:CF36" si="47">IF(ABS(F5-Ioutmax_Vinnom)&lt;Iout/200, N5*CA5, -50)</f>
        <v>-50</v>
      </c>
      <c r="CG5" s="173">
        <f t="shared" ref="CG5:CG36" si="48">MIN(SQRT(2*DU5*1000*Ls1_*CL5)/CU5,1-EA5-0.00000005*DU5*1000)</f>
        <v>4.1905817746174687E-6</v>
      </c>
      <c r="CI5" s="170">
        <v>0.1</v>
      </c>
      <c r="CJ5" s="217">
        <v>1.0000000000000001E-9</v>
      </c>
      <c r="CK5" s="217"/>
      <c r="CL5" s="217">
        <f t="shared" ref="CL5:CL68" si="49">CJ5*Vout</f>
        <v>1.6399999999999998E-8</v>
      </c>
      <c r="CM5" s="541">
        <f t="shared" ref="CM5:CM68" si="50">Vin</f>
        <v>24</v>
      </c>
      <c r="CN5" s="172">
        <f t="shared" ref="CN5:CN68" si="51">(CX5+Vfwd1)*Nps</f>
        <v>16.799999999999997</v>
      </c>
      <c r="CO5" s="443">
        <f t="shared" ref="CO5:CO68" si="52">(Vout+Vfwd1)*Nps+CM5</f>
        <v>40.799999999999997</v>
      </c>
      <c r="CP5" s="443"/>
      <c r="CQ5" s="217">
        <f t="shared" ref="CQ5:CQ68" si="53">(Vout+Vfwd1)*Nps/((Vout+Vfwd1)*Nps+CM5)</f>
        <v>0.41176470588235292</v>
      </c>
      <c r="CR5" s="172">
        <f t="shared" ref="CR5:CR68" si="54">CQ5*CM5*(Isw_max+VIN_nom/Lmag*ILIM_delay)*0.5*Efficiency</f>
        <v>33.237647058823534</v>
      </c>
      <c r="CS5" s="172">
        <f>CX5*CJ5</f>
        <v>1.6399999999999998E-8</v>
      </c>
      <c r="CT5" s="217">
        <f t="shared" ref="CT5:CT68" si="55">CR5/Vout</f>
        <v>2.026685796269728</v>
      </c>
      <c r="CU5" s="217">
        <f t="shared" ref="CU5:CU68" si="56">MIN(Vout,CR5/CJ5)</f>
        <v>16.399999999999999</v>
      </c>
      <c r="CV5" s="217">
        <f t="shared" ref="CV5:CV68" si="57">Isw_max/2*CM5*Nps*(CU5+Vfwd1)/CU5/(CM5+Nps*(CU5+Vfwd1))</f>
        <v>2.0086083213773311</v>
      </c>
      <c r="CW5" s="172">
        <f t="shared" ref="CW5:CW68" si="58">(SQRT(Isw_max^2*Nps^2*CM5^2+4*Isw_max*CJ5/Efficiency*(Nps^2*Vfwd1*CM5-Nps*CM5^2)+4*(CJ5/Efficiency)^2*Nps^2*Vfwd1^2+8*(CJ5/Efficiency)^2*Nps*Vfwd1*CM5+4*(CJ5/Efficiency)^2*CM5^2)-2*CJ5/Efficiency*CM5-2*CJ5/Efficiency*Nps*Vfwd1+Isw_max*Nps*CM5)/(4*CJ5/Efficiency*Nps)</f>
        <v>79999999976</v>
      </c>
      <c r="CX5" s="172">
        <f t="shared" ref="CX5:CX68" si="59">MIN(Vout, CW5)</f>
        <v>16.399999999999999</v>
      </c>
      <c r="CY5" s="217">
        <f t="shared" ref="CY5:CY68" si="60">MIN(2*Vout*CJ5/(CM5*CQ5), Isw_max)</f>
        <v>3.3190476190476183E-9</v>
      </c>
      <c r="CZ5" s="217">
        <f t="shared" ref="CZ5:CZ68" si="61">L*CY5/CM5*1000000</f>
        <v>1.6595238095238094E-9</v>
      </c>
      <c r="DA5" s="217">
        <f t="shared" ref="DA5:DA68" si="62">L*CY5/CN5*1000000</f>
        <v>2.3707482993197277E-9</v>
      </c>
      <c r="DB5" s="197">
        <f t="shared" ref="DB5:DB68" si="63">IF(1/((350000*L)*(1/CM5+1/CN5))&gt;Isw_min, 350, 0.001/((Isw_min*L)*(1/CM5+1/CN5)))</f>
        <v>350</v>
      </c>
      <c r="DC5" s="443">
        <f>MIN(1/(CZ5+DA5)*1000, 350)</f>
        <v>350</v>
      </c>
      <c r="DE5" s="217">
        <f t="shared" ref="DE5:DE68" si="64">1/((DB5*1000*L)*(1/CM5+1/CN5))</f>
        <v>2.3529411764705879</v>
      </c>
      <c r="DF5" s="173">
        <f t="shared" ref="DF5:DF68" si="65">L*DE5/CN5*1000000</f>
        <v>1.6806722689075633</v>
      </c>
      <c r="DG5" s="173">
        <f t="shared" ref="DG5:DG68" si="66">0.5*DF5*DE5*Nps*DB5/1000</f>
        <v>0.69204152249134954</v>
      </c>
      <c r="DH5" s="173"/>
      <c r="DI5" s="173">
        <f t="shared" ref="DI5:DI68" si="67">L*Isw_min/CN5*1000000</f>
        <v>0.95238095238095266</v>
      </c>
      <c r="DJ5" s="545">
        <f>MAX(12, CJ5/(0.5*DI5/1000000*Isw_min*Nps)/1000)</f>
        <v>12</v>
      </c>
      <c r="DK5" s="528">
        <f t="shared" ref="DK5:DK68" si="68">0.5*DI5/1000000*Isw_min*Nps*DB5*1000</f>
        <v>0.22222222222222232</v>
      </c>
      <c r="DM5" s="173">
        <f t="shared" ref="DM5:DM68" si="69">SQRT(CJ5/Efficiency/(0.5*L/CN5*Fsw_DCM*Nps))</f>
        <v>8.9442719099991577E-5</v>
      </c>
      <c r="DN5" s="173">
        <f t="shared" ref="DN5:DN68" si="70">MAX(IF(CJ5&gt;DG5,CY5,DM5),Isw_min)</f>
        <v>1.3333333333333335</v>
      </c>
      <c r="DO5" s="173">
        <f t="shared" ref="DO5:DO68" si="71">IF(CJ5&gt;DK5, (DN5-Isw_min)/1.08*0.8+1.2, DJ5*0.2/350+1)</f>
        <v>1.0068571428571429</v>
      </c>
      <c r="DQ5" s="545">
        <f t="shared" ref="DQ5:DQ68" si="72">CJ5*1000</f>
        <v>1.0000000000000002E-6</v>
      </c>
      <c r="DR5" s="460">
        <f t="shared" ref="DR5:DR68" si="73">IF(CJ5&gt;DK5, DC5, DJ5)</f>
        <v>12</v>
      </c>
      <c r="DT5">
        <f t="shared" ref="DT5:DT68" si="74">IF(CL5&gt;CR5, "",DQ5)</f>
        <v>1.0000000000000002E-6</v>
      </c>
      <c r="DU5" s="460">
        <f t="shared" ref="DU5:DU68" si="75">IF(CL5&gt;CR5, "",DR5)</f>
        <v>12</v>
      </c>
      <c r="DV5" s="460"/>
      <c r="DW5" s="5">
        <f>1/DR5*1000</f>
        <v>83.333333333333329</v>
      </c>
      <c r="DX5" s="5">
        <f t="shared" ref="DX5:DX68" si="76">L*DN5/CM5*1000000</f>
        <v>0.66666666666666685</v>
      </c>
      <c r="DY5" s="5">
        <f>DW5-DX5</f>
        <v>82.666666666666657</v>
      </c>
      <c r="DZ5" s="5">
        <f t="shared" ref="DZ5:DZ68" si="77">L*DN5/CN5*1000000</f>
        <v>0.95238095238095266</v>
      </c>
      <c r="EA5" s="173">
        <f>DX5/DW5</f>
        <v>8.0000000000000019E-3</v>
      </c>
      <c r="EB5" s="173">
        <f t="shared" ref="EB5:EB68" si="78">0.5*L*DN5^2*DR5*1000</f>
        <v>0.12800000000000003</v>
      </c>
      <c r="EC5" s="173">
        <f t="shared" ref="EC5:EC68" si="79">DN5*Nps/2*(1-EA5)</f>
        <v>0.66133333333333344</v>
      </c>
      <c r="ED5" s="173">
        <f>EB5/EC5</f>
        <v>0.19354838709677422</v>
      </c>
      <c r="EE5" s="460">
        <f t="shared" ref="EE5:EE68" si="80">CJ5*DX5/Vout_ripple*1000</f>
        <v>4.0650406504065064E-9</v>
      </c>
      <c r="EF5" s="5">
        <f t="shared" ref="EF5:EF68" si="81">CL5/Efficiency/CM5*DY5/Vinripple1</f>
        <v>4.7074074074074056E-8</v>
      </c>
      <c r="EG5" s="5"/>
      <c r="EH5" s="173">
        <f>DN5*SQRT(EA5/3)</f>
        <v>6.8853037265909647E-2</v>
      </c>
      <c r="EI5" s="173">
        <f t="shared" ref="EI5:EI68" si="82">DN5*Nps*SQRT((1-EA5)/3)</f>
        <v>0.76671497432347835</v>
      </c>
      <c r="EJ5" s="173"/>
      <c r="EK5" s="528">
        <f t="shared" ref="EK5:EK68" si="83">Rdson*EH5^2</f>
        <v>9.4814814814814854E-5</v>
      </c>
      <c r="EL5" s="528">
        <f t="shared" ref="EL5:EL68" si="84">0.5*CO5*DN5*DR5*1000*Trise</f>
        <v>1.3056000000000003E-2</v>
      </c>
      <c r="EM5" s="528">
        <f t="shared" ref="EM5:EM68" si="85">Qg*Vdd*DR5*1000</f>
        <v>1.5E-3</v>
      </c>
      <c r="EN5" s="528">
        <f t="shared" ref="EN5:EN68" si="86">0.5*(Coss+Csw)*CO5^2*DR5*1000</f>
        <v>1.9975679999999999E-3</v>
      </c>
      <c r="EO5">
        <f t="shared" ref="EO5:EO68" si="87">CM5*IQ</f>
        <v>1.0800000000000001E-2</v>
      </c>
      <c r="EP5" s="460">
        <f>(EO5+EM5)*1000</f>
        <v>12.3</v>
      </c>
      <c r="EQ5" s="528">
        <f t="shared" ref="EQ5:EQ68" si="88">(EL5+EM5+EN5+EO5+EK5*(1+RdsonTC*(Ta-25)))/(1-EK5*RdsonTC*ThetaJA)</f>
        <v>2.7474601762643332E-2</v>
      </c>
      <c r="ER5" s="460">
        <f>EQ5*1000</f>
        <v>27.474601762643331</v>
      </c>
      <c r="ES5" s="528">
        <f>Vfwd2*CJ5*(1+Diode_TC/1000*(Ta-25))</f>
        <v>6.212499999999999E-10</v>
      </c>
      <c r="ET5" s="528"/>
      <c r="EV5" s="460">
        <f>SUM(ES5:EU5)*1000</f>
        <v>6.2124999999999988E-7</v>
      </c>
      <c r="EW5" s="528">
        <f t="shared" ref="EW5:EW68" si="89">Rdcr_pri*EH5^2</f>
        <v>1.4222222222222227E-4</v>
      </c>
      <c r="EX5" s="528">
        <f t="shared" ref="EX5:EX68" si="90">Rdcr_sec*EI5^2</f>
        <v>1.7635555555555561E-2</v>
      </c>
      <c r="EY5" s="528">
        <f t="shared" ref="EY5:EY68" si="91">DN5^2.5*DR5^2.5*k_core</f>
        <v>5.1199999999999998E-5</v>
      </c>
      <c r="EZ5" s="528">
        <f t="shared" ref="EZ5:EZ68" si="92">(EY5+(EW5+EX5)*(1+Ltc*(Ta-25)))/(1-(EW5+EX5)*Ltc*ThetaCa)</f>
        <v>2.2127114117856513E-2</v>
      </c>
      <c r="FA5" s="528">
        <f t="shared" ref="FA5:FA68" si="93">0.5*Lleak*0.000000001*DN5^2*DR5*1000</f>
        <v>1.0666666666666668E-4</v>
      </c>
      <c r="FB5" s="460">
        <f>1000*(EZ5+FA5)</f>
        <v>22.23378078452318</v>
      </c>
      <c r="FC5" s="173">
        <f>SUM(EQ5,ES5:EU5,EZ5, FA5)</f>
        <v>4.9708383168416505E-2</v>
      </c>
      <c r="FD5" s="5">
        <f>MIN(CL5,CS5)</f>
        <v>1.6399999999999998E-8</v>
      </c>
      <c r="FE5" s="173">
        <f>FD5/(FD5+FC5)</f>
        <v>3.2992412031748769E-7</v>
      </c>
      <c r="FF5" s="5">
        <f>FE5*100</f>
        <v>3.2992412031748766E-5</v>
      </c>
      <c r="FI5" s="562">
        <f t="shared" ref="FI5:FI68" si="94">IF(ABS(CJ5-Ioutmax_Vinnom)&lt;Iout/200, DR5, -50)</f>
        <v>-50</v>
      </c>
      <c r="FJ5">
        <f t="shared" ref="FJ5:FJ68" si="95">IF(ABS(CJ5-Ioutmax_Vinnom)&lt;Iout/200, CR5*FE5, -50)</f>
        <v>-50</v>
      </c>
      <c r="FL5">
        <f t="shared" ref="FL5:FL36" si="96">MIN(SQRT(2*L*DR5*1000*CJ5*(CX5+Vfwd1))/(Nps*(CX5+Vfwd1)), 1-EA5)</f>
        <v>4.1403933560541265E-6</v>
      </c>
    </row>
    <row r="6" spans="2:168">
      <c r="E6" s="170">
        <v>1</v>
      </c>
      <c r="F6" s="217">
        <f t="shared" ref="F6:F37" si="97">IF(PLOT_TYPE=1, E6/100*Iout_max, min_I*EXP(N6*rr/100))</f>
        <v>0.01</v>
      </c>
      <c r="G6" s="217"/>
      <c r="H6" s="217">
        <f t="shared" si="0"/>
        <v>0.16399999999999998</v>
      </c>
      <c r="I6" s="541">
        <f t="shared" si="1"/>
        <v>23.967065882664688</v>
      </c>
      <c r="J6" s="172">
        <f t="shared" si="2"/>
        <v>16.819760470401185</v>
      </c>
      <c r="K6" s="172">
        <f t="shared" si="3"/>
        <v>40.819760470401185</v>
      </c>
      <c r="L6" s="443"/>
      <c r="M6" s="217">
        <f t="shared" si="4"/>
        <v>0.41238563343554535</v>
      </c>
      <c r="N6" s="172">
        <f t="shared" si="5"/>
        <v>33.242089028082177</v>
      </c>
      <c r="O6" s="172">
        <f t="shared" ref="O6:O69" si="98">T6*F6</f>
        <v>0.16399999999999998</v>
      </c>
      <c r="P6" s="217">
        <f t="shared" si="6"/>
        <v>2.0269566480537913</v>
      </c>
      <c r="Q6" s="217">
        <f t="shared" si="7"/>
        <v>16.399999999999999</v>
      </c>
      <c r="R6" s="217">
        <f t="shared" si="8"/>
        <v>2.0088767572386432</v>
      </c>
      <c r="S6" s="172">
        <f t="shared" si="9"/>
        <v>7965.0560985557731</v>
      </c>
      <c r="T6" s="172">
        <f t="shared" si="10"/>
        <v>16.399999999999999</v>
      </c>
      <c r="U6" s="217">
        <f t="shared" ref="U6:U36" si="99">MIN(2*(Vout+Vfwd1+F6/FL6*Rdcr_sec)*F6/(I6*M6), Isw_max)</f>
        <v>3.4035927536850349E-2</v>
      </c>
      <c r="V6" s="217">
        <f t="shared" si="11"/>
        <v>1.7041348842689222E-2</v>
      </c>
      <c r="W6" s="217">
        <f t="shared" si="12"/>
        <v>2.4282814916475579E-2</v>
      </c>
      <c r="X6" s="197">
        <f t="shared" si="13"/>
        <v>350</v>
      </c>
      <c r="Y6" s="443">
        <f t="shared" si="14"/>
        <v>350</v>
      </c>
      <c r="AA6" s="217">
        <f t="shared" si="15"/>
        <v>2.3532359375711969</v>
      </c>
      <c r="AB6" s="173">
        <f t="shared" si="16"/>
        <v>1.6789080498826396</v>
      </c>
      <c r="AC6" s="173">
        <f t="shared" si="17"/>
        <v>0.69140168280074554</v>
      </c>
      <c r="AD6" s="173"/>
      <c r="AE6" s="173">
        <f t="shared" si="18"/>
        <v>0.95126206036977945</v>
      </c>
      <c r="AF6" s="545">
        <f t="shared" ref="AF6:AF36" si="100">MAX(12, F6/(0.5*AE6/1000000*Isw_min*Nps)/1000)</f>
        <v>15.768525441001108</v>
      </c>
      <c r="AG6" s="528">
        <f t="shared" si="19"/>
        <v>0.22196114741961523</v>
      </c>
      <c r="AI6" s="173">
        <f t="shared" si="20"/>
        <v>0.2830090060017541</v>
      </c>
      <c r="AJ6" s="173">
        <f t="shared" si="21"/>
        <v>1.3333333333333335</v>
      </c>
      <c r="AK6" s="173">
        <f t="shared" si="22"/>
        <v>1.0090105859662863</v>
      </c>
      <c r="AM6" s="545">
        <f t="shared" si="23"/>
        <v>10</v>
      </c>
      <c r="AN6" s="460">
        <f t="shared" si="24"/>
        <v>15.768525441001108</v>
      </c>
      <c r="AP6">
        <f t="shared" si="25"/>
        <v>10</v>
      </c>
      <c r="AQ6" s="460">
        <f t="shared" si="26"/>
        <v>15.768525441001108</v>
      </c>
      <c r="AR6" s="460"/>
      <c r="AS6" s="5">
        <f t="shared" ref="AS6:AS69" si="101">1/AN6*1000</f>
        <v>63.417470691318634</v>
      </c>
      <c r="AT6" s="5">
        <f t="shared" si="27"/>
        <v>0.66758276037338204</v>
      </c>
      <c r="AU6" s="5">
        <f t="shared" ref="AU6:AU69" si="102">AS6-AT6</f>
        <v>62.749887930945249</v>
      </c>
      <c r="AV6" s="5">
        <f t="shared" si="28"/>
        <v>0.95126206036977945</v>
      </c>
      <c r="AW6" s="173">
        <f t="shared" ref="AW6:AW69" si="103">AT6/AS6</f>
        <v>1.0526795740921422E-2</v>
      </c>
      <c r="AX6" s="173">
        <f t="shared" si="29"/>
        <v>0.16819760470401185</v>
      </c>
      <c r="AY6" s="173">
        <f t="shared" si="30"/>
        <v>0.65964880283938576</v>
      </c>
      <c r="AZ6" s="173">
        <f t="shared" ref="AZ6:AZ69" si="104">AX6/AY6</f>
        <v>0.25498053506657442</v>
      </c>
      <c r="BA6" s="460">
        <f t="shared" si="31"/>
        <v>4.0706265876425743E-2</v>
      </c>
      <c r="BB6" s="5">
        <f t="shared" si="32"/>
        <v>0.35781676652510258</v>
      </c>
      <c r="BC6" s="5"/>
      <c r="BD6" s="173">
        <f t="shared" ref="BD6:BD69" si="105">AJ6*SQRT(AW6/3)</f>
        <v>7.898165090579766E-2</v>
      </c>
      <c r="BE6" s="173">
        <f t="shared" si="33"/>
        <v>0.76573787382679936</v>
      </c>
      <c r="BF6" s="173"/>
      <c r="BG6" s="528">
        <f t="shared" si="34"/>
        <v>1.2476202359610575E-4</v>
      </c>
      <c r="BH6" s="528">
        <f t="shared" si="35"/>
        <v>1.6091685786827313E-2</v>
      </c>
      <c r="BI6" s="528">
        <f t="shared" si="36"/>
        <v>9.4481322029236949E-3</v>
      </c>
      <c r="BJ6" s="528">
        <f t="shared" si="37"/>
        <v>2.6274350375330006E-3</v>
      </c>
      <c r="BK6">
        <f t="shared" si="38"/>
        <v>1.0785179647199109E-2</v>
      </c>
      <c r="BL6" s="460">
        <f t="shared" ref="BL6:BL69" si="106">(BK6+BI6)*1000</f>
        <v>20.233311850122803</v>
      </c>
      <c r="BM6" s="528">
        <f t="shared" si="39"/>
        <v>1.8878128207305469E-2</v>
      </c>
      <c r="BN6" s="460">
        <f t="shared" ref="BN6:BN69" si="107">BM6*1000</f>
        <v>18.878128207305469</v>
      </c>
      <c r="BO6" s="528">
        <f t="shared" ref="BO6:BO36" si="108">Vfwd2*F6*(1+Diode_TC/1000*(Ta-25))</f>
        <v>6.2124999999999993E-3</v>
      </c>
      <c r="BP6" s="528"/>
      <c r="BR6" s="460">
        <f t="shared" ref="BR6:BR69" si="109">SUM(BO6:BQ6)*1000</f>
        <v>6.2124999999999995</v>
      </c>
      <c r="BS6" s="528">
        <f t="shared" si="40"/>
        <v>1.8714303539415863E-4</v>
      </c>
      <c r="BT6" s="528">
        <f t="shared" si="41"/>
        <v>1.7590634742383617E-2</v>
      </c>
      <c r="BU6" s="528">
        <f t="shared" si="42"/>
        <v>2.4599999999999995E-3</v>
      </c>
      <c r="BV6" s="528">
        <f t="shared" si="43"/>
        <v>2.4539344846003199E-2</v>
      </c>
      <c r="BW6" s="528">
        <f t="shared" si="44"/>
        <v>1.4016467058667654E-4</v>
      </c>
      <c r="BX6" s="460">
        <f t="shared" ref="BX6:BX69" si="110">1000*(BV6+BW6)</f>
        <v>24.679509516589878</v>
      </c>
      <c r="BY6" s="173">
        <f t="shared" si="45"/>
        <v>7.0003449574018148E-2</v>
      </c>
      <c r="BZ6" s="5">
        <f t="shared" ref="BZ6:BZ69" si="111">MIN(H6,O6)</f>
        <v>0.16399999999999998</v>
      </c>
      <c r="CA6" s="173">
        <f t="shared" ref="CA6:CA69" si="112">BZ6/(BZ6+BY6)</f>
        <v>0.70084436916868942</v>
      </c>
      <c r="CB6" s="5">
        <f t="shared" ref="CB6:CB69" si="113">CA6*100</f>
        <v>70.084436916868938</v>
      </c>
      <c r="CE6" s="562">
        <f t="shared" si="46"/>
        <v>-50</v>
      </c>
      <c r="CF6">
        <f t="shared" si="47"/>
        <v>-50</v>
      </c>
      <c r="CG6" s="173">
        <f t="shared" si="48"/>
        <v>1.5181824820424215E-2</v>
      </c>
      <c r="CI6" s="170">
        <v>1</v>
      </c>
      <c r="CJ6" s="217">
        <f t="shared" ref="CJ6:CJ69" si="114">IF(PLOT_TYPE=1, CI6/100*Iout_max, min_I*EXP(CR6*rr/100))</f>
        <v>0.01</v>
      </c>
      <c r="CK6" s="217"/>
      <c r="CL6" s="217">
        <f t="shared" si="49"/>
        <v>0.16399999999999998</v>
      </c>
      <c r="CM6" s="541">
        <f t="shared" si="50"/>
        <v>24</v>
      </c>
      <c r="CN6" s="172">
        <f t="shared" si="51"/>
        <v>16.799999999999997</v>
      </c>
      <c r="CO6" s="443">
        <f t="shared" si="52"/>
        <v>40.799999999999997</v>
      </c>
      <c r="CP6" s="443"/>
      <c r="CQ6" s="217">
        <f t="shared" si="53"/>
        <v>0.41176470588235292</v>
      </c>
      <c r="CR6" s="172">
        <f t="shared" si="54"/>
        <v>33.237647058823534</v>
      </c>
      <c r="CS6" s="172">
        <f t="shared" ref="CS6:CS69" si="115">CX6*CJ6</f>
        <v>0.16399999999999998</v>
      </c>
      <c r="CT6" s="217">
        <f t="shared" si="55"/>
        <v>2.026685796269728</v>
      </c>
      <c r="CU6" s="217">
        <f t="shared" si="56"/>
        <v>16.399999999999999</v>
      </c>
      <c r="CV6" s="217">
        <f t="shared" si="57"/>
        <v>2.0086083213773311</v>
      </c>
      <c r="CW6" s="172">
        <f t="shared" si="58"/>
        <v>7976.0012035502923</v>
      </c>
      <c r="CX6" s="172">
        <f t="shared" si="59"/>
        <v>16.399999999999999</v>
      </c>
      <c r="CY6" s="217">
        <f t="shared" si="60"/>
        <v>3.3190476190476187E-2</v>
      </c>
      <c r="CZ6" s="217">
        <f t="shared" si="61"/>
        <v>1.6595238095238093E-2</v>
      </c>
      <c r="DA6" s="217">
        <f t="shared" si="62"/>
        <v>2.370748299319728E-2</v>
      </c>
      <c r="DB6" s="197">
        <f t="shared" si="63"/>
        <v>350</v>
      </c>
      <c r="DC6" s="443">
        <f t="shared" ref="DC6:DC69" si="116">MIN(1/(CZ6+DA6)*1000, 350)</f>
        <v>350</v>
      </c>
      <c r="DE6" s="217">
        <f t="shared" si="64"/>
        <v>2.3529411764705879</v>
      </c>
      <c r="DF6" s="173">
        <f t="shared" si="65"/>
        <v>1.6806722689075633</v>
      </c>
      <c r="DG6" s="173">
        <f t="shared" si="66"/>
        <v>0.69204152249134954</v>
      </c>
      <c r="DH6" s="173"/>
      <c r="DI6" s="173">
        <f t="shared" si="67"/>
        <v>0.95238095238095266</v>
      </c>
      <c r="DJ6" s="545">
        <f t="shared" ref="DJ6:DJ69" si="117">MAX(12, CJ6/(0.5*DI6/1000000*Isw_min*Nps)/1000)</f>
        <v>15.749999999999995</v>
      </c>
      <c r="DK6" s="528">
        <f t="shared" si="68"/>
        <v>0.22222222222222232</v>
      </c>
      <c r="DM6" s="173">
        <f t="shared" si="69"/>
        <v>0.28284271247461901</v>
      </c>
      <c r="DN6" s="173">
        <f t="shared" si="70"/>
        <v>1.3333333333333335</v>
      </c>
      <c r="DO6" s="173">
        <f t="shared" si="71"/>
        <v>1.0089999999999999</v>
      </c>
      <c r="DQ6" s="545">
        <f t="shared" si="72"/>
        <v>10</v>
      </c>
      <c r="DR6" s="460">
        <f t="shared" si="73"/>
        <v>15.749999999999995</v>
      </c>
      <c r="DT6">
        <f t="shared" si="74"/>
        <v>10</v>
      </c>
      <c r="DU6" s="460">
        <f t="shared" si="75"/>
        <v>15.749999999999995</v>
      </c>
      <c r="DV6" s="460"/>
      <c r="DW6" s="5">
        <f t="shared" ref="DW6:DW69" si="118">1/DR6*1000</f>
        <v>63.492063492063515</v>
      </c>
      <c r="DX6" s="5">
        <f t="shared" si="76"/>
        <v>0.66666666666666685</v>
      </c>
      <c r="DY6" s="5">
        <f t="shared" ref="DY6:DY69" si="119">DW6-DX6</f>
        <v>62.825396825396851</v>
      </c>
      <c r="DZ6" s="5">
        <f t="shared" si="77"/>
        <v>0.95238095238095266</v>
      </c>
      <c r="EA6" s="173">
        <f t="shared" ref="EA6:EA69" si="120">DX6/DW6</f>
        <v>1.0499999999999999E-2</v>
      </c>
      <c r="EB6" s="173">
        <f t="shared" si="78"/>
        <v>0.16799999999999998</v>
      </c>
      <c r="EC6" s="173">
        <f t="shared" si="79"/>
        <v>0.65966666666666673</v>
      </c>
      <c r="ED6" s="173">
        <f t="shared" ref="ED6:ED69" si="121">EB6/EC6</f>
        <v>0.25467407781707929</v>
      </c>
      <c r="EE6" s="460">
        <f t="shared" si="80"/>
        <v>4.0650406504065061E-2</v>
      </c>
      <c r="EF6" s="5">
        <f t="shared" si="81"/>
        <v>0.35775573192239868</v>
      </c>
      <c r="EG6" s="5"/>
      <c r="EH6" s="173">
        <f t="shared" ref="EH6:EH69" si="122">DN6*SQRT(EA6/3)</f>
        <v>7.8881063774661545E-2</v>
      </c>
      <c r="EI6" s="173">
        <f t="shared" si="82"/>
        <v>0.7657482421595041</v>
      </c>
      <c r="EJ6" s="173"/>
      <c r="EK6" s="528">
        <f t="shared" si="83"/>
        <v>1.2444444444444444E-4</v>
      </c>
      <c r="EL6" s="528">
        <f t="shared" si="84"/>
        <v>1.7135999999999998E-2</v>
      </c>
      <c r="EM6" s="528">
        <f t="shared" si="85"/>
        <v>1.9687499999999991E-3</v>
      </c>
      <c r="EN6" s="528">
        <f t="shared" si="86"/>
        <v>2.6218079999999989E-3</v>
      </c>
      <c r="EO6">
        <f t="shared" si="87"/>
        <v>1.0800000000000001E-2</v>
      </c>
      <c r="EP6" s="460">
        <f t="shared" ref="EP6:EP69" si="123">(EO6+EM6)*1000</f>
        <v>12.768749999999999</v>
      </c>
      <c r="EQ6" s="528">
        <f t="shared" si="88"/>
        <v>3.2685568891345419E-2</v>
      </c>
      <c r="ER6" s="460">
        <f t="shared" ref="ER6:ER69" si="124">EQ6*1000</f>
        <v>32.685568891345419</v>
      </c>
      <c r="ES6" s="528">
        <f t="shared" ref="ES6:ES69" si="125">Vfwd2*CJ6*(1+Diode_TC/1000*(Ta-25))</f>
        <v>6.2124999999999993E-3</v>
      </c>
      <c r="ET6" s="528"/>
      <c r="EV6" s="460">
        <f t="shared" ref="EV6:EV69" si="126">SUM(ES6:EU6)*1000</f>
        <v>6.2124999999999995</v>
      </c>
      <c r="EW6" s="528">
        <f t="shared" si="89"/>
        <v>1.8666666666666666E-4</v>
      </c>
      <c r="EX6" s="528">
        <f t="shared" si="90"/>
        <v>1.7591111111111116E-2</v>
      </c>
      <c r="EY6" s="528">
        <f t="shared" si="91"/>
        <v>1.0104579407377625E-4</v>
      </c>
      <c r="EZ6" s="528">
        <f t="shared" si="92"/>
        <v>2.2177030904693792E-2</v>
      </c>
      <c r="FA6" s="528">
        <f t="shared" si="93"/>
        <v>1.3999999999999999E-4</v>
      </c>
      <c r="FB6" s="460">
        <f t="shared" ref="FB6:FB69" si="127">1000*(EZ6+FA6)</f>
        <v>22.317030904693794</v>
      </c>
      <c r="FC6" s="173">
        <f t="shared" ref="FC6:FC69" si="128">SUM(EQ6,ES6:EU6,EZ6, FA6)</f>
        <v>6.1215099796039216E-2</v>
      </c>
      <c r="FD6" s="5">
        <f t="shared" ref="FD6:FD69" si="129">MIN(CL6,CS6)</f>
        <v>0.16399999999999998</v>
      </c>
      <c r="FE6" s="173">
        <f t="shared" ref="FE6:FE69" si="130">FD6/(FD6+FC6)</f>
        <v>0.72819273729213874</v>
      </c>
      <c r="FF6" s="5">
        <f t="shared" ref="FF6:FF69" si="131">FE6*100</f>
        <v>72.819273729213876</v>
      </c>
      <c r="FI6" s="562">
        <f t="shared" si="94"/>
        <v>-50</v>
      </c>
      <c r="FJ6">
        <f t="shared" si="95"/>
        <v>-50</v>
      </c>
      <c r="FL6">
        <f t="shared" si="96"/>
        <v>1.4999999999999999E-2</v>
      </c>
    </row>
    <row r="7" spans="2:168">
      <c r="E7" s="170">
        <v>2</v>
      </c>
      <c r="F7" s="217">
        <f t="shared" si="97"/>
        <v>0.02</v>
      </c>
      <c r="G7" s="217"/>
      <c r="H7" s="217">
        <f t="shared" si="0"/>
        <v>0.32799999999999996</v>
      </c>
      <c r="I7" s="541">
        <f t="shared" si="1"/>
        <v>23.967065882664688</v>
      </c>
      <c r="J7" s="172">
        <f t="shared" si="2"/>
        <v>16.819760470401185</v>
      </c>
      <c r="K7" s="172">
        <f t="shared" si="3"/>
        <v>40.819760470401185</v>
      </c>
      <c r="L7" s="443"/>
      <c r="M7" s="217">
        <f t="shared" si="4"/>
        <v>0.41238563343554535</v>
      </c>
      <c r="N7" s="172">
        <f t="shared" si="5"/>
        <v>33.242089028082177</v>
      </c>
      <c r="O7" s="172">
        <f t="shared" si="98"/>
        <v>0.32799999999999996</v>
      </c>
      <c r="P7" s="217">
        <f t="shared" si="6"/>
        <v>2.0269566480537913</v>
      </c>
      <c r="Q7" s="217">
        <f t="shared" si="7"/>
        <v>16.399999999999999</v>
      </c>
      <c r="R7" s="217">
        <f t="shared" si="8"/>
        <v>2.0088767572386432</v>
      </c>
      <c r="S7" s="172">
        <f t="shared" si="9"/>
        <v>3970.5463288036881</v>
      </c>
      <c r="T7" s="172">
        <f t="shared" si="10"/>
        <v>16.399999999999999</v>
      </c>
      <c r="U7" s="217">
        <f t="shared" si="99"/>
        <v>6.8071855073700699E-2</v>
      </c>
      <c r="V7" s="217">
        <f t="shared" si="11"/>
        <v>3.4082697685378444E-2</v>
      </c>
      <c r="W7" s="217">
        <f t="shared" si="12"/>
        <v>4.8565629832951158E-2</v>
      </c>
      <c r="X7" s="197">
        <f t="shared" si="13"/>
        <v>350</v>
      </c>
      <c r="Y7" s="443">
        <f t="shared" si="14"/>
        <v>350</v>
      </c>
      <c r="AA7" s="217">
        <f t="shared" si="15"/>
        <v>2.3532359375711969</v>
      </c>
      <c r="AB7" s="173">
        <f t="shared" si="16"/>
        <v>1.6789080498826396</v>
      </c>
      <c r="AC7" s="173">
        <f t="shared" si="17"/>
        <v>0.69140168280074554</v>
      </c>
      <c r="AD7" s="173"/>
      <c r="AE7" s="173">
        <f t="shared" si="18"/>
        <v>0.95126206036977945</v>
      </c>
      <c r="AF7" s="545">
        <f t="shared" si="100"/>
        <v>31.537050882002216</v>
      </c>
      <c r="AG7" s="528">
        <f t="shared" si="19"/>
        <v>0.22196114741961523</v>
      </c>
      <c r="AI7" s="173">
        <f t="shared" si="20"/>
        <v>0.40023517456140933</v>
      </c>
      <c r="AJ7" s="173">
        <f t="shared" si="21"/>
        <v>1.3333333333333335</v>
      </c>
      <c r="AK7" s="173">
        <f t="shared" si="22"/>
        <v>1.0180211719325727</v>
      </c>
      <c r="AM7" s="545">
        <f t="shared" si="23"/>
        <v>20</v>
      </c>
      <c r="AN7" s="460">
        <f t="shared" si="24"/>
        <v>31.537050882002216</v>
      </c>
      <c r="AP7">
        <f t="shared" si="25"/>
        <v>20</v>
      </c>
      <c r="AQ7" s="460">
        <f t="shared" si="26"/>
        <v>31.537050882002216</v>
      </c>
      <c r="AR7" s="460"/>
      <c r="AS7" s="5">
        <f t="shared" si="101"/>
        <v>31.708735345659317</v>
      </c>
      <c r="AT7" s="5">
        <f t="shared" si="27"/>
        <v>0.66758276037338204</v>
      </c>
      <c r="AU7" s="5">
        <f t="shared" si="102"/>
        <v>31.041152585285936</v>
      </c>
      <c r="AV7" s="5">
        <f t="shared" si="28"/>
        <v>0.95126206036977945</v>
      </c>
      <c r="AW7" s="173">
        <f t="shared" si="103"/>
        <v>2.1053591481842843E-2</v>
      </c>
      <c r="AX7" s="173">
        <f t="shared" si="29"/>
        <v>0.3363952094080237</v>
      </c>
      <c r="AY7" s="173">
        <f t="shared" si="30"/>
        <v>0.65263093901210489</v>
      </c>
      <c r="AZ7" s="173">
        <f t="shared" si="104"/>
        <v>0.51544477789733512</v>
      </c>
      <c r="BA7" s="460">
        <f t="shared" si="31"/>
        <v>8.1412531752851486E-2</v>
      </c>
      <c r="BB7" s="5">
        <f t="shared" si="32"/>
        <v>0.35401002977096563</v>
      </c>
      <c r="BC7" s="5"/>
      <c r="BD7" s="173">
        <f t="shared" si="105"/>
        <v>0.1116969218895963</v>
      </c>
      <c r="BE7" s="173">
        <f t="shared" si="33"/>
        <v>0.76165372068478876</v>
      </c>
      <c r="BF7" s="173"/>
      <c r="BG7" s="528">
        <f t="shared" si="34"/>
        <v>2.4952404719221156E-4</v>
      </c>
      <c r="BH7" s="528">
        <f t="shared" si="35"/>
        <v>3.2183371573654626E-2</v>
      </c>
      <c r="BI7" s="528">
        <f t="shared" si="36"/>
        <v>1.889626440584739E-2</v>
      </c>
      <c r="BJ7" s="528">
        <f t="shared" si="37"/>
        <v>5.2548700750660012E-3</v>
      </c>
      <c r="BK7">
        <f t="shared" si="38"/>
        <v>1.0785179647199109E-2</v>
      </c>
      <c r="BL7" s="460">
        <f t="shared" si="106"/>
        <v>29.681444053046498</v>
      </c>
      <c r="BM7" s="528">
        <f t="shared" si="39"/>
        <v>3.7757375706926527E-2</v>
      </c>
      <c r="BN7" s="460">
        <f t="shared" si="107"/>
        <v>37.757375706926524</v>
      </c>
      <c r="BO7" s="528">
        <f t="shared" si="108"/>
        <v>1.2424999999999999E-2</v>
      </c>
      <c r="BP7" s="528"/>
      <c r="BR7" s="460">
        <f t="shared" si="109"/>
        <v>12.424999999999999</v>
      </c>
      <c r="BS7" s="528">
        <f t="shared" si="40"/>
        <v>3.7428607078831731E-4</v>
      </c>
      <c r="BT7" s="528">
        <f t="shared" si="41"/>
        <v>1.7403491706989467E-2</v>
      </c>
      <c r="BU7" s="528">
        <f t="shared" si="42"/>
        <v>4.919999999999999E-3</v>
      </c>
      <c r="BV7" s="528">
        <f t="shared" si="43"/>
        <v>2.7002848495638249E-2</v>
      </c>
      <c r="BW7" s="528">
        <f t="shared" si="44"/>
        <v>2.8032934117335308E-4</v>
      </c>
      <c r="BX7" s="460">
        <f t="shared" si="110"/>
        <v>27.2831778368116</v>
      </c>
      <c r="BY7" s="173">
        <f t="shared" si="45"/>
        <v>0.10714699759678462</v>
      </c>
      <c r="BZ7" s="5">
        <f t="shared" si="111"/>
        <v>0.32799999999999996</v>
      </c>
      <c r="CA7" s="173">
        <f t="shared" si="112"/>
        <v>0.75376827097846821</v>
      </c>
      <c r="CB7" s="5">
        <f t="shared" si="113"/>
        <v>75.376827097846828</v>
      </c>
      <c r="CE7" s="562">
        <f t="shared" si="46"/>
        <v>-50</v>
      </c>
      <c r="CF7">
        <f t="shared" si="47"/>
        <v>-50</v>
      </c>
      <c r="CG7" s="173">
        <f t="shared" si="48"/>
        <v>3.0363649640848429E-2</v>
      </c>
      <c r="CI7" s="170">
        <v>2</v>
      </c>
      <c r="CJ7" s="217">
        <f t="shared" si="114"/>
        <v>0.02</v>
      </c>
      <c r="CK7" s="217"/>
      <c r="CL7" s="217">
        <f t="shared" si="49"/>
        <v>0.32799999999999996</v>
      </c>
      <c r="CM7" s="541">
        <f t="shared" si="50"/>
        <v>24</v>
      </c>
      <c r="CN7" s="172">
        <f t="shared" si="51"/>
        <v>16.799999999999997</v>
      </c>
      <c r="CO7" s="443">
        <f t="shared" si="52"/>
        <v>40.799999999999997</v>
      </c>
      <c r="CP7" s="443"/>
      <c r="CQ7" s="217">
        <f t="shared" si="53"/>
        <v>0.41176470588235292</v>
      </c>
      <c r="CR7" s="172">
        <f t="shared" si="54"/>
        <v>33.237647058823534</v>
      </c>
      <c r="CS7" s="172">
        <f t="shared" si="115"/>
        <v>0.32799999999999996</v>
      </c>
      <c r="CT7" s="217">
        <f t="shared" si="55"/>
        <v>2.026685796269728</v>
      </c>
      <c r="CU7" s="217">
        <f t="shared" si="56"/>
        <v>16.399999999999999</v>
      </c>
      <c r="CV7" s="217">
        <f t="shared" si="57"/>
        <v>2.0086083213773311</v>
      </c>
      <c r="CW7" s="172">
        <f t="shared" si="58"/>
        <v>3976.0024142425741</v>
      </c>
      <c r="CX7" s="172">
        <f t="shared" si="59"/>
        <v>16.399999999999999</v>
      </c>
      <c r="CY7" s="217">
        <f t="shared" si="60"/>
        <v>6.6380952380952374E-2</v>
      </c>
      <c r="CZ7" s="217">
        <f t="shared" si="61"/>
        <v>3.3190476190476187E-2</v>
      </c>
      <c r="DA7" s="217">
        <f t="shared" si="62"/>
        <v>4.741496598639456E-2</v>
      </c>
      <c r="DB7" s="197">
        <f t="shared" si="63"/>
        <v>350</v>
      </c>
      <c r="DC7" s="443">
        <f t="shared" si="116"/>
        <v>350</v>
      </c>
      <c r="DE7" s="217">
        <f t="shared" si="64"/>
        <v>2.3529411764705879</v>
      </c>
      <c r="DF7" s="173">
        <f t="shared" si="65"/>
        <v>1.6806722689075633</v>
      </c>
      <c r="DG7" s="173">
        <f t="shared" si="66"/>
        <v>0.69204152249134954</v>
      </c>
      <c r="DH7" s="173"/>
      <c r="DI7" s="173">
        <f t="shared" si="67"/>
        <v>0.95238095238095266</v>
      </c>
      <c r="DJ7" s="545">
        <f t="shared" si="117"/>
        <v>31.499999999999989</v>
      </c>
      <c r="DK7" s="528">
        <f t="shared" si="68"/>
        <v>0.22222222222222232</v>
      </c>
      <c r="DM7" s="173">
        <f t="shared" si="69"/>
        <v>0.39999999999999997</v>
      </c>
      <c r="DN7" s="173">
        <f t="shared" si="70"/>
        <v>1.3333333333333335</v>
      </c>
      <c r="DO7" s="173">
        <f t="shared" si="71"/>
        <v>1.018</v>
      </c>
      <c r="DQ7" s="545">
        <f t="shared" si="72"/>
        <v>20</v>
      </c>
      <c r="DR7" s="460">
        <f t="shared" si="73"/>
        <v>31.499999999999989</v>
      </c>
      <c r="DT7">
        <f t="shared" si="74"/>
        <v>20</v>
      </c>
      <c r="DU7" s="460">
        <f t="shared" si="75"/>
        <v>31.499999999999989</v>
      </c>
      <c r="DV7" s="460"/>
      <c r="DW7" s="5">
        <f t="shared" si="118"/>
        <v>31.746031746031758</v>
      </c>
      <c r="DX7" s="5">
        <f t="shared" si="76"/>
        <v>0.66666666666666685</v>
      </c>
      <c r="DY7" s="5">
        <f t="shared" si="119"/>
        <v>31.07936507936509</v>
      </c>
      <c r="DZ7" s="5">
        <f t="shared" si="77"/>
        <v>0.95238095238095266</v>
      </c>
      <c r="EA7" s="173">
        <f t="shared" si="120"/>
        <v>2.0999999999999998E-2</v>
      </c>
      <c r="EB7" s="173">
        <f t="shared" si="78"/>
        <v>0.33599999999999997</v>
      </c>
      <c r="EC7" s="173">
        <f t="shared" si="79"/>
        <v>0.65266666666666673</v>
      </c>
      <c r="ED7" s="173">
        <f t="shared" si="121"/>
        <v>0.51481103166496411</v>
      </c>
      <c r="EE7" s="460">
        <f t="shared" si="80"/>
        <v>8.1300813008130121E-2</v>
      </c>
      <c r="EF7" s="5">
        <f t="shared" si="81"/>
        <v>0.35395943562610233</v>
      </c>
      <c r="EG7" s="5"/>
      <c r="EH7" s="173">
        <f t="shared" si="122"/>
        <v>0.11155467020454342</v>
      </c>
      <c r="EI7" s="173">
        <f t="shared" si="82"/>
        <v>0.76167456840053949</v>
      </c>
      <c r="EJ7" s="173"/>
      <c r="EK7" s="528">
        <f t="shared" si="83"/>
        <v>2.4888888888888893E-4</v>
      </c>
      <c r="EL7" s="528">
        <f t="shared" si="84"/>
        <v>3.4271999999999997E-2</v>
      </c>
      <c r="EM7" s="528">
        <f t="shared" si="85"/>
        <v>3.9374999999999983E-3</v>
      </c>
      <c r="EN7" s="528">
        <f t="shared" si="86"/>
        <v>5.2436159999999978E-3</v>
      </c>
      <c r="EO7">
        <f t="shared" si="87"/>
        <v>1.0800000000000001E-2</v>
      </c>
      <c r="EP7" s="460">
        <f t="shared" si="123"/>
        <v>14.737499999999999</v>
      </c>
      <c r="EQ7" s="528">
        <f t="shared" si="88"/>
        <v>5.4572432084232611E-2</v>
      </c>
      <c r="ER7" s="460">
        <f t="shared" si="124"/>
        <v>54.572432084232609</v>
      </c>
      <c r="ES7" s="528">
        <f t="shared" si="125"/>
        <v>1.2424999999999999E-2</v>
      </c>
      <c r="ET7" s="528"/>
      <c r="EV7" s="460">
        <f t="shared" si="126"/>
        <v>12.424999999999999</v>
      </c>
      <c r="EW7" s="528">
        <f t="shared" si="89"/>
        <v>3.7333333333333343E-4</v>
      </c>
      <c r="EX7" s="528">
        <f t="shared" si="90"/>
        <v>1.7404444444444441E-2</v>
      </c>
      <c r="EY7" s="528">
        <f t="shared" si="91"/>
        <v>5.7160132959957271E-4</v>
      </c>
      <c r="EZ7" s="528">
        <f t="shared" si="92"/>
        <v>2.2648256627914823E-2</v>
      </c>
      <c r="FA7" s="528">
        <f t="shared" si="93"/>
        <v>2.7999999999999998E-4</v>
      </c>
      <c r="FB7" s="460">
        <f t="shared" si="127"/>
        <v>22.928256627914823</v>
      </c>
      <c r="FC7" s="173">
        <f t="shared" si="128"/>
        <v>8.9925688712147442E-2</v>
      </c>
      <c r="FD7" s="5">
        <f t="shared" si="129"/>
        <v>0.32799999999999996</v>
      </c>
      <c r="FE7" s="173">
        <f t="shared" si="130"/>
        <v>0.7848285206174892</v>
      </c>
      <c r="FF7" s="5">
        <f t="shared" si="131"/>
        <v>78.482852061748915</v>
      </c>
      <c r="FI7" s="562">
        <f t="shared" si="94"/>
        <v>-50</v>
      </c>
      <c r="FJ7">
        <f t="shared" si="95"/>
        <v>-50</v>
      </c>
      <c r="FL7">
        <f t="shared" si="96"/>
        <v>0.03</v>
      </c>
    </row>
    <row r="8" spans="2:168">
      <c r="E8" s="170">
        <v>3</v>
      </c>
      <c r="F8" s="217">
        <f t="shared" si="97"/>
        <v>0.03</v>
      </c>
      <c r="G8" s="217"/>
      <c r="H8" s="217">
        <f t="shared" si="0"/>
        <v>0.49199999999999994</v>
      </c>
      <c r="I8" s="541">
        <f t="shared" si="1"/>
        <v>23.967065882664688</v>
      </c>
      <c r="J8" s="172">
        <f t="shared" si="2"/>
        <v>16.819760470401185</v>
      </c>
      <c r="K8" s="172">
        <f t="shared" si="3"/>
        <v>40.819760470401185</v>
      </c>
      <c r="L8" s="443"/>
      <c r="M8" s="217">
        <f t="shared" si="4"/>
        <v>0.41238563343554535</v>
      </c>
      <c r="N8" s="172">
        <f t="shared" si="5"/>
        <v>33.242089028082177</v>
      </c>
      <c r="O8" s="172">
        <f t="shared" si="98"/>
        <v>0.49199999999999994</v>
      </c>
      <c r="P8" s="217">
        <f t="shared" si="6"/>
        <v>2.0269566480537913</v>
      </c>
      <c r="Q8" s="217">
        <f t="shared" si="7"/>
        <v>16.399999999999999</v>
      </c>
      <c r="R8" s="217">
        <f t="shared" si="8"/>
        <v>2.0088767572386432</v>
      </c>
      <c r="S8" s="172">
        <f t="shared" si="9"/>
        <v>2639.0438865521373</v>
      </c>
      <c r="T8" s="172">
        <f t="shared" si="10"/>
        <v>16.399999999999999</v>
      </c>
      <c r="U8" s="217">
        <f t="shared" si="99"/>
        <v>0.10210778261055106</v>
      </c>
      <c r="V8" s="217">
        <f t="shared" si="11"/>
        <v>5.1124046528067672E-2</v>
      </c>
      <c r="W8" s="217">
        <f t="shared" si="12"/>
        <v>7.2848444749426741E-2</v>
      </c>
      <c r="X8" s="197">
        <f t="shared" si="13"/>
        <v>350</v>
      </c>
      <c r="Y8" s="443">
        <f t="shared" si="14"/>
        <v>350</v>
      </c>
      <c r="AA8" s="217">
        <f t="shared" si="15"/>
        <v>2.3532359375711969</v>
      </c>
      <c r="AB8" s="173">
        <f t="shared" si="16"/>
        <v>1.6789080498826396</v>
      </c>
      <c r="AC8" s="173">
        <f t="shared" si="17"/>
        <v>0.69140168280074554</v>
      </c>
      <c r="AD8" s="173"/>
      <c r="AE8" s="173">
        <f t="shared" si="18"/>
        <v>0.95126206036977945</v>
      </c>
      <c r="AF8" s="545">
        <f t="shared" si="100"/>
        <v>47.305576323003322</v>
      </c>
      <c r="AG8" s="528">
        <f t="shared" si="19"/>
        <v>0.22196114741961523</v>
      </c>
      <c r="AI8" s="173">
        <f t="shared" si="20"/>
        <v>0.4901859773946034</v>
      </c>
      <c r="AJ8" s="173">
        <f t="shared" si="21"/>
        <v>1.3333333333333335</v>
      </c>
      <c r="AK8" s="173">
        <f t="shared" si="22"/>
        <v>1.027031757898859</v>
      </c>
      <c r="AM8" s="545">
        <f t="shared" si="23"/>
        <v>30</v>
      </c>
      <c r="AN8" s="460">
        <f t="shared" si="24"/>
        <v>47.305576323003322</v>
      </c>
      <c r="AP8">
        <f t="shared" si="25"/>
        <v>30</v>
      </c>
      <c r="AQ8" s="460">
        <f t="shared" si="26"/>
        <v>47.305576323003322</v>
      </c>
      <c r="AR8" s="460"/>
      <c r="AS8" s="5">
        <f t="shared" si="101"/>
        <v>21.139156897106211</v>
      </c>
      <c r="AT8" s="5">
        <f t="shared" si="27"/>
        <v>0.66758276037338204</v>
      </c>
      <c r="AU8" s="5">
        <f t="shared" si="102"/>
        <v>20.47157413673283</v>
      </c>
      <c r="AV8" s="5">
        <f t="shared" si="28"/>
        <v>0.95126206036977945</v>
      </c>
      <c r="AW8" s="173">
        <f t="shared" si="103"/>
        <v>3.158038722276426E-2</v>
      </c>
      <c r="AX8" s="173">
        <f t="shared" si="29"/>
        <v>0.5045928141120356</v>
      </c>
      <c r="AY8" s="173">
        <f t="shared" si="30"/>
        <v>0.64561307518482391</v>
      </c>
      <c r="AZ8" s="173">
        <f t="shared" si="104"/>
        <v>0.78157155346889851</v>
      </c>
      <c r="BA8" s="460">
        <f t="shared" si="31"/>
        <v>0.12211879762927721</v>
      </c>
      <c r="BB8" s="5">
        <f t="shared" si="32"/>
        <v>0.35020329301682862</v>
      </c>
      <c r="BC8" s="5"/>
      <c r="BD8" s="173">
        <f t="shared" si="105"/>
        <v>0.13680023223450996</v>
      </c>
      <c r="BE8" s="173">
        <f t="shared" si="33"/>
        <v>0.75754754903779919</v>
      </c>
      <c r="BF8" s="173"/>
      <c r="BG8" s="528">
        <f t="shared" si="34"/>
        <v>3.7428607078831714E-4</v>
      </c>
      <c r="BH8" s="528">
        <f t="shared" si="35"/>
        <v>4.8275057360481939E-2</v>
      </c>
      <c r="BI8" s="528">
        <f t="shared" si="36"/>
        <v>2.8344396608771083E-2</v>
      </c>
      <c r="BJ8" s="528">
        <f t="shared" si="37"/>
        <v>7.8823051125990005E-3</v>
      </c>
      <c r="BK8">
        <f t="shared" si="38"/>
        <v>1.0785179647199109E-2</v>
      </c>
      <c r="BL8" s="460">
        <f t="shared" si="106"/>
        <v>39.129576255970186</v>
      </c>
      <c r="BM8" s="528">
        <f t="shared" si="39"/>
        <v>5.6637742598411096E-2</v>
      </c>
      <c r="BN8" s="460">
        <f t="shared" si="107"/>
        <v>56.637742598411094</v>
      </c>
      <c r="BO8" s="528">
        <f t="shared" si="108"/>
        <v>1.8637499999999998E-2</v>
      </c>
      <c r="BP8" s="528"/>
      <c r="BR8" s="460">
        <f t="shared" si="109"/>
        <v>18.637499999999999</v>
      </c>
      <c r="BS8" s="528">
        <f t="shared" si="40"/>
        <v>5.6142910618247569E-4</v>
      </c>
      <c r="BT8" s="528">
        <f t="shared" si="41"/>
        <v>1.72163486715953E-2</v>
      </c>
      <c r="BU8" s="528">
        <f t="shared" si="42"/>
        <v>7.3799999999999985E-3</v>
      </c>
      <c r="BV8" s="528">
        <f t="shared" si="43"/>
        <v>2.946635214527327E-2</v>
      </c>
      <c r="BW8" s="528">
        <f t="shared" si="44"/>
        <v>4.2049401176002963E-4</v>
      </c>
      <c r="BX8" s="460">
        <f t="shared" si="110"/>
        <v>29.8868461570333</v>
      </c>
      <c r="BY8" s="173">
        <f t="shared" si="45"/>
        <v>0.14429166501141458</v>
      </c>
      <c r="BZ8" s="5">
        <f t="shared" si="111"/>
        <v>0.49199999999999994</v>
      </c>
      <c r="CA8" s="173">
        <f t="shared" si="112"/>
        <v>0.77323030781987989</v>
      </c>
      <c r="CB8" s="5">
        <f t="shared" si="113"/>
        <v>77.323030781987995</v>
      </c>
      <c r="CE8" s="562">
        <f t="shared" si="46"/>
        <v>-50</v>
      </c>
      <c r="CF8">
        <f t="shared" si="47"/>
        <v>-50</v>
      </c>
      <c r="CG8" s="173">
        <f t="shared" si="48"/>
        <v>4.5545474461272641E-2</v>
      </c>
      <c r="CI8" s="170">
        <v>3</v>
      </c>
      <c r="CJ8" s="217">
        <f t="shared" si="114"/>
        <v>0.03</v>
      </c>
      <c r="CK8" s="217"/>
      <c r="CL8" s="217">
        <f t="shared" si="49"/>
        <v>0.49199999999999994</v>
      </c>
      <c r="CM8" s="541">
        <f t="shared" si="50"/>
        <v>24</v>
      </c>
      <c r="CN8" s="172">
        <f t="shared" si="51"/>
        <v>16.799999999999997</v>
      </c>
      <c r="CO8" s="443">
        <f t="shared" si="52"/>
        <v>40.799999999999997</v>
      </c>
      <c r="CP8" s="443"/>
      <c r="CQ8" s="217">
        <f t="shared" si="53"/>
        <v>0.41176470588235292</v>
      </c>
      <c r="CR8" s="172">
        <f t="shared" si="54"/>
        <v>33.237647058823534</v>
      </c>
      <c r="CS8" s="172">
        <f t="shared" si="115"/>
        <v>0.49199999999999994</v>
      </c>
      <c r="CT8" s="217">
        <f t="shared" si="55"/>
        <v>2.026685796269728</v>
      </c>
      <c r="CU8" s="217">
        <f t="shared" si="56"/>
        <v>16.399999999999999</v>
      </c>
      <c r="CV8" s="217">
        <f t="shared" si="57"/>
        <v>2.0086083213773311</v>
      </c>
      <c r="CW8" s="172">
        <f t="shared" si="58"/>
        <v>2642.6702988061543</v>
      </c>
      <c r="CX8" s="172">
        <f t="shared" si="59"/>
        <v>16.399999999999999</v>
      </c>
      <c r="CY8" s="217">
        <f t="shared" si="60"/>
        <v>9.9571428571428561E-2</v>
      </c>
      <c r="CZ8" s="217">
        <f t="shared" si="61"/>
        <v>4.978571428571428E-2</v>
      </c>
      <c r="DA8" s="217">
        <f t="shared" si="62"/>
        <v>7.1122448979591829E-2</v>
      </c>
      <c r="DB8" s="197">
        <f t="shared" si="63"/>
        <v>350</v>
      </c>
      <c r="DC8" s="443">
        <f t="shared" si="116"/>
        <v>350</v>
      </c>
      <c r="DE8" s="217">
        <f t="shared" si="64"/>
        <v>2.3529411764705879</v>
      </c>
      <c r="DF8" s="173">
        <f t="shared" si="65"/>
        <v>1.6806722689075633</v>
      </c>
      <c r="DG8" s="173">
        <f t="shared" si="66"/>
        <v>0.69204152249134954</v>
      </c>
      <c r="DH8" s="173"/>
      <c r="DI8" s="173">
        <f t="shared" si="67"/>
        <v>0.95238095238095266</v>
      </c>
      <c r="DJ8" s="545">
        <f t="shared" si="117"/>
        <v>47.249999999999979</v>
      </c>
      <c r="DK8" s="528">
        <f t="shared" si="68"/>
        <v>0.22222222222222232</v>
      </c>
      <c r="DM8" s="173">
        <f t="shared" si="69"/>
        <v>0.48989794855663554</v>
      </c>
      <c r="DN8" s="173">
        <f t="shared" si="70"/>
        <v>1.3333333333333335</v>
      </c>
      <c r="DO8" s="173">
        <f t="shared" si="71"/>
        <v>1.0269999999999999</v>
      </c>
      <c r="DQ8" s="545">
        <f t="shared" si="72"/>
        <v>30</v>
      </c>
      <c r="DR8" s="460">
        <f t="shared" si="73"/>
        <v>47.249999999999979</v>
      </c>
      <c r="DT8">
        <f t="shared" si="74"/>
        <v>30</v>
      </c>
      <c r="DU8" s="460">
        <f t="shared" si="75"/>
        <v>47.249999999999979</v>
      </c>
      <c r="DV8" s="460"/>
      <c r="DW8" s="5">
        <f t="shared" si="118"/>
        <v>21.164021164021172</v>
      </c>
      <c r="DX8" s="5">
        <f t="shared" si="76"/>
        <v>0.66666666666666685</v>
      </c>
      <c r="DY8" s="5">
        <f t="shared" si="119"/>
        <v>20.497354497354504</v>
      </c>
      <c r="DZ8" s="5">
        <f t="shared" si="77"/>
        <v>0.95238095238095266</v>
      </c>
      <c r="EA8" s="173">
        <f t="shared" si="120"/>
        <v>3.15E-2</v>
      </c>
      <c r="EB8" s="173">
        <f t="shared" si="78"/>
        <v>0.50399999999999989</v>
      </c>
      <c r="EC8" s="173">
        <f t="shared" si="79"/>
        <v>0.64566666666666672</v>
      </c>
      <c r="ED8" s="173">
        <f t="shared" si="121"/>
        <v>0.78058853897780045</v>
      </c>
      <c r="EE8" s="460">
        <f t="shared" si="80"/>
        <v>0.12195121951219516</v>
      </c>
      <c r="EF8" s="5">
        <f t="shared" si="81"/>
        <v>0.35016313932980603</v>
      </c>
      <c r="EG8" s="5"/>
      <c r="EH8" s="173">
        <f t="shared" si="122"/>
        <v>0.13662601021279466</v>
      </c>
      <c r="EI8" s="173">
        <f t="shared" si="82"/>
        <v>0.75757898989209438</v>
      </c>
      <c r="EJ8" s="173"/>
      <c r="EK8" s="528">
        <f t="shared" si="83"/>
        <v>3.7333333333333343E-4</v>
      </c>
      <c r="EL8" s="528">
        <f t="shared" si="84"/>
        <v>5.1407999999999981E-2</v>
      </c>
      <c r="EM8" s="528">
        <f t="shared" si="85"/>
        <v>5.9062499999999974E-3</v>
      </c>
      <c r="EN8" s="528">
        <f t="shared" si="86"/>
        <v>7.8654239999999959E-3</v>
      </c>
      <c r="EO8">
        <f t="shared" si="87"/>
        <v>1.0800000000000001E-2</v>
      </c>
      <c r="EP8" s="460">
        <f t="shared" si="123"/>
        <v>16.706249999999997</v>
      </c>
      <c r="EQ8" s="528">
        <f t="shared" si="88"/>
        <v>7.6460589693481476E-2</v>
      </c>
      <c r="ER8" s="460">
        <f t="shared" si="124"/>
        <v>76.460589693481481</v>
      </c>
      <c r="ES8" s="528">
        <f t="shared" si="125"/>
        <v>1.8637499999999998E-2</v>
      </c>
      <c r="ET8" s="528"/>
      <c r="EV8" s="460">
        <f t="shared" si="126"/>
        <v>18.637499999999999</v>
      </c>
      <c r="EW8" s="528">
        <f t="shared" si="89"/>
        <v>5.6000000000000017E-4</v>
      </c>
      <c r="EX8" s="528">
        <f t="shared" si="90"/>
        <v>1.721777777777778E-2</v>
      </c>
      <c r="EY8" s="528">
        <f t="shared" si="91"/>
        <v>1.5751480430423028E-3</v>
      </c>
      <c r="EZ8" s="528">
        <f t="shared" si="92"/>
        <v>2.3653232640575571E-2</v>
      </c>
      <c r="FA8" s="528">
        <f t="shared" si="93"/>
        <v>4.1999999999999991E-4</v>
      </c>
      <c r="FB8" s="460">
        <f t="shared" si="127"/>
        <v>24.073232640575572</v>
      </c>
      <c r="FC8" s="173">
        <f t="shared" si="128"/>
        <v>0.11917132233405706</v>
      </c>
      <c r="FD8" s="5">
        <f t="shared" si="129"/>
        <v>0.49199999999999994</v>
      </c>
      <c r="FE8" s="173">
        <f t="shared" si="130"/>
        <v>0.80501159334678363</v>
      </c>
      <c r="FF8" s="5">
        <f t="shared" si="131"/>
        <v>80.501159334678363</v>
      </c>
      <c r="FI8" s="562">
        <f t="shared" si="94"/>
        <v>-50</v>
      </c>
      <c r="FJ8">
        <f t="shared" si="95"/>
        <v>-50</v>
      </c>
      <c r="FL8">
        <f t="shared" si="96"/>
        <v>4.4999999999999991E-2</v>
      </c>
    </row>
    <row r="9" spans="2:168">
      <c r="E9" s="170">
        <v>4</v>
      </c>
      <c r="F9" s="217">
        <f t="shared" si="97"/>
        <v>0.04</v>
      </c>
      <c r="G9" s="217"/>
      <c r="H9" s="217">
        <f t="shared" si="0"/>
        <v>0.65599999999999992</v>
      </c>
      <c r="I9" s="541">
        <f t="shared" si="1"/>
        <v>23.967065882664688</v>
      </c>
      <c r="J9" s="172">
        <f t="shared" si="2"/>
        <v>16.819760470401185</v>
      </c>
      <c r="K9" s="172">
        <f t="shared" si="3"/>
        <v>40.819760470401185</v>
      </c>
      <c r="L9" s="443"/>
      <c r="M9" s="217">
        <f t="shared" si="4"/>
        <v>0.41238563343554535</v>
      </c>
      <c r="N9" s="172">
        <f t="shared" si="5"/>
        <v>33.242089028082177</v>
      </c>
      <c r="O9" s="172">
        <f t="shared" si="98"/>
        <v>0.65599999999999992</v>
      </c>
      <c r="P9" s="217">
        <f t="shared" si="6"/>
        <v>2.0269566480537913</v>
      </c>
      <c r="Q9" s="217">
        <f t="shared" si="7"/>
        <v>16.399999999999999</v>
      </c>
      <c r="R9" s="217">
        <f t="shared" si="8"/>
        <v>2.0088767572386432</v>
      </c>
      <c r="S9" s="172">
        <f t="shared" si="9"/>
        <v>1973.2932816424207</v>
      </c>
      <c r="T9" s="172">
        <f t="shared" si="10"/>
        <v>16.399999999999999</v>
      </c>
      <c r="U9" s="217">
        <f t="shared" si="99"/>
        <v>0.1361437101474014</v>
      </c>
      <c r="V9" s="217">
        <f t="shared" si="11"/>
        <v>6.8165395370756887E-2</v>
      </c>
      <c r="W9" s="217">
        <f t="shared" si="12"/>
        <v>9.7131259665902317E-2</v>
      </c>
      <c r="X9" s="197">
        <f t="shared" si="13"/>
        <v>350</v>
      </c>
      <c r="Y9" s="443">
        <f t="shared" si="14"/>
        <v>350</v>
      </c>
      <c r="AA9" s="217">
        <f t="shared" si="15"/>
        <v>2.3532359375711969</v>
      </c>
      <c r="AB9" s="173">
        <f t="shared" si="16"/>
        <v>1.6789080498826396</v>
      </c>
      <c r="AC9" s="173">
        <f t="shared" si="17"/>
        <v>0.69140168280074554</v>
      </c>
      <c r="AD9" s="173"/>
      <c r="AE9" s="173">
        <f t="shared" si="18"/>
        <v>0.95126206036977945</v>
      </c>
      <c r="AF9" s="545">
        <f t="shared" si="100"/>
        <v>63.074101764004432</v>
      </c>
      <c r="AG9" s="528">
        <f t="shared" si="19"/>
        <v>0.22196114741961523</v>
      </c>
      <c r="AI9" s="173">
        <f t="shared" si="20"/>
        <v>0.56601801200350821</v>
      </c>
      <c r="AJ9" s="173">
        <f t="shared" si="21"/>
        <v>1.3333333333333335</v>
      </c>
      <c r="AK9" s="173">
        <f t="shared" si="22"/>
        <v>1.0360423438651454</v>
      </c>
      <c r="AM9" s="545">
        <f t="shared" si="23"/>
        <v>40</v>
      </c>
      <c r="AN9" s="460">
        <f t="shared" si="24"/>
        <v>63.074101764004432</v>
      </c>
      <c r="AP9">
        <f t="shared" si="25"/>
        <v>40</v>
      </c>
      <c r="AQ9" s="460">
        <f t="shared" si="26"/>
        <v>63.074101764004432</v>
      </c>
      <c r="AR9" s="460"/>
      <c r="AS9" s="5">
        <f t="shared" si="101"/>
        <v>15.854367672829659</v>
      </c>
      <c r="AT9" s="5">
        <f t="shared" si="27"/>
        <v>0.66758276037338204</v>
      </c>
      <c r="AU9" s="5">
        <f t="shared" si="102"/>
        <v>15.186784912456277</v>
      </c>
      <c r="AV9" s="5">
        <f t="shared" si="28"/>
        <v>0.95126206036977945</v>
      </c>
      <c r="AW9" s="173">
        <f t="shared" si="103"/>
        <v>4.2107182963685687E-2</v>
      </c>
      <c r="AX9" s="173">
        <f t="shared" si="29"/>
        <v>0.6727904188160474</v>
      </c>
      <c r="AY9" s="173">
        <f t="shared" si="30"/>
        <v>0.63859521135754294</v>
      </c>
      <c r="AZ9" s="173">
        <f t="shared" si="104"/>
        <v>1.0535475475705671</v>
      </c>
      <c r="BA9" s="460">
        <f t="shared" si="31"/>
        <v>0.16282506350570297</v>
      </c>
      <c r="BB9" s="5">
        <f t="shared" si="32"/>
        <v>0.34639655626269167</v>
      </c>
      <c r="BC9" s="5"/>
      <c r="BD9" s="173">
        <f t="shared" si="105"/>
        <v>0.15796330181159532</v>
      </c>
      <c r="BE9" s="173">
        <f t="shared" si="33"/>
        <v>0.75341899888002006</v>
      </c>
      <c r="BF9" s="173"/>
      <c r="BG9" s="528">
        <f t="shared" si="34"/>
        <v>4.99048094384423E-4</v>
      </c>
      <c r="BH9" s="528">
        <f t="shared" si="35"/>
        <v>6.4366743147309252E-2</v>
      </c>
      <c r="BI9" s="528">
        <f t="shared" si="36"/>
        <v>3.779252881169478E-2</v>
      </c>
      <c r="BJ9" s="528">
        <f t="shared" si="37"/>
        <v>1.0509740150132002E-2</v>
      </c>
      <c r="BK9">
        <f t="shared" si="38"/>
        <v>1.0785179647199109E-2</v>
      </c>
      <c r="BL9" s="460">
        <f t="shared" si="106"/>
        <v>48.577708458893895</v>
      </c>
      <c r="BM9" s="528">
        <f t="shared" si="39"/>
        <v>7.5519228981318923E-2</v>
      </c>
      <c r="BN9" s="460">
        <f t="shared" si="107"/>
        <v>75.519228981318918</v>
      </c>
      <c r="BO9" s="528">
        <f t="shared" si="108"/>
        <v>2.4849999999999997E-2</v>
      </c>
      <c r="BP9" s="528"/>
      <c r="BR9" s="460">
        <f t="shared" si="109"/>
        <v>24.849999999999998</v>
      </c>
      <c r="BS9" s="528">
        <f t="shared" si="40"/>
        <v>7.485721415766345E-4</v>
      </c>
      <c r="BT9" s="528">
        <f t="shared" si="41"/>
        <v>1.7029205636201149E-2</v>
      </c>
      <c r="BU9" s="528">
        <f t="shared" si="42"/>
        <v>9.8399999999999981E-3</v>
      </c>
      <c r="BV9" s="528">
        <f t="shared" si="43"/>
        <v>3.192985579490832E-2</v>
      </c>
      <c r="BW9" s="528">
        <f t="shared" si="44"/>
        <v>5.6065868234670617E-4</v>
      </c>
      <c r="BX9" s="460">
        <f t="shared" si="110"/>
        <v>32.490514477255026</v>
      </c>
      <c r="BY9" s="173">
        <f t="shared" si="45"/>
        <v>0.18143745191746782</v>
      </c>
      <c r="BZ9" s="5">
        <f t="shared" si="111"/>
        <v>0.65599999999999992</v>
      </c>
      <c r="CA9" s="173">
        <f t="shared" si="112"/>
        <v>0.78334208542735551</v>
      </c>
      <c r="CB9" s="5">
        <f t="shared" si="113"/>
        <v>78.334208542735553</v>
      </c>
      <c r="CE9" s="562">
        <f t="shared" si="46"/>
        <v>-50</v>
      </c>
      <c r="CF9">
        <f t="shared" si="47"/>
        <v>-50</v>
      </c>
      <c r="CG9" s="173">
        <f t="shared" si="48"/>
        <v>6.0727299281696859E-2</v>
      </c>
      <c r="CI9" s="170">
        <v>4</v>
      </c>
      <c r="CJ9" s="217">
        <f t="shared" si="114"/>
        <v>0.04</v>
      </c>
      <c r="CK9" s="217"/>
      <c r="CL9" s="217">
        <f t="shared" si="49"/>
        <v>0.65599999999999992</v>
      </c>
      <c r="CM9" s="541">
        <f t="shared" si="50"/>
        <v>24</v>
      </c>
      <c r="CN9" s="172">
        <f t="shared" si="51"/>
        <v>16.799999999999997</v>
      </c>
      <c r="CO9" s="443">
        <f t="shared" si="52"/>
        <v>40.799999999999997</v>
      </c>
      <c r="CP9" s="443"/>
      <c r="CQ9" s="217">
        <f t="shared" si="53"/>
        <v>0.41176470588235292</v>
      </c>
      <c r="CR9" s="172">
        <f t="shared" si="54"/>
        <v>33.237647058823534</v>
      </c>
      <c r="CS9" s="172">
        <f t="shared" si="115"/>
        <v>0.65599999999999992</v>
      </c>
      <c r="CT9" s="217">
        <f t="shared" si="55"/>
        <v>2.026685796269728</v>
      </c>
      <c r="CU9" s="217">
        <f t="shared" si="56"/>
        <v>16.399999999999999</v>
      </c>
      <c r="CV9" s="217">
        <f t="shared" si="57"/>
        <v>2.0086083213773311</v>
      </c>
      <c r="CW9" s="172">
        <f t="shared" si="58"/>
        <v>1976.0048573043953</v>
      </c>
      <c r="CX9" s="172">
        <f t="shared" si="59"/>
        <v>16.399999999999999</v>
      </c>
      <c r="CY9" s="217">
        <f t="shared" si="60"/>
        <v>0.13276190476190475</v>
      </c>
      <c r="CZ9" s="217">
        <f t="shared" si="61"/>
        <v>6.6380952380952374E-2</v>
      </c>
      <c r="DA9" s="217">
        <f t="shared" si="62"/>
        <v>9.4829931972789119E-2</v>
      </c>
      <c r="DB9" s="197">
        <f t="shared" si="63"/>
        <v>350</v>
      </c>
      <c r="DC9" s="443">
        <f t="shared" si="116"/>
        <v>350</v>
      </c>
      <c r="DE9" s="217">
        <f t="shared" si="64"/>
        <v>2.3529411764705879</v>
      </c>
      <c r="DF9" s="173">
        <f t="shared" si="65"/>
        <v>1.6806722689075633</v>
      </c>
      <c r="DG9" s="173">
        <f t="shared" si="66"/>
        <v>0.69204152249134954</v>
      </c>
      <c r="DH9" s="173"/>
      <c r="DI9" s="173">
        <f t="shared" si="67"/>
        <v>0.95238095238095266</v>
      </c>
      <c r="DJ9" s="545">
        <f t="shared" si="117"/>
        <v>62.999999999999979</v>
      </c>
      <c r="DK9" s="528">
        <f t="shared" si="68"/>
        <v>0.22222222222222232</v>
      </c>
      <c r="DM9" s="173">
        <f t="shared" si="69"/>
        <v>0.56568542494923801</v>
      </c>
      <c r="DN9" s="173">
        <f t="shared" si="70"/>
        <v>1.3333333333333335</v>
      </c>
      <c r="DO9" s="173">
        <f t="shared" si="71"/>
        <v>1.036</v>
      </c>
      <c r="DQ9" s="545">
        <f t="shared" si="72"/>
        <v>40</v>
      </c>
      <c r="DR9" s="460">
        <f t="shared" si="73"/>
        <v>62.999999999999979</v>
      </c>
      <c r="DT9">
        <f t="shared" si="74"/>
        <v>40</v>
      </c>
      <c r="DU9" s="460">
        <f t="shared" si="75"/>
        <v>62.999999999999979</v>
      </c>
      <c r="DV9" s="460"/>
      <c r="DW9" s="5">
        <f t="shared" si="118"/>
        <v>15.873015873015879</v>
      </c>
      <c r="DX9" s="5">
        <f t="shared" si="76"/>
        <v>0.66666666666666685</v>
      </c>
      <c r="DY9" s="5">
        <f t="shared" si="119"/>
        <v>15.206349206349213</v>
      </c>
      <c r="DZ9" s="5">
        <f t="shared" si="77"/>
        <v>0.95238095238095266</v>
      </c>
      <c r="EA9" s="173">
        <f t="shared" si="120"/>
        <v>4.1999999999999996E-2</v>
      </c>
      <c r="EB9" s="173">
        <f t="shared" si="78"/>
        <v>0.67199999999999993</v>
      </c>
      <c r="EC9" s="173">
        <f t="shared" si="79"/>
        <v>0.63866666666666672</v>
      </c>
      <c r="ED9" s="173">
        <f t="shared" si="121"/>
        <v>1.0521920668058453</v>
      </c>
      <c r="EE9" s="460">
        <f t="shared" si="80"/>
        <v>0.16260162601626024</v>
      </c>
      <c r="EF9" s="5">
        <f t="shared" si="81"/>
        <v>0.34636684303350973</v>
      </c>
      <c r="EG9" s="5"/>
      <c r="EH9" s="173">
        <f t="shared" si="122"/>
        <v>0.15776212754932309</v>
      </c>
      <c r="EI9" s="173">
        <f t="shared" si="82"/>
        <v>0.75346114943220777</v>
      </c>
      <c r="EJ9" s="173"/>
      <c r="EK9" s="528">
        <f t="shared" si="83"/>
        <v>4.9777777777777776E-4</v>
      </c>
      <c r="EL9" s="528">
        <f t="shared" si="84"/>
        <v>6.8543999999999994E-2</v>
      </c>
      <c r="EM9" s="528">
        <f t="shared" si="85"/>
        <v>7.8749999999999966E-3</v>
      </c>
      <c r="EN9" s="528">
        <f t="shared" si="86"/>
        <v>1.0487231999999996E-2</v>
      </c>
      <c r="EO9">
        <f t="shared" si="87"/>
        <v>1.0800000000000001E-2</v>
      </c>
      <c r="EP9" s="460">
        <f t="shared" si="123"/>
        <v>18.674999999999997</v>
      </c>
      <c r="EQ9" s="528">
        <f t="shared" si="88"/>
        <v>9.8350041833925553E-2</v>
      </c>
      <c r="ER9" s="460">
        <f t="shared" si="124"/>
        <v>98.350041833925559</v>
      </c>
      <c r="ES9" s="528">
        <f t="shared" si="125"/>
        <v>2.4849999999999997E-2</v>
      </c>
      <c r="ET9" s="528"/>
      <c r="EV9" s="460">
        <f t="shared" si="126"/>
        <v>24.849999999999998</v>
      </c>
      <c r="EW9" s="528">
        <f t="shared" si="89"/>
        <v>7.4666666666666664E-4</v>
      </c>
      <c r="EX9" s="528">
        <f t="shared" si="90"/>
        <v>1.7031111111111111E-2</v>
      </c>
      <c r="EY9" s="528">
        <f t="shared" si="91"/>
        <v>3.2334654103608417E-3</v>
      </c>
      <c r="EZ9" s="528">
        <f t="shared" si="92"/>
        <v>2.5313911862787915E-2</v>
      </c>
      <c r="FA9" s="528">
        <f t="shared" si="93"/>
        <v>5.5999999999999995E-4</v>
      </c>
      <c r="FB9" s="460">
        <f t="shared" si="127"/>
        <v>25.873911862787917</v>
      </c>
      <c r="FC9" s="173">
        <f t="shared" si="128"/>
        <v>0.14907395369671347</v>
      </c>
      <c r="FD9" s="5">
        <f t="shared" si="129"/>
        <v>0.65599999999999992</v>
      </c>
      <c r="FE9" s="173">
        <f t="shared" si="130"/>
        <v>0.81483197535803964</v>
      </c>
      <c r="FF9" s="5">
        <f t="shared" si="131"/>
        <v>81.483197535803967</v>
      </c>
      <c r="FI9" s="562">
        <f t="shared" si="94"/>
        <v>-50</v>
      </c>
      <c r="FJ9">
        <f t="shared" si="95"/>
        <v>-50</v>
      </c>
      <c r="FL9">
        <f t="shared" si="96"/>
        <v>0.06</v>
      </c>
    </row>
    <row r="10" spans="2:168">
      <c r="E10" s="170">
        <v>5</v>
      </c>
      <c r="F10" s="217">
        <f t="shared" si="97"/>
        <v>0.05</v>
      </c>
      <c r="G10" s="217"/>
      <c r="H10" s="217">
        <f t="shared" si="0"/>
        <v>0.82</v>
      </c>
      <c r="I10" s="541">
        <f t="shared" si="1"/>
        <v>23.967065882664688</v>
      </c>
      <c r="J10" s="172">
        <f t="shared" si="2"/>
        <v>16.819760470401185</v>
      </c>
      <c r="K10" s="172">
        <f t="shared" si="3"/>
        <v>40.819760470401185</v>
      </c>
      <c r="L10" s="443"/>
      <c r="M10" s="217">
        <f t="shared" si="4"/>
        <v>0.41238563343554535</v>
      </c>
      <c r="N10" s="172">
        <f t="shared" si="5"/>
        <v>33.242089028082177</v>
      </c>
      <c r="O10" s="172">
        <f t="shared" si="98"/>
        <v>0.82</v>
      </c>
      <c r="P10" s="217">
        <f t="shared" si="6"/>
        <v>2.0269566480537913</v>
      </c>
      <c r="Q10" s="217">
        <f t="shared" si="7"/>
        <v>16.399999999999999</v>
      </c>
      <c r="R10" s="217">
        <f t="shared" si="8"/>
        <v>2.0088767572386432</v>
      </c>
      <c r="S10" s="172">
        <f t="shared" si="9"/>
        <v>1573.8434160942172</v>
      </c>
      <c r="T10" s="172">
        <f t="shared" si="10"/>
        <v>16.399999999999999</v>
      </c>
      <c r="U10" s="217">
        <f t="shared" si="99"/>
        <v>0.17017963768425176</v>
      </c>
      <c r="V10" s="217">
        <f t="shared" si="11"/>
        <v>8.5206744213446109E-2</v>
      </c>
      <c r="W10" s="217">
        <f t="shared" si="12"/>
        <v>0.12141407458237791</v>
      </c>
      <c r="X10" s="197">
        <f t="shared" si="13"/>
        <v>350</v>
      </c>
      <c r="Y10" s="443">
        <f t="shared" si="14"/>
        <v>350</v>
      </c>
      <c r="AA10" s="217">
        <f t="shared" si="15"/>
        <v>2.3532359375711969</v>
      </c>
      <c r="AB10" s="173">
        <f t="shared" si="16"/>
        <v>1.6789080498826396</v>
      </c>
      <c r="AC10" s="173">
        <f t="shared" si="17"/>
        <v>0.69140168280074554</v>
      </c>
      <c r="AD10" s="173"/>
      <c r="AE10" s="173">
        <f t="shared" si="18"/>
        <v>0.95126206036977945</v>
      </c>
      <c r="AF10" s="545">
        <f t="shared" si="100"/>
        <v>78.842627205005542</v>
      </c>
      <c r="AG10" s="528">
        <f t="shared" si="19"/>
        <v>0.22196114741961523</v>
      </c>
      <c r="AI10" s="173">
        <f t="shared" si="20"/>
        <v>0.63282737566456815</v>
      </c>
      <c r="AJ10" s="173">
        <f t="shared" si="21"/>
        <v>1.3333333333333335</v>
      </c>
      <c r="AK10" s="173">
        <f t="shared" si="22"/>
        <v>1.0450529298314317</v>
      </c>
      <c r="AM10" s="545">
        <f t="shared" si="23"/>
        <v>50</v>
      </c>
      <c r="AN10" s="460">
        <f t="shared" si="24"/>
        <v>78.842627205005542</v>
      </c>
      <c r="AP10">
        <f t="shared" si="25"/>
        <v>50</v>
      </c>
      <c r="AQ10" s="460">
        <f t="shared" si="26"/>
        <v>78.842627205005542</v>
      </c>
      <c r="AR10" s="460"/>
      <c r="AS10" s="5">
        <f t="shared" si="101"/>
        <v>12.683494138263727</v>
      </c>
      <c r="AT10" s="5">
        <f t="shared" si="27"/>
        <v>0.66758276037338204</v>
      </c>
      <c r="AU10" s="5">
        <f t="shared" si="102"/>
        <v>12.015911377890346</v>
      </c>
      <c r="AV10" s="5">
        <f t="shared" si="28"/>
        <v>0.95126206036977945</v>
      </c>
      <c r="AW10" s="173">
        <f t="shared" si="103"/>
        <v>5.2633978704607107E-2</v>
      </c>
      <c r="AX10" s="173">
        <f t="shared" si="29"/>
        <v>0.8409880235200593</v>
      </c>
      <c r="AY10" s="173">
        <f t="shared" si="30"/>
        <v>0.63157734753026207</v>
      </c>
      <c r="AZ10" s="173">
        <f t="shared" si="104"/>
        <v>1.3315677435371656</v>
      </c>
      <c r="BA10" s="460">
        <f t="shared" si="31"/>
        <v>0.2035313293821287</v>
      </c>
      <c r="BB10" s="5">
        <f t="shared" si="32"/>
        <v>0.34258981950855472</v>
      </c>
      <c r="BC10" s="5"/>
      <c r="BD10" s="173">
        <f t="shared" si="105"/>
        <v>0.1766083404005214</v>
      </c>
      <c r="BE10" s="173">
        <f t="shared" si="33"/>
        <v>0.74926770028713119</v>
      </c>
      <c r="BF10" s="173"/>
      <c r="BG10" s="528">
        <f t="shared" si="34"/>
        <v>6.238101179805287E-4</v>
      </c>
      <c r="BH10" s="528">
        <f t="shared" si="35"/>
        <v>8.0458428934136558E-2</v>
      </c>
      <c r="BI10" s="528">
        <f t="shared" si="36"/>
        <v>4.7240661014618469E-2</v>
      </c>
      <c r="BJ10" s="528">
        <f t="shared" si="37"/>
        <v>1.3137175187665001E-2</v>
      </c>
      <c r="BK10">
        <f t="shared" si="38"/>
        <v>1.0785179647199109E-2</v>
      </c>
      <c r="BL10" s="460">
        <f t="shared" si="106"/>
        <v>58.025840661817583</v>
      </c>
      <c r="BM10" s="528">
        <f t="shared" si="39"/>
        <v>9.4401834955221545E-2</v>
      </c>
      <c r="BN10" s="460">
        <f t="shared" si="107"/>
        <v>94.401834955221545</v>
      </c>
      <c r="BO10" s="528">
        <f t="shared" si="108"/>
        <v>3.1062499999999996E-2</v>
      </c>
      <c r="BP10" s="528"/>
      <c r="BR10" s="460">
        <f t="shared" si="109"/>
        <v>31.062499999999996</v>
      </c>
      <c r="BS10" s="528">
        <f t="shared" si="40"/>
        <v>9.357151769707931E-4</v>
      </c>
      <c r="BT10" s="528">
        <f t="shared" si="41"/>
        <v>1.6842062600806989E-2</v>
      </c>
      <c r="BU10" s="528">
        <f t="shared" si="42"/>
        <v>1.2299999999999998E-2</v>
      </c>
      <c r="BV10" s="528">
        <f t="shared" si="43"/>
        <v>3.4393359444543352E-2</v>
      </c>
      <c r="BW10" s="528">
        <f t="shared" si="44"/>
        <v>7.0082335293338266E-4</v>
      </c>
      <c r="BX10" s="460">
        <f t="shared" si="110"/>
        <v>35.094182797476734</v>
      </c>
      <c r="BY10" s="173">
        <f t="shared" si="45"/>
        <v>0.21858435841451587</v>
      </c>
      <c r="BZ10" s="5">
        <f t="shared" si="111"/>
        <v>0.82</v>
      </c>
      <c r="CA10" s="173">
        <f t="shared" si="112"/>
        <v>0.78953625033579089</v>
      </c>
      <c r="CB10" s="5">
        <f t="shared" si="113"/>
        <v>78.953625033579087</v>
      </c>
      <c r="CE10" s="562">
        <f t="shared" si="46"/>
        <v>-50</v>
      </c>
      <c r="CF10">
        <f t="shared" si="47"/>
        <v>-50</v>
      </c>
      <c r="CG10" s="173">
        <f t="shared" si="48"/>
        <v>7.590912410212107E-2</v>
      </c>
      <c r="CI10" s="170">
        <v>5</v>
      </c>
      <c r="CJ10" s="217">
        <f t="shared" si="114"/>
        <v>0.05</v>
      </c>
      <c r="CK10" s="217"/>
      <c r="CL10" s="217">
        <f t="shared" si="49"/>
        <v>0.82</v>
      </c>
      <c r="CM10" s="541">
        <f t="shared" si="50"/>
        <v>24</v>
      </c>
      <c r="CN10" s="172">
        <f t="shared" si="51"/>
        <v>16.799999999999997</v>
      </c>
      <c r="CO10" s="443">
        <f t="shared" si="52"/>
        <v>40.799999999999997</v>
      </c>
      <c r="CP10" s="443"/>
      <c r="CQ10" s="217">
        <f t="shared" si="53"/>
        <v>0.41176470588235292</v>
      </c>
      <c r="CR10" s="172">
        <f t="shared" si="54"/>
        <v>33.237647058823534</v>
      </c>
      <c r="CS10" s="172">
        <f t="shared" si="115"/>
        <v>0.82</v>
      </c>
      <c r="CT10" s="217">
        <f t="shared" si="55"/>
        <v>2.026685796269728</v>
      </c>
      <c r="CU10" s="217">
        <f t="shared" si="56"/>
        <v>16.399999999999999</v>
      </c>
      <c r="CV10" s="217">
        <f t="shared" si="57"/>
        <v>2.0086083213773311</v>
      </c>
      <c r="CW10" s="172">
        <f t="shared" si="58"/>
        <v>1576.0060898013921</v>
      </c>
      <c r="CX10" s="172">
        <f t="shared" si="59"/>
        <v>16.399999999999999</v>
      </c>
      <c r="CY10" s="217">
        <f t="shared" si="60"/>
        <v>0.16595238095238093</v>
      </c>
      <c r="CZ10" s="217">
        <f t="shared" si="61"/>
        <v>8.2976190476190467E-2</v>
      </c>
      <c r="DA10" s="217">
        <f t="shared" si="62"/>
        <v>0.11853741496598641</v>
      </c>
      <c r="DB10" s="197">
        <f t="shared" si="63"/>
        <v>350</v>
      </c>
      <c r="DC10" s="443">
        <f t="shared" si="116"/>
        <v>350</v>
      </c>
      <c r="DE10" s="217">
        <f t="shared" si="64"/>
        <v>2.3529411764705879</v>
      </c>
      <c r="DF10" s="173">
        <f t="shared" si="65"/>
        <v>1.6806722689075633</v>
      </c>
      <c r="DG10" s="173">
        <f t="shared" si="66"/>
        <v>0.69204152249134954</v>
      </c>
      <c r="DH10" s="173"/>
      <c r="DI10" s="173">
        <f t="shared" si="67"/>
        <v>0.95238095238095266</v>
      </c>
      <c r="DJ10" s="545">
        <f t="shared" si="117"/>
        <v>78.749999999999972</v>
      </c>
      <c r="DK10" s="528">
        <f t="shared" si="68"/>
        <v>0.22222222222222232</v>
      </c>
      <c r="DM10" s="173">
        <f t="shared" si="69"/>
        <v>0.63245553203367577</v>
      </c>
      <c r="DN10" s="173">
        <f t="shared" si="70"/>
        <v>1.3333333333333335</v>
      </c>
      <c r="DO10" s="173">
        <f t="shared" si="71"/>
        <v>1.0449999999999999</v>
      </c>
      <c r="DQ10" s="545">
        <f t="shared" si="72"/>
        <v>50</v>
      </c>
      <c r="DR10" s="460">
        <f t="shared" si="73"/>
        <v>78.749999999999972</v>
      </c>
      <c r="DT10">
        <f t="shared" si="74"/>
        <v>50</v>
      </c>
      <c r="DU10" s="460">
        <f t="shared" si="75"/>
        <v>78.749999999999972</v>
      </c>
      <c r="DV10" s="460"/>
      <c r="DW10" s="5">
        <f t="shared" si="118"/>
        <v>12.698412698412703</v>
      </c>
      <c r="DX10" s="5">
        <f t="shared" si="76"/>
        <v>0.66666666666666685</v>
      </c>
      <c r="DY10" s="5">
        <f t="shared" si="119"/>
        <v>12.031746031746037</v>
      </c>
      <c r="DZ10" s="5">
        <f t="shared" si="77"/>
        <v>0.95238095238095266</v>
      </c>
      <c r="EA10" s="173">
        <f t="shared" si="120"/>
        <v>5.2499999999999998E-2</v>
      </c>
      <c r="EB10" s="173">
        <f t="shared" si="78"/>
        <v>0.84</v>
      </c>
      <c r="EC10" s="173">
        <f t="shared" si="79"/>
        <v>0.63166666666666671</v>
      </c>
      <c r="ED10" s="173">
        <f t="shared" si="121"/>
        <v>1.329815303430079</v>
      </c>
      <c r="EE10" s="460">
        <f t="shared" si="80"/>
        <v>0.20325203252032531</v>
      </c>
      <c r="EF10" s="5">
        <f t="shared" si="81"/>
        <v>0.34257054673721349</v>
      </c>
      <c r="EG10" s="5"/>
      <c r="EH10" s="173">
        <f t="shared" si="122"/>
        <v>0.17638342073763938</v>
      </c>
      <c r="EI10" s="173">
        <f t="shared" si="82"/>
        <v>0.74932068000388308</v>
      </c>
      <c r="EJ10" s="173"/>
      <c r="EK10" s="528">
        <f t="shared" si="83"/>
        <v>6.2222222222222225E-4</v>
      </c>
      <c r="EL10" s="528">
        <f t="shared" si="84"/>
        <v>8.5679999999999978E-2</v>
      </c>
      <c r="EM10" s="528">
        <f t="shared" si="85"/>
        <v>9.8437499999999949E-3</v>
      </c>
      <c r="EN10" s="528">
        <f t="shared" si="86"/>
        <v>1.3109039999999995E-2</v>
      </c>
      <c r="EO10">
        <f t="shared" si="87"/>
        <v>1.0800000000000001E-2</v>
      </c>
      <c r="EP10" s="460">
        <f t="shared" si="123"/>
        <v>20.643749999999997</v>
      </c>
      <c r="EQ10" s="528">
        <f t="shared" si="88"/>
        <v>0.12024078862041185</v>
      </c>
      <c r="ER10" s="460">
        <f t="shared" si="124"/>
        <v>120.24078862041185</v>
      </c>
      <c r="ES10" s="528">
        <f t="shared" si="125"/>
        <v>3.1062499999999996E-2</v>
      </c>
      <c r="ET10" s="528"/>
      <c r="EV10" s="460">
        <f t="shared" si="126"/>
        <v>31.062499999999996</v>
      </c>
      <c r="EW10" s="528">
        <f t="shared" si="89"/>
        <v>9.3333333333333332E-4</v>
      </c>
      <c r="EX10" s="528">
        <f t="shared" si="90"/>
        <v>1.684444444444445E-2</v>
      </c>
      <c r="EY10" s="528">
        <f t="shared" si="91"/>
        <v>5.648631609735227E-3</v>
      </c>
      <c r="EZ10" s="528">
        <f t="shared" si="92"/>
        <v>2.7732517857354581E-2</v>
      </c>
      <c r="FA10" s="528">
        <f t="shared" si="93"/>
        <v>6.9999999999999988E-4</v>
      </c>
      <c r="FB10" s="460">
        <f t="shared" si="127"/>
        <v>28.432517857354579</v>
      </c>
      <c r="FC10" s="173">
        <f t="shared" si="128"/>
        <v>0.17973580647776644</v>
      </c>
      <c r="FD10" s="5">
        <f t="shared" si="129"/>
        <v>0.82</v>
      </c>
      <c r="FE10" s="173">
        <f t="shared" si="130"/>
        <v>0.82021669593789459</v>
      </c>
      <c r="FF10" s="5">
        <f t="shared" si="131"/>
        <v>82.021669593789454</v>
      </c>
      <c r="FI10" s="562">
        <f t="shared" si="94"/>
        <v>-50</v>
      </c>
      <c r="FJ10">
        <f t="shared" si="95"/>
        <v>-50</v>
      </c>
      <c r="FL10">
        <f t="shared" si="96"/>
        <v>7.4999999999999997E-2</v>
      </c>
    </row>
    <row r="11" spans="2:168">
      <c r="E11" s="170">
        <v>6</v>
      </c>
      <c r="F11" s="217">
        <f t="shared" si="97"/>
        <v>0.06</v>
      </c>
      <c r="G11" s="217"/>
      <c r="H11" s="217">
        <f t="shared" si="0"/>
        <v>0.98399999999999987</v>
      </c>
      <c r="I11" s="541">
        <f t="shared" si="1"/>
        <v>23.967065882664688</v>
      </c>
      <c r="J11" s="172">
        <f t="shared" si="2"/>
        <v>16.819760470401185</v>
      </c>
      <c r="K11" s="172">
        <f t="shared" si="3"/>
        <v>40.819760470401185</v>
      </c>
      <c r="L11" s="443"/>
      <c r="M11" s="217">
        <f t="shared" si="4"/>
        <v>0.41238563343554535</v>
      </c>
      <c r="N11" s="172">
        <f t="shared" si="5"/>
        <v>33.242089028082177</v>
      </c>
      <c r="O11" s="172">
        <f t="shared" si="98"/>
        <v>0.98399999999999987</v>
      </c>
      <c r="P11" s="217">
        <f t="shared" si="6"/>
        <v>2.0269566480537913</v>
      </c>
      <c r="Q11" s="217">
        <f t="shared" si="7"/>
        <v>16.399999999999999</v>
      </c>
      <c r="R11" s="217">
        <f t="shared" si="8"/>
        <v>2.0088767572386432</v>
      </c>
      <c r="S11" s="172">
        <f t="shared" si="9"/>
        <v>1307.5439239575551</v>
      </c>
      <c r="T11" s="172">
        <f t="shared" si="10"/>
        <v>16.399999999999999</v>
      </c>
      <c r="U11" s="217">
        <f t="shared" si="99"/>
        <v>0.20421556522110212</v>
      </c>
      <c r="V11" s="217">
        <f t="shared" si="11"/>
        <v>0.10224809305613534</v>
      </c>
      <c r="W11" s="217">
        <f t="shared" si="12"/>
        <v>0.14569688949885348</v>
      </c>
      <c r="X11" s="197">
        <f t="shared" si="13"/>
        <v>350</v>
      </c>
      <c r="Y11" s="443">
        <f t="shared" si="14"/>
        <v>350</v>
      </c>
      <c r="AA11" s="217">
        <f t="shared" si="15"/>
        <v>2.3532359375711969</v>
      </c>
      <c r="AB11" s="173">
        <f t="shared" si="16"/>
        <v>1.6789080498826396</v>
      </c>
      <c r="AC11" s="173">
        <f t="shared" si="17"/>
        <v>0.69140168280074554</v>
      </c>
      <c r="AD11" s="173"/>
      <c r="AE11" s="173">
        <f t="shared" si="18"/>
        <v>0.95126206036977945</v>
      </c>
      <c r="AF11" s="545">
        <f t="shared" si="100"/>
        <v>94.611152646006644</v>
      </c>
      <c r="AG11" s="528">
        <f t="shared" si="19"/>
        <v>0.22196114741961523</v>
      </c>
      <c r="AI11" s="173">
        <f t="shared" si="20"/>
        <v>0.69322765731655955</v>
      </c>
      <c r="AJ11" s="173">
        <f t="shared" si="21"/>
        <v>1.3333333333333335</v>
      </c>
      <c r="AK11" s="173">
        <f t="shared" si="22"/>
        <v>1.0540635157977181</v>
      </c>
      <c r="AM11" s="545">
        <f t="shared" si="23"/>
        <v>60</v>
      </c>
      <c r="AN11" s="460">
        <f t="shared" si="24"/>
        <v>94.611152646006644</v>
      </c>
      <c r="AP11">
        <f t="shared" si="25"/>
        <v>60</v>
      </c>
      <c r="AQ11" s="460">
        <f t="shared" si="26"/>
        <v>94.611152646006644</v>
      </c>
      <c r="AR11" s="460"/>
      <c r="AS11" s="5">
        <f t="shared" si="101"/>
        <v>10.569578448553106</v>
      </c>
      <c r="AT11" s="5">
        <f t="shared" si="27"/>
        <v>0.66758276037338204</v>
      </c>
      <c r="AU11" s="5">
        <f t="shared" si="102"/>
        <v>9.9019956881797242</v>
      </c>
      <c r="AV11" s="5">
        <f t="shared" si="28"/>
        <v>0.95126206036977945</v>
      </c>
      <c r="AW11" s="173">
        <f t="shared" si="103"/>
        <v>6.316077444552852E-2</v>
      </c>
      <c r="AX11" s="173">
        <f t="shared" si="29"/>
        <v>1.0091856282240712</v>
      </c>
      <c r="AY11" s="173">
        <f t="shared" si="30"/>
        <v>0.62455948370298109</v>
      </c>
      <c r="AZ11" s="173">
        <f t="shared" si="104"/>
        <v>1.6158358884259694</v>
      </c>
      <c r="BA11" s="460">
        <f t="shared" si="31"/>
        <v>0.24423759525855443</v>
      </c>
      <c r="BB11" s="5">
        <f t="shared" si="32"/>
        <v>0.33878308275441765</v>
      </c>
      <c r="BC11" s="5"/>
      <c r="BD11" s="173">
        <f t="shared" si="105"/>
        <v>0.19346474376183306</v>
      </c>
      <c r="BE11" s="173">
        <f t="shared" si="33"/>
        <v>0.74509327302946515</v>
      </c>
      <c r="BF11" s="173"/>
      <c r="BG11" s="528">
        <f t="shared" si="34"/>
        <v>7.4857214157663461E-4</v>
      </c>
      <c r="BH11" s="528">
        <f t="shared" si="35"/>
        <v>9.6550114720963878E-2</v>
      </c>
      <c r="BI11" s="528">
        <f t="shared" si="36"/>
        <v>5.6688793217542166E-2</v>
      </c>
      <c r="BJ11" s="528">
        <f t="shared" si="37"/>
        <v>1.5764610225198001E-2</v>
      </c>
      <c r="BK11">
        <f t="shared" si="38"/>
        <v>1.0785179647199109E-2</v>
      </c>
      <c r="BL11" s="460">
        <f t="shared" si="106"/>
        <v>67.47397286474127</v>
      </c>
      <c r="BM11" s="528">
        <f t="shared" si="39"/>
        <v>0.11328556061970234</v>
      </c>
      <c r="BN11" s="460">
        <f t="shared" si="107"/>
        <v>113.28556061970234</v>
      </c>
      <c r="BO11" s="528">
        <f t="shared" si="108"/>
        <v>3.7274999999999996E-2</v>
      </c>
      <c r="BP11" s="528"/>
      <c r="BR11" s="460">
        <f t="shared" si="109"/>
        <v>37.274999999999999</v>
      </c>
      <c r="BS11" s="528">
        <f t="shared" si="40"/>
        <v>1.1228582123649518E-3</v>
      </c>
      <c r="BT11" s="528">
        <f t="shared" si="41"/>
        <v>1.6654919565412832E-2</v>
      </c>
      <c r="BU11" s="528">
        <f t="shared" si="42"/>
        <v>1.4759999999999997E-2</v>
      </c>
      <c r="BV11" s="528">
        <f t="shared" si="43"/>
        <v>3.6856863094178398E-2</v>
      </c>
      <c r="BW11" s="528">
        <f t="shared" si="44"/>
        <v>8.4098802352005925E-4</v>
      </c>
      <c r="BX11" s="460">
        <f t="shared" si="110"/>
        <v>37.697851117698463</v>
      </c>
      <c r="BY11" s="173">
        <f t="shared" si="45"/>
        <v>0.25573238460214209</v>
      </c>
      <c r="BZ11" s="5">
        <f t="shared" si="111"/>
        <v>0.98399999999999987</v>
      </c>
      <c r="CA11" s="173">
        <f t="shared" si="112"/>
        <v>0.79371968678206917</v>
      </c>
      <c r="CB11" s="5">
        <f t="shared" si="113"/>
        <v>79.371968678206912</v>
      </c>
      <c r="CE11" s="562">
        <f t="shared" si="46"/>
        <v>-50</v>
      </c>
      <c r="CF11">
        <f t="shared" si="47"/>
        <v>-50</v>
      </c>
      <c r="CG11" s="173">
        <f t="shared" si="48"/>
        <v>9.1090948922545281E-2</v>
      </c>
      <c r="CI11" s="170">
        <v>6</v>
      </c>
      <c r="CJ11" s="217">
        <f t="shared" si="114"/>
        <v>0.06</v>
      </c>
      <c r="CK11" s="217"/>
      <c r="CL11" s="217">
        <f t="shared" si="49"/>
        <v>0.98399999999999987</v>
      </c>
      <c r="CM11" s="541">
        <f t="shared" si="50"/>
        <v>24</v>
      </c>
      <c r="CN11" s="172">
        <f t="shared" si="51"/>
        <v>16.799999999999997</v>
      </c>
      <c r="CO11" s="443">
        <f t="shared" si="52"/>
        <v>40.799999999999997</v>
      </c>
      <c r="CP11" s="443"/>
      <c r="CQ11" s="217">
        <f t="shared" si="53"/>
        <v>0.41176470588235292</v>
      </c>
      <c r="CR11" s="172">
        <f t="shared" si="54"/>
        <v>33.237647058823534</v>
      </c>
      <c r="CS11" s="172">
        <f t="shared" si="115"/>
        <v>0.98399999999999987</v>
      </c>
      <c r="CT11" s="217">
        <f t="shared" si="55"/>
        <v>2.026685796269728</v>
      </c>
      <c r="CU11" s="217">
        <f t="shared" si="56"/>
        <v>16.399999999999999</v>
      </c>
      <c r="CV11" s="217">
        <f t="shared" si="57"/>
        <v>2.0086083213773311</v>
      </c>
      <c r="CW11" s="172">
        <f t="shared" si="58"/>
        <v>1309.3406630286472</v>
      </c>
      <c r="CX11" s="172">
        <f t="shared" si="59"/>
        <v>16.399999999999999</v>
      </c>
      <c r="CY11" s="217">
        <f t="shared" si="60"/>
        <v>0.19914285714285712</v>
      </c>
      <c r="CZ11" s="217">
        <f t="shared" si="61"/>
        <v>9.9571428571428561E-2</v>
      </c>
      <c r="DA11" s="217">
        <f t="shared" si="62"/>
        <v>0.14224489795918366</v>
      </c>
      <c r="DB11" s="197">
        <f t="shared" si="63"/>
        <v>350</v>
      </c>
      <c r="DC11" s="443">
        <f t="shared" si="116"/>
        <v>350</v>
      </c>
      <c r="DE11" s="217">
        <f t="shared" si="64"/>
        <v>2.3529411764705879</v>
      </c>
      <c r="DF11" s="173">
        <f t="shared" si="65"/>
        <v>1.6806722689075633</v>
      </c>
      <c r="DG11" s="173">
        <f t="shared" si="66"/>
        <v>0.69204152249134954</v>
      </c>
      <c r="DH11" s="173"/>
      <c r="DI11" s="173">
        <f t="shared" si="67"/>
        <v>0.95238095238095266</v>
      </c>
      <c r="DJ11" s="545">
        <f t="shared" si="117"/>
        <v>94.499999999999957</v>
      </c>
      <c r="DK11" s="528">
        <f t="shared" si="68"/>
        <v>0.22222222222222232</v>
      </c>
      <c r="DM11" s="173">
        <f t="shared" si="69"/>
        <v>0.69282032302755081</v>
      </c>
      <c r="DN11" s="173">
        <f t="shared" si="70"/>
        <v>1.3333333333333335</v>
      </c>
      <c r="DO11" s="173">
        <f t="shared" si="71"/>
        <v>1.054</v>
      </c>
      <c r="DQ11" s="545">
        <f t="shared" si="72"/>
        <v>60</v>
      </c>
      <c r="DR11" s="460">
        <f t="shared" si="73"/>
        <v>94.499999999999957</v>
      </c>
      <c r="DT11">
        <f t="shared" si="74"/>
        <v>60</v>
      </c>
      <c r="DU11" s="460">
        <f t="shared" si="75"/>
        <v>94.499999999999957</v>
      </c>
      <c r="DV11" s="460"/>
      <c r="DW11" s="5">
        <f t="shared" si="118"/>
        <v>10.582010582010586</v>
      </c>
      <c r="DX11" s="5">
        <f t="shared" si="76"/>
        <v>0.66666666666666685</v>
      </c>
      <c r="DY11" s="5">
        <f t="shared" si="119"/>
        <v>9.9153439153439198</v>
      </c>
      <c r="DZ11" s="5">
        <f t="shared" si="77"/>
        <v>0.95238095238095266</v>
      </c>
      <c r="EA11" s="173">
        <f t="shared" si="120"/>
        <v>6.3E-2</v>
      </c>
      <c r="EB11" s="173">
        <f t="shared" si="78"/>
        <v>1.0079999999999998</v>
      </c>
      <c r="EC11" s="173">
        <f t="shared" si="79"/>
        <v>0.62466666666666681</v>
      </c>
      <c r="ED11" s="173">
        <f t="shared" si="121"/>
        <v>1.6136606189967975</v>
      </c>
      <c r="EE11" s="460">
        <f t="shared" si="80"/>
        <v>0.24390243902439032</v>
      </c>
      <c r="EF11" s="5">
        <f t="shared" si="81"/>
        <v>0.33877425044091719</v>
      </c>
      <c r="EG11" s="5"/>
      <c r="EH11" s="173">
        <f t="shared" si="122"/>
        <v>0.1932183566158592</v>
      </c>
      <c r="EI11" s="173">
        <f t="shared" si="82"/>
        <v>0.74515720439331423</v>
      </c>
      <c r="EJ11" s="173"/>
      <c r="EK11" s="528">
        <f t="shared" si="83"/>
        <v>7.4666666666666685E-4</v>
      </c>
      <c r="EL11" s="528">
        <f t="shared" si="84"/>
        <v>0.10281599999999996</v>
      </c>
      <c r="EM11" s="528">
        <f t="shared" si="85"/>
        <v>1.1812499999999995E-2</v>
      </c>
      <c r="EN11" s="528">
        <f t="shared" si="86"/>
        <v>1.5730847999999992E-2</v>
      </c>
      <c r="EO11">
        <f t="shared" si="87"/>
        <v>1.0800000000000001E-2</v>
      </c>
      <c r="EP11" s="460">
        <f t="shared" si="123"/>
        <v>22.612499999999994</v>
      </c>
      <c r="EQ11" s="528">
        <f t="shared" si="88"/>
        <v>0.14213283016780101</v>
      </c>
      <c r="ER11" s="460">
        <f t="shared" si="124"/>
        <v>142.13283016780102</v>
      </c>
      <c r="ES11" s="528">
        <f t="shared" si="125"/>
        <v>3.7274999999999996E-2</v>
      </c>
      <c r="ET11" s="528"/>
      <c r="EV11" s="460">
        <f t="shared" si="126"/>
        <v>37.274999999999999</v>
      </c>
      <c r="EW11" s="528">
        <f t="shared" si="89"/>
        <v>1.1200000000000003E-3</v>
      </c>
      <c r="EX11" s="528">
        <f t="shared" si="90"/>
        <v>1.6657777777777782E-2</v>
      </c>
      <c r="EY11" s="528">
        <f t="shared" si="91"/>
        <v>8.9103829008634512E-3</v>
      </c>
      <c r="EZ11" s="528">
        <f t="shared" si="92"/>
        <v>3.099891469064571E-2</v>
      </c>
      <c r="FA11" s="528">
        <f t="shared" si="93"/>
        <v>8.3999999999999982E-4</v>
      </c>
      <c r="FB11" s="460">
        <f t="shared" si="127"/>
        <v>31.838914690645709</v>
      </c>
      <c r="FC11" s="173">
        <f t="shared" si="128"/>
        <v>0.21124674485844674</v>
      </c>
      <c r="FD11" s="5">
        <f t="shared" si="129"/>
        <v>0.98399999999999987</v>
      </c>
      <c r="FE11" s="173">
        <f t="shared" si="130"/>
        <v>0.82326097455010039</v>
      </c>
      <c r="FF11" s="5">
        <f t="shared" si="131"/>
        <v>82.326097455010043</v>
      </c>
      <c r="FI11" s="562">
        <f t="shared" si="94"/>
        <v>-50</v>
      </c>
      <c r="FJ11">
        <f t="shared" si="95"/>
        <v>-50</v>
      </c>
      <c r="FL11">
        <f t="shared" si="96"/>
        <v>8.9999999999999983E-2</v>
      </c>
    </row>
    <row r="12" spans="2:168">
      <c r="E12" s="170">
        <v>7</v>
      </c>
      <c r="F12" s="217">
        <f t="shared" si="97"/>
        <v>7.0000000000000007E-2</v>
      </c>
      <c r="G12" s="217"/>
      <c r="H12" s="217">
        <f t="shared" si="0"/>
        <v>1.1479999999999999</v>
      </c>
      <c r="I12" s="541">
        <f t="shared" si="1"/>
        <v>23.967065882664688</v>
      </c>
      <c r="J12" s="172">
        <f t="shared" si="2"/>
        <v>16.819760470401185</v>
      </c>
      <c r="K12" s="172">
        <f t="shared" si="3"/>
        <v>40.819760470401185</v>
      </c>
      <c r="L12" s="443"/>
      <c r="M12" s="217">
        <f t="shared" si="4"/>
        <v>0.41238563343554535</v>
      </c>
      <c r="N12" s="172">
        <f t="shared" si="5"/>
        <v>33.242089028082177</v>
      </c>
      <c r="O12" s="172">
        <f t="shared" si="98"/>
        <v>1.1479999999999999</v>
      </c>
      <c r="P12" s="217">
        <f t="shared" si="6"/>
        <v>2.0269566480537913</v>
      </c>
      <c r="Q12" s="217">
        <f t="shared" si="7"/>
        <v>16.399999999999999</v>
      </c>
      <c r="R12" s="217">
        <f t="shared" si="8"/>
        <v>2.0088767572386432</v>
      </c>
      <c r="S12" s="172">
        <f t="shared" si="9"/>
        <v>1117.3303627202426</v>
      </c>
      <c r="T12" s="172">
        <f t="shared" si="10"/>
        <v>16.399999999999999</v>
      </c>
      <c r="U12" s="217">
        <f t="shared" si="99"/>
        <v>0.23825149275795246</v>
      </c>
      <c r="V12" s="217">
        <f t="shared" si="11"/>
        <v>0.11928944189882455</v>
      </c>
      <c r="W12" s="217">
        <f t="shared" si="12"/>
        <v>0.16997970441532906</v>
      </c>
      <c r="X12" s="197">
        <f t="shared" si="13"/>
        <v>350</v>
      </c>
      <c r="Y12" s="443">
        <f t="shared" si="14"/>
        <v>350</v>
      </c>
      <c r="AA12" s="217">
        <f t="shared" si="15"/>
        <v>2.3532359375711969</v>
      </c>
      <c r="AB12" s="173">
        <f t="shared" si="16"/>
        <v>1.6789080498826396</v>
      </c>
      <c r="AC12" s="173">
        <f t="shared" si="17"/>
        <v>0.69140168280074554</v>
      </c>
      <c r="AD12" s="173"/>
      <c r="AE12" s="173">
        <f t="shared" si="18"/>
        <v>0.95126206036977945</v>
      </c>
      <c r="AF12" s="545">
        <f t="shared" si="100"/>
        <v>110.37967808700776</v>
      </c>
      <c r="AG12" s="528">
        <f t="shared" si="19"/>
        <v>0.22196114741961523</v>
      </c>
      <c r="AI12" s="173">
        <f t="shared" si="20"/>
        <v>0.74877144867222756</v>
      </c>
      <c r="AJ12" s="173">
        <f t="shared" si="21"/>
        <v>1.3333333333333335</v>
      </c>
      <c r="AK12" s="173">
        <f t="shared" si="22"/>
        <v>1.0630741017640044</v>
      </c>
      <c r="AM12" s="545">
        <f t="shared" si="23"/>
        <v>70</v>
      </c>
      <c r="AN12" s="460">
        <f t="shared" si="24"/>
        <v>110.37967808700776</v>
      </c>
      <c r="AP12">
        <f t="shared" si="25"/>
        <v>70</v>
      </c>
      <c r="AQ12" s="460">
        <f t="shared" si="26"/>
        <v>110.37967808700776</v>
      </c>
      <c r="AR12" s="460"/>
      <c r="AS12" s="5">
        <f t="shared" si="101"/>
        <v>9.0596386701883755</v>
      </c>
      <c r="AT12" s="5">
        <f t="shared" si="27"/>
        <v>0.66758276037338204</v>
      </c>
      <c r="AU12" s="5">
        <f t="shared" si="102"/>
        <v>8.3920559098149941</v>
      </c>
      <c r="AV12" s="5">
        <f t="shared" si="28"/>
        <v>0.95126206036977945</v>
      </c>
      <c r="AW12" s="173">
        <f t="shared" si="103"/>
        <v>7.3687570186449947E-2</v>
      </c>
      <c r="AX12" s="173">
        <f t="shared" si="29"/>
        <v>1.1773832329280831</v>
      </c>
      <c r="AY12" s="173">
        <f t="shared" si="30"/>
        <v>0.61754161987570011</v>
      </c>
      <c r="AZ12" s="173">
        <f t="shared" si="104"/>
        <v>1.9065649909799909</v>
      </c>
      <c r="BA12" s="460">
        <f t="shared" si="31"/>
        <v>0.28494386113498021</v>
      </c>
      <c r="BB12" s="5">
        <f t="shared" si="32"/>
        <v>0.33497634600028064</v>
      </c>
      <c r="BC12" s="5"/>
      <c r="BD12" s="173">
        <f t="shared" si="105"/>
        <v>0.20896580643405996</v>
      </c>
      <c r="BE12" s="173">
        <f t="shared" si="33"/>
        <v>0.74089532616554943</v>
      </c>
      <c r="BF12" s="173"/>
      <c r="BG12" s="528">
        <f t="shared" si="34"/>
        <v>8.7333416517274031E-4</v>
      </c>
      <c r="BH12" s="528">
        <f t="shared" si="35"/>
        <v>0.1126418005077912</v>
      </c>
      <c r="BI12" s="528">
        <f t="shared" si="36"/>
        <v>6.613692542046587E-2</v>
      </c>
      <c r="BJ12" s="528">
        <f t="shared" si="37"/>
        <v>1.8392045262731003E-2</v>
      </c>
      <c r="BK12">
        <f t="shared" si="38"/>
        <v>1.0785179647199109E-2</v>
      </c>
      <c r="BL12" s="460">
        <f t="shared" si="106"/>
        <v>76.922105067664972</v>
      </c>
      <c r="BM12" s="528">
        <f t="shared" si="39"/>
        <v>0.13217040607435646</v>
      </c>
      <c r="BN12" s="460">
        <f t="shared" si="107"/>
        <v>132.17040607435646</v>
      </c>
      <c r="BO12" s="528">
        <f t="shared" si="108"/>
        <v>4.3487499999999998E-2</v>
      </c>
      <c r="BP12" s="528"/>
      <c r="BR12" s="460">
        <f t="shared" si="109"/>
        <v>43.487499999999997</v>
      </c>
      <c r="BS12" s="528">
        <f t="shared" si="40"/>
        <v>1.3100012477591104E-3</v>
      </c>
      <c r="BT12" s="528">
        <f t="shared" si="41"/>
        <v>1.6467776530018675E-2</v>
      </c>
      <c r="BU12" s="528">
        <f t="shared" si="42"/>
        <v>1.7219999999999999E-2</v>
      </c>
      <c r="BV12" s="528">
        <f t="shared" si="43"/>
        <v>3.932036674381343E-2</v>
      </c>
      <c r="BW12" s="528">
        <f t="shared" si="44"/>
        <v>9.8115269410673574E-4</v>
      </c>
      <c r="BX12" s="460">
        <f t="shared" si="110"/>
        <v>40.301519437920163</v>
      </c>
      <c r="BY12" s="173">
        <f t="shared" si="45"/>
        <v>0.2928815305799416</v>
      </c>
      <c r="BZ12" s="5">
        <f t="shared" si="111"/>
        <v>1.1479999999999999</v>
      </c>
      <c r="CA12" s="173">
        <f t="shared" si="112"/>
        <v>0.79673448207635822</v>
      </c>
      <c r="CB12" s="5">
        <f t="shared" si="113"/>
        <v>79.673448207635829</v>
      </c>
      <c r="CE12" s="562">
        <f t="shared" si="46"/>
        <v>-50</v>
      </c>
      <c r="CF12">
        <f t="shared" si="47"/>
        <v>-50</v>
      </c>
      <c r="CG12" s="173">
        <f t="shared" si="48"/>
        <v>0.10627277374296951</v>
      </c>
      <c r="CI12" s="170">
        <v>7</v>
      </c>
      <c r="CJ12" s="217">
        <f t="shared" si="114"/>
        <v>7.0000000000000007E-2</v>
      </c>
      <c r="CK12" s="217"/>
      <c r="CL12" s="217">
        <f t="shared" si="49"/>
        <v>1.1479999999999999</v>
      </c>
      <c r="CM12" s="541">
        <f t="shared" si="50"/>
        <v>24</v>
      </c>
      <c r="CN12" s="172">
        <f t="shared" si="51"/>
        <v>16.799999999999997</v>
      </c>
      <c r="CO12" s="443">
        <f t="shared" si="52"/>
        <v>40.799999999999997</v>
      </c>
      <c r="CP12" s="443"/>
      <c r="CQ12" s="217">
        <f t="shared" si="53"/>
        <v>0.41176470588235292</v>
      </c>
      <c r="CR12" s="172">
        <f t="shared" si="54"/>
        <v>33.237647058823534</v>
      </c>
      <c r="CS12" s="172">
        <f t="shared" si="115"/>
        <v>1.1479999999999999</v>
      </c>
      <c r="CT12" s="217">
        <f t="shared" si="55"/>
        <v>2.026685796269728</v>
      </c>
      <c r="CU12" s="217">
        <f t="shared" si="56"/>
        <v>16.399999999999999</v>
      </c>
      <c r="CV12" s="217">
        <f t="shared" si="57"/>
        <v>2.0086083213773311</v>
      </c>
      <c r="CW12" s="172">
        <f t="shared" si="58"/>
        <v>1118.8657199088912</v>
      </c>
      <c r="CX12" s="172">
        <f t="shared" si="59"/>
        <v>16.399999999999999</v>
      </c>
      <c r="CY12" s="217">
        <f t="shared" si="60"/>
        <v>0.23233333333333331</v>
      </c>
      <c r="CZ12" s="217">
        <f t="shared" si="61"/>
        <v>0.11616666666666665</v>
      </c>
      <c r="DA12" s="217">
        <f t="shared" si="62"/>
        <v>0.16595238095238099</v>
      </c>
      <c r="DB12" s="197">
        <f t="shared" si="63"/>
        <v>350</v>
      </c>
      <c r="DC12" s="443">
        <f t="shared" si="116"/>
        <v>350</v>
      </c>
      <c r="DE12" s="217">
        <f t="shared" si="64"/>
        <v>2.3529411764705879</v>
      </c>
      <c r="DF12" s="173">
        <f t="shared" si="65"/>
        <v>1.6806722689075633</v>
      </c>
      <c r="DG12" s="173">
        <f t="shared" si="66"/>
        <v>0.69204152249134954</v>
      </c>
      <c r="DH12" s="173"/>
      <c r="DI12" s="173">
        <f t="shared" si="67"/>
        <v>0.95238095238095266</v>
      </c>
      <c r="DJ12" s="545">
        <f t="shared" si="117"/>
        <v>110.24999999999997</v>
      </c>
      <c r="DK12" s="528">
        <f t="shared" si="68"/>
        <v>0.22222222222222232</v>
      </c>
      <c r="DM12" s="173">
        <f t="shared" si="69"/>
        <v>0.74833147735478822</v>
      </c>
      <c r="DN12" s="173">
        <f t="shared" si="70"/>
        <v>1.3333333333333335</v>
      </c>
      <c r="DO12" s="173">
        <f t="shared" si="71"/>
        <v>1.0629999999999999</v>
      </c>
      <c r="DQ12" s="545">
        <f t="shared" si="72"/>
        <v>70</v>
      </c>
      <c r="DR12" s="460">
        <f t="shared" si="73"/>
        <v>110.24999999999997</v>
      </c>
      <c r="DT12">
        <f t="shared" si="74"/>
        <v>70</v>
      </c>
      <c r="DU12" s="460">
        <f t="shared" si="75"/>
        <v>110.24999999999997</v>
      </c>
      <c r="DV12" s="460"/>
      <c r="DW12" s="5">
        <f t="shared" si="118"/>
        <v>9.0702947845805006</v>
      </c>
      <c r="DX12" s="5">
        <f t="shared" si="76"/>
        <v>0.66666666666666685</v>
      </c>
      <c r="DY12" s="5">
        <f t="shared" si="119"/>
        <v>8.4036281179138346</v>
      </c>
      <c r="DZ12" s="5">
        <f t="shared" si="77"/>
        <v>0.95238095238095266</v>
      </c>
      <c r="EA12" s="173">
        <f t="shared" si="120"/>
        <v>7.350000000000001E-2</v>
      </c>
      <c r="EB12" s="173">
        <f t="shared" si="78"/>
        <v>1.1759999999999999</v>
      </c>
      <c r="EC12" s="173">
        <f t="shared" si="79"/>
        <v>0.6176666666666667</v>
      </c>
      <c r="ED12" s="173">
        <f t="shared" si="121"/>
        <v>1.9039395574743656</v>
      </c>
      <c r="EE12" s="460">
        <f t="shared" si="80"/>
        <v>0.28455284552845544</v>
      </c>
      <c r="EF12" s="5">
        <f t="shared" si="81"/>
        <v>0.33497795414462084</v>
      </c>
      <c r="EG12" s="5"/>
      <c r="EH12" s="173">
        <f t="shared" si="122"/>
        <v>0.2086996778999804</v>
      </c>
      <c r="EI12" s="173">
        <f t="shared" si="82"/>
        <v>0.74097033478880736</v>
      </c>
      <c r="EJ12" s="173"/>
      <c r="EK12" s="528">
        <f t="shared" si="83"/>
        <v>8.7111111111111124E-4</v>
      </c>
      <c r="EL12" s="528">
        <f t="shared" si="84"/>
        <v>0.11995199999999999</v>
      </c>
      <c r="EM12" s="528">
        <f t="shared" si="85"/>
        <v>1.3781249999999997E-2</v>
      </c>
      <c r="EN12" s="528">
        <f t="shared" si="86"/>
        <v>1.8352655999999995E-2</v>
      </c>
      <c r="EO12">
        <f t="shared" si="87"/>
        <v>1.0800000000000001E-2</v>
      </c>
      <c r="EP12" s="460">
        <f t="shared" si="123"/>
        <v>24.581249999999997</v>
      </c>
      <c r="EQ12" s="528">
        <f t="shared" si="88"/>
        <v>0.16402616659096744</v>
      </c>
      <c r="ER12" s="460">
        <f t="shared" si="124"/>
        <v>164.02616659096745</v>
      </c>
      <c r="ES12" s="528">
        <f t="shared" si="125"/>
        <v>4.3487499999999998E-2</v>
      </c>
      <c r="ET12" s="528"/>
      <c r="EV12" s="460">
        <f t="shared" si="126"/>
        <v>43.487499999999997</v>
      </c>
      <c r="EW12" s="528">
        <f t="shared" si="89"/>
        <v>1.3066666666666669E-3</v>
      </c>
      <c r="EX12" s="528">
        <f t="shared" si="90"/>
        <v>1.6471111111111117E-2</v>
      </c>
      <c r="EY12" s="528">
        <f t="shared" si="91"/>
        <v>1.3099760065264546E-2</v>
      </c>
      <c r="EZ12" s="528">
        <f t="shared" si="92"/>
        <v>3.5194258566336671E-2</v>
      </c>
      <c r="FA12" s="528">
        <f t="shared" si="93"/>
        <v>9.7999999999999997E-4</v>
      </c>
      <c r="FB12" s="460">
        <f t="shared" si="127"/>
        <v>36.174258566336675</v>
      </c>
      <c r="FC12" s="173">
        <f t="shared" si="128"/>
        <v>0.24368792515730411</v>
      </c>
      <c r="FD12" s="5">
        <f t="shared" si="129"/>
        <v>1.1479999999999999</v>
      </c>
      <c r="FE12" s="173">
        <f t="shared" si="130"/>
        <v>0.82489757886649784</v>
      </c>
      <c r="FF12" s="5">
        <f t="shared" si="131"/>
        <v>82.489757886649784</v>
      </c>
      <c r="FI12" s="562">
        <f t="shared" si="94"/>
        <v>-50</v>
      </c>
      <c r="FJ12">
        <f t="shared" si="95"/>
        <v>-50</v>
      </c>
      <c r="FL12">
        <f t="shared" si="96"/>
        <v>0.10500000000000001</v>
      </c>
    </row>
    <row r="13" spans="2:168" s="76" customFormat="1">
      <c r="E13" s="189">
        <v>8</v>
      </c>
      <c r="F13" s="217">
        <f t="shared" si="97"/>
        <v>0.08</v>
      </c>
      <c r="G13" s="217"/>
      <c r="H13" s="217">
        <f t="shared" si="0"/>
        <v>1.3119999999999998</v>
      </c>
      <c r="I13" s="541">
        <f t="shared" si="1"/>
        <v>23.967065882664688</v>
      </c>
      <c r="J13" s="172">
        <f t="shared" si="2"/>
        <v>16.819760470401185</v>
      </c>
      <c r="K13" s="172">
        <f t="shared" si="3"/>
        <v>40.819760470401185</v>
      </c>
      <c r="L13" s="535"/>
      <c r="M13" s="217">
        <f t="shared" si="4"/>
        <v>0.41238563343554535</v>
      </c>
      <c r="N13" s="172">
        <f t="shared" si="5"/>
        <v>33.242089028082177</v>
      </c>
      <c r="O13" s="172">
        <f t="shared" si="98"/>
        <v>1.3119999999999998</v>
      </c>
      <c r="P13" s="329">
        <f t="shared" si="6"/>
        <v>2.0269566480537913</v>
      </c>
      <c r="Q13" s="217">
        <f t="shared" si="7"/>
        <v>16.399999999999999</v>
      </c>
      <c r="R13" s="217">
        <f t="shared" si="8"/>
        <v>2.0088767572386432</v>
      </c>
      <c r="S13" s="172">
        <f t="shared" si="9"/>
        <v>974.6705111597405</v>
      </c>
      <c r="T13" s="172">
        <f t="shared" si="10"/>
        <v>16.399999999999999</v>
      </c>
      <c r="U13" s="217">
        <f t="shared" si="99"/>
        <v>0.2722874202948028</v>
      </c>
      <c r="V13" s="217">
        <f t="shared" si="11"/>
        <v>0.13633079074151377</v>
      </c>
      <c r="W13" s="217">
        <f t="shared" si="12"/>
        <v>0.19426251933180463</v>
      </c>
      <c r="X13" s="537">
        <f t="shared" si="13"/>
        <v>350</v>
      </c>
      <c r="Y13" s="443">
        <f t="shared" si="14"/>
        <v>350</v>
      </c>
      <c r="AA13" s="329">
        <f t="shared" si="15"/>
        <v>2.3532359375711969</v>
      </c>
      <c r="AB13" s="173">
        <f t="shared" si="16"/>
        <v>1.6789080498826396</v>
      </c>
      <c r="AC13" s="538">
        <f t="shared" si="17"/>
        <v>0.69140168280074554</v>
      </c>
      <c r="AD13" s="538"/>
      <c r="AE13" s="173">
        <f t="shared" si="18"/>
        <v>0.95126206036977945</v>
      </c>
      <c r="AF13" s="545">
        <f t="shared" si="100"/>
        <v>126.14820352800886</v>
      </c>
      <c r="AG13" s="528">
        <f t="shared" si="19"/>
        <v>0.22196114741961523</v>
      </c>
      <c r="AH13"/>
      <c r="AI13" s="173">
        <f t="shared" si="20"/>
        <v>0.80047034912281867</v>
      </c>
      <c r="AJ13" s="173">
        <f t="shared" si="21"/>
        <v>1.3333333333333335</v>
      </c>
      <c r="AK13" s="173">
        <f t="shared" si="22"/>
        <v>1.0720846877302908</v>
      </c>
      <c r="AM13" s="545">
        <f t="shared" si="23"/>
        <v>80</v>
      </c>
      <c r="AN13" s="460">
        <f t="shared" si="24"/>
        <v>126.14820352800886</v>
      </c>
      <c r="AP13">
        <f t="shared" si="25"/>
        <v>80</v>
      </c>
      <c r="AQ13" s="460">
        <f t="shared" si="26"/>
        <v>126.14820352800886</v>
      </c>
      <c r="AR13" s="460"/>
      <c r="AS13" s="5">
        <f t="shared" si="101"/>
        <v>7.9271838364148293</v>
      </c>
      <c r="AT13" s="5">
        <f t="shared" si="27"/>
        <v>0.66758276037338204</v>
      </c>
      <c r="AU13" s="5">
        <f t="shared" si="102"/>
        <v>7.2596010760414469</v>
      </c>
      <c r="AV13" s="5">
        <f t="shared" si="28"/>
        <v>0.95126206036977945</v>
      </c>
      <c r="AW13" s="173">
        <f t="shared" si="103"/>
        <v>8.4214365927371373E-2</v>
      </c>
      <c r="AX13" s="173">
        <f t="shared" si="29"/>
        <v>1.3455808376320948</v>
      </c>
      <c r="AY13" s="173">
        <f t="shared" si="30"/>
        <v>0.61052375604841913</v>
      </c>
      <c r="AZ13" s="173">
        <f t="shared" si="104"/>
        <v>2.2039778539352697</v>
      </c>
      <c r="BA13" s="460">
        <f t="shared" si="31"/>
        <v>0.32565012701140594</v>
      </c>
      <c r="BB13" s="5">
        <f t="shared" si="32"/>
        <v>0.33116960924614369</v>
      </c>
      <c r="BC13" s="5"/>
      <c r="BD13" s="173">
        <f t="shared" si="105"/>
        <v>0.22339384377919261</v>
      </c>
      <c r="BE13" s="173">
        <f t="shared" si="33"/>
        <v>0.73667345761480385</v>
      </c>
      <c r="BF13" s="173"/>
      <c r="BG13" s="528">
        <f t="shared" si="34"/>
        <v>9.9809618876884622E-4</v>
      </c>
      <c r="BH13" s="528">
        <f t="shared" si="35"/>
        <v>0.1287334862946185</v>
      </c>
      <c r="BI13" s="528">
        <f t="shared" si="36"/>
        <v>7.5585057623389559E-2</v>
      </c>
      <c r="BJ13" s="528">
        <f t="shared" si="37"/>
        <v>2.1019480300264005E-2</v>
      </c>
      <c r="BK13">
        <f t="shared" si="38"/>
        <v>1.0785179647199109E-2</v>
      </c>
      <c r="BL13" s="460">
        <f t="shared" si="106"/>
        <v>86.37023727058866</v>
      </c>
      <c r="BM13" s="528">
        <f t="shared" si="39"/>
        <v>0.15105637141879089</v>
      </c>
      <c r="BN13" s="460">
        <f t="shared" si="107"/>
        <v>151.05637141879089</v>
      </c>
      <c r="BO13" s="528">
        <f t="shared" si="108"/>
        <v>4.9699999999999994E-2</v>
      </c>
      <c r="BP13" s="528"/>
      <c r="BR13" s="460">
        <f t="shared" si="109"/>
        <v>49.699999999999996</v>
      </c>
      <c r="BS13" s="528">
        <f t="shared" si="40"/>
        <v>1.4971442831532692E-3</v>
      </c>
      <c r="BT13" s="528">
        <f t="shared" si="41"/>
        <v>1.6280633494624507E-2</v>
      </c>
      <c r="BU13" s="528">
        <f t="shared" si="42"/>
        <v>1.9679999999999996E-2</v>
      </c>
      <c r="BV13" s="528">
        <f t="shared" si="43"/>
        <v>4.1783870393448455E-2</v>
      </c>
      <c r="BW13" s="528">
        <f t="shared" si="44"/>
        <v>1.1213173646934123E-3</v>
      </c>
      <c r="BX13" s="460">
        <f t="shared" si="110"/>
        <v>42.905187758141864</v>
      </c>
      <c r="BY13" s="173">
        <f t="shared" si="45"/>
        <v>0.33003179644752145</v>
      </c>
      <c r="BZ13" s="5">
        <f t="shared" si="111"/>
        <v>1.3119999999999998</v>
      </c>
      <c r="CA13" s="173">
        <f t="shared" si="112"/>
        <v>0.79901010616144352</v>
      </c>
      <c r="CB13" s="5">
        <f t="shared" si="113"/>
        <v>79.901010616144347</v>
      </c>
      <c r="CE13" s="562">
        <f t="shared" si="46"/>
        <v>-50</v>
      </c>
      <c r="CF13">
        <f t="shared" si="47"/>
        <v>-50</v>
      </c>
      <c r="CG13" s="173">
        <f t="shared" si="48"/>
        <v>0.12145459856339372</v>
      </c>
      <c r="CH13"/>
      <c r="CI13" s="189">
        <v>8</v>
      </c>
      <c r="CJ13" s="217">
        <f t="shared" si="114"/>
        <v>0.08</v>
      </c>
      <c r="CK13" s="217"/>
      <c r="CL13" s="217">
        <f t="shared" si="49"/>
        <v>1.3119999999999998</v>
      </c>
      <c r="CM13" s="541">
        <f t="shared" si="50"/>
        <v>24</v>
      </c>
      <c r="CN13" s="172">
        <f t="shared" si="51"/>
        <v>16.799999999999997</v>
      </c>
      <c r="CO13" s="535">
        <f t="shared" si="52"/>
        <v>40.799999999999997</v>
      </c>
      <c r="CP13" s="535"/>
      <c r="CQ13" s="329">
        <f t="shared" si="53"/>
        <v>0.41176470588235292</v>
      </c>
      <c r="CR13" s="172">
        <f t="shared" si="54"/>
        <v>33.237647058823534</v>
      </c>
      <c r="CS13" s="172">
        <f t="shared" si="115"/>
        <v>1.3119999999999998</v>
      </c>
      <c r="CT13" s="329">
        <f t="shared" si="55"/>
        <v>2.026685796269728</v>
      </c>
      <c r="CU13" s="217">
        <f t="shared" si="56"/>
        <v>16.399999999999999</v>
      </c>
      <c r="CV13" s="217">
        <f t="shared" si="57"/>
        <v>2.0086083213773311</v>
      </c>
      <c r="CW13" s="172">
        <f t="shared" si="58"/>
        <v>976.00983193704735</v>
      </c>
      <c r="CX13" s="172">
        <f t="shared" si="59"/>
        <v>16.399999999999999</v>
      </c>
      <c r="CY13" s="217">
        <f t="shared" si="60"/>
        <v>0.2655238095238095</v>
      </c>
      <c r="CZ13" s="329">
        <f t="shared" si="61"/>
        <v>0.13276190476190475</v>
      </c>
      <c r="DA13" s="217">
        <f t="shared" si="62"/>
        <v>0.18965986394557824</v>
      </c>
      <c r="DB13" s="537">
        <f t="shared" si="63"/>
        <v>350</v>
      </c>
      <c r="DC13" s="535">
        <f t="shared" si="116"/>
        <v>350</v>
      </c>
      <c r="DE13" s="329">
        <f t="shared" si="64"/>
        <v>2.3529411764705879</v>
      </c>
      <c r="DF13" s="173">
        <f t="shared" si="65"/>
        <v>1.6806722689075633</v>
      </c>
      <c r="DG13" s="538">
        <f t="shared" si="66"/>
        <v>0.69204152249134954</v>
      </c>
      <c r="DH13" s="538"/>
      <c r="DI13" s="173">
        <f t="shared" si="67"/>
        <v>0.95238095238095266</v>
      </c>
      <c r="DJ13" s="545">
        <f t="shared" si="117"/>
        <v>125.99999999999996</v>
      </c>
      <c r="DK13" s="528">
        <f t="shared" si="68"/>
        <v>0.22222222222222232</v>
      </c>
      <c r="DL13"/>
      <c r="DM13" s="173">
        <f t="shared" si="69"/>
        <v>0.79999999999999993</v>
      </c>
      <c r="DN13" s="173">
        <f t="shared" si="70"/>
        <v>1.3333333333333335</v>
      </c>
      <c r="DO13" s="173">
        <f t="shared" si="71"/>
        <v>1.0720000000000001</v>
      </c>
      <c r="DQ13" s="545">
        <f t="shared" si="72"/>
        <v>80</v>
      </c>
      <c r="DR13" s="460">
        <f t="shared" si="73"/>
        <v>125.99999999999996</v>
      </c>
      <c r="DT13">
        <f t="shared" si="74"/>
        <v>80</v>
      </c>
      <c r="DU13" s="460">
        <f t="shared" si="75"/>
        <v>125.99999999999996</v>
      </c>
      <c r="DV13" s="460"/>
      <c r="DW13" s="5">
        <f t="shared" si="118"/>
        <v>7.9365079365079394</v>
      </c>
      <c r="DX13" s="5">
        <f t="shared" si="76"/>
        <v>0.66666666666666685</v>
      </c>
      <c r="DY13" s="5">
        <f t="shared" si="119"/>
        <v>7.2698412698412724</v>
      </c>
      <c r="DZ13" s="5">
        <f t="shared" si="77"/>
        <v>0.95238095238095266</v>
      </c>
      <c r="EA13" s="173">
        <f t="shared" si="120"/>
        <v>8.3999999999999991E-2</v>
      </c>
      <c r="EB13" s="173">
        <f t="shared" si="78"/>
        <v>1.3439999999999999</v>
      </c>
      <c r="EC13" s="173">
        <f t="shared" si="79"/>
        <v>0.6106666666666668</v>
      </c>
      <c r="ED13" s="173">
        <f t="shared" si="121"/>
        <v>2.2008733624454142</v>
      </c>
      <c r="EE13" s="460">
        <f t="shared" si="80"/>
        <v>0.32520325203252048</v>
      </c>
      <c r="EF13" s="5">
        <f t="shared" si="81"/>
        <v>0.33118165784832454</v>
      </c>
      <c r="EG13" s="5"/>
      <c r="EH13" s="173">
        <f t="shared" si="122"/>
        <v>0.22310934040908684</v>
      </c>
      <c r="EI13" s="173">
        <f t="shared" si="82"/>
        <v>0.73675967235918594</v>
      </c>
      <c r="EJ13" s="173"/>
      <c r="EK13" s="528">
        <f t="shared" si="83"/>
        <v>9.9555555555555573E-4</v>
      </c>
      <c r="EL13" s="528">
        <f t="shared" si="84"/>
        <v>0.13708799999999999</v>
      </c>
      <c r="EM13" s="528">
        <f t="shared" si="85"/>
        <v>1.5749999999999993E-2</v>
      </c>
      <c r="EN13" s="528">
        <f t="shared" si="86"/>
        <v>2.0974463999999991E-2</v>
      </c>
      <c r="EO13">
        <f t="shared" si="87"/>
        <v>1.0800000000000001E-2</v>
      </c>
      <c r="EP13" s="460">
        <f t="shared" si="123"/>
        <v>26.549999999999994</v>
      </c>
      <c r="EQ13" s="528">
        <f t="shared" si="88"/>
        <v>0.18592079800479877</v>
      </c>
      <c r="ER13" s="460">
        <f t="shared" si="124"/>
        <v>185.92079800479877</v>
      </c>
      <c r="ES13" s="528">
        <f t="shared" si="125"/>
        <v>4.9699999999999994E-2</v>
      </c>
      <c r="ET13" s="528"/>
      <c r="EV13" s="460">
        <f t="shared" si="126"/>
        <v>49.699999999999996</v>
      </c>
      <c r="EW13" s="528">
        <f t="shared" si="89"/>
        <v>1.4933333333333337E-3</v>
      </c>
      <c r="EX13" s="528">
        <f t="shared" si="90"/>
        <v>1.6284444444444449E-2</v>
      </c>
      <c r="EY13" s="528">
        <f t="shared" si="91"/>
        <v>1.8291242547186337E-2</v>
      </c>
      <c r="EZ13" s="528">
        <f t="shared" si="92"/>
        <v>4.0393135005861343E-2</v>
      </c>
      <c r="FA13" s="528">
        <f t="shared" si="93"/>
        <v>1.1199999999999999E-3</v>
      </c>
      <c r="FB13" s="460">
        <f t="shared" si="127"/>
        <v>41.513135005861344</v>
      </c>
      <c r="FC13" s="173">
        <f t="shared" si="128"/>
        <v>0.27713393301066014</v>
      </c>
      <c r="FD13" s="5">
        <f t="shared" si="129"/>
        <v>1.3119999999999998</v>
      </c>
      <c r="FE13" s="173">
        <f t="shared" si="130"/>
        <v>0.82560693768232496</v>
      </c>
      <c r="FF13" s="5">
        <f t="shared" si="131"/>
        <v>82.560693768232497</v>
      </c>
      <c r="FI13" s="562">
        <f t="shared" si="94"/>
        <v>-50</v>
      </c>
      <c r="FJ13">
        <f t="shared" si="95"/>
        <v>-50</v>
      </c>
      <c r="FL13">
        <f t="shared" si="96"/>
        <v>0.12</v>
      </c>
    </row>
    <row r="14" spans="2:168">
      <c r="E14" s="170">
        <v>9</v>
      </c>
      <c r="F14" s="217">
        <f t="shared" si="97"/>
        <v>0.09</v>
      </c>
      <c r="G14" s="217"/>
      <c r="H14" s="217">
        <f t="shared" si="0"/>
        <v>1.4759999999999998</v>
      </c>
      <c r="I14" s="541">
        <f t="shared" si="1"/>
        <v>23.967065882664688</v>
      </c>
      <c r="J14" s="172">
        <f t="shared" si="2"/>
        <v>16.819760470401185</v>
      </c>
      <c r="K14" s="172">
        <f t="shared" si="3"/>
        <v>40.819760470401185</v>
      </c>
      <c r="L14" s="443"/>
      <c r="M14" s="217">
        <f t="shared" si="4"/>
        <v>0.41238563343554535</v>
      </c>
      <c r="N14" s="172">
        <f t="shared" si="5"/>
        <v>33.242089028082177</v>
      </c>
      <c r="O14" s="172">
        <f t="shared" si="98"/>
        <v>1.4759999999999998</v>
      </c>
      <c r="P14" s="217">
        <f t="shared" si="6"/>
        <v>2.0269566480537913</v>
      </c>
      <c r="Q14" s="217">
        <f t="shared" si="7"/>
        <v>16.399999999999999</v>
      </c>
      <c r="R14" s="217">
        <f t="shared" si="8"/>
        <v>2.0088767572386432</v>
      </c>
      <c r="S14" s="172">
        <f t="shared" si="9"/>
        <v>863.71313529378619</v>
      </c>
      <c r="T14" s="172">
        <f t="shared" si="10"/>
        <v>16.399999999999999</v>
      </c>
      <c r="U14" s="217">
        <f t="shared" si="99"/>
        <v>0.30632334783165316</v>
      </c>
      <c r="V14" s="217">
        <f t="shared" si="11"/>
        <v>0.15337213958420301</v>
      </c>
      <c r="W14" s="217">
        <f t="shared" si="12"/>
        <v>0.21854533424828024</v>
      </c>
      <c r="X14" s="197">
        <f t="shared" si="13"/>
        <v>350</v>
      </c>
      <c r="Y14" s="443">
        <f t="shared" si="14"/>
        <v>350</v>
      </c>
      <c r="AA14" s="217">
        <f t="shared" si="15"/>
        <v>2.3532359375711969</v>
      </c>
      <c r="AB14" s="173">
        <f t="shared" si="16"/>
        <v>1.6789080498826396</v>
      </c>
      <c r="AC14" s="173">
        <f t="shared" si="17"/>
        <v>0.69140168280074554</v>
      </c>
      <c r="AD14" s="173"/>
      <c r="AE14" s="173">
        <f t="shared" si="18"/>
        <v>0.95126206036977945</v>
      </c>
      <c r="AF14" s="545">
        <f t="shared" si="100"/>
        <v>141.91672896900997</v>
      </c>
      <c r="AG14" s="528">
        <f t="shared" si="19"/>
        <v>0.22196114741961523</v>
      </c>
      <c r="AI14" s="173">
        <f t="shared" si="20"/>
        <v>0.84902701800526226</v>
      </c>
      <c r="AJ14" s="173">
        <f t="shared" si="21"/>
        <v>1.3333333333333335</v>
      </c>
      <c r="AK14" s="173">
        <f t="shared" si="22"/>
        <v>1.0810952736965771</v>
      </c>
      <c r="AM14" s="545">
        <f t="shared" si="23"/>
        <v>90</v>
      </c>
      <c r="AN14" s="460">
        <f t="shared" si="24"/>
        <v>141.91672896900997</v>
      </c>
      <c r="AP14">
        <f t="shared" si="25"/>
        <v>90</v>
      </c>
      <c r="AQ14" s="460">
        <f t="shared" si="26"/>
        <v>141.91672896900997</v>
      </c>
      <c r="AR14" s="460"/>
      <c r="AS14" s="5">
        <f t="shared" si="101"/>
        <v>7.0463856323687377</v>
      </c>
      <c r="AT14" s="5">
        <f t="shared" si="27"/>
        <v>0.66758276037338204</v>
      </c>
      <c r="AU14" s="5">
        <f t="shared" si="102"/>
        <v>6.3788028719953553</v>
      </c>
      <c r="AV14" s="5">
        <f t="shared" si="28"/>
        <v>0.95126206036977945</v>
      </c>
      <c r="AW14" s="173">
        <f t="shared" si="103"/>
        <v>9.4741161668292787E-2</v>
      </c>
      <c r="AX14" s="173">
        <f t="shared" si="29"/>
        <v>1.5137784423361067</v>
      </c>
      <c r="AY14" s="173">
        <f t="shared" si="30"/>
        <v>0.60350589222113815</v>
      </c>
      <c r="AZ14" s="173">
        <f t="shared" si="104"/>
        <v>2.5083076434677527</v>
      </c>
      <c r="BA14" s="460">
        <f t="shared" si="31"/>
        <v>0.36635639288783167</v>
      </c>
      <c r="BB14" s="5">
        <f t="shared" si="32"/>
        <v>0.32736287249200674</v>
      </c>
      <c r="BC14" s="5"/>
      <c r="BD14" s="173">
        <f t="shared" si="105"/>
        <v>0.23694495271739296</v>
      </c>
      <c r="BE14" s="173">
        <f t="shared" si="33"/>
        <v>0.73242725370806971</v>
      </c>
      <c r="BF14" s="173"/>
      <c r="BG14" s="528">
        <f t="shared" si="34"/>
        <v>1.1228582123649518E-3</v>
      </c>
      <c r="BH14" s="528">
        <f t="shared" si="35"/>
        <v>0.1448251720814458</v>
      </c>
      <c r="BI14" s="528">
        <f t="shared" si="36"/>
        <v>8.5033189826313249E-2</v>
      </c>
      <c r="BJ14" s="528">
        <f t="shared" si="37"/>
        <v>2.3646915337797003E-2</v>
      </c>
      <c r="BK14">
        <f t="shared" si="38"/>
        <v>1.0785179647199109E-2</v>
      </c>
      <c r="BL14" s="460">
        <f t="shared" si="106"/>
        <v>95.818369473512348</v>
      </c>
      <c r="BM14" s="528">
        <f t="shared" si="39"/>
        <v>0.16994345675262432</v>
      </c>
      <c r="BN14" s="460">
        <f t="shared" si="107"/>
        <v>169.94345675262431</v>
      </c>
      <c r="BO14" s="528">
        <f t="shared" si="108"/>
        <v>5.5912499999999997E-2</v>
      </c>
      <c r="BP14" s="528"/>
      <c r="BR14" s="460">
        <f t="shared" si="109"/>
        <v>55.912499999999994</v>
      </c>
      <c r="BS14" s="528">
        <f t="shared" si="40"/>
        <v>1.6842873185474276E-3</v>
      </c>
      <c r="BT14" s="528">
        <f t="shared" si="41"/>
        <v>1.6093490459230354E-2</v>
      </c>
      <c r="BU14" s="528">
        <f t="shared" si="42"/>
        <v>2.2139999999999996E-2</v>
      </c>
      <c r="BV14" s="528">
        <f t="shared" si="43"/>
        <v>4.4247374043083494E-2</v>
      </c>
      <c r="BW14" s="528">
        <f t="shared" si="44"/>
        <v>1.2614820352800889E-3</v>
      </c>
      <c r="BX14" s="460">
        <f t="shared" si="110"/>
        <v>45.508856078363578</v>
      </c>
      <c r="BY14" s="173">
        <f t="shared" si="45"/>
        <v>0.36718318230450026</v>
      </c>
      <c r="BZ14" s="5">
        <f t="shared" si="111"/>
        <v>1.4759999999999998</v>
      </c>
      <c r="CA14" s="173">
        <f t="shared" si="112"/>
        <v>0.80078855654193992</v>
      </c>
      <c r="CB14" s="5">
        <f t="shared" si="113"/>
        <v>80.078855654193987</v>
      </c>
      <c r="CE14" s="562">
        <f t="shared" si="46"/>
        <v>-50</v>
      </c>
      <c r="CF14">
        <f t="shared" si="47"/>
        <v>-50</v>
      </c>
      <c r="CG14" s="173">
        <f t="shared" si="48"/>
        <v>0.1366364233838179</v>
      </c>
      <c r="CI14" s="170">
        <v>9</v>
      </c>
      <c r="CJ14" s="217">
        <f t="shared" si="114"/>
        <v>0.09</v>
      </c>
      <c r="CK14" s="217"/>
      <c r="CL14" s="217">
        <f t="shared" si="49"/>
        <v>1.4759999999999998</v>
      </c>
      <c r="CM14" s="541">
        <f t="shared" si="50"/>
        <v>24</v>
      </c>
      <c r="CN14" s="172">
        <f t="shared" si="51"/>
        <v>16.799999999999997</v>
      </c>
      <c r="CO14" s="443">
        <f t="shared" si="52"/>
        <v>40.799999999999997</v>
      </c>
      <c r="CP14" s="443"/>
      <c r="CQ14" s="217">
        <f t="shared" si="53"/>
        <v>0.41176470588235292</v>
      </c>
      <c r="CR14" s="172">
        <f t="shared" si="54"/>
        <v>33.237647058823534</v>
      </c>
      <c r="CS14" s="172">
        <f t="shared" si="115"/>
        <v>1.4759999999999998</v>
      </c>
      <c r="CT14" s="217">
        <f t="shared" si="55"/>
        <v>2.026685796269728</v>
      </c>
      <c r="CU14" s="217">
        <f t="shared" si="56"/>
        <v>16.399999999999999</v>
      </c>
      <c r="CV14" s="217">
        <f t="shared" si="57"/>
        <v>2.0086083213773311</v>
      </c>
      <c r="CW14" s="172">
        <f t="shared" si="58"/>
        <v>864.89998330722392</v>
      </c>
      <c r="CX14" s="172">
        <f t="shared" si="59"/>
        <v>16.399999999999999</v>
      </c>
      <c r="CY14" s="217">
        <f t="shared" si="60"/>
        <v>0.29871428571428565</v>
      </c>
      <c r="CZ14" s="217">
        <f t="shared" si="61"/>
        <v>0.14935714285714283</v>
      </c>
      <c r="DA14" s="217">
        <f t="shared" si="62"/>
        <v>0.21336734693877552</v>
      </c>
      <c r="DB14" s="197">
        <f t="shared" si="63"/>
        <v>350</v>
      </c>
      <c r="DC14" s="443">
        <f t="shared" si="116"/>
        <v>350</v>
      </c>
      <c r="DE14" s="217">
        <f t="shared" si="64"/>
        <v>2.3529411764705879</v>
      </c>
      <c r="DF14" s="173">
        <f t="shared" si="65"/>
        <v>1.6806722689075633</v>
      </c>
      <c r="DG14" s="173">
        <f t="shared" si="66"/>
        <v>0.69204152249134954</v>
      </c>
      <c r="DH14" s="173"/>
      <c r="DI14" s="173">
        <f t="shared" si="67"/>
        <v>0.95238095238095266</v>
      </c>
      <c r="DJ14" s="545">
        <f t="shared" si="117"/>
        <v>141.74999999999994</v>
      </c>
      <c r="DK14" s="528">
        <f t="shared" si="68"/>
        <v>0.22222222222222232</v>
      </c>
      <c r="DM14" s="173">
        <f t="shared" si="69"/>
        <v>0.84852813742385691</v>
      </c>
      <c r="DN14" s="173">
        <f t="shared" si="70"/>
        <v>1.3333333333333335</v>
      </c>
      <c r="DO14" s="173">
        <f t="shared" si="71"/>
        <v>1.081</v>
      </c>
      <c r="DQ14" s="545">
        <f t="shared" si="72"/>
        <v>90</v>
      </c>
      <c r="DR14" s="460">
        <f t="shared" si="73"/>
        <v>141.74999999999994</v>
      </c>
      <c r="DT14">
        <f t="shared" si="74"/>
        <v>90</v>
      </c>
      <c r="DU14" s="460">
        <f t="shared" si="75"/>
        <v>141.74999999999994</v>
      </c>
      <c r="DV14" s="460"/>
      <c r="DW14" s="5">
        <f t="shared" si="118"/>
        <v>7.0546737213403912</v>
      </c>
      <c r="DX14" s="5">
        <f t="shared" si="76"/>
        <v>0.66666666666666685</v>
      </c>
      <c r="DY14" s="5">
        <f t="shared" si="119"/>
        <v>6.3880070546737242</v>
      </c>
      <c r="DZ14" s="5">
        <f t="shared" si="77"/>
        <v>0.95238095238095266</v>
      </c>
      <c r="EA14" s="173">
        <f t="shared" si="120"/>
        <v>9.4499999999999987E-2</v>
      </c>
      <c r="EB14" s="173">
        <f t="shared" si="78"/>
        <v>1.5119999999999996</v>
      </c>
      <c r="EC14" s="173">
        <f t="shared" si="79"/>
        <v>0.60366666666666668</v>
      </c>
      <c r="ED14" s="173">
        <f t="shared" si="121"/>
        <v>2.5046935394809489</v>
      </c>
      <c r="EE14" s="460">
        <f t="shared" si="80"/>
        <v>0.36585365853658547</v>
      </c>
      <c r="EF14" s="5">
        <f t="shared" si="81"/>
        <v>0.32738536155202824</v>
      </c>
      <c r="EG14" s="5"/>
      <c r="EH14" s="173">
        <f t="shared" si="122"/>
        <v>0.23664319132398465</v>
      </c>
      <c r="EI14" s="173">
        <f t="shared" si="82"/>
        <v>0.73252480681038556</v>
      </c>
      <c r="EJ14" s="173"/>
      <c r="EK14" s="528">
        <f t="shared" si="83"/>
        <v>1.1200000000000001E-3</v>
      </c>
      <c r="EL14" s="528">
        <f t="shared" si="84"/>
        <v>0.15422399999999997</v>
      </c>
      <c r="EM14" s="528">
        <f t="shared" si="85"/>
        <v>1.7718749999999995E-2</v>
      </c>
      <c r="EN14" s="528">
        <f t="shared" si="86"/>
        <v>2.3596271999999991E-2</v>
      </c>
      <c r="EO14">
        <f t="shared" si="87"/>
        <v>1.0800000000000001E-2</v>
      </c>
      <c r="EP14" s="460">
        <f t="shared" si="123"/>
        <v>28.518749999999997</v>
      </c>
      <c r="EQ14" s="528">
        <f t="shared" si="88"/>
        <v>0.20781672452419656</v>
      </c>
      <c r="ER14" s="460">
        <f t="shared" si="124"/>
        <v>207.81672452419656</v>
      </c>
      <c r="ES14" s="528">
        <f t="shared" si="125"/>
        <v>5.5912499999999997E-2</v>
      </c>
      <c r="ET14" s="528"/>
      <c r="EV14" s="460">
        <f t="shared" si="126"/>
        <v>55.912499999999994</v>
      </c>
      <c r="EW14" s="528">
        <f t="shared" si="89"/>
        <v>1.6800000000000001E-3</v>
      </c>
      <c r="EX14" s="528">
        <f t="shared" si="90"/>
        <v>1.609777777777778E-2</v>
      </c>
      <c r="EY14" s="528">
        <f t="shared" si="91"/>
        <v>2.4554127959927601E-2</v>
      </c>
      <c r="EZ14" s="528">
        <f t="shared" si="92"/>
        <v>4.6664940319493108E-2</v>
      </c>
      <c r="FA14" s="528">
        <f t="shared" si="93"/>
        <v>1.2599999999999996E-3</v>
      </c>
      <c r="FB14" s="460">
        <f t="shared" si="127"/>
        <v>47.924940319493103</v>
      </c>
      <c r="FC14" s="173">
        <f t="shared" si="128"/>
        <v>0.31165416484368963</v>
      </c>
      <c r="FD14" s="5">
        <f t="shared" si="129"/>
        <v>1.4759999999999998</v>
      </c>
      <c r="FE14" s="173">
        <f t="shared" si="130"/>
        <v>0.82566305554355346</v>
      </c>
      <c r="FF14" s="5">
        <f t="shared" si="131"/>
        <v>82.566305554355353</v>
      </c>
      <c r="FI14" s="562">
        <f t="shared" si="94"/>
        <v>-50</v>
      </c>
      <c r="FJ14">
        <f t="shared" si="95"/>
        <v>-50</v>
      </c>
      <c r="FL14">
        <f t="shared" si="96"/>
        <v>0.13499999999999998</v>
      </c>
    </row>
    <row r="15" spans="2:168">
      <c r="E15" s="170">
        <v>10</v>
      </c>
      <c r="F15" s="217">
        <f t="shared" si="97"/>
        <v>0.1</v>
      </c>
      <c r="G15" s="217"/>
      <c r="H15" s="217">
        <f t="shared" si="0"/>
        <v>1.64</v>
      </c>
      <c r="I15" s="541">
        <f t="shared" si="1"/>
        <v>23.967065882664688</v>
      </c>
      <c r="J15" s="172">
        <f t="shared" si="2"/>
        <v>16.819760470401185</v>
      </c>
      <c r="K15" s="172">
        <f t="shared" si="3"/>
        <v>40.819760470401185</v>
      </c>
      <c r="L15" s="443"/>
      <c r="M15" s="217">
        <f t="shared" si="4"/>
        <v>0.41238563343554535</v>
      </c>
      <c r="N15" s="172">
        <f t="shared" si="5"/>
        <v>33.242089028082177</v>
      </c>
      <c r="O15" s="172">
        <f t="shared" si="98"/>
        <v>1.64</v>
      </c>
      <c r="P15" s="217">
        <f t="shared" si="6"/>
        <v>2.0269566480537913</v>
      </c>
      <c r="Q15" s="217">
        <f t="shared" si="7"/>
        <v>16.399999999999999</v>
      </c>
      <c r="R15" s="217">
        <f t="shared" si="8"/>
        <v>2.0088767572386432</v>
      </c>
      <c r="S15" s="172">
        <f t="shared" si="9"/>
        <v>774.94749476065522</v>
      </c>
      <c r="T15" s="172">
        <f t="shared" si="10"/>
        <v>16.399999999999999</v>
      </c>
      <c r="U15" s="217">
        <f t="shared" si="99"/>
        <v>0.34035927536850352</v>
      </c>
      <c r="V15" s="217">
        <f t="shared" si="11"/>
        <v>0.17041348842689222</v>
      </c>
      <c r="W15" s="217">
        <f t="shared" si="12"/>
        <v>0.24282814916475581</v>
      </c>
      <c r="X15" s="197">
        <f t="shared" si="13"/>
        <v>350</v>
      </c>
      <c r="Y15" s="443">
        <f t="shared" si="14"/>
        <v>350</v>
      </c>
      <c r="AA15" s="217">
        <f t="shared" si="15"/>
        <v>2.3532359375711969</v>
      </c>
      <c r="AB15" s="173">
        <f t="shared" si="16"/>
        <v>1.6789080498826396</v>
      </c>
      <c r="AC15" s="173">
        <f t="shared" si="17"/>
        <v>0.69140168280074554</v>
      </c>
      <c r="AD15" s="173"/>
      <c r="AE15" s="173">
        <f t="shared" si="18"/>
        <v>0.95126206036977945</v>
      </c>
      <c r="AF15" s="545">
        <f t="shared" si="100"/>
        <v>157.68525441001108</v>
      </c>
      <c r="AG15" s="528">
        <f t="shared" si="19"/>
        <v>0.22196114741961523</v>
      </c>
      <c r="AI15" s="173">
        <f t="shared" si="20"/>
        <v>0.89495305730580577</v>
      </c>
      <c r="AJ15" s="173">
        <f t="shared" si="21"/>
        <v>1.3333333333333335</v>
      </c>
      <c r="AK15" s="173">
        <f t="shared" si="22"/>
        <v>1.0901058596628634</v>
      </c>
      <c r="AM15" s="545">
        <f t="shared" si="23"/>
        <v>100</v>
      </c>
      <c r="AN15" s="460">
        <f t="shared" si="24"/>
        <v>157.68525441001108</v>
      </c>
      <c r="AP15">
        <f t="shared" si="25"/>
        <v>100</v>
      </c>
      <c r="AQ15" s="460">
        <f t="shared" si="26"/>
        <v>157.68525441001108</v>
      </c>
      <c r="AR15" s="460"/>
      <c r="AS15" s="5">
        <f t="shared" si="101"/>
        <v>6.3417470691318636</v>
      </c>
      <c r="AT15" s="5">
        <f t="shared" si="27"/>
        <v>0.66758276037338204</v>
      </c>
      <c r="AU15" s="5">
        <f t="shared" si="102"/>
        <v>5.6741643087584812</v>
      </c>
      <c r="AV15" s="5">
        <f t="shared" si="28"/>
        <v>0.95126206036977945</v>
      </c>
      <c r="AW15" s="173">
        <f t="shared" si="103"/>
        <v>0.10526795740921421</v>
      </c>
      <c r="AX15" s="173">
        <f t="shared" si="29"/>
        <v>1.6819760470401186</v>
      </c>
      <c r="AY15" s="173">
        <f t="shared" si="30"/>
        <v>0.59648802839385728</v>
      </c>
      <c r="AZ15" s="173">
        <f t="shared" si="104"/>
        <v>2.8197984988384719</v>
      </c>
      <c r="BA15" s="460">
        <f t="shared" si="31"/>
        <v>0.4070626587642574</v>
      </c>
      <c r="BB15" s="5">
        <f t="shared" si="32"/>
        <v>0.32355613573786979</v>
      </c>
      <c r="BC15" s="5"/>
      <c r="BD15" s="173">
        <f t="shared" si="105"/>
        <v>0.24976191022262156</v>
      </c>
      <c r="BE15" s="173">
        <f t="shared" si="33"/>
        <v>0.72815628871454507</v>
      </c>
      <c r="BF15" s="173"/>
      <c r="BG15" s="528">
        <f t="shared" si="34"/>
        <v>1.2476202359610574E-3</v>
      </c>
      <c r="BH15" s="528">
        <f t="shared" si="35"/>
        <v>0.16091685786827312</v>
      </c>
      <c r="BI15" s="528">
        <f t="shared" si="36"/>
        <v>9.4481322029236939E-2</v>
      </c>
      <c r="BJ15" s="528">
        <f t="shared" si="37"/>
        <v>2.6274350375330002E-2</v>
      </c>
      <c r="BK15">
        <f t="shared" si="38"/>
        <v>1.0785179647199109E-2</v>
      </c>
      <c r="BL15" s="460">
        <f t="shared" si="106"/>
        <v>105.26650167643605</v>
      </c>
      <c r="BM15" s="528">
        <f t="shared" si="39"/>
        <v>0.18883166217548752</v>
      </c>
      <c r="BN15" s="460">
        <f t="shared" si="107"/>
        <v>188.83166217548754</v>
      </c>
      <c r="BO15" s="528">
        <f t="shared" si="108"/>
        <v>6.2124999999999993E-2</v>
      </c>
      <c r="BP15" s="528"/>
      <c r="BR15" s="460">
        <f t="shared" si="109"/>
        <v>62.124999999999993</v>
      </c>
      <c r="BS15" s="528">
        <f t="shared" si="40"/>
        <v>1.8714303539415862E-3</v>
      </c>
      <c r="BT15" s="528">
        <f t="shared" si="41"/>
        <v>1.5906347423836197E-2</v>
      </c>
      <c r="BU15" s="528">
        <f t="shared" si="42"/>
        <v>2.4599999999999997E-2</v>
      </c>
      <c r="BV15" s="528">
        <f t="shared" si="43"/>
        <v>4.6710877692718533E-2</v>
      </c>
      <c r="BW15" s="528">
        <f t="shared" si="44"/>
        <v>1.4016467058667653E-3</v>
      </c>
      <c r="BX15" s="460">
        <f t="shared" si="110"/>
        <v>48.1125243985853</v>
      </c>
      <c r="BY15" s="173">
        <f t="shared" si="45"/>
        <v>0.40433568825050886</v>
      </c>
      <c r="BZ15" s="5">
        <f t="shared" si="111"/>
        <v>1.64</v>
      </c>
      <c r="CA15" s="173">
        <f t="shared" si="112"/>
        <v>0.80221658772854021</v>
      </c>
      <c r="CB15" s="5">
        <f t="shared" si="113"/>
        <v>80.221658772854028</v>
      </c>
      <c r="CE15" s="562">
        <f t="shared" si="46"/>
        <v>-50</v>
      </c>
      <c r="CF15">
        <f t="shared" si="47"/>
        <v>-50</v>
      </c>
      <c r="CG15" s="173">
        <f t="shared" si="48"/>
        <v>0.15181824820424214</v>
      </c>
      <c r="CI15" s="170">
        <v>10</v>
      </c>
      <c r="CJ15" s="217">
        <f t="shared" si="114"/>
        <v>0.1</v>
      </c>
      <c r="CK15" s="217"/>
      <c r="CL15" s="217">
        <f t="shared" si="49"/>
        <v>1.64</v>
      </c>
      <c r="CM15" s="541">
        <f t="shared" si="50"/>
        <v>24</v>
      </c>
      <c r="CN15" s="172">
        <f t="shared" si="51"/>
        <v>16.799999999999997</v>
      </c>
      <c r="CO15" s="443">
        <f t="shared" si="52"/>
        <v>40.799999999999997</v>
      </c>
      <c r="CP15" s="443"/>
      <c r="CQ15" s="217">
        <f t="shared" si="53"/>
        <v>0.41176470588235292</v>
      </c>
      <c r="CR15" s="172">
        <f t="shared" si="54"/>
        <v>33.237647058823534</v>
      </c>
      <c r="CS15" s="172">
        <f t="shared" si="115"/>
        <v>1.64</v>
      </c>
      <c r="CT15" s="217">
        <f t="shared" si="55"/>
        <v>2.026685796269728</v>
      </c>
      <c r="CU15" s="217">
        <f t="shared" si="56"/>
        <v>16.399999999999999</v>
      </c>
      <c r="CV15" s="217">
        <f t="shared" si="57"/>
        <v>2.0086083213773311</v>
      </c>
      <c r="CW15" s="172">
        <f t="shared" si="58"/>
        <v>776.01236456352069</v>
      </c>
      <c r="CX15" s="172">
        <f t="shared" si="59"/>
        <v>16.399999999999999</v>
      </c>
      <c r="CY15" s="217">
        <f t="shared" si="60"/>
        <v>0.33190476190476187</v>
      </c>
      <c r="CZ15" s="217">
        <f t="shared" si="61"/>
        <v>0.16595238095238093</v>
      </c>
      <c r="DA15" s="217">
        <f t="shared" si="62"/>
        <v>0.23707482993197282</v>
      </c>
      <c r="DB15" s="197">
        <f t="shared" si="63"/>
        <v>350</v>
      </c>
      <c r="DC15" s="443">
        <f t="shared" si="116"/>
        <v>350</v>
      </c>
      <c r="DE15" s="217">
        <f t="shared" si="64"/>
        <v>2.3529411764705879</v>
      </c>
      <c r="DF15" s="173">
        <f t="shared" si="65"/>
        <v>1.6806722689075633</v>
      </c>
      <c r="DG15" s="173">
        <f t="shared" si="66"/>
        <v>0.69204152249134954</v>
      </c>
      <c r="DH15" s="173"/>
      <c r="DI15" s="173">
        <f t="shared" si="67"/>
        <v>0.95238095238095266</v>
      </c>
      <c r="DJ15" s="545">
        <f t="shared" si="117"/>
        <v>157.49999999999994</v>
      </c>
      <c r="DK15" s="528">
        <f t="shared" si="68"/>
        <v>0.22222222222222232</v>
      </c>
      <c r="DM15" s="173">
        <f t="shared" si="69"/>
        <v>0.89442719099991574</v>
      </c>
      <c r="DN15" s="173">
        <f t="shared" si="70"/>
        <v>1.3333333333333335</v>
      </c>
      <c r="DO15" s="173">
        <f t="shared" si="71"/>
        <v>1.0899999999999999</v>
      </c>
      <c r="DQ15" s="545">
        <f t="shared" si="72"/>
        <v>100</v>
      </c>
      <c r="DR15" s="460">
        <f t="shared" si="73"/>
        <v>157.49999999999994</v>
      </c>
      <c r="DT15">
        <f t="shared" si="74"/>
        <v>100</v>
      </c>
      <c r="DU15" s="460">
        <f t="shared" si="75"/>
        <v>157.49999999999994</v>
      </c>
      <c r="DV15" s="460"/>
      <c r="DW15" s="5">
        <f t="shared" si="118"/>
        <v>6.3492063492063515</v>
      </c>
      <c r="DX15" s="5">
        <f t="shared" si="76"/>
        <v>0.66666666666666685</v>
      </c>
      <c r="DY15" s="5">
        <f t="shared" si="119"/>
        <v>5.6825396825396846</v>
      </c>
      <c r="DZ15" s="5">
        <f t="shared" si="77"/>
        <v>0.95238095238095266</v>
      </c>
      <c r="EA15" s="173">
        <f t="shared" si="120"/>
        <v>0.105</v>
      </c>
      <c r="EB15" s="173">
        <f t="shared" si="78"/>
        <v>1.68</v>
      </c>
      <c r="EC15" s="173">
        <f t="shared" si="79"/>
        <v>0.59666666666666679</v>
      </c>
      <c r="ED15" s="173">
        <f t="shared" si="121"/>
        <v>2.8156424581005579</v>
      </c>
      <c r="EE15" s="460">
        <f t="shared" si="80"/>
        <v>0.40650406504065062</v>
      </c>
      <c r="EF15" s="5">
        <f t="shared" si="81"/>
        <v>0.323589065255732</v>
      </c>
      <c r="EG15" s="5"/>
      <c r="EH15" s="173">
        <f t="shared" si="122"/>
        <v>0.24944382578492943</v>
      </c>
      <c r="EI15" s="173">
        <f t="shared" si="82"/>
        <v>0.7282653159188418</v>
      </c>
      <c r="EJ15" s="173"/>
      <c r="EK15" s="528">
        <f t="shared" si="83"/>
        <v>1.2444444444444445E-3</v>
      </c>
      <c r="EL15" s="528">
        <f t="shared" si="84"/>
        <v>0.17135999999999996</v>
      </c>
      <c r="EM15" s="528">
        <f t="shared" si="85"/>
        <v>1.968749999999999E-2</v>
      </c>
      <c r="EN15" s="528">
        <f t="shared" si="86"/>
        <v>2.6218079999999991E-2</v>
      </c>
      <c r="EO15">
        <f t="shared" si="87"/>
        <v>1.0800000000000001E-2</v>
      </c>
      <c r="EP15" s="460">
        <f t="shared" si="123"/>
        <v>30.48749999999999</v>
      </c>
      <c r="EQ15" s="528">
        <f t="shared" si="88"/>
        <v>0.22971394626407576</v>
      </c>
      <c r="ER15" s="460">
        <f t="shared" si="124"/>
        <v>229.71394626407576</v>
      </c>
      <c r="ES15" s="528">
        <f t="shared" si="125"/>
        <v>6.2124999999999993E-2</v>
      </c>
      <c r="ET15" s="528"/>
      <c r="EV15" s="460">
        <f t="shared" si="126"/>
        <v>62.124999999999993</v>
      </c>
      <c r="EW15" s="528">
        <f t="shared" si="89"/>
        <v>1.8666666666666666E-3</v>
      </c>
      <c r="EX15" s="528">
        <f t="shared" si="90"/>
        <v>1.5911111111111115E-2</v>
      </c>
      <c r="EY15" s="528">
        <f t="shared" si="91"/>
        <v>3.1953485725347681E-2</v>
      </c>
      <c r="EZ15" s="528">
        <f t="shared" si="92"/>
        <v>5.407483660407348E-2</v>
      </c>
      <c r="FA15" s="528">
        <f t="shared" si="93"/>
        <v>1.3999999999999998E-3</v>
      </c>
      <c r="FB15" s="460">
        <f t="shared" si="127"/>
        <v>55.474836604073481</v>
      </c>
      <c r="FC15" s="173">
        <f t="shared" si="128"/>
        <v>0.34731378286814923</v>
      </c>
      <c r="FD15" s="5">
        <f t="shared" si="129"/>
        <v>1.64</v>
      </c>
      <c r="FE15" s="173">
        <f t="shared" si="130"/>
        <v>0.82523455235795939</v>
      </c>
      <c r="FF15" s="5">
        <f t="shared" si="131"/>
        <v>82.523455235795936</v>
      </c>
      <c r="FI15" s="562">
        <f t="shared" si="94"/>
        <v>-50</v>
      </c>
      <c r="FJ15">
        <f t="shared" si="95"/>
        <v>-50</v>
      </c>
      <c r="FL15">
        <f t="shared" si="96"/>
        <v>0.15</v>
      </c>
    </row>
    <row r="16" spans="2:168">
      <c r="E16" s="170">
        <v>11</v>
      </c>
      <c r="F16" s="217">
        <f t="shared" si="97"/>
        <v>0.11</v>
      </c>
      <c r="G16" s="217"/>
      <c r="H16" s="217">
        <f t="shared" si="0"/>
        <v>1.8039999999999998</v>
      </c>
      <c r="I16" s="541">
        <f t="shared" si="1"/>
        <v>23.967065882664688</v>
      </c>
      <c r="J16" s="172">
        <f t="shared" si="2"/>
        <v>16.819760470401185</v>
      </c>
      <c r="K16" s="172">
        <f t="shared" si="3"/>
        <v>40.819760470401185</v>
      </c>
      <c r="L16" s="443"/>
      <c r="M16" s="217">
        <f t="shared" si="4"/>
        <v>0.41238563343554535</v>
      </c>
      <c r="N16" s="172">
        <f t="shared" si="5"/>
        <v>33.242089028082177</v>
      </c>
      <c r="O16" s="172">
        <f t="shared" si="98"/>
        <v>1.8039999999999998</v>
      </c>
      <c r="P16" s="217">
        <f t="shared" si="6"/>
        <v>2.0269566480537913</v>
      </c>
      <c r="Q16" s="217">
        <f t="shared" si="7"/>
        <v>16.399999999999999</v>
      </c>
      <c r="R16" s="217">
        <f t="shared" si="8"/>
        <v>2.0088767572386432</v>
      </c>
      <c r="S16" s="172">
        <f t="shared" si="9"/>
        <v>702.32130026473828</v>
      </c>
      <c r="T16" s="172">
        <f t="shared" si="10"/>
        <v>16.399999999999999</v>
      </c>
      <c r="U16" s="217">
        <f t="shared" si="99"/>
        <v>0.37439520290535389</v>
      </c>
      <c r="V16" s="217">
        <f t="shared" si="11"/>
        <v>0.18745483726958148</v>
      </c>
      <c r="W16" s="217">
        <f t="shared" si="12"/>
        <v>0.26711096408123142</v>
      </c>
      <c r="X16" s="197">
        <f t="shared" si="13"/>
        <v>350</v>
      </c>
      <c r="Y16" s="443">
        <f t="shared" si="14"/>
        <v>350</v>
      </c>
      <c r="AA16" s="217">
        <f t="shared" si="15"/>
        <v>2.3532359375711969</v>
      </c>
      <c r="AB16" s="173">
        <f t="shared" si="16"/>
        <v>1.6789080498826396</v>
      </c>
      <c r="AC16" s="173">
        <f t="shared" si="17"/>
        <v>0.69140168280074554</v>
      </c>
      <c r="AD16" s="173"/>
      <c r="AE16" s="173">
        <f t="shared" si="18"/>
        <v>0.95126206036977945</v>
      </c>
      <c r="AF16" s="545">
        <f t="shared" si="100"/>
        <v>173.4537798510122</v>
      </c>
      <c r="AG16" s="528">
        <f t="shared" si="19"/>
        <v>0.22196114741961523</v>
      </c>
      <c r="AI16" s="173">
        <f t="shared" si="20"/>
        <v>0.93863468519925786</v>
      </c>
      <c r="AJ16" s="173">
        <f t="shared" si="21"/>
        <v>1.3333333333333335</v>
      </c>
      <c r="AK16" s="173">
        <f t="shared" si="22"/>
        <v>1.0991164456291498</v>
      </c>
      <c r="AM16" s="545">
        <f t="shared" si="23"/>
        <v>110</v>
      </c>
      <c r="AN16" s="460">
        <f t="shared" si="24"/>
        <v>173.4537798510122</v>
      </c>
      <c r="AP16">
        <f t="shared" si="25"/>
        <v>110</v>
      </c>
      <c r="AQ16" s="460">
        <f t="shared" si="26"/>
        <v>173.4537798510122</v>
      </c>
      <c r="AR16" s="460"/>
      <c r="AS16" s="5">
        <f t="shared" si="101"/>
        <v>5.7652246083016943</v>
      </c>
      <c r="AT16" s="5">
        <f t="shared" si="27"/>
        <v>0.66758276037338204</v>
      </c>
      <c r="AU16" s="5">
        <f t="shared" si="102"/>
        <v>5.0976418479283119</v>
      </c>
      <c r="AV16" s="5">
        <f t="shared" si="28"/>
        <v>0.95126206036977945</v>
      </c>
      <c r="AW16" s="173">
        <f t="shared" si="103"/>
        <v>0.11579475315013563</v>
      </c>
      <c r="AX16" s="173">
        <f t="shared" si="29"/>
        <v>1.8501736517441305</v>
      </c>
      <c r="AY16" s="173">
        <f t="shared" si="30"/>
        <v>0.5894701645665763</v>
      </c>
      <c r="AZ16" s="173">
        <f t="shared" si="104"/>
        <v>3.1387061855870519</v>
      </c>
      <c r="BA16" s="460">
        <f t="shared" si="31"/>
        <v>0.44776892464068319</v>
      </c>
      <c r="BB16" s="5">
        <f t="shared" si="32"/>
        <v>0.31974939898373272</v>
      </c>
      <c r="BC16" s="5"/>
      <c r="BD16" s="173">
        <f t="shared" si="105"/>
        <v>0.26195250137736453</v>
      </c>
      <c r="BE16" s="173">
        <f t="shared" si="33"/>
        <v>0.7238601243436017</v>
      </c>
      <c r="BF16" s="173"/>
      <c r="BG16" s="528">
        <f t="shared" si="34"/>
        <v>1.3723822595571634E-3</v>
      </c>
      <c r="BH16" s="528">
        <f t="shared" si="35"/>
        <v>0.17700854365510046</v>
      </c>
      <c r="BI16" s="528">
        <f t="shared" si="36"/>
        <v>0.10392945423216064</v>
      </c>
      <c r="BJ16" s="528">
        <f t="shared" si="37"/>
        <v>2.8901785412863007E-2</v>
      </c>
      <c r="BK16">
        <f t="shared" si="38"/>
        <v>1.0785179647199109E-2</v>
      </c>
      <c r="BL16" s="460">
        <f t="shared" si="106"/>
        <v>114.71463387935975</v>
      </c>
      <c r="BM16" s="528">
        <f t="shared" si="39"/>
        <v>0.20772098778702286</v>
      </c>
      <c r="BN16" s="460">
        <f t="shared" si="107"/>
        <v>207.72098778702286</v>
      </c>
      <c r="BO16" s="528">
        <f t="shared" si="108"/>
        <v>6.8337499999999995E-2</v>
      </c>
      <c r="BP16" s="528"/>
      <c r="BR16" s="460">
        <f t="shared" si="109"/>
        <v>68.337499999999991</v>
      </c>
      <c r="BS16" s="528">
        <f t="shared" si="40"/>
        <v>2.0585733893357448E-3</v>
      </c>
      <c r="BT16" s="528">
        <f t="shared" si="41"/>
        <v>1.5719204388442036E-2</v>
      </c>
      <c r="BU16" s="528">
        <f t="shared" si="42"/>
        <v>2.7059999999999997E-2</v>
      </c>
      <c r="BV16" s="528">
        <f t="shared" si="43"/>
        <v>4.9174381342353572E-2</v>
      </c>
      <c r="BW16" s="528">
        <f t="shared" si="44"/>
        <v>1.5418113764534419E-3</v>
      </c>
      <c r="BX16" s="460">
        <f t="shared" si="110"/>
        <v>50.716192718807015</v>
      </c>
      <c r="BY16" s="173">
        <f t="shared" si="45"/>
        <v>0.44148931438518962</v>
      </c>
      <c r="BZ16" s="5">
        <f t="shared" si="111"/>
        <v>1.8039999999999998</v>
      </c>
      <c r="CA16" s="173">
        <f t="shared" si="112"/>
        <v>0.80338836993928486</v>
      </c>
      <c r="CB16" s="5">
        <f t="shared" si="113"/>
        <v>80.338836993928481</v>
      </c>
      <c r="CE16" s="562">
        <f t="shared" si="46"/>
        <v>-50</v>
      </c>
      <c r="CF16">
        <f t="shared" si="47"/>
        <v>-50</v>
      </c>
      <c r="CG16" s="173">
        <f t="shared" si="48"/>
        <v>0.16700007302466635</v>
      </c>
      <c r="CI16" s="170">
        <v>11</v>
      </c>
      <c r="CJ16" s="217">
        <f t="shared" si="114"/>
        <v>0.11</v>
      </c>
      <c r="CK16" s="217"/>
      <c r="CL16" s="217">
        <f t="shared" si="49"/>
        <v>1.8039999999999998</v>
      </c>
      <c r="CM16" s="541">
        <f t="shared" si="50"/>
        <v>24</v>
      </c>
      <c r="CN16" s="172">
        <f t="shared" si="51"/>
        <v>16.799999999999997</v>
      </c>
      <c r="CO16" s="443">
        <f t="shared" si="52"/>
        <v>40.799999999999997</v>
      </c>
      <c r="CP16" s="443"/>
      <c r="CQ16" s="217">
        <f t="shared" si="53"/>
        <v>0.41176470588235292</v>
      </c>
      <c r="CR16" s="172">
        <f t="shared" si="54"/>
        <v>33.237647058823534</v>
      </c>
      <c r="CS16" s="172">
        <f t="shared" si="115"/>
        <v>1.8039999999999998</v>
      </c>
      <c r="CT16" s="217">
        <f t="shared" si="55"/>
        <v>2.026685796269728</v>
      </c>
      <c r="CU16" s="217">
        <f t="shared" si="56"/>
        <v>16.399999999999999</v>
      </c>
      <c r="CV16" s="217">
        <f t="shared" si="57"/>
        <v>2.0086083213773311</v>
      </c>
      <c r="CW16" s="172">
        <f t="shared" si="58"/>
        <v>703.28636971403796</v>
      </c>
      <c r="CX16" s="172">
        <f t="shared" si="59"/>
        <v>16.399999999999999</v>
      </c>
      <c r="CY16" s="217">
        <f t="shared" si="60"/>
        <v>0.36509523809523803</v>
      </c>
      <c r="CZ16" s="217">
        <f t="shared" si="61"/>
        <v>0.18254761904761901</v>
      </c>
      <c r="DA16" s="217">
        <f t="shared" si="62"/>
        <v>0.26078231292517012</v>
      </c>
      <c r="DB16" s="197">
        <f t="shared" si="63"/>
        <v>350</v>
      </c>
      <c r="DC16" s="443">
        <f t="shared" si="116"/>
        <v>350</v>
      </c>
      <c r="DE16" s="217">
        <f t="shared" si="64"/>
        <v>2.3529411764705879</v>
      </c>
      <c r="DF16" s="173">
        <f t="shared" si="65"/>
        <v>1.6806722689075633</v>
      </c>
      <c r="DG16" s="173">
        <f t="shared" si="66"/>
        <v>0.69204152249134954</v>
      </c>
      <c r="DH16" s="173"/>
      <c r="DI16" s="173">
        <f t="shared" si="67"/>
        <v>0.95238095238095266</v>
      </c>
      <c r="DJ16" s="545">
        <f t="shared" si="117"/>
        <v>173.24999999999994</v>
      </c>
      <c r="DK16" s="528">
        <f t="shared" si="68"/>
        <v>0.22222222222222232</v>
      </c>
      <c r="DM16" s="173">
        <f t="shared" si="69"/>
        <v>0.93808315196468584</v>
      </c>
      <c r="DN16" s="173">
        <f t="shared" si="70"/>
        <v>1.3333333333333335</v>
      </c>
      <c r="DO16" s="173">
        <f t="shared" si="71"/>
        <v>1.099</v>
      </c>
      <c r="DQ16" s="545">
        <f t="shared" si="72"/>
        <v>110</v>
      </c>
      <c r="DR16" s="460">
        <f t="shared" si="73"/>
        <v>173.24999999999994</v>
      </c>
      <c r="DT16">
        <f t="shared" si="74"/>
        <v>110</v>
      </c>
      <c r="DU16" s="460">
        <f t="shared" si="75"/>
        <v>173.24999999999994</v>
      </c>
      <c r="DV16" s="460"/>
      <c r="DW16" s="5">
        <f t="shared" si="118"/>
        <v>5.772005772005774</v>
      </c>
      <c r="DX16" s="5">
        <f t="shared" si="76"/>
        <v>0.66666666666666685</v>
      </c>
      <c r="DY16" s="5">
        <f t="shared" si="119"/>
        <v>5.1053391053391071</v>
      </c>
      <c r="DZ16" s="5">
        <f t="shared" si="77"/>
        <v>0.95238095238095266</v>
      </c>
      <c r="EA16" s="173">
        <f t="shared" si="120"/>
        <v>0.11549999999999999</v>
      </c>
      <c r="EB16" s="173">
        <f t="shared" si="78"/>
        <v>1.8479999999999999</v>
      </c>
      <c r="EC16" s="173">
        <f t="shared" si="79"/>
        <v>0.58966666666666678</v>
      </c>
      <c r="ED16" s="173">
        <f t="shared" si="121"/>
        <v>3.1339739966082525</v>
      </c>
      <c r="EE16" s="460">
        <f t="shared" si="80"/>
        <v>0.4471544715447156</v>
      </c>
      <c r="EF16" s="5">
        <f t="shared" si="81"/>
        <v>0.31979276895943565</v>
      </c>
      <c r="EG16" s="5"/>
      <c r="EH16" s="173">
        <f t="shared" si="122"/>
        <v>0.26161889160464785</v>
      </c>
      <c r="EI16" s="173">
        <f t="shared" si="82"/>
        <v>0.72398076504016884</v>
      </c>
      <c r="EJ16" s="173"/>
      <c r="EK16" s="528">
        <f t="shared" si="83"/>
        <v>1.3688888888888898E-3</v>
      </c>
      <c r="EL16" s="528">
        <f t="shared" si="84"/>
        <v>0.18849599999999997</v>
      </c>
      <c r="EM16" s="528">
        <f t="shared" si="85"/>
        <v>2.1656249999999991E-2</v>
      </c>
      <c r="EN16" s="528">
        <f t="shared" si="86"/>
        <v>2.8839887999999991E-2</v>
      </c>
      <c r="EO16">
        <f t="shared" si="87"/>
        <v>1.0800000000000001E-2</v>
      </c>
      <c r="EP16" s="460">
        <f t="shared" si="123"/>
        <v>32.45624999999999</v>
      </c>
      <c r="EQ16" s="528">
        <f t="shared" si="88"/>
        <v>0.25161246333936504</v>
      </c>
      <c r="ER16" s="460">
        <f t="shared" si="124"/>
        <v>251.61246333936504</v>
      </c>
      <c r="ES16" s="528">
        <f t="shared" si="125"/>
        <v>6.8337499999999995E-2</v>
      </c>
      <c r="ET16" s="528"/>
      <c r="EV16" s="460">
        <f t="shared" si="126"/>
        <v>68.337499999999991</v>
      </c>
      <c r="EW16" s="528">
        <f t="shared" si="89"/>
        <v>2.0533333333333345E-3</v>
      </c>
      <c r="EX16" s="528">
        <f t="shared" si="90"/>
        <v>1.5724444444444444E-2</v>
      </c>
      <c r="EY16" s="528">
        <f t="shared" si="91"/>
        <v>4.0550849255934177E-2</v>
      </c>
      <c r="EZ16" s="528">
        <f t="shared" si="92"/>
        <v>6.2684444910918583E-2</v>
      </c>
      <c r="FA16" s="528">
        <f t="shared" si="93"/>
        <v>1.5399999999999997E-3</v>
      </c>
      <c r="FB16" s="460">
        <f t="shared" si="127"/>
        <v>64.224444910918578</v>
      </c>
      <c r="FC16" s="173">
        <f t="shared" si="128"/>
        <v>0.38417440825028359</v>
      </c>
      <c r="FD16" s="5">
        <f t="shared" si="129"/>
        <v>1.8039999999999998</v>
      </c>
      <c r="FE16" s="173">
        <f t="shared" si="130"/>
        <v>0.82443154128766238</v>
      </c>
      <c r="FF16" s="5">
        <f t="shared" si="131"/>
        <v>82.443154128766238</v>
      </c>
      <c r="FI16" s="562">
        <f t="shared" si="94"/>
        <v>-50</v>
      </c>
      <c r="FJ16">
        <f t="shared" si="95"/>
        <v>-50</v>
      </c>
      <c r="FL16">
        <f t="shared" si="96"/>
        <v>0.16499999999999998</v>
      </c>
    </row>
    <row r="17" spans="5:168">
      <c r="E17" s="170">
        <v>12</v>
      </c>
      <c r="F17" s="217">
        <f t="shared" si="97"/>
        <v>0.12</v>
      </c>
      <c r="G17" s="217"/>
      <c r="H17" s="217">
        <f t="shared" si="0"/>
        <v>1.9679999999999997</v>
      </c>
      <c r="I17" s="541">
        <f t="shared" si="1"/>
        <v>23.967065882664688</v>
      </c>
      <c r="J17" s="172">
        <f t="shared" si="2"/>
        <v>16.819760470401185</v>
      </c>
      <c r="K17" s="172">
        <f t="shared" si="3"/>
        <v>40.819760470401185</v>
      </c>
      <c r="L17" s="443"/>
      <c r="M17" s="217">
        <f t="shared" si="4"/>
        <v>0.41238563343554535</v>
      </c>
      <c r="N17" s="172">
        <f t="shared" si="5"/>
        <v>33.242089028082177</v>
      </c>
      <c r="O17" s="172">
        <f t="shared" si="98"/>
        <v>1.9679999999999997</v>
      </c>
      <c r="P17" s="217">
        <f t="shared" si="6"/>
        <v>2.0269566480537913</v>
      </c>
      <c r="Q17" s="217">
        <f t="shared" si="7"/>
        <v>16.399999999999999</v>
      </c>
      <c r="R17" s="217">
        <f t="shared" si="8"/>
        <v>2.0088767572386432</v>
      </c>
      <c r="S17" s="172">
        <f t="shared" si="9"/>
        <v>641.79969229933704</v>
      </c>
      <c r="T17" s="172">
        <f t="shared" si="10"/>
        <v>16.399999999999999</v>
      </c>
      <c r="U17" s="217">
        <f t="shared" si="99"/>
        <v>0.40843113044220425</v>
      </c>
      <c r="V17" s="217">
        <f t="shared" si="11"/>
        <v>0.20449618611227069</v>
      </c>
      <c r="W17" s="217">
        <f t="shared" si="12"/>
        <v>0.29139377899770696</v>
      </c>
      <c r="X17" s="197">
        <f t="shared" si="13"/>
        <v>350</v>
      </c>
      <c r="Y17" s="443">
        <f t="shared" si="14"/>
        <v>350</v>
      </c>
      <c r="AA17" s="217">
        <f t="shared" si="15"/>
        <v>2.3532359375711969</v>
      </c>
      <c r="AB17" s="173">
        <f t="shared" si="16"/>
        <v>1.6789080498826396</v>
      </c>
      <c r="AC17" s="173">
        <f t="shared" si="17"/>
        <v>0.69140168280074554</v>
      </c>
      <c r="AD17" s="173"/>
      <c r="AE17" s="173">
        <f t="shared" si="18"/>
        <v>0.95126206036977945</v>
      </c>
      <c r="AF17" s="545">
        <f t="shared" si="100"/>
        <v>189.22230529201329</v>
      </c>
      <c r="AG17" s="528">
        <f t="shared" si="19"/>
        <v>0.22196114741961523</v>
      </c>
      <c r="AI17" s="173">
        <f t="shared" si="20"/>
        <v>0.9803719547892068</v>
      </c>
      <c r="AJ17" s="173">
        <f t="shared" si="21"/>
        <v>1.3333333333333335</v>
      </c>
      <c r="AK17" s="173">
        <f t="shared" si="22"/>
        <v>1.1081270315954361</v>
      </c>
      <c r="AM17" s="545">
        <f t="shared" si="23"/>
        <v>120</v>
      </c>
      <c r="AN17" s="460">
        <f t="shared" si="24"/>
        <v>189.22230529201329</v>
      </c>
      <c r="AP17">
        <f t="shared" si="25"/>
        <v>120</v>
      </c>
      <c r="AQ17" s="460">
        <f t="shared" si="26"/>
        <v>189.22230529201329</v>
      </c>
      <c r="AR17" s="460"/>
      <c r="AS17" s="5">
        <f t="shared" si="101"/>
        <v>5.2847892242765528</v>
      </c>
      <c r="AT17" s="5">
        <f t="shared" si="27"/>
        <v>0.66758276037338204</v>
      </c>
      <c r="AU17" s="5">
        <f t="shared" si="102"/>
        <v>4.6172064639031705</v>
      </c>
      <c r="AV17" s="5">
        <f t="shared" si="28"/>
        <v>0.95126206036977945</v>
      </c>
      <c r="AW17" s="173">
        <f t="shared" si="103"/>
        <v>0.12632154889105704</v>
      </c>
      <c r="AX17" s="173">
        <f t="shared" si="29"/>
        <v>2.0183712564481424</v>
      </c>
      <c r="AY17" s="173">
        <f t="shared" si="30"/>
        <v>0.58245230073929533</v>
      </c>
      <c r="AZ17" s="173">
        <f t="shared" si="104"/>
        <v>3.4652987959464889</v>
      </c>
      <c r="BA17" s="460">
        <f t="shared" si="31"/>
        <v>0.48847519051710886</v>
      </c>
      <c r="BB17" s="5">
        <f t="shared" si="32"/>
        <v>0.31594266222959572</v>
      </c>
      <c r="BC17" s="5"/>
      <c r="BD17" s="173">
        <f t="shared" si="105"/>
        <v>0.27360046446901992</v>
      </c>
      <c r="BE17" s="173">
        <f t="shared" si="33"/>
        <v>0.71953830921982831</v>
      </c>
      <c r="BF17" s="173"/>
      <c r="BG17" s="528">
        <f t="shared" si="34"/>
        <v>1.4971442831532686E-3</v>
      </c>
      <c r="BH17" s="528">
        <f t="shared" si="35"/>
        <v>0.19310022944192776</v>
      </c>
      <c r="BI17" s="528">
        <f t="shared" si="36"/>
        <v>0.11337758643508433</v>
      </c>
      <c r="BJ17" s="528">
        <f t="shared" si="37"/>
        <v>3.1529220450396002E-2</v>
      </c>
      <c r="BK17">
        <f t="shared" si="38"/>
        <v>1.0785179647199109E-2</v>
      </c>
      <c r="BL17" s="460">
        <f t="shared" si="106"/>
        <v>124.16276608228344</v>
      </c>
      <c r="BM17" s="528">
        <f t="shared" si="39"/>
        <v>0.22661143368688449</v>
      </c>
      <c r="BN17" s="460">
        <f t="shared" si="107"/>
        <v>226.61143368688448</v>
      </c>
      <c r="BO17" s="528">
        <f t="shared" si="108"/>
        <v>7.4549999999999991E-2</v>
      </c>
      <c r="BP17" s="528"/>
      <c r="BR17" s="460">
        <f t="shared" si="109"/>
        <v>74.55</v>
      </c>
      <c r="BS17" s="528">
        <f t="shared" si="40"/>
        <v>2.2457164247299028E-3</v>
      </c>
      <c r="BT17" s="528">
        <f t="shared" si="41"/>
        <v>1.5532061353047875E-2</v>
      </c>
      <c r="BU17" s="528">
        <f t="shared" si="42"/>
        <v>2.9519999999999994E-2</v>
      </c>
      <c r="BV17" s="528">
        <f t="shared" si="43"/>
        <v>5.1637884991988604E-2</v>
      </c>
      <c r="BW17" s="528">
        <f t="shared" si="44"/>
        <v>1.6819760470401185E-3</v>
      </c>
      <c r="BX17" s="460">
        <f t="shared" si="110"/>
        <v>53.319861039028723</v>
      </c>
      <c r="BY17" s="173">
        <f t="shared" si="45"/>
        <v>0.47864406080819666</v>
      </c>
      <c r="BZ17" s="5">
        <f t="shared" si="111"/>
        <v>1.9679999999999997</v>
      </c>
      <c r="CA17" s="173">
        <f t="shared" si="112"/>
        <v>0.80436710493553087</v>
      </c>
      <c r="CB17" s="5">
        <f t="shared" si="113"/>
        <v>80.436710493553093</v>
      </c>
      <c r="CE17" s="562">
        <f t="shared" si="46"/>
        <v>-50</v>
      </c>
      <c r="CF17">
        <f t="shared" si="47"/>
        <v>-50</v>
      </c>
      <c r="CG17" s="173">
        <f t="shared" si="48"/>
        <v>0.18218189784509056</v>
      </c>
      <c r="CI17" s="170">
        <v>12</v>
      </c>
      <c r="CJ17" s="217">
        <f t="shared" si="114"/>
        <v>0.12</v>
      </c>
      <c r="CK17" s="217"/>
      <c r="CL17" s="217">
        <f t="shared" si="49"/>
        <v>1.9679999999999997</v>
      </c>
      <c r="CM17" s="541">
        <f t="shared" si="50"/>
        <v>24</v>
      </c>
      <c r="CN17" s="172">
        <f t="shared" si="51"/>
        <v>16.799999999999997</v>
      </c>
      <c r="CO17" s="443">
        <f t="shared" si="52"/>
        <v>40.799999999999997</v>
      </c>
      <c r="CP17" s="443"/>
      <c r="CQ17" s="217">
        <f t="shared" si="53"/>
        <v>0.41176470588235292</v>
      </c>
      <c r="CR17" s="172">
        <f t="shared" si="54"/>
        <v>33.237647058823534</v>
      </c>
      <c r="CS17" s="172">
        <f t="shared" si="115"/>
        <v>1.9679999999999997</v>
      </c>
      <c r="CT17" s="217">
        <f t="shared" si="55"/>
        <v>2.026685796269728</v>
      </c>
      <c r="CU17" s="217">
        <f t="shared" si="56"/>
        <v>16.399999999999999</v>
      </c>
      <c r="CV17" s="217">
        <f t="shared" si="57"/>
        <v>2.0086083213773311</v>
      </c>
      <c r="CW17" s="172">
        <f t="shared" si="58"/>
        <v>642.68159478788459</v>
      </c>
      <c r="CX17" s="172">
        <f t="shared" si="59"/>
        <v>16.399999999999999</v>
      </c>
      <c r="CY17" s="217">
        <f t="shared" si="60"/>
        <v>0.39828571428571424</v>
      </c>
      <c r="CZ17" s="217">
        <f t="shared" si="61"/>
        <v>0.19914285714285712</v>
      </c>
      <c r="DA17" s="217">
        <f t="shared" si="62"/>
        <v>0.28448979591836732</v>
      </c>
      <c r="DB17" s="197">
        <f t="shared" si="63"/>
        <v>350</v>
      </c>
      <c r="DC17" s="443">
        <f t="shared" si="116"/>
        <v>350</v>
      </c>
      <c r="DE17" s="217">
        <f t="shared" si="64"/>
        <v>2.3529411764705879</v>
      </c>
      <c r="DF17" s="173">
        <f t="shared" si="65"/>
        <v>1.6806722689075633</v>
      </c>
      <c r="DG17" s="173">
        <f t="shared" si="66"/>
        <v>0.69204152249134954</v>
      </c>
      <c r="DH17" s="173"/>
      <c r="DI17" s="173">
        <f t="shared" si="67"/>
        <v>0.95238095238095266</v>
      </c>
      <c r="DJ17" s="545">
        <f t="shared" si="117"/>
        <v>188.99999999999991</v>
      </c>
      <c r="DK17" s="528">
        <f t="shared" si="68"/>
        <v>0.22222222222222232</v>
      </c>
      <c r="DM17" s="173">
        <f t="shared" si="69"/>
        <v>0.97979589711327109</v>
      </c>
      <c r="DN17" s="173">
        <f t="shared" si="70"/>
        <v>1.3333333333333335</v>
      </c>
      <c r="DO17" s="173">
        <f t="shared" si="71"/>
        <v>1.1079999999999999</v>
      </c>
      <c r="DQ17" s="545">
        <f t="shared" si="72"/>
        <v>120</v>
      </c>
      <c r="DR17" s="460">
        <f t="shared" si="73"/>
        <v>188.99999999999991</v>
      </c>
      <c r="DT17">
        <f t="shared" si="74"/>
        <v>120</v>
      </c>
      <c r="DU17" s="460">
        <f t="shared" si="75"/>
        <v>188.99999999999991</v>
      </c>
      <c r="DV17" s="460"/>
      <c r="DW17" s="5">
        <f t="shared" si="118"/>
        <v>5.2910052910052929</v>
      </c>
      <c r="DX17" s="5">
        <f t="shared" si="76"/>
        <v>0.66666666666666685</v>
      </c>
      <c r="DY17" s="5">
        <f t="shared" si="119"/>
        <v>4.624338624338626</v>
      </c>
      <c r="DZ17" s="5">
        <f t="shared" si="77"/>
        <v>0.95238095238095266</v>
      </c>
      <c r="EA17" s="173">
        <f t="shared" si="120"/>
        <v>0.126</v>
      </c>
      <c r="EB17" s="173">
        <f t="shared" si="78"/>
        <v>2.0159999999999996</v>
      </c>
      <c r="EC17" s="173">
        <f t="shared" si="79"/>
        <v>0.58266666666666678</v>
      </c>
      <c r="ED17" s="173">
        <f t="shared" si="121"/>
        <v>3.4599542334096096</v>
      </c>
      <c r="EE17" s="460">
        <f t="shared" si="80"/>
        <v>0.48780487804878064</v>
      </c>
      <c r="EF17" s="5">
        <f t="shared" si="81"/>
        <v>0.31599647266313935</v>
      </c>
      <c r="EG17" s="5"/>
      <c r="EH17" s="173">
        <f t="shared" si="122"/>
        <v>0.27325202042558933</v>
      </c>
      <c r="EI17" s="173">
        <f t="shared" si="82"/>
        <v>0.71967070659151189</v>
      </c>
      <c r="EJ17" s="173"/>
      <c r="EK17" s="528">
        <f t="shared" si="83"/>
        <v>1.4933333333333337E-3</v>
      </c>
      <c r="EL17" s="528">
        <f t="shared" si="84"/>
        <v>0.20563199999999993</v>
      </c>
      <c r="EM17" s="528">
        <f t="shared" si="85"/>
        <v>2.362499999999999E-2</v>
      </c>
      <c r="EN17" s="528">
        <f t="shared" si="86"/>
        <v>3.1461695999999983E-2</v>
      </c>
      <c r="EO17">
        <f t="shared" si="87"/>
        <v>1.0800000000000001E-2</v>
      </c>
      <c r="EP17" s="460">
        <f t="shared" si="123"/>
        <v>34.42499999999999</v>
      </c>
      <c r="EQ17" s="528">
        <f t="shared" si="88"/>
        <v>0.27351227586500648</v>
      </c>
      <c r="ER17" s="460">
        <f t="shared" si="124"/>
        <v>273.51227586500647</v>
      </c>
      <c r="ES17" s="528">
        <f t="shared" si="125"/>
        <v>7.4549999999999991E-2</v>
      </c>
      <c r="ET17" s="528"/>
      <c r="EV17" s="460">
        <f t="shared" si="126"/>
        <v>74.55</v>
      </c>
      <c r="EW17" s="528">
        <f t="shared" si="89"/>
        <v>2.2400000000000007E-3</v>
      </c>
      <c r="EX17" s="528">
        <f t="shared" si="90"/>
        <v>1.5537777777777781E-2</v>
      </c>
      <c r="EY17" s="528">
        <f t="shared" si="91"/>
        <v>5.0404737377353619E-2</v>
      </c>
      <c r="EZ17" s="528">
        <f t="shared" si="92"/>
        <v>7.2552367411004834E-2</v>
      </c>
      <c r="FA17" s="528">
        <f t="shared" si="93"/>
        <v>1.6799999999999996E-3</v>
      </c>
      <c r="FB17" s="460">
        <f t="shared" si="127"/>
        <v>74.23236741100483</v>
      </c>
      <c r="FC17" s="173">
        <f t="shared" si="128"/>
        <v>0.42229464327601135</v>
      </c>
      <c r="FD17" s="5">
        <f t="shared" si="129"/>
        <v>1.9679999999999997</v>
      </c>
      <c r="FE17" s="173">
        <f t="shared" si="130"/>
        <v>0.82332946088301617</v>
      </c>
      <c r="FF17" s="5">
        <f t="shared" si="131"/>
        <v>82.332946088301611</v>
      </c>
      <c r="FI17" s="562">
        <f t="shared" si="94"/>
        <v>-50</v>
      </c>
      <c r="FJ17">
        <f t="shared" si="95"/>
        <v>-50</v>
      </c>
      <c r="FL17">
        <f t="shared" si="96"/>
        <v>0.17999999999999997</v>
      </c>
    </row>
    <row r="18" spans="5:168">
      <c r="E18" s="170">
        <v>13</v>
      </c>
      <c r="F18" s="217">
        <f t="shared" si="97"/>
        <v>0.13</v>
      </c>
      <c r="G18" s="217"/>
      <c r="H18" s="217">
        <f t="shared" si="0"/>
        <v>2.1319999999999997</v>
      </c>
      <c r="I18" s="541">
        <f t="shared" si="1"/>
        <v>23.967065882664688</v>
      </c>
      <c r="J18" s="172">
        <f t="shared" si="2"/>
        <v>16.819760470401185</v>
      </c>
      <c r="K18" s="172">
        <f t="shared" si="3"/>
        <v>40.819760470401185</v>
      </c>
      <c r="L18" s="443"/>
      <c r="M18" s="217">
        <f t="shared" si="4"/>
        <v>0.41238563343554535</v>
      </c>
      <c r="N18" s="172">
        <f t="shared" si="5"/>
        <v>33.242089028082177</v>
      </c>
      <c r="O18" s="172">
        <f t="shared" si="98"/>
        <v>2.1319999999999997</v>
      </c>
      <c r="P18" s="217">
        <f t="shared" si="6"/>
        <v>2.0269566480537913</v>
      </c>
      <c r="Q18" s="217">
        <f t="shared" si="7"/>
        <v>16.399999999999999</v>
      </c>
      <c r="R18" s="217">
        <f t="shared" si="8"/>
        <v>2.0088767572386432</v>
      </c>
      <c r="S18" s="172">
        <f t="shared" si="9"/>
        <v>590.58930661278907</v>
      </c>
      <c r="T18" s="172">
        <f t="shared" si="10"/>
        <v>16.399999999999999</v>
      </c>
      <c r="U18" s="217">
        <f t="shared" si="99"/>
        <v>0.44246705797905456</v>
      </c>
      <c r="V18" s="217">
        <f t="shared" si="11"/>
        <v>0.2215375349549599</v>
      </c>
      <c r="W18" s="217">
        <f t="shared" si="12"/>
        <v>0.31567659391418257</v>
      </c>
      <c r="X18" s="197">
        <f t="shared" si="13"/>
        <v>350</v>
      </c>
      <c r="Y18" s="443">
        <f t="shared" si="14"/>
        <v>350</v>
      </c>
      <c r="AA18" s="217">
        <f t="shared" si="15"/>
        <v>2.3532359375711969</v>
      </c>
      <c r="AB18" s="173">
        <f t="shared" si="16"/>
        <v>1.6789080498826396</v>
      </c>
      <c r="AC18" s="173">
        <f t="shared" si="17"/>
        <v>0.69140168280074554</v>
      </c>
      <c r="AD18" s="173"/>
      <c r="AE18" s="173">
        <f t="shared" si="18"/>
        <v>0.95126206036977945</v>
      </c>
      <c r="AF18" s="545">
        <f t="shared" si="100"/>
        <v>204.99083073301438</v>
      </c>
      <c r="AG18" s="528">
        <f t="shared" si="19"/>
        <v>0.22196114741961523</v>
      </c>
      <c r="AI18" s="173">
        <f t="shared" si="20"/>
        <v>1.0204034825574204</v>
      </c>
      <c r="AJ18" s="173">
        <f t="shared" si="21"/>
        <v>1.3333333333333335</v>
      </c>
      <c r="AK18" s="173">
        <f t="shared" si="22"/>
        <v>1.1171376175617225</v>
      </c>
      <c r="AM18" s="545">
        <f t="shared" si="23"/>
        <v>130</v>
      </c>
      <c r="AN18" s="460">
        <f t="shared" si="24"/>
        <v>204.99083073301438</v>
      </c>
      <c r="AP18">
        <f t="shared" si="25"/>
        <v>130</v>
      </c>
      <c r="AQ18" s="460">
        <f t="shared" si="26"/>
        <v>204.99083073301438</v>
      </c>
      <c r="AR18" s="460"/>
      <c r="AS18" s="5">
        <f t="shared" si="101"/>
        <v>4.8782669762552802</v>
      </c>
      <c r="AT18" s="5">
        <f t="shared" si="27"/>
        <v>0.66758276037338204</v>
      </c>
      <c r="AU18" s="5">
        <f t="shared" si="102"/>
        <v>4.2106842158818978</v>
      </c>
      <c r="AV18" s="5">
        <f t="shared" si="28"/>
        <v>0.95126206036977945</v>
      </c>
      <c r="AW18" s="173">
        <f t="shared" si="103"/>
        <v>0.13684834463197845</v>
      </c>
      <c r="AX18" s="173">
        <f t="shared" si="29"/>
        <v>2.1865688611521539</v>
      </c>
      <c r="AY18" s="173">
        <f t="shared" si="30"/>
        <v>0.57543443691201446</v>
      </c>
      <c r="AZ18" s="173">
        <f t="shared" si="104"/>
        <v>3.7998575005104995</v>
      </c>
      <c r="BA18" s="460">
        <f t="shared" si="31"/>
        <v>0.52918145639353475</v>
      </c>
      <c r="BB18" s="5">
        <f t="shared" si="32"/>
        <v>0.31213592547545882</v>
      </c>
      <c r="BC18" s="5"/>
      <c r="BD18" s="173">
        <f t="shared" si="105"/>
        <v>0.28477239216165023</v>
      </c>
      <c r="BE18" s="173">
        <f t="shared" si="33"/>
        <v>0.71519037832952148</v>
      </c>
      <c r="BF18" s="173"/>
      <c r="BG18" s="528">
        <f t="shared" si="34"/>
        <v>1.6219063067493742E-3</v>
      </c>
      <c r="BH18" s="528">
        <f t="shared" si="35"/>
        <v>0.20919191522875505</v>
      </c>
      <c r="BI18" s="528">
        <f t="shared" si="36"/>
        <v>0.12282571863800801</v>
      </c>
      <c r="BJ18" s="528">
        <f t="shared" si="37"/>
        <v>3.4156655487929004E-2</v>
      </c>
      <c r="BK18">
        <f t="shared" si="38"/>
        <v>1.0785179647199109E-2</v>
      </c>
      <c r="BL18" s="460">
        <f t="shared" si="106"/>
        <v>133.6108982852071</v>
      </c>
      <c r="BM18" s="528">
        <f t="shared" si="39"/>
        <v>0.24550299997473857</v>
      </c>
      <c r="BN18" s="460">
        <f t="shared" si="107"/>
        <v>245.50299997473857</v>
      </c>
      <c r="BO18" s="528">
        <f t="shared" si="108"/>
        <v>8.0762499999999987E-2</v>
      </c>
      <c r="BP18" s="528"/>
      <c r="BR18" s="460">
        <f t="shared" si="109"/>
        <v>80.762499999999989</v>
      </c>
      <c r="BS18" s="528">
        <f t="shared" si="40"/>
        <v>2.4328594601240611E-3</v>
      </c>
      <c r="BT18" s="528">
        <f t="shared" si="41"/>
        <v>1.5344918317653722E-2</v>
      </c>
      <c r="BU18" s="528">
        <f t="shared" si="42"/>
        <v>3.1979999999999995E-2</v>
      </c>
      <c r="BV18" s="528">
        <f t="shared" si="43"/>
        <v>5.4101388641623643E-2</v>
      </c>
      <c r="BW18" s="528">
        <f t="shared" si="44"/>
        <v>1.8221407176267947E-3</v>
      </c>
      <c r="BX18" s="460">
        <f t="shared" si="110"/>
        <v>55.923529359250438</v>
      </c>
      <c r="BY18" s="173">
        <f t="shared" si="45"/>
        <v>0.51579992761919602</v>
      </c>
      <c r="BZ18" s="5">
        <f t="shared" si="111"/>
        <v>2.1319999999999997</v>
      </c>
      <c r="CA18" s="173">
        <f t="shared" si="112"/>
        <v>0.80519678913845116</v>
      </c>
      <c r="CB18" s="5">
        <f t="shared" si="113"/>
        <v>80.519678913845112</v>
      </c>
      <c r="CE18" s="562">
        <f t="shared" si="46"/>
        <v>-50</v>
      </c>
      <c r="CF18">
        <f t="shared" si="47"/>
        <v>-50</v>
      </c>
      <c r="CG18" s="173">
        <f t="shared" si="48"/>
        <v>0.19736372266551475</v>
      </c>
      <c r="CI18" s="170">
        <v>13</v>
      </c>
      <c r="CJ18" s="217">
        <f t="shared" si="114"/>
        <v>0.13</v>
      </c>
      <c r="CK18" s="217"/>
      <c r="CL18" s="217">
        <f t="shared" si="49"/>
        <v>2.1319999999999997</v>
      </c>
      <c r="CM18" s="541">
        <f t="shared" si="50"/>
        <v>24</v>
      </c>
      <c r="CN18" s="172">
        <f t="shared" si="51"/>
        <v>16.799999999999997</v>
      </c>
      <c r="CO18" s="443">
        <f t="shared" si="52"/>
        <v>40.799999999999997</v>
      </c>
      <c r="CP18" s="443"/>
      <c r="CQ18" s="217">
        <f t="shared" si="53"/>
        <v>0.41176470588235292</v>
      </c>
      <c r="CR18" s="172">
        <f t="shared" si="54"/>
        <v>33.237647058823534</v>
      </c>
      <c r="CS18" s="172">
        <f t="shared" si="115"/>
        <v>2.1319999999999997</v>
      </c>
      <c r="CT18" s="217">
        <f t="shared" si="55"/>
        <v>2.026685796269728</v>
      </c>
      <c r="CU18" s="217">
        <f t="shared" si="56"/>
        <v>16.399999999999999</v>
      </c>
      <c r="CV18" s="217">
        <f t="shared" si="57"/>
        <v>2.0086083213773311</v>
      </c>
      <c r="CW18" s="172">
        <f t="shared" si="58"/>
        <v>591.40083705819006</v>
      </c>
      <c r="CX18" s="172">
        <f t="shared" si="59"/>
        <v>16.399999999999999</v>
      </c>
      <c r="CY18" s="217">
        <f t="shared" si="60"/>
        <v>0.4314761904761904</v>
      </c>
      <c r="CZ18" s="217">
        <f t="shared" si="61"/>
        <v>0.2157380952380952</v>
      </c>
      <c r="DA18" s="217">
        <f t="shared" si="62"/>
        <v>0.30819727891156462</v>
      </c>
      <c r="DB18" s="197">
        <f t="shared" si="63"/>
        <v>350</v>
      </c>
      <c r="DC18" s="443">
        <f t="shared" si="116"/>
        <v>350</v>
      </c>
      <c r="DE18" s="217">
        <f t="shared" si="64"/>
        <v>2.3529411764705879</v>
      </c>
      <c r="DF18" s="173">
        <f t="shared" si="65"/>
        <v>1.6806722689075633</v>
      </c>
      <c r="DG18" s="173">
        <f t="shared" si="66"/>
        <v>0.69204152249134954</v>
      </c>
      <c r="DH18" s="173"/>
      <c r="DI18" s="173">
        <f t="shared" si="67"/>
        <v>0.95238095238095266</v>
      </c>
      <c r="DJ18" s="545">
        <f t="shared" si="117"/>
        <v>204.74999999999991</v>
      </c>
      <c r="DK18" s="528">
        <f t="shared" si="68"/>
        <v>0.22222222222222232</v>
      </c>
      <c r="DM18" s="173">
        <f t="shared" si="69"/>
        <v>1.0198039027185568</v>
      </c>
      <c r="DN18" s="173">
        <f t="shared" si="70"/>
        <v>1.3333333333333335</v>
      </c>
      <c r="DO18" s="173">
        <f t="shared" si="71"/>
        <v>1.117</v>
      </c>
      <c r="DQ18" s="545">
        <f t="shared" si="72"/>
        <v>130</v>
      </c>
      <c r="DR18" s="460">
        <f t="shared" si="73"/>
        <v>204.74999999999991</v>
      </c>
      <c r="DT18">
        <f t="shared" si="74"/>
        <v>130</v>
      </c>
      <c r="DU18" s="460">
        <f t="shared" si="75"/>
        <v>204.74999999999991</v>
      </c>
      <c r="DV18" s="460"/>
      <c r="DW18" s="5">
        <f t="shared" si="118"/>
        <v>4.8840048840048853</v>
      </c>
      <c r="DX18" s="5">
        <f t="shared" si="76"/>
        <v>0.66666666666666685</v>
      </c>
      <c r="DY18" s="5">
        <f t="shared" si="119"/>
        <v>4.2173382173382183</v>
      </c>
      <c r="DZ18" s="5">
        <f t="shared" si="77"/>
        <v>0.95238095238095266</v>
      </c>
      <c r="EA18" s="173">
        <f t="shared" si="120"/>
        <v>0.13650000000000001</v>
      </c>
      <c r="EB18" s="173">
        <f t="shared" si="78"/>
        <v>2.1839999999999997</v>
      </c>
      <c r="EC18" s="173">
        <f t="shared" si="79"/>
        <v>0.57566666666666666</v>
      </c>
      <c r="ED18" s="173">
        <f t="shared" si="121"/>
        <v>3.793862188766647</v>
      </c>
      <c r="EE18" s="460">
        <f t="shared" si="80"/>
        <v>0.52845528455284585</v>
      </c>
      <c r="EF18" s="5">
        <f t="shared" si="81"/>
        <v>0.312200176366843</v>
      </c>
      <c r="EG18" s="5"/>
      <c r="EH18" s="173">
        <f t="shared" si="122"/>
        <v>0.28440972010268728</v>
      </c>
      <c r="EI18" s="173">
        <f t="shared" si="82"/>
        <v>0.71533467950582674</v>
      </c>
      <c r="EJ18" s="173"/>
      <c r="EK18" s="528">
        <f t="shared" si="83"/>
        <v>1.6177777777777785E-3</v>
      </c>
      <c r="EL18" s="528">
        <f t="shared" si="84"/>
        <v>0.22276799999999994</v>
      </c>
      <c r="EM18" s="528">
        <f t="shared" si="85"/>
        <v>2.5593749999999988E-2</v>
      </c>
      <c r="EN18" s="528">
        <f t="shared" si="86"/>
        <v>3.4083503999999987E-2</v>
      </c>
      <c r="EO18">
        <f t="shared" si="87"/>
        <v>1.0800000000000001E-2</v>
      </c>
      <c r="EP18" s="460">
        <f t="shared" si="123"/>
        <v>36.39374999999999</v>
      </c>
      <c r="EQ18" s="528">
        <f t="shared" si="88"/>
        <v>0.29541338395595618</v>
      </c>
      <c r="ER18" s="460">
        <f t="shared" si="124"/>
        <v>295.41338395595619</v>
      </c>
      <c r="ES18" s="528">
        <f t="shared" si="125"/>
        <v>8.0762499999999987E-2</v>
      </c>
      <c r="ET18" s="528"/>
      <c r="EV18" s="460">
        <f t="shared" si="126"/>
        <v>80.762499999999989</v>
      </c>
      <c r="EW18" s="528">
        <f t="shared" si="89"/>
        <v>2.4266666666666677E-3</v>
      </c>
      <c r="EX18" s="528">
        <f t="shared" si="90"/>
        <v>1.5351111111111116E-2</v>
      </c>
      <c r="EY18" s="528">
        <f t="shared" si="91"/>
        <v>6.1571058797802808E-2</v>
      </c>
      <c r="EZ18" s="528">
        <f t="shared" si="92"/>
        <v>8.3734592440384698E-2</v>
      </c>
      <c r="FA18" s="528">
        <f t="shared" si="93"/>
        <v>1.8199999999999996E-3</v>
      </c>
      <c r="FB18" s="460">
        <f t="shared" si="127"/>
        <v>85.554592440384695</v>
      </c>
      <c r="FC18" s="173">
        <f t="shared" si="128"/>
        <v>0.46173047639634085</v>
      </c>
      <c r="FD18" s="5">
        <f t="shared" si="129"/>
        <v>2.1319999999999997</v>
      </c>
      <c r="FE18" s="173">
        <f t="shared" si="130"/>
        <v>0.82198209081544327</v>
      </c>
      <c r="FF18" s="5">
        <f t="shared" si="131"/>
        <v>82.19820908154432</v>
      </c>
      <c r="FI18" s="562">
        <f t="shared" si="94"/>
        <v>-50</v>
      </c>
      <c r="FJ18">
        <f t="shared" si="95"/>
        <v>-50</v>
      </c>
      <c r="FL18">
        <f t="shared" si="96"/>
        <v>0.19499999999999998</v>
      </c>
    </row>
    <row r="19" spans="5:168">
      <c r="E19" s="170">
        <v>14</v>
      </c>
      <c r="F19" s="217">
        <f t="shared" si="97"/>
        <v>0.14000000000000001</v>
      </c>
      <c r="G19" s="217"/>
      <c r="H19" s="217">
        <f t="shared" si="0"/>
        <v>2.2959999999999998</v>
      </c>
      <c r="I19" s="541">
        <f t="shared" si="1"/>
        <v>23.967065882664688</v>
      </c>
      <c r="J19" s="172">
        <f t="shared" si="2"/>
        <v>16.819760470401185</v>
      </c>
      <c r="K19" s="172">
        <f t="shared" si="3"/>
        <v>40.819760470401185</v>
      </c>
      <c r="L19" s="443"/>
      <c r="M19" s="217">
        <f t="shared" si="4"/>
        <v>0.41238563343554535</v>
      </c>
      <c r="N19" s="172">
        <f t="shared" si="5"/>
        <v>33.242089028082177</v>
      </c>
      <c r="O19" s="172">
        <f t="shared" si="98"/>
        <v>2.2959999999999998</v>
      </c>
      <c r="P19" s="217">
        <f t="shared" si="6"/>
        <v>2.0269566480537913</v>
      </c>
      <c r="Q19" s="217">
        <f t="shared" si="7"/>
        <v>16.399999999999999</v>
      </c>
      <c r="R19" s="217">
        <f t="shared" si="8"/>
        <v>2.0088767572386432</v>
      </c>
      <c r="S19" s="172">
        <f t="shared" si="9"/>
        <v>546.69488304625986</v>
      </c>
      <c r="T19" s="172">
        <f t="shared" si="10"/>
        <v>16.399999999999999</v>
      </c>
      <c r="U19" s="217">
        <f t="shared" si="99"/>
        <v>0.47650298551590492</v>
      </c>
      <c r="V19" s="217">
        <f t="shared" si="11"/>
        <v>0.23857888379764911</v>
      </c>
      <c r="W19" s="217">
        <f t="shared" si="12"/>
        <v>0.33995940883065812</v>
      </c>
      <c r="X19" s="197">
        <f t="shared" si="13"/>
        <v>350</v>
      </c>
      <c r="Y19" s="443">
        <f t="shared" si="14"/>
        <v>350</v>
      </c>
      <c r="AA19" s="217">
        <f t="shared" si="15"/>
        <v>2.3532359375711969</v>
      </c>
      <c r="AB19" s="173">
        <f t="shared" si="16"/>
        <v>1.6789080498826396</v>
      </c>
      <c r="AC19" s="173">
        <f t="shared" si="17"/>
        <v>0.69140168280074554</v>
      </c>
      <c r="AD19" s="173"/>
      <c r="AE19" s="173">
        <f t="shared" si="18"/>
        <v>0.95126206036977945</v>
      </c>
      <c r="AF19" s="545">
        <f t="shared" si="100"/>
        <v>220.75935617401552</v>
      </c>
      <c r="AG19" s="528">
        <f t="shared" si="19"/>
        <v>0.22196114741961523</v>
      </c>
      <c r="AI19" s="173">
        <f t="shared" si="20"/>
        <v>1.0589227378300139</v>
      </c>
      <c r="AJ19" s="173">
        <f t="shared" si="21"/>
        <v>1.3333333333333335</v>
      </c>
      <c r="AK19" s="173">
        <f t="shared" si="22"/>
        <v>1.1261482035280088</v>
      </c>
      <c r="AM19" s="545">
        <f t="shared" si="23"/>
        <v>140</v>
      </c>
      <c r="AN19" s="460">
        <f t="shared" si="24"/>
        <v>220.75935617401552</v>
      </c>
      <c r="AP19">
        <f t="shared" si="25"/>
        <v>140</v>
      </c>
      <c r="AQ19" s="460">
        <f t="shared" si="26"/>
        <v>220.75935617401552</v>
      </c>
      <c r="AR19" s="460"/>
      <c r="AS19" s="5">
        <f t="shared" si="101"/>
        <v>4.5298193350941878</v>
      </c>
      <c r="AT19" s="5">
        <f t="shared" si="27"/>
        <v>0.66758276037338204</v>
      </c>
      <c r="AU19" s="5">
        <f t="shared" si="102"/>
        <v>3.8622365747208058</v>
      </c>
      <c r="AV19" s="5">
        <f t="shared" si="28"/>
        <v>0.95126206036977945</v>
      </c>
      <c r="AW19" s="173">
        <f t="shared" si="103"/>
        <v>0.14737514037289989</v>
      </c>
      <c r="AX19" s="173">
        <f t="shared" si="29"/>
        <v>2.3547664658561662</v>
      </c>
      <c r="AY19" s="173">
        <f t="shared" si="30"/>
        <v>0.56841657308473348</v>
      </c>
      <c r="AZ19" s="173">
        <f t="shared" si="104"/>
        <v>4.1426773555829151</v>
      </c>
      <c r="BA19" s="460">
        <f t="shared" si="31"/>
        <v>0.56988772226996043</v>
      </c>
      <c r="BB19" s="5">
        <f t="shared" si="32"/>
        <v>0.30832918872132176</v>
      </c>
      <c r="BC19" s="5"/>
      <c r="BD19" s="173">
        <f t="shared" si="105"/>
        <v>0.29552227753127858</v>
      </c>
      <c r="BE19" s="173">
        <f t="shared" si="33"/>
        <v>0.71081585243670431</v>
      </c>
      <c r="BF19" s="173"/>
      <c r="BG19" s="528">
        <f t="shared" si="34"/>
        <v>1.7466683303454808E-3</v>
      </c>
      <c r="BH19" s="528">
        <f t="shared" si="35"/>
        <v>0.2252836010155824</v>
      </c>
      <c r="BI19" s="528">
        <f t="shared" si="36"/>
        <v>0.13227385084093174</v>
      </c>
      <c r="BJ19" s="528">
        <f t="shared" si="37"/>
        <v>3.6784090525462006E-2</v>
      </c>
      <c r="BK19">
        <f t="shared" si="38"/>
        <v>1.0785179647199109E-2</v>
      </c>
      <c r="BL19" s="460">
        <f t="shared" si="106"/>
        <v>143.05903048813084</v>
      </c>
      <c r="BM19" s="528">
        <f t="shared" si="39"/>
        <v>0.26439568675026298</v>
      </c>
      <c r="BN19" s="460">
        <f t="shared" si="107"/>
        <v>264.395686750263</v>
      </c>
      <c r="BO19" s="528">
        <f t="shared" si="108"/>
        <v>8.6974999999999997E-2</v>
      </c>
      <c r="BP19" s="528"/>
      <c r="BR19" s="460">
        <f t="shared" si="109"/>
        <v>86.974999999999994</v>
      </c>
      <c r="BS19" s="528">
        <f t="shared" si="40"/>
        <v>2.6200024955182213E-3</v>
      </c>
      <c r="BT19" s="528">
        <f t="shared" si="41"/>
        <v>1.5157775282259556E-2</v>
      </c>
      <c r="BU19" s="528">
        <f t="shared" si="42"/>
        <v>3.4439999999999998E-2</v>
      </c>
      <c r="BV19" s="528">
        <f t="shared" si="43"/>
        <v>5.6564892291258675E-2</v>
      </c>
      <c r="BW19" s="528">
        <f t="shared" si="44"/>
        <v>1.9623053882134715E-3</v>
      </c>
      <c r="BX19" s="460">
        <f t="shared" si="110"/>
        <v>58.527197679472145</v>
      </c>
      <c r="BY19" s="173">
        <f t="shared" si="45"/>
        <v>0.55295691491786592</v>
      </c>
      <c r="BZ19" s="5">
        <f t="shared" si="111"/>
        <v>2.2959999999999998</v>
      </c>
      <c r="CA19" s="173">
        <f t="shared" si="112"/>
        <v>0.80590899356096179</v>
      </c>
      <c r="CB19" s="5">
        <f t="shared" si="113"/>
        <v>80.590899356096173</v>
      </c>
      <c r="CE19" s="562">
        <f t="shared" si="46"/>
        <v>-50</v>
      </c>
      <c r="CF19">
        <f t="shared" si="47"/>
        <v>-50</v>
      </c>
      <c r="CG19" s="173">
        <f t="shared" si="48"/>
        <v>0.21254554748593901</v>
      </c>
      <c r="CI19" s="170">
        <v>14</v>
      </c>
      <c r="CJ19" s="217">
        <f t="shared" si="114"/>
        <v>0.14000000000000001</v>
      </c>
      <c r="CK19" s="217"/>
      <c r="CL19" s="217">
        <f t="shared" si="49"/>
        <v>2.2959999999999998</v>
      </c>
      <c r="CM19" s="541">
        <f t="shared" si="50"/>
        <v>24</v>
      </c>
      <c r="CN19" s="172">
        <f t="shared" si="51"/>
        <v>16.799999999999997</v>
      </c>
      <c r="CO19" s="443">
        <f t="shared" si="52"/>
        <v>40.799999999999997</v>
      </c>
      <c r="CP19" s="443"/>
      <c r="CQ19" s="217">
        <f t="shared" si="53"/>
        <v>0.41176470588235292</v>
      </c>
      <c r="CR19" s="172">
        <f t="shared" si="54"/>
        <v>33.237647058823534</v>
      </c>
      <c r="CS19" s="172">
        <f t="shared" si="115"/>
        <v>2.2959999999999998</v>
      </c>
      <c r="CT19" s="217">
        <f t="shared" si="55"/>
        <v>2.026685796269728</v>
      </c>
      <c r="CU19" s="217">
        <f t="shared" si="56"/>
        <v>16.399999999999999</v>
      </c>
      <c r="CV19" s="217">
        <f t="shared" si="57"/>
        <v>2.0086083213773311</v>
      </c>
      <c r="CW19" s="172">
        <f t="shared" si="58"/>
        <v>547.44609459811591</v>
      </c>
      <c r="CX19" s="172">
        <f t="shared" si="59"/>
        <v>16.399999999999999</v>
      </c>
      <c r="CY19" s="217">
        <f t="shared" si="60"/>
        <v>0.46466666666666662</v>
      </c>
      <c r="CZ19" s="217">
        <f t="shared" si="61"/>
        <v>0.23233333333333331</v>
      </c>
      <c r="DA19" s="217">
        <f t="shared" si="62"/>
        <v>0.33190476190476198</v>
      </c>
      <c r="DB19" s="197">
        <f t="shared" si="63"/>
        <v>350</v>
      </c>
      <c r="DC19" s="443">
        <f t="shared" si="116"/>
        <v>350</v>
      </c>
      <c r="DE19" s="217">
        <f t="shared" si="64"/>
        <v>2.3529411764705879</v>
      </c>
      <c r="DF19" s="173">
        <f t="shared" si="65"/>
        <v>1.6806722689075633</v>
      </c>
      <c r="DG19" s="173">
        <f t="shared" si="66"/>
        <v>0.69204152249134954</v>
      </c>
      <c r="DH19" s="173"/>
      <c r="DI19" s="173">
        <f t="shared" si="67"/>
        <v>0.95238095238095266</v>
      </c>
      <c r="DJ19" s="545">
        <f t="shared" si="117"/>
        <v>220.49999999999994</v>
      </c>
      <c r="DK19" s="528">
        <f t="shared" si="68"/>
        <v>0.22222222222222232</v>
      </c>
      <c r="DM19" s="173">
        <f t="shared" si="69"/>
        <v>1.0583005244258361</v>
      </c>
      <c r="DN19" s="173">
        <f t="shared" si="70"/>
        <v>1.3333333333333335</v>
      </c>
      <c r="DO19" s="173">
        <f t="shared" si="71"/>
        <v>1.1259999999999999</v>
      </c>
      <c r="DQ19" s="545">
        <f t="shared" si="72"/>
        <v>140</v>
      </c>
      <c r="DR19" s="460">
        <f t="shared" si="73"/>
        <v>220.49999999999994</v>
      </c>
      <c r="DT19">
        <f t="shared" si="74"/>
        <v>140</v>
      </c>
      <c r="DU19" s="460">
        <f t="shared" si="75"/>
        <v>220.49999999999994</v>
      </c>
      <c r="DV19" s="460"/>
      <c r="DW19" s="5">
        <f t="shared" si="118"/>
        <v>4.5351473922902503</v>
      </c>
      <c r="DX19" s="5">
        <f t="shared" si="76"/>
        <v>0.66666666666666685</v>
      </c>
      <c r="DY19" s="5">
        <f t="shared" si="119"/>
        <v>3.8684807256235834</v>
      </c>
      <c r="DZ19" s="5">
        <f t="shared" si="77"/>
        <v>0.95238095238095266</v>
      </c>
      <c r="EA19" s="173">
        <f t="shared" si="120"/>
        <v>0.14700000000000002</v>
      </c>
      <c r="EB19" s="173">
        <f t="shared" si="78"/>
        <v>2.3519999999999999</v>
      </c>
      <c r="EC19" s="173">
        <f t="shared" si="79"/>
        <v>0.56866666666666676</v>
      </c>
      <c r="ED19" s="173">
        <f t="shared" si="121"/>
        <v>4.1359906213364583</v>
      </c>
      <c r="EE19" s="460">
        <f t="shared" si="80"/>
        <v>0.56910569105691089</v>
      </c>
      <c r="EF19" s="5">
        <f t="shared" si="81"/>
        <v>0.30840388007054675</v>
      </c>
      <c r="EG19" s="5"/>
      <c r="EH19" s="173">
        <f t="shared" si="122"/>
        <v>0.29514591494904879</v>
      </c>
      <c r="EI19" s="173">
        <f t="shared" si="82"/>
        <v>0.71097220865620447</v>
      </c>
      <c r="EJ19" s="173"/>
      <c r="EK19" s="528">
        <f t="shared" si="83"/>
        <v>1.7422222222222229E-3</v>
      </c>
      <c r="EL19" s="528">
        <f t="shared" si="84"/>
        <v>0.23990399999999998</v>
      </c>
      <c r="EM19" s="528">
        <f t="shared" si="85"/>
        <v>2.7562499999999993E-2</v>
      </c>
      <c r="EN19" s="528">
        <f t="shared" si="86"/>
        <v>3.670531199999999E-2</v>
      </c>
      <c r="EO19">
        <f t="shared" si="87"/>
        <v>1.0800000000000001E-2</v>
      </c>
      <c r="EP19" s="460">
        <f t="shared" si="123"/>
        <v>38.362499999999997</v>
      </c>
      <c r="EQ19" s="528">
        <f t="shared" si="88"/>
        <v>0.31731578772718344</v>
      </c>
      <c r="ER19" s="460">
        <f t="shared" si="124"/>
        <v>317.31578772718342</v>
      </c>
      <c r="ES19" s="528">
        <f t="shared" si="125"/>
        <v>8.6974999999999997E-2</v>
      </c>
      <c r="ET19" s="528"/>
      <c r="EV19" s="460">
        <f t="shared" si="126"/>
        <v>86.974999999999994</v>
      </c>
      <c r="EW19" s="528">
        <f t="shared" si="89"/>
        <v>2.6133333333333343E-3</v>
      </c>
      <c r="EX19" s="528">
        <f t="shared" si="90"/>
        <v>1.5164444444444446E-2</v>
      </c>
      <c r="EY19" s="528">
        <f t="shared" si="91"/>
        <v>7.41034333925224E-2</v>
      </c>
      <c r="EZ19" s="528">
        <f t="shared" si="92"/>
        <v>9.6284816242289212E-2</v>
      </c>
      <c r="FA19" s="528">
        <f t="shared" si="93"/>
        <v>1.9599999999999999E-3</v>
      </c>
      <c r="FB19" s="460">
        <f t="shared" si="127"/>
        <v>98.244816242289218</v>
      </c>
      <c r="FC19" s="173">
        <f t="shared" si="128"/>
        <v>0.50253560396947261</v>
      </c>
      <c r="FD19" s="5">
        <f t="shared" si="129"/>
        <v>2.2959999999999998</v>
      </c>
      <c r="FE19" s="173">
        <f t="shared" si="130"/>
        <v>0.82042908324744168</v>
      </c>
      <c r="FF19" s="5">
        <f t="shared" si="131"/>
        <v>82.042908324744161</v>
      </c>
      <c r="FI19" s="562">
        <f t="shared" si="94"/>
        <v>-50</v>
      </c>
      <c r="FJ19">
        <f t="shared" si="95"/>
        <v>-50</v>
      </c>
      <c r="FL19">
        <f t="shared" si="96"/>
        <v>0.21000000000000002</v>
      </c>
    </row>
    <row r="20" spans="5:168">
      <c r="E20" s="170">
        <v>15</v>
      </c>
      <c r="F20" s="217">
        <f t="shared" si="97"/>
        <v>0.15</v>
      </c>
      <c r="G20" s="217"/>
      <c r="H20" s="217">
        <f t="shared" si="0"/>
        <v>2.4599999999999995</v>
      </c>
      <c r="I20" s="541">
        <f t="shared" si="1"/>
        <v>23.967065882664688</v>
      </c>
      <c r="J20" s="172">
        <f t="shared" si="2"/>
        <v>16.819760470401185</v>
      </c>
      <c r="K20" s="172">
        <f t="shared" si="3"/>
        <v>40.819760470401185</v>
      </c>
      <c r="L20" s="443"/>
      <c r="M20" s="217">
        <f t="shared" si="4"/>
        <v>0.41238563343554535</v>
      </c>
      <c r="N20" s="172">
        <f t="shared" si="5"/>
        <v>33.242089028082177</v>
      </c>
      <c r="O20" s="172">
        <f t="shared" si="98"/>
        <v>2.4599999999999995</v>
      </c>
      <c r="P20" s="217">
        <f t="shared" si="6"/>
        <v>2.0269566480537913</v>
      </c>
      <c r="Q20" s="217">
        <f t="shared" si="7"/>
        <v>16.399999999999999</v>
      </c>
      <c r="R20" s="217">
        <f t="shared" si="8"/>
        <v>2.0088767572386432</v>
      </c>
      <c r="S20" s="172">
        <f t="shared" si="9"/>
        <v>508.65323083642261</v>
      </c>
      <c r="T20" s="172">
        <f t="shared" si="10"/>
        <v>16.399999999999999</v>
      </c>
      <c r="U20" s="217">
        <f t="shared" si="99"/>
        <v>0.51053891305275523</v>
      </c>
      <c r="V20" s="217">
        <f t="shared" si="11"/>
        <v>0.25562023264033834</v>
      </c>
      <c r="W20" s="217">
        <f t="shared" si="12"/>
        <v>0.36424222374713366</v>
      </c>
      <c r="X20" s="197">
        <f t="shared" si="13"/>
        <v>350</v>
      </c>
      <c r="Y20" s="443">
        <f t="shared" si="14"/>
        <v>350</v>
      </c>
      <c r="AA20" s="217">
        <f t="shared" si="15"/>
        <v>2.3532359375711969</v>
      </c>
      <c r="AB20" s="173">
        <f t="shared" si="16"/>
        <v>1.6789080498826396</v>
      </c>
      <c r="AC20" s="173">
        <f t="shared" si="17"/>
        <v>0.69140168280074554</v>
      </c>
      <c r="AD20" s="173"/>
      <c r="AE20" s="173">
        <f t="shared" si="18"/>
        <v>0.95126206036977945</v>
      </c>
      <c r="AF20" s="545">
        <f t="shared" si="100"/>
        <v>236.52788161501661</v>
      </c>
      <c r="AG20" s="528">
        <f t="shared" si="19"/>
        <v>0.22196114741961523</v>
      </c>
      <c r="AI20" s="173">
        <f t="shared" si="20"/>
        <v>1.0960891670715085</v>
      </c>
      <c r="AJ20" s="173">
        <f t="shared" si="21"/>
        <v>1.3333333333333335</v>
      </c>
      <c r="AK20" s="173">
        <f t="shared" si="22"/>
        <v>1.1351587894942952</v>
      </c>
      <c r="AM20" s="545">
        <f t="shared" si="23"/>
        <v>150</v>
      </c>
      <c r="AN20" s="460">
        <f t="shared" si="24"/>
        <v>236.52788161501661</v>
      </c>
      <c r="AP20">
        <f t="shared" si="25"/>
        <v>150</v>
      </c>
      <c r="AQ20" s="460">
        <f t="shared" si="26"/>
        <v>236.52788161501661</v>
      </c>
      <c r="AR20" s="460"/>
      <c r="AS20" s="5">
        <f t="shared" si="101"/>
        <v>4.2278313794212421</v>
      </c>
      <c r="AT20" s="5">
        <f t="shared" si="27"/>
        <v>0.66758276037338204</v>
      </c>
      <c r="AU20" s="5">
        <f t="shared" si="102"/>
        <v>3.5602486190478602</v>
      </c>
      <c r="AV20" s="5">
        <f t="shared" si="28"/>
        <v>0.95126206036977945</v>
      </c>
      <c r="AW20" s="173">
        <f t="shared" si="103"/>
        <v>0.15790193611382133</v>
      </c>
      <c r="AX20" s="173">
        <f t="shared" si="29"/>
        <v>2.5229640705601777</v>
      </c>
      <c r="AY20" s="173">
        <f t="shared" si="30"/>
        <v>0.5613987092574525</v>
      </c>
      <c r="AZ20" s="173">
        <f t="shared" si="104"/>
        <v>4.4940681710815413</v>
      </c>
      <c r="BA20" s="460">
        <f t="shared" si="31"/>
        <v>0.6105939881463861</v>
      </c>
      <c r="BB20" s="5">
        <f t="shared" si="32"/>
        <v>0.3045224519671848</v>
      </c>
      <c r="BC20" s="5"/>
      <c r="BD20" s="173">
        <f t="shared" si="105"/>
        <v>0.30589461861412232</v>
      </c>
      <c r="BE20" s="173">
        <f t="shared" si="33"/>
        <v>0.70641423746659682</v>
      </c>
      <c r="BF20" s="173"/>
      <c r="BG20" s="528">
        <f t="shared" si="34"/>
        <v>1.8714303539415869E-3</v>
      </c>
      <c r="BH20" s="528">
        <f t="shared" si="35"/>
        <v>0.24137528680240969</v>
      </c>
      <c r="BI20" s="528">
        <f t="shared" si="36"/>
        <v>0.14172198304385542</v>
      </c>
      <c r="BJ20" s="528">
        <f t="shared" si="37"/>
        <v>3.9411525562995008E-2</v>
      </c>
      <c r="BK20">
        <f t="shared" si="38"/>
        <v>1.0785179647199109E-2</v>
      </c>
      <c r="BL20" s="460">
        <f t="shared" si="106"/>
        <v>152.50716269105453</v>
      </c>
      <c r="BM20" s="528">
        <f t="shared" si="39"/>
        <v>0.28328949411314741</v>
      </c>
      <c r="BN20" s="460">
        <f t="shared" si="107"/>
        <v>283.28949411314738</v>
      </c>
      <c r="BO20" s="528">
        <f t="shared" si="108"/>
        <v>9.3187499999999993E-2</v>
      </c>
      <c r="BP20" s="528"/>
      <c r="BR20" s="460">
        <f t="shared" si="109"/>
        <v>93.187499999999986</v>
      </c>
      <c r="BS20" s="528">
        <f t="shared" si="40"/>
        <v>2.8071455309123801E-3</v>
      </c>
      <c r="BT20" s="528">
        <f t="shared" si="41"/>
        <v>1.4970632246865402E-2</v>
      </c>
      <c r="BU20" s="528">
        <f t="shared" si="42"/>
        <v>3.6899999999999988E-2</v>
      </c>
      <c r="BV20" s="528">
        <f t="shared" si="43"/>
        <v>5.9028395940893708E-2</v>
      </c>
      <c r="BW20" s="528">
        <f t="shared" si="44"/>
        <v>2.1024700588001479E-3</v>
      </c>
      <c r="BX20" s="460">
        <f t="shared" si="110"/>
        <v>61.130865999693853</v>
      </c>
      <c r="BY20" s="173">
        <f t="shared" si="45"/>
        <v>0.59011502280389583</v>
      </c>
      <c r="BZ20" s="5">
        <f t="shared" si="111"/>
        <v>2.4599999999999995</v>
      </c>
      <c r="CA20" s="173">
        <f t="shared" si="112"/>
        <v>0.80652696098607524</v>
      </c>
      <c r="CB20" s="5">
        <f t="shared" si="113"/>
        <v>80.652696098607521</v>
      </c>
      <c r="CE20" s="562">
        <f t="shared" si="46"/>
        <v>-50</v>
      </c>
      <c r="CF20">
        <f t="shared" si="47"/>
        <v>-50</v>
      </c>
      <c r="CG20" s="173">
        <f t="shared" si="48"/>
        <v>0.2277273723063632</v>
      </c>
      <c r="CI20" s="170">
        <v>15</v>
      </c>
      <c r="CJ20" s="217">
        <f t="shared" si="114"/>
        <v>0.15</v>
      </c>
      <c r="CK20" s="217"/>
      <c r="CL20" s="217">
        <f t="shared" si="49"/>
        <v>2.4599999999999995</v>
      </c>
      <c r="CM20" s="541">
        <f t="shared" si="50"/>
        <v>24</v>
      </c>
      <c r="CN20" s="172">
        <f t="shared" si="51"/>
        <v>16.799999999999997</v>
      </c>
      <c r="CO20" s="443">
        <f t="shared" si="52"/>
        <v>40.799999999999997</v>
      </c>
      <c r="CP20" s="443"/>
      <c r="CQ20" s="217">
        <f t="shared" si="53"/>
        <v>0.41176470588235292</v>
      </c>
      <c r="CR20" s="172">
        <f t="shared" si="54"/>
        <v>33.237647058823534</v>
      </c>
      <c r="CS20" s="172">
        <f t="shared" si="115"/>
        <v>2.4599999999999995</v>
      </c>
      <c r="CT20" s="217">
        <f t="shared" si="55"/>
        <v>2.026685796269728</v>
      </c>
      <c r="CU20" s="217">
        <f t="shared" si="56"/>
        <v>16.399999999999999</v>
      </c>
      <c r="CV20" s="217">
        <f t="shared" si="57"/>
        <v>2.0086083213773311</v>
      </c>
      <c r="CW20" s="172">
        <f t="shared" si="58"/>
        <v>509.35216601446751</v>
      </c>
      <c r="CX20" s="172">
        <f t="shared" si="59"/>
        <v>16.399999999999999</v>
      </c>
      <c r="CY20" s="217">
        <f t="shared" si="60"/>
        <v>0.49785714285714272</v>
      </c>
      <c r="CZ20" s="217">
        <f t="shared" si="61"/>
        <v>0.24892857142857136</v>
      </c>
      <c r="DA20" s="217">
        <f t="shared" si="62"/>
        <v>0.35561224489795912</v>
      </c>
      <c r="DB20" s="197">
        <f t="shared" si="63"/>
        <v>350</v>
      </c>
      <c r="DC20" s="443">
        <f t="shared" si="116"/>
        <v>350</v>
      </c>
      <c r="DE20" s="217">
        <f t="shared" si="64"/>
        <v>2.3529411764705879</v>
      </c>
      <c r="DF20" s="173">
        <f t="shared" si="65"/>
        <v>1.6806722689075633</v>
      </c>
      <c r="DG20" s="173">
        <f t="shared" si="66"/>
        <v>0.69204152249134954</v>
      </c>
      <c r="DH20" s="173"/>
      <c r="DI20" s="173">
        <f t="shared" si="67"/>
        <v>0.95238095238095266</v>
      </c>
      <c r="DJ20" s="545">
        <f t="shared" si="117"/>
        <v>236.24999999999989</v>
      </c>
      <c r="DK20" s="528">
        <f t="shared" si="68"/>
        <v>0.22222222222222232</v>
      </c>
      <c r="DM20" s="173">
        <f t="shared" si="69"/>
        <v>1.0954451150103321</v>
      </c>
      <c r="DN20" s="173">
        <f t="shared" si="70"/>
        <v>1.3333333333333335</v>
      </c>
      <c r="DO20" s="173">
        <f t="shared" si="71"/>
        <v>1.135</v>
      </c>
      <c r="DQ20" s="545">
        <f t="shared" si="72"/>
        <v>150</v>
      </c>
      <c r="DR20" s="460">
        <f t="shared" si="73"/>
        <v>236.24999999999989</v>
      </c>
      <c r="DT20">
        <f t="shared" si="74"/>
        <v>150</v>
      </c>
      <c r="DU20" s="460">
        <f t="shared" si="75"/>
        <v>236.24999999999989</v>
      </c>
      <c r="DV20" s="460"/>
      <c r="DW20" s="5">
        <f t="shared" si="118"/>
        <v>4.2328042328042352</v>
      </c>
      <c r="DX20" s="5">
        <f t="shared" si="76"/>
        <v>0.66666666666666685</v>
      </c>
      <c r="DY20" s="5">
        <f t="shared" si="119"/>
        <v>3.5661375661375683</v>
      </c>
      <c r="DZ20" s="5">
        <f t="shared" si="77"/>
        <v>0.95238095238095266</v>
      </c>
      <c r="EA20" s="173">
        <f t="shared" si="120"/>
        <v>0.15749999999999995</v>
      </c>
      <c r="EB20" s="173">
        <f t="shared" si="78"/>
        <v>2.5199999999999991</v>
      </c>
      <c r="EC20" s="173">
        <f t="shared" si="79"/>
        <v>0.56166666666666676</v>
      </c>
      <c r="ED20" s="173">
        <f t="shared" si="121"/>
        <v>4.4866468842729947</v>
      </c>
      <c r="EE20" s="460">
        <f t="shared" si="80"/>
        <v>0.60975609756097582</v>
      </c>
      <c r="EF20" s="5">
        <f t="shared" si="81"/>
        <v>0.30460758377425057</v>
      </c>
      <c r="EG20" s="5"/>
      <c r="EH20" s="173">
        <f t="shared" si="122"/>
        <v>0.30550504633038933</v>
      </c>
      <c r="EI20" s="173">
        <f t="shared" si="82"/>
        <v>0.70658280424820652</v>
      </c>
      <c r="EJ20" s="173"/>
      <c r="EK20" s="528">
        <f t="shared" si="83"/>
        <v>1.8666666666666664E-3</v>
      </c>
      <c r="EL20" s="528">
        <f t="shared" si="84"/>
        <v>0.25703999999999988</v>
      </c>
      <c r="EM20" s="528">
        <f t="shared" si="85"/>
        <v>2.9531249999999985E-2</v>
      </c>
      <c r="EN20" s="528">
        <f t="shared" si="86"/>
        <v>3.9327119999999979E-2</v>
      </c>
      <c r="EO20">
        <f t="shared" si="87"/>
        <v>1.0800000000000001E-2</v>
      </c>
      <c r="EP20" s="460">
        <f t="shared" si="123"/>
        <v>40.331249999999983</v>
      </c>
      <c r="EQ20" s="528">
        <f t="shared" si="88"/>
        <v>0.33921948729367102</v>
      </c>
      <c r="ER20" s="460">
        <f t="shared" si="124"/>
        <v>339.21948729367102</v>
      </c>
      <c r="ES20" s="528">
        <f t="shared" si="125"/>
        <v>9.3187499999999993E-2</v>
      </c>
      <c r="ET20" s="528"/>
      <c r="EV20" s="460">
        <f t="shared" si="126"/>
        <v>93.187499999999986</v>
      </c>
      <c r="EW20" s="528">
        <f t="shared" si="89"/>
        <v>2.7999999999999995E-3</v>
      </c>
      <c r="EX20" s="528">
        <f t="shared" si="90"/>
        <v>1.4977777777777779E-2</v>
      </c>
      <c r="EY20" s="528">
        <f t="shared" si="91"/>
        <v>8.8053452471708829E-2</v>
      </c>
      <c r="EZ20" s="528">
        <f t="shared" si="92"/>
        <v>0.11025470360572585</v>
      </c>
      <c r="FA20" s="528">
        <f t="shared" si="93"/>
        <v>2.0999999999999994E-3</v>
      </c>
      <c r="FB20" s="460">
        <f t="shared" si="127"/>
        <v>112.35470360572586</v>
      </c>
      <c r="FC20" s="173">
        <f t="shared" si="128"/>
        <v>0.54476169089939686</v>
      </c>
      <c r="FD20" s="5">
        <f t="shared" si="129"/>
        <v>2.4599999999999995</v>
      </c>
      <c r="FE20" s="173">
        <f t="shared" si="130"/>
        <v>0.81870053370643947</v>
      </c>
      <c r="FF20" s="5">
        <f t="shared" si="131"/>
        <v>81.870053370643944</v>
      </c>
      <c r="FI20" s="562">
        <f t="shared" si="94"/>
        <v>-50</v>
      </c>
      <c r="FJ20">
        <f t="shared" si="95"/>
        <v>-50</v>
      </c>
      <c r="FL20">
        <f t="shared" si="96"/>
        <v>0.22499999999999998</v>
      </c>
    </row>
    <row r="21" spans="5:168" s="76" customFormat="1">
      <c r="E21" s="189">
        <v>16</v>
      </c>
      <c r="F21" s="329">
        <f t="shared" si="97"/>
        <v>0.16</v>
      </c>
      <c r="G21" s="217"/>
      <c r="H21" s="217">
        <f t="shared" si="0"/>
        <v>2.6239999999999997</v>
      </c>
      <c r="I21" s="541">
        <f t="shared" si="1"/>
        <v>23.967065882664688</v>
      </c>
      <c r="J21" s="172">
        <f t="shared" si="2"/>
        <v>16.819760470401185</v>
      </c>
      <c r="K21" s="172">
        <f t="shared" si="3"/>
        <v>40.819760470401185</v>
      </c>
      <c r="L21" s="535"/>
      <c r="M21" s="217">
        <f t="shared" si="4"/>
        <v>0.41238563343554535</v>
      </c>
      <c r="N21" s="172">
        <f t="shared" si="5"/>
        <v>33.242089028082177</v>
      </c>
      <c r="O21" s="172">
        <f t="shared" si="98"/>
        <v>2.6239999999999997</v>
      </c>
      <c r="P21" s="329">
        <f t="shared" si="6"/>
        <v>2.0269566480537913</v>
      </c>
      <c r="Q21" s="217">
        <f t="shared" si="7"/>
        <v>16.399999999999999</v>
      </c>
      <c r="R21" s="217">
        <f t="shared" si="8"/>
        <v>2.0088767572386432</v>
      </c>
      <c r="S21" s="172">
        <f t="shared" si="9"/>
        <v>475.36695692963701</v>
      </c>
      <c r="T21" s="172">
        <f t="shared" si="10"/>
        <v>16.399999999999999</v>
      </c>
      <c r="U21" s="217">
        <f t="shared" si="99"/>
        <v>0.54457484058960559</v>
      </c>
      <c r="V21" s="217">
        <f t="shared" si="11"/>
        <v>0.27266158148302755</v>
      </c>
      <c r="W21" s="217">
        <f t="shared" si="12"/>
        <v>0.38852503866360927</v>
      </c>
      <c r="X21" s="537">
        <f t="shared" si="13"/>
        <v>350</v>
      </c>
      <c r="Y21" s="443">
        <f t="shared" si="14"/>
        <v>350</v>
      </c>
      <c r="AA21" s="329">
        <f t="shared" si="15"/>
        <v>2.3532359375711969</v>
      </c>
      <c r="AB21" s="173">
        <f t="shared" si="16"/>
        <v>1.6789080498826396</v>
      </c>
      <c r="AC21" s="538">
        <f t="shared" si="17"/>
        <v>0.69140168280074554</v>
      </c>
      <c r="AD21" s="538"/>
      <c r="AE21" s="173">
        <f t="shared" si="18"/>
        <v>0.95126206036977945</v>
      </c>
      <c r="AF21" s="545">
        <f t="shared" si="100"/>
        <v>252.29640705601773</v>
      </c>
      <c r="AG21" s="528">
        <f t="shared" si="19"/>
        <v>0.22196114741961523</v>
      </c>
      <c r="AH21"/>
      <c r="AI21" s="173">
        <f t="shared" si="20"/>
        <v>1.1320360240070164</v>
      </c>
      <c r="AJ21" s="173">
        <f t="shared" si="21"/>
        <v>1.3333333333333335</v>
      </c>
      <c r="AK21" s="173">
        <f t="shared" si="22"/>
        <v>1.1441693754605815</v>
      </c>
      <c r="AM21" s="545">
        <f t="shared" si="23"/>
        <v>160</v>
      </c>
      <c r="AN21" s="460">
        <f t="shared" si="24"/>
        <v>252.29640705601773</v>
      </c>
      <c r="AP21">
        <f t="shared" si="25"/>
        <v>160</v>
      </c>
      <c r="AQ21" s="460">
        <f t="shared" si="26"/>
        <v>252.29640705601773</v>
      </c>
      <c r="AR21" s="460"/>
      <c r="AS21" s="5">
        <f t="shared" si="101"/>
        <v>3.9635919182074146</v>
      </c>
      <c r="AT21" s="5">
        <f t="shared" si="27"/>
        <v>0.66758276037338204</v>
      </c>
      <c r="AU21" s="5">
        <f t="shared" si="102"/>
        <v>3.2960091578340327</v>
      </c>
      <c r="AV21" s="5">
        <f t="shared" si="28"/>
        <v>0.95126206036977945</v>
      </c>
      <c r="AW21" s="173">
        <f t="shared" si="103"/>
        <v>0.16842873185474275</v>
      </c>
      <c r="AX21" s="173">
        <f t="shared" si="29"/>
        <v>2.6911616752641896</v>
      </c>
      <c r="AY21" s="173">
        <f t="shared" si="30"/>
        <v>0.55438084543017163</v>
      </c>
      <c r="AZ21" s="173">
        <f t="shared" si="104"/>
        <v>4.8543554443624108</v>
      </c>
      <c r="BA21" s="460">
        <f t="shared" si="31"/>
        <v>0.65130025402281189</v>
      </c>
      <c r="BB21" s="5">
        <f t="shared" si="32"/>
        <v>0.30071571521304785</v>
      </c>
      <c r="BC21" s="5"/>
      <c r="BD21" s="173">
        <f t="shared" si="105"/>
        <v>0.31592660362319064</v>
      </c>
      <c r="BE21" s="173">
        <f t="shared" si="33"/>
        <v>0.70198502385428996</v>
      </c>
      <c r="BF21" s="173"/>
      <c r="BG21" s="528">
        <f t="shared" si="34"/>
        <v>1.996192377537692E-3</v>
      </c>
      <c r="BH21" s="528">
        <f t="shared" si="35"/>
        <v>0.25746697258923701</v>
      </c>
      <c r="BI21" s="528">
        <f t="shared" si="36"/>
        <v>0.15117011524677912</v>
      </c>
      <c r="BJ21" s="528">
        <f t="shared" si="37"/>
        <v>4.2038960600528009E-2</v>
      </c>
      <c r="BK21">
        <f t="shared" si="38"/>
        <v>1.0785179647199109E-2</v>
      </c>
      <c r="BL21" s="460">
        <f t="shared" si="106"/>
        <v>161.95529489397822</v>
      </c>
      <c r="BM21" s="528">
        <f t="shared" si="39"/>
        <v>0.30218442216309344</v>
      </c>
      <c r="BN21" s="460">
        <f t="shared" si="107"/>
        <v>302.18442216309342</v>
      </c>
      <c r="BO21" s="528">
        <f t="shared" si="108"/>
        <v>9.9399999999999988E-2</v>
      </c>
      <c r="BP21" s="528"/>
      <c r="BR21" s="460">
        <f t="shared" si="109"/>
        <v>99.399999999999991</v>
      </c>
      <c r="BS21" s="528">
        <f t="shared" si="40"/>
        <v>2.994288566306538E-3</v>
      </c>
      <c r="BT21" s="528">
        <f t="shared" si="41"/>
        <v>1.4783489211471242E-2</v>
      </c>
      <c r="BU21" s="528">
        <f t="shared" si="42"/>
        <v>3.9359999999999992E-2</v>
      </c>
      <c r="BV21" s="528">
        <f t="shared" si="43"/>
        <v>6.1491899590528747E-2</v>
      </c>
      <c r="BW21" s="528">
        <f t="shared" si="44"/>
        <v>2.2426347293868247E-3</v>
      </c>
      <c r="BX21" s="460">
        <f t="shared" si="110"/>
        <v>63.734534319915575</v>
      </c>
      <c r="BY21" s="173">
        <f t="shared" si="45"/>
        <v>0.62727425137698722</v>
      </c>
      <c r="BZ21" s="5">
        <f t="shared" si="111"/>
        <v>2.6239999999999997</v>
      </c>
      <c r="CA21" s="173">
        <f t="shared" si="112"/>
        <v>0.80706818223306676</v>
      </c>
      <c r="CB21" s="5">
        <f t="shared" si="113"/>
        <v>80.706818223306669</v>
      </c>
      <c r="CE21" s="562">
        <f t="shared" si="46"/>
        <v>-50</v>
      </c>
      <c r="CF21">
        <f t="shared" si="47"/>
        <v>-50</v>
      </c>
      <c r="CG21" s="173">
        <f t="shared" si="48"/>
        <v>0.24290919712678744</v>
      </c>
      <c r="CH21"/>
      <c r="CI21" s="189">
        <v>16</v>
      </c>
      <c r="CJ21" s="329">
        <f t="shared" si="114"/>
        <v>0.16</v>
      </c>
      <c r="CK21" s="217"/>
      <c r="CL21" s="217">
        <f t="shared" si="49"/>
        <v>2.6239999999999997</v>
      </c>
      <c r="CM21" s="541">
        <f t="shared" si="50"/>
        <v>24</v>
      </c>
      <c r="CN21" s="172">
        <f t="shared" si="51"/>
        <v>16.799999999999997</v>
      </c>
      <c r="CO21" s="535">
        <f t="shared" si="52"/>
        <v>40.799999999999997</v>
      </c>
      <c r="CP21" s="535"/>
      <c r="CQ21" s="329">
        <f t="shared" si="53"/>
        <v>0.41176470588235292</v>
      </c>
      <c r="CR21" s="172">
        <f t="shared" si="54"/>
        <v>33.237647058823534</v>
      </c>
      <c r="CS21" s="172">
        <f t="shared" si="115"/>
        <v>2.6239999999999997</v>
      </c>
      <c r="CT21" s="329">
        <f t="shared" si="55"/>
        <v>2.026685796269728</v>
      </c>
      <c r="CU21" s="217">
        <f t="shared" si="56"/>
        <v>16.399999999999999</v>
      </c>
      <c r="CV21" s="217">
        <f t="shared" si="57"/>
        <v>2.0086083213773311</v>
      </c>
      <c r="CW21" s="172">
        <f t="shared" si="58"/>
        <v>476.02015028120519</v>
      </c>
      <c r="CX21" s="172">
        <f t="shared" si="59"/>
        <v>16.399999999999999</v>
      </c>
      <c r="CY21" s="217">
        <f t="shared" si="60"/>
        <v>0.53104761904761899</v>
      </c>
      <c r="CZ21" s="329">
        <f t="shared" si="61"/>
        <v>0.2655238095238095</v>
      </c>
      <c r="DA21" s="217">
        <f t="shared" si="62"/>
        <v>0.37931972789115648</v>
      </c>
      <c r="DB21" s="537">
        <f t="shared" si="63"/>
        <v>350</v>
      </c>
      <c r="DC21" s="535">
        <f t="shared" si="116"/>
        <v>350</v>
      </c>
      <c r="DE21" s="329">
        <f t="shared" si="64"/>
        <v>2.3529411764705879</v>
      </c>
      <c r="DF21" s="173">
        <f t="shared" si="65"/>
        <v>1.6806722689075633</v>
      </c>
      <c r="DG21" s="538">
        <f t="shared" si="66"/>
        <v>0.69204152249134954</v>
      </c>
      <c r="DH21" s="538"/>
      <c r="DI21" s="173">
        <f t="shared" si="67"/>
        <v>0.95238095238095266</v>
      </c>
      <c r="DJ21" s="545">
        <f t="shared" si="117"/>
        <v>251.99999999999991</v>
      </c>
      <c r="DK21" s="528">
        <f t="shared" si="68"/>
        <v>0.22222222222222232</v>
      </c>
      <c r="DL21"/>
      <c r="DM21" s="173">
        <f t="shared" si="69"/>
        <v>1.131370849898476</v>
      </c>
      <c r="DN21" s="173">
        <f t="shared" si="70"/>
        <v>1.3333333333333335</v>
      </c>
      <c r="DO21" s="173">
        <f t="shared" si="71"/>
        <v>1.1439999999999999</v>
      </c>
      <c r="DQ21" s="545">
        <f t="shared" si="72"/>
        <v>160</v>
      </c>
      <c r="DR21" s="460">
        <f t="shared" si="73"/>
        <v>251.99999999999991</v>
      </c>
      <c r="DT21">
        <f t="shared" si="74"/>
        <v>160</v>
      </c>
      <c r="DU21" s="460">
        <f t="shared" si="75"/>
        <v>251.99999999999991</v>
      </c>
      <c r="DV21" s="460"/>
      <c r="DW21" s="5">
        <f t="shared" si="118"/>
        <v>3.9682539682539697</v>
      </c>
      <c r="DX21" s="5">
        <f t="shared" si="76"/>
        <v>0.66666666666666685</v>
      </c>
      <c r="DY21" s="5">
        <f t="shared" si="119"/>
        <v>3.3015873015873027</v>
      </c>
      <c r="DZ21" s="5">
        <f t="shared" si="77"/>
        <v>0.95238095238095266</v>
      </c>
      <c r="EA21" s="173">
        <f t="shared" si="120"/>
        <v>0.16799999999999998</v>
      </c>
      <c r="EB21" s="173">
        <f t="shared" si="78"/>
        <v>2.6879999999999997</v>
      </c>
      <c r="EC21" s="173">
        <f t="shared" si="79"/>
        <v>0.55466666666666675</v>
      </c>
      <c r="ED21" s="173">
        <f t="shared" si="121"/>
        <v>4.8461538461538449</v>
      </c>
      <c r="EE21" s="460">
        <f t="shared" si="80"/>
        <v>0.65040650406504097</v>
      </c>
      <c r="EF21" s="5">
        <f t="shared" si="81"/>
        <v>0.30081128747795416</v>
      </c>
      <c r="EG21" s="5"/>
      <c r="EH21" s="173">
        <f t="shared" si="122"/>
        <v>0.31552425509864618</v>
      </c>
      <c r="EI21" s="173">
        <f t="shared" si="82"/>
        <v>0.702165961178009</v>
      </c>
      <c r="EJ21" s="173"/>
      <c r="EK21" s="528">
        <f t="shared" si="83"/>
        <v>1.991111111111111E-3</v>
      </c>
      <c r="EL21" s="528">
        <f t="shared" si="84"/>
        <v>0.27417599999999998</v>
      </c>
      <c r="EM21" s="528">
        <f t="shared" si="85"/>
        <v>3.1499999999999986E-2</v>
      </c>
      <c r="EN21" s="528">
        <f t="shared" si="86"/>
        <v>4.1948927999999983E-2</v>
      </c>
      <c r="EO21">
        <f t="shared" si="87"/>
        <v>1.0800000000000001E-2</v>
      </c>
      <c r="EP21" s="460">
        <f t="shared" si="123"/>
        <v>42.29999999999999</v>
      </c>
      <c r="EQ21" s="528">
        <f t="shared" si="88"/>
        <v>0.36112448277041598</v>
      </c>
      <c r="ER21" s="460">
        <f t="shared" si="124"/>
        <v>361.12448277041597</v>
      </c>
      <c r="ES21" s="528">
        <f t="shared" si="125"/>
        <v>9.9399999999999988E-2</v>
      </c>
      <c r="ET21" s="528"/>
      <c r="EV21" s="460">
        <f t="shared" si="126"/>
        <v>99.399999999999991</v>
      </c>
      <c r="EW21" s="528">
        <f t="shared" si="89"/>
        <v>2.9866666666666665E-3</v>
      </c>
      <c r="EX21" s="528">
        <f t="shared" si="90"/>
        <v>1.4791111111111116E-2</v>
      </c>
      <c r="EY21" s="528">
        <f t="shared" si="91"/>
        <v>0.10347089313154698</v>
      </c>
      <c r="EZ21" s="528">
        <f t="shared" si="92"/>
        <v>0.12569410252180022</v>
      </c>
      <c r="FA21" s="528">
        <f t="shared" si="93"/>
        <v>2.2399999999999998E-3</v>
      </c>
      <c r="FB21" s="460">
        <f t="shared" si="127"/>
        <v>127.93410252180021</v>
      </c>
      <c r="FC21" s="173">
        <f t="shared" si="128"/>
        <v>0.58845858529221617</v>
      </c>
      <c r="FD21" s="5">
        <f t="shared" si="129"/>
        <v>2.6239999999999997</v>
      </c>
      <c r="FE21" s="173">
        <f t="shared" si="130"/>
        <v>0.81681986874900425</v>
      </c>
      <c r="FF21" s="5">
        <f t="shared" si="131"/>
        <v>81.681986874900431</v>
      </c>
      <c r="FI21" s="562">
        <f t="shared" si="94"/>
        <v>-50</v>
      </c>
      <c r="FJ21">
        <f t="shared" si="95"/>
        <v>-50</v>
      </c>
      <c r="FL21">
        <f t="shared" si="96"/>
        <v>0.24</v>
      </c>
    </row>
    <row r="22" spans="5:168">
      <c r="E22" s="170">
        <v>17</v>
      </c>
      <c r="F22" s="217">
        <f t="shared" si="97"/>
        <v>0.17</v>
      </c>
      <c r="G22" s="217"/>
      <c r="H22" s="217">
        <f t="shared" si="0"/>
        <v>2.7879999999999998</v>
      </c>
      <c r="I22" s="541">
        <f t="shared" si="1"/>
        <v>23.967065882664688</v>
      </c>
      <c r="J22" s="172">
        <f t="shared" si="2"/>
        <v>16.819760470401185</v>
      </c>
      <c r="K22" s="172">
        <f t="shared" si="3"/>
        <v>40.819760470401185</v>
      </c>
      <c r="L22" s="443"/>
      <c r="M22" s="217">
        <f t="shared" si="4"/>
        <v>0.41238563343554535</v>
      </c>
      <c r="N22" s="172">
        <f t="shared" si="5"/>
        <v>33.242089028082177</v>
      </c>
      <c r="O22" s="172">
        <f t="shared" si="98"/>
        <v>2.7879999999999998</v>
      </c>
      <c r="P22" s="217">
        <f t="shared" si="6"/>
        <v>2.0269566480537913</v>
      </c>
      <c r="Q22" s="217">
        <f t="shared" si="7"/>
        <v>16.399999999999999</v>
      </c>
      <c r="R22" s="217">
        <f t="shared" si="8"/>
        <v>2.0088767572386432</v>
      </c>
      <c r="S22" s="172">
        <f t="shared" si="9"/>
        <v>445.99687842054163</v>
      </c>
      <c r="T22" s="172">
        <f t="shared" si="10"/>
        <v>16.399999999999999</v>
      </c>
      <c r="U22" s="217">
        <f t="shared" si="99"/>
        <v>0.57861076812645595</v>
      </c>
      <c r="V22" s="217">
        <f t="shared" si="11"/>
        <v>0.28970293032571676</v>
      </c>
      <c r="W22" s="217">
        <f t="shared" si="12"/>
        <v>0.41280785358008487</v>
      </c>
      <c r="X22" s="197">
        <f t="shared" si="13"/>
        <v>350</v>
      </c>
      <c r="Y22" s="443">
        <f t="shared" si="14"/>
        <v>350</v>
      </c>
      <c r="AA22" s="217">
        <f t="shared" si="15"/>
        <v>2.3532359375711969</v>
      </c>
      <c r="AB22" s="173">
        <f t="shared" si="16"/>
        <v>1.6789080498826396</v>
      </c>
      <c r="AC22" s="173">
        <f t="shared" si="17"/>
        <v>0.69140168280074554</v>
      </c>
      <c r="AD22" s="173"/>
      <c r="AE22" s="173">
        <f t="shared" si="18"/>
        <v>0.95126206036977945</v>
      </c>
      <c r="AF22" s="545">
        <f t="shared" si="100"/>
        <v>268.06493249701884</v>
      </c>
      <c r="AG22" s="528">
        <f t="shared" si="19"/>
        <v>0.22196114741961523</v>
      </c>
      <c r="AI22" s="173">
        <f t="shared" si="20"/>
        <v>1.1668760247462946</v>
      </c>
      <c r="AJ22" s="173">
        <f t="shared" si="21"/>
        <v>1.3333333333333335</v>
      </c>
      <c r="AK22" s="173">
        <f t="shared" si="22"/>
        <v>1.1531799614268678</v>
      </c>
      <c r="AM22" s="545">
        <f t="shared" si="23"/>
        <v>170</v>
      </c>
      <c r="AN22" s="460">
        <f t="shared" si="24"/>
        <v>268.06493249701884</v>
      </c>
      <c r="AP22">
        <f t="shared" si="25"/>
        <v>170</v>
      </c>
      <c r="AQ22" s="460">
        <f t="shared" si="26"/>
        <v>268.06493249701884</v>
      </c>
      <c r="AR22" s="460"/>
      <c r="AS22" s="5">
        <f t="shared" si="101"/>
        <v>3.7304394524305078</v>
      </c>
      <c r="AT22" s="5">
        <f t="shared" si="27"/>
        <v>0.66758276037338204</v>
      </c>
      <c r="AU22" s="5">
        <f t="shared" si="102"/>
        <v>3.0628566920571259</v>
      </c>
      <c r="AV22" s="5">
        <f t="shared" si="28"/>
        <v>0.95126206036977945</v>
      </c>
      <c r="AW22" s="173">
        <f t="shared" si="103"/>
        <v>0.17895552759566416</v>
      </c>
      <c r="AX22" s="173">
        <f t="shared" si="29"/>
        <v>2.8593592799682015</v>
      </c>
      <c r="AY22" s="173">
        <f t="shared" si="30"/>
        <v>0.54736298160289065</v>
      </c>
      <c r="AZ22" s="173">
        <f t="shared" si="104"/>
        <v>5.2238813658806285</v>
      </c>
      <c r="BA22" s="460">
        <f t="shared" si="31"/>
        <v>0.69200651989923767</v>
      </c>
      <c r="BB22" s="5">
        <f t="shared" si="32"/>
        <v>0.2969089784589109</v>
      </c>
      <c r="BC22" s="5"/>
      <c r="BD22" s="173">
        <f t="shared" si="105"/>
        <v>0.32564968917026454</v>
      </c>
      <c r="BE22" s="173">
        <f t="shared" si="33"/>
        <v>0.69752768585619795</v>
      </c>
      <c r="BF22" s="173"/>
      <c r="BG22" s="528">
        <f t="shared" si="34"/>
        <v>2.1209544011337985E-3</v>
      </c>
      <c r="BH22" s="528">
        <f t="shared" si="35"/>
        <v>0.2735586583760643</v>
      </c>
      <c r="BI22" s="528">
        <f t="shared" si="36"/>
        <v>0.16061824744970279</v>
      </c>
      <c r="BJ22" s="528">
        <f t="shared" si="37"/>
        <v>4.4666395638061004E-2</v>
      </c>
      <c r="BK22">
        <f t="shared" si="38"/>
        <v>1.0785179647199109E-2</v>
      </c>
      <c r="BL22" s="460">
        <f t="shared" si="106"/>
        <v>171.40342709690191</v>
      </c>
      <c r="BM22" s="528">
        <f t="shared" si="39"/>
        <v>0.32108047099981429</v>
      </c>
      <c r="BN22" s="460">
        <f t="shared" si="107"/>
        <v>321.08047099981428</v>
      </c>
      <c r="BO22" s="528">
        <f t="shared" si="108"/>
        <v>0.10561249999999998</v>
      </c>
      <c r="BP22" s="528"/>
      <c r="BR22" s="460">
        <f t="shared" si="109"/>
        <v>105.61249999999998</v>
      </c>
      <c r="BS22" s="528">
        <f t="shared" si="40"/>
        <v>3.1814316017006973E-3</v>
      </c>
      <c r="BT22" s="528">
        <f t="shared" si="41"/>
        <v>1.4596346176077083E-2</v>
      </c>
      <c r="BU22" s="528">
        <f t="shared" si="42"/>
        <v>4.1819999999999996E-2</v>
      </c>
      <c r="BV22" s="528">
        <f t="shared" si="43"/>
        <v>6.3955403240163786E-2</v>
      </c>
      <c r="BW22" s="528">
        <f t="shared" si="44"/>
        <v>2.382799399973501E-3</v>
      </c>
      <c r="BX22" s="460">
        <f t="shared" si="110"/>
        <v>66.338202640137283</v>
      </c>
      <c r="BY22" s="173">
        <f t="shared" si="45"/>
        <v>0.66443460073685345</v>
      </c>
      <c r="BZ22" s="5">
        <f t="shared" si="111"/>
        <v>2.7879999999999998</v>
      </c>
      <c r="CA22" s="173">
        <f t="shared" si="112"/>
        <v>0.8075460718082702</v>
      </c>
      <c r="CB22" s="5">
        <f t="shared" si="113"/>
        <v>80.754607180827023</v>
      </c>
      <c r="CE22" s="562">
        <f t="shared" si="46"/>
        <v>-50</v>
      </c>
      <c r="CF22">
        <f t="shared" si="47"/>
        <v>-50</v>
      </c>
      <c r="CG22" s="173">
        <f t="shared" si="48"/>
        <v>0.25809102194721162</v>
      </c>
      <c r="CI22" s="170">
        <v>17</v>
      </c>
      <c r="CJ22" s="217">
        <f t="shared" si="114"/>
        <v>0.17</v>
      </c>
      <c r="CK22" s="217"/>
      <c r="CL22" s="217">
        <f t="shared" si="49"/>
        <v>2.7879999999999998</v>
      </c>
      <c r="CM22" s="541">
        <f t="shared" si="50"/>
        <v>24</v>
      </c>
      <c r="CN22" s="172">
        <f t="shared" si="51"/>
        <v>16.799999999999997</v>
      </c>
      <c r="CO22" s="443">
        <f t="shared" si="52"/>
        <v>40.799999999999997</v>
      </c>
      <c r="CP22" s="443"/>
      <c r="CQ22" s="217">
        <f t="shared" si="53"/>
        <v>0.41176470588235292</v>
      </c>
      <c r="CR22" s="172">
        <f t="shared" si="54"/>
        <v>33.237647058823534</v>
      </c>
      <c r="CS22" s="172">
        <f t="shared" si="115"/>
        <v>2.7879999999999998</v>
      </c>
      <c r="CT22" s="217">
        <f t="shared" si="55"/>
        <v>2.026685796269728</v>
      </c>
      <c r="CU22" s="217">
        <f t="shared" si="56"/>
        <v>16.399999999999999</v>
      </c>
      <c r="CV22" s="217">
        <f t="shared" si="57"/>
        <v>2.0086083213773311</v>
      </c>
      <c r="CW22" s="172">
        <f t="shared" si="58"/>
        <v>446.60971133760506</v>
      </c>
      <c r="CX22" s="172">
        <f t="shared" si="59"/>
        <v>16.399999999999999</v>
      </c>
      <c r="CY22" s="217">
        <f t="shared" si="60"/>
        <v>0.56423809523809521</v>
      </c>
      <c r="CZ22" s="217">
        <f t="shared" si="61"/>
        <v>0.2821190476190476</v>
      </c>
      <c r="DA22" s="217">
        <f t="shared" si="62"/>
        <v>0.40302721088435384</v>
      </c>
      <c r="DB22" s="197">
        <f t="shared" si="63"/>
        <v>350</v>
      </c>
      <c r="DC22" s="443">
        <f t="shared" si="116"/>
        <v>350</v>
      </c>
      <c r="DE22" s="217">
        <f t="shared" si="64"/>
        <v>2.3529411764705879</v>
      </c>
      <c r="DF22" s="173">
        <f t="shared" si="65"/>
        <v>1.6806722689075633</v>
      </c>
      <c r="DG22" s="173">
        <f t="shared" si="66"/>
        <v>0.69204152249134954</v>
      </c>
      <c r="DH22" s="173"/>
      <c r="DI22" s="173">
        <f t="shared" si="67"/>
        <v>0.95238095238095266</v>
      </c>
      <c r="DJ22" s="545">
        <f t="shared" si="117"/>
        <v>267.74999999999989</v>
      </c>
      <c r="DK22" s="528">
        <f t="shared" si="68"/>
        <v>0.22222222222222232</v>
      </c>
      <c r="DM22" s="173">
        <f t="shared" si="69"/>
        <v>1.16619037896906</v>
      </c>
      <c r="DN22" s="173">
        <f t="shared" si="70"/>
        <v>1.3333333333333335</v>
      </c>
      <c r="DO22" s="173">
        <f t="shared" si="71"/>
        <v>1.153</v>
      </c>
      <c r="DQ22" s="545">
        <f t="shared" si="72"/>
        <v>170</v>
      </c>
      <c r="DR22" s="460">
        <f t="shared" si="73"/>
        <v>267.74999999999989</v>
      </c>
      <c r="DT22">
        <f t="shared" si="74"/>
        <v>170</v>
      </c>
      <c r="DU22" s="460">
        <f t="shared" si="75"/>
        <v>267.74999999999989</v>
      </c>
      <c r="DV22" s="460"/>
      <c r="DW22" s="5">
        <f t="shared" si="118"/>
        <v>3.7348272642390303</v>
      </c>
      <c r="DX22" s="5">
        <f t="shared" si="76"/>
        <v>0.66666666666666685</v>
      </c>
      <c r="DY22" s="5">
        <f t="shared" si="119"/>
        <v>3.0681605975723634</v>
      </c>
      <c r="DZ22" s="5">
        <f t="shared" si="77"/>
        <v>0.95238095238095266</v>
      </c>
      <c r="EA22" s="173">
        <f t="shared" si="120"/>
        <v>0.17849999999999999</v>
      </c>
      <c r="EB22" s="173">
        <f t="shared" si="78"/>
        <v>2.8559999999999994</v>
      </c>
      <c r="EC22" s="173">
        <f t="shared" si="79"/>
        <v>0.54766666666666675</v>
      </c>
      <c r="ED22" s="173">
        <f t="shared" si="121"/>
        <v>5.2148508825319517</v>
      </c>
      <c r="EE22" s="460">
        <f t="shared" si="80"/>
        <v>0.69105691056910601</v>
      </c>
      <c r="EF22" s="5">
        <f t="shared" si="81"/>
        <v>0.29701499118165792</v>
      </c>
      <c r="EG22" s="5"/>
      <c r="EH22" s="173">
        <f t="shared" si="122"/>
        <v>0.32523495780401251</v>
      </c>
      <c r="EI22" s="173">
        <f t="shared" si="82"/>
        <v>0.69772115835397652</v>
      </c>
      <c r="EJ22" s="173"/>
      <c r="EK22" s="528">
        <f t="shared" si="83"/>
        <v>2.1155555555555563E-3</v>
      </c>
      <c r="EL22" s="528">
        <f t="shared" si="84"/>
        <v>0.2913119999999999</v>
      </c>
      <c r="EM22" s="528">
        <f t="shared" si="85"/>
        <v>3.3468749999999985E-2</v>
      </c>
      <c r="EN22" s="528">
        <f t="shared" si="86"/>
        <v>4.4570735999999979E-2</v>
      </c>
      <c r="EO22">
        <f t="shared" si="87"/>
        <v>1.0800000000000001E-2</v>
      </c>
      <c r="EP22" s="460">
        <f t="shared" si="123"/>
        <v>44.268749999999983</v>
      </c>
      <c r="EQ22" s="528">
        <f t="shared" si="88"/>
        <v>0.3830307742724281</v>
      </c>
      <c r="ER22" s="460">
        <f t="shared" si="124"/>
        <v>383.03077427242812</v>
      </c>
      <c r="ES22" s="528">
        <f t="shared" si="125"/>
        <v>0.10561249999999998</v>
      </c>
      <c r="ET22" s="528"/>
      <c r="EV22" s="460">
        <f t="shared" si="126"/>
        <v>105.61249999999998</v>
      </c>
      <c r="EW22" s="528">
        <f t="shared" si="89"/>
        <v>3.173333333333334E-3</v>
      </c>
      <c r="EX22" s="528">
        <f t="shared" si="90"/>
        <v>1.4604444444444442E-2</v>
      </c>
      <c r="EY22" s="528">
        <f t="shared" si="91"/>
        <v>0.12040389729528063</v>
      </c>
      <c r="EZ22" s="528">
        <f t="shared" si="92"/>
        <v>0.14265122347978521</v>
      </c>
      <c r="FA22" s="528">
        <f t="shared" si="93"/>
        <v>2.3799999999999993E-3</v>
      </c>
      <c r="FB22" s="460">
        <f t="shared" si="127"/>
        <v>145.03122347978521</v>
      </c>
      <c r="FC22" s="173">
        <f t="shared" si="128"/>
        <v>0.63367449775221329</v>
      </c>
      <c r="FD22" s="5">
        <f t="shared" si="129"/>
        <v>2.7879999999999998</v>
      </c>
      <c r="FE22" s="173">
        <f t="shared" si="130"/>
        <v>0.81480573381001309</v>
      </c>
      <c r="FF22" s="5">
        <f t="shared" si="131"/>
        <v>81.480573381001307</v>
      </c>
      <c r="FI22" s="562">
        <f t="shared" si="94"/>
        <v>-50</v>
      </c>
      <c r="FJ22">
        <f t="shared" si="95"/>
        <v>-50</v>
      </c>
      <c r="FL22">
        <f t="shared" si="96"/>
        <v>0.255</v>
      </c>
    </row>
    <row r="23" spans="5:168">
      <c r="E23" s="170">
        <v>18</v>
      </c>
      <c r="F23" s="217">
        <f t="shared" si="97"/>
        <v>0.18</v>
      </c>
      <c r="G23" s="217"/>
      <c r="H23" s="217">
        <f t="shared" si="0"/>
        <v>2.9519999999999995</v>
      </c>
      <c r="I23" s="541">
        <f t="shared" si="1"/>
        <v>23.967065882664688</v>
      </c>
      <c r="J23" s="172">
        <f t="shared" si="2"/>
        <v>16.819760470401185</v>
      </c>
      <c r="K23" s="172">
        <f t="shared" si="3"/>
        <v>40.819760470401185</v>
      </c>
      <c r="L23" s="443"/>
      <c r="M23" s="217">
        <f t="shared" si="4"/>
        <v>0.41238563343554535</v>
      </c>
      <c r="N23" s="172">
        <f t="shared" si="5"/>
        <v>33.242089028082177</v>
      </c>
      <c r="O23" s="172">
        <f t="shared" si="98"/>
        <v>2.9519999999999995</v>
      </c>
      <c r="P23" s="217">
        <f t="shared" si="6"/>
        <v>2.0269566480537913</v>
      </c>
      <c r="Q23" s="217">
        <f t="shared" si="7"/>
        <v>16.399999999999999</v>
      </c>
      <c r="R23" s="217">
        <f t="shared" si="8"/>
        <v>2.0088767572386432</v>
      </c>
      <c r="S23" s="172">
        <f t="shared" si="9"/>
        <v>419.89029751111855</v>
      </c>
      <c r="T23" s="172">
        <f t="shared" si="10"/>
        <v>16.399999999999999</v>
      </c>
      <c r="U23" s="217">
        <f t="shared" si="99"/>
        <v>0.61264669566330632</v>
      </c>
      <c r="V23" s="217">
        <f t="shared" si="11"/>
        <v>0.30674427916840602</v>
      </c>
      <c r="W23" s="217">
        <f t="shared" si="12"/>
        <v>0.43709066849656047</v>
      </c>
      <c r="X23" s="197">
        <f t="shared" si="13"/>
        <v>350</v>
      </c>
      <c r="Y23" s="443">
        <f t="shared" si="14"/>
        <v>350</v>
      </c>
      <c r="AA23" s="217">
        <f t="shared" si="15"/>
        <v>2.3532359375711969</v>
      </c>
      <c r="AB23" s="173">
        <f t="shared" si="16"/>
        <v>1.6789080498826396</v>
      </c>
      <c r="AC23" s="173">
        <f t="shared" si="17"/>
        <v>0.69140168280074554</v>
      </c>
      <c r="AD23" s="173"/>
      <c r="AE23" s="173">
        <f t="shared" si="18"/>
        <v>0.95126206036977945</v>
      </c>
      <c r="AF23" s="545">
        <f t="shared" si="100"/>
        <v>283.83345793801993</v>
      </c>
      <c r="AG23" s="528">
        <f t="shared" si="19"/>
        <v>0.22196114741961523</v>
      </c>
      <c r="AI23" s="173">
        <f t="shared" si="20"/>
        <v>1.2007055236842279</v>
      </c>
      <c r="AJ23" s="173">
        <f t="shared" si="21"/>
        <v>1.3333333333333335</v>
      </c>
      <c r="AK23" s="173">
        <f t="shared" si="22"/>
        <v>1.1621905473931542</v>
      </c>
      <c r="AM23" s="545">
        <f t="shared" si="23"/>
        <v>180</v>
      </c>
      <c r="AN23" s="460">
        <f t="shared" si="24"/>
        <v>283.83345793801993</v>
      </c>
      <c r="AP23">
        <f t="shared" si="25"/>
        <v>180</v>
      </c>
      <c r="AQ23" s="460">
        <f t="shared" si="26"/>
        <v>283.83345793801993</v>
      </c>
      <c r="AR23" s="460"/>
      <c r="AS23" s="5">
        <f t="shared" si="101"/>
        <v>3.5231928161843689</v>
      </c>
      <c r="AT23" s="5">
        <f t="shared" si="27"/>
        <v>0.66758276037338204</v>
      </c>
      <c r="AU23" s="5">
        <f t="shared" si="102"/>
        <v>2.8556100558109869</v>
      </c>
      <c r="AV23" s="5">
        <f t="shared" si="28"/>
        <v>0.95126206036977945</v>
      </c>
      <c r="AW23" s="173">
        <f t="shared" si="103"/>
        <v>0.18948232333658557</v>
      </c>
      <c r="AX23" s="173">
        <f t="shared" si="29"/>
        <v>3.0275568846722134</v>
      </c>
      <c r="AY23" s="173">
        <f t="shared" si="30"/>
        <v>0.54034511777560967</v>
      </c>
      <c r="AZ23" s="173">
        <f t="shared" si="104"/>
        <v>5.6030059032188273</v>
      </c>
      <c r="BA23" s="460">
        <f t="shared" si="31"/>
        <v>0.73271278577566334</v>
      </c>
      <c r="BB23" s="5">
        <f t="shared" si="32"/>
        <v>0.29310224170477389</v>
      </c>
      <c r="BC23" s="5"/>
      <c r="BD23" s="173">
        <f t="shared" si="105"/>
        <v>0.33509076566878887</v>
      </c>
      <c r="BE23" s="173">
        <f t="shared" si="33"/>
        <v>0.69304168082164985</v>
      </c>
      <c r="BF23" s="173"/>
      <c r="BG23" s="528">
        <f t="shared" si="34"/>
        <v>2.2457164247299036E-3</v>
      </c>
      <c r="BH23" s="528">
        <f t="shared" si="35"/>
        <v>0.28965034416289159</v>
      </c>
      <c r="BI23" s="528">
        <f t="shared" si="36"/>
        <v>0.1700663796526265</v>
      </c>
      <c r="BJ23" s="528">
        <f t="shared" si="37"/>
        <v>4.7293830675594006E-2</v>
      </c>
      <c r="BK23">
        <f t="shared" si="38"/>
        <v>1.0785179647199109E-2</v>
      </c>
      <c r="BL23" s="460">
        <f t="shared" si="106"/>
        <v>180.8515592998256</v>
      </c>
      <c r="BM23" s="528">
        <f t="shared" si="39"/>
        <v>0.33997764072303527</v>
      </c>
      <c r="BN23" s="460">
        <f t="shared" si="107"/>
        <v>339.97764072303528</v>
      </c>
      <c r="BO23" s="528">
        <f t="shared" si="108"/>
        <v>0.11182499999999999</v>
      </c>
      <c r="BP23" s="528"/>
      <c r="BR23" s="460">
        <f t="shared" si="109"/>
        <v>111.82499999999999</v>
      </c>
      <c r="BS23" s="528">
        <f t="shared" si="40"/>
        <v>3.3685746370948552E-3</v>
      </c>
      <c r="BT23" s="528">
        <f t="shared" si="41"/>
        <v>1.4409203140682926E-2</v>
      </c>
      <c r="BU23" s="528">
        <f t="shared" si="42"/>
        <v>4.4279999999999993E-2</v>
      </c>
      <c r="BV23" s="528">
        <f t="shared" si="43"/>
        <v>6.6418906889798818E-2</v>
      </c>
      <c r="BW23" s="528">
        <f t="shared" si="44"/>
        <v>2.5229640705601779E-3</v>
      </c>
      <c r="BX23" s="460">
        <f t="shared" si="110"/>
        <v>68.941870960358983</v>
      </c>
      <c r="BY23" s="173">
        <f t="shared" si="45"/>
        <v>0.70159607098321997</v>
      </c>
      <c r="BZ23" s="5">
        <f t="shared" si="111"/>
        <v>2.9519999999999995</v>
      </c>
      <c r="CA23" s="173">
        <f t="shared" si="112"/>
        <v>0.80797109002955181</v>
      </c>
      <c r="CB23" s="5">
        <f t="shared" si="113"/>
        <v>80.797109002955182</v>
      </c>
      <c r="CE23" s="562">
        <f t="shared" si="46"/>
        <v>-50</v>
      </c>
      <c r="CF23">
        <f t="shared" si="47"/>
        <v>-50</v>
      </c>
      <c r="CG23" s="173">
        <f t="shared" si="48"/>
        <v>0.2732728467676358</v>
      </c>
      <c r="CI23" s="170">
        <v>18</v>
      </c>
      <c r="CJ23" s="217">
        <f t="shared" si="114"/>
        <v>0.18</v>
      </c>
      <c r="CK23" s="217"/>
      <c r="CL23" s="217">
        <f t="shared" si="49"/>
        <v>2.9519999999999995</v>
      </c>
      <c r="CM23" s="541">
        <f t="shared" si="50"/>
        <v>24</v>
      </c>
      <c r="CN23" s="172">
        <f t="shared" si="51"/>
        <v>16.799999999999997</v>
      </c>
      <c r="CO23" s="443">
        <f t="shared" si="52"/>
        <v>40.799999999999997</v>
      </c>
      <c r="CP23" s="443"/>
      <c r="CQ23" s="217">
        <f t="shared" si="53"/>
        <v>0.41176470588235292</v>
      </c>
      <c r="CR23" s="172">
        <f t="shared" si="54"/>
        <v>33.237647058823534</v>
      </c>
      <c r="CS23" s="172">
        <f t="shared" si="115"/>
        <v>2.9519999999999995</v>
      </c>
      <c r="CT23" s="217">
        <f t="shared" si="55"/>
        <v>2.026685796269728</v>
      </c>
      <c r="CU23" s="217">
        <f t="shared" si="56"/>
        <v>16.399999999999999</v>
      </c>
      <c r="CV23" s="217">
        <f t="shared" si="57"/>
        <v>2.0086083213773311</v>
      </c>
      <c r="CW23" s="172">
        <f t="shared" si="58"/>
        <v>420.46725448703546</v>
      </c>
      <c r="CX23" s="172">
        <f t="shared" si="59"/>
        <v>16.399999999999999</v>
      </c>
      <c r="CY23" s="217">
        <f t="shared" si="60"/>
        <v>0.59742857142857131</v>
      </c>
      <c r="CZ23" s="217">
        <f t="shared" si="61"/>
        <v>0.29871428571428565</v>
      </c>
      <c r="DA23" s="217">
        <f t="shared" si="62"/>
        <v>0.42673469387755103</v>
      </c>
      <c r="DB23" s="197">
        <f t="shared" si="63"/>
        <v>350</v>
      </c>
      <c r="DC23" s="443">
        <f t="shared" si="116"/>
        <v>350</v>
      </c>
      <c r="DE23" s="217">
        <f t="shared" si="64"/>
        <v>2.3529411764705879</v>
      </c>
      <c r="DF23" s="173">
        <f t="shared" si="65"/>
        <v>1.6806722689075633</v>
      </c>
      <c r="DG23" s="173">
        <f t="shared" si="66"/>
        <v>0.69204152249134954</v>
      </c>
      <c r="DH23" s="173"/>
      <c r="DI23" s="173">
        <f t="shared" si="67"/>
        <v>0.95238095238095266</v>
      </c>
      <c r="DJ23" s="545">
        <f t="shared" si="117"/>
        <v>283.49999999999989</v>
      </c>
      <c r="DK23" s="528">
        <f t="shared" si="68"/>
        <v>0.22222222222222232</v>
      </c>
      <c r="DM23" s="173">
        <f t="shared" si="69"/>
        <v>1.2</v>
      </c>
      <c r="DN23" s="173">
        <f t="shared" si="70"/>
        <v>1.3333333333333335</v>
      </c>
      <c r="DO23" s="173">
        <f t="shared" si="71"/>
        <v>1.1619999999999999</v>
      </c>
      <c r="DQ23" s="545">
        <f t="shared" si="72"/>
        <v>180</v>
      </c>
      <c r="DR23" s="460">
        <f t="shared" si="73"/>
        <v>283.49999999999989</v>
      </c>
      <c r="DT23">
        <f t="shared" si="74"/>
        <v>180</v>
      </c>
      <c r="DU23" s="460">
        <f t="shared" si="75"/>
        <v>283.49999999999989</v>
      </c>
      <c r="DV23" s="460"/>
      <c r="DW23" s="5">
        <f t="shared" si="118"/>
        <v>3.5273368606701956</v>
      </c>
      <c r="DX23" s="5">
        <f t="shared" si="76"/>
        <v>0.66666666666666685</v>
      </c>
      <c r="DY23" s="5">
        <f t="shared" si="119"/>
        <v>2.8606701940035286</v>
      </c>
      <c r="DZ23" s="5">
        <f t="shared" si="77"/>
        <v>0.95238095238095266</v>
      </c>
      <c r="EA23" s="173">
        <f t="shared" si="120"/>
        <v>0.18899999999999997</v>
      </c>
      <c r="EB23" s="173">
        <f t="shared" si="78"/>
        <v>3.0239999999999991</v>
      </c>
      <c r="EC23" s="173">
        <f t="shared" si="79"/>
        <v>0.54066666666666674</v>
      </c>
      <c r="ED23" s="173">
        <f t="shared" si="121"/>
        <v>5.593094944512945</v>
      </c>
      <c r="EE23" s="460">
        <f t="shared" si="80"/>
        <v>0.73170731707317094</v>
      </c>
      <c r="EF23" s="5">
        <f t="shared" si="81"/>
        <v>0.29321869488536162</v>
      </c>
      <c r="EG23" s="5"/>
      <c r="EH23" s="173">
        <f t="shared" si="122"/>
        <v>0.33466401061363021</v>
      </c>
      <c r="EI23" s="173">
        <f t="shared" si="82"/>
        <v>0.69324785797908717</v>
      </c>
      <c r="EJ23" s="173"/>
      <c r="EK23" s="528">
        <f t="shared" si="83"/>
        <v>2.2400000000000002E-3</v>
      </c>
      <c r="EL23" s="528">
        <f t="shared" si="84"/>
        <v>0.30844799999999994</v>
      </c>
      <c r="EM23" s="528">
        <f t="shared" si="85"/>
        <v>3.543749999999999E-2</v>
      </c>
      <c r="EN23" s="528">
        <f t="shared" si="86"/>
        <v>4.7192543999999982E-2</v>
      </c>
      <c r="EO23">
        <f t="shared" si="87"/>
        <v>1.0800000000000001E-2</v>
      </c>
      <c r="EP23" s="460">
        <f t="shared" si="123"/>
        <v>46.23749999999999</v>
      </c>
      <c r="EQ23" s="528">
        <f t="shared" si="88"/>
        <v>0.40493836191473159</v>
      </c>
      <c r="ER23" s="460">
        <f t="shared" si="124"/>
        <v>404.93836191473162</v>
      </c>
      <c r="ES23" s="528">
        <f t="shared" si="125"/>
        <v>0.11182499999999999</v>
      </c>
      <c r="ET23" s="528"/>
      <c r="EV23" s="460">
        <f t="shared" si="126"/>
        <v>111.82499999999999</v>
      </c>
      <c r="EW23" s="528">
        <f t="shared" si="89"/>
        <v>3.3600000000000001E-3</v>
      </c>
      <c r="EX23" s="528">
        <f t="shared" si="90"/>
        <v>1.4417777777777778E-2</v>
      </c>
      <c r="EY23" s="528">
        <f t="shared" si="91"/>
        <v>0.13889912309269603</v>
      </c>
      <c r="EZ23" s="528">
        <f t="shared" si="92"/>
        <v>0.16117279106220672</v>
      </c>
      <c r="FA23" s="528">
        <f t="shared" si="93"/>
        <v>2.5199999999999992E-3</v>
      </c>
      <c r="FB23" s="460">
        <f t="shared" si="127"/>
        <v>163.69279106220671</v>
      </c>
      <c r="FC23" s="173">
        <f t="shared" si="128"/>
        <v>0.68045615297693829</v>
      </c>
      <c r="FD23" s="5">
        <f t="shared" si="129"/>
        <v>2.9519999999999995</v>
      </c>
      <c r="FE23" s="173">
        <f t="shared" si="130"/>
        <v>0.8126732645019602</v>
      </c>
      <c r="FF23" s="5">
        <f t="shared" si="131"/>
        <v>81.267326450196023</v>
      </c>
      <c r="FI23" s="562">
        <f t="shared" si="94"/>
        <v>-50</v>
      </c>
      <c r="FJ23">
        <f t="shared" si="95"/>
        <v>-50</v>
      </c>
      <c r="FL23">
        <f t="shared" si="96"/>
        <v>0.26999999999999996</v>
      </c>
    </row>
    <row r="24" spans="5:168">
      <c r="E24" s="170">
        <v>19</v>
      </c>
      <c r="F24" s="217">
        <f t="shared" si="97"/>
        <v>0.19</v>
      </c>
      <c r="G24" s="217"/>
      <c r="H24" s="217">
        <f t="shared" si="0"/>
        <v>3.1159999999999997</v>
      </c>
      <c r="I24" s="541">
        <f t="shared" si="1"/>
        <v>23.967065882664688</v>
      </c>
      <c r="J24" s="172">
        <f t="shared" si="2"/>
        <v>16.819760470401185</v>
      </c>
      <c r="K24" s="172">
        <f t="shared" si="3"/>
        <v>40.819760470401185</v>
      </c>
      <c r="L24" s="443"/>
      <c r="M24" s="217">
        <f t="shared" si="4"/>
        <v>0.41238563343554535</v>
      </c>
      <c r="N24" s="172">
        <f t="shared" si="5"/>
        <v>33.242089028082177</v>
      </c>
      <c r="O24" s="172">
        <f t="shared" si="98"/>
        <v>3.1159999999999997</v>
      </c>
      <c r="P24" s="217">
        <f t="shared" si="6"/>
        <v>2.0269566480537913</v>
      </c>
      <c r="Q24" s="217">
        <f t="shared" si="7"/>
        <v>16.399999999999999</v>
      </c>
      <c r="R24" s="217">
        <f t="shared" si="8"/>
        <v>2.0088767572386432</v>
      </c>
      <c r="S24" s="172">
        <f t="shared" si="9"/>
        <v>396.53192648268958</v>
      </c>
      <c r="T24" s="172">
        <f t="shared" si="10"/>
        <v>16.399999999999999</v>
      </c>
      <c r="U24" s="217">
        <f t="shared" si="99"/>
        <v>0.64668262320015668</v>
      </c>
      <c r="V24" s="217">
        <f t="shared" si="11"/>
        <v>0.32378562801109523</v>
      </c>
      <c r="W24" s="217">
        <f t="shared" si="12"/>
        <v>0.46137348341303602</v>
      </c>
      <c r="X24" s="197">
        <f t="shared" si="13"/>
        <v>350</v>
      </c>
      <c r="Y24" s="443">
        <f t="shared" si="14"/>
        <v>350</v>
      </c>
      <c r="AA24" s="217">
        <f t="shared" si="15"/>
        <v>2.3532359375711969</v>
      </c>
      <c r="AB24" s="173">
        <f t="shared" si="16"/>
        <v>1.6789080498826396</v>
      </c>
      <c r="AC24" s="173">
        <f t="shared" si="17"/>
        <v>0.69140168280074554</v>
      </c>
      <c r="AD24" s="173"/>
      <c r="AE24" s="173">
        <f t="shared" si="18"/>
        <v>0.95126206036977945</v>
      </c>
      <c r="AF24" s="545">
        <f t="shared" si="100"/>
        <v>299.60198337902108</v>
      </c>
      <c r="AG24" s="528">
        <f t="shared" si="19"/>
        <v>0.22196114741961523</v>
      </c>
      <c r="AI24" s="173">
        <f t="shared" si="20"/>
        <v>1.2336076572735422</v>
      </c>
      <c r="AJ24" s="173">
        <f t="shared" si="21"/>
        <v>1.3333333333333335</v>
      </c>
      <c r="AK24" s="173">
        <f t="shared" si="22"/>
        <v>1.1712011333594405</v>
      </c>
      <c r="AM24" s="545">
        <f t="shared" si="23"/>
        <v>190</v>
      </c>
      <c r="AN24" s="460">
        <f t="shared" si="24"/>
        <v>299.60198337902108</v>
      </c>
      <c r="AP24">
        <f t="shared" si="25"/>
        <v>190</v>
      </c>
      <c r="AQ24" s="460">
        <f t="shared" si="26"/>
        <v>299.60198337902108</v>
      </c>
      <c r="AR24" s="460"/>
      <c r="AS24" s="5">
        <f t="shared" si="101"/>
        <v>3.3377616153325596</v>
      </c>
      <c r="AT24" s="5">
        <f t="shared" si="27"/>
        <v>0.66758276037338204</v>
      </c>
      <c r="AU24" s="5">
        <f t="shared" si="102"/>
        <v>2.6701788549591776</v>
      </c>
      <c r="AV24" s="5">
        <f t="shared" si="28"/>
        <v>0.95126206036977945</v>
      </c>
      <c r="AW24" s="173">
        <f t="shared" si="103"/>
        <v>0.20000911907750701</v>
      </c>
      <c r="AX24" s="173">
        <f t="shared" si="29"/>
        <v>3.1957544893762257</v>
      </c>
      <c r="AY24" s="173">
        <f t="shared" si="30"/>
        <v>0.53332725394832869</v>
      </c>
      <c r="AZ24" s="173">
        <f t="shared" si="104"/>
        <v>5.9921079707016922</v>
      </c>
      <c r="BA24" s="460">
        <f t="shared" si="31"/>
        <v>0.77341905165208902</v>
      </c>
      <c r="BB24" s="5">
        <f t="shared" si="32"/>
        <v>0.28929550495063694</v>
      </c>
      <c r="BC24" s="5"/>
      <c r="BD24" s="173">
        <f t="shared" si="105"/>
        <v>0.34427303469237974</v>
      </c>
      <c r="BE24" s="173">
        <f t="shared" si="33"/>
        <v>0.68852644842176702</v>
      </c>
      <c r="BF24" s="173"/>
      <c r="BG24" s="528">
        <f t="shared" si="34"/>
        <v>2.3704784483260101E-3</v>
      </c>
      <c r="BH24" s="528">
        <f t="shared" si="35"/>
        <v>0.30574202994971894</v>
      </c>
      <c r="BI24" s="528">
        <f t="shared" si="36"/>
        <v>0.17951451185555023</v>
      </c>
      <c r="BJ24" s="528">
        <f t="shared" si="37"/>
        <v>4.9921265713127008E-2</v>
      </c>
      <c r="BK24">
        <f t="shared" si="38"/>
        <v>1.0785179647199109E-2</v>
      </c>
      <c r="BL24" s="460">
        <f t="shared" si="106"/>
        <v>190.29969150274934</v>
      </c>
      <c r="BM24" s="528">
        <f t="shared" si="39"/>
        <v>0.35887593143249347</v>
      </c>
      <c r="BN24" s="460">
        <f t="shared" si="107"/>
        <v>358.87593143249347</v>
      </c>
      <c r="BO24" s="528">
        <f t="shared" si="108"/>
        <v>0.11803749999999998</v>
      </c>
      <c r="BP24" s="528"/>
      <c r="BR24" s="460">
        <f t="shared" si="109"/>
        <v>118.03749999999998</v>
      </c>
      <c r="BS24" s="528">
        <f t="shared" si="40"/>
        <v>3.5557176724890153E-3</v>
      </c>
      <c r="BT24" s="528">
        <f t="shared" si="41"/>
        <v>1.4222060105288765E-2</v>
      </c>
      <c r="BU24" s="528">
        <f t="shared" si="42"/>
        <v>4.673999999999999E-2</v>
      </c>
      <c r="BV24" s="528">
        <f t="shared" si="43"/>
        <v>6.888241053943385E-2</v>
      </c>
      <c r="BW24" s="528">
        <f t="shared" si="44"/>
        <v>2.6631287411468542E-3</v>
      </c>
      <c r="BX24" s="460">
        <f t="shared" si="110"/>
        <v>71.545539280580698</v>
      </c>
      <c r="BY24" s="173">
        <f t="shared" si="45"/>
        <v>0.73875866221582354</v>
      </c>
      <c r="BZ24" s="5">
        <f t="shared" si="111"/>
        <v>3.1159999999999997</v>
      </c>
      <c r="CA24" s="173">
        <f t="shared" si="112"/>
        <v>0.8083515138166486</v>
      </c>
      <c r="CB24" s="5">
        <f t="shared" si="113"/>
        <v>80.835151381664858</v>
      </c>
      <c r="CE24" s="562">
        <f t="shared" si="46"/>
        <v>-50</v>
      </c>
      <c r="CF24">
        <f t="shared" si="47"/>
        <v>-50</v>
      </c>
      <c r="CG24" s="173">
        <f t="shared" si="48"/>
        <v>0.2884546715880601</v>
      </c>
      <c r="CI24" s="170">
        <v>19</v>
      </c>
      <c r="CJ24" s="217">
        <f t="shared" si="114"/>
        <v>0.19</v>
      </c>
      <c r="CK24" s="217"/>
      <c r="CL24" s="217">
        <f t="shared" si="49"/>
        <v>3.1159999999999997</v>
      </c>
      <c r="CM24" s="541">
        <f t="shared" si="50"/>
        <v>24</v>
      </c>
      <c r="CN24" s="172">
        <f t="shared" si="51"/>
        <v>16.799999999999997</v>
      </c>
      <c r="CO24" s="443">
        <f t="shared" si="52"/>
        <v>40.799999999999997</v>
      </c>
      <c r="CP24" s="443"/>
      <c r="CQ24" s="217">
        <f t="shared" si="53"/>
        <v>0.41176470588235292</v>
      </c>
      <c r="CR24" s="172">
        <f t="shared" si="54"/>
        <v>33.237647058823534</v>
      </c>
      <c r="CS24" s="172">
        <f t="shared" si="115"/>
        <v>3.1159999999999997</v>
      </c>
      <c r="CT24" s="217">
        <f t="shared" si="55"/>
        <v>2.026685796269728</v>
      </c>
      <c r="CU24" s="217">
        <f t="shared" si="56"/>
        <v>16.399999999999999</v>
      </c>
      <c r="CV24" s="217">
        <f t="shared" si="57"/>
        <v>2.0086083213773311</v>
      </c>
      <c r="CW24" s="172">
        <f t="shared" si="58"/>
        <v>397.07678393296669</v>
      </c>
      <c r="CX24" s="172">
        <f t="shared" si="59"/>
        <v>16.399999999999999</v>
      </c>
      <c r="CY24" s="217">
        <f t="shared" si="60"/>
        <v>0.63061904761904752</v>
      </c>
      <c r="CZ24" s="217">
        <f t="shared" si="61"/>
        <v>0.31530952380952376</v>
      </c>
      <c r="DA24" s="217">
        <f t="shared" si="62"/>
        <v>0.45044217687074833</v>
      </c>
      <c r="DB24" s="197">
        <f t="shared" si="63"/>
        <v>350</v>
      </c>
      <c r="DC24" s="443">
        <f t="shared" si="116"/>
        <v>350</v>
      </c>
      <c r="DE24" s="217">
        <f t="shared" si="64"/>
        <v>2.3529411764705879</v>
      </c>
      <c r="DF24" s="173">
        <f t="shared" si="65"/>
        <v>1.6806722689075633</v>
      </c>
      <c r="DG24" s="173">
        <f t="shared" si="66"/>
        <v>0.69204152249134954</v>
      </c>
      <c r="DH24" s="173"/>
      <c r="DI24" s="173">
        <f t="shared" si="67"/>
        <v>0.95238095238095266</v>
      </c>
      <c r="DJ24" s="545">
        <f t="shared" si="117"/>
        <v>299.24999999999989</v>
      </c>
      <c r="DK24" s="528">
        <f t="shared" si="68"/>
        <v>0.22222222222222232</v>
      </c>
      <c r="DM24" s="173">
        <f t="shared" si="69"/>
        <v>1.2328828005937951</v>
      </c>
      <c r="DN24" s="173">
        <f t="shared" si="70"/>
        <v>1.3333333333333335</v>
      </c>
      <c r="DO24" s="173">
        <f t="shared" si="71"/>
        <v>1.1709999999999998</v>
      </c>
      <c r="DQ24" s="545">
        <f t="shared" si="72"/>
        <v>190</v>
      </c>
      <c r="DR24" s="460">
        <f t="shared" si="73"/>
        <v>299.24999999999989</v>
      </c>
      <c r="DT24">
        <f t="shared" si="74"/>
        <v>190</v>
      </c>
      <c r="DU24" s="460">
        <f t="shared" si="75"/>
        <v>299.24999999999989</v>
      </c>
      <c r="DV24" s="460"/>
      <c r="DW24" s="5">
        <f t="shared" si="118"/>
        <v>3.3416875522138692</v>
      </c>
      <c r="DX24" s="5">
        <f t="shared" si="76"/>
        <v>0.66666666666666685</v>
      </c>
      <c r="DY24" s="5">
        <f t="shared" si="119"/>
        <v>2.6750208855472022</v>
      </c>
      <c r="DZ24" s="5">
        <f t="shared" si="77"/>
        <v>0.95238095238095266</v>
      </c>
      <c r="EA24" s="173">
        <f t="shared" si="120"/>
        <v>0.19949999999999998</v>
      </c>
      <c r="EB24" s="173">
        <f t="shared" si="78"/>
        <v>3.1919999999999997</v>
      </c>
      <c r="EC24" s="173">
        <f t="shared" si="79"/>
        <v>0.53366666666666673</v>
      </c>
      <c r="ED24" s="173">
        <f t="shared" si="121"/>
        <v>5.9812617114303546</v>
      </c>
      <c r="EE24" s="460">
        <f t="shared" si="80"/>
        <v>0.77235772357723609</v>
      </c>
      <c r="EF24" s="5">
        <f t="shared" si="81"/>
        <v>0.28942239858906527</v>
      </c>
      <c r="EG24" s="5"/>
      <c r="EH24" s="173">
        <f t="shared" si="122"/>
        <v>0.34383458555273677</v>
      </c>
      <c r="EI24" s="173">
        <f t="shared" si="82"/>
        <v>0.68874550479140739</v>
      </c>
      <c r="EJ24" s="173"/>
      <c r="EK24" s="528">
        <f t="shared" si="83"/>
        <v>2.3644444444444451E-3</v>
      </c>
      <c r="EL24" s="528">
        <f t="shared" si="84"/>
        <v>0.32558399999999987</v>
      </c>
      <c r="EM24" s="528">
        <f t="shared" si="85"/>
        <v>3.7406249999999981E-2</v>
      </c>
      <c r="EN24" s="528">
        <f t="shared" si="86"/>
        <v>4.9814351999999985E-2</v>
      </c>
      <c r="EO24">
        <f t="shared" si="87"/>
        <v>1.0800000000000001E-2</v>
      </c>
      <c r="EP24" s="460">
        <f t="shared" si="123"/>
        <v>48.206249999999976</v>
      </c>
      <c r="EQ24" s="528">
        <f t="shared" si="88"/>
        <v>0.42684724581236366</v>
      </c>
      <c r="ER24" s="460">
        <f t="shared" si="124"/>
        <v>426.84724581236367</v>
      </c>
      <c r="ES24" s="528">
        <f t="shared" si="125"/>
        <v>0.11803749999999998</v>
      </c>
      <c r="ET24" s="528"/>
      <c r="EV24" s="460">
        <f t="shared" si="126"/>
        <v>118.03749999999998</v>
      </c>
      <c r="EW24" s="528">
        <f t="shared" si="89"/>
        <v>3.5466666666666676E-3</v>
      </c>
      <c r="EX24" s="528">
        <f t="shared" si="90"/>
        <v>1.4231111111111118E-2</v>
      </c>
      <c r="EY24" s="528">
        <f t="shared" si="91"/>
        <v>0.15900187421850542</v>
      </c>
      <c r="EZ24" s="528">
        <f t="shared" si="92"/>
        <v>0.18130417348746539</v>
      </c>
      <c r="FA24" s="528">
        <f t="shared" si="93"/>
        <v>2.6599999999999996E-3</v>
      </c>
      <c r="FB24" s="460">
        <f t="shared" si="127"/>
        <v>183.96417348746539</v>
      </c>
      <c r="FC24" s="173">
        <f t="shared" si="128"/>
        <v>0.72884891929982909</v>
      </c>
      <c r="FD24" s="5">
        <f t="shared" si="129"/>
        <v>3.1159999999999997</v>
      </c>
      <c r="FE24" s="173">
        <f t="shared" si="130"/>
        <v>0.81043496517086622</v>
      </c>
      <c r="FF24" s="5">
        <f t="shared" si="131"/>
        <v>81.043496517086623</v>
      </c>
      <c r="FI24" s="562">
        <f t="shared" si="94"/>
        <v>-50</v>
      </c>
      <c r="FJ24">
        <f t="shared" si="95"/>
        <v>-50</v>
      </c>
      <c r="FL24">
        <f t="shared" si="96"/>
        <v>0.28499999999999998</v>
      </c>
    </row>
    <row r="25" spans="5:168">
      <c r="E25" s="170">
        <v>20</v>
      </c>
      <c r="F25" s="217">
        <f t="shared" si="97"/>
        <v>0.2</v>
      </c>
      <c r="G25" s="217"/>
      <c r="H25" s="217">
        <f t="shared" si="0"/>
        <v>3.28</v>
      </c>
      <c r="I25" s="541">
        <f t="shared" si="1"/>
        <v>23.967065882664688</v>
      </c>
      <c r="J25" s="172">
        <f t="shared" si="2"/>
        <v>16.819760470401185</v>
      </c>
      <c r="K25" s="172">
        <f t="shared" si="3"/>
        <v>40.819760470401185</v>
      </c>
      <c r="L25" s="443"/>
      <c r="M25" s="217">
        <f t="shared" si="4"/>
        <v>0.41238563343554535</v>
      </c>
      <c r="N25" s="172">
        <f t="shared" si="5"/>
        <v>33.242089028082177</v>
      </c>
      <c r="O25" s="172">
        <f t="shared" si="98"/>
        <v>3.28</v>
      </c>
      <c r="P25" s="217">
        <f t="shared" si="6"/>
        <v>2.0269566480537913</v>
      </c>
      <c r="Q25" s="217">
        <f t="shared" si="7"/>
        <v>16.399999999999999</v>
      </c>
      <c r="R25" s="217">
        <f t="shared" si="8"/>
        <v>2.0088767572386432</v>
      </c>
      <c r="S25" s="172">
        <f t="shared" si="9"/>
        <v>375.50953517631802</v>
      </c>
      <c r="T25" s="172">
        <f t="shared" si="10"/>
        <v>16.399999999999999</v>
      </c>
      <c r="U25" s="217">
        <f t="shared" si="99"/>
        <v>0.68071855073700704</v>
      </c>
      <c r="V25" s="217">
        <f t="shared" si="11"/>
        <v>0.34082697685378444</v>
      </c>
      <c r="W25" s="217">
        <f t="shared" si="12"/>
        <v>0.48565629832951163</v>
      </c>
      <c r="X25" s="197">
        <f t="shared" si="13"/>
        <v>350</v>
      </c>
      <c r="Y25" s="443">
        <f t="shared" si="14"/>
        <v>350</v>
      </c>
      <c r="AA25" s="217">
        <f t="shared" si="15"/>
        <v>2.3532359375711969</v>
      </c>
      <c r="AB25" s="173">
        <f t="shared" si="16"/>
        <v>1.6789080498826396</v>
      </c>
      <c r="AC25" s="173">
        <f t="shared" si="17"/>
        <v>0.69140168280074554</v>
      </c>
      <c r="AD25" s="173"/>
      <c r="AE25" s="173">
        <f t="shared" si="18"/>
        <v>0.95126206036977945</v>
      </c>
      <c r="AF25" s="545">
        <f t="shared" si="100"/>
        <v>315.37050882002217</v>
      </c>
      <c r="AG25" s="528">
        <f t="shared" si="19"/>
        <v>0.22196114741961523</v>
      </c>
      <c r="AI25" s="173">
        <f t="shared" si="20"/>
        <v>1.2656547513291363</v>
      </c>
      <c r="AJ25" s="173">
        <f t="shared" si="21"/>
        <v>1.3333333333333335</v>
      </c>
      <c r="AK25" s="173">
        <f t="shared" si="22"/>
        <v>1.1802117193257269</v>
      </c>
      <c r="AM25" s="545">
        <f t="shared" si="23"/>
        <v>200</v>
      </c>
      <c r="AN25" s="460">
        <f t="shared" si="24"/>
        <v>315.37050882002217</v>
      </c>
      <c r="AP25">
        <f t="shared" si="25"/>
        <v>200</v>
      </c>
      <c r="AQ25" s="460">
        <f t="shared" si="26"/>
        <v>315.37050882002217</v>
      </c>
      <c r="AR25" s="460"/>
      <c r="AS25" s="5">
        <f t="shared" si="101"/>
        <v>3.1708735345659318</v>
      </c>
      <c r="AT25" s="5">
        <f t="shared" si="27"/>
        <v>0.66758276037338204</v>
      </c>
      <c r="AU25" s="5">
        <f t="shared" si="102"/>
        <v>2.5032907741925499</v>
      </c>
      <c r="AV25" s="5">
        <f t="shared" si="28"/>
        <v>0.95126206036977945</v>
      </c>
      <c r="AW25" s="173">
        <f t="shared" si="103"/>
        <v>0.21053591481842843</v>
      </c>
      <c r="AX25" s="173">
        <f t="shared" si="29"/>
        <v>3.3639520940802372</v>
      </c>
      <c r="AY25" s="173">
        <f t="shared" si="30"/>
        <v>0.52630939012104772</v>
      </c>
      <c r="AZ25" s="173">
        <f t="shared" si="104"/>
        <v>6.3915866925850402</v>
      </c>
      <c r="BA25" s="460">
        <f t="shared" si="31"/>
        <v>0.8141253175285148</v>
      </c>
      <c r="BB25" s="5">
        <f t="shared" si="32"/>
        <v>0.28548876819649999</v>
      </c>
      <c r="BC25" s="5"/>
      <c r="BD25" s="173">
        <f t="shared" si="105"/>
        <v>0.35321668080104279</v>
      </c>
      <c r="BE25" s="173">
        <f t="shared" si="33"/>
        <v>0.68398140983252387</v>
      </c>
      <c r="BF25" s="173"/>
      <c r="BG25" s="528">
        <f t="shared" si="34"/>
        <v>2.4952404719221148E-3</v>
      </c>
      <c r="BH25" s="528">
        <f t="shared" si="35"/>
        <v>0.32183371573654623</v>
      </c>
      <c r="BI25" s="528">
        <f t="shared" si="36"/>
        <v>0.18896264405847388</v>
      </c>
      <c r="BJ25" s="528">
        <f t="shared" si="37"/>
        <v>5.2548700750660003E-2</v>
      </c>
      <c r="BK25">
        <f t="shared" si="38"/>
        <v>1.0785179647199109E-2</v>
      </c>
      <c r="BL25" s="460">
        <f t="shared" si="106"/>
        <v>199.74782370567297</v>
      </c>
      <c r="BM25" s="528">
        <f t="shared" si="39"/>
        <v>0.37777534322793754</v>
      </c>
      <c r="BN25" s="460">
        <f t="shared" si="107"/>
        <v>377.77534322793753</v>
      </c>
      <c r="BO25" s="528">
        <f t="shared" si="108"/>
        <v>0.12424999999999999</v>
      </c>
      <c r="BP25" s="528"/>
      <c r="BR25" s="460">
        <f t="shared" si="109"/>
        <v>124.24999999999999</v>
      </c>
      <c r="BS25" s="528">
        <f t="shared" si="40"/>
        <v>3.7428607078831724E-3</v>
      </c>
      <c r="BT25" s="528">
        <f t="shared" si="41"/>
        <v>1.4034917069894608E-2</v>
      </c>
      <c r="BU25" s="528">
        <f t="shared" si="42"/>
        <v>4.9199999999999994E-2</v>
      </c>
      <c r="BV25" s="528">
        <f t="shared" si="43"/>
        <v>7.1345914189068896E-2</v>
      </c>
      <c r="BW25" s="528">
        <f t="shared" si="44"/>
        <v>2.8032934117335306E-3</v>
      </c>
      <c r="BX25" s="460">
        <f t="shared" si="110"/>
        <v>74.149207600802427</v>
      </c>
      <c r="BY25" s="173">
        <f t="shared" si="45"/>
        <v>0.77592237453441304</v>
      </c>
      <c r="BZ25" s="5">
        <f t="shared" si="111"/>
        <v>3.28</v>
      </c>
      <c r="CA25" s="173">
        <f t="shared" si="112"/>
        <v>0.80869397811799026</v>
      </c>
      <c r="CB25" s="5">
        <f t="shared" si="113"/>
        <v>80.869397811799033</v>
      </c>
      <c r="CE25" s="562">
        <f t="shared" si="46"/>
        <v>-50</v>
      </c>
      <c r="CF25">
        <f t="shared" si="47"/>
        <v>-50</v>
      </c>
      <c r="CG25" s="173">
        <f t="shared" si="48"/>
        <v>0.30363649640848428</v>
      </c>
      <c r="CI25" s="170">
        <v>20</v>
      </c>
      <c r="CJ25" s="217">
        <f t="shared" si="114"/>
        <v>0.2</v>
      </c>
      <c r="CK25" s="217"/>
      <c r="CL25" s="217">
        <f t="shared" si="49"/>
        <v>3.28</v>
      </c>
      <c r="CM25" s="541">
        <f t="shared" si="50"/>
        <v>24</v>
      </c>
      <c r="CN25" s="172">
        <f t="shared" si="51"/>
        <v>16.799999999999997</v>
      </c>
      <c r="CO25" s="443">
        <f t="shared" si="52"/>
        <v>40.799999999999997</v>
      </c>
      <c r="CP25" s="443"/>
      <c r="CQ25" s="217">
        <f t="shared" si="53"/>
        <v>0.41176470588235292</v>
      </c>
      <c r="CR25" s="172">
        <f t="shared" si="54"/>
        <v>33.237647058823534</v>
      </c>
      <c r="CS25" s="172">
        <f t="shared" si="115"/>
        <v>3.28</v>
      </c>
      <c r="CT25" s="217">
        <f t="shared" si="55"/>
        <v>2.026685796269728</v>
      </c>
      <c r="CU25" s="217">
        <f t="shared" si="56"/>
        <v>16.399999999999999</v>
      </c>
      <c r="CV25" s="217">
        <f t="shared" si="57"/>
        <v>2.0086083213773311</v>
      </c>
      <c r="CW25" s="172">
        <f t="shared" si="58"/>
        <v>376.02550305418231</v>
      </c>
      <c r="CX25" s="172">
        <f t="shared" si="59"/>
        <v>16.399999999999999</v>
      </c>
      <c r="CY25" s="217">
        <f t="shared" si="60"/>
        <v>0.66380952380952374</v>
      </c>
      <c r="CZ25" s="217">
        <f t="shared" si="61"/>
        <v>0.33190476190476187</v>
      </c>
      <c r="DA25" s="217">
        <f t="shared" si="62"/>
        <v>0.47414965986394564</v>
      </c>
      <c r="DB25" s="197">
        <f t="shared" si="63"/>
        <v>350</v>
      </c>
      <c r="DC25" s="443">
        <f t="shared" si="116"/>
        <v>350</v>
      </c>
      <c r="DE25" s="217">
        <f t="shared" si="64"/>
        <v>2.3529411764705879</v>
      </c>
      <c r="DF25" s="173">
        <f t="shared" si="65"/>
        <v>1.6806722689075633</v>
      </c>
      <c r="DG25" s="173">
        <f t="shared" si="66"/>
        <v>0.69204152249134954</v>
      </c>
      <c r="DH25" s="173"/>
      <c r="DI25" s="173">
        <f t="shared" si="67"/>
        <v>0.95238095238095266</v>
      </c>
      <c r="DJ25" s="545">
        <f t="shared" si="117"/>
        <v>314.99999999999989</v>
      </c>
      <c r="DK25" s="528">
        <f t="shared" si="68"/>
        <v>0.22222222222222232</v>
      </c>
      <c r="DM25" s="173">
        <f t="shared" si="69"/>
        <v>1.2649110640673515</v>
      </c>
      <c r="DN25" s="173">
        <f t="shared" si="70"/>
        <v>1.3333333333333335</v>
      </c>
      <c r="DO25" s="173">
        <f t="shared" si="71"/>
        <v>1.18</v>
      </c>
      <c r="DQ25" s="545">
        <f t="shared" si="72"/>
        <v>200</v>
      </c>
      <c r="DR25" s="460">
        <f t="shared" si="73"/>
        <v>314.99999999999989</v>
      </c>
      <c r="DT25">
        <f t="shared" si="74"/>
        <v>200</v>
      </c>
      <c r="DU25" s="460">
        <f t="shared" si="75"/>
        <v>314.99999999999989</v>
      </c>
      <c r="DV25" s="460"/>
      <c r="DW25" s="5">
        <f t="shared" si="118"/>
        <v>3.1746031746031758</v>
      </c>
      <c r="DX25" s="5">
        <f t="shared" si="76"/>
        <v>0.66666666666666685</v>
      </c>
      <c r="DY25" s="5">
        <f t="shared" si="119"/>
        <v>2.5079365079365088</v>
      </c>
      <c r="DZ25" s="5">
        <f t="shared" si="77"/>
        <v>0.95238095238095266</v>
      </c>
      <c r="EA25" s="173">
        <f t="shared" si="120"/>
        <v>0.21</v>
      </c>
      <c r="EB25" s="173">
        <f t="shared" si="78"/>
        <v>3.36</v>
      </c>
      <c r="EC25" s="173">
        <f t="shared" si="79"/>
        <v>0.52666666666666673</v>
      </c>
      <c r="ED25" s="173">
        <f t="shared" si="121"/>
        <v>6.3797468354430373</v>
      </c>
      <c r="EE25" s="460">
        <f t="shared" si="80"/>
        <v>0.81300813008130124</v>
      </c>
      <c r="EF25" s="5">
        <f t="shared" si="81"/>
        <v>0.28562610229276902</v>
      </c>
      <c r="EG25" s="5"/>
      <c r="EH25" s="173">
        <f t="shared" si="122"/>
        <v>0.35276684147527876</v>
      </c>
      <c r="EI25" s="173">
        <f t="shared" si="82"/>
        <v>0.68421352525958468</v>
      </c>
      <c r="EJ25" s="173"/>
      <c r="EK25" s="528">
        <f t="shared" si="83"/>
        <v>2.488888888888889E-3</v>
      </c>
      <c r="EL25" s="528">
        <f t="shared" si="84"/>
        <v>0.34271999999999991</v>
      </c>
      <c r="EM25" s="528">
        <f t="shared" si="85"/>
        <v>3.9374999999999979E-2</v>
      </c>
      <c r="EN25" s="528">
        <f t="shared" si="86"/>
        <v>5.2436159999999982E-2</v>
      </c>
      <c r="EO25">
        <f t="shared" si="87"/>
        <v>1.0800000000000001E-2</v>
      </c>
      <c r="EP25" s="460">
        <f t="shared" si="123"/>
        <v>50.174999999999983</v>
      </c>
      <c r="EQ25" s="528">
        <f t="shared" si="88"/>
        <v>0.44875742608037567</v>
      </c>
      <c r="ER25" s="460">
        <f t="shared" si="124"/>
        <v>448.75742608037564</v>
      </c>
      <c r="ES25" s="528">
        <f t="shared" si="125"/>
        <v>0.12424999999999999</v>
      </c>
      <c r="ET25" s="528"/>
      <c r="EV25" s="460">
        <f t="shared" si="126"/>
        <v>124.24999999999999</v>
      </c>
      <c r="EW25" s="528">
        <f t="shared" si="89"/>
        <v>3.7333333333333333E-3</v>
      </c>
      <c r="EX25" s="528">
        <f t="shared" si="90"/>
        <v>1.404444444444445E-2</v>
      </c>
      <c r="EY25" s="528">
        <f t="shared" si="91"/>
        <v>0.18075621151152735</v>
      </c>
      <c r="EZ25" s="528">
        <f t="shared" si="92"/>
        <v>0.2030894943479333</v>
      </c>
      <c r="FA25" s="528">
        <f t="shared" si="93"/>
        <v>2.7999999999999995E-3</v>
      </c>
      <c r="FB25" s="460">
        <f t="shared" si="127"/>
        <v>205.88949434793329</v>
      </c>
      <c r="FC25" s="173">
        <f t="shared" si="128"/>
        <v>0.77889692042830905</v>
      </c>
      <c r="FD25" s="5">
        <f t="shared" si="129"/>
        <v>3.28</v>
      </c>
      <c r="FE25" s="173">
        <f t="shared" si="130"/>
        <v>0.80810133006626916</v>
      </c>
      <c r="FF25" s="5">
        <f t="shared" si="131"/>
        <v>80.810133006626913</v>
      </c>
      <c r="FI25" s="562">
        <f t="shared" si="94"/>
        <v>-50</v>
      </c>
      <c r="FJ25">
        <f t="shared" si="95"/>
        <v>-50</v>
      </c>
      <c r="FL25">
        <f t="shared" si="96"/>
        <v>0.3</v>
      </c>
    </row>
    <row r="26" spans="5:168">
      <c r="E26" s="170">
        <v>21</v>
      </c>
      <c r="F26" s="217">
        <f t="shared" si="97"/>
        <v>0.21</v>
      </c>
      <c r="G26" s="217"/>
      <c r="H26" s="217">
        <f t="shared" si="0"/>
        <v>3.4439999999999995</v>
      </c>
      <c r="I26" s="541">
        <f t="shared" si="1"/>
        <v>23.967065882664688</v>
      </c>
      <c r="J26" s="172">
        <f t="shared" si="2"/>
        <v>16.819760470401185</v>
      </c>
      <c r="K26" s="172">
        <f t="shared" si="3"/>
        <v>40.819760470401185</v>
      </c>
      <c r="L26" s="443"/>
      <c r="M26" s="217">
        <f t="shared" si="4"/>
        <v>0.41238563343554535</v>
      </c>
      <c r="N26" s="172">
        <f t="shared" si="5"/>
        <v>33.242089028082177</v>
      </c>
      <c r="O26" s="172">
        <f t="shared" si="98"/>
        <v>3.4439999999999995</v>
      </c>
      <c r="P26" s="217">
        <f t="shared" si="6"/>
        <v>2.0269566480537913</v>
      </c>
      <c r="Q26" s="217">
        <f t="shared" si="7"/>
        <v>16.399999999999999</v>
      </c>
      <c r="R26" s="217">
        <f t="shared" si="8"/>
        <v>2.0088767572386432</v>
      </c>
      <c r="S26" s="172">
        <f t="shared" si="9"/>
        <v>356.48941347881316</v>
      </c>
      <c r="T26" s="172">
        <f t="shared" si="10"/>
        <v>16.399999999999999</v>
      </c>
      <c r="U26" s="217">
        <f t="shared" si="99"/>
        <v>0.71475447827385741</v>
      </c>
      <c r="V26" s="217">
        <f t="shared" si="11"/>
        <v>0.3578683256964737</v>
      </c>
      <c r="W26" s="217">
        <f t="shared" si="12"/>
        <v>0.50993911324598729</v>
      </c>
      <c r="X26" s="197">
        <f t="shared" si="13"/>
        <v>350</v>
      </c>
      <c r="Y26" s="443">
        <f t="shared" si="14"/>
        <v>350</v>
      </c>
      <c r="AA26" s="217">
        <f t="shared" si="15"/>
        <v>2.3532359375711969</v>
      </c>
      <c r="AB26" s="173">
        <f t="shared" si="16"/>
        <v>1.6789080498826396</v>
      </c>
      <c r="AC26" s="173">
        <f t="shared" si="17"/>
        <v>0.69140168280074554</v>
      </c>
      <c r="AD26" s="173"/>
      <c r="AE26" s="173">
        <f t="shared" si="18"/>
        <v>0.95126206036977945</v>
      </c>
      <c r="AF26" s="545">
        <f t="shared" si="100"/>
        <v>331.1390342610232</v>
      </c>
      <c r="AG26" s="528">
        <f t="shared" si="19"/>
        <v>0.22196114741961523</v>
      </c>
      <c r="AI26" s="173">
        <f t="shared" si="20"/>
        <v>1.2969101923572497</v>
      </c>
      <c r="AJ26" s="173">
        <f t="shared" si="21"/>
        <v>1.3333333333333335</v>
      </c>
      <c r="AK26" s="173">
        <f t="shared" si="22"/>
        <v>1.1892223052920132</v>
      </c>
      <c r="AM26" s="545">
        <f t="shared" si="23"/>
        <v>210</v>
      </c>
      <c r="AN26" s="460">
        <f t="shared" si="24"/>
        <v>331.1390342610232</v>
      </c>
      <c r="AP26">
        <f t="shared" si="25"/>
        <v>210</v>
      </c>
      <c r="AQ26" s="460">
        <f t="shared" si="26"/>
        <v>331.1390342610232</v>
      </c>
      <c r="AR26" s="460"/>
      <c r="AS26" s="5">
        <f t="shared" si="101"/>
        <v>3.0198795567294594</v>
      </c>
      <c r="AT26" s="5">
        <f t="shared" si="27"/>
        <v>0.66758276037338204</v>
      </c>
      <c r="AU26" s="5">
        <f t="shared" si="102"/>
        <v>2.3522967963560775</v>
      </c>
      <c r="AV26" s="5">
        <f t="shared" si="28"/>
        <v>0.95126206036977945</v>
      </c>
      <c r="AW26" s="173">
        <f t="shared" si="103"/>
        <v>0.22106271055934978</v>
      </c>
      <c r="AX26" s="173">
        <f t="shared" si="29"/>
        <v>3.5321496987842482</v>
      </c>
      <c r="AY26" s="173">
        <f t="shared" si="30"/>
        <v>0.51929152629376685</v>
      </c>
      <c r="AZ26" s="173">
        <f t="shared" si="104"/>
        <v>6.8018627686716506</v>
      </c>
      <c r="BA26" s="460">
        <f t="shared" si="31"/>
        <v>0.85483158340494059</v>
      </c>
      <c r="BB26" s="5">
        <f t="shared" si="32"/>
        <v>0.28168203144236303</v>
      </c>
      <c r="BC26" s="5"/>
      <c r="BD26" s="173">
        <f t="shared" si="105"/>
        <v>0.36193939378839518</v>
      </c>
      <c r="BE26" s="173">
        <f t="shared" si="33"/>
        <v>0.67940596686861798</v>
      </c>
      <c r="BF26" s="173"/>
      <c r="BG26" s="528">
        <f t="shared" si="34"/>
        <v>2.62000249551822E-3</v>
      </c>
      <c r="BH26" s="528">
        <f t="shared" si="35"/>
        <v>0.33792540152337347</v>
      </c>
      <c r="BI26" s="528">
        <f t="shared" si="36"/>
        <v>0.19841077626139755</v>
      </c>
      <c r="BJ26" s="528">
        <f t="shared" si="37"/>
        <v>5.5176135788192998E-2</v>
      </c>
      <c r="BK26">
        <f t="shared" si="38"/>
        <v>1.0785179647199109E-2</v>
      </c>
      <c r="BL26" s="460">
        <f t="shared" si="106"/>
        <v>209.19595590859666</v>
      </c>
      <c r="BM26" s="528">
        <f t="shared" si="39"/>
        <v>0.39667587620912836</v>
      </c>
      <c r="BN26" s="460">
        <f t="shared" si="107"/>
        <v>396.67587620912838</v>
      </c>
      <c r="BO26" s="528">
        <f t="shared" si="108"/>
        <v>0.13046249999999998</v>
      </c>
      <c r="BP26" s="528"/>
      <c r="BR26" s="460">
        <f t="shared" si="109"/>
        <v>130.46249999999998</v>
      </c>
      <c r="BS26" s="528">
        <f t="shared" si="40"/>
        <v>3.9300037432773299E-3</v>
      </c>
      <c r="BT26" s="528">
        <f t="shared" si="41"/>
        <v>1.3847774034500448E-2</v>
      </c>
      <c r="BU26" s="528">
        <f t="shared" si="42"/>
        <v>5.1659999999999991E-2</v>
      </c>
      <c r="BV26" s="528">
        <f t="shared" si="43"/>
        <v>7.3809417838703928E-2</v>
      </c>
      <c r="BW26" s="528">
        <f t="shared" si="44"/>
        <v>2.9434580823202066E-3</v>
      </c>
      <c r="BX26" s="460">
        <f t="shared" si="110"/>
        <v>76.752875921024128</v>
      </c>
      <c r="BY26" s="173">
        <f t="shared" si="45"/>
        <v>0.81308720803874923</v>
      </c>
      <c r="BZ26" s="5">
        <f t="shared" si="111"/>
        <v>3.4439999999999995</v>
      </c>
      <c r="CA26" s="173">
        <f t="shared" si="112"/>
        <v>0.80900386383831191</v>
      </c>
      <c r="CB26" s="5">
        <f t="shared" si="113"/>
        <v>80.90038638383119</v>
      </c>
      <c r="CE26" s="562">
        <f t="shared" si="46"/>
        <v>-50</v>
      </c>
      <c r="CF26">
        <f t="shared" si="47"/>
        <v>-50</v>
      </c>
      <c r="CG26" s="173">
        <f t="shared" si="48"/>
        <v>0.31881832122890846</v>
      </c>
      <c r="CI26" s="170">
        <v>21</v>
      </c>
      <c r="CJ26" s="217">
        <f t="shared" si="114"/>
        <v>0.21</v>
      </c>
      <c r="CK26" s="217"/>
      <c r="CL26" s="217">
        <f t="shared" si="49"/>
        <v>3.4439999999999995</v>
      </c>
      <c r="CM26" s="541">
        <f t="shared" si="50"/>
        <v>24</v>
      </c>
      <c r="CN26" s="172">
        <f t="shared" si="51"/>
        <v>16.799999999999997</v>
      </c>
      <c r="CO26" s="443">
        <f t="shared" si="52"/>
        <v>40.799999999999997</v>
      </c>
      <c r="CP26" s="443"/>
      <c r="CQ26" s="217">
        <f t="shared" si="53"/>
        <v>0.41176470588235292</v>
      </c>
      <c r="CR26" s="172">
        <f t="shared" si="54"/>
        <v>33.237647058823534</v>
      </c>
      <c r="CS26" s="172">
        <f t="shared" si="115"/>
        <v>3.4439999999999995</v>
      </c>
      <c r="CT26" s="217">
        <f t="shared" si="55"/>
        <v>2.026685796269728</v>
      </c>
      <c r="CU26" s="217">
        <f t="shared" si="56"/>
        <v>16.399999999999999</v>
      </c>
      <c r="CV26" s="217">
        <f t="shared" si="57"/>
        <v>2.0086083213773311</v>
      </c>
      <c r="CW26" s="172">
        <f t="shared" si="58"/>
        <v>356.97924317279075</v>
      </c>
      <c r="CX26" s="172">
        <f t="shared" si="59"/>
        <v>16.399999999999999</v>
      </c>
      <c r="CY26" s="217">
        <f t="shared" si="60"/>
        <v>0.69699999999999984</v>
      </c>
      <c r="CZ26" s="217">
        <f t="shared" si="61"/>
        <v>0.34849999999999992</v>
      </c>
      <c r="DA26" s="217">
        <f t="shared" si="62"/>
        <v>0.49785714285714283</v>
      </c>
      <c r="DB26" s="197">
        <f t="shared" si="63"/>
        <v>350</v>
      </c>
      <c r="DC26" s="443">
        <f t="shared" si="116"/>
        <v>350</v>
      </c>
      <c r="DE26" s="217">
        <f t="shared" si="64"/>
        <v>2.3529411764705879</v>
      </c>
      <c r="DF26" s="173">
        <f t="shared" si="65"/>
        <v>1.6806722689075633</v>
      </c>
      <c r="DG26" s="173">
        <f t="shared" si="66"/>
        <v>0.69204152249134954</v>
      </c>
      <c r="DH26" s="173"/>
      <c r="DI26" s="173">
        <f t="shared" si="67"/>
        <v>0.95238095238095266</v>
      </c>
      <c r="DJ26" s="545">
        <f t="shared" si="117"/>
        <v>330.74999999999983</v>
      </c>
      <c r="DK26" s="528">
        <f t="shared" si="68"/>
        <v>0.22222222222222232</v>
      </c>
      <c r="DM26" s="173">
        <f t="shared" si="69"/>
        <v>1.2961481396815719</v>
      </c>
      <c r="DN26" s="173">
        <f t="shared" si="70"/>
        <v>1.3333333333333335</v>
      </c>
      <c r="DO26" s="173">
        <f t="shared" si="71"/>
        <v>1.1889999999999998</v>
      </c>
      <c r="DQ26" s="545">
        <f t="shared" si="72"/>
        <v>210</v>
      </c>
      <c r="DR26" s="460">
        <f t="shared" si="73"/>
        <v>330.74999999999983</v>
      </c>
      <c r="DT26">
        <f t="shared" si="74"/>
        <v>210</v>
      </c>
      <c r="DU26" s="460">
        <f t="shared" si="75"/>
        <v>330.74999999999983</v>
      </c>
      <c r="DV26" s="460"/>
      <c r="DW26" s="5">
        <f t="shared" si="118"/>
        <v>3.0234315948601678</v>
      </c>
      <c r="DX26" s="5">
        <f t="shared" si="76"/>
        <v>0.66666666666666685</v>
      </c>
      <c r="DY26" s="5">
        <f t="shared" si="119"/>
        <v>2.3567649281935008</v>
      </c>
      <c r="DZ26" s="5">
        <f t="shared" si="77"/>
        <v>0.95238095238095266</v>
      </c>
      <c r="EA26" s="173">
        <f t="shared" si="120"/>
        <v>0.22049999999999995</v>
      </c>
      <c r="EB26" s="173">
        <f t="shared" si="78"/>
        <v>3.5279999999999991</v>
      </c>
      <c r="EC26" s="173">
        <f t="shared" si="79"/>
        <v>0.51966666666666683</v>
      </c>
      <c r="ED26" s="173">
        <f t="shared" si="121"/>
        <v>6.7889672867222544</v>
      </c>
      <c r="EE26" s="460">
        <f t="shared" si="80"/>
        <v>0.85365853658536628</v>
      </c>
      <c r="EF26" s="5">
        <f t="shared" si="81"/>
        <v>0.28182980599647273</v>
      </c>
      <c r="EG26" s="5"/>
      <c r="EH26" s="173">
        <f t="shared" si="122"/>
        <v>0.36147844564602555</v>
      </c>
      <c r="EI26" s="173">
        <f t="shared" si="82"/>
        <v>0.67965132673005646</v>
      </c>
      <c r="EJ26" s="173"/>
      <c r="EK26" s="528">
        <f t="shared" si="83"/>
        <v>2.613333333333333E-3</v>
      </c>
      <c r="EL26" s="528">
        <f t="shared" si="84"/>
        <v>0.35985599999999984</v>
      </c>
      <c r="EM26" s="528">
        <f t="shared" si="85"/>
        <v>4.1343749999999978E-2</v>
      </c>
      <c r="EN26" s="528">
        <f t="shared" si="86"/>
        <v>5.5057967999999971E-2</v>
      </c>
      <c r="EO26">
        <f t="shared" si="87"/>
        <v>1.0800000000000001E-2</v>
      </c>
      <c r="EP26" s="460">
        <f t="shared" si="123"/>
        <v>52.143749999999976</v>
      </c>
      <c r="EQ26" s="528">
        <f t="shared" si="88"/>
        <v>0.47066890283383189</v>
      </c>
      <c r="ER26" s="460">
        <f t="shared" si="124"/>
        <v>470.66890283383191</v>
      </c>
      <c r="ES26" s="528">
        <f t="shared" si="125"/>
        <v>0.13046249999999998</v>
      </c>
      <c r="ET26" s="528"/>
      <c r="EV26" s="460">
        <f t="shared" si="126"/>
        <v>130.46249999999998</v>
      </c>
      <c r="EW26" s="528">
        <f t="shared" si="89"/>
        <v>3.9199999999999999E-3</v>
      </c>
      <c r="EX26" s="528">
        <f t="shared" si="90"/>
        <v>1.3857777777777778E-2</v>
      </c>
      <c r="EY26" s="528">
        <f t="shared" si="91"/>
        <v>0.20420504999999972</v>
      </c>
      <c r="EZ26" s="528">
        <f t="shared" si="92"/>
        <v>0.22657172979348378</v>
      </c>
      <c r="FA26" s="528">
        <f t="shared" si="93"/>
        <v>2.939999999999999E-3</v>
      </c>
      <c r="FB26" s="460">
        <f t="shared" si="127"/>
        <v>229.51172979348377</v>
      </c>
      <c r="FC26" s="173">
        <f t="shared" si="128"/>
        <v>0.83064313262731571</v>
      </c>
      <c r="FD26" s="5">
        <f t="shared" si="129"/>
        <v>3.4439999999999995</v>
      </c>
      <c r="FE26" s="173">
        <f t="shared" si="130"/>
        <v>0.80568129154754042</v>
      </c>
      <c r="FF26" s="5">
        <f t="shared" si="131"/>
        <v>80.568129154754047</v>
      </c>
      <c r="FI26" s="562">
        <f t="shared" si="94"/>
        <v>-50</v>
      </c>
      <c r="FJ26">
        <f t="shared" si="95"/>
        <v>-50</v>
      </c>
      <c r="FL26">
        <f t="shared" si="96"/>
        <v>0.31499999999999995</v>
      </c>
    </row>
    <row r="27" spans="5:168">
      <c r="E27" s="170">
        <v>22</v>
      </c>
      <c r="F27" s="217">
        <f t="shared" si="97"/>
        <v>0.22</v>
      </c>
      <c r="G27" s="217"/>
      <c r="H27" s="217">
        <f t="shared" si="0"/>
        <v>3.6079999999999997</v>
      </c>
      <c r="I27" s="541">
        <f t="shared" si="1"/>
        <v>23.967065882664688</v>
      </c>
      <c r="J27" s="172">
        <f t="shared" si="2"/>
        <v>16.819760470401185</v>
      </c>
      <c r="K27" s="172">
        <f t="shared" si="3"/>
        <v>40.819760470401185</v>
      </c>
      <c r="L27" s="443"/>
      <c r="M27" s="217">
        <f t="shared" si="4"/>
        <v>0.41238563343554535</v>
      </c>
      <c r="N27" s="172">
        <f t="shared" si="5"/>
        <v>33.242089028082177</v>
      </c>
      <c r="O27" s="172">
        <f t="shared" si="98"/>
        <v>3.6079999999999997</v>
      </c>
      <c r="P27" s="217">
        <f t="shared" si="6"/>
        <v>2.0269566480537913</v>
      </c>
      <c r="Q27" s="217">
        <f t="shared" si="7"/>
        <v>16.399999999999999</v>
      </c>
      <c r="R27" s="217">
        <f t="shared" si="8"/>
        <v>2.0088767572386432</v>
      </c>
      <c r="S27" s="172">
        <f t="shared" si="9"/>
        <v>339.19852585801107</v>
      </c>
      <c r="T27" s="172">
        <f t="shared" si="10"/>
        <v>16.399999999999999</v>
      </c>
      <c r="U27" s="217">
        <f t="shared" si="99"/>
        <v>0.74879040581070777</v>
      </c>
      <c r="V27" s="217">
        <f t="shared" si="11"/>
        <v>0.37490967453916296</v>
      </c>
      <c r="W27" s="217">
        <f t="shared" si="12"/>
        <v>0.53422192816246283</v>
      </c>
      <c r="X27" s="197">
        <f t="shared" si="13"/>
        <v>350</v>
      </c>
      <c r="Y27" s="443">
        <f t="shared" si="14"/>
        <v>350</v>
      </c>
      <c r="AA27" s="217">
        <f t="shared" si="15"/>
        <v>2.3532359375711969</v>
      </c>
      <c r="AB27" s="173">
        <f t="shared" si="16"/>
        <v>1.6789080498826396</v>
      </c>
      <c r="AC27" s="173">
        <f t="shared" si="17"/>
        <v>0.69140168280074554</v>
      </c>
      <c r="AD27" s="173"/>
      <c r="AE27" s="173">
        <f t="shared" si="18"/>
        <v>0.95126206036977945</v>
      </c>
      <c r="AF27" s="545">
        <f t="shared" si="100"/>
        <v>346.9075597020244</v>
      </c>
      <c r="AG27" s="528">
        <f t="shared" si="19"/>
        <v>0.22196114741961523</v>
      </c>
      <c r="AI27" s="173">
        <f t="shared" si="20"/>
        <v>1.327429901922591</v>
      </c>
      <c r="AJ27" s="173">
        <f t="shared" si="21"/>
        <v>1.3333333333333335</v>
      </c>
      <c r="AK27" s="173">
        <f t="shared" si="22"/>
        <v>1.1982328912582996</v>
      </c>
      <c r="AM27" s="545">
        <f t="shared" si="23"/>
        <v>220</v>
      </c>
      <c r="AN27" s="460">
        <f t="shared" si="24"/>
        <v>346.9075597020244</v>
      </c>
      <c r="AP27">
        <f t="shared" si="25"/>
        <v>220</v>
      </c>
      <c r="AQ27" s="460">
        <f t="shared" si="26"/>
        <v>346.9075597020244</v>
      </c>
      <c r="AR27" s="460"/>
      <c r="AS27" s="5">
        <f t="shared" si="101"/>
        <v>2.8826123041508471</v>
      </c>
      <c r="AT27" s="5">
        <f t="shared" si="27"/>
        <v>0.66758276037338204</v>
      </c>
      <c r="AU27" s="5">
        <f t="shared" si="102"/>
        <v>2.2150295437774652</v>
      </c>
      <c r="AV27" s="5">
        <f t="shared" si="28"/>
        <v>0.95126206036977945</v>
      </c>
      <c r="AW27" s="173">
        <f t="shared" si="103"/>
        <v>0.23158950630027125</v>
      </c>
      <c r="AX27" s="173">
        <f t="shared" si="29"/>
        <v>3.700347303488261</v>
      </c>
      <c r="AY27" s="173">
        <f t="shared" si="30"/>
        <v>0.51227366246648587</v>
      </c>
      <c r="AZ27" s="173">
        <f t="shared" si="104"/>
        <v>7.2233799521761402</v>
      </c>
      <c r="BA27" s="460">
        <f t="shared" si="31"/>
        <v>0.89553784928136637</v>
      </c>
      <c r="BB27" s="5">
        <f t="shared" si="32"/>
        <v>0.27787529468822597</v>
      </c>
      <c r="BC27" s="5"/>
      <c r="BD27" s="173">
        <f t="shared" si="105"/>
        <v>0.37045678014542577</v>
      </c>
      <c r="BE27" s="173">
        <f t="shared" si="33"/>
        <v>0.67479950106448394</v>
      </c>
      <c r="BF27" s="173"/>
      <c r="BG27" s="528">
        <f t="shared" si="34"/>
        <v>2.7447645191143268E-3</v>
      </c>
      <c r="BH27" s="528">
        <f t="shared" si="35"/>
        <v>0.35401708731020093</v>
      </c>
      <c r="BI27" s="528">
        <f t="shared" si="36"/>
        <v>0.20785890846432128</v>
      </c>
      <c r="BJ27" s="528">
        <f t="shared" si="37"/>
        <v>5.7803570825726014E-2</v>
      </c>
      <c r="BK27">
        <f t="shared" si="38"/>
        <v>1.0785179647199109E-2</v>
      </c>
      <c r="BL27" s="460">
        <f t="shared" si="106"/>
        <v>218.6440881115204</v>
      </c>
      <c r="BM27" s="528">
        <f t="shared" si="39"/>
        <v>0.41557753047583856</v>
      </c>
      <c r="BN27" s="460">
        <f t="shared" si="107"/>
        <v>415.57753047583856</v>
      </c>
      <c r="BO27" s="528">
        <f t="shared" si="108"/>
        <v>0.13667499999999999</v>
      </c>
      <c r="BP27" s="528"/>
      <c r="BR27" s="460">
        <f t="shared" si="109"/>
        <v>136.67499999999998</v>
      </c>
      <c r="BS27" s="528">
        <f t="shared" si="40"/>
        <v>4.1171467786714896E-3</v>
      </c>
      <c r="BT27" s="528">
        <f t="shared" si="41"/>
        <v>1.3660630999106292E-2</v>
      </c>
      <c r="BU27" s="528">
        <f t="shared" si="42"/>
        <v>5.4119999999999994E-2</v>
      </c>
      <c r="BV27" s="528">
        <f t="shared" si="43"/>
        <v>7.6272921488338974E-2</v>
      </c>
      <c r="BW27" s="528">
        <f t="shared" si="44"/>
        <v>3.0836227529068838E-3</v>
      </c>
      <c r="BX27" s="460">
        <f t="shared" si="110"/>
        <v>79.356544241245857</v>
      </c>
      <c r="BY27" s="173">
        <f>SUM(BM27,BO27:BQ27,BV27, BW27)+BK27+BI27</f>
        <v>0.85025316282860486</v>
      </c>
      <c r="BZ27" s="5">
        <f t="shared" si="111"/>
        <v>3.6079999999999997</v>
      </c>
      <c r="CA27" s="173">
        <f t="shared" si="112"/>
        <v>0.80928558074769597</v>
      </c>
      <c r="CB27" s="5">
        <f t="shared" si="113"/>
        <v>80.928558074769597</v>
      </c>
      <c r="CE27" s="562">
        <f t="shared" si="46"/>
        <v>-50</v>
      </c>
      <c r="CF27">
        <f t="shared" si="47"/>
        <v>-50</v>
      </c>
      <c r="CG27" s="173">
        <f t="shared" si="48"/>
        <v>0.3340001460493327</v>
      </c>
      <c r="CI27" s="170">
        <v>22</v>
      </c>
      <c r="CJ27" s="217">
        <f t="shared" si="114"/>
        <v>0.22</v>
      </c>
      <c r="CK27" s="217"/>
      <c r="CL27" s="217">
        <f t="shared" si="49"/>
        <v>3.6079999999999997</v>
      </c>
      <c r="CM27" s="541">
        <f t="shared" si="50"/>
        <v>24</v>
      </c>
      <c r="CN27" s="172">
        <f t="shared" si="51"/>
        <v>16.799999999999997</v>
      </c>
      <c r="CO27" s="443">
        <f t="shared" si="52"/>
        <v>40.799999999999997</v>
      </c>
      <c r="CP27" s="443"/>
      <c r="CQ27" s="217">
        <f t="shared" si="53"/>
        <v>0.41176470588235292</v>
      </c>
      <c r="CR27" s="172">
        <f t="shared" si="54"/>
        <v>33.237647058823534</v>
      </c>
      <c r="CS27" s="172">
        <f t="shared" si="115"/>
        <v>3.6079999999999997</v>
      </c>
      <c r="CT27" s="217">
        <f t="shared" si="55"/>
        <v>2.026685796269728</v>
      </c>
      <c r="CU27" s="217">
        <f t="shared" si="56"/>
        <v>16.399999999999999</v>
      </c>
      <c r="CV27" s="217">
        <f t="shared" si="57"/>
        <v>2.0086083213773311</v>
      </c>
      <c r="CW27" s="172">
        <f t="shared" si="58"/>
        <v>339.6645935673285</v>
      </c>
      <c r="CX27" s="172">
        <f t="shared" si="59"/>
        <v>16.399999999999999</v>
      </c>
      <c r="CY27" s="217">
        <f t="shared" si="60"/>
        <v>0.73019047619047606</v>
      </c>
      <c r="CZ27" s="217">
        <f t="shared" si="61"/>
        <v>0.36509523809523803</v>
      </c>
      <c r="DA27" s="217">
        <f t="shared" si="62"/>
        <v>0.52156462585034025</v>
      </c>
      <c r="DB27" s="197">
        <f t="shared" si="63"/>
        <v>350</v>
      </c>
      <c r="DC27" s="443">
        <f t="shared" si="116"/>
        <v>350</v>
      </c>
      <c r="DE27" s="217">
        <f t="shared" si="64"/>
        <v>2.3529411764705879</v>
      </c>
      <c r="DF27" s="173">
        <f t="shared" si="65"/>
        <v>1.6806722689075633</v>
      </c>
      <c r="DG27" s="173">
        <f t="shared" si="66"/>
        <v>0.69204152249134954</v>
      </c>
      <c r="DH27" s="173"/>
      <c r="DI27" s="173">
        <f t="shared" si="67"/>
        <v>0.95238095238095266</v>
      </c>
      <c r="DJ27" s="545">
        <f t="shared" si="117"/>
        <v>346.49999999999989</v>
      </c>
      <c r="DK27" s="528">
        <f t="shared" si="68"/>
        <v>0.22222222222222232</v>
      </c>
      <c r="DM27" s="173">
        <f t="shared" si="69"/>
        <v>1.3266499161421599</v>
      </c>
      <c r="DN27" s="173">
        <f t="shared" si="70"/>
        <v>1.3333333333333335</v>
      </c>
      <c r="DO27" s="173">
        <f t="shared" si="71"/>
        <v>1.198</v>
      </c>
      <c r="DQ27" s="545">
        <f t="shared" si="72"/>
        <v>220</v>
      </c>
      <c r="DR27" s="460">
        <f t="shared" si="73"/>
        <v>346.49999999999989</v>
      </c>
      <c r="DT27">
        <f t="shared" si="74"/>
        <v>220</v>
      </c>
      <c r="DU27" s="460">
        <f t="shared" si="75"/>
        <v>346.49999999999989</v>
      </c>
      <c r="DV27" s="460"/>
      <c r="DW27" s="5">
        <f t="shared" si="118"/>
        <v>2.886002886002887</v>
      </c>
      <c r="DX27" s="5">
        <f t="shared" si="76"/>
        <v>0.66666666666666685</v>
      </c>
      <c r="DY27" s="5">
        <f t="shared" si="119"/>
        <v>2.2193362193362201</v>
      </c>
      <c r="DZ27" s="5">
        <f t="shared" si="77"/>
        <v>0.95238095238095266</v>
      </c>
      <c r="EA27" s="173">
        <f t="shared" si="120"/>
        <v>0.23099999999999998</v>
      </c>
      <c r="EB27" s="173">
        <f t="shared" si="78"/>
        <v>3.6959999999999997</v>
      </c>
      <c r="EC27" s="173">
        <f t="shared" si="79"/>
        <v>0.51266666666666671</v>
      </c>
      <c r="ED27" s="173">
        <f t="shared" si="121"/>
        <v>7.209362808842652</v>
      </c>
      <c r="EE27" s="460">
        <f t="shared" si="80"/>
        <v>0.89430894308943121</v>
      </c>
      <c r="EF27" s="5">
        <f t="shared" si="81"/>
        <v>0.27803350970017643</v>
      </c>
      <c r="EG27" s="5"/>
      <c r="EH27" s="173">
        <f t="shared" si="122"/>
        <v>0.36998498468030955</v>
      </c>
      <c r="EI27" s="173">
        <f t="shared" si="82"/>
        <v>0.67505829652238469</v>
      </c>
      <c r="EJ27" s="173"/>
      <c r="EK27" s="528">
        <f t="shared" si="83"/>
        <v>2.7377777777777778E-3</v>
      </c>
      <c r="EL27" s="528">
        <f t="shared" si="84"/>
        <v>0.37699199999999994</v>
      </c>
      <c r="EM27" s="528">
        <f t="shared" si="85"/>
        <v>4.3312499999999983E-2</v>
      </c>
      <c r="EN27" s="528">
        <f t="shared" si="86"/>
        <v>5.7679775999999981E-2</v>
      </c>
      <c r="EO27">
        <f t="shared" si="87"/>
        <v>1.0800000000000001E-2</v>
      </c>
      <c r="EP27" s="460">
        <f t="shared" si="123"/>
        <v>54.112499999999983</v>
      </c>
      <c r="EQ27" s="528">
        <f t="shared" si="88"/>
        <v>0.49258167618781112</v>
      </c>
      <c r="ER27" s="460">
        <f t="shared" si="124"/>
        <v>492.58167618781113</v>
      </c>
      <c r="ES27" s="528">
        <f t="shared" si="125"/>
        <v>0.13667499999999999</v>
      </c>
      <c r="ET27" s="528"/>
      <c r="EV27" s="460">
        <f t="shared" si="126"/>
        <v>136.67499999999998</v>
      </c>
      <c r="EW27" s="528">
        <f t="shared" si="89"/>
        <v>4.1066666666666665E-3</v>
      </c>
      <c r="EX27" s="528">
        <f t="shared" si="90"/>
        <v>1.3671111111111115E-2</v>
      </c>
      <c r="EY27" s="528">
        <f t="shared" si="91"/>
        <v>0.22939024393395646</v>
      </c>
      <c r="EZ27" s="528">
        <f t="shared" si="92"/>
        <v>0.25179279368497509</v>
      </c>
      <c r="FA27" s="528">
        <f t="shared" si="93"/>
        <v>3.0799999999999994E-3</v>
      </c>
      <c r="FB27" s="460">
        <f t="shared" si="127"/>
        <v>254.87279368497505</v>
      </c>
      <c r="FC27" s="173">
        <f t="shared" si="128"/>
        <v>0.88412946987278618</v>
      </c>
      <c r="FD27" s="5">
        <f t="shared" si="129"/>
        <v>3.6079999999999997</v>
      </c>
      <c r="FE27" s="173">
        <f t="shared" si="130"/>
        <v>0.80318254943399381</v>
      </c>
      <c r="FF27" s="5">
        <f t="shared" si="131"/>
        <v>80.318254943399381</v>
      </c>
      <c r="FI27" s="562">
        <f t="shared" si="94"/>
        <v>-50</v>
      </c>
      <c r="FJ27">
        <f t="shared" si="95"/>
        <v>-50</v>
      </c>
      <c r="FL27">
        <f t="shared" si="96"/>
        <v>0.32999999999999996</v>
      </c>
    </row>
    <row r="28" spans="5:168">
      <c r="E28" s="170">
        <v>23</v>
      </c>
      <c r="F28" s="217">
        <f t="shared" si="97"/>
        <v>0.23</v>
      </c>
      <c r="G28" s="217"/>
      <c r="H28" s="217">
        <f t="shared" si="0"/>
        <v>3.7719999999999998</v>
      </c>
      <c r="I28" s="541">
        <f t="shared" si="1"/>
        <v>23.966494492279342</v>
      </c>
      <c r="J28" s="172">
        <f t="shared" si="2"/>
        <v>16.82010330463239</v>
      </c>
      <c r="K28" s="172">
        <f t="shared" si="3"/>
        <v>40.82010330463239</v>
      </c>
      <c r="L28" s="443"/>
      <c r="M28" s="217">
        <f t="shared" si="4"/>
        <v>0.41239640969203728</v>
      </c>
      <c r="N28" s="172">
        <f t="shared" si="5"/>
        <v>33.242165160178885</v>
      </c>
      <c r="O28" s="172">
        <f t="shared" si="98"/>
        <v>3.7719999999999998</v>
      </c>
      <c r="P28" s="217">
        <f t="shared" si="6"/>
        <v>2.0269612902548104</v>
      </c>
      <c r="Q28" s="217">
        <f t="shared" si="7"/>
        <v>16.399999999999999</v>
      </c>
      <c r="R28" s="217">
        <f t="shared" si="8"/>
        <v>2.0088813580325176</v>
      </c>
      <c r="S28" s="172">
        <f t="shared" si="9"/>
        <v>323.40361160605232</v>
      </c>
      <c r="T28" s="172">
        <f t="shared" si="10"/>
        <v>16.399999999999999</v>
      </c>
      <c r="U28" s="217">
        <f t="shared" si="99"/>
        <v>0.78284068985847122</v>
      </c>
      <c r="V28" s="217">
        <f t="shared" si="11"/>
        <v>0.39196755626184304</v>
      </c>
      <c r="W28" s="217">
        <f t="shared" si="12"/>
        <v>0.55850360180097391</v>
      </c>
      <c r="X28" s="197">
        <f t="shared" si="13"/>
        <v>350</v>
      </c>
      <c r="Y28" s="443">
        <f t="shared" si="14"/>
        <v>350</v>
      </c>
      <c r="AA28" s="217">
        <f t="shared" si="15"/>
        <v>2.3532409861532004</v>
      </c>
      <c r="AB28" s="173">
        <f t="shared" si="16"/>
        <v>1.6788774315114459</v>
      </c>
      <c r="AC28" s="173">
        <f t="shared" si="17"/>
        <v>0.69139055694806073</v>
      </c>
      <c r="AD28" s="173"/>
      <c r="AE28" s="173">
        <f t="shared" si="18"/>
        <v>0.95124267135704665</v>
      </c>
      <c r="AF28" s="545">
        <f t="shared" si="100"/>
        <v>362.68347750613583</v>
      </c>
      <c r="AG28" s="528">
        <f t="shared" si="19"/>
        <v>0.22195662331664426</v>
      </c>
      <c r="AI28" s="173">
        <f t="shared" si="20"/>
        <v>1.35727734472633</v>
      </c>
      <c r="AJ28" s="173">
        <f t="shared" si="21"/>
        <v>1.35727734472633</v>
      </c>
      <c r="AK28" s="173">
        <f t="shared" si="22"/>
        <v>1.2177363047355529</v>
      </c>
      <c r="AM28" s="545">
        <f t="shared" si="23"/>
        <v>230</v>
      </c>
      <c r="AN28" s="460">
        <f t="shared" si="24"/>
        <v>350</v>
      </c>
      <c r="AP28">
        <f t="shared" si="25"/>
        <v>230</v>
      </c>
      <c r="AQ28" s="460">
        <f t="shared" si="26"/>
        <v>350</v>
      </c>
      <c r="AR28" s="460"/>
      <c r="AS28" s="5">
        <f t="shared" si="101"/>
        <v>2.8571428571428572</v>
      </c>
      <c r="AT28" s="5">
        <f t="shared" si="27"/>
        <v>0.67958741909305187</v>
      </c>
      <c r="AU28" s="5">
        <f t="shared" si="102"/>
        <v>2.1775554380498052</v>
      </c>
      <c r="AV28" s="5">
        <f t="shared" si="28"/>
        <v>0.96832509537740485</v>
      </c>
      <c r="AW28" s="173">
        <f t="shared" si="103"/>
        <v>0.23785559668256814</v>
      </c>
      <c r="AX28" s="173">
        <f t="shared" si="29"/>
        <v>3.8686237600654496</v>
      </c>
      <c r="AY28" s="173">
        <f t="shared" si="30"/>
        <v>0.51722066601635852</v>
      </c>
      <c r="AZ28" s="173">
        <f t="shared" si="104"/>
        <v>7.4796387968440028</v>
      </c>
      <c r="BA28" s="460">
        <f t="shared" si="31"/>
        <v>0.95307991702074368</v>
      </c>
      <c r="BB28" s="5">
        <f t="shared" si="32"/>
        <v>0.28559798746571902</v>
      </c>
      <c r="BC28" s="5"/>
      <c r="BD28" s="173">
        <f t="shared" si="105"/>
        <v>0.38217709947563261</v>
      </c>
      <c r="BE28" s="173">
        <f t="shared" si="33"/>
        <v>0.68411104956640234</v>
      </c>
      <c r="BF28" s="173"/>
      <c r="BG28" s="528">
        <f t="shared" si="34"/>
        <v>2.9211867072721515E-3</v>
      </c>
      <c r="BH28" s="528">
        <f t="shared" si="35"/>
        <v>0.36359007185002645</v>
      </c>
      <c r="BI28" s="528">
        <f t="shared" si="36"/>
        <v>0.20970682680744424</v>
      </c>
      <c r="BJ28" s="528">
        <f t="shared" si="37"/>
        <v>5.8319829183030102E-2</v>
      </c>
      <c r="BK28">
        <f t="shared" si="38"/>
        <v>1.0784922521525703E-2</v>
      </c>
      <c r="BL28" s="460">
        <f t="shared" si="106"/>
        <v>220.49174932896995</v>
      </c>
      <c r="BM28" s="528">
        <f t="shared" si="39"/>
        <v>0.42591542495761947</v>
      </c>
      <c r="BN28" s="460">
        <f t="shared" si="107"/>
        <v>425.91542495761945</v>
      </c>
      <c r="BO28" s="528">
        <f t="shared" si="108"/>
        <v>0.1428875</v>
      </c>
      <c r="BP28" s="528"/>
      <c r="BR28" s="460">
        <f t="shared" si="109"/>
        <v>142.88749999999999</v>
      </c>
      <c r="BS28" s="528">
        <f t="shared" si="40"/>
        <v>4.3817800609082273E-3</v>
      </c>
      <c r="BT28" s="528">
        <f t="shared" si="41"/>
        <v>1.4040237844165339E-2</v>
      </c>
      <c r="BU28" s="528">
        <f t="shared" si="42"/>
        <v>5.6579999999999991E-2</v>
      </c>
      <c r="BV28" s="528">
        <f t="shared" si="43"/>
        <v>7.9540525961766945E-2</v>
      </c>
      <c r="BW28" s="528">
        <f t="shared" si="44"/>
        <v>3.223853133387875E-3</v>
      </c>
      <c r="BX28" s="460">
        <f t="shared" si="110"/>
        <v>82.764379095154808</v>
      </c>
      <c r="BY28" s="173">
        <f t="shared" si="45"/>
        <v>0.87205905338174428</v>
      </c>
      <c r="BZ28" s="5">
        <f t="shared" si="111"/>
        <v>3.7719999999999998</v>
      </c>
      <c r="CA28" s="173">
        <f t="shared" si="112"/>
        <v>0.81222050724210282</v>
      </c>
      <c r="CB28" s="5">
        <f t="shared" si="113"/>
        <v>81.222050724210277</v>
      </c>
      <c r="CE28" s="562">
        <f t="shared" si="46"/>
        <v>-50</v>
      </c>
      <c r="CF28">
        <f t="shared" si="47"/>
        <v>-50</v>
      </c>
      <c r="CG28" s="173">
        <f t="shared" si="48"/>
        <v>0.34322715226039519</v>
      </c>
      <c r="CI28" s="170">
        <v>23</v>
      </c>
      <c r="CJ28" s="217">
        <f t="shared" si="114"/>
        <v>0.23</v>
      </c>
      <c r="CK28" s="217"/>
      <c r="CL28" s="217">
        <f t="shared" si="49"/>
        <v>3.7719999999999998</v>
      </c>
      <c r="CM28" s="541">
        <f t="shared" si="50"/>
        <v>24</v>
      </c>
      <c r="CN28" s="172">
        <f t="shared" si="51"/>
        <v>16.799999999999997</v>
      </c>
      <c r="CO28" s="443">
        <f t="shared" si="52"/>
        <v>40.799999999999997</v>
      </c>
      <c r="CP28" s="443"/>
      <c r="CQ28" s="217">
        <f t="shared" si="53"/>
        <v>0.41176470588235292</v>
      </c>
      <c r="CR28" s="172">
        <f t="shared" si="54"/>
        <v>33.237647058823534</v>
      </c>
      <c r="CS28" s="172">
        <f t="shared" si="115"/>
        <v>3.7719999999999998</v>
      </c>
      <c r="CT28" s="217">
        <f t="shared" si="55"/>
        <v>2.026685796269728</v>
      </c>
      <c r="CU28" s="217">
        <f t="shared" si="56"/>
        <v>16.399999999999999</v>
      </c>
      <c r="CV28" s="217">
        <f t="shared" si="57"/>
        <v>2.0086083213773311</v>
      </c>
      <c r="CW28" s="172">
        <f t="shared" si="58"/>
        <v>323.85569322157949</v>
      </c>
      <c r="CX28" s="172">
        <f t="shared" si="59"/>
        <v>16.399999999999999</v>
      </c>
      <c r="CY28" s="217">
        <f t="shared" si="60"/>
        <v>0.76338095238095227</v>
      </c>
      <c r="CZ28" s="217">
        <f t="shared" si="61"/>
        <v>0.38169047619047619</v>
      </c>
      <c r="DA28" s="217">
        <f t="shared" si="62"/>
        <v>0.5452721088435375</v>
      </c>
      <c r="DB28" s="197">
        <f t="shared" si="63"/>
        <v>350</v>
      </c>
      <c r="DC28" s="443">
        <f t="shared" si="116"/>
        <v>350</v>
      </c>
      <c r="DE28" s="217">
        <f t="shared" si="64"/>
        <v>2.3529411764705879</v>
      </c>
      <c r="DF28" s="173">
        <f t="shared" si="65"/>
        <v>1.6806722689075633</v>
      </c>
      <c r="DG28" s="173">
        <f t="shared" si="66"/>
        <v>0.69204152249134954</v>
      </c>
      <c r="DH28" s="173"/>
      <c r="DI28" s="173">
        <f t="shared" si="67"/>
        <v>0.95238095238095266</v>
      </c>
      <c r="DJ28" s="545">
        <f t="shared" si="117"/>
        <v>362.24999999999989</v>
      </c>
      <c r="DK28" s="528">
        <f t="shared" si="68"/>
        <v>0.22222222222222232</v>
      </c>
      <c r="DM28" s="173">
        <f t="shared" si="69"/>
        <v>1.3564659966250534</v>
      </c>
      <c r="DN28" s="173">
        <f t="shared" si="70"/>
        <v>1.3564659966250534</v>
      </c>
      <c r="DO28" s="173">
        <f t="shared" si="71"/>
        <v>1.2171353061420147</v>
      </c>
      <c r="DQ28" s="545">
        <f t="shared" si="72"/>
        <v>230</v>
      </c>
      <c r="DR28" s="460">
        <f t="shared" si="73"/>
        <v>350</v>
      </c>
      <c r="DT28">
        <f t="shared" si="74"/>
        <v>230</v>
      </c>
      <c r="DU28" s="460">
        <f t="shared" si="75"/>
        <v>350</v>
      </c>
      <c r="DV28" s="460"/>
      <c r="DW28" s="5">
        <f t="shared" si="118"/>
        <v>2.8571428571428572</v>
      </c>
      <c r="DX28" s="5">
        <f t="shared" si="76"/>
        <v>0.6782329983125267</v>
      </c>
      <c r="DY28" s="5">
        <f t="shared" si="119"/>
        <v>2.1789098588303304</v>
      </c>
      <c r="DZ28" s="5">
        <f t="shared" si="77"/>
        <v>0.96890428330360978</v>
      </c>
      <c r="EA28" s="173">
        <f t="shared" si="120"/>
        <v>0.23738154940938433</v>
      </c>
      <c r="EB28" s="173">
        <f t="shared" si="78"/>
        <v>3.8639999999999985</v>
      </c>
      <c r="EC28" s="173">
        <f t="shared" si="79"/>
        <v>0.51723299831252678</v>
      </c>
      <c r="ED28" s="173">
        <f t="shared" si="121"/>
        <v>7.4705210468131433</v>
      </c>
      <c r="EE28" s="460">
        <f t="shared" si="80"/>
        <v>0.95118042446269002</v>
      </c>
      <c r="EF28" s="5">
        <f t="shared" si="81"/>
        <v>0.2853766662329168</v>
      </c>
      <c r="EG28" s="5"/>
      <c r="EH28" s="173">
        <f t="shared" si="122"/>
        <v>0.38156784058813054</v>
      </c>
      <c r="EI28" s="173">
        <f t="shared" si="82"/>
        <v>0.68391469962433493</v>
      </c>
      <c r="EJ28" s="173"/>
      <c r="EK28" s="528">
        <f t="shared" si="83"/>
        <v>2.9118803394217801E-3</v>
      </c>
      <c r="EL28" s="528">
        <f t="shared" si="84"/>
        <v>0.38740668863611522</v>
      </c>
      <c r="EM28" s="528">
        <f t="shared" si="85"/>
        <v>4.3749999999999997E-2</v>
      </c>
      <c r="EN28" s="528">
        <f t="shared" si="86"/>
        <v>5.8262399999999999E-2</v>
      </c>
      <c r="EO28">
        <f t="shared" si="87"/>
        <v>1.0800000000000001E-2</v>
      </c>
      <c r="EP28" s="460">
        <f t="shared" si="123"/>
        <v>54.550000000000004</v>
      </c>
      <c r="EQ28" s="528">
        <f t="shared" si="88"/>
        <v>0.50426605957929593</v>
      </c>
      <c r="ER28" s="460">
        <f t="shared" si="124"/>
        <v>504.26605957929593</v>
      </c>
      <c r="ES28" s="528">
        <f t="shared" si="125"/>
        <v>0.1428875</v>
      </c>
      <c r="ET28" s="528"/>
      <c r="EV28" s="460">
        <f t="shared" si="126"/>
        <v>142.88749999999999</v>
      </c>
      <c r="EW28" s="528">
        <f t="shared" si="89"/>
        <v>4.3678205091326697E-3</v>
      </c>
      <c r="EX28" s="528">
        <f t="shared" si="90"/>
        <v>1.4032179490867326E-2</v>
      </c>
      <c r="EY28" s="528">
        <f t="shared" si="91"/>
        <v>0.24556269666616337</v>
      </c>
      <c r="EZ28" s="528">
        <f t="shared" si="92"/>
        <v>0.26877433248357924</v>
      </c>
      <c r="FA28" s="528">
        <f t="shared" si="93"/>
        <v>3.2199999999999993E-3</v>
      </c>
      <c r="FB28" s="460">
        <f t="shared" si="127"/>
        <v>271.99433248357923</v>
      </c>
      <c r="FC28" s="173">
        <f t="shared" si="128"/>
        <v>0.91914789206287506</v>
      </c>
      <c r="FD28" s="5">
        <f t="shared" si="129"/>
        <v>3.7719999999999998</v>
      </c>
      <c r="FE28" s="173">
        <f t="shared" si="130"/>
        <v>0.80406759428369012</v>
      </c>
      <c r="FF28" s="5">
        <f t="shared" si="131"/>
        <v>80.406759428369014</v>
      </c>
      <c r="FI28" s="562">
        <f t="shared" si="94"/>
        <v>-50</v>
      </c>
      <c r="FJ28">
        <f t="shared" si="95"/>
        <v>-50</v>
      </c>
      <c r="FL28">
        <f t="shared" si="96"/>
        <v>0.33911649915626346</v>
      </c>
    </row>
    <row r="29" spans="5:168">
      <c r="E29" s="170">
        <v>24</v>
      </c>
      <c r="F29" s="217">
        <f t="shared" si="97"/>
        <v>0.24</v>
      </c>
      <c r="G29" s="217"/>
      <c r="H29" s="217">
        <f t="shared" si="0"/>
        <v>3.9359999999999995</v>
      </c>
      <c r="I29" s="541">
        <f t="shared" si="1"/>
        <v>23.965773861283683</v>
      </c>
      <c r="J29" s="172">
        <f t="shared" si="2"/>
        <v>16.820535683229789</v>
      </c>
      <c r="K29" s="172">
        <f t="shared" si="3"/>
        <v>40.820535683229792</v>
      </c>
      <c r="L29" s="443"/>
      <c r="M29" s="217">
        <f t="shared" si="4"/>
        <v>0.41241000075211609</v>
      </c>
      <c r="N29" s="172">
        <f t="shared" si="5"/>
        <v>33.242261131674873</v>
      </c>
      <c r="O29" s="172">
        <f t="shared" si="98"/>
        <v>3.9359999999999995</v>
      </c>
      <c r="P29" s="217">
        <f t="shared" si="6"/>
        <v>2.0269671421752973</v>
      </c>
      <c r="Q29" s="217">
        <f t="shared" si="7"/>
        <v>16.399999999999999</v>
      </c>
      <c r="R29" s="217">
        <f t="shared" si="8"/>
        <v>2.0088871577554976</v>
      </c>
      <c r="S29" s="172">
        <f t="shared" si="9"/>
        <v>308.9231876756088</v>
      </c>
      <c r="T29" s="172">
        <f t="shared" si="10"/>
        <v>16.399999999999999</v>
      </c>
      <c r="U29" s="217">
        <f t="shared" si="99"/>
        <v>0.81689613610578904</v>
      </c>
      <c r="V29" s="217">
        <f t="shared" si="11"/>
        <v>0.40903138325550409</v>
      </c>
      <c r="W29" s="217">
        <f t="shared" si="12"/>
        <v>0.58278486594472101</v>
      </c>
      <c r="X29" s="197">
        <f t="shared" si="13"/>
        <v>350</v>
      </c>
      <c r="Y29" s="443">
        <f t="shared" si="14"/>
        <v>350</v>
      </c>
      <c r="AA29" s="217">
        <f t="shared" si="15"/>
        <v>2.3532473501864106</v>
      </c>
      <c r="AB29" s="173">
        <f t="shared" si="16"/>
        <v>1.6788388154838261</v>
      </c>
      <c r="AC29" s="173">
        <f t="shared" si="17"/>
        <v>0.69137652393729609</v>
      </c>
      <c r="AD29" s="173"/>
      <c r="AE29" s="173">
        <f t="shared" si="18"/>
        <v>0.95121821928371364</v>
      </c>
      <c r="AF29" s="545">
        <f t="shared" si="100"/>
        <v>378.4620528726702</v>
      </c>
      <c r="AG29" s="528">
        <f t="shared" si="19"/>
        <v>0.22195091783286652</v>
      </c>
      <c r="AI29" s="173">
        <f t="shared" si="20"/>
        <v>1.3864872647183824</v>
      </c>
      <c r="AJ29" s="173">
        <f t="shared" si="21"/>
        <v>1.3864872647183824</v>
      </c>
      <c r="AK29" s="173">
        <f t="shared" si="22"/>
        <v>1.2393732825074435</v>
      </c>
      <c r="AM29" s="545">
        <f t="shared" si="23"/>
        <v>240</v>
      </c>
      <c r="AN29" s="460">
        <f t="shared" si="24"/>
        <v>350</v>
      </c>
      <c r="AP29">
        <f t="shared" si="25"/>
        <v>240</v>
      </c>
      <c r="AQ29" s="460">
        <f t="shared" si="26"/>
        <v>350</v>
      </c>
      <c r="AR29" s="460"/>
      <c r="AS29" s="5">
        <f t="shared" si="101"/>
        <v>2.8571428571428572</v>
      </c>
      <c r="AT29" s="5">
        <f t="shared" si="27"/>
        <v>0.69423367144003478</v>
      </c>
      <c r="AU29" s="5">
        <f t="shared" si="102"/>
        <v>2.1629091857028224</v>
      </c>
      <c r="AV29" s="5">
        <f t="shared" si="28"/>
        <v>0.98913896025372472</v>
      </c>
      <c r="AW29" s="173">
        <f t="shared" si="103"/>
        <v>0.24298178500401216</v>
      </c>
      <c r="AX29" s="173">
        <f t="shared" si="29"/>
        <v>4.0369285639751489</v>
      </c>
      <c r="AY29" s="173">
        <f t="shared" si="30"/>
        <v>0.52479805712588978</v>
      </c>
      <c r="AZ29" s="173">
        <f t="shared" si="104"/>
        <v>7.6923466258312789</v>
      </c>
      <c r="BA29" s="460">
        <f t="shared" si="31"/>
        <v>1.0159517143024899</v>
      </c>
      <c r="BB29" s="5">
        <f t="shared" si="32"/>
        <v>0.29601973924013569</v>
      </c>
      <c r="BC29" s="5"/>
      <c r="BD29" s="173">
        <f t="shared" si="105"/>
        <v>0.39458640360013642</v>
      </c>
      <c r="BE29" s="173">
        <f t="shared" si="33"/>
        <v>0.69647963490399167</v>
      </c>
      <c r="BF29" s="173"/>
      <c r="BG29" s="528">
        <f t="shared" si="34"/>
        <v>3.1139685981217951E-3</v>
      </c>
      <c r="BH29" s="528">
        <f t="shared" si="35"/>
        <v>0.37141881566855883</v>
      </c>
      <c r="BI29" s="528">
        <f t="shared" si="36"/>
        <v>0.20970052128623223</v>
      </c>
      <c r="BJ29" s="528">
        <f t="shared" si="37"/>
        <v>5.8321064671304289E-2</v>
      </c>
      <c r="BK29">
        <f t="shared" si="38"/>
        <v>1.0784598237577657E-2</v>
      </c>
      <c r="BL29" s="460">
        <f t="shared" si="106"/>
        <v>220.48511952380989</v>
      </c>
      <c r="BM29" s="528">
        <f t="shared" si="39"/>
        <v>0.43401573956433848</v>
      </c>
      <c r="BN29" s="460">
        <f t="shared" si="107"/>
        <v>434.0157395643385</v>
      </c>
      <c r="BO29" s="528">
        <f t="shared" si="108"/>
        <v>0.14909999999999998</v>
      </c>
      <c r="BP29" s="528"/>
      <c r="BR29" s="460">
        <f t="shared" si="109"/>
        <v>149.1</v>
      </c>
      <c r="BS29" s="528">
        <f t="shared" si="40"/>
        <v>4.6709528971826926E-3</v>
      </c>
      <c r="BT29" s="528">
        <f t="shared" si="41"/>
        <v>1.4552516455079927E-2</v>
      </c>
      <c r="BU29" s="528">
        <f t="shared" si="42"/>
        <v>5.9039999999999988E-2</v>
      </c>
      <c r="BV29" s="528">
        <f t="shared" si="43"/>
        <v>8.300475314305665E-2</v>
      </c>
      <c r="BW29" s="528">
        <f t="shared" si="44"/>
        <v>3.3641071366459579E-3</v>
      </c>
      <c r="BX29" s="460">
        <f t="shared" si="110"/>
        <v>86.368860279702616</v>
      </c>
      <c r="BY29" s="173">
        <f t="shared" si="45"/>
        <v>0.88996971936785085</v>
      </c>
      <c r="BZ29" s="5">
        <f t="shared" si="111"/>
        <v>3.9359999999999995</v>
      </c>
      <c r="CA29" s="173">
        <f t="shared" si="112"/>
        <v>0.81558738012876986</v>
      </c>
      <c r="CB29" s="5">
        <f t="shared" si="113"/>
        <v>81.558738012876987</v>
      </c>
      <c r="CE29" s="562">
        <f t="shared" si="46"/>
        <v>-50</v>
      </c>
      <c r="CF29">
        <f t="shared" si="47"/>
        <v>-50</v>
      </c>
      <c r="CG29" s="173">
        <f t="shared" si="48"/>
        <v>0.35060922587446652</v>
      </c>
      <c r="CI29" s="170">
        <v>24</v>
      </c>
      <c r="CJ29" s="217">
        <f t="shared" si="114"/>
        <v>0.24</v>
      </c>
      <c r="CK29" s="217"/>
      <c r="CL29" s="217">
        <f t="shared" si="49"/>
        <v>3.9359999999999995</v>
      </c>
      <c r="CM29" s="541">
        <f t="shared" si="50"/>
        <v>24</v>
      </c>
      <c r="CN29" s="172">
        <f t="shared" si="51"/>
        <v>16.799999999999997</v>
      </c>
      <c r="CO29" s="443">
        <f t="shared" si="52"/>
        <v>40.799999999999997</v>
      </c>
      <c r="CP29" s="443"/>
      <c r="CQ29" s="217">
        <f t="shared" si="53"/>
        <v>0.41176470588235292</v>
      </c>
      <c r="CR29" s="172">
        <f t="shared" si="54"/>
        <v>33.237647058823534</v>
      </c>
      <c r="CS29" s="172">
        <f t="shared" si="115"/>
        <v>3.9359999999999995</v>
      </c>
      <c r="CT29" s="217">
        <f t="shared" si="55"/>
        <v>2.026685796269728</v>
      </c>
      <c r="CU29" s="217">
        <f t="shared" si="56"/>
        <v>16.399999999999999</v>
      </c>
      <c r="CV29" s="217">
        <f t="shared" si="57"/>
        <v>2.0086083213773311</v>
      </c>
      <c r="CW29" s="172">
        <f t="shared" si="58"/>
        <v>309.36432463619326</v>
      </c>
      <c r="CX29" s="172">
        <f t="shared" si="59"/>
        <v>16.399999999999999</v>
      </c>
      <c r="CY29" s="217">
        <f t="shared" si="60"/>
        <v>0.79657142857142849</v>
      </c>
      <c r="CZ29" s="217">
        <f t="shared" si="61"/>
        <v>0.39828571428571424</v>
      </c>
      <c r="DA29" s="217">
        <f t="shared" si="62"/>
        <v>0.56897959183673463</v>
      </c>
      <c r="DB29" s="197">
        <f t="shared" si="63"/>
        <v>350</v>
      </c>
      <c r="DC29" s="443">
        <f t="shared" si="116"/>
        <v>350</v>
      </c>
      <c r="DE29" s="217">
        <f t="shared" si="64"/>
        <v>2.3529411764705879</v>
      </c>
      <c r="DF29" s="173">
        <f t="shared" si="65"/>
        <v>1.6806722689075633</v>
      </c>
      <c r="DG29" s="173">
        <f t="shared" si="66"/>
        <v>0.69204152249134954</v>
      </c>
      <c r="DH29" s="173"/>
      <c r="DI29" s="173">
        <f t="shared" si="67"/>
        <v>0.95238095238095266</v>
      </c>
      <c r="DJ29" s="545">
        <f t="shared" si="117"/>
        <v>377.99999999999983</v>
      </c>
      <c r="DK29" s="528">
        <f t="shared" si="68"/>
        <v>0.22222222222222232</v>
      </c>
      <c r="DM29" s="173">
        <f t="shared" si="69"/>
        <v>1.3856406460551016</v>
      </c>
      <c r="DN29" s="173">
        <f t="shared" si="70"/>
        <v>1.3856406460551016</v>
      </c>
      <c r="DO29" s="173">
        <f t="shared" si="71"/>
        <v>1.2387461575716801</v>
      </c>
      <c r="DQ29" s="545">
        <f t="shared" si="72"/>
        <v>240</v>
      </c>
      <c r="DR29" s="460">
        <f t="shared" si="73"/>
        <v>350</v>
      </c>
      <c r="DT29">
        <f t="shared" si="74"/>
        <v>240</v>
      </c>
      <c r="DU29" s="460">
        <f t="shared" si="75"/>
        <v>350</v>
      </c>
      <c r="DV29" s="460"/>
      <c r="DW29" s="5">
        <f t="shared" si="118"/>
        <v>2.8571428571428572</v>
      </c>
      <c r="DX29" s="5">
        <f t="shared" si="76"/>
        <v>0.69282032302755081</v>
      </c>
      <c r="DY29" s="5">
        <f t="shared" si="119"/>
        <v>2.1643225341153065</v>
      </c>
      <c r="DZ29" s="5">
        <f t="shared" si="77"/>
        <v>0.98974331861078702</v>
      </c>
      <c r="EA29" s="173">
        <f t="shared" si="120"/>
        <v>0.24248711305964277</v>
      </c>
      <c r="EB29" s="173">
        <f t="shared" si="78"/>
        <v>4.0319999999999991</v>
      </c>
      <c r="EC29" s="173">
        <f t="shared" si="79"/>
        <v>0.52482032302755088</v>
      </c>
      <c r="ED29" s="173">
        <f t="shared" si="121"/>
        <v>7.6826293172879589</v>
      </c>
      <c r="EE29" s="460">
        <f t="shared" si="80"/>
        <v>1.0138833995525136</v>
      </c>
      <c r="EF29" s="5">
        <f t="shared" si="81"/>
        <v>0.2957907463290918</v>
      </c>
      <c r="EG29" s="5"/>
      <c r="EH29" s="173">
        <f t="shared" si="122"/>
        <v>0.39394384416839329</v>
      </c>
      <c r="EI29" s="173">
        <f t="shared" si="82"/>
        <v>0.69628173007901661</v>
      </c>
      <c r="EJ29" s="173"/>
      <c r="EK29" s="528">
        <f t="shared" si="83"/>
        <v>3.1038350471634269E-3</v>
      </c>
      <c r="EL29" s="528">
        <f t="shared" si="84"/>
        <v>0.39573896851333701</v>
      </c>
      <c r="EM29" s="528">
        <f t="shared" si="85"/>
        <v>4.3749999999999997E-2</v>
      </c>
      <c r="EN29" s="528">
        <f t="shared" si="86"/>
        <v>5.8262399999999999E-2</v>
      </c>
      <c r="EO29">
        <f t="shared" si="87"/>
        <v>1.0800000000000001E-2</v>
      </c>
      <c r="EP29" s="460">
        <f t="shared" si="123"/>
        <v>54.550000000000004</v>
      </c>
      <c r="EQ29" s="528">
        <f t="shared" si="88"/>
        <v>0.51287146696311747</v>
      </c>
      <c r="ER29" s="460">
        <f t="shared" si="124"/>
        <v>512.87146696311743</v>
      </c>
      <c r="ES29" s="528">
        <f t="shared" si="125"/>
        <v>0.14909999999999998</v>
      </c>
      <c r="ET29" s="528"/>
      <c r="EV29" s="460">
        <f t="shared" si="126"/>
        <v>149.1</v>
      </c>
      <c r="EW29" s="528">
        <f t="shared" si="89"/>
        <v>4.6557525707451404E-3</v>
      </c>
      <c r="EX29" s="528">
        <f t="shared" si="90"/>
        <v>1.4544247429254857E-2</v>
      </c>
      <c r="EY29" s="528">
        <f t="shared" si="91"/>
        <v>0.25898025317416434</v>
      </c>
      <c r="EZ29" s="528">
        <f t="shared" si="92"/>
        <v>0.28322328413860121</v>
      </c>
      <c r="FA29" s="528">
        <f t="shared" si="93"/>
        <v>3.3599999999999997E-3</v>
      </c>
      <c r="FB29" s="460">
        <f t="shared" si="127"/>
        <v>286.58328413860119</v>
      </c>
      <c r="FC29" s="173">
        <f t="shared" si="128"/>
        <v>0.94855475110171872</v>
      </c>
      <c r="FD29" s="5">
        <f t="shared" si="129"/>
        <v>3.9359999999999995</v>
      </c>
      <c r="FE29" s="173">
        <f t="shared" si="130"/>
        <v>0.80580527818062209</v>
      </c>
      <c r="FF29" s="5">
        <f t="shared" si="131"/>
        <v>80.580527818062208</v>
      </c>
      <c r="FI29" s="562">
        <f t="shared" si="94"/>
        <v>-50</v>
      </c>
      <c r="FJ29">
        <f t="shared" si="95"/>
        <v>-50</v>
      </c>
      <c r="FL29">
        <f t="shared" si="96"/>
        <v>0.34641016151377552</v>
      </c>
    </row>
    <row r="30" spans="5:168">
      <c r="E30" s="170">
        <v>25</v>
      </c>
      <c r="F30" s="217">
        <f t="shared" si="97"/>
        <v>0.25</v>
      </c>
      <c r="G30" s="217"/>
      <c r="H30" s="217">
        <f t="shared" si="0"/>
        <v>4.0999999999999996</v>
      </c>
      <c r="I30" s="541">
        <f t="shared" si="1"/>
        <v>23.965068093449712</v>
      </c>
      <c r="J30" s="172">
        <f t="shared" si="2"/>
        <v>16.820959143930171</v>
      </c>
      <c r="K30" s="172">
        <f t="shared" si="3"/>
        <v>40.820959143930168</v>
      </c>
      <c r="L30" s="443"/>
      <c r="M30" s="217">
        <f t="shared" si="4"/>
        <v>0.41242331167661922</v>
      </c>
      <c r="N30" s="172">
        <f t="shared" si="5"/>
        <v>33.242355074617066</v>
      </c>
      <c r="O30" s="172">
        <f t="shared" si="98"/>
        <v>4.0999999999999996</v>
      </c>
      <c r="P30" s="217">
        <f t="shared" si="6"/>
        <v>2.0269728704034797</v>
      </c>
      <c r="Q30" s="217">
        <f t="shared" si="7"/>
        <v>16.399999999999999</v>
      </c>
      <c r="R30" s="217">
        <f t="shared" si="8"/>
        <v>2.0088928348894739</v>
      </c>
      <c r="S30" s="172">
        <f t="shared" si="9"/>
        <v>295.60155820921773</v>
      </c>
      <c r="T30" s="172">
        <f t="shared" si="10"/>
        <v>16.399999999999999</v>
      </c>
      <c r="U30" s="217">
        <f t="shared" si="99"/>
        <v>0.85095275210240851</v>
      </c>
      <c r="V30" s="217">
        <f t="shared" si="11"/>
        <v>0.42609655793216616</v>
      </c>
      <c r="W30" s="217">
        <f t="shared" si="12"/>
        <v>0.60706603814049986</v>
      </c>
      <c r="X30" s="197">
        <f t="shared" si="13"/>
        <v>350</v>
      </c>
      <c r="Y30" s="443">
        <f t="shared" si="14"/>
        <v>350</v>
      </c>
      <c r="AA30" s="217">
        <f t="shared" si="15"/>
        <v>2.3532535795212346</v>
      </c>
      <c r="AB30" s="173">
        <f t="shared" si="16"/>
        <v>1.6788009953906138</v>
      </c>
      <c r="AC30" s="173">
        <f t="shared" si="17"/>
        <v>0.69136277904868526</v>
      </c>
      <c r="AD30" s="173"/>
      <c r="AE30" s="173">
        <f t="shared" si="18"/>
        <v>0.95119427275784019</v>
      </c>
      <c r="AF30" s="545">
        <f t="shared" si="100"/>
        <v>394.24122993586337</v>
      </c>
      <c r="AG30" s="528">
        <f t="shared" si="19"/>
        <v>0.22194533031016273</v>
      </c>
      <c r="AI30" s="173">
        <f t="shared" si="20"/>
        <v>1.4150954512619152</v>
      </c>
      <c r="AJ30" s="173">
        <f t="shared" si="21"/>
        <v>1.4150954512619152</v>
      </c>
      <c r="AK30" s="173">
        <f t="shared" si="22"/>
        <v>1.2605645317989493</v>
      </c>
      <c r="AM30" s="545">
        <f t="shared" si="23"/>
        <v>250</v>
      </c>
      <c r="AN30" s="460">
        <f t="shared" si="24"/>
        <v>350</v>
      </c>
      <c r="AP30">
        <f t="shared" si="25"/>
        <v>250</v>
      </c>
      <c r="AQ30" s="460">
        <f t="shared" si="26"/>
        <v>350</v>
      </c>
      <c r="AR30" s="460"/>
      <c r="AS30" s="5">
        <f t="shared" si="101"/>
        <v>2.8571428571428572</v>
      </c>
      <c r="AT30" s="5">
        <f t="shared" si="27"/>
        <v>0.70857905969332002</v>
      </c>
      <c r="AU30" s="5">
        <f t="shared" si="102"/>
        <v>2.1485637974495373</v>
      </c>
      <c r="AV30" s="5">
        <f t="shared" si="28"/>
        <v>1.0095230164845037</v>
      </c>
      <c r="AW30" s="173">
        <f t="shared" si="103"/>
        <v>0.24800267089266201</v>
      </c>
      <c r="AX30" s="173">
        <f t="shared" si="29"/>
        <v>4.2052397859825437</v>
      </c>
      <c r="AY30" s="173">
        <f t="shared" si="30"/>
        <v>0.53207399989045168</v>
      </c>
      <c r="AZ30" s="173">
        <f t="shared" si="104"/>
        <v>7.9034867083307159</v>
      </c>
      <c r="BA30" s="460">
        <f t="shared" si="31"/>
        <v>1.0801510056300612</v>
      </c>
      <c r="BB30" s="5">
        <f t="shared" si="32"/>
        <v>0.30631777382510561</v>
      </c>
      <c r="BC30" s="5"/>
      <c r="BD30" s="173">
        <f t="shared" si="105"/>
        <v>0.40686776812732883</v>
      </c>
      <c r="BE30" s="173">
        <f t="shared" si="33"/>
        <v>0.70848923632365368</v>
      </c>
      <c r="BF30" s="173"/>
      <c r="BG30" s="528">
        <f t="shared" si="34"/>
        <v>3.3108276148182763E-3</v>
      </c>
      <c r="BH30" s="528">
        <f t="shared" si="35"/>
        <v>0.37908644550475157</v>
      </c>
      <c r="BI30" s="528">
        <f t="shared" si="36"/>
        <v>0.20969434581768498</v>
      </c>
      <c r="BJ30" s="528">
        <f t="shared" si="37"/>
        <v>5.8322274690064561E-2</v>
      </c>
      <c r="BK30">
        <f t="shared" si="38"/>
        <v>1.078428064205237E-2</v>
      </c>
      <c r="BL30" s="460">
        <f t="shared" si="106"/>
        <v>220.47862645973734</v>
      </c>
      <c r="BM30" s="528">
        <f t="shared" si="39"/>
        <v>0.441961141164676</v>
      </c>
      <c r="BN30" s="460">
        <f t="shared" si="107"/>
        <v>441.96114116467601</v>
      </c>
      <c r="BO30" s="528">
        <f t="shared" si="108"/>
        <v>0.15531249999999999</v>
      </c>
      <c r="BP30" s="528"/>
      <c r="BR30" s="460">
        <f t="shared" si="109"/>
        <v>155.3125</v>
      </c>
      <c r="BS30" s="528">
        <f t="shared" si="40"/>
        <v>4.9662414222274142E-3</v>
      </c>
      <c r="BT30" s="528">
        <f t="shared" si="41"/>
        <v>1.5058709939594218E-2</v>
      </c>
      <c r="BU30" s="528">
        <f t="shared" si="42"/>
        <v>6.1499999999999992E-2</v>
      </c>
      <c r="BV30" s="528">
        <f t="shared" si="43"/>
        <v>8.6469463432620505E-2</v>
      </c>
      <c r="BW30" s="528">
        <f t="shared" si="44"/>
        <v>3.5043664883187861E-3</v>
      </c>
      <c r="BX30" s="460">
        <f t="shared" si="110"/>
        <v>89.973829920939295</v>
      </c>
      <c r="BY30" s="173">
        <f t="shared" si="45"/>
        <v>0.90772609754535261</v>
      </c>
      <c r="BZ30" s="5">
        <f t="shared" si="111"/>
        <v>4.0999999999999996</v>
      </c>
      <c r="CA30" s="173">
        <f t="shared" si="112"/>
        <v>0.81873487489855035</v>
      </c>
      <c r="CB30" s="5">
        <f t="shared" si="113"/>
        <v>81.873487489855037</v>
      </c>
      <c r="CE30" s="562">
        <f t="shared" si="46"/>
        <v>-50</v>
      </c>
      <c r="CF30">
        <f t="shared" si="47"/>
        <v>-50</v>
      </c>
      <c r="CG30" s="173">
        <f t="shared" si="48"/>
        <v>0.35783904271027339</v>
      </c>
      <c r="CI30" s="170">
        <v>25</v>
      </c>
      <c r="CJ30" s="217">
        <f t="shared" si="114"/>
        <v>0.25</v>
      </c>
      <c r="CK30" s="217"/>
      <c r="CL30" s="217">
        <f t="shared" si="49"/>
        <v>4.0999999999999996</v>
      </c>
      <c r="CM30" s="541">
        <f t="shared" si="50"/>
        <v>24</v>
      </c>
      <c r="CN30" s="172">
        <f t="shared" si="51"/>
        <v>16.799999999999997</v>
      </c>
      <c r="CO30" s="443">
        <f t="shared" si="52"/>
        <v>40.799999999999997</v>
      </c>
      <c r="CP30" s="443"/>
      <c r="CQ30" s="217">
        <f t="shared" si="53"/>
        <v>0.41176470588235292</v>
      </c>
      <c r="CR30" s="172">
        <f t="shared" si="54"/>
        <v>33.237647058823534</v>
      </c>
      <c r="CS30" s="172">
        <f t="shared" si="115"/>
        <v>4.0999999999999996</v>
      </c>
      <c r="CT30" s="217">
        <f t="shared" si="55"/>
        <v>2.026685796269728</v>
      </c>
      <c r="CU30" s="217">
        <f t="shared" si="56"/>
        <v>16.399999999999999</v>
      </c>
      <c r="CV30" s="217">
        <f t="shared" si="57"/>
        <v>2.0086083213773311</v>
      </c>
      <c r="CW30" s="172">
        <f t="shared" si="58"/>
        <v>296.03238512551843</v>
      </c>
      <c r="CX30" s="172">
        <f t="shared" si="59"/>
        <v>16.399999999999999</v>
      </c>
      <c r="CY30" s="217">
        <f t="shared" si="60"/>
        <v>0.8297619047619047</v>
      </c>
      <c r="CZ30" s="217">
        <f t="shared" si="61"/>
        <v>0.41488095238095235</v>
      </c>
      <c r="DA30" s="217">
        <f t="shared" si="62"/>
        <v>0.5926870748299321</v>
      </c>
      <c r="DB30" s="197">
        <f t="shared" si="63"/>
        <v>350</v>
      </c>
      <c r="DC30" s="443">
        <f t="shared" si="116"/>
        <v>350</v>
      </c>
      <c r="DE30" s="217">
        <f t="shared" si="64"/>
        <v>2.3529411764705879</v>
      </c>
      <c r="DF30" s="173">
        <f t="shared" si="65"/>
        <v>1.6806722689075633</v>
      </c>
      <c r="DG30" s="173">
        <f t="shared" si="66"/>
        <v>0.69204152249134954</v>
      </c>
      <c r="DH30" s="173"/>
      <c r="DI30" s="173">
        <f t="shared" si="67"/>
        <v>0.95238095238095266</v>
      </c>
      <c r="DJ30" s="545">
        <f t="shared" si="117"/>
        <v>393.74999999999983</v>
      </c>
      <c r="DK30" s="528">
        <f t="shared" si="68"/>
        <v>0.22222222222222232</v>
      </c>
      <c r="DM30" s="173">
        <f t="shared" si="69"/>
        <v>1.4142135623730949</v>
      </c>
      <c r="DN30" s="173">
        <f t="shared" si="70"/>
        <v>1.4142135623730949</v>
      </c>
      <c r="DO30" s="173">
        <f t="shared" si="71"/>
        <v>1.2599112807701935</v>
      </c>
      <c r="DQ30" s="545">
        <f t="shared" si="72"/>
        <v>250</v>
      </c>
      <c r="DR30" s="460">
        <f t="shared" si="73"/>
        <v>350</v>
      </c>
      <c r="DT30">
        <f t="shared" si="74"/>
        <v>250</v>
      </c>
      <c r="DU30" s="460">
        <f t="shared" si="75"/>
        <v>350</v>
      </c>
      <c r="DV30" s="460"/>
      <c r="DW30" s="5">
        <f t="shared" si="118"/>
        <v>2.8571428571428572</v>
      </c>
      <c r="DX30" s="5">
        <f t="shared" si="76"/>
        <v>0.70710678118654746</v>
      </c>
      <c r="DY30" s="5">
        <f t="shared" si="119"/>
        <v>2.1500360759563097</v>
      </c>
      <c r="DZ30" s="5">
        <f t="shared" si="77"/>
        <v>1.010152544552211</v>
      </c>
      <c r="EA30" s="173">
        <f t="shared" si="120"/>
        <v>0.24748737341529162</v>
      </c>
      <c r="EB30" s="173">
        <f t="shared" si="78"/>
        <v>4.1999999999999993</v>
      </c>
      <c r="EC30" s="173">
        <f t="shared" si="79"/>
        <v>0.53210678118654753</v>
      </c>
      <c r="ED30" s="173">
        <f t="shared" si="121"/>
        <v>7.8931525560234332</v>
      </c>
      <c r="EE30" s="460">
        <f t="shared" si="80"/>
        <v>1.0779066786380298</v>
      </c>
      <c r="EF30" s="5">
        <f t="shared" si="81"/>
        <v>0.30608152470211347</v>
      </c>
      <c r="EG30" s="5"/>
      <c r="EH30" s="173">
        <f t="shared" si="122"/>
        <v>0.40619155859872452</v>
      </c>
      <c r="EI30" s="173">
        <f t="shared" si="82"/>
        <v>0.70829025433772941</v>
      </c>
      <c r="EJ30" s="173"/>
      <c r="EK30" s="528">
        <f t="shared" si="83"/>
        <v>3.2998316455372214E-3</v>
      </c>
      <c r="EL30" s="528">
        <f t="shared" si="84"/>
        <v>0.40389939341375591</v>
      </c>
      <c r="EM30" s="528">
        <f t="shared" si="85"/>
        <v>4.3749999999999997E-2</v>
      </c>
      <c r="EN30" s="528">
        <f t="shared" si="86"/>
        <v>5.8262399999999999E-2</v>
      </c>
      <c r="EO30">
        <f t="shared" si="87"/>
        <v>1.0800000000000001E-2</v>
      </c>
      <c r="EP30" s="460">
        <f t="shared" si="123"/>
        <v>54.550000000000004</v>
      </c>
      <c r="EQ30" s="528">
        <f t="shared" si="88"/>
        <v>0.5213113085213894</v>
      </c>
      <c r="ER30" s="460">
        <f t="shared" si="124"/>
        <v>521.31130852138938</v>
      </c>
      <c r="ES30" s="528">
        <f t="shared" si="125"/>
        <v>0.15531249999999999</v>
      </c>
      <c r="ET30" s="528"/>
      <c r="EV30" s="460">
        <f t="shared" si="126"/>
        <v>155.3125</v>
      </c>
      <c r="EW30" s="528">
        <f t="shared" si="89"/>
        <v>4.9497474683058316E-3</v>
      </c>
      <c r="EX30" s="528">
        <f t="shared" si="90"/>
        <v>1.5050252531694163E-2</v>
      </c>
      <c r="EY30" s="528">
        <f t="shared" si="91"/>
        <v>0.27253834215806072</v>
      </c>
      <c r="EZ30" s="528">
        <f t="shared" si="92"/>
        <v>0.29781484591151913</v>
      </c>
      <c r="FA30" s="528">
        <f t="shared" si="93"/>
        <v>3.4999999999999996E-3</v>
      </c>
      <c r="FB30" s="460">
        <f t="shared" si="127"/>
        <v>301.31484591151911</v>
      </c>
      <c r="FC30" s="173">
        <f t="shared" si="128"/>
        <v>0.97793865443290839</v>
      </c>
      <c r="FD30" s="5">
        <f t="shared" si="129"/>
        <v>4.0999999999999996</v>
      </c>
      <c r="FE30" s="173">
        <f t="shared" si="130"/>
        <v>0.80741424404975948</v>
      </c>
      <c r="FF30" s="5">
        <f t="shared" si="131"/>
        <v>80.741424404975945</v>
      </c>
      <c r="FI30" s="562">
        <f t="shared" si="94"/>
        <v>-50</v>
      </c>
      <c r="FJ30">
        <f t="shared" si="95"/>
        <v>-50</v>
      </c>
      <c r="FL30">
        <f t="shared" si="96"/>
        <v>0.35355339059327379</v>
      </c>
    </row>
    <row r="31" spans="5:168">
      <c r="E31" s="170">
        <v>26</v>
      </c>
      <c r="F31" s="217">
        <f t="shared" si="97"/>
        <v>0.26</v>
      </c>
      <c r="G31" s="217"/>
      <c r="H31" s="217">
        <f t="shared" si="0"/>
        <v>4.2639999999999993</v>
      </c>
      <c r="I31" s="541">
        <f t="shared" si="1"/>
        <v>23.964376305370617</v>
      </c>
      <c r="J31" s="172">
        <f t="shared" si="2"/>
        <v>16.821374216777627</v>
      </c>
      <c r="K31" s="172">
        <f t="shared" si="3"/>
        <v>40.821374216777627</v>
      </c>
      <c r="L31" s="443"/>
      <c r="M31" s="217">
        <f t="shared" si="4"/>
        <v>0.41243635911568705</v>
      </c>
      <c r="N31" s="172">
        <f t="shared" si="5"/>
        <v>33.242447109573618</v>
      </c>
      <c r="O31" s="172">
        <f t="shared" si="98"/>
        <v>4.2639999999999993</v>
      </c>
      <c r="P31" s="217">
        <f t="shared" si="6"/>
        <v>2.0269784822910744</v>
      </c>
      <c r="Q31" s="217">
        <f t="shared" si="7"/>
        <v>16.399999999999999</v>
      </c>
      <c r="R31" s="217">
        <f t="shared" si="8"/>
        <v>2.0088983967205896</v>
      </c>
      <c r="S31" s="172">
        <f t="shared" si="9"/>
        <v>283.30500509172344</v>
      </c>
      <c r="T31" s="172">
        <f t="shared" si="10"/>
        <v>16.399999999999999</v>
      </c>
      <c r="U31" s="217">
        <f t="shared" si="99"/>
        <v>0.88501051429488342</v>
      </c>
      <c r="V31" s="217">
        <f t="shared" si="11"/>
        <v>0.44316305320070198</v>
      </c>
      <c r="W31" s="217">
        <f t="shared" si="12"/>
        <v>0.63134712031708418</v>
      </c>
      <c r="X31" s="197">
        <f t="shared" si="13"/>
        <v>350</v>
      </c>
      <c r="Y31" s="443">
        <f t="shared" si="14"/>
        <v>350</v>
      </c>
      <c r="AA31" s="217">
        <f t="shared" si="15"/>
        <v>2.3532596821635372</v>
      </c>
      <c r="AB31" s="173">
        <f t="shared" si="16"/>
        <v>1.6787639239246441</v>
      </c>
      <c r="AC31" s="173">
        <f t="shared" si="17"/>
        <v>0.69134930515744109</v>
      </c>
      <c r="AD31" s="173"/>
      <c r="AE31" s="173">
        <f t="shared" si="18"/>
        <v>0.9511708017316215</v>
      </c>
      <c r="AF31" s="545">
        <f t="shared" si="100"/>
        <v>410.02099653395459</v>
      </c>
      <c r="AG31" s="528">
        <f t="shared" si="19"/>
        <v>0.22193985373737837</v>
      </c>
      <c r="AI31" s="173">
        <f t="shared" si="20"/>
        <v>1.4431376689703028</v>
      </c>
      <c r="AJ31" s="173">
        <f t="shared" si="21"/>
        <v>1.4431376689703028</v>
      </c>
      <c r="AK31" s="173">
        <f t="shared" si="22"/>
        <v>1.2813365449162735</v>
      </c>
      <c r="AM31" s="545">
        <f t="shared" si="23"/>
        <v>260</v>
      </c>
      <c r="AN31" s="460">
        <f t="shared" si="24"/>
        <v>350</v>
      </c>
      <c r="AP31">
        <f t="shared" si="25"/>
        <v>260</v>
      </c>
      <c r="AQ31" s="460">
        <f t="shared" si="26"/>
        <v>350</v>
      </c>
      <c r="AR31" s="460"/>
      <c r="AS31" s="5">
        <f t="shared" si="101"/>
        <v>2.8571428571428572</v>
      </c>
      <c r="AT31" s="5">
        <f t="shared" si="27"/>
        <v>0.72264146610661451</v>
      </c>
      <c r="AU31" s="5">
        <f t="shared" si="102"/>
        <v>2.1345013910362427</v>
      </c>
      <c r="AV31" s="5">
        <f t="shared" si="28"/>
        <v>1.0295028102026897</v>
      </c>
      <c r="AW31" s="173">
        <f t="shared" si="103"/>
        <v>0.25292451313731507</v>
      </c>
      <c r="AX31" s="173">
        <f t="shared" si="29"/>
        <v>4.3735572963621836</v>
      </c>
      <c r="AY31" s="173">
        <f t="shared" si="30"/>
        <v>0.53906638832793463</v>
      </c>
      <c r="AZ31" s="173">
        <f t="shared" si="104"/>
        <v>8.1132071875747922</v>
      </c>
      <c r="BA31" s="460">
        <f t="shared" si="31"/>
        <v>1.1456511048031695</v>
      </c>
      <c r="BB31" s="5">
        <f t="shared" si="32"/>
        <v>0.31649456869510412</v>
      </c>
      <c r="BC31" s="5"/>
      <c r="BD31" s="173">
        <f t="shared" si="105"/>
        <v>0.41902756848740802</v>
      </c>
      <c r="BE31" s="173">
        <f t="shared" si="33"/>
        <v>0.72016063535474073</v>
      </c>
      <c r="BF31" s="173"/>
      <c r="BG31" s="528">
        <f t="shared" si="34"/>
        <v>3.5116820630493885E-3</v>
      </c>
      <c r="BH31" s="528">
        <f t="shared" si="35"/>
        <v>0.38660253733083211</v>
      </c>
      <c r="BI31" s="528">
        <f t="shared" si="36"/>
        <v>0.2096882926719929</v>
      </c>
      <c r="BJ31" s="528">
        <f t="shared" si="37"/>
        <v>5.8323460753116903E-2</v>
      </c>
      <c r="BK31">
        <f t="shared" si="38"/>
        <v>1.0783969337416778E-2</v>
      </c>
      <c r="BL31" s="460">
        <f t="shared" si="106"/>
        <v>220.47226200940966</v>
      </c>
      <c r="BM31" s="528">
        <f t="shared" si="39"/>
        <v>0.44976110402121344</v>
      </c>
      <c r="BN31" s="460">
        <f t="shared" si="107"/>
        <v>449.76110402121344</v>
      </c>
      <c r="BO31" s="528">
        <f t="shared" si="108"/>
        <v>0.16152499999999997</v>
      </c>
      <c r="BP31" s="528"/>
      <c r="BR31" s="460">
        <f t="shared" si="109"/>
        <v>161.52499999999998</v>
      </c>
      <c r="BS31" s="528">
        <f t="shared" si="40"/>
        <v>5.2675230945740826E-3</v>
      </c>
      <c r="BT31" s="528">
        <f t="shared" si="41"/>
        <v>1.5558940221436316E-2</v>
      </c>
      <c r="BU31" s="528">
        <f t="shared" si="42"/>
        <v>6.3959999999999989E-2</v>
      </c>
      <c r="BV31" s="528">
        <f t="shared" si="43"/>
        <v>8.9934656177270006E-2</v>
      </c>
      <c r="BW31" s="528">
        <f t="shared" si="44"/>
        <v>3.6446310803018192E-3</v>
      </c>
      <c r="BX31" s="460">
        <f t="shared" si="110"/>
        <v>93.579287257571821</v>
      </c>
      <c r="BY31" s="173">
        <f t="shared" si="45"/>
        <v>0.92533765328819495</v>
      </c>
      <c r="BZ31" s="5">
        <f t="shared" si="111"/>
        <v>4.2639999999999993</v>
      </c>
      <c r="CA31" s="173">
        <f t="shared" si="112"/>
        <v>0.82168482470940007</v>
      </c>
      <c r="CB31" s="5">
        <f t="shared" si="113"/>
        <v>82.168482470940006</v>
      </c>
      <c r="CE31" s="562">
        <f t="shared" si="46"/>
        <v>-50</v>
      </c>
      <c r="CF31">
        <f t="shared" si="47"/>
        <v>-50</v>
      </c>
      <c r="CG31" s="173">
        <f t="shared" si="48"/>
        <v>0.36492565230100926</v>
      </c>
      <c r="CI31" s="170">
        <v>26</v>
      </c>
      <c r="CJ31" s="217">
        <f t="shared" si="114"/>
        <v>0.26</v>
      </c>
      <c r="CK31" s="217"/>
      <c r="CL31" s="217">
        <f t="shared" si="49"/>
        <v>4.2639999999999993</v>
      </c>
      <c r="CM31" s="541">
        <f t="shared" si="50"/>
        <v>24</v>
      </c>
      <c r="CN31" s="172">
        <f t="shared" si="51"/>
        <v>16.799999999999997</v>
      </c>
      <c r="CO31" s="443">
        <f t="shared" si="52"/>
        <v>40.799999999999997</v>
      </c>
      <c r="CP31" s="443"/>
      <c r="CQ31" s="217">
        <f t="shared" si="53"/>
        <v>0.41176470588235292</v>
      </c>
      <c r="CR31" s="172">
        <f t="shared" si="54"/>
        <v>33.237647058823534</v>
      </c>
      <c r="CS31" s="172">
        <f t="shared" si="115"/>
        <v>4.2639999999999993</v>
      </c>
      <c r="CT31" s="217">
        <f t="shared" si="55"/>
        <v>2.026685796269728</v>
      </c>
      <c r="CU31" s="217">
        <f t="shared" si="56"/>
        <v>16.399999999999999</v>
      </c>
      <c r="CV31" s="217">
        <f t="shared" si="57"/>
        <v>2.0086083213773311</v>
      </c>
      <c r="CW31" s="172">
        <f t="shared" si="58"/>
        <v>283.72609550747779</v>
      </c>
      <c r="CX31" s="172">
        <f t="shared" si="59"/>
        <v>16.399999999999999</v>
      </c>
      <c r="CY31" s="217">
        <f t="shared" si="60"/>
        <v>0.8629523809523808</v>
      </c>
      <c r="CZ31" s="217">
        <f t="shared" si="61"/>
        <v>0.4314761904761904</v>
      </c>
      <c r="DA31" s="217">
        <f t="shared" si="62"/>
        <v>0.61639455782312924</v>
      </c>
      <c r="DB31" s="197">
        <f t="shared" si="63"/>
        <v>350</v>
      </c>
      <c r="DC31" s="443">
        <f t="shared" si="116"/>
        <v>350</v>
      </c>
      <c r="DE31" s="217">
        <f t="shared" si="64"/>
        <v>2.3529411764705879</v>
      </c>
      <c r="DF31" s="173">
        <f t="shared" si="65"/>
        <v>1.6806722689075633</v>
      </c>
      <c r="DG31" s="173">
        <f t="shared" si="66"/>
        <v>0.69204152249134954</v>
      </c>
      <c r="DH31" s="173"/>
      <c r="DI31" s="173">
        <f t="shared" si="67"/>
        <v>0.95238095238095266</v>
      </c>
      <c r="DJ31" s="545">
        <f t="shared" si="117"/>
        <v>409.49999999999983</v>
      </c>
      <c r="DK31" s="528">
        <f t="shared" si="68"/>
        <v>0.22222222222222232</v>
      </c>
      <c r="DM31" s="173">
        <f t="shared" si="69"/>
        <v>1.4422205101855956</v>
      </c>
      <c r="DN31" s="173">
        <f t="shared" si="70"/>
        <v>1.4422205101855956</v>
      </c>
      <c r="DO31" s="173">
        <f t="shared" si="71"/>
        <v>1.2806571680387127</v>
      </c>
      <c r="DQ31" s="545">
        <f t="shared" si="72"/>
        <v>260</v>
      </c>
      <c r="DR31" s="460">
        <f t="shared" si="73"/>
        <v>350</v>
      </c>
      <c r="DT31">
        <f t="shared" si="74"/>
        <v>260</v>
      </c>
      <c r="DU31" s="460">
        <f t="shared" si="75"/>
        <v>350</v>
      </c>
      <c r="DV31" s="460"/>
      <c r="DW31" s="5">
        <f t="shared" si="118"/>
        <v>2.8571428571428572</v>
      </c>
      <c r="DX31" s="5">
        <f t="shared" si="76"/>
        <v>0.7211102550927978</v>
      </c>
      <c r="DY31" s="5">
        <f t="shared" si="119"/>
        <v>2.1360326020500593</v>
      </c>
      <c r="DZ31" s="5">
        <f t="shared" si="77"/>
        <v>1.0301575072754254</v>
      </c>
      <c r="EA31" s="173">
        <f t="shared" si="120"/>
        <v>0.2523885892824792</v>
      </c>
      <c r="EB31" s="173">
        <f t="shared" si="78"/>
        <v>4.3679999999999994</v>
      </c>
      <c r="EC31" s="173">
        <f t="shared" si="79"/>
        <v>0.53911025509279786</v>
      </c>
      <c r="ED31" s="173">
        <f t="shared" si="121"/>
        <v>8.1022387512330454</v>
      </c>
      <c r="EE31" s="460">
        <f t="shared" si="80"/>
        <v>1.1432235751471187</v>
      </c>
      <c r="EF31" s="5">
        <f t="shared" si="81"/>
        <v>0.31625149358130034</v>
      </c>
      <c r="EG31" s="5"/>
      <c r="EH31" s="173">
        <f t="shared" si="122"/>
        <v>0.41831736983123097</v>
      </c>
      <c r="EI31" s="173">
        <f t="shared" si="82"/>
        <v>0.71996104855111043</v>
      </c>
      <c r="EJ31" s="173"/>
      <c r="EK31" s="528">
        <f t="shared" si="83"/>
        <v>3.4997884380503774E-3</v>
      </c>
      <c r="EL31" s="528">
        <f t="shared" si="84"/>
        <v>0.41189817770900616</v>
      </c>
      <c r="EM31" s="528">
        <f t="shared" si="85"/>
        <v>4.3749999999999997E-2</v>
      </c>
      <c r="EN31" s="528">
        <f t="shared" si="86"/>
        <v>5.8262399999999999E-2</v>
      </c>
      <c r="EO31">
        <f t="shared" si="87"/>
        <v>1.0800000000000001E-2</v>
      </c>
      <c r="EP31" s="460">
        <f t="shared" si="123"/>
        <v>54.550000000000004</v>
      </c>
      <c r="EQ31" s="528">
        <f t="shared" si="88"/>
        <v>0.52959569418336316</v>
      </c>
      <c r="ER31" s="460">
        <f t="shared" si="124"/>
        <v>529.59569418336321</v>
      </c>
      <c r="ES31" s="528">
        <f t="shared" si="125"/>
        <v>0.16152499999999997</v>
      </c>
      <c r="ET31" s="528"/>
      <c r="EV31" s="460">
        <f t="shared" si="126"/>
        <v>161.52499999999998</v>
      </c>
      <c r="EW31" s="528">
        <f t="shared" si="89"/>
        <v>5.2496826570755661E-3</v>
      </c>
      <c r="EX31" s="528">
        <f t="shared" si="90"/>
        <v>1.5550317342924431E-2</v>
      </c>
      <c r="EY31" s="528">
        <f t="shared" si="91"/>
        <v>0.28623272417326706</v>
      </c>
      <c r="EZ31" s="528">
        <f t="shared" si="92"/>
        <v>0.31254479871833435</v>
      </c>
      <c r="FA31" s="528">
        <f t="shared" si="93"/>
        <v>3.6399999999999996E-3</v>
      </c>
      <c r="FB31" s="460">
        <f t="shared" si="127"/>
        <v>316.18479871833432</v>
      </c>
      <c r="FC31" s="173">
        <f t="shared" si="128"/>
        <v>1.0073054929016976</v>
      </c>
      <c r="FD31" s="5">
        <f t="shared" si="129"/>
        <v>4.2639999999999993</v>
      </c>
      <c r="FE31" s="173">
        <f t="shared" si="130"/>
        <v>0.8089077754537034</v>
      </c>
      <c r="FF31" s="5">
        <f t="shared" si="131"/>
        <v>80.890777545370341</v>
      </c>
      <c r="FI31" s="562">
        <f t="shared" si="94"/>
        <v>-50</v>
      </c>
      <c r="FJ31">
        <f t="shared" si="95"/>
        <v>-50</v>
      </c>
      <c r="FL31">
        <f t="shared" si="96"/>
        <v>0.36055512754639896</v>
      </c>
    </row>
    <row r="32" spans="5:168">
      <c r="E32" s="170">
        <v>27</v>
      </c>
      <c r="F32" s="217">
        <f t="shared" si="97"/>
        <v>0.27</v>
      </c>
      <c r="G32" s="217"/>
      <c r="H32" s="217">
        <f t="shared" si="0"/>
        <v>4.4279999999999999</v>
      </c>
      <c r="I32" s="541">
        <f t="shared" si="1"/>
        <v>23.96369769782979</v>
      </c>
      <c r="J32" s="172">
        <f t="shared" si="2"/>
        <v>16.821781381302124</v>
      </c>
      <c r="K32" s="172">
        <f t="shared" si="3"/>
        <v>40.821781381302124</v>
      </c>
      <c r="L32" s="443"/>
      <c r="M32" s="217">
        <f t="shared" si="4"/>
        <v>0.41244915813267247</v>
      </c>
      <c r="N32" s="172">
        <f t="shared" si="5"/>
        <v>33.242537345622331</v>
      </c>
      <c r="O32" s="172">
        <f t="shared" si="98"/>
        <v>4.4279999999999999</v>
      </c>
      <c r="P32" s="217">
        <f t="shared" si="6"/>
        <v>2.0269839844891666</v>
      </c>
      <c r="Q32" s="217">
        <f t="shared" si="7"/>
        <v>16.399999999999999</v>
      </c>
      <c r="R32" s="217">
        <f t="shared" si="8"/>
        <v>2.0089038498406016</v>
      </c>
      <c r="S32" s="172">
        <f t="shared" si="9"/>
        <v>271.91962139834374</v>
      </c>
      <c r="T32" s="172">
        <f t="shared" si="10"/>
        <v>16.399999999999999</v>
      </c>
      <c r="U32" s="217">
        <f t="shared" si="99"/>
        <v>0.91906940050293617</v>
      </c>
      <c r="V32" s="217">
        <f t="shared" si="11"/>
        <v>0.46023084354940896</v>
      </c>
      <c r="W32" s="217">
        <f t="shared" si="12"/>
        <v>0.65562811429080203</v>
      </c>
      <c r="X32" s="197">
        <f t="shared" si="13"/>
        <v>350</v>
      </c>
      <c r="Y32" s="443">
        <f t="shared" si="14"/>
        <v>350</v>
      </c>
      <c r="AA32" s="217">
        <f t="shared" si="15"/>
        <v>2.3532656653562105</v>
      </c>
      <c r="AB32" s="173">
        <f t="shared" si="16"/>
        <v>1.6787275582872079</v>
      </c>
      <c r="AC32" s="173">
        <f t="shared" si="17"/>
        <v>0.69133608677079683</v>
      </c>
      <c r="AD32" s="173"/>
      <c r="AE32" s="173">
        <f t="shared" si="18"/>
        <v>0.95114777902086201</v>
      </c>
      <c r="AF32" s="545">
        <f t="shared" si="100"/>
        <v>425.80134121420991</v>
      </c>
      <c r="AG32" s="528">
        <f t="shared" si="19"/>
        <v>0.22193448177153449</v>
      </c>
      <c r="AI32" s="173">
        <f t="shared" si="20"/>
        <v>1.4706462740272634</v>
      </c>
      <c r="AJ32" s="173">
        <f t="shared" si="21"/>
        <v>1.4706462740272634</v>
      </c>
      <c r="AK32" s="173">
        <f t="shared" si="22"/>
        <v>1.3017132894029111</v>
      </c>
      <c r="AM32" s="545">
        <f t="shared" si="23"/>
        <v>270</v>
      </c>
      <c r="AN32" s="460">
        <f t="shared" si="24"/>
        <v>350</v>
      </c>
      <c r="AP32">
        <f t="shared" si="25"/>
        <v>270</v>
      </c>
      <c r="AQ32" s="460">
        <f t="shared" si="26"/>
        <v>350</v>
      </c>
      <c r="AR32" s="460"/>
      <c r="AS32" s="5">
        <f t="shared" si="101"/>
        <v>2.8571428571428572</v>
      </c>
      <c r="AT32" s="5">
        <f t="shared" si="27"/>
        <v>0.73643706872188541</v>
      </c>
      <c r="AU32" s="5">
        <f t="shared" si="102"/>
        <v>2.1207057884209717</v>
      </c>
      <c r="AV32" s="5">
        <f t="shared" si="28"/>
        <v>1.0491014529497531</v>
      </c>
      <c r="AW32" s="173">
        <f t="shared" si="103"/>
        <v>0.2577529740526599</v>
      </c>
      <c r="AX32" s="173">
        <f t="shared" si="29"/>
        <v>4.5418809729515726</v>
      </c>
      <c r="AY32" s="173">
        <f t="shared" si="30"/>
        <v>0.54579141155863664</v>
      </c>
      <c r="AZ32" s="173">
        <f t="shared" si="104"/>
        <v>8.3216424384201204</v>
      </c>
      <c r="BA32" s="460">
        <f t="shared" si="31"/>
        <v>1.2124268814323726</v>
      </c>
      <c r="BB32" s="5">
        <f t="shared" si="32"/>
        <v>0.32655245688490186</v>
      </c>
      <c r="BC32" s="5"/>
      <c r="BD32" s="173">
        <f t="shared" si="105"/>
        <v>0.43107163043616986</v>
      </c>
      <c r="BE32" s="173">
        <f t="shared" si="33"/>
        <v>0.73151263639337982</v>
      </c>
      <c r="BF32" s="173"/>
      <c r="BG32" s="528">
        <f t="shared" si="34"/>
        <v>3.7164550113379562E-3</v>
      </c>
      <c r="BH32" s="528">
        <f t="shared" si="35"/>
        <v>0.3939757545121616</v>
      </c>
      <c r="BI32" s="528">
        <f t="shared" si="36"/>
        <v>0.20968235485601067</v>
      </c>
      <c r="BJ32" s="528">
        <f t="shared" si="37"/>
        <v>5.8324624229998866E-2</v>
      </c>
      <c r="BK32">
        <f t="shared" si="38"/>
        <v>1.0783663964023405E-2</v>
      </c>
      <c r="BL32" s="460">
        <f t="shared" si="106"/>
        <v>220.46601882003409</v>
      </c>
      <c r="BM32" s="528">
        <f t="shared" si="39"/>
        <v>0.45742419576180754</v>
      </c>
      <c r="BN32" s="460">
        <f t="shared" si="107"/>
        <v>457.42419576180754</v>
      </c>
      <c r="BO32" s="528">
        <f t="shared" si="108"/>
        <v>0.16773749999999998</v>
      </c>
      <c r="BP32" s="528"/>
      <c r="BR32" s="460">
        <f t="shared" si="109"/>
        <v>167.73749999999998</v>
      </c>
      <c r="BS32" s="528">
        <f t="shared" si="40"/>
        <v>5.5746825170069339E-3</v>
      </c>
      <c r="BT32" s="528">
        <f t="shared" si="41"/>
        <v>1.6053322116095795E-2</v>
      </c>
      <c r="BU32" s="528">
        <f t="shared" si="42"/>
        <v>6.6419999999999993E-2</v>
      </c>
      <c r="BV32" s="528">
        <f t="shared" si="43"/>
        <v>9.3400330767974021E-2</v>
      </c>
      <c r="BW32" s="528">
        <f t="shared" si="44"/>
        <v>3.7849008107929774E-3</v>
      </c>
      <c r="BX32" s="460">
        <f t="shared" si="110"/>
        <v>97.185231578767002</v>
      </c>
      <c r="BY32" s="173">
        <f t="shared" si="45"/>
        <v>0.94281294616060873</v>
      </c>
      <c r="BZ32" s="5">
        <f t="shared" si="111"/>
        <v>4.4279999999999999</v>
      </c>
      <c r="CA32" s="173">
        <f t="shared" si="112"/>
        <v>0.82445619394833147</v>
      </c>
      <c r="CB32" s="5">
        <f t="shared" si="113"/>
        <v>82.445619394833145</v>
      </c>
      <c r="CE32" s="562">
        <f t="shared" si="46"/>
        <v>-50</v>
      </c>
      <c r="CF32">
        <f t="shared" si="47"/>
        <v>-50</v>
      </c>
      <c r="CG32" s="173">
        <f t="shared" si="48"/>
        <v>0.37187724174360182</v>
      </c>
      <c r="CI32" s="170">
        <v>27</v>
      </c>
      <c r="CJ32" s="217">
        <f t="shared" si="114"/>
        <v>0.27</v>
      </c>
      <c r="CK32" s="217"/>
      <c r="CL32" s="217">
        <f t="shared" si="49"/>
        <v>4.4279999999999999</v>
      </c>
      <c r="CM32" s="541">
        <f t="shared" si="50"/>
        <v>24</v>
      </c>
      <c r="CN32" s="172">
        <f t="shared" si="51"/>
        <v>16.799999999999997</v>
      </c>
      <c r="CO32" s="443">
        <f t="shared" si="52"/>
        <v>40.799999999999997</v>
      </c>
      <c r="CP32" s="443"/>
      <c r="CQ32" s="217">
        <f t="shared" si="53"/>
        <v>0.41176470588235292</v>
      </c>
      <c r="CR32" s="172">
        <f t="shared" si="54"/>
        <v>33.237647058823534</v>
      </c>
      <c r="CS32" s="172">
        <f t="shared" si="115"/>
        <v>4.4279999999999999</v>
      </c>
      <c r="CT32" s="217">
        <f t="shared" si="55"/>
        <v>2.026685796269728</v>
      </c>
      <c r="CU32" s="217">
        <f t="shared" si="56"/>
        <v>16.399999999999999</v>
      </c>
      <c r="CV32" s="217">
        <f t="shared" si="57"/>
        <v>2.0086083213773311</v>
      </c>
      <c r="CW32" s="172">
        <f t="shared" si="58"/>
        <v>272.33149575125304</v>
      </c>
      <c r="CX32" s="172">
        <f t="shared" si="59"/>
        <v>16.399999999999999</v>
      </c>
      <c r="CY32" s="217">
        <f t="shared" si="60"/>
        <v>0.89614285714285713</v>
      </c>
      <c r="CZ32" s="217">
        <f t="shared" si="61"/>
        <v>0.44807142857142862</v>
      </c>
      <c r="DA32" s="217">
        <f t="shared" si="62"/>
        <v>0.6401020408163266</v>
      </c>
      <c r="DB32" s="197">
        <f t="shared" si="63"/>
        <v>350</v>
      </c>
      <c r="DC32" s="443">
        <f t="shared" si="116"/>
        <v>350</v>
      </c>
      <c r="DE32" s="217">
        <f t="shared" si="64"/>
        <v>2.3529411764705879</v>
      </c>
      <c r="DF32" s="173">
        <f t="shared" si="65"/>
        <v>1.6806722689075633</v>
      </c>
      <c r="DG32" s="173">
        <f t="shared" si="66"/>
        <v>0.69204152249134954</v>
      </c>
      <c r="DH32" s="173"/>
      <c r="DI32" s="173">
        <f t="shared" si="67"/>
        <v>0.95238095238095266</v>
      </c>
      <c r="DJ32" s="545">
        <f t="shared" si="117"/>
        <v>425.24999999999983</v>
      </c>
      <c r="DK32" s="528">
        <f t="shared" si="68"/>
        <v>0.22222222222222232</v>
      </c>
      <c r="DM32" s="173">
        <f t="shared" si="69"/>
        <v>1.4696938456699067</v>
      </c>
      <c r="DN32" s="173">
        <f t="shared" si="70"/>
        <v>1.4696938456699067</v>
      </c>
      <c r="DO32" s="173">
        <f t="shared" si="71"/>
        <v>1.3010077869159802</v>
      </c>
      <c r="DQ32" s="545">
        <f t="shared" si="72"/>
        <v>270</v>
      </c>
      <c r="DR32" s="460">
        <f t="shared" si="73"/>
        <v>350</v>
      </c>
      <c r="DT32">
        <f t="shared" si="74"/>
        <v>270</v>
      </c>
      <c r="DU32" s="460">
        <f t="shared" si="75"/>
        <v>350</v>
      </c>
      <c r="DV32" s="460"/>
      <c r="DW32" s="5">
        <f t="shared" si="118"/>
        <v>2.8571428571428572</v>
      </c>
      <c r="DX32" s="5">
        <f t="shared" si="76"/>
        <v>0.73484692283495334</v>
      </c>
      <c r="DY32" s="5">
        <f t="shared" si="119"/>
        <v>2.1222959343079038</v>
      </c>
      <c r="DZ32" s="5">
        <f t="shared" si="77"/>
        <v>1.0497813183356477</v>
      </c>
      <c r="EA32" s="173">
        <f t="shared" si="120"/>
        <v>0.25719642299223366</v>
      </c>
      <c r="EB32" s="173">
        <f t="shared" si="78"/>
        <v>4.5359999999999996</v>
      </c>
      <c r="EC32" s="173">
        <f t="shared" si="79"/>
        <v>0.5458469228349534</v>
      </c>
      <c r="ED32" s="173">
        <f t="shared" si="121"/>
        <v>8.310022114701086</v>
      </c>
      <c r="EE32" s="460">
        <f t="shared" si="80"/>
        <v>1.209808958325838</v>
      </c>
      <c r="EF32" s="5">
        <f t="shared" si="81"/>
        <v>0.32630299989984013</v>
      </c>
      <c r="EG32" s="5"/>
      <c r="EH32" s="173">
        <f t="shared" si="122"/>
        <v>0.43032711343164071</v>
      </c>
      <c r="EI32" s="173">
        <f t="shared" si="82"/>
        <v>0.73131291212831162</v>
      </c>
      <c r="EJ32" s="173"/>
      <c r="EK32" s="528">
        <f t="shared" si="83"/>
        <v>3.7036284910881637E-3</v>
      </c>
      <c r="EL32" s="528">
        <f t="shared" si="84"/>
        <v>0.4197445623233253</v>
      </c>
      <c r="EM32" s="528">
        <f t="shared" si="85"/>
        <v>4.3749999999999997E-2</v>
      </c>
      <c r="EN32" s="528">
        <f t="shared" si="86"/>
        <v>5.8262399999999999E-2</v>
      </c>
      <c r="EO32">
        <f t="shared" si="87"/>
        <v>1.0800000000000001E-2</v>
      </c>
      <c r="EP32" s="460">
        <f t="shared" si="123"/>
        <v>54.550000000000004</v>
      </c>
      <c r="EQ32" s="528">
        <f t="shared" si="88"/>
        <v>0.53773376661204531</v>
      </c>
      <c r="ER32" s="460">
        <f t="shared" si="124"/>
        <v>537.73376661204532</v>
      </c>
      <c r="ES32" s="528">
        <f t="shared" si="125"/>
        <v>0.16773749999999998</v>
      </c>
      <c r="ET32" s="528"/>
      <c r="EV32" s="460">
        <f t="shared" si="126"/>
        <v>167.73749999999998</v>
      </c>
      <c r="EW32" s="528">
        <f t="shared" si="89"/>
        <v>5.5554427366322446E-3</v>
      </c>
      <c r="EX32" s="528">
        <f t="shared" si="90"/>
        <v>1.6044557263367749E-2</v>
      </c>
      <c r="EY32" s="528">
        <f t="shared" si="91"/>
        <v>0.30005944673000112</v>
      </c>
      <c r="EZ32" s="528">
        <f t="shared" si="92"/>
        <v>0.32740920984461258</v>
      </c>
      <c r="FA32" s="528">
        <f t="shared" si="93"/>
        <v>3.7799999999999999E-3</v>
      </c>
      <c r="FB32" s="460">
        <f t="shared" si="127"/>
        <v>331.18920984461261</v>
      </c>
      <c r="FC32" s="173">
        <f t="shared" si="128"/>
        <v>1.0366604764566578</v>
      </c>
      <c r="FD32" s="5">
        <f t="shared" si="129"/>
        <v>4.4279999999999999</v>
      </c>
      <c r="FE32" s="173">
        <f t="shared" si="130"/>
        <v>0.81029736780118511</v>
      </c>
      <c r="FF32" s="5">
        <f t="shared" si="131"/>
        <v>81.029736780118512</v>
      </c>
      <c r="FI32" s="562">
        <f t="shared" si="94"/>
        <v>-50</v>
      </c>
      <c r="FJ32">
        <f t="shared" si="95"/>
        <v>-50</v>
      </c>
      <c r="FL32">
        <f t="shared" si="96"/>
        <v>0.36742346141747678</v>
      </c>
    </row>
    <row r="33" spans="5:168">
      <c r="E33" s="170">
        <v>28</v>
      </c>
      <c r="F33" s="217">
        <f t="shared" si="97"/>
        <v>0.28000000000000003</v>
      </c>
      <c r="G33" s="217"/>
      <c r="H33" s="217">
        <f t="shared" si="0"/>
        <v>4.5919999999999996</v>
      </c>
      <c r="I33" s="541">
        <f t="shared" si="1"/>
        <v>23.963031544978634</v>
      </c>
      <c r="J33" s="172">
        <f t="shared" si="2"/>
        <v>16.822181073012818</v>
      </c>
      <c r="K33" s="172">
        <f t="shared" si="3"/>
        <v>40.822181073012814</v>
      </c>
      <c r="L33" s="443"/>
      <c r="M33" s="217">
        <f t="shared" si="4"/>
        <v>0.41246172240811435</v>
      </c>
      <c r="N33" s="172">
        <f t="shared" si="5"/>
        <v>33.242625881827742</v>
      </c>
      <c r="O33" s="172">
        <f t="shared" si="98"/>
        <v>4.5919999999999996</v>
      </c>
      <c r="P33" s="217">
        <f t="shared" si="6"/>
        <v>2.026989383038277</v>
      </c>
      <c r="Q33" s="217">
        <f t="shared" si="7"/>
        <v>16.399999999999999</v>
      </c>
      <c r="R33" s="217">
        <f t="shared" si="8"/>
        <v>2.0089092002361517</v>
      </c>
      <c r="S33" s="172">
        <f t="shared" si="9"/>
        <v>261.34777354925046</v>
      </c>
      <c r="T33" s="172">
        <f t="shared" si="10"/>
        <v>16.399999999999999</v>
      </c>
      <c r="U33" s="217">
        <f t="shared" si="99"/>
        <v>0.95312938979098427</v>
      </c>
      <c r="V33" s="217">
        <f t="shared" si="11"/>
        <v>0.47729990489823931</v>
      </c>
      <c r="W33" s="217">
        <f t="shared" si="12"/>
        <v>0.67990902177605494</v>
      </c>
      <c r="X33" s="197">
        <f t="shared" si="13"/>
        <v>350</v>
      </c>
      <c r="Y33" s="443">
        <f t="shared" si="14"/>
        <v>350</v>
      </c>
      <c r="AA33" s="217">
        <f t="shared" si="15"/>
        <v>2.3532715356772518</v>
      </c>
      <c r="AB33" s="173">
        <f t="shared" si="16"/>
        <v>1.6786918596085132</v>
      </c>
      <c r="AC33" s="173">
        <f t="shared" si="17"/>
        <v>0.69132310981821976</v>
      </c>
      <c r="AD33" s="173"/>
      <c r="AE33" s="173">
        <f t="shared" si="18"/>
        <v>0.95112517993687462</v>
      </c>
      <c r="AF33" s="545">
        <f t="shared" si="100"/>
        <v>441.58225316658633</v>
      </c>
      <c r="AG33" s="528">
        <f t="shared" si="19"/>
        <v>0.22192920865193744</v>
      </c>
      <c r="AI33" s="173">
        <f t="shared" si="20"/>
        <v>1.4976506523223996</v>
      </c>
      <c r="AJ33" s="173">
        <f t="shared" si="21"/>
        <v>1.4976506523223996</v>
      </c>
      <c r="AK33" s="173">
        <f t="shared" si="22"/>
        <v>1.3217165325844933</v>
      </c>
      <c r="AM33" s="545">
        <f t="shared" si="23"/>
        <v>280</v>
      </c>
      <c r="AN33" s="460">
        <f t="shared" si="24"/>
        <v>350</v>
      </c>
      <c r="AP33">
        <f t="shared" si="25"/>
        <v>280</v>
      </c>
      <c r="AQ33" s="460">
        <f t="shared" si="26"/>
        <v>350</v>
      </c>
      <c r="AR33" s="460"/>
      <c r="AS33" s="5">
        <f t="shared" si="101"/>
        <v>2.8571428571428572</v>
      </c>
      <c r="AT33" s="5">
        <f t="shared" si="27"/>
        <v>0.7499805604368418</v>
      </c>
      <c r="AU33" s="5">
        <f t="shared" si="102"/>
        <v>2.1071622967060155</v>
      </c>
      <c r="AV33" s="5">
        <f t="shared" si="28"/>
        <v>1.0683399346295397</v>
      </c>
      <c r="AW33" s="173">
        <f t="shared" si="103"/>
        <v>0.26249319615289463</v>
      </c>
      <c r="AX33" s="173">
        <f t="shared" si="29"/>
        <v>4.7102107004435885</v>
      </c>
      <c r="AY33" s="173">
        <f t="shared" si="30"/>
        <v>0.55226377293691264</v>
      </c>
      <c r="AZ33" s="173">
        <f t="shared" si="104"/>
        <v>8.5289148614527264</v>
      </c>
      <c r="BA33" s="460">
        <f t="shared" si="31"/>
        <v>1.2804546153799741</v>
      </c>
      <c r="BB33" s="5">
        <f t="shared" si="32"/>
        <v>0.33649364050315</v>
      </c>
      <c r="BC33" s="5"/>
      <c r="BD33" s="173">
        <f t="shared" si="105"/>
        <v>0.44300529598629534</v>
      </c>
      <c r="BE33" s="173">
        <f t="shared" si="33"/>
        <v>0.74256232052400684</v>
      </c>
      <c r="BF33" s="173"/>
      <c r="BG33" s="528">
        <f t="shared" si="34"/>
        <v>3.9250738454381026E-3</v>
      </c>
      <c r="BH33" s="528">
        <f t="shared" si="35"/>
        <v>0.40121396511801122</v>
      </c>
      <c r="BI33" s="528">
        <f t="shared" si="36"/>
        <v>0.20967652601856301</v>
      </c>
      <c r="BJ33" s="528">
        <f t="shared" si="37"/>
        <v>5.8325766364524606E-2</v>
      </c>
      <c r="BK33">
        <f t="shared" si="38"/>
        <v>1.0783364195240385E-2</v>
      </c>
      <c r="BL33" s="460">
        <f t="shared" si="106"/>
        <v>220.45989021380342</v>
      </c>
      <c r="BM33" s="528">
        <f t="shared" si="39"/>
        <v>0.46495819413693629</v>
      </c>
      <c r="BN33" s="460">
        <f t="shared" si="107"/>
        <v>464.9581941369363</v>
      </c>
      <c r="BO33" s="528">
        <f t="shared" si="108"/>
        <v>0.17394999999999999</v>
      </c>
      <c r="BP33" s="528"/>
      <c r="BR33" s="460">
        <f t="shared" si="109"/>
        <v>173.95</v>
      </c>
      <c r="BS33" s="528">
        <f t="shared" si="40"/>
        <v>5.8876107681571539E-3</v>
      </c>
      <c r="BT33" s="528">
        <f t="shared" si="41"/>
        <v>1.6541963995859936E-2</v>
      </c>
      <c r="BU33" s="528">
        <f t="shared" si="42"/>
        <v>6.8879999999999997E-2</v>
      </c>
      <c r="BV33" s="528">
        <f t="shared" si="43"/>
        <v>9.6866486635711055E-2</v>
      </c>
      <c r="BW33" s="528">
        <f t="shared" si="44"/>
        <v>3.92517558370299E-3</v>
      </c>
      <c r="BX33" s="460">
        <f t="shared" si="110"/>
        <v>100.79166221941405</v>
      </c>
      <c r="BY33" s="173">
        <f t="shared" si="45"/>
        <v>0.96015974657015379</v>
      </c>
      <c r="BZ33" s="5">
        <f t="shared" si="111"/>
        <v>4.5919999999999996</v>
      </c>
      <c r="CA33" s="173">
        <f t="shared" si="112"/>
        <v>0.82706554018671874</v>
      </c>
      <c r="CB33" s="5">
        <f t="shared" si="113"/>
        <v>82.706554018671881</v>
      </c>
      <c r="CE33" s="562">
        <f t="shared" si="46"/>
        <v>-50</v>
      </c>
      <c r="CF33">
        <f t="shared" si="47"/>
        <v>-50</v>
      </c>
      <c r="CG33" s="173">
        <f t="shared" si="48"/>
        <v>0.37870124656032161</v>
      </c>
      <c r="CI33" s="170">
        <v>28</v>
      </c>
      <c r="CJ33" s="217">
        <f t="shared" si="114"/>
        <v>0.28000000000000003</v>
      </c>
      <c r="CK33" s="217"/>
      <c r="CL33" s="217">
        <f t="shared" si="49"/>
        <v>4.5919999999999996</v>
      </c>
      <c r="CM33" s="541">
        <f t="shared" si="50"/>
        <v>24</v>
      </c>
      <c r="CN33" s="172">
        <f t="shared" si="51"/>
        <v>16.799999999999997</v>
      </c>
      <c r="CO33" s="443">
        <f t="shared" si="52"/>
        <v>40.799999999999997</v>
      </c>
      <c r="CP33" s="443"/>
      <c r="CQ33" s="217">
        <f t="shared" si="53"/>
        <v>0.41176470588235292</v>
      </c>
      <c r="CR33" s="172">
        <f t="shared" si="54"/>
        <v>33.237647058823534</v>
      </c>
      <c r="CS33" s="172">
        <f t="shared" si="115"/>
        <v>4.5919999999999996</v>
      </c>
      <c r="CT33" s="217">
        <f t="shared" si="55"/>
        <v>2.026685796269728</v>
      </c>
      <c r="CU33" s="217">
        <f t="shared" si="56"/>
        <v>16.399999999999999</v>
      </c>
      <c r="CV33" s="217">
        <f t="shared" si="57"/>
        <v>2.0086083213773311</v>
      </c>
      <c r="CW33" s="172">
        <f t="shared" si="58"/>
        <v>261.75090584332594</v>
      </c>
      <c r="CX33" s="172">
        <f t="shared" si="59"/>
        <v>16.399999999999999</v>
      </c>
      <c r="CY33" s="217">
        <f t="shared" si="60"/>
        <v>0.92933333333333323</v>
      </c>
      <c r="CZ33" s="217">
        <f t="shared" si="61"/>
        <v>0.46466666666666662</v>
      </c>
      <c r="DA33" s="217">
        <f t="shared" si="62"/>
        <v>0.66380952380952396</v>
      </c>
      <c r="DB33" s="197">
        <f t="shared" si="63"/>
        <v>350</v>
      </c>
      <c r="DC33" s="443">
        <f t="shared" si="116"/>
        <v>350</v>
      </c>
      <c r="DE33" s="217">
        <f t="shared" si="64"/>
        <v>2.3529411764705879</v>
      </c>
      <c r="DF33" s="173">
        <f t="shared" si="65"/>
        <v>1.6806722689075633</v>
      </c>
      <c r="DG33" s="173">
        <f t="shared" si="66"/>
        <v>0.69204152249134954</v>
      </c>
      <c r="DH33" s="173"/>
      <c r="DI33" s="173">
        <f t="shared" si="67"/>
        <v>0.95238095238095266</v>
      </c>
      <c r="DJ33" s="545">
        <f t="shared" si="117"/>
        <v>440.99999999999989</v>
      </c>
      <c r="DK33" s="528">
        <f t="shared" si="68"/>
        <v>0.22222222222222232</v>
      </c>
      <c r="DM33" s="173">
        <f t="shared" si="69"/>
        <v>1.4966629547095764</v>
      </c>
      <c r="DN33" s="173">
        <f t="shared" si="70"/>
        <v>1.4966629547095764</v>
      </c>
      <c r="DO33" s="173">
        <f t="shared" si="71"/>
        <v>1.3209849047231428</v>
      </c>
      <c r="DQ33" s="545">
        <f t="shared" si="72"/>
        <v>280</v>
      </c>
      <c r="DR33" s="460">
        <f t="shared" si="73"/>
        <v>350</v>
      </c>
      <c r="DT33">
        <f t="shared" si="74"/>
        <v>280</v>
      </c>
      <c r="DU33" s="460">
        <f t="shared" si="75"/>
        <v>350</v>
      </c>
      <c r="DV33" s="460"/>
      <c r="DW33" s="5">
        <f t="shared" si="118"/>
        <v>2.8571428571428572</v>
      </c>
      <c r="DX33" s="5">
        <f t="shared" si="76"/>
        <v>0.74833147735478811</v>
      </c>
      <c r="DY33" s="5">
        <f t="shared" si="119"/>
        <v>2.1088113797880692</v>
      </c>
      <c r="DZ33" s="5">
        <f t="shared" si="77"/>
        <v>1.0690449676496976</v>
      </c>
      <c r="EA33" s="173">
        <f t="shared" si="120"/>
        <v>0.26191601707417583</v>
      </c>
      <c r="EB33" s="173">
        <f t="shared" si="78"/>
        <v>4.7039999999999997</v>
      </c>
      <c r="EC33" s="173">
        <f t="shared" si="79"/>
        <v>0.55233147735478827</v>
      </c>
      <c r="ED33" s="173">
        <f t="shared" si="121"/>
        <v>8.5166248762939887</v>
      </c>
      <c r="EE33" s="460">
        <f t="shared" si="80"/>
        <v>1.2776391076789066</v>
      </c>
      <c r="EF33" s="5">
        <f t="shared" si="81"/>
        <v>0.33623825888843095</v>
      </c>
      <c r="EG33" s="5"/>
      <c r="EH33" s="173">
        <f t="shared" si="122"/>
        <v>0.44222614058350795</v>
      </c>
      <c r="EI33" s="173">
        <f t="shared" si="82"/>
        <v>0.74236292152240602</v>
      </c>
      <c r="EJ33" s="173"/>
      <c r="EK33" s="528">
        <f t="shared" si="83"/>
        <v>3.9112791883076908E-3</v>
      </c>
      <c r="EL33" s="528">
        <f t="shared" si="84"/>
        <v>0.427446939865055</v>
      </c>
      <c r="EM33" s="528">
        <f t="shared" si="85"/>
        <v>4.3749999999999997E-2</v>
      </c>
      <c r="EN33" s="528">
        <f t="shared" si="86"/>
        <v>5.8262399999999999E-2</v>
      </c>
      <c r="EO33">
        <f t="shared" si="87"/>
        <v>1.0800000000000001E-2</v>
      </c>
      <c r="EP33" s="460">
        <f t="shared" si="123"/>
        <v>54.550000000000004</v>
      </c>
      <c r="EQ33" s="528">
        <f t="shared" si="88"/>
        <v>0.54573382575776375</v>
      </c>
      <c r="ER33" s="460">
        <f t="shared" si="124"/>
        <v>545.73382575776373</v>
      </c>
      <c r="ES33" s="528">
        <f t="shared" si="125"/>
        <v>0.17394999999999999</v>
      </c>
      <c r="ET33" s="528"/>
      <c r="EV33" s="460">
        <f t="shared" si="126"/>
        <v>173.95</v>
      </c>
      <c r="EW33" s="528">
        <f t="shared" si="89"/>
        <v>5.8669187824615361E-3</v>
      </c>
      <c r="EX33" s="528">
        <f t="shared" si="90"/>
        <v>1.6533081217538458E-2</v>
      </c>
      <c r="EY33" s="528">
        <f t="shared" si="91"/>
        <v>0.31401481490023803</v>
      </c>
      <c r="EZ33" s="528">
        <f t="shared" si="92"/>
        <v>0.34240440359147389</v>
      </c>
      <c r="FA33" s="528">
        <f t="shared" si="93"/>
        <v>3.9199999999999999E-3</v>
      </c>
      <c r="FB33" s="460">
        <f t="shared" si="127"/>
        <v>346.32440359147387</v>
      </c>
      <c r="FC33" s="173">
        <f t="shared" si="128"/>
        <v>1.0660082293492377</v>
      </c>
      <c r="FD33" s="5">
        <f t="shared" si="129"/>
        <v>4.5919999999999996</v>
      </c>
      <c r="FE33" s="173">
        <f t="shared" si="130"/>
        <v>0.81159302246687515</v>
      </c>
      <c r="FF33" s="5">
        <f t="shared" si="131"/>
        <v>81.159302246687517</v>
      </c>
      <c r="FI33" s="562">
        <f t="shared" si="94"/>
        <v>-50</v>
      </c>
      <c r="FJ33">
        <f t="shared" si="95"/>
        <v>-50</v>
      </c>
      <c r="FL33">
        <f t="shared" si="96"/>
        <v>0.37416573867739417</v>
      </c>
    </row>
    <row r="34" spans="5:168">
      <c r="E34" s="170">
        <v>29</v>
      </c>
      <c r="F34" s="217">
        <f t="shared" si="97"/>
        <v>0.28999999999999998</v>
      </c>
      <c r="G34" s="217"/>
      <c r="H34" s="217">
        <f t="shared" si="0"/>
        <v>4.7559999999999993</v>
      </c>
      <c r="I34" s="541">
        <f t="shared" si="1"/>
        <v>23.962377185239855</v>
      </c>
      <c r="J34" s="172">
        <f t="shared" si="2"/>
        <v>16.822573688856085</v>
      </c>
      <c r="K34" s="172">
        <f t="shared" si="3"/>
        <v>40.822573688856082</v>
      </c>
      <c r="L34" s="443"/>
      <c r="M34" s="217">
        <f t="shared" si="4"/>
        <v>0.41247406441118795</v>
      </c>
      <c r="N34" s="172">
        <f t="shared" si="5"/>
        <v>33.242712808482509</v>
      </c>
      <c r="O34" s="172">
        <f t="shared" si="98"/>
        <v>4.7559999999999993</v>
      </c>
      <c r="P34" s="217">
        <f t="shared" si="6"/>
        <v>2.0269946834440558</v>
      </c>
      <c r="Q34" s="217">
        <f t="shared" si="7"/>
        <v>16.399999999999999</v>
      </c>
      <c r="R34" s="217">
        <f t="shared" si="8"/>
        <v>2.0089144533637815</v>
      </c>
      <c r="S34" s="172">
        <f t="shared" si="9"/>
        <v>251.50529545251774</v>
      </c>
      <c r="T34" s="172">
        <f t="shared" si="10"/>
        <v>16.399999999999999</v>
      </c>
      <c r="U34" s="217">
        <f t="shared" si="99"/>
        <v>0.98719046235589636</v>
      </c>
      <c r="V34" s="217">
        <f t="shared" si="11"/>
        <v>0.49437021446969515</v>
      </c>
      <c r="W34" s="217">
        <f t="shared" si="12"/>
        <v>0.70418984439451071</v>
      </c>
      <c r="X34" s="197">
        <f t="shared" si="13"/>
        <v>350</v>
      </c>
      <c r="Y34" s="443">
        <f t="shared" si="14"/>
        <v>350</v>
      </c>
      <c r="AA34" s="217">
        <f t="shared" si="15"/>
        <v>2.3532772991222002</v>
      </c>
      <c r="AB34" s="173">
        <f t="shared" si="16"/>
        <v>1.6786567924605502</v>
      </c>
      <c r="AC34" s="173">
        <f t="shared" si="17"/>
        <v>0.6913103614750723</v>
      </c>
      <c r="AD34" s="173"/>
      <c r="AE34" s="173">
        <f t="shared" si="18"/>
        <v>0.95110298197706888</v>
      </c>
      <c r="AF34" s="545">
        <f t="shared" si="100"/>
        <v>457.36372216577467</v>
      </c>
      <c r="AG34" s="528">
        <f t="shared" si="19"/>
        <v>0.22192402912798276</v>
      </c>
      <c r="AI34" s="173">
        <f t="shared" si="20"/>
        <v>1.5241775877296151</v>
      </c>
      <c r="AJ34" s="173">
        <f t="shared" si="21"/>
        <v>1.5241775877296151</v>
      </c>
      <c r="AK34" s="173">
        <f t="shared" si="22"/>
        <v>1.3413661143676159</v>
      </c>
      <c r="AM34" s="545">
        <f t="shared" si="23"/>
        <v>290</v>
      </c>
      <c r="AN34" s="460">
        <f t="shared" si="24"/>
        <v>350</v>
      </c>
      <c r="AP34">
        <f t="shared" si="25"/>
        <v>290</v>
      </c>
      <c r="AQ34" s="460">
        <f t="shared" si="26"/>
        <v>350</v>
      </c>
      <c r="AR34" s="460"/>
      <c r="AS34" s="5">
        <f t="shared" si="101"/>
        <v>2.8571428571428572</v>
      </c>
      <c r="AT34" s="5">
        <f t="shared" si="27"/>
        <v>0.76328533314389124</v>
      </c>
      <c r="AU34" s="5">
        <f t="shared" si="102"/>
        <v>2.0938575239989659</v>
      </c>
      <c r="AV34" s="5">
        <f t="shared" si="28"/>
        <v>1.0872373865641891</v>
      </c>
      <c r="AW34" s="173">
        <f t="shared" si="103"/>
        <v>0.26714986660036194</v>
      </c>
      <c r="AX34" s="173">
        <f t="shared" si="29"/>
        <v>4.8785463697682641</v>
      </c>
      <c r="AY34" s="173">
        <f t="shared" si="30"/>
        <v>0.55849687424619343</v>
      </c>
      <c r="AZ34" s="173">
        <f t="shared" si="104"/>
        <v>8.7351363897118794</v>
      </c>
      <c r="BA34" s="460">
        <f t="shared" si="31"/>
        <v>1.34971186958371</v>
      </c>
      <c r="BB34" s="5">
        <f t="shared" si="32"/>
        <v>0.34632020253932211</v>
      </c>
      <c r="BC34" s="5"/>
      <c r="BD34" s="173">
        <f t="shared" si="105"/>
        <v>0.45483347936399815</v>
      </c>
      <c r="BE34" s="173">
        <f t="shared" si="33"/>
        <v>0.75332525889909963</v>
      </c>
      <c r="BF34" s="173"/>
      <c r="BG34" s="528">
        <f t="shared" si="34"/>
        <v>4.1374698790072103E-3</v>
      </c>
      <c r="BH34" s="528">
        <f t="shared" si="35"/>
        <v>0.40832434052809297</v>
      </c>
      <c r="BI34" s="528">
        <f t="shared" si="36"/>
        <v>0.2096708003708487</v>
      </c>
      <c r="BJ34" s="528">
        <f t="shared" si="37"/>
        <v>5.8326888290372969E-2</v>
      </c>
      <c r="BK34">
        <f t="shared" si="38"/>
        <v>1.0783069733357934E-2</v>
      </c>
      <c r="BL34" s="460">
        <f t="shared" si="106"/>
        <v>220.45387010420663</v>
      </c>
      <c r="BM34" s="528">
        <f t="shared" si="39"/>
        <v>0.4723701851420784</v>
      </c>
      <c r="BN34" s="460">
        <f t="shared" si="107"/>
        <v>472.37018514207841</v>
      </c>
      <c r="BO34" s="528">
        <f t="shared" si="108"/>
        <v>0.18016249999999998</v>
      </c>
      <c r="BP34" s="528"/>
      <c r="BR34" s="460">
        <f t="shared" si="109"/>
        <v>180.16249999999997</v>
      </c>
      <c r="BS34" s="528">
        <f t="shared" si="40"/>
        <v>6.2062048185108154E-3</v>
      </c>
      <c r="BT34" s="528">
        <f t="shared" si="41"/>
        <v>1.7024968370861863E-2</v>
      </c>
      <c r="BU34" s="528">
        <f t="shared" si="42"/>
        <v>7.1339999999999987E-2</v>
      </c>
      <c r="BV34" s="528">
        <f t="shared" si="43"/>
        <v>0.10033312324784623</v>
      </c>
      <c r="BW34" s="528">
        <f t="shared" si="44"/>
        <v>4.0654553081402199E-3</v>
      </c>
      <c r="BX34" s="460">
        <f t="shared" si="110"/>
        <v>104.39857855598645</v>
      </c>
      <c r="BY34" s="173">
        <f t="shared" si="45"/>
        <v>0.97738513380227154</v>
      </c>
      <c r="BZ34" s="5">
        <f t="shared" si="111"/>
        <v>4.7559999999999993</v>
      </c>
      <c r="CA34" s="173">
        <f t="shared" si="112"/>
        <v>0.82952738896957923</v>
      </c>
      <c r="CB34" s="5">
        <f t="shared" si="113"/>
        <v>82.952738896957925</v>
      </c>
      <c r="CE34" s="562">
        <f t="shared" si="46"/>
        <v>-50</v>
      </c>
      <c r="CF34">
        <f t="shared" si="47"/>
        <v>-50</v>
      </c>
      <c r="CG34" s="173">
        <f t="shared" si="48"/>
        <v>0.38540444388441303</v>
      </c>
      <c r="CI34" s="170">
        <v>29</v>
      </c>
      <c r="CJ34" s="217">
        <f t="shared" si="114"/>
        <v>0.28999999999999998</v>
      </c>
      <c r="CK34" s="217"/>
      <c r="CL34" s="217">
        <f t="shared" si="49"/>
        <v>4.7559999999999993</v>
      </c>
      <c r="CM34" s="541">
        <f t="shared" si="50"/>
        <v>24</v>
      </c>
      <c r="CN34" s="172">
        <f t="shared" si="51"/>
        <v>16.799999999999997</v>
      </c>
      <c r="CO34" s="443">
        <f t="shared" si="52"/>
        <v>40.799999999999997</v>
      </c>
      <c r="CP34" s="443"/>
      <c r="CQ34" s="217">
        <f t="shared" si="53"/>
        <v>0.41176470588235292</v>
      </c>
      <c r="CR34" s="172">
        <f t="shared" si="54"/>
        <v>33.237647058823534</v>
      </c>
      <c r="CS34" s="172">
        <f t="shared" si="115"/>
        <v>4.7559999999999993</v>
      </c>
      <c r="CT34" s="217">
        <f t="shared" si="55"/>
        <v>2.026685796269728</v>
      </c>
      <c r="CU34" s="217">
        <f t="shared" si="56"/>
        <v>16.399999999999999</v>
      </c>
      <c r="CV34" s="217">
        <f t="shared" si="57"/>
        <v>2.0086083213773311</v>
      </c>
      <c r="CW34" s="172">
        <f t="shared" si="58"/>
        <v>251.90011888813444</v>
      </c>
      <c r="CX34" s="172">
        <f t="shared" si="59"/>
        <v>16.399999999999999</v>
      </c>
      <c r="CY34" s="217">
        <f t="shared" si="60"/>
        <v>0.96252380952380934</v>
      </c>
      <c r="CZ34" s="217">
        <f t="shared" si="61"/>
        <v>0.48126190476190467</v>
      </c>
      <c r="DA34" s="217">
        <f t="shared" si="62"/>
        <v>0.6875170068027211</v>
      </c>
      <c r="DB34" s="197">
        <f t="shared" si="63"/>
        <v>350</v>
      </c>
      <c r="DC34" s="443">
        <f t="shared" si="116"/>
        <v>350</v>
      </c>
      <c r="DE34" s="217">
        <f t="shared" si="64"/>
        <v>2.3529411764705879</v>
      </c>
      <c r="DF34" s="173">
        <f t="shared" si="65"/>
        <v>1.6806722689075633</v>
      </c>
      <c r="DG34" s="173">
        <f t="shared" si="66"/>
        <v>0.69204152249134954</v>
      </c>
      <c r="DH34" s="173"/>
      <c r="DI34" s="173">
        <f t="shared" si="67"/>
        <v>0.95238095238095266</v>
      </c>
      <c r="DJ34" s="545">
        <f t="shared" si="117"/>
        <v>456.74999999999977</v>
      </c>
      <c r="DK34" s="528">
        <f t="shared" si="68"/>
        <v>0.22222222222222232</v>
      </c>
      <c r="DM34" s="173">
        <f t="shared" si="69"/>
        <v>1.5231546211727816</v>
      </c>
      <c r="DN34" s="173">
        <f t="shared" si="70"/>
        <v>1.5231546211727816</v>
      </c>
      <c r="DO34" s="173">
        <f t="shared" si="71"/>
        <v>1.3406083613625541</v>
      </c>
      <c r="DQ34" s="545">
        <f t="shared" si="72"/>
        <v>290</v>
      </c>
      <c r="DR34" s="460">
        <f t="shared" si="73"/>
        <v>350</v>
      </c>
      <c r="DT34">
        <f t="shared" si="74"/>
        <v>290</v>
      </c>
      <c r="DU34" s="460">
        <f t="shared" si="75"/>
        <v>350</v>
      </c>
      <c r="DV34" s="460"/>
      <c r="DW34" s="5">
        <f t="shared" si="118"/>
        <v>2.8571428571428572</v>
      </c>
      <c r="DX34" s="5">
        <f t="shared" si="76"/>
        <v>0.76157731058639089</v>
      </c>
      <c r="DY34" s="5">
        <f t="shared" si="119"/>
        <v>2.0955655465564664</v>
      </c>
      <c r="DZ34" s="5">
        <f t="shared" si="77"/>
        <v>1.0879675865519871</v>
      </c>
      <c r="EA34" s="173">
        <f t="shared" si="120"/>
        <v>0.26655205870523679</v>
      </c>
      <c r="EB34" s="173">
        <f t="shared" si="78"/>
        <v>4.8719999999999999</v>
      </c>
      <c r="EC34" s="173">
        <f t="shared" si="79"/>
        <v>0.55857731058639082</v>
      </c>
      <c r="ED34" s="173">
        <f t="shared" si="121"/>
        <v>8.7221587910282388</v>
      </c>
      <c r="EE34" s="460">
        <f t="shared" si="80"/>
        <v>1.3466915857930084</v>
      </c>
      <c r="EF34" s="5">
        <f t="shared" si="81"/>
        <v>0.3460593659521719</v>
      </c>
      <c r="EG34" s="5"/>
      <c r="EH34" s="173">
        <f t="shared" si="122"/>
        <v>0.45401937410795928</v>
      </c>
      <c r="EI34" s="173">
        <f t="shared" si="82"/>
        <v>0.75312664357858838</v>
      </c>
      <c r="EJ34" s="173"/>
      <c r="EK34" s="528">
        <f t="shared" si="83"/>
        <v>4.1226718413076621E-3</v>
      </c>
      <c r="EL34" s="528">
        <f t="shared" si="84"/>
        <v>0.43501295980694638</v>
      </c>
      <c r="EM34" s="528">
        <f t="shared" si="85"/>
        <v>4.3749999999999997E-2</v>
      </c>
      <c r="EN34" s="528">
        <f t="shared" si="86"/>
        <v>5.8262399999999999E-2</v>
      </c>
      <c r="EO34">
        <f t="shared" si="87"/>
        <v>1.0800000000000001E-2</v>
      </c>
      <c r="EP34" s="460">
        <f t="shared" si="123"/>
        <v>54.550000000000004</v>
      </c>
      <c r="EQ34" s="528">
        <f t="shared" si="88"/>
        <v>0.55360343353352237</v>
      </c>
      <c r="ER34" s="460">
        <f t="shared" si="124"/>
        <v>553.60343353352232</v>
      </c>
      <c r="ES34" s="528">
        <f t="shared" si="125"/>
        <v>0.18016249999999998</v>
      </c>
      <c r="ET34" s="528"/>
      <c r="EV34" s="460">
        <f t="shared" si="126"/>
        <v>180.16249999999997</v>
      </c>
      <c r="EW34" s="528">
        <f t="shared" si="89"/>
        <v>6.1840077619614922E-3</v>
      </c>
      <c r="EX34" s="528">
        <f t="shared" si="90"/>
        <v>1.7015992238038503E-2</v>
      </c>
      <c r="EY34" s="528">
        <f t="shared" si="91"/>
        <v>0.32809536588376836</v>
      </c>
      <c r="EZ34" s="528">
        <f t="shared" si="92"/>
        <v>0.3575269358767556</v>
      </c>
      <c r="FA34" s="528">
        <f t="shared" si="93"/>
        <v>4.0600000000000002E-3</v>
      </c>
      <c r="FB34" s="460">
        <f t="shared" si="127"/>
        <v>361.5869358767556</v>
      </c>
      <c r="FC34" s="173">
        <f t="shared" si="128"/>
        <v>1.0953528694102779</v>
      </c>
      <c r="FD34" s="5">
        <f t="shared" si="129"/>
        <v>4.7559999999999993</v>
      </c>
      <c r="FE34" s="173">
        <f t="shared" si="130"/>
        <v>0.81280348427855587</v>
      </c>
      <c r="FF34" s="5">
        <f t="shared" si="131"/>
        <v>81.280348427855586</v>
      </c>
      <c r="FI34" s="562">
        <f t="shared" si="94"/>
        <v>-50</v>
      </c>
      <c r="FJ34">
        <f t="shared" si="95"/>
        <v>-50</v>
      </c>
      <c r="FL34">
        <f t="shared" si="96"/>
        <v>0.38078865529319544</v>
      </c>
    </row>
    <row r="35" spans="5:168">
      <c r="E35" s="170">
        <v>30</v>
      </c>
      <c r="F35" s="217">
        <f t="shared" si="97"/>
        <v>0.3</v>
      </c>
      <c r="G35" s="217"/>
      <c r="H35" s="217">
        <f t="shared" si="0"/>
        <v>4.919999999999999</v>
      </c>
      <c r="I35" s="541">
        <f t="shared" si="1"/>
        <v>23.96173401361149</v>
      </c>
      <c r="J35" s="172">
        <f t="shared" si="2"/>
        <v>16.822959591833104</v>
      </c>
      <c r="K35" s="172">
        <f t="shared" si="3"/>
        <v>40.822959591833104</v>
      </c>
      <c r="L35" s="443"/>
      <c r="M35" s="217">
        <f t="shared" si="4"/>
        <v>0.41248619554475718</v>
      </c>
      <c r="N35" s="172">
        <f t="shared" si="5"/>
        <v>33.242798208157929</v>
      </c>
      <c r="O35" s="172">
        <f t="shared" si="98"/>
        <v>4.919999999999999</v>
      </c>
      <c r="P35" s="217">
        <f t="shared" si="6"/>
        <v>2.0269998907413371</v>
      </c>
      <c r="Q35" s="217">
        <f t="shared" si="7"/>
        <v>16.399999999999999</v>
      </c>
      <c r="R35" s="217">
        <f t="shared" si="8"/>
        <v>2.0089196142134167</v>
      </c>
      <c r="S35" s="172">
        <f t="shared" si="9"/>
        <v>242.31924383446579</v>
      </c>
      <c r="T35" s="172">
        <f t="shared" si="10"/>
        <v>16.399999999999999</v>
      </c>
      <c r="U35" s="217">
        <f t="shared" si="99"/>
        <v>1.0212525994284249</v>
      </c>
      <c r="V35" s="217">
        <f t="shared" si="11"/>
        <v>0.51144175067545683</v>
      </c>
      <c r="W35" s="217">
        <f t="shared" si="12"/>
        <v>0.7284705836831733</v>
      </c>
      <c r="X35" s="197">
        <f t="shared" si="13"/>
        <v>350</v>
      </c>
      <c r="Y35" s="443">
        <f t="shared" si="14"/>
        <v>350</v>
      </c>
      <c r="AA35" s="217">
        <f t="shared" si="15"/>
        <v>2.3532829611738841</v>
      </c>
      <c r="AB35" s="173">
        <f t="shared" si="16"/>
        <v>1.6786223244449654</v>
      </c>
      <c r="AC35" s="173">
        <f t="shared" si="17"/>
        <v>0.69129783001342637</v>
      </c>
      <c r="AD35" s="173"/>
      <c r="AE35" s="173">
        <f t="shared" si="18"/>
        <v>0.95108116456318326</v>
      </c>
      <c r="AF35" s="545">
        <f t="shared" si="100"/>
        <v>473.14573852030594</v>
      </c>
      <c r="AG35" s="528">
        <f t="shared" si="19"/>
        <v>0.22191893839807611</v>
      </c>
      <c r="AI35" s="173">
        <f t="shared" si="20"/>
        <v>1.5502515736777833</v>
      </c>
      <c r="AJ35" s="173">
        <f t="shared" si="21"/>
        <v>1.5502515736777833</v>
      </c>
      <c r="AK35" s="173">
        <f t="shared" si="22"/>
        <v>1.3606801780329258</v>
      </c>
      <c r="AM35" s="545">
        <f t="shared" si="23"/>
        <v>300</v>
      </c>
      <c r="AN35" s="460">
        <f t="shared" si="24"/>
        <v>350</v>
      </c>
      <c r="AP35">
        <f t="shared" si="25"/>
        <v>300</v>
      </c>
      <c r="AQ35" s="460">
        <f t="shared" si="26"/>
        <v>350</v>
      </c>
      <c r="AR35" s="460"/>
      <c r="AS35" s="5">
        <f t="shared" si="101"/>
        <v>2.8571428571428572</v>
      </c>
      <c r="AT35" s="5">
        <f t="shared" si="27"/>
        <v>0.77636363351525117</v>
      </c>
      <c r="AU35" s="5">
        <f t="shared" si="102"/>
        <v>2.0807792236276059</v>
      </c>
      <c r="AV35" s="5">
        <f t="shared" si="28"/>
        <v>1.1058113040445301</v>
      </c>
      <c r="AW35" s="173">
        <f t="shared" si="103"/>
        <v>0.27172727173033789</v>
      </c>
      <c r="AX35" s="173">
        <f t="shared" si="29"/>
        <v>5.0468878775499331</v>
      </c>
      <c r="AY35" s="173">
        <f t="shared" si="30"/>
        <v>0.56450297153332818</v>
      </c>
      <c r="AZ35" s="173">
        <f t="shared" si="104"/>
        <v>8.9404097623106402</v>
      </c>
      <c r="BA35" s="460">
        <f t="shared" si="31"/>
        <v>1.420177378381557</v>
      </c>
      <c r="BB35" s="5">
        <f t="shared" si="32"/>
        <v>0.35603411723154205</v>
      </c>
      <c r="BC35" s="5"/>
      <c r="BD35" s="173">
        <f t="shared" si="105"/>
        <v>0.46656071479132977</v>
      </c>
      <c r="BE35" s="173">
        <f t="shared" si="33"/>
        <v>0.7638156932861605</v>
      </c>
      <c r="BF35" s="173"/>
      <c r="BG35" s="528">
        <f t="shared" si="34"/>
        <v>4.3535780117319308E-3</v>
      </c>
      <c r="BH35" s="528">
        <f t="shared" si="35"/>
        <v>0.41531343885559385</v>
      </c>
      <c r="BI35" s="528">
        <f t="shared" si="36"/>
        <v>0.20966517261910053</v>
      </c>
      <c r="BJ35" s="528">
        <f t="shared" si="37"/>
        <v>5.832799104427535E-2</v>
      </c>
      <c r="BK35">
        <f t="shared" si="38"/>
        <v>1.0782780306125171E-2</v>
      </c>
      <c r="BL35" s="460">
        <f t="shared" si="106"/>
        <v>220.44795292522571</v>
      </c>
      <c r="BM35" s="528">
        <f t="shared" si="39"/>
        <v>0.47966664601511005</v>
      </c>
      <c r="BN35" s="460">
        <f t="shared" si="107"/>
        <v>479.66664601511008</v>
      </c>
      <c r="BO35" s="528">
        <f t="shared" si="108"/>
        <v>0.18637499999999999</v>
      </c>
      <c r="BP35" s="528"/>
      <c r="BR35" s="460">
        <f t="shared" si="109"/>
        <v>186.37499999999997</v>
      </c>
      <c r="BS35" s="528">
        <f t="shared" si="40"/>
        <v>6.5303670175978967E-3</v>
      </c>
      <c r="BT35" s="528">
        <f t="shared" si="41"/>
        <v>1.7502432399306541E-2</v>
      </c>
      <c r="BU35" s="528">
        <f t="shared" si="42"/>
        <v>7.3799999999999977E-2</v>
      </c>
      <c r="BV35" s="528">
        <f t="shared" si="43"/>
        <v>0.10380024010495099</v>
      </c>
      <c r="BW35" s="528">
        <f t="shared" si="44"/>
        <v>4.2057398979582772E-3</v>
      </c>
      <c r="BX35" s="460">
        <f t="shared" si="110"/>
        <v>108.00598000290927</v>
      </c>
      <c r="BY35" s="173">
        <f t="shared" si="45"/>
        <v>0.99449557894324503</v>
      </c>
      <c r="BZ35" s="5">
        <f t="shared" si="111"/>
        <v>4.919999999999999</v>
      </c>
      <c r="CA35" s="173">
        <f t="shared" si="112"/>
        <v>0.83185454014306093</v>
      </c>
      <c r="CB35" s="5">
        <f t="shared" si="113"/>
        <v>83.185454014306089</v>
      </c>
      <c r="CE35" s="562">
        <f t="shared" si="46"/>
        <v>-50</v>
      </c>
      <c r="CF35">
        <f t="shared" si="47"/>
        <v>-50</v>
      </c>
      <c r="CG35" s="173">
        <f t="shared" si="48"/>
        <v>0.39199303129694263</v>
      </c>
      <c r="CI35" s="170">
        <v>30</v>
      </c>
      <c r="CJ35" s="217">
        <f t="shared" si="114"/>
        <v>0.3</v>
      </c>
      <c r="CK35" s="217"/>
      <c r="CL35" s="217">
        <f t="shared" si="49"/>
        <v>4.919999999999999</v>
      </c>
      <c r="CM35" s="541">
        <f t="shared" si="50"/>
        <v>24</v>
      </c>
      <c r="CN35" s="172">
        <f t="shared" si="51"/>
        <v>16.799999999999997</v>
      </c>
      <c r="CO35" s="443">
        <f t="shared" si="52"/>
        <v>40.799999999999997</v>
      </c>
      <c r="CP35" s="443"/>
      <c r="CQ35" s="217">
        <f t="shared" si="53"/>
        <v>0.41176470588235292</v>
      </c>
      <c r="CR35" s="172">
        <f t="shared" si="54"/>
        <v>33.237647058823534</v>
      </c>
      <c r="CS35" s="172">
        <f t="shared" si="115"/>
        <v>4.919999999999999</v>
      </c>
      <c r="CT35" s="217">
        <f t="shared" si="55"/>
        <v>2.026685796269728</v>
      </c>
      <c r="CU35" s="217">
        <f t="shared" si="56"/>
        <v>16.399999999999999</v>
      </c>
      <c r="CV35" s="217">
        <f t="shared" si="57"/>
        <v>2.0086083213773311</v>
      </c>
      <c r="CW35" s="172">
        <f t="shared" si="58"/>
        <v>242.70615558860186</v>
      </c>
      <c r="CX35" s="172">
        <f t="shared" si="59"/>
        <v>16.399999999999999</v>
      </c>
      <c r="CY35" s="217">
        <f t="shared" si="60"/>
        <v>0.99571428571428544</v>
      </c>
      <c r="CZ35" s="217">
        <f t="shared" si="61"/>
        <v>0.49785714285714272</v>
      </c>
      <c r="DA35" s="217">
        <f t="shared" si="62"/>
        <v>0.71122448979591824</v>
      </c>
      <c r="DB35" s="197">
        <f t="shared" si="63"/>
        <v>350</v>
      </c>
      <c r="DC35" s="443">
        <f t="shared" si="116"/>
        <v>350</v>
      </c>
      <c r="DE35" s="217">
        <f t="shared" si="64"/>
        <v>2.3529411764705879</v>
      </c>
      <c r="DF35" s="173">
        <f t="shared" si="65"/>
        <v>1.6806722689075633</v>
      </c>
      <c r="DG35" s="173">
        <f t="shared" si="66"/>
        <v>0.69204152249134954</v>
      </c>
      <c r="DH35" s="173"/>
      <c r="DI35" s="173">
        <f t="shared" si="67"/>
        <v>0.95238095238095266</v>
      </c>
      <c r="DJ35" s="545">
        <f t="shared" si="117"/>
        <v>472.49999999999977</v>
      </c>
      <c r="DK35" s="528">
        <f t="shared" si="68"/>
        <v>0.22222222222222232</v>
      </c>
      <c r="DM35" s="173">
        <f t="shared" si="69"/>
        <v>1.5491933384829666</v>
      </c>
      <c r="DN35" s="173">
        <f t="shared" si="70"/>
        <v>1.5491933384829666</v>
      </c>
      <c r="DO35" s="173">
        <f t="shared" si="71"/>
        <v>1.3598963001108393</v>
      </c>
      <c r="DQ35" s="545">
        <f t="shared" si="72"/>
        <v>300</v>
      </c>
      <c r="DR35" s="460">
        <f t="shared" si="73"/>
        <v>350</v>
      </c>
      <c r="DT35">
        <f t="shared" si="74"/>
        <v>300</v>
      </c>
      <c r="DU35" s="460">
        <f t="shared" si="75"/>
        <v>350</v>
      </c>
      <c r="DV35" s="460"/>
      <c r="DW35" s="5">
        <f t="shared" si="118"/>
        <v>2.8571428571428572</v>
      </c>
      <c r="DX35" s="5">
        <f t="shared" si="76"/>
        <v>0.77459666924148329</v>
      </c>
      <c r="DY35" s="5">
        <f t="shared" si="119"/>
        <v>2.0825461879013738</v>
      </c>
      <c r="DZ35" s="5">
        <f t="shared" si="77"/>
        <v>1.1065666703449764</v>
      </c>
      <c r="EA35" s="173">
        <f t="shared" si="120"/>
        <v>0.27110883423451915</v>
      </c>
      <c r="EB35" s="173">
        <f t="shared" si="78"/>
        <v>5.0399999999999991</v>
      </c>
      <c r="EC35" s="173">
        <f t="shared" si="79"/>
        <v>0.56459666924148333</v>
      </c>
      <c r="ED35" s="173">
        <f t="shared" si="121"/>
        <v>8.9267264129826867</v>
      </c>
      <c r="EE35" s="460">
        <f t="shared" si="80"/>
        <v>1.4169451266612501</v>
      </c>
      <c r="EF35" s="5">
        <f t="shared" si="81"/>
        <v>0.35576830709981788</v>
      </c>
      <c r="EG35" s="5"/>
      <c r="EH35" s="173">
        <f t="shared" si="122"/>
        <v>0.46571135630089089</v>
      </c>
      <c r="EI35" s="173">
        <f t="shared" si="82"/>
        <v>0.76361831605350095</v>
      </c>
      <c r="EJ35" s="173"/>
      <c r="EK35" s="528">
        <f t="shared" si="83"/>
        <v>4.337741347752307E-3</v>
      </c>
      <c r="EL35" s="528">
        <f t="shared" si="84"/>
        <v>0.44244961747073525</v>
      </c>
      <c r="EM35" s="528">
        <f t="shared" si="85"/>
        <v>4.3749999999999997E-2</v>
      </c>
      <c r="EN35" s="528">
        <f t="shared" si="86"/>
        <v>5.8262399999999999E-2</v>
      </c>
      <c r="EO35">
        <f t="shared" si="87"/>
        <v>1.0800000000000001E-2</v>
      </c>
      <c r="EP35" s="460">
        <f t="shared" si="123"/>
        <v>54.550000000000004</v>
      </c>
      <c r="EQ35" s="528">
        <f t="shared" si="88"/>
        <v>0.56134950235616676</v>
      </c>
      <c r="ER35" s="460">
        <f t="shared" si="124"/>
        <v>561.34950235616679</v>
      </c>
      <c r="ES35" s="528">
        <f t="shared" si="125"/>
        <v>0.18637499999999999</v>
      </c>
      <c r="ET35" s="528"/>
      <c r="EV35" s="460">
        <f t="shared" si="126"/>
        <v>186.37499999999997</v>
      </c>
      <c r="EW35" s="528">
        <f t="shared" si="89"/>
        <v>6.5066120216284605E-3</v>
      </c>
      <c r="EX35" s="528">
        <f t="shared" si="90"/>
        <v>1.7493387978371536E-2</v>
      </c>
      <c r="EY35" s="528">
        <f t="shared" si="91"/>
        <v>0.34229784688115417</v>
      </c>
      <c r="EZ35" s="528">
        <f t="shared" si="92"/>
        <v>0.37277357213966233</v>
      </c>
      <c r="FA35" s="528">
        <f t="shared" si="93"/>
        <v>4.1999999999999997E-3</v>
      </c>
      <c r="FB35" s="460">
        <f t="shared" si="127"/>
        <v>376.97357213966234</v>
      </c>
      <c r="FC35" s="173">
        <f t="shared" si="128"/>
        <v>1.124698074495829</v>
      </c>
      <c r="FD35" s="5">
        <f t="shared" si="129"/>
        <v>4.919999999999999</v>
      </c>
      <c r="FE35" s="173">
        <f t="shared" si="130"/>
        <v>0.8139364347673167</v>
      </c>
      <c r="FF35" s="5">
        <f t="shared" si="131"/>
        <v>81.393643476731668</v>
      </c>
      <c r="FI35" s="562">
        <f t="shared" si="94"/>
        <v>-50</v>
      </c>
      <c r="FJ35">
        <f t="shared" si="95"/>
        <v>-50</v>
      </c>
      <c r="FL35">
        <f t="shared" si="96"/>
        <v>0.3872983346207417</v>
      </c>
    </row>
    <row r="36" spans="5:168">
      <c r="E36" s="170">
        <v>31</v>
      </c>
      <c r="F36" s="217">
        <f t="shared" si="97"/>
        <v>0.31</v>
      </c>
      <c r="G36" s="217"/>
      <c r="H36" s="217">
        <f t="shared" si="0"/>
        <v>5.0839999999999996</v>
      </c>
      <c r="I36" s="541">
        <f t="shared" si="1"/>
        <v>23.96110147511672</v>
      </c>
      <c r="J36" s="172">
        <f t="shared" si="2"/>
        <v>16.823339114929965</v>
      </c>
      <c r="K36" s="172">
        <f t="shared" si="3"/>
        <v>40.823339114929965</v>
      </c>
      <c r="L36" s="443"/>
      <c r="M36" s="217">
        <f t="shared" si="4"/>
        <v>0.41249812626882937</v>
      </c>
      <c r="N36" s="172">
        <f t="shared" si="5"/>
        <v>33.242882156597794</v>
      </c>
      <c r="O36" s="172">
        <f t="shared" si="98"/>
        <v>5.0839999999999996</v>
      </c>
      <c r="P36" s="217">
        <f t="shared" si="6"/>
        <v>2.0270050095486463</v>
      </c>
      <c r="Q36" s="217">
        <f t="shared" si="7"/>
        <v>16.399999999999999</v>
      </c>
      <c r="R36" s="217">
        <f t="shared" si="8"/>
        <v>2.0089246873623847</v>
      </c>
      <c r="S36" s="172">
        <f t="shared" si="9"/>
        <v>233.72608803486455</v>
      </c>
      <c r="T36" s="172">
        <f t="shared" si="10"/>
        <v>16.399999999999999</v>
      </c>
      <c r="U36" s="217">
        <f t="shared" si="99"/>
        <v>1.0553157831862507</v>
      </c>
      <c r="V36" s="217">
        <f t="shared" si="11"/>
        <v>0.52851449301636577</v>
      </c>
      <c r="W36" s="217">
        <f t="shared" si="12"/>
        <v>0.75275124110150404</v>
      </c>
      <c r="X36" s="197">
        <f t="shared" si="13"/>
        <v>350</v>
      </c>
      <c r="Y36" s="443">
        <f t="shared" si="14"/>
        <v>350</v>
      </c>
      <c r="AA36" s="217">
        <f t="shared" si="15"/>
        <v>2.3532885268617778</v>
      </c>
      <c r="AB36" s="173">
        <f t="shared" si="16"/>
        <v>1.6785884258422912</v>
      </c>
      <c r="AC36" s="173">
        <f t="shared" si="17"/>
        <v>0.6912855046750862</v>
      </c>
      <c r="AD36" s="173"/>
      <c r="AE36" s="173">
        <f t="shared" si="18"/>
        <v>0.95105970881848978</v>
      </c>
      <c r="AF36" s="545">
        <f t="shared" si="100"/>
        <v>488.92829302765199</v>
      </c>
      <c r="AG36" s="528">
        <f t="shared" si="19"/>
        <v>0.22191393205764762</v>
      </c>
      <c r="AI36" s="173">
        <f t="shared" si="20"/>
        <v>1.5758950783342884</v>
      </c>
      <c r="AJ36" s="173">
        <f t="shared" si="21"/>
        <v>1.5758950783342884</v>
      </c>
      <c r="AK36" s="173">
        <f t="shared" si="22"/>
        <v>1.379675366667374</v>
      </c>
      <c r="AM36" s="545">
        <f t="shared" si="23"/>
        <v>310</v>
      </c>
      <c r="AN36" s="460">
        <f t="shared" si="24"/>
        <v>350</v>
      </c>
      <c r="AP36">
        <f t="shared" si="25"/>
        <v>310</v>
      </c>
      <c r="AQ36" s="460">
        <f t="shared" si="26"/>
        <v>350</v>
      </c>
      <c r="AR36" s="460"/>
      <c r="AS36" s="5">
        <f t="shared" si="101"/>
        <v>2.8571428571428572</v>
      </c>
      <c r="AT36" s="5">
        <f t="shared" si="27"/>
        <v>0.78922669559452463</v>
      </c>
      <c r="AU36" s="5">
        <f t="shared" si="102"/>
        <v>2.0679161615483324</v>
      </c>
      <c r="AV36" s="5">
        <f t="shared" si="28"/>
        <v>1.1240777357468246</v>
      </c>
      <c r="AW36" s="173">
        <f t="shared" si="103"/>
        <v>0.27622934345808359</v>
      </c>
      <c r="AX36" s="173">
        <f t="shared" si="29"/>
        <v>5.2152351256282889</v>
      </c>
      <c r="AY36" s="173">
        <f t="shared" si="30"/>
        <v>0.57029330774359133</v>
      </c>
      <c r="AZ36" s="173">
        <f t="shared" si="104"/>
        <v>9.1448296075273294</v>
      </c>
      <c r="BA36" s="460">
        <f t="shared" si="31"/>
        <v>1.4918309489896502</v>
      </c>
      <c r="BB36" s="5">
        <f t="shared" si="32"/>
        <v>0.36563725921328594</v>
      </c>
      <c r="BC36" s="5"/>
      <c r="BD36" s="173">
        <f t="shared" si="105"/>
        <v>0.47819119752041239</v>
      </c>
      <c r="BE36" s="173">
        <f t="shared" si="33"/>
        <v>0.77404668975461133</v>
      </c>
      <c r="BF36" s="173"/>
      <c r="BG36" s="528">
        <f t="shared" si="34"/>
        <v>4.5733364277201214E-3</v>
      </c>
      <c r="BH36" s="528">
        <f t="shared" si="35"/>
        <v>0.42218727595005784</v>
      </c>
      <c r="BI36" s="528">
        <f t="shared" si="36"/>
        <v>0.2096596379072713</v>
      </c>
      <c r="BJ36" s="528">
        <f t="shared" si="37"/>
        <v>5.8329075577239979E-2</v>
      </c>
      <c r="BK36">
        <f t="shared" si="38"/>
        <v>1.0782495663802525E-2</v>
      </c>
      <c r="BL36" s="460">
        <f t="shared" si="106"/>
        <v>220.44213357107381</v>
      </c>
      <c r="BM36" s="528">
        <f t="shared" si="39"/>
        <v>0.4868535158632713</v>
      </c>
      <c r="BN36" s="460">
        <f t="shared" si="107"/>
        <v>486.8535158632713</v>
      </c>
      <c r="BO36" s="528">
        <f t="shared" si="108"/>
        <v>0.19258749999999999</v>
      </c>
      <c r="BP36" s="528"/>
      <c r="BR36" s="460">
        <f t="shared" si="109"/>
        <v>192.58750000000001</v>
      </c>
      <c r="BS36" s="528">
        <f t="shared" si="40"/>
        <v>6.8600046415801816E-3</v>
      </c>
      <c r="BT36" s="528">
        <f t="shared" si="41"/>
        <v>1.7974448337602145E-2</v>
      </c>
      <c r="BU36" s="528">
        <f t="shared" si="42"/>
        <v>7.6259999999999994E-2</v>
      </c>
      <c r="BV36" s="528">
        <f t="shared" si="43"/>
        <v>0.10726783673799795</v>
      </c>
      <c r="BW36" s="528">
        <f t="shared" si="44"/>
        <v>4.3460292713569078E-3</v>
      </c>
      <c r="BX36" s="460">
        <f t="shared" si="110"/>
        <v>111.61386600935485</v>
      </c>
      <c r="BY36" s="173">
        <f t="shared" si="45"/>
        <v>1.0114970154437</v>
      </c>
      <c r="BZ36" s="5">
        <f t="shared" si="111"/>
        <v>5.0839999999999996</v>
      </c>
      <c r="CA36" s="173">
        <f t="shared" si="112"/>
        <v>0.83405831995636348</v>
      </c>
      <c r="CB36" s="5">
        <f t="shared" si="113"/>
        <v>83.405831995636348</v>
      </c>
      <c r="CE36" s="562">
        <f t="shared" si="46"/>
        <v>-50</v>
      </c>
      <c r="CF36">
        <f t="shared" si="47"/>
        <v>-50</v>
      </c>
      <c r="CG36" s="173">
        <f t="shared" si="48"/>
        <v>0.39847269392629409</v>
      </c>
      <c r="CI36" s="170">
        <v>31</v>
      </c>
      <c r="CJ36" s="217">
        <f t="shared" si="114"/>
        <v>0.31</v>
      </c>
      <c r="CK36" s="217"/>
      <c r="CL36" s="217">
        <f t="shared" si="49"/>
        <v>5.0839999999999996</v>
      </c>
      <c r="CM36" s="541">
        <f t="shared" si="50"/>
        <v>24</v>
      </c>
      <c r="CN36" s="172">
        <f t="shared" si="51"/>
        <v>16.799999999999997</v>
      </c>
      <c r="CO36" s="443">
        <f t="shared" si="52"/>
        <v>40.799999999999997</v>
      </c>
      <c r="CP36" s="443"/>
      <c r="CQ36" s="217">
        <f t="shared" si="53"/>
        <v>0.41176470588235292</v>
      </c>
      <c r="CR36" s="172">
        <f t="shared" si="54"/>
        <v>33.237647058823534</v>
      </c>
      <c r="CS36" s="172">
        <f t="shared" si="115"/>
        <v>5.0839999999999996</v>
      </c>
      <c r="CT36" s="217">
        <f t="shared" si="55"/>
        <v>2.026685796269728</v>
      </c>
      <c r="CU36" s="217">
        <f t="shared" si="56"/>
        <v>16.399999999999999</v>
      </c>
      <c r="CV36" s="217">
        <f t="shared" si="57"/>
        <v>2.0086083213773311</v>
      </c>
      <c r="CW36" s="172">
        <f t="shared" si="58"/>
        <v>234.10545334334066</v>
      </c>
      <c r="CX36" s="172">
        <f t="shared" si="59"/>
        <v>16.399999999999999</v>
      </c>
      <c r="CY36" s="217">
        <f t="shared" si="60"/>
        <v>1.0289047619047618</v>
      </c>
      <c r="CZ36" s="217">
        <f t="shared" si="61"/>
        <v>0.51445238095238088</v>
      </c>
      <c r="DA36" s="217">
        <f t="shared" si="62"/>
        <v>0.73493197278911582</v>
      </c>
      <c r="DB36" s="197">
        <f t="shared" si="63"/>
        <v>350</v>
      </c>
      <c r="DC36" s="443">
        <f t="shared" si="116"/>
        <v>350</v>
      </c>
      <c r="DE36" s="217">
        <f t="shared" si="64"/>
        <v>2.3529411764705879</v>
      </c>
      <c r="DF36" s="173">
        <f t="shared" si="65"/>
        <v>1.6806722689075633</v>
      </c>
      <c r="DG36" s="173">
        <f t="shared" si="66"/>
        <v>0.69204152249134954</v>
      </c>
      <c r="DH36" s="173"/>
      <c r="DI36" s="173">
        <f t="shared" si="67"/>
        <v>0.95238095238095266</v>
      </c>
      <c r="DJ36" s="545">
        <f t="shared" si="117"/>
        <v>488.24999999999983</v>
      </c>
      <c r="DK36" s="528">
        <f t="shared" si="68"/>
        <v>0.22222222222222232</v>
      </c>
      <c r="DM36" s="173">
        <f t="shared" si="69"/>
        <v>1.574801574802362</v>
      </c>
      <c r="DN36" s="173">
        <f t="shared" si="70"/>
        <v>1.574801574802362</v>
      </c>
      <c r="DO36" s="173">
        <f t="shared" si="71"/>
        <v>1.3788653640511321</v>
      </c>
      <c r="DQ36" s="545">
        <f t="shared" si="72"/>
        <v>310</v>
      </c>
      <c r="DR36" s="460">
        <f t="shared" si="73"/>
        <v>350</v>
      </c>
      <c r="DT36">
        <f t="shared" si="74"/>
        <v>310</v>
      </c>
      <c r="DU36" s="460">
        <f t="shared" si="75"/>
        <v>350</v>
      </c>
      <c r="DV36" s="460"/>
      <c r="DW36" s="5">
        <f t="shared" si="118"/>
        <v>2.8571428571428572</v>
      </c>
      <c r="DX36" s="5">
        <f t="shared" si="76"/>
        <v>0.78740078740118102</v>
      </c>
      <c r="DY36" s="5">
        <f t="shared" si="119"/>
        <v>2.0697420697416762</v>
      </c>
      <c r="DZ36" s="5">
        <f t="shared" si="77"/>
        <v>1.1248582677159731</v>
      </c>
      <c r="EA36" s="173">
        <f t="shared" si="120"/>
        <v>0.27559027559041333</v>
      </c>
      <c r="EB36" s="173">
        <f t="shared" si="78"/>
        <v>5.2079999999999993</v>
      </c>
      <c r="EC36" s="173">
        <f t="shared" si="79"/>
        <v>0.57040078740118105</v>
      </c>
      <c r="ED36" s="173">
        <f t="shared" si="121"/>
        <v>9.1304221786374331</v>
      </c>
      <c r="EE36" s="460">
        <f t="shared" si="80"/>
        <v>1.4883795371607691</v>
      </c>
      <c r="EF36" s="5">
        <f t="shared" si="81"/>
        <v>0.3653669681446764</v>
      </c>
      <c r="EG36" s="5"/>
      <c r="EH36" s="173">
        <f t="shared" si="122"/>
        <v>0.47730629001520081</v>
      </c>
      <c r="EI36" s="173">
        <f t="shared" si="82"/>
        <v>0.77385100127775996</v>
      </c>
      <c r="EJ36" s="173"/>
      <c r="EK36" s="528">
        <f t="shared" si="83"/>
        <v>4.5564258897615E-3</v>
      </c>
      <c r="EL36" s="528">
        <f t="shared" si="84"/>
        <v>0.44976332976355454</v>
      </c>
      <c r="EM36" s="528">
        <f t="shared" si="85"/>
        <v>4.3749999999999997E-2</v>
      </c>
      <c r="EN36" s="528">
        <f t="shared" si="86"/>
        <v>5.8262399999999999E-2</v>
      </c>
      <c r="EO36">
        <f t="shared" si="87"/>
        <v>1.0800000000000001E-2</v>
      </c>
      <c r="EP36" s="460">
        <f t="shared" si="123"/>
        <v>54.550000000000004</v>
      </c>
      <c r="EQ36" s="528">
        <f t="shared" si="88"/>
        <v>0.56897837049160993</v>
      </c>
      <c r="ER36" s="460">
        <f t="shared" si="124"/>
        <v>568.97837049160989</v>
      </c>
      <c r="ES36" s="528">
        <f t="shared" si="125"/>
        <v>0.19258749999999999</v>
      </c>
      <c r="ET36" s="528"/>
      <c r="EV36" s="460">
        <f t="shared" si="126"/>
        <v>192.58750000000001</v>
      </c>
      <c r="EW36" s="528">
        <f t="shared" si="89"/>
        <v>6.8346388346422491E-3</v>
      </c>
      <c r="EX36" s="528">
        <f t="shared" si="90"/>
        <v>1.7965361165357751E-2</v>
      </c>
      <c r="EY36" s="528">
        <f t="shared" si="91"/>
        <v>0.35661919574710771</v>
      </c>
      <c r="EZ36" s="528">
        <f t="shared" si="92"/>
        <v>0.38814126802286508</v>
      </c>
      <c r="FA36" s="528">
        <f t="shared" si="93"/>
        <v>4.3399999999999992E-3</v>
      </c>
      <c r="FB36" s="460">
        <f t="shared" si="127"/>
        <v>392.48126802286509</v>
      </c>
      <c r="FC36" s="173">
        <f t="shared" si="128"/>
        <v>1.154047138514475</v>
      </c>
      <c r="FD36" s="5">
        <f t="shared" si="129"/>
        <v>5.0839999999999996</v>
      </c>
      <c r="FE36" s="173">
        <f t="shared" si="130"/>
        <v>0.81499865055695953</v>
      </c>
      <c r="FF36" s="5">
        <f t="shared" si="131"/>
        <v>81.499865055695949</v>
      </c>
      <c r="FI36" s="562">
        <f t="shared" si="94"/>
        <v>-50</v>
      </c>
      <c r="FJ36">
        <f t="shared" si="95"/>
        <v>-50</v>
      </c>
      <c r="FL36">
        <f t="shared" si="96"/>
        <v>0.39370039370059057</v>
      </c>
    </row>
    <row r="37" spans="5:168">
      <c r="E37" s="170">
        <v>32</v>
      </c>
      <c r="F37" s="217">
        <f t="shared" si="97"/>
        <v>0.32</v>
      </c>
      <c r="G37" s="217"/>
      <c r="H37" s="217">
        <f t="shared" ref="H37:H68" si="132">F37*Vout</f>
        <v>5.2479999999999993</v>
      </c>
      <c r="I37" s="541">
        <f t="shared" ref="I37:I68" si="133">Vin-F37*(Rdcr_pri+RON/1000)/CG37/Nps</f>
        <v>23.960479059197628</v>
      </c>
      <c r="J37" s="172">
        <f t="shared" ref="J37:J68" si="134">(T37+Vfwd1+F37/CG37*Rdcr_sec)*Nps</f>
        <v>16.823712564481422</v>
      </c>
      <c r="K37" s="172">
        <f t="shared" ref="K37:K68" si="135">(Vout+Vfwd1+F37/CG37*Rdcr_sec)*Nps+VIN_nom</f>
        <v>40.823712564481426</v>
      </c>
      <c r="L37" s="443"/>
      <c r="M37" s="217">
        <f t="shared" ref="M37:M68" si="136">(Vout+Vfwd1+F37/FL37*Rdcr_sec)*Nps/((Vout+Vfwd1+F37/FL37*Rdcr_sec)*Nps+I37)</f>
        <v>0.41250986620622015</v>
      </c>
      <c r="N37" s="172">
        <f t="shared" ref="N37:N68" si="137">M37*I37*(Isw_max+VIN_nom/Lmag*ILIM_delay)*0.5*Efficiency</f>
        <v>33.242964723483574</v>
      </c>
      <c r="O37" s="172">
        <f t="shared" si="98"/>
        <v>5.2479999999999993</v>
      </c>
      <c r="P37" s="217">
        <f t="shared" ref="P37:P68" si="138">N37/Vout</f>
        <v>2.0270100441148524</v>
      </c>
      <c r="Q37" s="217">
        <f t="shared" ref="Q37:Q68" si="139">MIN(Vout,N37/F37)</f>
        <v>16.399999999999999</v>
      </c>
      <c r="R37" s="217">
        <f t="shared" ref="R37:R68" si="140">Isw_max/2*I37*Nps*(Q37+Vfwd1+F37/FL37*Rdcr_sec)/Q37/(I37+Nps*(Q37+Vfwd1+F37/FL37*Rdcr_sec))</f>
        <v>2.0089296770216576</v>
      </c>
      <c r="S37" s="172">
        <f t="shared" ref="S37:S68" si="141">(SQRT(Isw_max^2*Nps^2*I37^2+4*Isw_max*F37/Efficiency*(Nps^2*Vfwd1*I37-Nps*I37^2)+4*(F37/Efficiency)^2*Nps^2*Vfwd1^2+8*(F37/Efficiency)^2*Nps*Vfwd1*I37+4*(F37/Efficiency)^2*I37^2)-2*F37/Efficiency*I37-2*F37/Efficiency*Nps*Vfwd1+Isw_max*Nps*I37)/(4*F37/Efficiency*Nps)</f>
        <v>225.67023922565593</v>
      </c>
      <c r="T37" s="172">
        <f t="shared" ref="T37:T68" si="142">MIN(Vout, S37)</f>
        <v>16.399999999999999</v>
      </c>
      <c r="U37" s="217">
        <f t="shared" ref="U37:U68" si="143">MIN(2*(Vout+Vfwd1+F37/FL37*Rdcr_sec)*F37/(I37*M37), Isw_max)</f>
        <v>1.0893799966769346</v>
      </c>
      <c r="V37" s="217">
        <f t="shared" si="11"/>
        <v>0.54558842199380386</v>
      </c>
      <c r="W37" s="217">
        <f t="shared" ref="W37:W68" si="144">L*U37/J37*1000000</f>
        <v>0.77703181803773103</v>
      </c>
      <c r="X37" s="197">
        <f t="shared" ref="X37:X68" si="145">IF(1/((350000*L)*(1/I37+1/J37))&gt;Isw_min, 350, 0.001/((Isw_min*L)*(1/I37+1/J37)))</f>
        <v>350</v>
      </c>
      <c r="Y37" s="443">
        <f t="shared" si="14"/>
        <v>350</v>
      </c>
      <c r="AA37" s="217">
        <f t="shared" ref="AA37:AA68" si="146">1/((X37*1000*L)*(1/I37+1/J37))</f>
        <v>2.3532940008128125</v>
      </c>
      <c r="AB37" s="173">
        <f t="shared" ref="AB37:AB68" si="147">L*AA37/J37*1000000</f>
        <v>1.6785550693117308</v>
      </c>
      <c r="AC37" s="173">
        <f t="shared" ref="AC37:AC68" si="148">0.5*AB37*AA37*Nps*X37/1000</f>
        <v>0.69127337556291535</v>
      </c>
      <c r="AD37" s="173"/>
      <c r="AE37" s="173">
        <f t="shared" ref="AE37:AE68" si="149">L*Isw_min/J37*1000000</f>
        <v>0.95103859737710572</v>
      </c>
      <c r="AF37" s="545">
        <f t="shared" ref="AF37:AF68" si="150">MAX(12, F37/(0.5*AE37/1000000*Isw_min*Nps)/1000)</f>
        <v>504.71137693444251</v>
      </c>
      <c r="AG37" s="528">
        <f t="shared" ref="AG37:AG68" si="151">0.5*AE37/1000000*Isw_min*Nps*X37*1000</f>
        <v>0.22190900605465805</v>
      </c>
      <c r="AI37" s="173">
        <f t="shared" ref="AI37:AI68" si="152">SQRT(F37/Efficiency/(0.5*L/J37*Fsw_DCM*Nps))</f>
        <v>1.6011287715730655</v>
      </c>
      <c r="AJ37" s="173">
        <f t="shared" ref="AJ37:AJ71" si="153">MAX(IF(F37&gt;AC37,U37,AI37),Isw_min)</f>
        <v>1.6011287715730655</v>
      </c>
      <c r="AK37" s="173">
        <f t="shared" ref="AK37:AK68" si="154">IF(F37&gt;AG37, (AJ37-Isw_min)/1.08*0.8+1.2, AF37*0.2/350+1)</f>
        <v>1.3983669912886905</v>
      </c>
      <c r="AM37" s="545">
        <f t="shared" ref="AM37:AM68" si="155">F37*1000</f>
        <v>320</v>
      </c>
      <c r="AN37" s="460">
        <f t="shared" ref="AN37:AN68" si="156">IF(F37&gt;AG37, Y37, AF37)</f>
        <v>350</v>
      </c>
      <c r="AP37">
        <f t="shared" ref="AP37:AP68" si="157">IF(H37&gt;N37, "",AM37)</f>
        <v>320</v>
      </c>
      <c r="AQ37" s="460">
        <f t="shared" ref="AQ37:AQ68" si="158">IF(H37&gt;N37, "",AN37)</f>
        <v>350</v>
      </c>
      <c r="AR37" s="460"/>
      <c r="AS37" s="5">
        <f t="shared" si="101"/>
        <v>2.8571428571428572</v>
      </c>
      <c r="AT37" s="5">
        <f t="shared" ref="AT37:AT68" si="159">L*AJ37/I37*1000000</f>
        <v>0.80188485428054701</v>
      </c>
      <c r="AU37" s="5">
        <f t="shared" si="102"/>
        <v>2.0552580028623102</v>
      </c>
      <c r="AV37" s="5">
        <f t="shared" ref="AV37:AV68" si="160">L*AJ37/J37*1000000</f>
        <v>1.1420514458527324</v>
      </c>
      <c r="AW37" s="173">
        <f t="shared" si="103"/>
        <v>0.28065969899819143</v>
      </c>
      <c r="AX37" s="173">
        <f t="shared" ref="AX37:AX68" si="161">0.5*L*AJ37^2*AN37*1000</f>
        <v>5.3835880206340549</v>
      </c>
      <c r="AY37" s="173">
        <f t="shared" ref="AY37:AY68" si="162">AJ37*Nps/2*(1-AW37)</f>
        <v>0.57587822624301244</v>
      </c>
      <c r="AZ37" s="173">
        <f t="shared" si="104"/>
        <v>9.3484833690556268</v>
      </c>
      <c r="BA37" s="460">
        <f t="shared" ref="BA37:BA68" si="163">F37*AT37/Vout_ripple*1000</f>
        <v>1.5646533742059459</v>
      </c>
      <c r="BB37" s="5">
        <f t="shared" ref="BB37:BB68" si="164">H37/Efficiency/I37*AU37/Vinripple1</f>
        <v>0.37513141161789565</v>
      </c>
      <c r="BC37" s="5"/>
      <c r="BD37" s="173">
        <f t="shared" si="105"/>
        <v>0.48972881925911238</v>
      </c>
      <c r="BE37" s="173">
        <f t="shared" ref="BE37:BE68" si="165">AJ37*Nps*SQRT((1-AW37)/3)</f>
        <v>0.78403027023202387</v>
      </c>
      <c r="BF37" s="173"/>
      <c r="BG37" s="528">
        <f t="shared" ref="BG37:BG68" si="166">Rdson*BD37^2</f>
        <v>4.7966863282584869E-3</v>
      </c>
      <c r="BH37" s="528">
        <f t="shared" ref="BH37:BH68" si="167">0.5*K37*AJ37*AN37*1000*Tfall</f>
        <v>0.42895138616806916</v>
      </c>
      <c r="BI37" s="528">
        <f t="shared" ref="BI37:BI68" si="168">Qg*Vdd*AN37*1000*0+Qg*I37*AN37*1000</f>
        <v>0.20965419176797923</v>
      </c>
      <c r="BJ37" s="528">
        <f t="shared" ref="BJ37:BJ68" si="169">0.5*(Coss+Csw)*K37^2*AN37*1000</f>
        <v>5.8330142764158953E-2</v>
      </c>
      <c r="BK37">
        <f t="shared" ref="BK37:BK68" si="170">I37*IQ</f>
        <v>1.0782215576638932E-2</v>
      </c>
      <c r="BL37" s="460">
        <f t="shared" si="106"/>
        <v>220.43640734461817</v>
      </c>
      <c r="BM37" s="528">
        <f t="shared" ref="BM37:BM68" si="171">(BH37+BI37*0+BJ37+BK37*0+BG37*(1+RdsonTC*(Ta-25)))/(1-BG37*RdsonTC*ThetaJA)</f>
        <v>0.49393625610042868</v>
      </c>
      <c r="BN37" s="460">
        <f t="shared" si="107"/>
        <v>493.93625610042869</v>
      </c>
      <c r="BO37" s="528">
        <f t="shared" ref="BO37:BO68" si="172">Vfwd2*F37*(1+Diode_TC/1000*(Ta-25))</f>
        <v>0.19879999999999998</v>
      </c>
      <c r="BP37" s="528"/>
      <c r="BR37" s="460">
        <f t="shared" si="109"/>
        <v>198.79999999999998</v>
      </c>
      <c r="BS37" s="528">
        <f t="shared" ref="BS37:BS68" si="173">Rdcr_pri*BD37^2</f>
        <v>7.1950294923877299E-3</v>
      </c>
      <c r="BT37" s="528">
        <f t="shared" ref="BT37:BT68" si="174">Rdcr_sec*BE37^2</f>
        <v>1.8441103939203011E-2</v>
      </c>
      <c r="BU37" s="528">
        <f t="shared" ref="BU37:BU68" si="175">AJ37^2.5*AN37^2.5*k_core*0+BZ37*0.015</f>
        <v>7.8719999999999984E-2</v>
      </c>
      <c r="BV37" s="528">
        <f t="shared" ref="BV37:BV68" si="176">(BU37+(BS37+BT37)*(1+Ltc*(Ta-25)))/(1-(BS37+BT37)*Ltc*ThetaCa)</f>
        <v>0.11073591270587624</v>
      </c>
      <c r="BW37" s="528">
        <f t="shared" ref="BW37:BW68" si="177">0.5*Lleak*0.000000001*AJ37^2*AN37*1000</f>
        <v>4.4863233505283793E-3</v>
      </c>
      <c r="BX37" s="460">
        <f t="shared" si="110"/>
        <v>115.22223605640463</v>
      </c>
      <c r="BY37" s="173">
        <f t="shared" si="45"/>
        <v>1.0283948995014514</v>
      </c>
      <c r="BZ37" s="5">
        <f t="shared" si="111"/>
        <v>5.2479999999999993</v>
      </c>
      <c r="CA37" s="173">
        <f t="shared" si="112"/>
        <v>0.83614878987567542</v>
      </c>
      <c r="CB37" s="5">
        <f t="shared" si="113"/>
        <v>83.614878987567536</v>
      </c>
      <c r="CE37" s="562">
        <f t="shared" ref="CE37:CE68" si="178">IF(ABS(F37-Ioutmax_Vinnom)&lt;Iout/200, AN37, -50)</f>
        <v>-50</v>
      </c>
      <c r="CF37">
        <f t="shared" ref="CF37:CF68" si="179">IF(ABS(F37-Ioutmax_Vinnom)&lt;Iout/200, N37*CA37, -50)</f>
        <v>-50</v>
      </c>
      <c r="CG37" s="173">
        <f t="shared" ref="CG37:CG68" si="180">MIN(SQRT(2*DU37*1000*Ls1_*CL37)/CU37,1-EA37-0.00000005*DU37*1000)</f>
        <v>0.40484866187797913</v>
      </c>
      <c r="CI37" s="170">
        <v>32</v>
      </c>
      <c r="CJ37" s="217">
        <f t="shared" si="114"/>
        <v>0.32</v>
      </c>
      <c r="CK37" s="217"/>
      <c r="CL37" s="217">
        <f t="shared" si="49"/>
        <v>5.2479999999999993</v>
      </c>
      <c r="CM37" s="541">
        <f t="shared" si="50"/>
        <v>24</v>
      </c>
      <c r="CN37" s="172">
        <f t="shared" si="51"/>
        <v>16.799999999999997</v>
      </c>
      <c r="CO37" s="443">
        <f t="shared" si="52"/>
        <v>40.799999999999997</v>
      </c>
      <c r="CP37" s="443"/>
      <c r="CQ37" s="217">
        <f t="shared" si="53"/>
        <v>0.41176470588235292</v>
      </c>
      <c r="CR37" s="172">
        <f t="shared" si="54"/>
        <v>33.237647058823534</v>
      </c>
      <c r="CS37" s="172">
        <f t="shared" si="115"/>
        <v>5.2479999999999993</v>
      </c>
      <c r="CT37" s="217">
        <f t="shared" si="55"/>
        <v>2.026685796269728</v>
      </c>
      <c r="CU37" s="217">
        <f t="shared" si="56"/>
        <v>16.399999999999999</v>
      </c>
      <c r="CV37" s="217">
        <f t="shared" si="57"/>
        <v>2.0086083213773311</v>
      </c>
      <c r="CW37" s="172">
        <f t="shared" si="58"/>
        <v>226.04239488813363</v>
      </c>
      <c r="CX37" s="172">
        <f t="shared" si="59"/>
        <v>16.399999999999999</v>
      </c>
      <c r="CY37" s="217">
        <f t="shared" si="60"/>
        <v>1.062095238095238</v>
      </c>
      <c r="CZ37" s="217">
        <f t="shared" si="61"/>
        <v>0.53104761904761899</v>
      </c>
      <c r="DA37" s="217">
        <f t="shared" si="62"/>
        <v>0.75863945578231295</v>
      </c>
      <c r="DB37" s="197">
        <f t="shared" si="63"/>
        <v>350</v>
      </c>
      <c r="DC37" s="443">
        <f t="shared" si="116"/>
        <v>350</v>
      </c>
      <c r="DE37" s="217">
        <f t="shared" si="64"/>
        <v>2.3529411764705879</v>
      </c>
      <c r="DF37" s="173">
        <f t="shared" si="65"/>
        <v>1.6806722689075633</v>
      </c>
      <c r="DG37" s="173">
        <f t="shared" si="66"/>
        <v>0.69204152249134954</v>
      </c>
      <c r="DH37" s="173"/>
      <c r="DI37" s="173">
        <f t="shared" si="67"/>
        <v>0.95238095238095266</v>
      </c>
      <c r="DJ37" s="545">
        <f t="shared" si="117"/>
        <v>503.99999999999983</v>
      </c>
      <c r="DK37" s="528">
        <f t="shared" si="68"/>
        <v>0.22222222222222232</v>
      </c>
      <c r="DM37" s="173">
        <f t="shared" si="69"/>
        <v>1.5999999999999999</v>
      </c>
      <c r="DN37" s="173">
        <f t="shared" si="70"/>
        <v>1.5999999999999999</v>
      </c>
      <c r="DO37" s="173">
        <f t="shared" si="71"/>
        <v>1.3975308641975306</v>
      </c>
      <c r="DQ37" s="545">
        <f t="shared" si="72"/>
        <v>320</v>
      </c>
      <c r="DR37" s="460">
        <f t="shared" si="73"/>
        <v>350</v>
      </c>
      <c r="DT37">
        <f t="shared" si="74"/>
        <v>320</v>
      </c>
      <c r="DU37" s="460">
        <f t="shared" si="75"/>
        <v>350</v>
      </c>
      <c r="DV37" s="460"/>
      <c r="DW37" s="5">
        <f t="shared" si="118"/>
        <v>2.8571428571428572</v>
      </c>
      <c r="DX37" s="5">
        <f t="shared" si="76"/>
        <v>0.79999999999999993</v>
      </c>
      <c r="DY37" s="5">
        <f t="shared" si="119"/>
        <v>2.0571428571428574</v>
      </c>
      <c r="DZ37" s="5">
        <f t="shared" si="77"/>
        <v>1.142857142857143</v>
      </c>
      <c r="EA37" s="173">
        <f t="shared" si="120"/>
        <v>0.27999999999999997</v>
      </c>
      <c r="EB37" s="173">
        <f t="shared" si="78"/>
        <v>5.3759999999999994</v>
      </c>
      <c r="EC37" s="173">
        <f t="shared" si="79"/>
        <v>0.57599999999999996</v>
      </c>
      <c r="ED37" s="173">
        <f t="shared" si="121"/>
        <v>9.3333333333333339</v>
      </c>
      <c r="EE37" s="460">
        <f t="shared" si="80"/>
        <v>1.5609756097560978</v>
      </c>
      <c r="EF37" s="5">
        <f t="shared" si="81"/>
        <v>0.37485714285714283</v>
      </c>
      <c r="EG37" s="5"/>
      <c r="EH37" s="173">
        <f t="shared" si="122"/>
        <v>0.48880807412862287</v>
      </c>
      <c r="EI37" s="173">
        <f t="shared" si="82"/>
        <v>0.78383671769061691</v>
      </c>
      <c r="EJ37" s="173"/>
      <c r="EK37" s="528">
        <f t="shared" si="83"/>
        <v>4.7786666666666654E-3</v>
      </c>
      <c r="EL37" s="528">
        <f t="shared" si="84"/>
        <v>0.45695999999999992</v>
      </c>
      <c r="EM37" s="528">
        <f t="shared" si="85"/>
        <v>4.3749999999999997E-2</v>
      </c>
      <c r="EN37" s="528">
        <f t="shared" si="86"/>
        <v>5.8262399999999999E-2</v>
      </c>
      <c r="EO37">
        <f t="shared" si="87"/>
        <v>1.0800000000000001E-2</v>
      </c>
      <c r="EP37" s="460">
        <f t="shared" si="123"/>
        <v>54.550000000000004</v>
      </c>
      <c r="EQ37" s="528">
        <f t="shared" si="88"/>
        <v>0.57649586653027884</v>
      </c>
      <c r="ER37" s="460">
        <f t="shared" si="124"/>
        <v>576.49586653027882</v>
      </c>
      <c r="ES37" s="528">
        <f t="shared" si="125"/>
        <v>0.19879999999999998</v>
      </c>
      <c r="ET37" s="528"/>
      <c r="EV37" s="460">
        <f t="shared" si="126"/>
        <v>198.79999999999998</v>
      </c>
      <c r="EW37" s="528">
        <f t="shared" si="89"/>
        <v>7.1679999999999982E-3</v>
      </c>
      <c r="EX37" s="528">
        <f t="shared" si="90"/>
        <v>1.8431999999999994E-2</v>
      </c>
      <c r="EY37" s="528">
        <f t="shared" si="91"/>
        <v>0.3710565239960073</v>
      </c>
      <c r="EZ37" s="528">
        <f t="shared" si="92"/>
        <v>0.403627152404131</v>
      </c>
      <c r="FA37" s="528">
        <f t="shared" si="93"/>
        <v>4.4799999999999996E-3</v>
      </c>
      <c r="FB37" s="460">
        <f t="shared" si="127"/>
        <v>408.107152404131</v>
      </c>
      <c r="FC37" s="173">
        <f t="shared" si="128"/>
        <v>1.1834030189344098</v>
      </c>
      <c r="FD37" s="5">
        <f t="shared" si="129"/>
        <v>5.2479999999999993</v>
      </c>
      <c r="FE37" s="173">
        <f t="shared" si="130"/>
        <v>0.81599613405497906</v>
      </c>
      <c r="FF37" s="5">
        <f t="shared" si="131"/>
        <v>81.599613405497905</v>
      </c>
      <c r="FI37" s="562">
        <f t="shared" si="94"/>
        <v>-50</v>
      </c>
      <c r="FJ37">
        <f t="shared" si="95"/>
        <v>-50</v>
      </c>
      <c r="FL37">
        <f t="shared" ref="FL37:FL68" si="181">MIN(SQRT(2*L*DR37*1000*CJ37*(CX37+Vfwd1))/(Nps*(CX37+Vfwd1)), 1-EA37)</f>
        <v>0.40000000000000008</v>
      </c>
    </row>
    <row r="38" spans="5:168">
      <c r="E38" s="170">
        <v>33</v>
      </c>
      <c r="F38" s="217">
        <f t="shared" ref="F38:F69" si="182">IF(PLOT_TYPE=1, E38/100*Iout_max, min_I*EXP(N38*rr/100))</f>
        <v>0.33</v>
      </c>
      <c r="G38" s="217"/>
      <c r="H38" s="217">
        <f t="shared" si="132"/>
        <v>5.4119999999999999</v>
      </c>
      <c r="I38" s="541">
        <f t="shared" si="133"/>
        <v>23.959866294891771</v>
      </c>
      <c r="J38" s="172">
        <f t="shared" si="134"/>
        <v>16.824080223064936</v>
      </c>
      <c r="K38" s="172">
        <f t="shared" si="135"/>
        <v>40.824080223064939</v>
      </c>
      <c r="L38" s="443"/>
      <c r="M38" s="217">
        <f t="shared" si="136"/>
        <v>0.41252142423346316</v>
      </c>
      <c r="N38" s="172">
        <f t="shared" si="137"/>
        <v>33.243045973092705</v>
      </c>
      <c r="O38" s="172">
        <f t="shared" si="98"/>
        <v>5.4119999999999999</v>
      </c>
      <c r="P38" s="217">
        <f t="shared" si="138"/>
        <v>2.0270149983593115</v>
      </c>
      <c r="Q38" s="217">
        <f t="shared" si="139"/>
        <v>16.399999999999999</v>
      </c>
      <c r="R38" s="217">
        <f t="shared" si="140"/>
        <v>2.0089345870756312</v>
      </c>
      <c r="S38" s="172">
        <f t="shared" si="141"/>
        <v>218.10284705260136</v>
      </c>
      <c r="T38" s="172">
        <f t="shared" si="142"/>
        <v>16.399999999999999</v>
      </c>
      <c r="U38" s="217">
        <f t="shared" si="143"/>
        <v>1.1234452237493728</v>
      </c>
      <c r="V38" s="217">
        <f t="shared" si="11"/>
        <v>0.56266351903085066</v>
      </c>
      <c r="W38" s="217">
        <f t="shared" si="144"/>
        <v>0.80131231581446316</v>
      </c>
      <c r="X38" s="197">
        <f t="shared" si="145"/>
        <v>350</v>
      </c>
      <c r="Y38" s="443">
        <f t="shared" si="14"/>
        <v>350</v>
      </c>
      <c r="AA38" s="217">
        <f t="shared" si="146"/>
        <v>2.3532993872950851</v>
      </c>
      <c r="AB38" s="173">
        <f t="shared" si="147"/>
        <v>1.6785222296328577</v>
      </c>
      <c r="AC38" s="173">
        <f t="shared" si="148"/>
        <v>0.69126143354733227</v>
      </c>
      <c r="AD38" s="173"/>
      <c r="AE38" s="173">
        <f t="shared" si="149"/>
        <v>0.95101781421993214</v>
      </c>
      <c r="AF38" s="545">
        <f t="shared" si="150"/>
        <v>520.49498190107136</v>
      </c>
      <c r="AG38" s="528">
        <f t="shared" si="151"/>
        <v>0.22190415665131752</v>
      </c>
      <c r="AI38" s="173">
        <f t="shared" si="152"/>
        <v>1.6259717202500974</v>
      </c>
      <c r="AJ38" s="173">
        <f t="shared" si="153"/>
        <v>1.6259717202500974</v>
      </c>
      <c r="AK38" s="173">
        <f t="shared" si="154"/>
        <v>1.4167691754938991</v>
      </c>
      <c r="AM38" s="545">
        <f t="shared" si="155"/>
        <v>330</v>
      </c>
      <c r="AN38" s="460">
        <f t="shared" si="156"/>
        <v>350</v>
      </c>
      <c r="AP38">
        <f t="shared" si="157"/>
        <v>330</v>
      </c>
      <c r="AQ38" s="460">
        <f t="shared" si="158"/>
        <v>350</v>
      </c>
      <c r="AR38" s="460"/>
      <c r="AS38" s="5">
        <f t="shared" si="101"/>
        <v>2.8571428571428572</v>
      </c>
      <c r="AT38" s="5">
        <f t="shared" si="159"/>
        <v>0.81434764296497941</v>
      </c>
      <c r="AU38" s="5">
        <f t="shared" si="102"/>
        <v>2.042795214177878</v>
      </c>
      <c r="AV38" s="5">
        <f t="shared" si="160"/>
        <v>1.1597460535317528</v>
      </c>
      <c r="AW38" s="173">
        <f t="shared" si="103"/>
        <v>0.28502167503774278</v>
      </c>
      <c r="AX38" s="173">
        <f t="shared" si="161"/>
        <v>5.5519464736114283</v>
      </c>
      <c r="AY38" s="173">
        <f t="shared" si="162"/>
        <v>0.58126726849020727</v>
      </c>
      <c r="AZ38" s="173">
        <f t="shared" si="104"/>
        <v>9.551452102287028</v>
      </c>
      <c r="BA38" s="460">
        <f t="shared" si="163"/>
        <v>1.6386263547466053</v>
      </c>
      <c r="BB38" s="5">
        <f t="shared" si="164"/>
        <v>0.3845182732887969</v>
      </c>
      <c r="BC38" s="5"/>
      <c r="BD38" s="173">
        <f t="shared" si="105"/>
        <v>0.50117719890569168</v>
      </c>
      <c r="BE38" s="173">
        <f t="shared" si="165"/>
        <v>0.79377752570523918</v>
      </c>
      <c r="BF38" s="173"/>
      <c r="BG38" s="528">
        <f t="shared" si="166"/>
        <v>5.0235716940591046E-3</v>
      </c>
      <c r="BH38" s="528">
        <f t="shared" si="167"/>
        <v>0.43561087465825693</v>
      </c>
      <c r="BI38" s="528">
        <f t="shared" si="168"/>
        <v>0.20964883008030297</v>
      </c>
      <c r="BJ38" s="528">
        <f t="shared" si="169"/>
        <v>5.8331193412073469E-2</v>
      </c>
      <c r="BK38">
        <f t="shared" si="170"/>
        <v>1.0781939832701298E-2</v>
      </c>
      <c r="BL38" s="460">
        <f t="shared" si="106"/>
        <v>220.43076991300424</v>
      </c>
      <c r="BM38" s="528">
        <f t="shared" si="171"/>
        <v>0.50091990243517004</v>
      </c>
      <c r="BN38" s="460">
        <f t="shared" si="107"/>
        <v>500.91990243517006</v>
      </c>
      <c r="BO38" s="528">
        <f t="shared" si="172"/>
        <v>0.20501249999999999</v>
      </c>
      <c r="BP38" s="528"/>
      <c r="BR38" s="460">
        <f t="shared" si="109"/>
        <v>205.01249999999999</v>
      </c>
      <c r="BS38" s="528">
        <f t="shared" si="173"/>
        <v>7.5353575410886569E-3</v>
      </c>
      <c r="BT38" s="528">
        <f t="shared" si="174"/>
        <v>1.8902482809441949E-2</v>
      </c>
      <c r="BU38" s="528">
        <f t="shared" si="175"/>
        <v>8.1180000000000002E-2</v>
      </c>
      <c r="BV38" s="528">
        <f t="shared" si="176"/>
        <v>0.11420446759318162</v>
      </c>
      <c r="BW38" s="528">
        <f t="shared" si="177"/>
        <v>4.6266220613428565E-3</v>
      </c>
      <c r="BX38" s="460">
        <f t="shared" si="110"/>
        <v>118.83108965452448</v>
      </c>
      <c r="BY38" s="173">
        <f t="shared" si="45"/>
        <v>1.0451942620026988</v>
      </c>
      <c r="BZ38" s="5">
        <f t="shared" si="111"/>
        <v>5.4119999999999999</v>
      </c>
      <c r="CA38" s="173">
        <f t="shared" si="112"/>
        <v>0.83813492058723782</v>
      </c>
      <c r="CB38" s="5">
        <f t="shared" si="113"/>
        <v>83.813492058723781</v>
      </c>
      <c r="CE38" s="562">
        <f t="shared" si="178"/>
        <v>-50</v>
      </c>
      <c r="CF38">
        <f t="shared" si="179"/>
        <v>-50</v>
      </c>
      <c r="CG38" s="173">
        <f t="shared" si="180"/>
        <v>0.41112575964527259</v>
      </c>
      <c r="CI38" s="170">
        <v>33</v>
      </c>
      <c r="CJ38" s="217">
        <f t="shared" si="114"/>
        <v>0.33</v>
      </c>
      <c r="CK38" s="217"/>
      <c r="CL38" s="217">
        <f t="shared" si="49"/>
        <v>5.4119999999999999</v>
      </c>
      <c r="CM38" s="541">
        <f t="shared" si="50"/>
        <v>24</v>
      </c>
      <c r="CN38" s="172">
        <f t="shared" si="51"/>
        <v>16.799999999999997</v>
      </c>
      <c r="CO38" s="443">
        <f t="shared" si="52"/>
        <v>40.799999999999997</v>
      </c>
      <c r="CP38" s="443"/>
      <c r="CQ38" s="217">
        <f t="shared" si="53"/>
        <v>0.41176470588235292</v>
      </c>
      <c r="CR38" s="172">
        <f t="shared" si="54"/>
        <v>33.237647058823534</v>
      </c>
      <c r="CS38" s="172">
        <f t="shared" si="115"/>
        <v>5.4119999999999999</v>
      </c>
      <c r="CT38" s="217">
        <f t="shared" si="55"/>
        <v>2.026685796269728</v>
      </c>
      <c r="CU38" s="217">
        <f t="shared" si="56"/>
        <v>16.399999999999999</v>
      </c>
      <c r="CV38" s="217">
        <f t="shared" si="57"/>
        <v>2.0086083213773311</v>
      </c>
      <c r="CW38" s="172">
        <f t="shared" si="58"/>
        <v>218.46810445714945</v>
      </c>
      <c r="CX38" s="172">
        <f t="shared" si="59"/>
        <v>16.399999999999999</v>
      </c>
      <c r="CY38" s="217">
        <f t="shared" si="60"/>
        <v>1.0952857142857142</v>
      </c>
      <c r="CZ38" s="217">
        <f t="shared" si="61"/>
        <v>0.5476428571428571</v>
      </c>
      <c r="DA38" s="217">
        <f t="shared" si="62"/>
        <v>0.7823469387755102</v>
      </c>
      <c r="DB38" s="197">
        <f t="shared" si="63"/>
        <v>350</v>
      </c>
      <c r="DC38" s="443">
        <f t="shared" si="116"/>
        <v>350</v>
      </c>
      <c r="DE38" s="217">
        <f t="shared" si="64"/>
        <v>2.3529411764705879</v>
      </c>
      <c r="DF38" s="173">
        <f t="shared" si="65"/>
        <v>1.6806722689075633</v>
      </c>
      <c r="DG38" s="173">
        <f t="shared" si="66"/>
        <v>0.69204152249134954</v>
      </c>
      <c r="DH38" s="173"/>
      <c r="DI38" s="173">
        <f t="shared" si="67"/>
        <v>0.95238095238095266</v>
      </c>
      <c r="DJ38" s="545">
        <f t="shared" si="117"/>
        <v>519.74999999999977</v>
      </c>
      <c r="DK38" s="528">
        <f t="shared" si="68"/>
        <v>0.22222222222222232</v>
      </c>
      <c r="DM38" s="173">
        <f t="shared" si="69"/>
        <v>1.6248076809271921</v>
      </c>
      <c r="DN38" s="173">
        <f t="shared" si="70"/>
        <v>1.6248076809271921</v>
      </c>
      <c r="DO38" s="173">
        <f t="shared" si="71"/>
        <v>1.4159069241435989</v>
      </c>
      <c r="DQ38" s="545">
        <f t="shared" si="72"/>
        <v>330</v>
      </c>
      <c r="DR38" s="460">
        <f t="shared" si="73"/>
        <v>350</v>
      </c>
      <c r="DT38">
        <f t="shared" si="74"/>
        <v>330</v>
      </c>
      <c r="DU38" s="460">
        <f t="shared" si="75"/>
        <v>350</v>
      </c>
      <c r="DV38" s="460"/>
      <c r="DW38" s="5">
        <f t="shared" si="118"/>
        <v>2.8571428571428572</v>
      </c>
      <c r="DX38" s="5">
        <f t="shared" si="76"/>
        <v>0.81240384046359604</v>
      </c>
      <c r="DY38" s="5">
        <f t="shared" si="119"/>
        <v>2.0447390166792614</v>
      </c>
      <c r="DZ38" s="5">
        <f t="shared" si="77"/>
        <v>1.1605769149479948</v>
      </c>
      <c r="EA38" s="173">
        <f t="shared" si="120"/>
        <v>0.28434134416225859</v>
      </c>
      <c r="EB38" s="173">
        <f t="shared" si="78"/>
        <v>5.5440000000000005</v>
      </c>
      <c r="EC38" s="173">
        <f t="shared" si="79"/>
        <v>0.58140384046359606</v>
      </c>
      <c r="ED38" s="173">
        <f t="shared" si="121"/>
        <v>9.5355407277312807</v>
      </c>
      <c r="EE38" s="460">
        <f t="shared" si="80"/>
        <v>1.6347150448352852</v>
      </c>
      <c r="EF38" s="5">
        <f t="shared" si="81"/>
        <v>0.38424054021764448</v>
      </c>
      <c r="EG38" s="5"/>
      <c r="EH38" s="173">
        <f t="shared" si="122"/>
        <v>0.500220334315577</v>
      </c>
      <c r="EI38" s="173">
        <f t="shared" si="82"/>
        <v>0.79358655302191983</v>
      </c>
      <c r="EJ38" s="173"/>
      <c r="EK38" s="528">
        <f t="shared" si="83"/>
        <v>5.0044076572557531E-3</v>
      </c>
      <c r="EL38" s="528">
        <f t="shared" si="84"/>
        <v>0.46404507367280601</v>
      </c>
      <c r="EM38" s="528">
        <f t="shared" si="85"/>
        <v>4.3749999999999997E-2</v>
      </c>
      <c r="EN38" s="528">
        <f t="shared" si="86"/>
        <v>5.8262399999999999E-2</v>
      </c>
      <c r="EO38">
        <f t="shared" si="87"/>
        <v>1.0800000000000001E-2</v>
      </c>
      <c r="EP38" s="460">
        <f t="shared" si="123"/>
        <v>54.550000000000004</v>
      </c>
      <c r="EQ38" s="528">
        <f t="shared" si="88"/>
        <v>0.58390736484941752</v>
      </c>
      <c r="ER38" s="460">
        <f t="shared" si="124"/>
        <v>583.90736484941749</v>
      </c>
      <c r="ES38" s="528">
        <f t="shared" si="125"/>
        <v>0.20501249999999999</v>
      </c>
      <c r="ET38" s="528"/>
      <c r="EV38" s="460">
        <f t="shared" si="126"/>
        <v>205.01249999999999</v>
      </c>
      <c r="EW38" s="528">
        <f t="shared" si="89"/>
        <v>7.5066114858836292E-3</v>
      </c>
      <c r="EX38" s="528">
        <f t="shared" si="90"/>
        <v>1.8893388514116372E-2</v>
      </c>
      <c r="EY38" s="528">
        <f t="shared" si="91"/>
        <v>0.38560710180863361</v>
      </c>
      <c r="EZ38" s="528">
        <f t="shared" si="92"/>
        <v>0.4192285124268792</v>
      </c>
      <c r="FA38" s="528">
        <f t="shared" si="93"/>
        <v>4.6200000000000008E-3</v>
      </c>
      <c r="FB38" s="460">
        <f t="shared" si="127"/>
        <v>423.84851242687921</v>
      </c>
      <c r="FC38" s="173">
        <f t="shared" si="128"/>
        <v>1.2127683772762969</v>
      </c>
      <c r="FD38" s="5">
        <f t="shared" si="129"/>
        <v>5.4119999999999999</v>
      </c>
      <c r="FE38" s="173">
        <f t="shared" si="130"/>
        <v>0.81693422196672882</v>
      </c>
      <c r="FF38" s="5">
        <f t="shared" si="131"/>
        <v>81.693422196672884</v>
      </c>
      <c r="FI38" s="562">
        <f t="shared" si="94"/>
        <v>-50</v>
      </c>
      <c r="FJ38">
        <f t="shared" si="95"/>
        <v>-50</v>
      </c>
      <c r="FL38">
        <f t="shared" si="181"/>
        <v>0.40620192023179807</v>
      </c>
    </row>
    <row r="39" spans="5:168">
      <c r="E39" s="170">
        <v>34</v>
      </c>
      <c r="F39" s="217">
        <f t="shared" si="182"/>
        <v>0.34</v>
      </c>
      <c r="G39" s="217"/>
      <c r="H39" s="217">
        <f t="shared" si="132"/>
        <v>5.5759999999999996</v>
      </c>
      <c r="I39" s="541">
        <f t="shared" si="133"/>
        <v>23.959262746662006</v>
      </c>
      <c r="J39" s="172">
        <f t="shared" si="134"/>
        <v>16.824442352002794</v>
      </c>
      <c r="K39" s="172">
        <f t="shared" si="135"/>
        <v>40.824442352002791</v>
      </c>
      <c r="L39" s="443"/>
      <c r="M39" s="217">
        <f t="shared" si="136"/>
        <v>0.41253280855940894</v>
      </c>
      <c r="N39" s="172">
        <f t="shared" si="137"/>
        <v>33.243125964867779</v>
      </c>
      <c r="O39" s="172">
        <f t="shared" si="98"/>
        <v>5.5759999999999996</v>
      </c>
      <c r="P39" s="217">
        <f t="shared" si="138"/>
        <v>2.0270198759065723</v>
      </c>
      <c r="Q39" s="217">
        <f t="shared" si="139"/>
        <v>16.399999999999999</v>
      </c>
      <c r="R39" s="217">
        <f t="shared" si="140"/>
        <v>2.0089394211165237</v>
      </c>
      <c r="S39" s="172">
        <f t="shared" si="141"/>
        <v>210.9808086408907</v>
      </c>
      <c r="T39" s="172">
        <f t="shared" si="142"/>
        <v>16.399999999999999</v>
      </c>
      <c r="U39" s="217">
        <f t="shared" si="143"/>
        <v>1.1575114489925802</v>
      </c>
      <c r="V39" s="217">
        <f t="shared" si="11"/>
        <v>0.57973976640187441</v>
      </c>
      <c r="W39" s="217">
        <f t="shared" si="144"/>
        <v>0.82559273569370162</v>
      </c>
      <c r="X39" s="197">
        <f t="shared" si="145"/>
        <v>350</v>
      </c>
      <c r="Y39" s="443">
        <f t="shared" si="14"/>
        <v>350</v>
      </c>
      <c r="AA39" s="217">
        <f t="shared" si="146"/>
        <v>2.3533046902556514</v>
      </c>
      <c r="AB39" s="173">
        <f t="shared" si="147"/>
        <v>1.6784898834822983</v>
      </c>
      <c r="AC39" s="173">
        <f t="shared" si="148"/>
        <v>0.69124967018547201</v>
      </c>
      <c r="AD39" s="173"/>
      <c r="AE39" s="173">
        <f t="shared" si="149"/>
        <v>0.95099734453281004</v>
      </c>
      <c r="AF39" s="545">
        <f t="shared" si="150"/>
        <v>536.27909997008908</v>
      </c>
      <c r="AG39" s="528">
        <f t="shared" si="151"/>
        <v>0.22189938039098903</v>
      </c>
      <c r="AI39" s="173">
        <f t="shared" si="152"/>
        <v>1.6504415570329671</v>
      </c>
      <c r="AJ39" s="173">
        <f t="shared" si="153"/>
        <v>1.6504415570329671</v>
      </c>
      <c r="AK39" s="173">
        <f t="shared" si="154"/>
        <v>1.4348949805182472</v>
      </c>
      <c r="AM39" s="545">
        <f t="shared" si="155"/>
        <v>340</v>
      </c>
      <c r="AN39" s="460">
        <f t="shared" si="156"/>
        <v>350</v>
      </c>
      <c r="AP39">
        <f t="shared" si="157"/>
        <v>340</v>
      </c>
      <c r="AQ39" s="460">
        <f t="shared" si="158"/>
        <v>350</v>
      </c>
      <c r="AR39" s="460"/>
      <c r="AS39" s="5">
        <f t="shared" si="101"/>
        <v>2.8571428571428572</v>
      </c>
      <c r="AT39" s="5">
        <f t="shared" si="159"/>
        <v>0.82662387794694858</v>
      </c>
      <c r="AU39" s="5">
        <f t="shared" si="102"/>
        <v>2.0305189791959086</v>
      </c>
      <c r="AV39" s="5">
        <f t="shared" si="160"/>
        <v>1.177174153533711</v>
      </c>
      <c r="AW39" s="173">
        <f t="shared" si="103"/>
        <v>0.28931835728143201</v>
      </c>
      <c r="AX39" s="173">
        <f t="shared" si="161"/>
        <v>5.720310399680951</v>
      </c>
      <c r="AY39" s="173">
        <f t="shared" si="162"/>
        <v>0.58646925848159015</v>
      </c>
      <c r="AZ39" s="173">
        <f t="shared" si="104"/>
        <v>9.7538111622273842</v>
      </c>
      <c r="BA39" s="460">
        <f t="shared" si="163"/>
        <v>1.7137324298900158</v>
      </c>
      <c r="BB39" s="5">
        <f t="shared" si="164"/>
        <v>0.39379946521844267</v>
      </c>
      <c r="BC39" s="5"/>
      <c r="BD39" s="173">
        <f t="shared" si="105"/>
        <v>0.51253970933666992</v>
      </c>
      <c r="BE39" s="173">
        <f t="shared" si="165"/>
        <v>0.80329871410342546</v>
      </c>
      <c r="BF39" s="173"/>
      <c r="BG39" s="528">
        <f t="shared" si="166"/>
        <v>5.253939072938362E-3</v>
      </c>
      <c r="BH39" s="528">
        <f t="shared" si="167"/>
        <v>0.44217046256540127</v>
      </c>
      <c r="BI39" s="528">
        <f t="shared" si="168"/>
        <v>0.20964354903329255</v>
      </c>
      <c r="BJ39" s="528">
        <f t="shared" si="169"/>
        <v>5.8332228267319965E-2</v>
      </c>
      <c r="BK39">
        <f t="shared" si="170"/>
        <v>1.0781668235997903E-2</v>
      </c>
      <c r="BL39" s="460">
        <f t="shared" si="106"/>
        <v>220.42521726929047</v>
      </c>
      <c r="BM39" s="528">
        <f t="shared" si="171"/>
        <v>0.50780910980952565</v>
      </c>
      <c r="BN39" s="460">
        <f t="shared" si="107"/>
        <v>507.80910980952564</v>
      </c>
      <c r="BO39" s="528">
        <f t="shared" si="172"/>
        <v>0.21122499999999997</v>
      </c>
      <c r="BP39" s="528"/>
      <c r="BR39" s="460">
        <f t="shared" si="109"/>
        <v>211.22499999999997</v>
      </c>
      <c r="BS39" s="528">
        <f t="shared" si="173"/>
        <v>7.8809086094075425E-3</v>
      </c>
      <c r="BT39" s="528">
        <f t="shared" si="174"/>
        <v>1.9358664722406507E-2</v>
      </c>
      <c r="BU39" s="528">
        <f t="shared" si="175"/>
        <v>8.3639999999999992E-2</v>
      </c>
      <c r="BV39" s="528">
        <f t="shared" si="176"/>
        <v>0.11767350100824343</v>
      </c>
      <c r="BW39" s="528">
        <f t="shared" si="177"/>
        <v>4.766925333067459E-3</v>
      </c>
      <c r="BX39" s="460">
        <f t="shared" si="110"/>
        <v>122.44042634131088</v>
      </c>
      <c r="BY39" s="173">
        <f t="shared" si="45"/>
        <v>1.0618997534201271</v>
      </c>
      <c r="BZ39" s="5">
        <f t="shared" si="111"/>
        <v>5.5759999999999996</v>
      </c>
      <c r="CA39" s="173">
        <f t="shared" si="112"/>
        <v>0.84002473781364473</v>
      </c>
      <c r="CB39" s="5">
        <f t="shared" si="113"/>
        <v>84.002473781364472</v>
      </c>
      <c r="CE39" s="562">
        <f t="shared" si="178"/>
        <v>-50</v>
      </c>
      <c r="CF39">
        <f t="shared" si="179"/>
        <v>-50</v>
      </c>
      <c r="CG39" s="173">
        <f t="shared" si="180"/>
        <v>0.41730844882821949</v>
      </c>
      <c r="CI39" s="170">
        <v>34</v>
      </c>
      <c r="CJ39" s="217">
        <f t="shared" si="114"/>
        <v>0.34</v>
      </c>
      <c r="CK39" s="217"/>
      <c r="CL39" s="217">
        <f t="shared" si="49"/>
        <v>5.5759999999999996</v>
      </c>
      <c r="CM39" s="541">
        <f t="shared" si="50"/>
        <v>24</v>
      </c>
      <c r="CN39" s="172">
        <f t="shared" si="51"/>
        <v>16.799999999999997</v>
      </c>
      <c r="CO39" s="443">
        <f t="shared" si="52"/>
        <v>40.799999999999997</v>
      </c>
      <c r="CP39" s="443"/>
      <c r="CQ39" s="217">
        <f t="shared" si="53"/>
        <v>0.41176470588235292</v>
      </c>
      <c r="CR39" s="172">
        <f t="shared" si="54"/>
        <v>33.237647058823534</v>
      </c>
      <c r="CS39" s="172">
        <f t="shared" si="115"/>
        <v>5.5759999999999996</v>
      </c>
      <c r="CT39" s="217">
        <f t="shared" si="55"/>
        <v>2.026685796269728</v>
      </c>
      <c r="CU39" s="217">
        <f t="shared" si="56"/>
        <v>16.399999999999999</v>
      </c>
      <c r="CV39" s="217">
        <f t="shared" si="57"/>
        <v>2.0086083213773311</v>
      </c>
      <c r="CW39" s="172">
        <f t="shared" si="58"/>
        <v>211.33945638629919</v>
      </c>
      <c r="CX39" s="172">
        <f t="shared" si="59"/>
        <v>16.399999999999999</v>
      </c>
      <c r="CY39" s="217">
        <f t="shared" si="60"/>
        <v>1.1284761904761904</v>
      </c>
      <c r="CZ39" s="217">
        <f t="shared" si="61"/>
        <v>0.56423809523809521</v>
      </c>
      <c r="DA39" s="217">
        <f t="shared" si="62"/>
        <v>0.80605442176870767</v>
      </c>
      <c r="DB39" s="197">
        <f t="shared" si="63"/>
        <v>350</v>
      </c>
      <c r="DC39" s="443">
        <f t="shared" si="116"/>
        <v>350</v>
      </c>
      <c r="DE39" s="217">
        <f t="shared" si="64"/>
        <v>2.3529411764705879</v>
      </c>
      <c r="DF39" s="173">
        <f t="shared" si="65"/>
        <v>1.6806722689075633</v>
      </c>
      <c r="DG39" s="173">
        <f t="shared" si="66"/>
        <v>0.69204152249134954</v>
      </c>
      <c r="DH39" s="173"/>
      <c r="DI39" s="173">
        <f t="shared" si="67"/>
        <v>0.95238095238095266</v>
      </c>
      <c r="DJ39" s="545">
        <f t="shared" si="117"/>
        <v>535.49999999999977</v>
      </c>
      <c r="DK39" s="528">
        <f t="shared" si="68"/>
        <v>0.22222222222222232</v>
      </c>
      <c r="DM39" s="173">
        <f t="shared" si="69"/>
        <v>1.6492422502470641</v>
      </c>
      <c r="DN39" s="173">
        <f t="shared" si="70"/>
        <v>1.6492422502470641</v>
      </c>
      <c r="DO39" s="173">
        <f t="shared" si="71"/>
        <v>1.4340066051212819</v>
      </c>
      <c r="DQ39" s="545">
        <f t="shared" si="72"/>
        <v>340</v>
      </c>
      <c r="DR39" s="460">
        <f t="shared" si="73"/>
        <v>350</v>
      </c>
      <c r="DT39">
        <f t="shared" si="74"/>
        <v>340</v>
      </c>
      <c r="DU39" s="460">
        <f t="shared" si="75"/>
        <v>350</v>
      </c>
      <c r="DV39" s="460"/>
      <c r="DW39" s="5">
        <f t="shared" si="118"/>
        <v>2.8571428571428572</v>
      </c>
      <c r="DX39" s="5">
        <f t="shared" si="76"/>
        <v>0.82462112512353214</v>
      </c>
      <c r="DY39" s="5">
        <f t="shared" si="119"/>
        <v>2.0325217320193252</v>
      </c>
      <c r="DZ39" s="5">
        <f t="shared" si="77"/>
        <v>1.1780301787479033</v>
      </c>
      <c r="EA39" s="173">
        <f t="shared" si="120"/>
        <v>0.28861739379323625</v>
      </c>
      <c r="EB39" s="173">
        <f t="shared" si="78"/>
        <v>5.711999999999998</v>
      </c>
      <c r="EC39" s="173">
        <f t="shared" si="79"/>
        <v>0.58662112512353204</v>
      </c>
      <c r="ED39" s="173">
        <f t="shared" si="121"/>
        <v>9.7371195058772422</v>
      </c>
      <c r="EE39" s="460">
        <f t="shared" si="80"/>
        <v>1.7095803813536645</v>
      </c>
      <c r="EF39" s="5">
        <f t="shared" si="81"/>
        <v>0.39351879089374148</v>
      </c>
      <c r="EG39" s="5"/>
      <c r="EH39" s="173">
        <f t="shared" si="122"/>
        <v>0.51154644986798037</v>
      </c>
      <c r="EI39" s="173">
        <f t="shared" si="82"/>
        <v>0.80311076215808019</v>
      </c>
      <c r="EJ39" s="173"/>
      <c r="EK39" s="528">
        <f t="shared" si="83"/>
        <v>5.2335954074506832E-3</v>
      </c>
      <c r="EL39" s="528">
        <f t="shared" si="84"/>
        <v>0.47102358667056154</v>
      </c>
      <c r="EM39" s="528">
        <f t="shared" si="85"/>
        <v>4.3749999999999997E-2</v>
      </c>
      <c r="EN39" s="528">
        <f t="shared" si="86"/>
        <v>5.8262399999999999E-2</v>
      </c>
      <c r="EO39">
        <f t="shared" si="87"/>
        <v>1.0800000000000001E-2</v>
      </c>
      <c r="EP39" s="460">
        <f t="shared" si="123"/>
        <v>54.550000000000004</v>
      </c>
      <c r="EQ39" s="528">
        <f t="shared" si="88"/>
        <v>0.59121783355541124</v>
      </c>
      <c r="ER39" s="460">
        <f t="shared" si="124"/>
        <v>591.21783355541129</v>
      </c>
      <c r="ES39" s="528">
        <f t="shared" si="125"/>
        <v>0.21122499999999997</v>
      </c>
      <c r="ET39" s="528"/>
      <c r="EV39" s="460">
        <f t="shared" si="126"/>
        <v>211.22499999999997</v>
      </c>
      <c r="EW39" s="528">
        <f t="shared" si="89"/>
        <v>7.8503931111760239E-3</v>
      </c>
      <c r="EX39" s="528">
        <f t="shared" si="90"/>
        <v>1.9349606888823971E-2</v>
      </c>
      <c r="EY39" s="528">
        <f t="shared" si="91"/>
        <v>0.40026834475066264</v>
      </c>
      <c r="EZ39" s="528">
        <f t="shared" si="92"/>
        <v>0.43494278024046584</v>
      </c>
      <c r="FA39" s="528">
        <f t="shared" si="93"/>
        <v>4.7599999999999986E-3</v>
      </c>
      <c r="FB39" s="460">
        <f t="shared" si="127"/>
        <v>439.70278024046581</v>
      </c>
      <c r="FC39" s="173">
        <f t="shared" si="128"/>
        <v>1.2421456137958771</v>
      </c>
      <c r="FD39" s="5">
        <f t="shared" si="129"/>
        <v>5.5759999999999996</v>
      </c>
      <c r="FE39" s="173">
        <f t="shared" si="130"/>
        <v>0.81781767592605936</v>
      </c>
      <c r="FF39" s="5">
        <f t="shared" si="131"/>
        <v>81.781767592605931</v>
      </c>
      <c r="FI39" s="562">
        <f t="shared" si="94"/>
        <v>-50</v>
      </c>
      <c r="FJ39">
        <f t="shared" si="95"/>
        <v>-50</v>
      </c>
      <c r="FL39">
        <f t="shared" si="181"/>
        <v>0.41231056256176607</v>
      </c>
    </row>
    <row r="40" spans="5:168">
      <c r="E40" s="170">
        <v>35</v>
      </c>
      <c r="F40" s="217">
        <f t="shared" si="182"/>
        <v>0.35</v>
      </c>
      <c r="G40" s="217"/>
      <c r="H40" s="217">
        <f t="shared" si="132"/>
        <v>5.7399999999999993</v>
      </c>
      <c r="I40" s="541">
        <f t="shared" si="133"/>
        <v>23.958668010774542</v>
      </c>
      <c r="J40" s="172">
        <f t="shared" si="134"/>
        <v>16.82479919353527</v>
      </c>
      <c r="K40" s="172">
        <f t="shared" si="135"/>
        <v>40.82479919353527</v>
      </c>
      <c r="L40" s="443"/>
      <c r="M40" s="217">
        <f t="shared" si="136"/>
        <v>0.4125440267934895</v>
      </c>
      <c r="N40" s="172">
        <f t="shared" si="137"/>
        <v>33.243204753910838</v>
      </c>
      <c r="O40" s="172">
        <f t="shared" si="98"/>
        <v>5.7399999999999993</v>
      </c>
      <c r="P40" s="217">
        <f t="shared" si="138"/>
        <v>2.0270246801165146</v>
      </c>
      <c r="Q40" s="217">
        <f t="shared" si="139"/>
        <v>16.399999999999999</v>
      </c>
      <c r="R40" s="217">
        <f t="shared" si="140"/>
        <v>2.0089441824742464</v>
      </c>
      <c r="S40" s="172">
        <f t="shared" si="141"/>
        <v>204.2659474908954</v>
      </c>
      <c r="T40" s="172">
        <f t="shared" si="142"/>
        <v>16.399999999999999</v>
      </c>
      <c r="U40" s="217">
        <f t="shared" si="143"/>
        <v>1.1915786576808307</v>
      </c>
      <c r="V40" s="217">
        <f t="shared" si="11"/>
        <v>0.59681714716943102</v>
      </c>
      <c r="W40" s="217">
        <f t="shared" si="144"/>
        <v>0.84987307888133179</v>
      </c>
      <c r="X40" s="197">
        <f t="shared" si="145"/>
        <v>350</v>
      </c>
      <c r="Y40" s="443">
        <f t="shared" si="14"/>
        <v>350</v>
      </c>
      <c r="AA40" s="217">
        <f t="shared" si="146"/>
        <v>2.3533099133533502</v>
      </c>
      <c r="AB40" s="173">
        <f t="shared" si="147"/>
        <v>1.6784580092397761</v>
      </c>
      <c r="AC40" s="173">
        <f t="shared" si="148"/>
        <v>0.69123807765097645</v>
      </c>
      <c r="AD40" s="173"/>
      <c r="AE40" s="173">
        <f t="shared" si="149"/>
        <v>0.95097717458332653</v>
      </c>
      <c r="AF40" s="545">
        <f t="shared" si="150"/>
        <v>552.06372353787583</v>
      </c>
      <c r="AG40" s="528">
        <f t="shared" si="151"/>
        <v>0.22189467406944288</v>
      </c>
      <c r="AI40" s="173">
        <f t="shared" si="152"/>
        <v>1.6745546270344676</v>
      </c>
      <c r="AJ40" s="173">
        <f t="shared" si="153"/>
        <v>1.6745546270344676</v>
      </c>
      <c r="AK40" s="173">
        <f t="shared" si="154"/>
        <v>1.4527565138526919</v>
      </c>
      <c r="AM40" s="545">
        <f t="shared" si="155"/>
        <v>350</v>
      </c>
      <c r="AN40" s="460">
        <f t="shared" si="156"/>
        <v>350</v>
      </c>
      <c r="AP40">
        <f t="shared" si="157"/>
        <v>350</v>
      </c>
      <c r="AQ40" s="460">
        <f t="shared" si="158"/>
        <v>350</v>
      </c>
      <c r="AR40" s="460"/>
      <c r="AS40" s="5">
        <f t="shared" si="101"/>
        <v>2.8571428571428572</v>
      </c>
      <c r="AT40" s="5">
        <f t="shared" si="159"/>
        <v>0.83872173174972708</v>
      </c>
      <c r="AU40" s="5">
        <f t="shared" si="102"/>
        <v>2.0184211253931301</v>
      </c>
      <c r="AV40" s="5">
        <f t="shared" si="160"/>
        <v>1.1943474209270055</v>
      </c>
      <c r="AW40" s="173">
        <f t="shared" si="103"/>
        <v>0.29355260611240447</v>
      </c>
      <c r="AX40" s="173">
        <f t="shared" si="161"/>
        <v>5.888679717737344</v>
      </c>
      <c r="AY40" s="173">
        <f t="shared" si="162"/>
        <v>0.59149237609545702</v>
      </c>
      <c r="AZ40" s="173">
        <f t="shared" si="104"/>
        <v>9.9556308005346281</v>
      </c>
      <c r="BA40" s="460">
        <f t="shared" si="163"/>
        <v>1.7899549153195398</v>
      </c>
      <c r="BB40" s="5">
        <f t="shared" si="164"/>
        <v>0.4029765363189326</v>
      </c>
      <c r="BC40" s="5"/>
      <c r="BD40" s="173">
        <f t="shared" si="105"/>
        <v>0.52381950085566265</v>
      </c>
      <c r="BE40" s="173">
        <f t="shared" si="165"/>
        <v>0.81260334532343603</v>
      </c>
      <c r="BF40" s="173"/>
      <c r="BG40" s="528">
        <f t="shared" si="166"/>
        <v>5.4877373895335117E-3</v>
      </c>
      <c r="BH40" s="528">
        <f t="shared" si="167"/>
        <v>0.44863452629157408</v>
      </c>
      <c r="BI40" s="528">
        <f t="shared" si="168"/>
        <v>0.2096383450942772</v>
      </c>
      <c r="BJ40" s="528">
        <f t="shared" si="169"/>
        <v>5.8333248021736728E-2</v>
      </c>
      <c r="BK40">
        <f t="shared" si="170"/>
        <v>1.0781400604848543E-2</v>
      </c>
      <c r="BL40" s="460">
        <f t="shared" si="106"/>
        <v>220.41974569912577</v>
      </c>
      <c r="BM40" s="528">
        <f t="shared" si="171"/>
        <v>0.51460819142207348</v>
      </c>
      <c r="BN40" s="460">
        <f t="shared" si="107"/>
        <v>514.60819142207345</v>
      </c>
      <c r="BO40" s="528">
        <f t="shared" si="172"/>
        <v>0.21743749999999995</v>
      </c>
      <c r="BP40" s="528"/>
      <c r="BR40" s="460">
        <f t="shared" si="109"/>
        <v>217.43749999999994</v>
      </c>
      <c r="BS40" s="528">
        <f t="shared" si="173"/>
        <v>8.2316060843002671E-3</v>
      </c>
      <c r="BT40" s="528">
        <f t="shared" si="174"/>
        <v>1.9809725904925184E-2</v>
      </c>
      <c r="BU40" s="528">
        <f t="shared" si="175"/>
        <v>8.6099999999999982E-2</v>
      </c>
      <c r="BV40" s="528">
        <f t="shared" si="176"/>
        <v>0.12114301258135704</v>
      </c>
      <c r="BW40" s="528">
        <f t="shared" si="177"/>
        <v>4.9072330981144536E-3</v>
      </c>
      <c r="BX40" s="460">
        <f t="shared" si="110"/>
        <v>126.05024567947149</v>
      </c>
      <c r="BY40" s="173">
        <f t="shared" si="45"/>
        <v>1.0785156828006708</v>
      </c>
      <c r="BZ40" s="5">
        <f t="shared" si="111"/>
        <v>5.7399999999999993</v>
      </c>
      <c r="CA40" s="173">
        <f t="shared" si="112"/>
        <v>0.84182544515939639</v>
      </c>
      <c r="CB40" s="5">
        <f t="shared" si="113"/>
        <v>84.182544515939639</v>
      </c>
      <c r="CE40" s="562">
        <f t="shared" si="178"/>
        <v>-50</v>
      </c>
      <c r="CF40">
        <f t="shared" si="179"/>
        <v>-50</v>
      </c>
      <c r="CG40" s="173">
        <f t="shared" si="180"/>
        <v>0.42340086523639375</v>
      </c>
      <c r="CI40" s="170">
        <v>35</v>
      </c>
      <c r="CJ40" s="217">
        <f t="shared" si="114"/>
        <v>0.35</v>
      </c>
      <c r="CK40" s="217"/>
      <c r="CL40" s="217">
        <f t="shared" si="49"/>
        <v>5.7399999999999993</v>
      </c>
      <c r="CM40" s="541">
        <f t="shared" si="50"/>
        <v>24</v>
      </c>
      <c r="CN40" s="172">
        <f t="shared" si="51"/>
        <v>16.799999999999997</v>
      </c>
      <c r="CO40" s="443">
        <f t="shared" si="52"/>
        <v>40.799999999999997</v>
      </c>
      <c r="CP40" s="443"/>
      <c r="CQ40" s="217">
        <f t="shared" si="53"/>
        <v>0.41176470588235292</v>
      </c>
      <c r="CR40" s="172">
        <f t="shared" si="54"/>
        <v>33.237647058823534</v>
      </c>
      <c r="CS40" s="172">
        <f t="shared" si="115"/>
        <v>5.7399999999999993</v>
      </c>
      <c r="CT40" s="217">
        <f t="shared" si="55"/>
        <v>2.026685796269728</v>
      </c>
      <c r="CU40" s="217">
        <f t="shared" si="56"/>
        <v>16.399999999999999</v>
      </c>
      <c r="CV40" s="217">
        <f t="shared" si="57"/>
        <v>2.0086083213773311</v>
      </c>
      <c r="CW40" s="172">
        <f t="shared" si="58"/>
        <v>204.61825367030707</v>
      </c>
      <c r="CX40" s="172">
        <f t="shared" si="59"/>
        <v>16.399999999999999</v>
      </c>
      <c r="CY40" s="217">
        <f t="shared" si="60"/>
        <v>1.1616666666666664</v>
      </c>
      <c r="CZ40" s="217">
        <f t="shared" si="61"/>
        <v>0.5808333333333332</v>
      </c>
      <c r="DA40" s="217">
        <f t="shared" si="62"/>
        <v>0.8297619047619047</v>
      </c>
      <c r="DB40" s="197">
        <f t="shared" si="63"/>
        <v>350</v>
      </c>
      <c r="DC40" s="443">
        <f t="shared" si="116"/>
        <v>350</v>
      </c>
      <c r="DE40" s="217">
        <f t="shared" si="64"/>
        <v>2.3529411764705879</v>
      </c>
      <c r="DF40" s="173">
        <f t="shared" si="65"/>
        <v>1.6806722689075633</v>
      </c>
      <c r="DG40" s="173">
        <f t="shared" si="66"/>
        <v>0.69204152249134954</v>
      </c>
      <c r="DH40" s="173"/>
      <c r="DI40" s="173">
        <f t="shared" si="67"/>
        <v>0.95238095238095266</v>
      </c>
      <c r="DJ40" s="545">
        <f t="shared" si="117"/>
        <v>551.24999999999977</v>
      </c>
      <c r="DK40" s="528">
        <f t="shared" si="68"/>
        <v>0.22222222222222232</v>
      </c>
      <c r="DM40" s="173">
        <f t="shared" si="69"/>
        <v>1.6733200530681509</v>
      </c>
      <c r="DN40" s="173">
        <f t="shared" si="70"/>
        <v>1.6733200530681509</v>
      </c>
      <c r="DO40" s="173">
        <f t="shared" si="71"/>
        <v>1.4518420146183832</v>
      </c>
      <c r="DQ40" s="545">
        <f t="shared" si="72"/>
        <v>350</v>
      </c>
      <c r="DR40" s="460">
        <f t="shared" si="73"/>
        <v>350</v>
      </c>
      <c r="DT40">
        <f t="shared" si="74"/>
        <v>350</v>
      </c>
      <c r="DU40" s="460">
        <f t="shared" si="75"/>
        <v>350</v>
      </c>
      <c r="DV40" s="460"/>
      <c r="DW40" s="5">
        <f t="shared" si="118"/>
        <v>2.8571428571428572</v>
      </c>
      <c r="DX40" s="5">
        <f t="shared" si="76"/>
        <v>0.83666002653407545</v>
      </c>
      <c r="DY40" s="5">
        <f t="shared" si="119"/>
        <v>2.0204828306087816</v>
      </c>
      <c r="DZ40" s="5">
        <f t="shared" si="77"/>
        <v>1.1952286093343938</v>
      </c>
      <c r="EA40" s="173">
        <f t="shared" si="120"/>
        <v>0.2928310092869264</v>
      </c>
      <c r="EB40" s="173">
        <f t="shared" si="78"/>
        <v>5.8799999999999981</v>
      </c>
      <c r="EC40" s="173">
        <f t="shared" si="79"/>
        <v>0.59166002653407557</v>
      </c>
      <c r="ED40" s="173">
        <f t="shared" si="121"/>
        <v>9.9381397023639391</v>
      </c>
      <c r="EE40" s="460">
        <f t="shared" si="80"/>
        <v>1.7855549346763808</v>
      </c>
      <c r="EF40" s="5">
        <f t="shared" si="81"/>
        <v>0.40269345304494458</v>
      </c>
      <c r="EG40" s="5"/>
      <c r="EH40" s="173">
        <f t="shared" si="122"/>
        <v>0.52278957717338936</v>
      </c>
      <c r="EI40" s="173">
        <f t="shared" si="82"/>
        <v>0.81241885215214071</v>
      </c>
      <c r="EJ40" s="173"/>
      <c r="EK40" s="528">
        <f t="shared" si="83"/>
        <v>5.4661788400226256E-3</v>
      </c>
      <c r="EL40" s="528">
        <f t="shared" si="84"/>
        <v>0.47790020715626391</v>
      </c>
      <c r="EM40" s="528">
        <f t="shared" si="85"/>
        <v>4.3749999999999997E-2</v>
      </c>
      <c r="EN40" s="528">
        <f t="shared" si="86"/>
        <v>5.8262399999999999E-2</v>
      </c>
      <c r="EO40">
        <f t="shared" si="87"/>
        <v>1.0800000000000001E-2</v>
      </c>
      <c r="EP40" s="460">
        <f t="shared" si="123"/>
        <v>54.550000000000004</v>
      </c>
      <c r="EQ40" s="528">
        <f t="shared" si="88"/>
        <v>0.59843187611553283</v>
      </c>
      <c r="ER40" s="460">
        <f t="shared" si="124"/>
        <v>598.43187611553287</v>
      </c>
      <c r="ES40" s="528">
        <f t="shared" si="125"/>
        <v>0.21743749999999995</v>
      </c>
      <c r="ET40" s="528"/>
      <c r="EV40" s="460">
        <f t="shared" si="126"/>
        <v>217.43749999999994</v>
      </c>
      <c r="EW40" s="528">
        <f t="shared" si="89"/>
        <v>8.199268260033938E-3</v>
      </c>
      <c r="EX40" s="528">
        <f t="shared" si="90"/>
        <v>1.9800731739966056E-2</v>
      </c>
      <c r="EY40" s="528">
        <f t="shared" si="91"/>
        <v>0.41503780196264933</v>
      </c>
      <c r="EZ40" s="528">
        <f t="shared" si="92"/>
        <v>0.45076752121016006</v>
      </c>
      <c r="FA40" s="528">
        <f t="shared" si="93"/>
        <v>4.8999999999999998E-3</v>
      </c>
      <c r="FB40" s="460">
        <f t="shared" si="127"/>
        <v>455.66752121016009</v>
      </c>
      <c r="FC40" s="173">
        <f t="shared" si="128"/>
        <v>1.2715368973256929</v>
      </c>
      <c r="FD40" s="5">
        <f t="shared" si="129"/>
        <v>5.7399999999999993</v>
      </c>
      <c r="FE40" s="173">
        <f t="shared" si="130"/>
        <v>0.81865075860747782</v>
      </c>
      <c r="FF40" s="5">
        <f t="shared" si="131"/>
        <v>81.86507586074778</v>
      </c>
      <c r="FI40" s="562">
        <f t="shared" si="94"/>
        <v>-50</v>
      </c>
      <c r="FJ40">
        <f t="shared" si="95"/>
        <v>-50</v>
      </c>
      <c r="FL40">
        <f t="shared" si="181"/>
        <v>0.41833001326703778</v>
      </c>
    </row>
    <row r="41" spans="5:168">
      <c r="E41" s="170">
        <v>36</v>
      </c>
      <c r="F41" s="217">
        <f t="shared" si="182"/>
        <v>0.36</v>
      </c>
      <c r="G41" s="217"/>
      <c r="H41" s="217">
        <f t="shared" si="132"/>
        <v>5.903999999999999</v>
      </c>
      <c r="I41" s="541">
        <f t="shared" si="133"/>
        <v>23.958081712139652</v>
      </c>
      <c r="J41" s="172">
        <f t="shared" si="134"/>
        <v>16.825150972716205</v>
      </c>
      <c r="K41" s="172">
        <f t="shared" si="135"/>
        <v>40.825150972716202</v>
      </c>
      <c r="L41" s="443"/>
      <c r="M41" s="217">
        <f t="shared" si="136"/>
        <v>0.41255508600526347</v>
      </c>
      <c r="N41" s="172">
        <f t="shared" si="137"/>
        <v>33.243282391414532</v>
      </c>
      <c r="O41" s="172">
        <f t="shared" si="98"/>
        <v>5.903999999999999</v>
      </c>
      <c r="P41" s="217">
        <f t="shared" si="138"/>
        <v>2.0270294141106424</v>
      </c>
      <c r="Q41" s="217">
        <f t="shared" si="139"/>
        <v>16.399999999999999</v>
      </c>
      <c r="R41" s="217">
        <f t="shared" si="140"/>
        <v>2.0089488742424608</v>
      </c>
      <c r="S41" s="172">
        <f t="shared" si="141"/>
        <v>197.92432922905741</v>
      </c>
      <c r="T41" s="172">
        <f t="shared" si="142"/>
        <v>16.399999999999999</v>
      </c>
      <c r="U41" s="217">
        <f t="shared" si="143"/>
        <v>1.22564683572433</v>
      </c>
      <c r="V41" s="217">
        <f t="shared" si="11"/>
        <v>0.61389564512752626</v>
      </c>
      <c r="W41" s="217">
        <f t="shared" si="144"/>
        <v>0.87415334653116517</v>
      </c>
      <c r="X41" s="197">
        <f t="shared" si="145"/>
        <v>350</v>
      </c>
      <c r="Y41" s="443">
        <f t="shared" si="14"/>
        <v>350</v>
      </c>
      <c r="AA41" s="217">
        <f t="shared" si="146"/>
        <v>2.353315059987434</v>
      </c>
      <c r="AB41" s="173">
        <f t="shared" si="147"/>
        <v>1.678426586818927</v>
      </c>
      <c r="AC41" s="173">
        <f t="shared" si="148"/>
        <v>0.6912266486727503</v>
      </c>
      <c r="AD41" s="173"/>
      <c r="AE41" s="173">
        <f t="shared" si="149"/>
        <v>0.95095729161335474</v>
      </c>
      <c r="AF41" s="545">
        <f t="shared" si="150"/>
        <v>567.8488453291717</v>
      </c>
      <c r="AG41" s="528">
        <f t="shared" si="151"/>
        <v>0.2218900347097828</v>
      </c>
      <c r="AI41" s="173">
        <f t="shared" si="152"/>
        <v>1.6983261157159357</v>
      </c>
      <c r="AJ41" s="173">
        <f t="shared" si="153"/>
        <v>1.6983261157159357</v>
      </c>
      <c r="AK41" s="173">
        <f t="shared" si="154"/>
        <v>1.4703650239871127</v>
      </c>
      <c r="AM41" s="545">
        <f t="shared" si="155"/>
        <v>360</v>
      </c>
      <c r="AN41" s="460">
        <f t="shared" si="156"/>
        <v>350</v>
      </c>
      <c r="AP41">
        <f t="shared" si="157"/>
        <v>360</v>
      </c>
      <c r="AQ41" s="460">
        <f t="shared" si="158"/>
        <v>350</v>
      </c>
      <c r="AR41" s="460"/>
      <c r="AS41" s="5">
        <f t="shared" si="101"/>
        <v>2.8571428571428572</v>
      </c>
      <c r="AT41" s="5">
        <f t="shared" si="159"/>
        <v>0.85064879707229013</v>
      </c>
      <c r="AU41" s="5">
        <f t="shared" si="102"/>
        <v>2.0064940600705672</v>
      </c>
      <c r="AV41" s="5">
        <f t="shared" si="160"/>
        <v>1.211276702458091</v>
      </c>
      <c r="AW41" s="173">
        <f t="shared" si="103"/>
        <v>0.29772707897530154</v>
      </c>
      <c r="AX41" s="173">
        <f t="shared" si="161"/>
        <v>6.0570543501778342</v>
      </c>
      <c r="AY41" s="173">
        <f t="shared" si="162"/>
        <v>0.59634422106818019</v>
      </c>
      <c r="AZ41" s="173">
        <f t="shared" si="104"/>
        <v>10.156976685928729</v>
      </c>
      <c r="BA41" s="460">
        <f t="shared" si="163"/>
        <v>1.8672778472318565</v>
      </c>
      <c r="BB41" s="5">
        <f t="shared" si="164"/>
        <v>0.41205096861093982</v>
      </c>
      <c r="BC41" s="5"/>
      <c r="BD41" s="173">
        <f t="shared" si="105"/>
        <v>0.53501952180272294</v>
      </c>
      <c r="BE41" s="173">
        <f t="shared" si="165"/>
        <v>0.82170025540394709</v>
      </c>
      <c r="BF41" s="173"/>
      <c r="BG41" s="528">
        <f t="shared" si="166"/>
        <v>5.7249177742002867E-3</v>
      </c>
      <c r="BH41" s="528">
        <f t="shared" si="167"/>
        <v>0.45500713174225149</v>
      </c>
      <c r="BI41" s="528">
        <f t="shared" si="168"/>
        <v>0.20963321498122195</v>
      </c>
      <c r="BJ41" s="528">
        <f t="shared" si="169"/>
        <v>5.833425331807747E-2</v>
      </c>
      <c r="BK41">
        <f t="shared" si="170"/>
        <v>1.0781136770462843E-2</v>
      </c>
      <c r="BL41" s="460">
        <f t="shared" si="106"/>
        <v>220.41435175168479</v>
      </c>
      <c r="BM41" s="528">
        <f t="shared" si="171"/>
        <v>0.52132115275984325</v>
      </c>
      <c r="BN41" s="460">
        <f t="shared" si="107"/>
        <v>521.32115275984324</v>
      </c>
      <c r="BO41" s="528">
        <f t="shared" si="172"/>
        <v>0.22364999999999999</v>
      </c>
      <c r="BP41" s="528"/>
      <c r="BR41" s="460">
        <f t="shared" si="109"/>
        <v>223.64999999999998</v>
      </c>
      <c r="BS41" s="528">
        <f t="shared" si="173"/>
        <v>8.5873766613004301E-3</v>
      </c>
      <c r="BT41" s="528">
        <f t="shared" si="174"/>
        <v>2.0255739291927356E-2</v>
      </c>
      <c r="BU41" s="528">
        <f t="shared" si="175"/>
        <v>8.8559999999999986E-2</v>
      </c>
      <c r="BV41" s="528">
        <f t="shared" si="176"/>
        <v>0.12461300196319477</v>
      </c>
      <c r="BW41" s="528">
        <f t="shared" si="177"/>
        <v>5.047545291814861E-3</v>
      </c>
      <c r="BX41" s="460">
        <f t="shared" si="110"/>
        <v>129.66054725500965</v>
      </c>
      <c r="BY41" s="173">
        <f t="shared" si="45"/>
        <v>1.0950460517665377</v>
      </c>
      <c r="BZ41" s="5">
        <f t="shared" si="111"/>
        <v>5.903999999999999</v>
      </c>
      <c r="CA41" s="173">
        <f t="shared" si="112"/>
        <v>0.84354352812264299</v>
      </c>
      <c r="CB41" s="5">
        <f t="shared" si="113"/>
        <v>84.354352812264295</v>
      </c>
      <c r="CE41" s="562">
        <f t="shared" si="178"/>
        <v>-50</v>
      </c>
      <c r="CF41">
        <f t="shared" si="179"/>
        <v>-50</v>
      </c>
      <c r="CG41" s="173">
        <f t="shared" si="180"/>
        <v>0.42940685125232808</v>
      </c>
      <c r="CI41" s="170">
        <v>36</v>
      </c>
      <c r="CJ41" s="217">
        <f t="shared" si="114"/>
        <v>0.36</v>
      </c>
      <c r="CK41" s="217"/>
      <c r="CL41" s="217">
        <f t="shared" si="49"/>
        <v>5.903999999999999</v>
      </c>
      <c r="CM41" s="541">
        <f t="shared" si="50"/>
        <v>24</v>
      </c>
      <c r="CN41" s="172">
        <f t="shared" si="51"/>
        <v>16.799999999999997</v>
      </c>
      <c r="CO41" s="443">
        <f t="shared" si="52"/>
        <v>40.799999999999997</v>
      </c>
      <c r="CP41" s="443"/>
      <c r="CQ41" s="217">
        <f t="shared" si="53"/>
        <v>0.41176470588235292</v>
      </c>
      <c r="CR41" s="172">
        <f t="shared" si="54"/>
        <v>33.237647058823534</v>
      </c>
      <c r="CS41" s="172">
        <f t="shared" si="115"/>
        <v>5.903999999999999</v>
      </c>
      <c r="CT41" s="217">
        <f t="shared" si="55"/>
        <v>2.026685796269728</v>
      </c>
      <c r="CU41" s="217">
        <f t="shared" si="56"/>
        <v>16.399999999999999</v>
      </c>
      <c r="CV41" s="217">
        <f t="shared" si="57"/>
        <v>2.0086083213773311</v>
      </c>
      <c r="CW41" s="172">
        <f t="shared" si="58"/>
        <v>198.27054342693839</v>
      </c>
      <c r="CX41" s="172">
        <f t="shared" si="59"/>
        <v>16.399999999999999</v>
      </c>
      <c r="CY41" s="217">
        <f t="shared" si="60"/>
        <v>1.1948571428571426</v>
      </c>
      <c r="CZ41" s="217">
        <f t="shared" si="61"/>
        <v>0.59742857142857131</v>
      </c>
      <c r="DA41" s="217">
        <f t="shared" si="62"/>
        <v>0.85346938775510206</v>
      </c>
      <c r="DB41" s="197">
        <f t="shared" si="63"/>
        <v>350</v>
      </c>
      <c r="DC41" s="443">
        <f t="shared" si="116"/>
        <v>350</v>
      </c>
      <c r="DE41" s="217">
        <f t="shared" si="64"/>
        <v>2.3529411764705879</v>
      </c>
      <c r="DF41" s="173">
        <f t="shared" si="65"/>
        <v>1.6806722689075633</v>
      </c>
      <c r="DG41" s="173">
        <f t="shared" si="66"/>
        <v>0.69204152249134954</v>
      </c>
      <c r="DH41" s="173"/>
      <c r="DI41" s="173">
        <f t="shared" si="67"/>
        <v>0.95238095238095266</v>
      </c>
      <c r="DJ41" s="545">
        <f t="shared" si="117"/>
        <v>566.99999999999977</v>
      </c>
      <c r="DK41" s="528">
        <f t="shared" si="68"/>
        <v>0.22222222222222232</v>
      </c>
      <c r="DM41" s="173">
        <f t="shared" si="69"/>
        <v>1.6970562748477138</v>
      </c>
      <c r="DN41" s="173">
        <f t="shared" si="70"/>
        <v>1.6970562748477138</v>
      </c>
      <c r="DO41" s="173">
        <f t="shared" si="71"/>
        <v>1.4694244011217632</v>
      </c>
      <c r="DQ41" s="545">
        <f t="shared" si="72"/>
        <v>360</v>
      </c>
      <c r="DR41" s="460">
        <f t="shared" si="73"/>
        <v>350</v>
      </c>
      <c r="DT41">
        <f t="shared" si="74"/>
        <v>360</v>
      </c>
      <c r="DU41" s="460">
        <f t="shared" si="75"/>
        <v>350</v>
      </c>
      <c r="DV41" s="460"/>
      <c r="DW41" s="5">
        <f t="shared" si="118"/>
        <v>2.8571428571428572</v>
      </c>
      <c r="DX41" s="5">
        <f t="shared" si="76"/>
        <v>0.84852813742385691</v>
      </c>
      <c r="DY41" s="5">
        <f t="shared" si="119"/>
        <v>2.0086147197190005</v>
      </c>
      <c r="DZ41" s="5">
        <f t="shared" si="77"/>
        <v>1.2121830534626528</v>
      </c>
      <c r="EA41" s="173">
        <f t="shared" si="120"/>
        <v>0.29698484809834991</v>
      </c>
      <c r="EB41" s="173">
        <f t="shared" si="78"/>
        <v>6.0479999999999983</v>
      </c>
      <c r="EC41" s="173">
        <f t="shared" si="79"/>
        <v>0.59652813742385702</v>
      </c>
      <c r="ED41" s="173">
        <f t="shared" si="121"/>
        <v>10.138666762843163</v>
      </c>
      <c r="EE41" s="460">
        <f t="shared" si="80"/>
        <v>1.8626227406865157</v>
      </c>
      <c r="EF41" s="5">
        <f t="shared" si="81"/>
        <v>0.411766017542395</v>
      </c>
      <c r="EG41" s="5"/>
      <c r="EH41" s="173">
        <f t="shared" si="122"/>
        <v>0.53395267035048699</v>
      </c>
      <c r="EI41" s="173">
        <f t="shared" si="82"/>
        <v>0.82151965638418167</v>
      </c>
      <c r="EJ41" s="173"/>
      <c r="EK41" s="528">
        <f t="shared" si="83"/>
        <v>5.7021090834883173E-3</v>
      </c>
      <c r="EL41" s="528">
        <f t="shared" si="84"/>
        <v>0.48467927209650702</v>
      </c>
      <c r="EM41" s="528">
        <f t="shared" si="85"/>
        <v>4.3749999999999997E-2</v>
      </c>
      <c r="EN41" s="528">
        <f t="shared" si="86"/>
        <v>5.8262399999999999E-2</v>
      </c>
      <c r="EO41">
        <f t="shared" si="87"/>
        <v>1.0800000000000001E-2</v>
      </c>
      <c r="EP41" s="460">
        <f t="shared" si="123"/>
        <v>54.550000000000004</v>
      </c>
      <c r="EQ41" s="528">
        <f t="shared" si="88"/>
        <v>0.60555376766519797</v>
      </c>
      <c r="ER41" s="460">
        <f t="shared" si="124"/>
        <v>605.55376766519794</v>
      </c>
      <c r="ES41" s="528">
        <f t="shared" si="125"/>
        <v>0.22364999999999999</v>
      </c>
      <c r="ET41" s="528"/>
      <c r="EV41" s="460">
        <f t="shared" si="126"/>
        <v>223.64999999999998</v>
      </c>
      <c r="EW41" s="528">
        <f t="shared" si="89"/>
        <v>8.5531636252324759E-3</v>
      </c>
      <c r="EX41" s="528">
        <f t="shared" si="90"/>
        <v>2.0246836374767516E-2</v>
      </c>
      <c r="EY41" s="528">
        <f t="shared" si="91"/>
        <v>0.42991314562088928</v>
      </c>
      <c r="EZ41" s="528">
        <f t="shared" si="92"/>
        <v>0.4667004233963945</v>
      </c>
      <c r="FA41" s="528">
        <f t="shared" si="93"/>
        <v>5.0399999999999985E-3</v>
      </c>
      <c r="FB41" s="460">
        <f t="shared" si="127"/>
        <v>471.74042339639448</v>
      </c>
      <c r="FC41" s="173">
        <f t="shared" si="128"/>
        <v>1.3009441910615924</v>
      </c>
      <c r="FD41" s="5">
        <f t="shared" si="129"/>
        <v>5.903999999999999</v>
      </c>
      <c r="FE41" s="173">
        <f t="shared" si="130"/>
        <v>0.81943729797719522</v>
      </c>
      <c r="FF41" s="5">
        <f t="shared" si="131"/>
        <v>81.943729797719527</v>
      </c>
      <c r="FI41" s="562">
        <f t="shared" si="94"/>
        <v>-50</v>
      </c>
      <c r="FJ41">
        <f t="shared" si="95"/>
        <v>-50</v>
      </c>
      <c r="FL41">
        <f t="shared" si="181"/>
        <v>0.42426406871192857</v>
      </c>
    </row>
    <row r="42" spans="5:168">
      <c r="E42" s="170">
        <v>37</v>
      </c>
      <c r="F42" s="217">
        <f t="shared" si="182"/>
        <v>0.37</v>
      </c>
      <c r="G42" s="217"/>
      <c r="H42" s="217">
        <f t="shared" si="132"/>
        <v>6.0679999999999996</v>
      </c>
      <c r="I42" s="541">
        <f t="shared" si="133"/>
        <v>23.957503501544807</v>
      </c>
      <c r="J42" s="172">
        <f t="shared" si="134"/>
        <v>16.825497899073113</v>
      </c>
      <c r="K42" s="172">
        <f t="shared" si="135"/>
        <v>40.825497899073113</v>
      </c>
      <c r="L42" s="443"/>
      <c r="M42" s="217">
        <f t="shared" si="136"/>
        <v>0.41256599277656536</v>
      </c>
      <c r="N42" s="172">
        <f t="shared" si="137"/>
        <v>33.2433589250398</v>
      </c>
      <c r="O42" s="172">
        <f t="shared" si="98"/>
        <v>6.0679999999999996</v>
      </c>
      <c r="P42" s="217">
        <f t="shared" si="138"/>
        <v>2.0270340807951097</v>
      </c>
      <c r="Q42" s="217">
        <f t="shared" si="139"/>
        <v>16.399999999999999</v>
      </c>
      <c r="R42" s="217">
        <f t="shared" si="140"/>
        <v>2.0089534993013975</v>
      </c>
      <c r="S42" s="172">
        <f t="shared" si="141"/>
        <v>191.92568832175121</v>
      </c>
      <c r="T42" s="172">
        <f t="shared" si="142"/>
        <v>16.399999999999999</v>
      </c>
      <c r="U42" s="217">
        <f t="shared" si="143"/>
        <v>1.2597159696247138</v>
      </c>
      <c r="V42" s="217">
        <f t="shared" si="11"/>
        <v>0.63097524475043198</v>
      </c>
      <c r="W42" s="217">
        <f t="shared" si="144"/>
        <v>0.89843353974858076</v>
      </c>
      <c r="X42" s="197">
        <f t="shared" si="145"/>
        <v>350</v>
      </c>
      <c r="Y42" s="443">
        <f t="shared" si="14"/>
        <v>350</v>
      </c>
      <c r="AA42" s="217">
        <f t="shared" si="146"/>
        <v>2.3533201333226441</v>
      </c>
      <c r="AB42" s="173">
        <f t="shared" si="147"/>
        <v>1.6783955975191329</v>
      </c>
      <c r="AC42" s="173">
        <f t="shared" si="148"/>
        <v>0.69121537648132625</v>
      </c>
      <c r="AD42" s="173"/>
      <c r="AE42" s="173">
        <f t="shared" si="149"/>
        <v>0.9509376837449437</v>
      </c>
      <c r="AF42" s="545">
        <f t="shared" si="150"/>
        <v>583.63445837409836</v>
      </c>
      <c r="AG42" s="528">
        <f t="shared" si="151"/>
        <v>0.22188545954048688</v>
      </c>
      <c r="AI42" s="173">
        <f t="shared" si="152"/>
        <v>1.721770160904047</v>
      </c>
      <c r="AJ42" s="173">
        <f t="shared" si="153"/>
        <v>1.721770160904047</v>
      </c>
      <c r="AK42" s="173">
        <f t="shared" si="154"/>
        <v>1.4877309833857137</v>
      </c>
      <c r="AM42" s="545">
        <f t="shared" si="155"/>
        <v>370</v>
      </c>
      <c r="AN42" s="460">
        <f t="shared" si="156"/>
        <v>350</v>
      </c>
      <c r="AP42">
        <f t="shared" si="157"/>
        <v>370</v>
      </c>
      <c r="AQ42" s="460">
        <f t="shared" si="158"/>
        <v>350</v>
      </c>
      <c r="AR42" s="460"/>
      <c r="AS42" s="5">
        <f t="shared" si="101"/>
        <v>2.8571428571428572</v>
      </c>
      <c r="AT42" s="5">
        <f t="shared" si="159"/>
        <v>0.86241214279761269</v>
      </c>
      <c r="AU42" s="5">
        <f t="shared" si="102"/>
        <v>1.9947307143452444</v>
      </c>
      <c r="AV42" s="5">
        <f t="shared" si="160"/>
        <v>1.22797209656344</v>
      </c>
      <c r="AW42" s="173">
        <f t="shared" si="103"/>
        <v>0.30184424997916443</v>
      </c>
      <c r="AX42" s="173">
        <f t="shared" si="161"/>
        <v>6.22543422265705</v>
      </c>
      <c r="AY42" s="173">
        <f t="shared" si="162"/>
        <v>0.60103186902472983</v>
      </c>
      <c r="AZ42" s="173">
        <f t="shared" si="104"/>
        <v>10.35791035965998</v>
      </c>
      <c r="BA42" s="460">
        <f t="shared" si="163"/>
        <v>1.9456859319214437</v>
      </c>
      <c r="BB42" s="5">
        <f t="shared" si="164"/>
        <v>0.42102418190423657</v>
      </c>
      <c r="BC42" s="5"/>
      <c r="BD42" s="173">
        <f t="shared" si="105"/>
        <v>0.54614253673719326</v>
      </c>
      <c r="BE42" s="173">
        <f t="shared" si="165"/>
        <v>0.83059767149491781</v>
      </c>
      <c r="BF42" s="173"/>
      <c r="BG42" s="528">
        <f t="shared" si="166"/>
        <v>5.9654334086747295E-3</v>
      </c>
      <c r="BH42" s="528">
        <f t="shared" si="167"/>
        <v>0.46129206431880437</v>
      </c>
      <c r="BI42" s="528">
        <f t="shared" si="168"/>
        <v>0.20962815563851706</v>
      </c>
      <c r="BJ42" s="528">
        <f t="shared" si="169"/>
        <v>5.833524475475281E-2</v>
      </c>
      <c r="BK42">
        <f t="shared" si="170"/>
        <v>1.0780876575695163E-2</v>
      </c>
      <c r="BL42" s="460">
        <f t="shared" si="106"/>
        <v>220.4090322142122</v>
      </c>
      <c r="BM42" s="528">
        <f t="shared" si="171"/>
        <v>0.52795172139744329</v>
      </c>
      <c r="BN42" s="460">
        <f t="shared" si="107"/>
        <v>527.95172139744329</v>
      </c>
      <c r="BO42" s="528">
        <f t="shared" si="172"/>
        <v>0.2298625</v>
      </c>
      <c r="BP42" s="528"/>
      <c r="BR42" s="460">
        <f t="shared" si="109"/>
        <v>229.86250000000001</v>
      </c>
      <c r="BS42" s="528">
        <f t="shared" si="173"/>
        <v>8.9481501130120947E-3</v>
      </c>
      <c r="BT42" s="528">
        <f t="shared" si="174"/>
        <v>2.0696774756783384E-2</v>
      </c>
      <c r="BU42" s="528">
        <f t="shared" si="175"/>
        <v>9.101999999999999E-2</v>
      </c>
      <c r="BV42" s="528">
        <f t="shared" si="176"/>
        <v>0.12808346882337293</v>
      </c>
      <c r="BW42" s="528">
        <f t="shared" si="177"/>
        <v>5.1878618522142091E-3</v>
      </c>
      <c r="BX42" s="460">
        <f t="shared" si="110"/>
        <v>133.27133067558714</v>
      </c>
      <c r="BY42" s="173">
        <f t="shared" si="45"/>
        <v>1.1114945842872426</v>
      </c>
      <c r="BZ42" s="5">
        <f t="shared" si="111"/>
        <v>6.0679999999999996</v>
      </c>
      <c r="CA42" s="173">
        <f t="shared" si="112"/>
        <v>0.84518484257654902</v>
      </c>
      <c r="CB42" s="5">
        <f t="shared" si="113"/>
        <v>84.518484257654904</v>
      </c>
      <c r="CE42" s="562">
        <f t="shared" si="178"/>
        <v>-50</v>
      </c>
      <c r="CF42">
        <f t="shared" si="179"/>
        <v>-50</v>
      </c>
      <c r="CG42" s="173">
        <f t="shared" si="180"/>
        <v>0.43532998417516711</v>
      </c>
      <c r="CI42" s="170">
        <v>37</v>
      </c>
      <c r="CJ42" s="217">
        <f t="shared" si="114"/>
        <v>0.37</v>
      </c>
      <c r="CK42" s="217"/>
      <c r="CL42" s="217">
        <f t="shared" si="49"/>
        <v>6.0679999999999996</v>
      </c>
      <c r="CM42" s="541">
        <f t="shared" si="50"/>
        <v>24</v>
      </c>
      <c r="CN42" s="172">
        <f t="shared" si="51"/>
        <v>16.799999999999997</v>
      </c>
      <c r="CO42" s="443">
        <f t="shared" si="52"/>
        <v>40.799999999999997</v>
      </c>
      <c r="CP42" s="443"/>
      <c r="CQ42" s="217">
        <f t="shared" si="53"/>
        <v>0.41176470588235292</v>
      </c>
      <c r="CR42" s="172">
        <f t="shared" si="54"/>
        <v>33.237647058823534</v>
      </c>
      <c r="CS42" s="172">
        <f t="shared" si="115"/>
        <v>6.0679999999999996</v>
      </c>
      <c r="CT42" s="217">
        <f t="shared" si="55"/>
        <v>2.026685796269728</v>
      </c>
      <c r="CU42" s="217">
        <f t="shared" si="56"/>
        <v>16.399999999999999</v>
      </c>
      <c r="CV42" s="217">
        <f t="shared" si="57"/>
        <v>2.0086083213773311</v>
      </c>
      <c r="CW42" s="172">
        <f t="shared" si="58"/>
        <v>192.26604336703238</v>
      </c>
      <c r="CX42" s="172">
        <f t="shared" si="59"/>
        <v>16.399999999999999</v>
      </c>
      <c r="CY42" s="217">
        <f t="shared" si="60"/>
        <v>1.2280476190476188</v>
      </c>
      <c r="CZ42" s="217">
        <f t="shared" si="61"/>
        <v>0.61402380952380942</v>
      </c>
      <c r="DA42" s="217">
        <f t="shared" si="62"/>
        <v>0.87717687074829942</v>
      </c>
      <c r="DB42" s="197">
        <f t="shared" si="63"/>
        <v>350</v>
      </c>
      <c r="DC42" s="443">
        <f t="shared" si="116"/>
        <v>350</v>
      </c>
      <c r="DE42" s="217">
        <f t="shared" si="64"/>
        <v>2.3529411764705879</v>
      </c>
      <c r="DF42" s="173">
        <f t="shared" si="65"/>
        <v>1.6806722689075633</v>
      </c>
      <c r="DG42" s="173">
        <f t="shared" si="66"/>
        <v>0.69204152249134954</v>
      </c>
      <c r="DH42" s="173"/>
      <c r="DI42" s="173">
        <f t="shared" si="67"/>
        <v>0.95238095238095266</v>
      </c>
      <c r="DJ42" s="545">
        <f t="shared" si="117"/>
        <v>582.74999999999977</v>
      </c>
      <c r="DK42" s="528">
        <f t="shared" si="68"/>
        <v>0.22222222222222232</v>
      </c>
      <c r="DM42" s="173">
        <f t="shared" si="69"/>
        <v>1.7204650534085253</v>
      </c>
      <c r="DN42" s="173">
        <f t="shared" si="70"/>
        <v>1.7204650534085253</v>
      </c>
      <c r="DO42" s="173">
        <f t="shared" si="71"/>
        <v>1.4867642370927348</v>
      </c>
      <c r="DQ42" s="545">
        <f t="shared" si="72"/>
        <v>370</v>
      </c>
      <c r="DR42" s="460">
        <f t="shared" si="73"/>
        <v>350</v>
      </c>
      <c r="DT42">
        <f t="shared" si="74"/>
        <v>370</v>
      </c>
      <c r="DU42" s="460">
        <f t="shared" si="75"/>
        <v>350</v>
      </c>
      <c r="DV42" s="460"/>
      <c r="DW42" s="5">
        <f t="shared" si="118"/>
        <v>2.8571428571428572</v>
      </c>
      <c r="DX42" s="5">
        <f t="shared" si="76"/>
        <v>0.86023252670426276</v>
      </c>
      <c r="DY42" s="5">
        <f t="shared" si="119"/>
        <v>1.9969103304385944</v>
      </c>
      <c r="DZ42" s="5">
        <f t="shared" si="77"/>
        <v>1.2289036095775183</v>
      </c>
      <c r="EA42" s="173">
        <f t="shared" si="120"/>
        <v>0.30108138434649195</v>
      </c>
      <c r="EB42" s="173">
        <f t="shared" si="78"/>
        <v>6.2160000000000002</v>
      </c>
      <c r="EC42" s="173">
        <f t="shared" si="79"/>
        <v>0.60123252670426264</v>
      </c>
      <c r="ED42" s="173">
        <f t="shared" si="121"/>
        <v>10.338761999577509</v>
      </c>
      <c r="EE42" s="460">
        <f t="shared" si="80"/>
        <v>1.9407685053693735</v>
      </c>
      <c r="EF42" s="5">
        <f t="shared" si="81"/>
        <v>0.42073791267713151</v>
      </c>
      <c r="EG42" s="5"/>
      <c r="EH42" s="173">
        <f t="shared" si="122"/>
        <v>0.54503849945534921</v>
      </c>
      <c r="EI42" s="173">
        <f t="shared" si="82"/>
        <v>0.83042139951841798</v>
      </c>
      <c r="EJ42" s="173"/>
      <c r="EK42" s="528">
        <f t="shared" si="83"/>
        <v>5.9413393177707744E-3</v>
      </c>
      <c r="EL42" s="528">
        <f t="shared" si="84"/>
        <v>0.4913648192534748</v>
      </c>
      <c r="EM42" s="528">
        <f t="shared" si="85"/>
        <v>4.3749999999999997E-2</v>
      </c>
      <c r="EN42" s="528">
        <f t="shared" si="86"/>
        <v>5.8262399999999999E-2</v>
      </c>
      <c r="EO42">
        <f t="shared" si="87"/>
        <v>1.0800000000000001E-2</v>
      </c>
      <c r="EP42" s="460">
        <f t="shared" si="123"/>
        <v>54.550000000000004</v>
      </c>
      <c r="EQ42" s="528">
        <f t="shared" si="88"/>
        <v>0.61258748679976915</v>
      </c>
      <c r="ER42" s="460">
        <f t="shared" si="124"/>
        <v>612.58748679976918</v>
      </c>
      <c r="ES42" s="528">
        <f t="shared" si="125"/>
        <v>0.2298625</v>
      </c>
      <c r="ET42" s="528"/>
      <c r="EV42" s="460">
        <f t="shared" si="126"/>
        <v>229.86250000000001</v>
      </c>
      <c r="EW42" s="528">
        <f t="shared" si="89"/>
        <v>8.9120089766561612E-3</v>
      </c>
      <c r="EX42" s="528">
        <f t="shared" si="90"/>
        <v>2.0687991023343837E-2</v>
      </c>
      <c r="EY42" s="528">
        <f t="shared" si="91"/>
        <v>0.44489216150073968</v>
      </c>
      <c r="EZ42" s="528">
        <f t="shared" si="92"/>
        <v>0.48273928813504352</v>
      </c>
      <c r="FA42" s="528">
        <f t="shared" si="93"/>
        <v>5.1800000000000006E-3</v>
      </c>
      <c r="FB42" s="460">
        <f t="shared" si="127"/>
        <v>487.91928813504353</v>
      </c>
      <c r="FC42" s="173">
        <f t="shared" si="128"/>
        <v>1.3303692749348126</v>
      </c>
      <c r="FD42" s="5">
        <f t="shared" si="129"/>
        <v>6.0679999999999996</v>
      </c>
      <c r="FE42" s="173">
        <f t="shared" si="130"/>
        <v>0.82018074179643663</v>
      </c>
      <c r="FF42" s="5">
        <f t="shared" si="131"/>
        <v>82.018074179643662</v>
      </c>
      <c r="FI42" s="562">
        <f t="shared" si="94"/>
        <v>-50</v>
      </c>
      <c r="FJ42">
        <f t="shared" si="95"/>
        <v>-50</v>
      </c>
      <c r="FL42">
        <f t="shared" si="181"/>
        <v>0.43011626335213138</v>
      </c>
    </row>
    <row r="43" spans="5:168">
      <c r="E43" s="170">
        <v>38</v>
      </c>
      <c r="F43" s="217">
        <f t="shared" si="182"/>
        <v>0.38</v>
      </c>
      <c r="G43" s="217"/>
      <c r="H43" s="217">
        <f t="shared" si="132"/>
        <v>6.2319999999999993</v>
      </c>
      <c r="I43" s="541">
        <f t="shared" si="133"/>
        <v>23.956933053222201</v>
      </c>
      <c r="J43" s="172">
        <f t="shared" si="134"/>
        <v>16.825840168066676</v>
      </c>
      <c r="K43" s="172">
        <f t="shared" si="135"/>
        <v>40.825840168066676</v>
      </c>
      <c r="L43" s="443"/>
      <c r="M43" s="217">
        <f t="shared" si="136"/>
        <v>0.4125767532473516</v>
      </c>
      <c r="N43" s="172">
        <f t="shared" si="137"/>
        <v>33.243434399247803</v>
      </c>
      <c r="O43" s="172">
        <f t="shared" si="98"/>
        <v>6.2319999999999993</v>
      </c>
      <c r="P43" s="217">
        <f t="shared" si="138"/>
        <v>2.0270386828809639</v>
      </c>
      <c r="Q43" s="217">
        <f t="shared" si="139"/>
        <v>16.399999999999999</v>
      </c>
      <c r="R43" s="217">
        <f t="shared" si="140"/>
        <v>2.0089580603379225</v>
      </c>
      <c r="S43" s="172">
        <f t="shared" si="141"/>
        <v>186.2429453110496</v>
      </c>
      <c r="T43" s="172">
        <f t="shared" si="142"/>
        <v>16.399999999999999</v>
      </c>
      <c r="U43" s="217">
        <f t="shared" si="143"/>
        <v>1.2937860464347952</v>
      </c>
      <c r="V43" s="217">
        <f t="shared" si="11"/>
        <v>0.64805593114638593</v>
      </c>
      <c r="W43" s="217">
        <f t="shared" si="144"/>
        <v>0.92271365959382268</v>
      </c>
      <c r="X43" s="197">
        <f t="shared" si="145"/>
        <v>350</v>
      </c>
      <c r="Y43" s="443">
        <f t="shared" si="14"/>
        <v>350</v>
      </c>
      <c r="AA43" s="217">
        <f t="shared" si="146"/>
        <v>2.3533251363112528</v>
      </c>
      <c r="AB43" s="173">
        <f t="shared" si="147"/>
        <v>1.678365023895259</v>
      </c>
      <c r="AC43" s="173">
        <f t="shared" si="148"/>
        <v>0.6912042547617111</v>
      </c>
      <c r="AD43" s="173"/>
      <c r="AE43" s="173">
        <f t="shared" si="149"/>
        <v>0.95091833989758123</v>
      </c>
      <c r="AF43" s="545">
        <f t="shared" si="150"/>
        <v>599.42055598737522</v>
      </c>
      <c r="AG43" s="528">
        <f t="shared" si="151"/>
        <v>0.22188094597610231</v>
      </c>
      <c r="AI43" s="173">
        <f t="shared" si="152"/>
        <v>1.7448999512682308</v>
      </c>
      <c r="AJ43" s="173">
        <f t="shared" si="153"/>
        <v>1.7448999512682308</v>
      </c>
      <c r="AK43" s="173">
        <f t="shared" si="154"/>
        <v>1.5048641614332572</v>
      </c>
      <c r="AM43" s="545">
        <f t="shared" si="155"/>
        <v>380</v>
      </c>
      <c r="AN43" s="460">
        <f t="shared" si="156"/>
        <v>350</v>
      </c>
      <c r="AP43">
        <f t="shared" si="157"/>
        <v>380</v>
      </c>
      <c r="AQ43" s="460">
        <f t="shared" si="158"/>
        <v>350</v>
      </c>
      <c r="AR43" s="460"/>
      <c r="AS43" s="5">
        <f t="shared" si="101"/>
        <v>2.8571428571428572</v>
      </c>
      <c r="AT43" s="5">
        <f t="shared" si="159"/>
        <v>0.87401836323128634</v>
      </c>
      <c r="AU43" s="5">
        <f t="shared" si="102"/>
        <v>1.9831244939115709</v>
      </c>
      <c r="AV43" s="5">
        <f t="shared" si="160"/>
        <v>1.2444430237105171</v>
      </c>
      <c r="AW43" s="173">
        <f t="shared" si="103"/>
        <v>0.30590642713095023</v>
      </c>
      <c r="AX43" s="173">
        <f t="shared" si="161"/>
        <v>6.3938192638653364</v>
      </c>
      <c r="AY43" s="173">
        <f t="shared" si="162"/>
        <v>0.60556192073739867</v>
      </c>
      <c r="AZ43" s="173">
        <f t="shared" si="104"/>
        <v>10.558489635675111</v>
      </c>
      <c r="BA43" s="460">
        <f t="shared" si="163"/>
        <v>2.025164500170054</v>
      </c>
      <c r="BB43" s="5">
        <f t="shared" si="164"/>
        <v>0.42989753803212882</v>
      </c>
      <c r="BC43" s="5"/>
      <c r="BD43" s="173">
        <f t="shared" si="105"/>
        <v>0.55719114253749225</v>
      </c>
      <c r="BE43" s="173">
        <f t="shared" si="165"/>
        <v>0.83930326898151386</v>
      </c>
      <c r="BF43" s="173"/>
      <c r="BG43" s="528">
        <f t="shared" si="166"/>
        <v>6.2092393864447209E-3</v>
      </c>
      <c r="BH43" s="528">
        <f t="shared" si="167"/>
        <v>0.46749285528582085</v>
      </c>
      <c r="BI43" s="528">
        <f t="shared" si="168"/>
        <v>0.20962316421569427</v>
      </c>
      <c r="BJ43" s="528">
        <f t="shared" si="169"/>
        <v>5.8336222889998429E-2</v>
      </c>
      <c r="BK43">
        <f t="shared" si="170"/>
        <v>1.078061987394999E-2</v>
      </c>
      <c r="BL43" s="460">
        <f t="shared" si="106"/>
        <v>220.40378408964426</v>
      </c>
      <c r="BM43" s="528">
        <f t="shared" si="171"/>
        <v>0.53450337318932994</v>
      </c>
      <c r="BN43" s="460">
        <f t="shared" si="107"/>
        <v>534.50337318932998</v>
      </c>
      <c r="BO43" s="528">
        <f t="shared" si="172"/>
        <v>0.23607499999999995</v>
      </c>
      <c r="BP43" s="528"/>
      <c r="BR43" s="460">
        <f t="shared" si="109"/>
        <v>236.07499999999996</v>
      </c>
      <c r="BS43" s="528">
        <f t="shared" si="173"/>
        <v>9.3138590796670809E-3</v>
      </c>
      <c r="BT43" s="528">
        <f t="shared" si="174"/>
        <v>2.1132899319691662E-2</v>
      </c>
      <c r="BU43" s="528">
        <f t="shared" si="175"/>
        <v>9.347999999999998E-2</v>
      </c>
      <c r="BV43" s="528">
        <f t="shared" si="176"/>
        <v>0.13155441284915584</v>
      </c>
      <c r="BW43" s="528">
        <f t="shared" si="177"/>
        <v>5.3281827198877812E-3</v>
      </c>
      <c r="BX43" s="460">
        <f t="shared" si="110"/>
        <v>136.88259556904362</v>
      </c>
      <c r="BY43" s="173">
        <f t="shared" si="45"/>
        <v>1.1278647528480177</v>
      </c>
      <c r="BZ43" s="5">
        <f t="shared" si="111"/>
        <v>6.2319999999999993</v>
      </c>
      <c r="CA43" s="173">
        <f t="shared" si="112"/>
        <v>0.84675469037504092</v>
      </c>
      <c r="CB43" s="5">
        <f t="shared" si="113"/>
        <v>84.675469037504087</v>
      </c>
      <c r="CE43" s="562">
        <f t="shared" si="178"/>
        <v>-50</v>
      </c>
      <c r="CF43">
        <f t="shared" si="179"/>
        <v>-50</v>
      </c>
      <c r="CG43" s="173">
        <f t="shared" si="180"/>
        <v>0.44117360113844467</v>
      </c>
      <c r="CI43" s="170">
        <v>38</v>
      </c>
      <c r="CJ43" s="217">
        <f t="shared" si="114"/>
        <v>0.38</v>
      </c>
      <c r="CK43" s="217"/>
      <c r="CL43" s="217">
        <f t="shared" si="49"/>
        <v>6.2319999999999993</v>
      </c>
      <c r="CM43" s="541">
        <f t="shared" si="50"/>
        <v>24</v>
      </c>
      <c r="CN43" s="172">
        <f t="shared" si="51"/>
        <v>16.799999999999997</v>
      </c>
      <c r="CO43" s="443">
        <f t="shared" si="52"/>
        <v>40.799999999999997</v>
      </c>
      <c r="CP43" s="443"/>
      <c r="CQ43" s="217">
        <f t="shared" si="53"/>
        <v>0.41176470588235292</v>
      </c>
      <c r="CR43" s="172">
        <f t="shared" si="54"/>
        <v>33.237647058823534</v>
      </c>
      <c r="CS43" s="172">
        <f t="shared" si="115"/>
        <v>6.2319999999999993</v>
      </c>
      <c r="CT43" s="217">
        <f t="shared" si="55"/>
        <v>2.026685796269728</v>
      </c>
      <c r="CU43" s="217">
        <f t="shared" si="56"/>
        <v>16.399999999999999</v>
      </c>
      <c r="CV43" s="217">
        <f t="shared" si="57"/>
        <v>2.0086083213773311</v>
      </c>
      <c r="CW43" s="172">
        <f t="shared" si="58"/>
        <v>186.5776588219006</v>
      </c>
      <c r="CX43" s="172">
        <f t="shared" si="59"/>
        <v>16.399999999999999</v>
      </c>
      <c r="CY43" s="217">
        <f t="shared" si="60"/>
        <v>1.261238095238095</v>
      </c>
      <c r="CZ43" s="217">
        <f t="shared" si="61"/>
        <v>0.63061904761904752</v>
      </c>
      <c r="DA43" s="217">
        <f t="shared" si="62"/>
        <v>0.90088435374149667</v>
      </c>
      <c r="DB43" s="197">
        <f t="shared" si="63"/>
        <v>350</v>
      </c>
      <c r="DC43" s="443">
        <f t="shared" si="116"/>
        <v>350</v>
      </c>
      <c r="DE43" s="217">
        <f t="shared" si="64"/>
        <v>2.3529411764705879</v>
      </c>
      <c r="DF43" s="173">
        <f t="shared" si="65"/>
        <v>1.6806722689075633</v>
      </c>
      <c r="DG43" s="173">
        <f t="shared" si="66"/>
        <v>0.69204152249134954</v>
      </c>
      <c r="DH43" s="173"/>
      <c r="DI43" s="173">
        <f t="shared" si="67"/>
        <v>0.95238095238095266</v>
      </c>
      <c r="DJ43" s="545">
        <f t="shared" si="117"/>
        <v>598.49999999999977</v>
      </c>
      <c r="DK43" s="528">
        <f t="shared" si="68"/>
        <v>0.22222222222222232</v>
      </c>
      <c r="DM43" s="173">
        <f t="shared" si="69"/>
        <v>1.7435595774162691</v>
      </c>
      <c r="DN43" s="173">
        <f t="shared" si="70"/>
        <v>1.7435595774162691</v>
      </c>
      <c r="DO43" s="173">
        <f t="shared" si="71"/>
        <v>1.5038712919132857</v>
      </c>
      <c r="DQ43" s="545">
        <f t="shared" si="72"/>
        <v>380</v>
      </c>
      <c r="DR43" s="460">
        <f t="shared" si="73"/>
        <v>350</v>
      </c>
      <c r="DT43">
        <f t="shared" si="74"/>
        <v>380</v>
      </c>
      <c r="DU43" s="460">
        <f t="shared" si="75"/>
        <v>350</v>
      </c>
      <c r="DV43" s="460"/>
      <c r="DW43" s="5">
        <f t="shared" si="118"/>
        <v>2.8571428571428572</v>
      </c>
      <c r="DX43" s="5">
        <f t="shared" si="76"/>
        <v>0.87177978870813455</v>
      </c>
      <c r="DY43" s="5">
        <f t="shared" si="119"/>
        <v>1.9853630684347228</v>
      </c>
      <c r="DZ43" s="5">
        <f t="shared" si="77"/>
        <v>1.2453996981544782</v>
      </c>
      <c r="EA43" s="173">
        <f t="shared" si="120"/>
        <v>0.30512292604784708</v>
      </c>
      <c r="EB43" s="173">
        <f t="shared" si="78"/>
        <v>6.3839999999999977</v>
      </c>
      <c r="EC43" s="173">
        <f t="shared" si="79"/>
        <v>0.60577978870813465</v>
      </c>
      <c r="ED43" s="173">
        <f t="shared" si="121"/>
        <v>10.538482991673094</v>
      </c>
      <c r="EE43" s="460">
        <f t="shared" si="80"/>
        <v>2.0199775592017755</v>
      </c>
      <c r="EF43" s="5">
        <f t="shared" si="81"/>
        <v>0.42961050841962467</v>
      </c>
      <c r="EG43" s="5"/>
      <c r="EH43" s="173">
        <f t="shared" si="122"/>
        <v>0.55604966660226041</v>
      </c>
      <c r="EI43" s="173">
        <f t="shared" si="82"/>
        <v>0.83913175461595302</v>
      </c>
      <c r="EJ43" s="173"/>
      <c r="EK43" s="528">
        <f t="shared" si="83"/>
        <v>6.183824634569699E-3</v>
      </c>
      <c r="EL43" s="528">
        <f t="shared" si="84"/>
        <v>0.4979606153100864</v>
      </c>
      <c r="EM43" s="528">
        <f t="shared" si="85"/>
        <v>4.3749999999999997E-2</v>
      </c>
      <c r="EN43" s="528">
        <f t="shared" si="86"/>
        <v>5.8262399999999999E-2</v>
      </c>
      <c r="EO43">
        <f t="shared" si="87"/>
        <v>1.0800000000000001E-2</v>
      </c>
      <c r="EP43" s="460">
        <f t="shared" si="123"/>
        <v>54.550000000000004</v>
      </c>
      <c r="EQ43" s="528">
        <f t="shared" si="88"/>
        <v>0.61953674351858801</v>
      </c>
      <c r="ER43" s="460">
        <f t="shared" si="124"/>
        <v>619.53674351858797</v>
      </c>
      <c r="ES43" s="528">
        <f t="shared" si="125"/>
        <v>0.23607499999999995</v>
      </c>
      <c r="ET43" s="528"/>
      <c r="EV43" s="460">
        <f t="shared" si="126"/>
        <v>236.07499999999996</v>
      </c>
      <c r="EW43" s="528">
        <f t="shared" si="89"/>
        <v>9.275736951854548E-3</v>
      </c>
      <c r="EX43" s="528">
        <f t="shared" si="90"/>
        <v>2.112426304814544E-2</v>
      </c>
      <c r="EY43" s="528">
        <f t="shared" si="91"/>
        <v>0.45997274050026665</v>
      </c>
      <c r="EZ43" s="528">
        <f t="shared" si="92"/>
        <v>0.49888202157674127</v>
      </c>
      <c r="FA43" s="528">
        <f t="shared" si="93"/>
        <v>5.3199999999999983E-3</v>
      </c>
      <c r="FB43" s="460">
        <f t="shared" si="127"/>
        <v>504.20202157674134</v>
      </c>
      <c r="FC43" s="173">
        <f t="shared" si="128"/>
        <v>1.3598137650953293</v>
      </c>
      <c r="FD43" s="5">
        <f t="shared" si="129"/>
        <v>6.2319999999999993</v>
      </c>
      <c r="FE43" s="173">
        <f t="shared" si="130"/>
        <v>0.82088420406895291</v>
      </c>
      <c r="FF43" s="5">
        <f t="shared" si="131"/>
        <v>82.088420406895295</v>
      </c>
      <c r="FI43" s="562">
        <f t="shared" si="94"/>
        <v>-50</v>
      </c>
      <c r="FJ43">
        <f t="shared" si="95"/>
        <v>-50</v>
      </c>
      <c r="FL43">
        <f t="shared" si="181"/>
        <v>0.43588989435406739</v>
      </c>
    </row>
    <row r="44" spans="5:168">
      <c r="E44" s="170">
        <v>39</v>
      </c>
      <c r="F44" s="217">
        <f t="shared" si="182"/>
        <v>0.39</v>
      </c>
      <c r="G44" s="217"/>
      <c r="H44" s="217">
        <f t="shared" si="132"/>
        <v>6.3959999999999999</v>
      </c>
      <c r="I44" s="541">
        <f t="shared" si="133"/>
        <v>23.956370062702643</v>
      </c>
      <c r="J44" s="172">
        <f t="shared" si="134"/>
        <v>16.826177962378413</v>
      </c>
      <c r="K44" s="172">
        <f t="shared" si="135"/>
        <v>40.826177962378409</v>
      </c>
      <c r="L44" s="443"/>
      <c r="M44" s="217">
        <f t="shared" si="136"/>
        <v>0.41258737315615002</v>
      </c>
      <c r="N44" s="172">
        <f t="shared" si="137"/>
        <v>33.243508855592864</v>
      </c>
      <c r="O44" s="172">
        <f t="shared" si="98"/>
        <v>6.3959999999999999</v>
      </c>
      <c r="P44" s="217">
        <f t="shared" si="138"/>
        <v>2.0270432229020039</v>
      </c>
      <c r="Q44" s="217">
        <f t="shared" si="139"/>
        <v>16.399999999999999</v>
      </c>
      <c r="R44" s="217">
        <f t="shared" si="140"/>
        <v>2.0089625598632357</v>
      </c>
      <c r="S44" s="172">
        <f t="shared" si="141"/>
        <v>180.85179832444754</v>
      </c>
      <c r="T44" s="172">
        <f t="shared" si="142"/>
        <v>16.399999999999999</v>
      </c>
      <c r="U44" s="217">
        <f t="shared" si="143"/>
        <v>1.3278570537220422</v>
      </c>
      <c r="V44" s="217">
        <f t="shared" si="11"/>
        <v>0.66513769001558321</v>
      </c>
      <c r="W44" s="217">
        <f t="shared" si="144"/>
        <v>0.94699370708499064</v>
      </c>
      <c r="X44" s="197">
        <f t="shared" si="145"/>
        <v>350</v>
      </c>
      <c r="Y44" s="443">
        <f t="shared" si="14"/>
        <v>350</v>
      </c>
      <c r="AA44" s="217">
        <f t="shared" si="146"/>
        <v>2.3533300717125161</v>
      </c>
      <c r="AB44" s="173">
        <f t="shared" si="147"/>
        <v>1.6783348496427304</v>
      </c>
      <c r="AC44" s="173">
        <f t="shared" si="148"/>
        <v>0.69119327761178473</v>
      </c>
      <c r="AD44" s="173"/>
      <c r="AE44" s="173">
        <f t="shared" si="149"/>
        <v>0.95089924971519624</v>
      </c>
      <c r="AF44" s="545">
        <f t="shared" si="150"/>
        <v>615.2071317494607</v>
      </c>
      <c r="AG44" s="528">
        <f t="shared" si="151"/>
        <v>0.22187649160021244</v>
      </c>
      <c r="AI44" s="173">
        <f t="shared" si="152"/>
        <v>1.767727813206706</v>
      </c>
      <c r="AJ44" s="173">
        <f t="shared" si="153"/>
        <v>1.767727813206706</v>
      </c>
      <c r="AK44" s="173">
        <f t="shared" si="154"/>
        <v>1.5217736887950908</v>
      </c>
      <c r="AM44" s="545">
        <f t="shared" si="155"/>
        <v>390</v>
      </c>
      <c r="AN44" s="460">
        <f t="shared" si="156"/>
        <v>350</v>
      </c>
      <c r="AP44">
        <f t="shared" si="157"/>
        <v>390</v>
      </c>
      <c r="AQ44" s="460">
        <f t="shared" si="158"/>
        <v>350</v>
      </c>
      <c r="AR44" s="460"/>
      <c r="AS44" s="5">
        <f t="shared" si="101"/>
        <v>2.8571428571428572</v>
      </c>
      <c r="AT44" s="5">
        <f t="shared" si="159"/>
        <v>0.88547362154445508</v>
      </c>
      <c r="AU44" s="5">
        <f t="shared" si="102"/>
        <v>1.971669235598402</v>
      </c>
      <c r="AV44" s="5">
        <f t="shared" si="160"/>
        <v>1.2606982884592057</v>
      </c>
      <c r="AW44" s="173">
        <f t="shared" si="103"/>
        <v>0.30991576754055927</v>
      </c>
      <c r="AX44" s="173">
        <f t="shared" si="161"/>
        <v>6.5622094053275823</v>
      </c>
      <c r="AY44" s="173">
        <f t="shared" si="162"/>
        <v>0.60994054558697763</v>
      </c>
      <c r="AZ44" s="173">
        <f t="shared" si="104"/>
        <v>10.758768953476318</v>
      </c>
      <c r="BA44" s="460">
        <f t="shared" si="163"/>
        <v>2.1056994658679118</v>
      </c>
      <c r="BB44" s="5">
        <f t="shared" si="164"/>
        <v>0.4386723446930218</v>
      </c>
      <c r="BC44" s="5"/>
      <c r="BD44" s="173">
        <f t="shared" si="105"/>
        <v>0.56816778270490265</v>
      </c>
      <c r="BE44" s="173">
        <f t="shared" si="165"/>
        <v>0.84782422189058859</v>
      </c>
      <c r="BF44" s="173"/>
      <c r="BG44" s="528">
        <f t="shared" si="166"/>
        <v>6.4562925860761093E-3</v>
      </c>
      <c r="BH44" s="528">
        <f t="shared" si="167"/>
        <v>0.47361280503483844</v>
      </c>
      <c r="BI44" s="528">
        <f t="shared" si="168"/>
        <v>0.20961823804864813</v>
      </c>
      <c r="BJ44" s="528">
        <f t="shared" si="169"/>
        <v>5.8337188245552729E-2</v>
      </c>
      <c r="BK44">
        <f t="shared" si="170"/>
        <v>1.0780366528216189E-2</v>
      </c>
      <c r="BL44" s="460">
        <f t="shared" si="106"/>
        <v>220.3986045768643</v>
      </c>
      <c r="BM44" s="528">
        <f t="shared" si="171"/>
        <v>0.54097935537462272</v>
      </c>
      <c r="BN44" s="460">
        <f t="shared" si="107"/>
        <v>540.97935537462274</v>
      </c>
      <c r="BO44" s="528">
        <f t="shared" si="172"/>
        <v>0.24228749999999996</v>
      </c>
      <c r="BP44" s="528"/>
      <c r="BR44" s="460">
        <f t="shared" si="109"/>
        <v>242.28749999999997</v>
      </c>
      <c r="BS44" s="528">
        <f t="shared" si="173"/>
        <v>9.6844388791141635E-3</v>
      </c>
      <c r="BT44" s="528">
        <f t="shared" si="174"/>
        <v>2.1564177336731459E-2</v>
      </c>
      <c r="BU44" s="528">
        <f t="shared" si="175"/>
        <v>9.5939999999999998E-2</v>
      </c>
      <c r="BV44" s="528">
        <f t="shared" si="176"/>
        <v>0.13502583374428054</v>
      </c>
      <c r="BW44" s="528">
        <f t="shared" si="177"/>
        <v>5.4685078377729847E-3</v>
      </c>
      <c r="BX44" s="460">
        <f t="shared" si="110"/>
        <v>140.49434158205352</v>
      </c>
      <c r="BY44" s="173">
        <f t="shared" si="45"/>
        <v>1.1441598015335406</v>
      </c>
      <c r="BZ44" s="5">
        <f t="shared" si="111"/>
        <v>6.3959999999999999</v>
      </c>
      <c r="CA44" s="173">
        <f t="shared" si="112"/>
        <v>0.84825788422934512</v>
      </c>
      <c r="CB44" s="5">
        <f t="shared" si="113"/>
        <v>84.825788422934508</v>
      </c>
      <c r="CE44" s="562">
        <f t="shared" si="178"/>
        <v>-50</v>
      </c>
      <c r="CF44">
        <f t="shared" si="179"/>
        <v>-50</v>
      </c>
      <c r="CG44" s="173">
        <f t="shared" si="180"/>
        <v>0.44694082109489131</v>
      </c>
      <c r="CI44" s="170">
        <v>39</v>
      </c>
      <c r="CJ44" s="217">
        <f t="shared" si="114"/>
        <v>0.39</v>
      </c>
      <c r="CK44" s="217"/>
      <c r="CL44" s="217">
        <f t="shared" si="49"/>
        <v>6.3959999999999999</v>
      </c>
      <c r="CM44" s="541">
        <f t="shared" si="50"/>
        <v>24</v>
      </c>
      <c r="CN44" s="172">
        <f t="shared" si="51"/>
        <v>16.799999999999997</v>
      </c>
      <c r="CO44" s="443">
        <f t="shared" si="52"/>
        <v>40.799999999999997</v>
      </c>
      <c r="CP44" s="443"/>
      <c r="CQ44" s="217">
        <f t="shared" si="53"/>
        <v>0.41176470588235292</v>
      </c>
      <c r="CR44" s="172">
        <f t="shared" si="54"/>
        <v>33.237647058823534</v>
      </c>
      <c r="CS44" s="172">
        <f t="shared" si="115"/>
        <v>6.3959999999999999</v>
      </c>
      <c r="CT44" s="217">
        <f t="shared" si="55"/>
        <v>2.026685796269728</v>
      </c>
      <c r="CU44" s="217">
        <f t="shared" si="56"/>
        <v>16.399999999999999</v>
      </c>
      <c r="CV44" s="217">
        <f t="shared" si="57"/>
        <v>2.0086083213773311</v>
      </c>
      <c r="CW44" s="172">
        <f t="shared" si="58"/>
        <v>181.18107407420595</v>
      </c>
      <c r="CX44" s="172">
        <f t="shared" si="59"/>
        <v>16.399999999999999</v>
      </c>
      <c r="CY44" s="217">
        <f t="shared" si="60"/>
        <v>1.2944285714285713</v>
      </c>
      <c r="CZ44" s="217">
        <f t="shared" si="61"/>
        <v>0.64721428571428563</v>
      </c>
      <c r="DA44" s="217">
        <f t="shared" si="62"/>
        <v>0.92459183673469392</v>
      </c>
      <c r="DB44" s="197">
        <f t="shared" si="63"/>
        <v>350</v>
      </c>
      <c r="DC44" s="443">
        <f t="shared" si="116"/>
        <v>350</v>
      </c>
      <c r="DE44" s="217">
        <f t="shared" si="64"/>
        <v>2.3529411764705879</v>
      </c>
      <c r="DF44" s="173">
        <f t="shared" si="65"/>
        <v>1.6806722689075633</v>
      </c>
      <c r="DG44" s="173">
        <f t="shared" si="66"/>
        <v>0.69204152249134954</v>
      </c>
      <c r="DH44" s="173"/>
      <c r="DI44" s="173">
        <f t="shared" si="67"/>
        <v>0.95238095238095266</v>
      </c>
      <c r="DJ44" s="545">
        <f t="shared" si="117"/>
        <v>614.24999999999977</v>
      </c>
      <c r="DK44" s="528">
        <f t="shared" si="68"/>
        <v>0.22222222222222232</v>
      </c>
      <c r="DM44" s="173">
        <f t="shared" si="69"/>
        <v>1.7663521732655691</v>
      </c>
      <c r="DN44" s="173">
        <f t="shared" si="70"/>
        <v>1.7663521732655691</v>
      </c>
      <c r="DO44" s="173">
        <f t="shared" si="71"/>
        <v>1.5207546962461005</v>
      </c>
      <c r="DQ44" s="545">
        <f t="shared" si="72"/>
        <v>390</v>
      </c>
      <c r="DR44" s="460">
        <f t="shared" si="73"/>
        <v>350</v>
      </c>
      <c r="DT44">
        <f t="shared" si="74"/>
        <v>390</v>
      </c>
      <c r="DU44" s="460">
        <f t="shared" si="75"/>
        <v>350</v>
      </c>
      <c r="DV44" s="460"/>
      <c r="DW44" s="5">
        <f t="shared" si="118"/>
        <v>2.8571428571428572</v>
      </c>
      <c r="DX44" s="5">
        <f t="shared" si="76"/>
        <v>0.88317608663278457</v>
      </c>
      <c r="DY44" s="5">
        <f t="shared" si="119"/>
        <v>1.9739667705100725</v>
      </c>
      <c r="DZ44" s="5">
        <f t="shared" si="77"/>
        <v>1.261680123761121</v>
      </c>
      <c r="EA44" s="173">
        <f t="shared" si="120"/>
        <v>0.3091116303214746</v>
      </c>
      <c r="EB44" s="173">
        <f t="shared" si="78"/>
        <v>6.5519999999999987</v>
      </c>
      <c r="EC44" s="173">
        <f t="shared" si="79"/>
        <v>0.61017608663278466</v>
      </c>
      <c r="ED44" s="173">
        <f t="shared" si="121"/>
        <v>10.73788393799037</v>
      </c>
      <c r="EE44" s="460">
        <f t="shared" si="80"/>
        <v>2.1002358157730856</v>
      </c>
      <c r="EF44" s="5">
        <f t="shared" si="81"/>
        <v>0.43838512028411186</v>
      </c>
      <c r="EG44" s="5"/>
      <c r="EH44" s="173">
        <f t="shared" si="122"/>
        <v>0.56698862028645114</v>
      </c>
      <c r="EI44" s="173">
        <f t="shared" si="82"/>
        <v>0.84765789353114984</v>
      </c>
      <c r="EJ44" s="173"/>
      <c r="EK44" s="528">
        <f t="shared" si="83"/>
        <v>6.4295219106866698E-3</v>
      </c>
      <c r="EL44" s="528">
        <f t="shared" si="84"/>
        <v>0.50447018068464644</v>
      </c>
      <c r="EM44" s="528">
        <f t="shared" si="85"/>
        <v>4.3749999999999997E-2</v>
      </c>
      <c r="EN44" s="528">
        <f t="shared" si="86"/>
        <v>5.8262399999999999E-2</v>
      </c>
      <c r="EO44">
        <f t="shared" si="87"/>
        <v>1.0800000000000001E-2</v>
      </c>
      <c r="EP44" s="460">
        <f t="shared" si="123"/>
        <v>54.550000000000004</v>
      </c>
      <c r="EQ44" s="528">
        <f t="shared" si="88"/>
        <v>0.62640500387531606</v>
      </c>
      <c r="ER44" s="460">
        <f t="shared" si="124"/>
        <v>626.40500387531608</v>
      </c>
      <c r="ES44" s="528">
        <f t="shared" si="125"/>
        <v>0.24228749999999996</v>
      </c>
      <c r="ET44" s="528"/>
      <c r="EV44" s="460">
        <f t="shared" si="126"/>
        <v>242.28749999999997</v>
      </c>
      <c r="EW44" s="528">
        <f t="shared" si="89"/>
        <v>9.6442828660300035E-3</v>
      </c>
      <c r="EX44" s="528">
        <f t="shared" si="90"/>
        <v>2.1555717133969983E-2</v>
      </c>
      <c r="EY44" s="528">
        <f t="shared" si="91"/>
        <v>0.47515287100368558</v>
      </c>
      <c r="EZ44" s="528">
        <f t="shared" si="92"/>
        <v>0.51512662706483947</v>
      </c>
      <c r="FA44" s="528">
        <f t="shared" si="93"/>
        <v>5.4599999999999996E-3</v>
      </c>
      <c r="FB44" s="460">
        <f t="shared" si="127"/>
        <v>520.58662706483949</v>
      </c>
      <c r="FC44" s="173">
        <f t="shared" si="128"/>
        <v>1.3892791309401555</v>
      </c>
      <c r="FD44" s="5">
        <f t="shared" si="129"/>
        <v>6.3959999999999999</v>
      </c>
      <c r="FE44" s="173">
        <f t="shared" si="130"/>
        <v>0.82155050479578817</v>
      </c>
      <c r="FF44" s="5">
        <f t="shared" si="131"/>
        <v>82.155050479578819</v>
      </c>
      <c r="FI44" s="562">
        <f t="shared" si="94"/>
        <v>-50</v>
      </c>
      <c r="FJ44">
        <f t="shared" si="95"/>
        <v>-50</v>
      </c>
      <c r="FL44">
        <f t="shared" si="181"/>
        <v>0.4415880433163924</v>
      </c>
    </row>
    <row r="45" spans="5:168">
      <c r="E45" s="170">
        <v>40</v>
      </c>
      <c r="F45" s="217">
        <f t="shared" si="182"/>
        <v>0.4</v>
      </c>
      <c r="G45" s="217"/>
      <c r="H45" s="217">
        <f t="shared" si="132"/>
        <v>6.56</v>
      </c>
      <c r="I45" s="541">
        <f t="shared" si="133"/>
        <v>23.955814244915572</v>
      </c>
      <c r="J45" s="172">
        <f t="shared" si="134"/>
        <v>16.826511453050653</v>
      </c>
      <c r="K45" s="172">
        <f t="shared" si="135"/>
        <v>40.826511453050657</v>
      </c>
      <c r="L45" s="443"/>
      <c r="M45" s="217">
        <f t="shared" si="136"/>
        <v>0.41259785787586967</v>
      </c>
      <c r="N45" s="172">
        <f t="shared" si="137"/>
        <v>33.243582332981759</v>
      </c>
      <c r="O45" s="172">
        <f t="shared" si="98"/>
        <v>6.56</v>
      </c>
      <c r="P45" s="217">
        <f t="shared" si="138"/>
        <v>2.0270477032305951</v>
      </c>
      <c r="Q45" s="217">
        <f t="shared" si="139"/>
        <v>16.399999999999999</v>
      </c>
      <c r="R45" s="217">
        <f t="shared" si="140"/>
        <v>2.0089670002285387</v>
      </c>
      <c r="S45" s="172">
        <f t="shared" si="141"/>
        <v>175.73037586025799</v>
      </c>
      <c r="T45" s="172">
        <f t="shared" si="142"/>
        <v>16.399999999999999</v>
      </c>
      <c r="U45" s="217">
        <f t="shared" si="143"/>
        <v>1.361928979535358</v>
      </c>
      <c r="V45" s="217">
        <f t="shared" si="11"/>
        <v>0.68222050761196718</v>
      </c>
      <c r="W45" s="217">
        <f t="shared" si="144"/>
        <v>0.9712736832007608</v>
      </c>
      <c r="X45" s="197">
        <f t="shared" si="145"/>
        <v>350</v>
      </c>
      <c r="Y45" s="443">
        <f t="shared" si="14"/>
        <v>350</v>
      </c>
      <c r="AA45" s="217">
        <f t="shared" si="146"/>
        <v>2.3533349421098886</v>
      </c>
      <c r="AB45" s="173">
        <f t="shared" si="147"/>
        <v>1.6783050594957838</v>
      </c>
      <c r="AC45" s="173">
        <f t="shared" si="148"/>
        <v>0.69118243950546754</v>
      </c>
      <c r="AD45" s="173"/>
      <c r="AE45" s="173">
        <f t="shared" si="149"/>
        <v>0.95088040350153491</v>
      </c>
      <c r="AF45" s="545">
        <f t="shared" si="150"/>
        <v>630.99417948939936</v>
      </c>
      <c r="AG45" s="528">
        <f t="shared" si="151"/>
        <v>0.22187209415035819</v>
      </c>
      <c r="AI45" s="173">
        <f t="shared" si="152"/>
        <v>1.7902652877663345</v>
      </c>
      <c r="AJ45" s="173">
        <f t="shared" si="153"/>
        <v>1.7902652877663345</v>
      </c>
      <c r="AK45" s="173">
        <f t="shared" si="154"/>
        <v>1.5384681143948156</v>
      </c>
      <c r="AM45" s="545">
        <f t="shared" si="155"/>
        <v>400</v>
      </c>
      <c r="AN45" s="460">
        <f t="shared" si="156"/>
        <v>350</v>
      </c>
      <c r="AP45">
        <f t="shared" si="157"/>
        <v>400</v>
      </c>
      <c r="AQ45" s="460">
        <f t="shared" si="158"/>
        <v>350</v>
      </c>
      <c r="AR45" s="460"/>
      <c r="AS45" s="5">
        <f t="shared" si="101"/>
        <v>2.8571428571428572</v>
      </c>
      <c r="AT45" s="5">
        <f t="shared" si="159"/>
        <v>0.89678368823366739</v>
      </c>
      <c r="AU45" s="5">
        <f t="shared" si="102"/>
        <v>1.9603591689091897</v>
      </c>
      <c r="AV45" s="5">
        <f t="shared" si="160"/>
        <v>1.2767461344045326</v>
      </c>
      <c r="AW45" s="173">
        <f t="shared" si="103"/>
        <v>0.31387429088178359</v>
      </c>
      <c r="AX45" s="173">
        <f t="shared" si="161"/>
        <v>6.7306045812202617</v>
      </c>
      <c r="AY45" s="173">
        <f t="shared" si="162"/>
        <v>0.61417352003920211</v>
      </c>
      <c r="AZ45" s="173">
        <f t="shared" si="104"/>
        <v>10.95879969033939</v>
      </c>
      <c r="BA45" s="460">
        <f t="shared" si="163"/>
        <v>2.1872772883747991</v>
      </c>
      <c r="BB45" s="5">
        <f t="shared" si="164"/>
        <v>0.44734985894477591</v>
      </c>
      <c r="BC45" s="5"/>
      <c r="BD45" s="173">
        <f t="shared" si="105"/>
        <v>0.57907476011254</v>
      </c>
      <c r="BE45" s="173">
        <f t="shared" si="165"/>
        <v>0.85616724752096762</v>
      </c>
      <c r="BF45" s="173"/>
      <c r="BG45" s="528">
        <f t="shared" si="166"/>
        <v>6.7065515559879153E-3</v>
      </c>
      <c r="BH45" s="528">
        <f t="shared" si="167"/>
        <v>0.47965500367963027</v>
      </c>
      <c r="BI45" s="528">
        <f t="shared" si="168"/>
        <v>0.20961337464301127</v>
      </c>
      <c r="BJ45" s="528">
        <f t="shared" si="169"/>
        <v>5.8338141309912675E-2</v>
      </c>
      <c r="BK45">
        <f t="shared" si="170"/>
        <v>1.0780116410212008E-2</v>
      </c>
      <c r="BL45" s="460">
        <f t="shared" si="106"/>
        <v>220.39349105322327</v>
      </c>
      <c r="BM45" s="528">
        <f t="shared" si="171"/>
        <v>0.54738270702774749</v>
      </c>
      <c r="BN45" s="460">
        <f t="shared" si="107"/>
        <v>547.38270702774753</v>
      </c>
      <c r="BO45" s="528">
        <f t="shared" si="172"/>
        <v>0.24849999999999997</v>
      </c>
      <c r="BP45" s="528"/>
      <c r="BR45" s="460">
        <f t="shared" si="109"/>
        <v>248.49999999999997</v>
      </c>
      <c r="BS45" s="528">
        <f t="shared" si="173"/>
        <v>1.0059827333981872E-2</v>
      </c>
      <c r="BT45" s="528">
        <f t="shared" si="174"/>
        <v>2.1990670671828895E-2</v>
      </c>
      <c r="BU45" s="528">
        <f t="shared" si="175"/>
        <v>9.8399999999999987E-2</v>
      </c>
      <c r="BV45" s="528">
        <f t="shared" si="176"/>
        <v>0.13849773122788761</v>
      </c>
      <c r="BW45" s="528">
        <f t="shared" si="177"/>
        <v>5.608837151016885E-3</v>
      </c>
      <c r="BX45" s="460">
        <f t="shared" si="110"/>
        <v>144.10656837890451</v>
      </c>
      <c r="BY45" s="173">
        <f t="shared" si="45"/>
        <v>1.1603827664598754</v>
      </c>
      <c r="BZ45" s="5">
        <f t="shared" si="111"/>
        <v>6.56</v>
      </c>
      <c r="CA45" s="173">
        <f t="shared" si="112"/>
        <v>0.84969880360064576</v>
      </c>
      <c r="CB45" s="5">
        <f t="shared" si="113"/>
        <v>84.969880360064579</v>
      </c>
      <c r="CE45" s="562">
        <f t="shared" si="178"/>
        <v>-50</v>
      </c>
      <c r="CF45">
        <f t="shared" si="179"/>
        <v>-50</v>
      </c>
      <c r="CG45" s="173">
        <f t="shared" si="180"/>
        <v>0.4526345642794945</v>
      </c>
      <c r="CI45" s="170">
        <v>40</v>
      </c>
      <c r="CJ45" s="217">
        <f t="shared" si="114"/>
        <v>0.4</v>
      </c>
      <c r="CK45" s="217"/>
      <c r="CL45" s="217">
        <f t="shared" si="49"/>
        <v>6.56</v>
      </c>
      <c r="CM45" s="541">
        <f t="shared" si="50"/>
        <v>24</v>
      </c>
      <c r="CN45" s="172">
        <f t="shared" si="51"/>
        <v>16.799999999999997</v>
      </c>
      <c r="CO45" s="443">
        <f t="shared" si="52"/>
        <v>40.799999999999997</v>
      </c>
      <c r="CP45" s="443"/>
      <c r="CQ45" s="217">
        <f t="shared" si="53"/>
        <v>0.41176470588235292</v>
      </c>
      <c r="CR45" s="172">
        <f t="shared" si="54"/>
        <v>33.237647058823534</v>
      </c>
      <c r="CS45" s="172">
        <f t="shared" si="115"/>
        <v>6.56</v>
      </c>
      <c r="CT45" s="217">
        <f t="shared" si="55"/>
        <v>2.026685796269728</v>
      </c>
      <c r="CU45" s="217">
        <f t="shared" si="56"/>
        <v>16.399999999999999</v>
      </c>
      <c r="CV45" s="217">
        <f t="shared" si="57"/>
        <v>2.0086083213773311</v>
      </c>
      <c r="CW45" s="172">
        <f t="shared" si="58"/>
        <v>176.05440498921286</v>
      </c>
      <c r="CX45" s="172">
        <f t="shared" si="59"/>
        <v>16.399999999999999</v>
      </c>
      <c r="CY45" s="217">
        <f t="shared" si="60"/>
        <v>1.3276190476190475</v>
      </c>
      <c r="CZ45" s="217">
        <f t="shared" si="61"/>
        <v>0.66380952380952374</v>
      </c>
      <c r="DA45" s="217">
        <f t="shared" si="62"/>
        <v>0.94829931972789128</v>
      </c>
      <c r="DB45" s="197">
        <f t="shared" si="63"/>
        <v>350</v>
      </c>
      <c r="DC45" s="443">
        <f t="shared" si="116"/>
        <v>350</v>
      </c>
      <c r="DE45" s="217">
        <f t="shared" si="64"/>
        <v>2.3529411764705879</v>
      </c>
      <c r="DF45" s="173">
        <f t="shared" si="65"/>
        <v>1.6806722689075633</v>
      </c>
      <c r="DG45" s="173">
        <f t="shared" si="66"/>
        <v>0.69204152249134954</v>
      </c>
      <c r="DH45" s="173"/>
      <c r="DI45" s="173">
        <f t="shared" si="67"/>
        <v>0.95238095238095266</v>
      </c>
      <c r="DJ45" s="545">
        <f t="shared" si="117"/>
        <v>629.99999999999977</v>
      </c>
      <c r="DK45" s="528">
        <f t="shared" si="68"/>
        <v>0.22222222222222232</v>
      </c>
      <c r="DM45" s="173">
        <f t="shared" si="69"/>
        <v>1.7888543819998315</v>
      </c>
      <c r="DN45" s="173">
        <f t="shared" si="70"/>
        <v>1.7888543819998315</v>
      </c>
      <c r="DO45" s="173">
        <f t="shared" si="71"/>
        <v>1.5374229990122208</v>
      </c>
      <c r="DQ45" s="545">
        <f t="shared" si="72"/>
        <v>400</v>
      </c>
      <c r="DR45" s="460">
        <f t="shared" si="73"/>
        <v>350</v>
      </c>
      <c r="DT45">
        <f t="shared" si="74"/>
        <v>400</v>
      </c>
      <c r="DU45" s="460">
        <f t="shared" si="75"/>
        <v>350</v>
      </c>
      <c r="DV45" s="460"/>
      <c r="DW45" s="5">
        <f t="shared" si="118"/>
        <v>2.8571428571428572</v>
      </c>
      <c r="DX45" s="5">
        <f t="shared" si="76"/>
        <v>0.89442719099991574</v>
      </c>
      <c r="DY45" s="5">
        <f t="shared" si="119"/>
        <v>1.9627156661429415</v>
      </c>
      <c r="DZ45" s="5">
        <f t="shared" si="77"/>
        <v>1.2777531299998799</v>
      </c>
      <c r="EA45" s="173">
        <f t="shared" si="120"/>
        <v>0.31304951684997051</v>
      </c>
      <c r="EB45" s="173">
        <f t="shared" si="78"/>
        <v>6.719999999999998</v>
      </c>
      <c r="EC45" s="173">
        <f t="shared" si="79"/>
        <v>0.61442719099991583</v>
      </c>
      <c r="ED45" s="173">
        <f t="shared" si="121"/>
        <v>10.937015969400544</v>
      </c>
      <c r="EE45" s="460">
        <f t="shared" si="80"/>
        <v>2.1815297341461366</v>
      </c>
      <c r="EF45" s="5">
        <f t="shared" si="81"/>
        <v>0.44706301284366989</v>
      </c>
      <c r="EG45" s="5"/>
      <c r="EH45" s="173">
        <f t="shared" si="122"/>
        <v>0.57785766815018424</v>
      </c>
      <c r="EI45" s="173">
        <f t="shared" si="82"/>
        <v>0.85600653153273187</v>
      </c>
      <c r="EJ45" s="173"/>
      <c r="EK45" s="528">
        <f t="shared" si="83"/>
        <v>6.6783896927993689E-3</v>
      </c>
      <c r="EL45" s="528">
        <f t="shared" si="84"/>
        <v>0.51089681149915178</v>
      </c>
      <c r="EM45" s="528">
        <f t="shared" si="85"/>
        <v>4.3749999999999997E-2</v>
      </c>
      <c r="EN45" s="528">
        <f t="shared" si="86"/>
        <v>5.8262399999999999E-2</v>
      </c>
      <c r="EO45">
        <f t="shared" si="87"/>
        <v>1.0800000000000001E-2</v>
      </c>
      <c r="EP45" s="460">
        <f t="shared" si="123"/>
        <v>54.550000000000004</v>
      </c>
      <c r="EQ45" s="528">
        <f t="shared" si="88"/>
        <v>0.63319551179677869</v>
      </c>
      <c r="ER45" s="460">
        <f t="shared" si="124"/>
        <v>633.19551179677865</v>
      </c>
      <c r="ES45" s="528">
        <f t="shared" si="125"/>
        <v>0.24849999999999997</v>
      </c>
      <c r="ET45" s="528"/>
      <c r="EV45" s="460">
        <f t="shared" si="126"/>
        <v>248.49999999999997</v>
      </c>
      <c r="EW45" s="528">
        <f t="shared" si="89"/>
        <v>1.0017584539199053E-2</v>
      </c>
      <c r="EX45" s="528">
        <f t="shared" si="90"/>
        <v>2.1982415460800934E-2</v>
      </c>
      <c r="EY45" s="528">
        <f t="shared" si="91"/>
        <v>0.49043063198190262</v>
      </c>
      <c r="EZ45" s="528">
        <f t="shared" si="92"/>
        <v>0.53147119824942113</v>
      </c>
      <c r="FA45" s="528">
        <f t="shared" si="93"/>
        <v>5.5999999999999982E-3</v>
      </c>
      <c r="FB45" s="460">
        <f t="shared" si="127"/>
        <v>537.07119824942117</v>
      </c>
      <c r="FC45" s="173">
        <f t="shared" si="128"/>
        <v>1.4187667100461998</v>
      </c>
      <c r="FD45" s="5">
        <f t="shared" si="129"/>
        <v>6.56</v>
      </c>
      <c r="FE45" s="173">
        <f t="shared" si="130"/>
        <v>0.822182204141925</v>
      </c>
      <c r="FF45" s="5">
        <f t="shared" si="131"/>
        <v>82.218220414192501</v>
      </c>
      <c r="FI45" s="562">
        <f t="shared" si="94"/>
        <v>-50</v>
      </c>
      <c r="FJ45">
        <f t="shared" si="95"/>
        <v>-50</v>
      </c>
      <c r="FL45">
        <f t="shared" si="181"/>
        <v>0.44721359549995798</v>
      </c>
    </row>
    <row r="46" spans="5:168">
      <c r="E46" s="170">
        <v>41</v>
      </c>
      <c r="F46" s="217">
        <f t="shared" si="182"/>
        <v>0.41</v>
      </c>
      <c r="G46" s="217"/>
      <c r="H46" s="217">
        <f t="shared" si="132"/>
        <v>6.7239999999999993</v>
      </c>
      <c r="I46" s="541">
        <f t="shared" si="133"/>
        <v>23.955265332501622</v>
      </c>
      <c r="J46" s="172">
        <f t="shared" si="134"/>
        <v>16.826840800499024</v>
      </c>
      <c r="K46" s="172">
        <f t="shared" si="135"/>
        <v>40.826840800499028</v>
      </c>
      <c r="L46" s="443"/>
      <c r="M46" s="217">
        <f t="shared" si="136"/>
        <v>0.41260821244560558</v>
      </c>
      <c r="N46" s="172">
        <f t="shared" si="137"/>
        <v>33.243654867904041</v>
      </c>
      <c r="O46" s="172">
        <f t="shared" si="98"/>
        <v>6.7239999999999993</v>
      </c>
      <c r="P46" s="217">
        <f t="shared" si="138"/>
        <v>2.0270521260917098</v>
      </c>
      <c r="Q46" s="217">
        <f t="shared" si="139"/>
        <v>16.399999999999999</v>
      </c>
      <c r="R46" s="217">
        <f t="shared" si="140"/>
        <v>2.0089713836389591</v>
      </c>
      <c r="S46" s="172">
        <f t="shared" si="141"/>
        <v>170.85894038669753</v>
      </c>
      <c r="T46" s="172">
        <f t="shared" si="142"/>
        <v>16.399999999999999</v>
      </c>
      <c r="U46" s="217">
        <f t="shared" si="143"/>
        <v>1.3960018123747859</v>
      </c>
      <c r="V46" s="217">
        <f t="shared" si="11"/>
        <v>0.69930437070838469</v>
      </c>
      <c r="W46" s="217">
        <f t="shared" si="144"/>
        <v>0.99555358888286549</v>
      </c>
      <c r="X46" s="197">
        <f t="shared" si="145"/>
        <v>350</v>
      </c>
      <c r="Y46" s="443">
        <f t="shared" si="14"/>
        <v>350</v>
      </c>
      <c r="AA46" s="217">
        <f t="shared" si="146"/>
        <v>2.3533397499263184</v>
      </c>
      <c r="AB46" s="173">
        <f t="shared" si="147"/>
        <v>1.6782756391371054</v>
      </c>
      <c r="AC46" s="173">
        <f t="shared" si="148"/>
        <v>0.69117173526001086</v>
      </c>
      <c r="AD46" s="173"/>
      <c r="AE46" s="173">
        <f t="shared" si="149"/>
        <v>0.95086179216276301</v>
      </c>
      <c r="AF46" s="545">
        <f t="shared" si="150"/>
        <v>646.78169326918112</v>
      </c>
      <c r="AG46" s="528">
        <f t="shared" si="151"/>
        <v>0.22186775150464472</v>
      </c>
      <c r="AI46" s="173">
        <f t="shared" si="152"/>
        <v>1.8125231989588697</v>
      </c>
      <c r="AJ46" s="173">
        <f t="shared" si="153"/>
        <v>1.8125231989588697</v>
      </c>
      <c r="AK46" s="173">
        <f t="shared" si="154"/>
        <v>1.5549554560189156</v>
      </c>
      <c r="AM46" s="545">
        <f t="shared" si="155"/>
        <v>410</v>
      </c>
      <c r="AN46" s="460">
        <f t="shared" si="156"/>
        <v>350</v>
      </c>
      <c r="AP46">
        <f t="shared" si="157"/>
        <v>410</v>
      </c>
      <c r="AQ46" s="460">
        <f t="shared" si="158"/>
        <v>350</v>
      </c>
      <c r="AR46" s="460"/>
      <c r="AS46" s="5">
        <f t="shared" si="101"/>
        <v>2.8571428571428572</v>
      </c>
      <c r="AT46" s="5">
        <f t="shared" si="159"/>
        <v>0.90795397527893218</v>
      </c>
      <c r="AU46" s="5">
        <f t="shared" si="102"/>
        <v>1.9491888818639249</v>
      </c>
      <c r="AV46" s="5">
        <f t="shared" si="160"/>
        <v>1.2925942929739611</v>
      </c>
      <c r="AW46" s="173">
        <f t="shared" si="103"/>
        <v>0.31778389134762625</v>
      </c>
      <c r="AX46" s="173">
        <f t="shared" si="161"/>
        <v>6.8990047282045985</v>
      </c>
      <c r="AY46" s="173">
        <f t="shared" si="162"/>
        <v>0.61826626181793609</v>
      </c>
      <c r="AZ46" s="173">
        <f t="shared" si="104"/>
        <v>11.158630438476331</v>
      </c>
      <c r="BA46" s="460">
        <f t="shared" si="163"/>
        <v>2.2698849381973307</v>
      </c>
      <c r="BB46" s="5">
        <f t="shared" si="164"/>
        <v>0.45593129039119218</v>
      </c>
      <c r="BC46" s="5"/>
      <c r="BD46" s="173">
        <f t="shared" si="105"/>
        <v>0.58991424840308193</v>
      </c>
      <c r="BE46" s="173">
        <f t="shared" si="165"/>
        <v>0.86433864608673983</v>
      </c>
      <c r="BF46" s="173"/>
      <c r="BG46" s="528">
        <f t="shared" si="166"/>
        <v>6.9599764093794614E-3</v>
      </c>
      <c r="BH46" s="528">
        <f t="shared" si="167"/>
        <v>0.48562234934787663</v>
      </c>
      <c r="BI46" s="528">
        <f t="shared" si="168"/>
        <v>0.20960857165938918</v>
      </c>
      <c r="BJ46" s="528">
        <f t="shared" si="169"/>
        <v>5.8339082541225232E-2</v>
      </c>
      <c r="BK46">
        <f t="shared" si="170"/>
        <v>1.0779869399625729E-2</v>
      </c>
      <c r="BL46" s="460">
        <f t="shared" si="106"/>
        <v>220.38844105901489</v>
      </c>
      <c r="BM46" s="528">
        <f t="shared" si="171"/>
        <v>0.55371627721813177</v>
      </c>
      <c r="BN46" s="460">
        <f t="shared" si="107"/>
        <v>553.71627721813172</v>
      </c>
      <c r="BO46" s="528">
        <f t="shared" si="172"/>
        <v>0.25471249999999995</v>
      </c>
      <c r="BP46" s="528"/>
      <c r="BR46" s="460">
        <f t="shared" si="109"/>
        <v>254.71249999999995</v>
      </c>
      <c r="BS46" s="528">
        <f t="shared" si="173"/>
        <v>1.0439964614069191E-2</v>
      </c>
      <c r="BT46" s="528">
        <f t="shared" si="174"/>
        <v>2.2412438853571755E-2</v>
      </c>
      <c r="BU46" s="528">
        <f t="shared" si="175"/>
        <v>0.10085999999999999</v>
      </c>
      <c r="BV46" s="528">
        <f t="shared" si="176"/>
        <v>0.14197010503354721</v>
      </c>
      <c r="BW46" s="528">
        <f t="shared" si="177"/>
        <v>5.7491706068371652E-3</v>
      </c>
      <c r="BX46" s="460">
        <f t="shared" si="110"/>
        <v>147.71927564038438</v>
      </c>
      <c r="BY46" s="173">
        <f t="shared" si="45"/>
        <v>1.1765364939175311</v>
      </c>
      <c r="BZ46" s="5">
        <f t="shared" si="111"/>
        <v>6.7239999999999993</v>
      </c>
      <c r="CA46" s="173">
        <f t="shared" si="112"/>
        <v>0.85108144303575795</v>
      </c>
      <c r="CB46" s="5">
        <f t="shared" si="113"/>
        <v>85.108144303575799</v>
      </c>
      <c r="CE46" s="562">
        <f t="shared" si="178"/>
        <v>-50</v>
      </c>
      <c r="CF46">
        <f t="shared" si="179"/>
        <v>-50</v>
      </c>
      <c r="CG46" s="173">
        <f t="shared" si="180"/>
        <v>0.45825756949558405</v>
      </c>
      <c r="CI46" s="170">
        <v>41</v>
      </c>
      <c r="CJ46" s="217">
        <f t="shared" si="114"/>
        <v>0.41</v>
      </c>
      <c r="CK46" s="217"/>
      <c r="CL46" s="217">
        <f t="shared" si="49"/>
        <v>6.7239999999999993</v>
      </c>
      <c r="CM46" s="541">
        <f t="shared" si="50"/>
        <v>24</v>
      </c>
      <c r="CN46" s="172">
        <f t="shared" si="51"/>
        <v>16.799999999999997</v>
      </c>
      <c r="CO46" s="443">
        <f t="shared" si="52"/>
        <v>40.799999999999997</v>
      </c>
      <c r="CP46" s="443"/>
      <c r="CQ46" s="217">
        <f t="shared" si="53"/>
        <v>0.41176470588235292</v>
      </c>
      <c r="CR46" s="172">
        <f t="shared" si="54"/>
        <v>33.237647058823534</v>
      </c>
      <c r="CS46" s="172">
        <f t="shared" si="115"/>
        <v>6.7239999999999993</v>
      </c>
      <c r="CT46" s="217">
        <f t="shared" si="55"/>
        <v>2.026685796269728</v>
      </c>
      <c r="CU46" s="217">
        <f t="shared" si="56"/>
        <v>16.399999999999999</v>
      </c>
      <c r="CV46" s="217">
        <f t="shared" si="57"/>
        <v>2.0086083213773311</v>
      </c>
      <c r="CW46" s="172">
        <f t="shared" si="58"/>
        <v>171.17790248049172</v>
      </c>
      <c r="CX46" s="172">
        <f t="shared" si="59"/>
        <v>16.399999999999999</v>
      </c>
      <c r="CY46" s="217">
        <f t="shared" si="60"/>
        <v>1.3608095238095237</v>
      </c>
      <c r="CZ46" s="217">
        <f t="shared" si="61"/>
        <v>0.68040476190476185</v>
      </c>
      <c r="DA46" s="217">
        <f t="shared" si="62"/>
        <v>0.97200680272108853</v>
      </c>
      <c r="DB46" s="197">
        <f t="shared" si="63"/>
        <v>350</v>
      </c>
      <c r="DC46" s="443">
        <f t="shared" si="116"/>
        <v>350</v>
      </c>
      <c r="DE46" s="217">
        <f t="shared" si="64"/>
        <v>2.3529411764705879</v>
      </c>
      <c r="DF46" s="173">
        <f t="shared" si="65"/>
        <v>1.6806722689075633</v>
      </c>
      <c r="DG46" s="173">
        <f t="shared" si="66"/>
        <v>0.69204152249134954</v>
      </c>
      <c r="DH46" s="173"/>
      <c r="DI46" s="173">
        <f t="shared" si="67"/>
        <v>0.95238095238095266</v>
      </c>
      <c r="DJ46" s="545">
        <f t="shared" si="117"/>
        <v>645.74999999999966</v>
      </c>
      <c r="DK46" s="528">
        <f t="shared" si="68"/>
        <v>0.22222222222222232</v>
      </c>
      <c r="DM46" s="173">
        <f t="shared" si="69"/>
        <v>1.811077027627483</v>
      </c>
      <c r="DN46" s="173">
        <f t="shared" si="70"/>
        <v>1.811077027627483</v>
      </c>
      <c r="DO46" s="173">
        <f t="shared" si="71"/>
        <v>1.5538842179956662</v>
      </c>
      <c r="DQ46" s="545">
        <f t="shared" si="72"/>
        <v>410</v>
      </c>
      <c r="DR46" s="460">
        <f t="shared" si="73"/>
        <v>350</v>
      </c>
      <c r="DT46">
        <f t="shared" si="74"/>
        <v>410</v>
      </c>
      <c r="DU46" s="460">
        <f t="shared" si="75"/>
        <v>350</v>
      </c>
      <c r="DV46" s="460"/>
      <c r="DW46" s="5">
        <f t="shared" si="118"/>
        <v>2.8571428571428572</v>
      </c>
      <c r="DX46" s="5">
        <f t="shared" si="76"/>
        <v>0.90553851381374151</v>
      </c>
      <c r="DY46" s="5">
        <f t="shared" si="119"/>
        <v>1.9516043433291157</v>
      </c>
      <c r="DZ46" s="5">
        <f t="shared" si="77"/>
        <v>1.2936264483053452</v>
      </c>
      <c r="EA46" s="173">
        <f t="shared" si="120"/>
        <v>0.31693847983480949</v>
      </c>
      <c r="EB46" s="173">
        <f t="shared" si="78"/>
        <v>6.8879999999999981</v>
      </c>
      <c r="EC46" s="173">
        <f t="shared" si="79"/>
        <v>0.61853851381374159</v>
      </c>
      <c r="ED46" s="173">
        <f t="shared" si="121"/>
        <v>11.135927425974575</v>
      </c>
      <c r="EE46" s="460">
        <f t="shared" si="80"/>
        <v>2.2638462845343539</v>
      </c>
      <c r="EF46" s="5">
        <f t="shared" si="81"/>
        <v>0.45564540293558925</v>
      </c>
      <c r="EG46" s="5"/>
      <c r="EH46" s="173">
        <f t="shared" si="122"/>
        <v>0.58865898839599107</v>
      </c>
      <c r="EI46" s="173">
        <f t="shared" si="82"/>
        <v>0.86418396693871924</v>
      </c>
      <c r="EJ46" s="173"/>
      <c r="EK46" s="528">
        <f t="shared" si="83"/>
        <v>6.9303880923878318E-3</v>
      </c>
      <c r="EL46" s="528">
        <f t="shared" si="84"/>
        <v>0.51724359909040907</v>
      </c>
      <c r="EM46" s="528">
        <f t="shared" si="85"/>
        <v>4.3749999999999997E-2</v>
      </c>
      <c r="EN46" s="528">
        <f t="shared" si="86"/>
        <v>5.8262399999999999E-2</v>
      </c>
      <c r="EO46">
        <f t="shared" si="87"/>
        <v>1.0800000000000001E-2</v>
      </c>
      <c r="EP46" s="460">
        <f t="shared" si="123"/>
        <v>54.550000000000004</v>
      </c>
      <c r="EQ46" s="528">
        <f t="shared" si="88"/>
        <v>0.63991130845778887</v>
      </c>
      <c r="ER46" s="460">
        <f t="shared" si="124"/>
        <v>639.91130845778889</v>
      </c>
      <c r="ES46" s="528">
        <f t="shared" si="125"/>
        <v>0.25471249999999995</v>
      </c>
      <c r="ET46" s="528"/>
      <c r="EV46" s="460">
        <f t="shared" si="126"/>
        <v>254.71249999999995</v>
      </c>
      <c r="EW46" s="528">
        <f t="shared" si="89"/>
        <v>1.0395582138581747E-2</v>
      </c>
      <c r="EX46" s="528">
        <f t="shared" si="90"/>
        <v>2.2404417861418242E-2</v>
      </c>
      <c r="EY46" s="528">
        <f t="shared" si="91"/>
        <v>0.50580418674229133</v>
      </c>
      <c r="EZ46" s="528">
        <f t="shared" si="92"/>
        <v>0.54791391284960878</v>
      </c>
      <c r="FA46" s="528">
        <f t="shared" si="93"/>
        <v>5.7399999999999986E-3</v>
      </c>
      <c r="FB46" s="460">
        <f t="shared" si="127"/>
        <v>553.65391284960879</v>
      </c>
      <c r="FC46" s="173">
        <f t="shared" si="128"/>
        <v>1.4482777213073976</v>
      </c>
      <c r="FD46" s="5">
        <f t="shared" si="129"/>
        <v>6.7239999999999993</v>
      </c>
      <c r="FE46" s="173">
        <f t="shared" si="130"/>
        <v>0.82278163191501241</v>
      </c>
      <c r="FF46" s="5">
        <f t="shared" si="131"/>
        <v>82.278163191501235</v>
      </c>
      <c r="FI46" s="562">
        <f t="shared" si="94"/>
        <v>-50</v>
      </c>
      <c r="FJ46">
        <f t="shared" si="95"/>
        <v>-50</v>
      </c>
      <c r="FL46">
        <f t="shared" si="181"/>
        <v>0.45276925690687081</v>
      </c>
    </row>
    <row r="47" spans="5:168">
      <c r="E47" s="170">
        <v>42</v>
      </c>
      <c r="F47" s="217">
        <f t="shared" si="182"/>
        <v>0.42</v>
      </c>
      <c r="G47" s="217"/>
      <c r="H47" s="217">
        <f t="shared" si="132"/>
        <v>6.887999999999999</v>
      </c>
      <c r="I47" s="541">
        <f t="shared" si="133"/>
        <v>23.954723074309314</v>
      </c>
      <c r="J47" s="172">
        <f t="shared" si="134"/>
        <v>16.82716615541441</v>
      </c>
      <c r="K47" s="172">
        <f t="shared" si="135"/>
        <v>40.82716615541441</v>
      </c>
      <c r="L47" s="443"/>
      <c r="M47" s="217">
        <f t="shared" si="136"/>
        <v>0.41261844159897165</v>
      </c>
      <c r="N47" s="172">
        <f t="shared" si="137"/>
        <v>33.243726494637151</v>
      </c>
      <c r="O47" s="172">
        <f t="shared" si="98"/>
        <v>6.887999999999999</v>
      </c>
      <c r="P47" s="217">
        <f t="shared" si="138"/>
        <v>2.027056493575436</v>
      </c>
      <c r="Q47" s="217">
        <f t="shared" si="139"/>
        <v>16.399999999999999</v>
      </c>
      <c r="R47" s="217">
        <f t="shared" si="140"/>
        <v>2.0089757121659426</v>
      </c>
      <c r="S47" s="172">
        <f t="shared" si="141"/>
        <v>166.21963428548065</v>
      </c>
      <c r="T47" s="172">
        <f t="shared" si="142"/>
        <v>16.399999999999999</v>
      </c>
      <c r="U47" s="217">
        <f t="shared" si="143"/>
        <v>1.4300755411638224</v>
      </c>
      <c r="V47" s="217">
        <f t="shared" si="11"/>
        <v>0.71638926656473867</v>
      </c>
      <c r="W47" s="217">
        <f t="shared" si="144"/>
        <v>1.0198334250383612</v>
      </c>
      <c r="X47" s="197">
        <f t="shared" si="145"/>
        <v>350</v>
      </c>
      <c r="Y47" s="443">
        <f t="shared" si="14"/>
        <v>350</v>
      </c>
      <c r="AA47" s="217">
        <f t="shared" si="146"/>
        <v>2.353344497437869</v>
      </c>
      <c r="AB47" s="173">
        <f t="shared" si="147"/>
        <v>1.6782465751173268</v>
      </c>
      <c r="AC47" s="173">
        <f t="shared" si="148"/>
        <v>0.69116116000685424</v>
      </c>
      <c r="AD47" s="173"/>
      <c r="AE47" s="173">
        <f t="shared" si="149"/>
        <v>0.95084340715633497</v>
      </c>
      <c r="AF47" s="545">
        <f t="shared" si="150"/>
        <v>662.56966736944219</v>
      </c>
      <c r="AG47" s="528">
        <f t="shared" si="151"/>
        <v>0.2218634616698115</v>
      </c>
      <c r="AI47" s="173">
        <f t="shared" si="152"/>
        <v>1.8345117146213272</v>
      </c>
      <c r="AJ47" s="173">
        <f t="shared" si="153"/>
        <v>1.8345117146213272</v>
      </c>
      <c r="AK47" s="173">
        <f t="shared" si="154"/>
        <v>1.5712432453985139</v>
      </c>
      <c r="AM47" s="545">
        <f t="shared" si="155"/>
        <v>420</v>
      </c>
      <c r="AN47" s="460">
        <f t="shared" si="156"/>
        <v>350</v>
      </c>
      <c r="AP47">
        <f t="shared" si="157"/>
        <v>420</v>
      </c>
      <c r="AQ47" s="460">
        <f t="shared" si="158"/>
        <v>350</v>
      </c>
      <c r="AR47" s="460"/>
      <c r="AS47" s="5">
        <f t="shared" si="101"/>
        <v>2.8571428571428572</v>
      </c>
      <c r="AT47" s="5">
        <f t="shared" si="159"/>
        <v>0.91898956657384201</v>
      </c>
      <c r="AU47" s="5">
        <f t="shared" si="102"/>
        <v>1.9381532905690153</v>
      </c>
      <c r="AV47" s="5">
        <f t="shared" si="160"/>
        <v>1.3082500268990642</v>
      </c>
      <c r="AW47" s="173">
        <f t="shared" si="103"/>
        <v>0.32164634830084471</v>
      </c>
      <c r="AX47" s="173">
        <f t="shared" si="161"/>
        <v>7.0674097852740525</v>
      </c>
      <c r="AY47" s="173">
        <f t="shared" si="162"/>
        <v>0.62222386034912802</v>
      </c>
      <c r="AZ47" s="173">
        <f t="shared" si="104"/>
        <v>11.358307251844295</v>
      </c>
      <c r="BA47" s="460">
        <f t="shared" si="163"/>
        <v>2.353509865615937</v>
      </c>
      <c r="BB47" s="5">
        <f t="shared" si="164"/>
        <v>0.46441780409464878</v>
      </c>
      <c r="BC47" s="5"/>
      <c r="BD47" s="173">
        <f t="shared" si="105"/>
        <v>0.60068830220787051</v>
      </c>
      <c r="BE47" s="173">
        <f t="shared" si="165"/>
        <v>0.87234433603838646</v>
      </c>
      <c r="BF47" s="173"/>
      <c r="BG47" s="528">
        <f t="shared" si="166"/>
        <v>7.2165287281874789E-3</v>
      </c>
      <c r="BH47" s="528">
        <f t="shared" si="167"/>
        <v>0.49151756447652534</v>
      </c>
      <c r="BI47" s="528">
        <f t="shared" si="168"/>
        <v>0.20960382690020649</v>
      </c>
      <c r="BJ47" s="528">
        <f t="shared" si="169"/>
        <v>5.8340012369863567E-2</v>
      </c>
      <c r="BK47">
        <f t="shared" si="170"/>
        <v>1.0779625383439191E-2</v>
      </c>
      <c r="BL47" s="460">
        <f t="shared" si="106"/>
        <v>220.38345228364568</v>
      </c>
      <c r="BM47" s="528">
        <f t="shared" si="171"/>
        <v>0.55998274118486524</v>
      </c>
      <c r="BN47" s="460">
        <f t="shared" si="107"/>
        <v>559.98274118486529</v>
      </c>
      <c r="BO47" s="528">
        <f t="shared" si="172"/>
        <v>0.26092499999999996</v>
      </c>
      <c r="BP47" s="528"/>
      <c r="BR47" s="460">
        <f t="shared" si="109"/>
        <v>260.92499999999995</v>
      </c>
      <c r="BS47" s="528">
        <f t="shared" si="173"/>
        <v>1.0824793092281218E-2</v>
      </c>
      <c r="BT47" s="528">
        <f t="shared" si="174"/>
        <v>2.28295392185476E-2</v>
      </c>
      <c r="BU47" s="528">
        <f t="shared" si="175"/>
        <v>0.10331999999999998</v>
      </c>
      <c r="BV47" s="528">
        <f t="shared" si="176"/>
        <v>0.14544295490836812</v>
      </c>
      <c r="BW47" s="528">
        <f t="shared" si="177"/>
        <v>5.8895081543950444E-3</v>
      </c>
      <c r="BX47" s="460">
        <f t="shared" si="110"/>
        <v>151.33246306276317</v>
      </c>
      <c r="BY47" s="173">
        <f t="shared" si="45"/>
        <v>1.192623656531274</v>
      </c>
      <c r="BZ47" s="5">
        <f t="shared" si="111"/>
        <v>6.887999999999999</v>
      </c>
      <c r="CA47" s="173">
        <f t="shared" si="112"/>
        <v>0.85240945411839342</v>
      </c>
      <c r="CB47" s="5">
        <f t="shared" si="113"/>
        <v>85.240945411839348</v>
      </c>
      <c r="CE47" s="562">
        <f t="shared" si="178"/>
        <v>-50</v>
      </c>
      <c r="CF47">
        <f t="shared" si="179"/>
        <v>-50</v>
      </c>
      <c r="CG47" s="173">
        <f t="shared" si="180"/>
        <v>0.46381240951435548</v>
      </c>
      <c r="CI47" s="170">
        <v>42</v>
      </c>
      <c r="CJ47" s="217">
        <f t="shared" si="114"/>
        <v>0.42</v>
      </c>
      <c r="CK47" s="217"/>
      <c r="CL47" s="217">
        <f t="shared" si="49"/>
        <v>6.887999999999999</v>
      </c>
      <c r="CM47" s="541">
        <f t="shared" si="50"/>
        <v>24</v>
      </c>
      <c r="CN47" s="172">
        <f t="shared" si="51"/>
        <v>16.799999999999997</v>
      </c>
      <c r="CO47" s="443">
        <f t="shared" si="52"/>
        <v>40.799999999999997</v>
      </c>
      <c r="CP47" s="443"/>
      <c r="CQ47" s="217">
        <f t="shared" si="53"/>
        <v>0.41176470588235292</v>
      </c>
      <c r="CR47" s="172">
        <f t="shared" si="54"/>
        <v>33.237647058823534</v>
      </c>
      <c r="CS47" s="172">
        <f t="shared" si="115"/>
        <v>6.887999999999999</v>
      </c>
      <c r="CT47" s="217">
        <f t="shared" si="55"/>
        <v>2.026685796269728</v>
      </c>
      <c r="CU47" s="217">
        <f t="shared" si="56"/>
        <v>16.399999999999999</v>
      </c>
      <c r="CV47" s="217">
        <f t="shared" si="57"/>
        <v>2.0086083213773311</v>
      </c>
      <c r="CW47" s="172">
        <f t="shared" si="58"/>
        <v>166.53369833766843</v>
      </c>
      <c r="CX47" s="172">
        <f t="shared" si="59"/>
        <v>16.399999999999999</v>
      </c>
      <c r="CY47" s="217">
        <f t="shared" si="60"/>
        <v>1.3939999999999997</v>
      </c>
      <c r="CZ47" s="217">
        <f t="shared" si="61"/>
        <v>0.69699999999999984</v>
      </c>
      <c r="DA47" s="217">
        <f t="shared" si="62"/>
        <v>0.99571428571428566</v>
      </c>
      <c r="DB47" s="197">
        <f t="shared" si="63"/>
        <v>350</v>
      </c>
      <c r="DC47" s="443">
        <f t="shared" si="116"/>
        <v>350</v>
      </c>
      <c r="DE47" s="217">
        <f t="shared" si="64"/>
        <v>2.3529411764705879</v>
      </c>
      <c r="DF47" s="173">
        <f t="shared" si="65"/>
        <v>1.6806722689075633</v>
      </c>
      <c r="DG47" s="173">
        <f t="shared" si="66"/>
        <v>0.69204152249134954</v>
      </c>
      <c r="DH47" s="173"/>
      <c r="DI47" s="173">
        <f t="shared" si="67"/>
        <v>0.95238095238095266</v>
      </c>
      <c r="DJ47" s="545">
        <f t="shared" si="117"/>
        <v>661.49999999999966</v>
      </c>
      <c r="DK47" s="528">
        <f t="shared" si="68"/>
        <v>0.22222222222222232</v>
      </c>
      <c r="DM47" s="173">
        <f t="shared" si="69"/>
        <v>1.8330302779823358</v>
      </c>
      <c r="DN47" s="173">
        <f t="shared" si="70"/>
        <v>1.8330302779823358</v>
      </c>
      <c r="DO47" s="173">
        <f t="shared" si="71"/>
        <v>1.5701458849251868</v>
      </c>
      <c r="DQ47" s="545">
        <f t="shared" si="72"/>
        <v>420</v>
      </c>
      <c r="DR47" s="460">
        <f t="shared" si="73"/>
        <v>350</v>
      </c>
      <c r="DT47">
        <f t="shared" si="74"/>
        <v>420</v>
      </c>
      <c r="DU47" s="460">
        <f t="shared" si="75"/>
        <v>350</v>
      </c>
      <c r="DV47" s="460"/>
      <c r="DW47" s="5">
        <f t="shared" si="118"/>
        <v>2.8571428571428572</v>
      </c>
      <c r="DX47" s="5">
        <f t="shared" si="76"/>
        <v>0.91651513899116788</v>
      </c>
      <c r="DY47" s="5">
        <f t="shared" si="119"/>
        <v>1.9406277181516893</v>
      </c>
      <c r="DZ47" s="5">
        <f t="shared" si="77"/>
        <v>1.3093073414159544</v>
      </c>
      <c r="EA47" s="173">
        <f t="shared" si="120"/>
        <v>0.32078029864690877</v>
      </c>
      <c r="EB47" s="173">
        <f t="shared" si="78"/>
        <v>7.0559999999999983</v>
      </c>
      <c r="EC47" s="173">
        <f t="shared" si="79"/>
        <v>0.62251513899116795</v>
      </c>
      <c r="ED47" s="173">
        <f t="shared" si="121"/>
        <v>11.334664103807613</v>
      </c>
      <c r="EE47" s="460">
        <f t="shared" si="80"/>
        <v>2.3471729169286011</v>
      </c>
      <c r="EF47" s="5">
        <f t="shared" si="81"/>
        <v>0.46413346259127891</v>
      </c>
      <c r="EG47" s="5"/>
      <c r="EH47" s="173">
        <f t="shared" si="122"/>
        <v>0.59939464001986009</v>
      </c>
      <c r="EI47" s="173">
        <f t="shared" si="82"/>
        <v>0.87219611642993566</v>
      </c>
      <c r="EJ47" s="173"/>
      <c r="EK47" s="528">
        <f t="shared" si="83"/>
        <v>7.1854786896907528E-3</v>
      </c>
      <c r="EL47" s="528">
        <f t="shared" si="84"/>
        <v>0.52351344739175509</v>
      </c>
      <c r="EM47" s="528">
        <f t="shared" si="85"/>
        <v>4.3749999999999997E-2</v>
      </c>
      <c r="EN47" s="528">
        <f t="shared" si="86"/>
        <v>5.8262399999999999E-2</v>
      </c>
      <c r="EO47">
        <f t="shared" si="87"/>
        <v>1.0800000000000001E-2</v>
      </c>
      <c r="EP47" s="460">
        <f t="shared" si="123"/>
        <v>54.550000000000004</v>
      </c>
      <c r="EQ47" s="528">
        <f t="shared" si="88"/>
        <v>0.64655524953828458</v>
      </c>
      <c r="ER47" s="460">
        <f t="shared" si="124"/>
        <v>646.55524953828456</v>
      </c>
      <c r="ES47" s="528">
        <f t="shared" si="125"/>
        <v>0.26092499999999996</v>
      </c>
      <c r="ET47" s="528"/>
      <c r="EV47" s="460">
        <f t="shared" si="126"/>
        <v>260.92499999999995</v>
      </c>
      <c r="EW47" s="528">
        <f t="shared" si="89"/>
        <v>1.0778218034536128E-2</v>
      </c>
      <c r="EX47" s="528">
        <f t="shared" si="90"/>
        <v>2.2821781965463854E-2</v>
      </c>
      <c r="EY47" s="528">
        <f t="shared" si="91"/>
        <v>0.52127177725220464</v>
      </c>
      <c r="EZ47" s="528">
        <f t="shared" si="92"/>
        <v>0.56445302698875033</v>
      </c>
      <c r="FA47" s="528">
        <f t="shared" si="93"/>
        <v>5.8799999999999981E-3</v>
      </c>
      <c r="FB47" s="460">
        <f t="shared" si="127"/>
        <v>570.33302698875036</v>
      </c>
      <c r="FC47" s="173">
        <f t="shared" si="128"/>
        <v>1.4778132765270351</v>
      </c>
      <c r="FD47" s="5">
        <f t="shared" si="129"/>
        <v>6.887999999999999</v>
      </c>
      <c r="FE47" s="173">
        <f t="shared" si="130"/>
        <v>0.82335091309370811</v>
      </c>
      <c r="FF47" s="5">
        <f t="shared" si="131"/>
        <v>82.33509130937081</v>
      </c>
      <c r="FI47" s="562">
        <f t="shared" si="94"/>
        <v>-50</v>
      </c>
      <c r="FJ47">
        <f t="shared" si="95"/>
        <v>-50</v>
      </c>
      <c r="FL47">
        <f t="shared" si="181"/>
        <v>0.45825756949558399</v>
      </c>
    </row>
    <row r="48" spans="5:168">
      <c r="E48" s="170">
        <v>43</v>
      </c>
      <c r="F48" s="217">
        <f t="shared" si="182"/>
        <v>0.43</v>
      </c>
      <c r="G48" s="217"/>
      <c r="H48" s="217">
        <f t="shared" si="132"/>
        <v>7.0519999999999996</v>
      </c>
      <c r="I48" s="541">
        <f t="shared" si="133"/>
        <v>23.954187234051965</v>
      </c>
      <c r="J48" s="172">
        <f t="shared" si="134"/>
        <v>16.827487659568817</v>
      </c>
      <c r="K48" s="172">
        <f t="shared" si="135"/>
        <v>40.827487659568817</v>
      </c>
      <c r="L48" s="443"/>
      <c r="M48" s="217">
        <f t="shared" si="136"/>
        <v>0.41262854978941599</v>
      </c>
      <c r="N48" s="172">
        <f t="shared" si="137"/>
        <v>33.243797245429811</v>
      </c>
      <c r="O48" s="172">
        <f t="shared" si="98"/>
        <v>7.0519999999999996</v>
      </c>
      <c r="P48" s="217">
        <f t="shared" si="138"/>
        <v>2.0270608076481595</v>
      </c>
      <c r="Q48" s="217">
        <f t="shared" si="139"/>
        <v>16.399999999999999</v>
      </c>
      <c r="R48" s="217">
        <f t="shared" si="140"/>
        <v>2.0089799877583343</v>
      </c>
      <c r="S48" s="172">
        <f t="shared" si="141"/>
        <v>161.79626124644039</v>
      </c>
      <c r="T48" s="172">
        <f t="shared" si="142"/>
        <v>16.399999999999999</v>
      </c>
      <c r="U48" s="217">
        <f t="shared" si="143"/>
        <v>1.4641501552240468</v>
      </c>
      <c r="V48" s="217">
        <f t="shared" si="11"/>
        <v>0.7334751828988082</v>
      </c>
      <c r="W48" s="217">
        <f t="shared" si="144"/>
        <v>1.0441131925417062</v>
      </c>
      <c r="X48" s="197">
        <f t="shared" si="145"/>
        <v>350</v>
      </c>
      <c r="Y48" s="443">
        <f t="shared" si="14"/>
        <v>350</v>
      </c>
      <c r="AA48" s="217">
        <f t="shared" si="146"/>
        <v>2.3533491867858927</v>
      </c>
      <c r="AB48" s="173">
        <f t="shared" si="147"/>
        <v>1.6782178547831026</v>
      </c>
      <c r="AC48" s="173">
        <f t="shared" si="148"/>
        <v>0.69115070916559151</v>
      </c>
      <c r="AD48" s="173"/>
      <c r="AE48" s="173">
        <f t="shared" si="149"/>
        <v>0.95082524044530969</v>
      </c>
      <c r="AF48" s="545">
        <f t="shared" si="150"/>
        <v>678.35809627636775</v>
      </c>
      <c r="AG48" s="528">
        <f t="shared" si="151"/>
        <v>0.2218592227705723</v>
      </c>
      <c r="AI48" s="173">
        <f t="shared" si="152"/>
        <v>1.8562404007915454</v>
      </c>
      <c r="AJ48" s="173">
        <f t="shared" si="153"/>
        <v>1.8562404007915454</v>
      </c>
      <c r="AK48" s="173">
        <f t="shared" si="154"/>
        <v>1.5873385684875643</v>
      </c>
      <c r="AM48" s="545">
        <f t="shared" si="155"/>
        <v>430</v>
      </c>
      <c r="AN48" s="460">
        <f t="shared" si="156"/>
        <v>350</v>
      </c>
      <c r="AP48">
        <f t="shared" si="157"/>
        <v>430</v>
      </c>
      <c r="AQ48" s="460">
        <f t="shared" si="158"/>
        <v>350</v>
      </c>
      <c r="AR48" s="460"/>
      <c r="AS48" s="5">
        <f t="shared" si="101"/>
        <v>2.8571428571428572</v>
      </c>
      <c r="AT48" s="5">
        <f t="shared" si="159"/>
        <v>0.92989524511329624</v>
      </c>
      <c r="AU48" s="5">
        <f t="shared" si="102"/>
        <v>1.927247612029561</v>
      </c>
      <c r="AV48" s="5">
        <f t="shared" si="160"/>
        <v>1.3237201690551892</v>
      </c>
      <c r="AW48" s="173">
        <f t="shared" si="103"/>
        <v>0.3254633357896537</v>
      </c>
      <c r="AX48" s="173">
        <f t="shared" si="161"/>
        <v>7.23581969361459</v>
      </c>
      <c r="AY48" s="173">
        <f t="shared" si="162"/>
        <v>0.62605110396120267</v>
      </c>
      <c r="AZ48" s="173">
        <f t="shared" si="104"/>
        <v>11.557873866576561</v>
      </c>
      <c r="BA48" s="460">
        <f t="shared" si="163"/>
        <v>2.4381399719433992</v>
      </c>
      <c r="BB48" s="5">
        <f t="shared" si="164"/>
        <v>0.47281052324442568</v>
      </c>
      <c r="BC48" s="5"/>
      <c r="BD48" s="173">
        <f t="shared" si="105"/>
        <v>0.61139886633437923</v>
      </c>
      <c r="BE48" s="173">
        <f t="shared" si="165"/>
        <v>0.88018988562428291</v>
      </c>
      <c r="BF48" s="173"/>
      <c r="BG48" s="528">
        <f t="shared" si="166"/>
        <v>7.476171475099283E-3</v>
      </c>
      <c r="BH48" s="528">
        <f t="shared" si="167"/>
        <v>0.49734321037084617</v>
      </c>
      <c r="BI48" s="528">
        <f t="shared" si="168"/>
        <v>0.20959913829795468</v>
      </c>
      <c r="BJ48" s="528">
        <f t="shared" si="169"/>
        <v>5.8340931200728544E-2</v>
      </c>
      <c r="BK48">
        <f t="shared" si="170"/>
        <v>1.0779384255323383E-2</v>
      </c>
      <c r="BL48" s="460">
        <f t="shared" si="106"/>
        <v>220.37852255327806</v>
      </c>
      <c r="BM48" s="528">
        <f t="shared" si="171"/>
        <v>0.56618461478511795</v>
      </c>
      <c r="BN48" s="460">
        <f t="shared" si="107"/>
        <v>566.1846147851179</v>
      </c>
      <c r="BO48" s="528">
        <f t="shared" si="172"/>
        <v>0.26713749999999997</v>
      </c>
      <c r="BP48" s="528"/>
      <c r="BR48" s="460">
        <f t="shared" si="109"/>
        <v>267.13749999999999</v>
      </c>
      <c r="BS48" s="528">
        <f t="shared" si="173"/>
        <v>1.1214257212648923E-2</v>
      </c>
      <c r="BT48" s="528">
        <f t="shared" si="174"/>
        <v>2.3242027042658646E-2</v>
      </c>
      <c r="BU48" s="528">
        <f t="shared" si="175"/>
        <v>0.10577999999999999</v>
      </c>
      <c r="BV48" s="528">
        <f t="shared" si="176"/>
        <v>0.14891628061218268</v>
      </c>
      <c r="BW48" s="528">
        <f t="shared" si="177"/>
        <v>6.0298497446788241E-3</v>
      </c>
      <c r="BX48" s="460">
        <f t="shared" si="110"/>
        <v>154.94613035686149</v>
      </c>
      <c r="BY48" s="173">
        <f t="shared" si="45"/>
        <v>1.2086467676952575</v>
      </c>
      <c r="BZ48" s="5">
        <f t="shared" si="111"/>
        <v>7.0519999999999996</v>
      </c>
      <c r="CA48" s="173">
        <f t="shared" si="112"/>
        <v>0.85368618200430901</v>
      </c>
      <c r="CB48" s="5">
        <f t="shared" si="113"/>
        <v>85.368618200430902</v>
      </c>
      <c r="CE48" s="562">
        <f t="shared" si="178"/>
        <v>-50</v>
      </c>
      <c r="CF48">
        <f t="shared" si="179"/>
        <v>-50</v>
      </c>
      <c r="CG48" s="173">
        <f t="shared" si="180"/>
        <v>0.46930150483353922</v>
      </c>
      <c r="CI48" s="170">
        <v>43</v>
      </c>
      <c r="CJ48" s="217">
        <f t="shared" si="114"/>
        <v>0.43</v>
      </c>
      <c r="CK48" s="217"/>
      <c r="CL48" s="217">
        <f t="shared" si="49"/>
        <v>7.0519999999999996</v>
      </c>
      <c r="CM48" s="541">
        <f t="shared" si="50"/>
        <v>24</v>
      </c>
      <c r="CN48" s="172">
        <f t="shared" si="51"/>
        <v>16.799999999999997</v>
      </c>
      <c r="CO48" s="443">
        <f t="shared" si="52"/>
        <v>40.799999999999997</v>
      </c>
      <c r="CP48" s="443"/>
      <c r="CQ48" s="217">
        <f t="shared" si="53"/>
        <v>0.41176470588235292</v>
      </c>
      <c r="CR48" s="172">
        <f t="shared" si="54"/>
        <v>33.237647058823534</v>
      </c>
      <c r="CS48" s="172">
        <f t="shared" si="115"/>
        <v>7.0519999999999996</v>
      </c>
      <c r="CT48" s="217">
        <f t="shared" si="55"/>
        <v>2.026685796269728</v>
      </c>
      <c r="CU48" s="217">
        <f t="shared" si="56"/>
        <v>16.399999999999999</v>
      </c>
      <c r="CV48" s="217">
        <f t="shared" si="57"/>
        <v>2.0086083213773311</v>
      </c>
      <c r="CW48" s="172">
        <f t="shared" si="58"/>
        <v>162.10558652007271</v>
      </c>
      <c r="CX48" s="172">
        <f t="shared" si="59"/>
        <v>16.399999999999999</v>
      </c>
      <c r="CY48" s="217">
        <f t="shared" si="60"/>
        <v>1.4271904761904761</v>
      </c>
      <c r="CZ48" s="217">
        <f t="shared" si="61"/>
        <v>0.71359523809523806</v>
      </c>
      <c r="DA48" s="217">
        <f t="shared" si="62"/>
        <v>1.0194217687074831</v>
      </c>
      <c r="DB48" s="197">
        <f t="shared" si="63"/>
        <v>350</v>
      </c>
      <c r="DC48" s="443">
        <f t="shared" si="116"/>
        <v>350</v>
      </c>
      <c r="DE48" s="217">
        <f t="shared" si="64"/>
        <v>2.3529411764705879</v>
      </c>
      <c r="DF48" s="173">
        <f t="shared" si="65"/>
        <v>1.6806722689075633</v>
      </c>
      <c r="DG48" s="173">
        <f t="shared" si="66"/>
        <v>0.69204152249134954</v>
      </c>
      <c r="DH48" s="173"/>
      <c r="DI48" s="173">
        <f t="shared" si="67"/>
        <v>0.95238095238095266</v>
      </c>
      <c r="DJ48" s="545">
        <f t="shared" si="117"/>
        <v>677.24999999999977</v>
      </c>
      <c r="DK48" s="528">
        <f t="shared" si="68"/>
        <v>0.22222222222222232</v>
      </c>
      <c r="DM48" s="173">
        <f t="shared" si="69"/>
        <v>1.8547236990991405</v>
      </c>
      <c r="DN48" s="173">
        <f t="shared" si="70"/>
        <v>1.8547236990991405</v>
      </c>
      <c r="DO48" s="173">
        <f t="shared" si="71"/>
        <v>1.5862150857524495</v>
      </c>
      <c r="DQ48" s="545">
        <f t="shared" si="72"/>
        <v>430</v>
      </c>
      <c r="DR48" s="460">
        <f t="shared" si="73"/>
        <v>350</v>
      </c>
      <c r="DT48">
        <f t="shared" si="74"/>
        <v>430</v>
      </c>
      <c r="DU48" s="460">
        <f t="shared" si="75"/>
        <v>350</v>
      </c>
      <c r="DV48" s="460"/>
      <c r="DW48" s="5">
        <f t="shared" si="118"/>
        <v>2.8571428571428572</v>
      </c>
      <c r="DX48" s="5">
        <f t="shared" si="76"/>
        <v>0.92736184954957035</v>
      </c>
      <c r="DY48" s="5">
        <f t="shared" si="119"/>
        <v>1.9297810075932869</v>
      </c>
      <c r="DZ48" s="5">
        <f t="shared" si="77"/>
        <v>1.3248026422136723</v>
      </c>
      <c r="EA48" s="173">
        <f t="shared" si="120"/>
        <v>0.32457664734234959</v>
      </c>
      <c r="EB48" s="173">
        <f t="shared" si="78"/>
        <v>7.2239999999999984</v>
      </c>
      <c r="EC48" s="173">
        <f t="shared" si="79"/>
        <v>0.6263618495495703</v>
      </c>
      <c r="ED48" s="173">
        <f t="shared" si="121"/>
        <v>11.533269475455642</v>
      </c>
      <c r="EE48" s="460">
        <f t="shared" si="80"/>
        <v>2.4314975323555812</v>
      </c>
      <c r="EF48" s="5">
        <f t="shared" si="81"/>
        <v>0.47252832172041176</v>
      </c>
      <c r="EG48" s="5"/>
      <c r="EH48" s="173">
        <f t="shared" si="122"/>
        <v>0.6100665720115257</v>
      </c>
      <c r="EI48" s="173">
        <f t="shared" si="82"/>
        <v>0.88004854660454512</v>
      </c>
      <c r="EJ48" s="173"/>
      <c r="EK48" s="528">
        <f t="shared" si="83"/>
        <v>7.4436244457178813E-3</v>
      </c>
      <c r="EL48" s="528">
        <f t="shared" si="84"/>
        <v>0.52970908846271436</v>
      </c>
      <c r="EM48" s="528">
        <f t="shared" si="85"/>
        <v>4.3749999999999997E-2</v>
      </c>
      <c r="EN48" s="528">
        <f t="shared" si="86"/>
        <v>5.8262399999999999E-2</v>
      </c>
      <c r="EO48">
        <f t="shared" si="87"/>
        <v>1.0800000000000001E-2</v>
      </c>
      <c r="EP48" s="460">
        <f t="shared" si="123"/>
        <v>54.550000000000004</v>
      </c>
      <c r="EQ48" s="528">
        <f t="shared" si="88"/>
        <v>0.65313002063885151</v>
      </c>
      <c r="ER48" s="460">
        <f t="shared" si="124"/>
        <v>653.13002063885153</v>
      </c>
      <c r="ES48" s="528">
        <f t="shared" si="125"/>
        <v>0.26713749999999997</v>
      </c>
      <c r="ET48" s="528"/>
      <c r="EV48" s="460">
        <f t="shared" si="126"/>
        <v>267.13749999999999</v>
      </c>
      <c r="EW48" s="528">
        <f t="shared" si="89"/>
        <v>1.1165436668576821E-2</v>
      </c>
      <c r="EX48" s="528">
        <f t="shared" si="90"/>
        <v>2.3234563331423166E-2</v>
      </c>
      <c r="EY48" s="528">
        <f t="shared" si="91"/>
        <v>0.53683171897110205</v>
      </c>
      <c r="EZ48" s="528">
        <f t="shared" si="92"/>
        <v>0.58108687003744508</v>
      </c>
      <c r="FA48" s="528">
        <f t="shared" si="93"/>
        <v>6.0199999999999984E-3</v>
      </c>
      <c r="FB48" s="460">
        <f t="shared" si="127"/>
        <v>587.10687003744511</v>
      </c>
      <c r="FC48" s="173">
        <f t="shared" si="128"/>
        <v>1.5073743906762966</v>
      </c>
      <c r="FD48" s="5">
        <f t="shared" si="129"/>
        <v>7.0519999999999996</v>
      </c>
      <c r="FE48" s="173">
        <f t="shared" si="130"/>
        <v>0.82389199001292945</v>
      </c>
      <c r="FF48" s="5">
        <f t="shared" si="131"/>
        <v>82.389199001292951</v>
      </c>
      <c r="FI48" s="562">
        <f t="shared" si="94"/>
        <v>-50</v>
      </c>
      <c r="FJ48">
        <f t="shared" si="95"/>
        <v>-50</v>
      </c>
      <c r="FL48">
        <f t="shared" si="181"/>
        <v>0.46368092477478523</v>
      </c>
    </row>
    <row r="49" spans="5:168">
      <c r="E49" s="170">
        <v>44</v>
      </c>
      <c r="F49" s="217">
        <f t="shared" si="182"/>
        <v>0.44</v>
      </c>
      <c r="G49" s="217"/>
      <c r="H49" s="217">
        <f t="shared" si="132"/>
        <v>7.2159999999999993</v>
      </c>
      <c r="I49" s="541">
        <f t="shared" si="133"/>
        <v>23.953657589104374</v>
      </c>
      <c r="J49" s="172">
        <f t="shared" si="134"/>
        <v>16.827805446537372</v>
      </c>
      <c r="K49" s="172">
        <f t="shared" si="135"/>
        <v>40.827805446537369</v>
      </c>
      <c r="L49" s="443"/>
      <c r="M49" s="217">
        <f t="shared" si="136"/>
        <v>0.41263854121289967</v>
      </c>
      <c r="N49" s="172">
        <f t="shared" si="137"/>
        <v>33.243867150666212</v>
      </c>
      <c r="O49" s="172">
        <f t="shared" si="98"/>
        <v>7.2159999999999993</v>
      </c>
      <c r="P49" s="217">
        <f t="shared" si="138"/>
        <v>2.0270650701625739</v>
      </c>
      <c r="Q49" s="217">
        <f t="shared" si="139"/>
        <v>16.399999999999999</v>
      </c>
      <c r="R49" s="217">
        <f t="shared" si="140"/>
        <v>2.0089842122523036</v>
      </c>
      <c r="S49" s="172">
        <f t="shared" si="141"/>
        <v>157.57409747307801</v>
      </c>
      <c r="T49" s="172">
        <f t="shared" si="142"/>
        <v>16.399999999999999</v>
      </c>
      <c r="U49" s="217">
        <f t="shared" si="143"/>
        <v>1.4982256442518331</v>
      </c>
      <c r="V49" s="217">
        <f t="shared" si="11"/>
        <v>0.75056210785946276</v>
      </c>
      <c r="W49" s="217">
        <f t="shared" si="144"/>
        <v>1.0683928922366668</v>
      </c>
      <c r="X49" s="197">
        <f t="shared" si="145"/>
        <v>350</v>
      </c>
      <c r="Y49" s="443">
        <f t="shared" si="14"/>
        <v>350</v>
      </c>
      <c r="AA49" s="217">
        <f t="shared" si="146"/>
        <v>2.3533538199879342</v>
      </c>
      <c r="AB49" s="173">
        <f t="shared" si="147"/>
        <v>1.67818946621267</v>
      </c>
      <c r="AC49" s="173">
        <f t="shared" si="148"/>
        <v>0.69114037842064235</v>
      </c>
      <c r="AD49" s="173"/>
      <c r="AE49" s="173">
        <f t="shared" si="149"/>
        <v>0.95080728445742135</v>
      </c>
      <c r="AF49" s="545">
        <f t="shared" si="150"/>
        <v>694.14697466966641</v>
      </c>
      <c r="AG49" s="528">
        <f t="shared" si="151"/>
        <v>0.22185503304006499</v>
      </c>
      <c r="AI49" s="173">
        <f t="shared" si="152"/>
        <v>1.8777182704239794</v>
      </c>
      <c r="AJ49" s="173">
        <f t="shared" si="153"/>
        <v>1.8777182704239794</v>
      </c>
      <c r="AK49" s="173">
        <f t="shared" si="154"/>
        <v>1.6032481015486266</v>
      </c>
      <c r="AM49" s="545">
        <f t="shared" si="155"/>
        <v>440</v>
      </c>
      <c r="AN49" s="460">
        <f t="shared" si="156"/>
        <v>350</v>
      </c>
      <c r="AP49">
        <f t="shared" si="157"/>
        <v>440</v>
      </c>
      <c r="AQ49" s="460">
        <f t="shared" si="158"/>
        <v>350</v>
      </c>
      <c r="AR49" s="460"/>
      <c r="AS49" s="5">
        <f t="shared" si="101"/>
        <v>2.8571428571428572</v>
      </c>
      <c r="AT49" s="5">
        <f t="shared" si="159"/>
        <v>0.94067551735134602</v>
      </c>
      <c r="AU49" s="5">
        <f t="shared" si="102"/>
        <v>1.9164673397915113</v>
      </c>
      <c r="AV49" s="5">
        <f t="shared" si="160"/>
        <v>1.3390111572584322</v>
      </c>
      <c r="AW49" s="173">
        <f t="shared" si="103"/>
        <v>0.32923643107297113</v>
      </c>
      <c r="AX49" s="173">
        <f t="shared" si="161"/>
        <v>7.4042343964764434</v>
      </c>
      <c r="AY49" s="173">
        <f t="shared" si="162"/>
        <v>0.6297525042545381</v>
      </c>
      <c r="AZ49" s="173">
        <f t="shared" si="104"/>
        <v>11.757371898411291</v>
      </c>
      <c r="BA49" s="460">
        <f t="shared" si="163"/>
        <v>2.5237635831377583</v>
      </c>
      <c r="BB49" s="5">
        <f t="shared" si="164"/>
        <v>0.4811105316064529</v>
      </c>
      <c r="BC49" s="5"/>
      <c r="BD49" s="173">
        <f t="shared" si="105"/>
        <v>0.6220477840477151</v>
      </c>
      <c r="BE49" s="173">
        <f t="shared" si="165"/>
        <v>0.88788054117056425</v>
      </c>
      <c r="BF49" s="173"/>
      <c r="BG49" s="528">
        <f t="shared" si="166"/>
        <v>7.7388689127734561E-3</v>
      </c>
      <c r="BH49" s="528">
        <f t="shared" si="167"/>
        <v>0.5031017002480801</v>
      </c>
      <c r="BI49" s="528">
        <f t="shared" si="168"/>
        <v>0.20959450390466325</v>
      </c>
      <c r="BJ49" s="528">
        <f t="shared" si="169"/>
        <v>5.8341839415310723E-2</v>
      </c>
      <c r="BK49">
        <f t="shared" si="170"/>
        <v>1.0779145915096967E-2</v>
      </c>
      <c r="BL49" s="460">
        <f t="shared" si="106"/>
        <v>220.3736498197602</v>
      </c>
      <c r="BM49" s="528">
        <f t="shared" si="171"/>
        <v>0.57232426743616704</v>
      </c>
      <c r="BN49" s="460">
        <f t="shared" si="107"/>
        <v>572.32426743616702</v>
      </c>
      <c r="BO49" s="528">
        <f t="shared" si="172"/>
        <v>0.27334999999999998</v>
      </c>
      <c r="BP49" s="528"/>
      <c r="BR49" s="460">
        <f t="shared" si="109"/>
        <v>273.34999999999997</v>
      </c>
      <c r="BS49" s="528">
        <f t="shared" si="173"/>
        <v>1.1608303369160184E-2</v>
      </c>
      <c r="BT49" s="528">
        <f t="shared" si="174"/>
        <v>2.364995566168002E-2</v>
      </c>
      <c r="BU49" s="528">
        <f t="shared" si="175"/>
        <v>0.10823999999999999</v>
      </c>
      <c r="BV49" s="528">
        <f t="shared" si="176"/>
        <v>0.15239008191679812</v>
      </c>
      <c r="BW49" s="528">
        <f t="shared" si="177"/>
        <v>6.170195330397036E-3</v>
      </c>
      <c r="BX49" s="460">
        <f t="shared" si="110"/>
        <v>158.56027724719516</v>
      </c>
      <c r="BY49" s="173">
        <f t="shared" si="45"/>
        <v>1.2246081945031224</v>
      </c>
      <c r="BZ49" s="5">
        <f t="shared" si="111"/>
        <v>7.2159999999999993</v>
      </c>
      <c r="CA49" s="173">
        <f t="shared" si="112"/>
        <v>0.85491469734365366</v>
      </c>
      <c r="CB49" s="5">
        <f t="shared" si="113"/>
        <v>85.491469734365367</v>
      </c>
      <c r="CE49" s="562">
        <f t="shared" si="178"/>
        <v>-50</v>
      </c>
      <c r="CF49">
        <f t="shared" si="179"/>
        <v>-50</v>
      </c>
      <c r="CG49" s="173">
        <f t="shared" si="180"/>
        <v>0.47472713600397504</v>
      </c>
      <c r="CI49" s="170">
        <v>44</v>
      </c>
      <c r="CJ49" s="217">
        <f t="shared" si="114"/>
        <v>0.44</v>
      </c>
      <c r="CK49" s="217"/>
      <c r="CL49" s="217">
        <f t="shared" si="49"/>
        <v>7.2159999999999993</v>
      </c>
      <c r="CM49" s="541">
        <f t="shared" si="50"/>
        <v>24</v>
      </c>
      <c r="CN49" s="172">
        <f t="shared" si="51"/>
        <v>16.799999999999997</v>
      </c>
      <c r="CO49" s="443">
        <f t="shared" si="52"/>
        <v>40.799999999999997</v>
      </c>
      <c r="CP49" s="443"/>
      <c r="CQ49" s="217">
        <f t="shared" si="53"/>
        <v>0.41176470588235292</v>
      </c>
      <c r="CR49" s="172">
        <f t="shared" si="54"/>
        <v>33.237647058823534</v>
      </c>
      <c r="CS49" s="172">
        <f t="shared" si="115"/>
        <v>7.2159999999999993</v>
      </c>
      <c r="CT49" s="217">
        <f t="shared" si="55"/>
        <v>2.026685796269728</v>
      </c>
      <c r="CU49" s="217">
        <f t="shared" si="56"/>
        <v>16.399999999999999</v>
      </c>
      <c r="CV49" s="217">
        <f t="shared" si="57"/>
        <v>2.0086083213773311</v>
      </c>
      <c r="CW49" s="172">
        <f t="shared" si="58"/>
        <v>157.87883427398256</v>
      </c>
      <c r="CX49" s="172">
        <f t="shared" si="59"/>
        <v>16.399999999999999</v>
      </c>
      <c r="CY49" s="217">
        <f t="shared" si="60"/>
        <v>1.4603809523809521</v>
      </c>
      <c r="CZ49" s="217">
        <f t="shared" si="61"/>
        <v>0.73019047619047606</v>
      </c>
      <c r="DA49" s="217">
        <f t="shared" si="62"/>
        <v>1.0431292517006805</v>
      </c>
      <c r="DB49" s="197">
        <f t="shared" si="63"/>
        <v>350</v>
      </c>
      <c r="DC49" s="443">
        <f t="shared" si="116"/>
        <v>350</v>
      </c>
      <c r="DE49" s="217">
        <f t="shared" si="64"/>
        <v>2.3529411764705879</v>
      </c>
      <c r="DF49" s="173">
        <f t="shared" si="65"/>
        <v>1.6806722689075633</v>
      </c>
      <c r="DG49" s="173">
        <f t="shared" si="66"/>
        <v>0.69204152249134954</v>
      </c>
      <c r="DH49" s="173"/>
      <c r="DI49" s="173">
        <f t="shared" si="67"/>
        <v>0.95238095238095266</v>
      </c>
      <c r="DJ49" s="545">
        <f t="shared" si="117"/>
        <v>692.99999999999977</v>
      </c>
      <c r="DK49" s="528">
        <f t="shared" si="68"/>
        <v>0.22222222222222232</v>
      </c>
      <c r="DM49" s="173">
        <f t="shared" si="69"/>
        <v>1.8761663039293717</v>
      </c>
      <c r="DN49" s="173">
        <f t="shared" si="70"/>
        <v>1.8761663039293717</v>
      </c>
      <c r="DO49" s="173">
        <f t="shared" si="71"/>
        <v>1.602098496737806</v>
      </c>
      <c r="DQ49" s="545">
        <f t="shared" si="72"/>
        <v>440</v>
      </c>
      <c r="DR49" s="460">
        <f t="shared" si="73"/>
        <v>350</v>
      </c>
      <c r="DT49">
        <f t="shared" si="74"/>
        <v>440</v>
      </c>
      <c r="DU49" s="460">
        <f t="shared" si="75"/>
        <v>350</v>
      </c>
      <c r="DV49" s="460"/>
      <c r="DW49" s="5">
        <f t="shared" si="118"/>
        <v>2.8571428571428572</v>
      </c>
      <c r="DX49" s="5">
        <f t="shared" si="76"/>
        <v>0.93808315196468584</v>
      </c>
      <c r="DY49" s="5">
        <f t="shared" si="119"/>
        <v>1.9190597051781713</v>
      </c>
      <c r="DZ49" s="5">
        <f t="shared" si="77"/>
        <v>1.3401187885209802</v>
      </c>
      <c r="EA49" s="173">
        <f t="shared" si="120"/>
        <v>0.32832910318764003</v>
      </c>
      <c r="EB49" s="173">
        <f t="shared" si="78"/>
        <v>7.3919999999999995</v>
      </c>
      <c r="EC49" s="173">
        <f t="shared" si="79"/>
        <v>0.63008315196468589</v>
      </c>
      <c r="ED49" s="173">
        <f t="shared" si="121"/>
        <v>11.731784887360861</v>
      </c>
      <c r="EE49" s="460">
        <f t="shared" si="80"/>
        <v>2.516808456490621</v>
      </c>
      <c r="EF49" s="5">
        <f t="shared" si="81"/>
        <v>0.48083107057519725</v>
      </c>
      <c r="EG49" s="5"/>
      <c r="EH49" s="173">
        <f t="shared" si="122"/>
        <v>0.62067663164767006</v>
      </c>
      <c r="EI49" s="173">
        <f t="shared" si="82"/>
        <v>0.8877465022515354</v>
      </c>
      <c r="EJ49" s="173"/>
      <c r="EK49" s="528">
        <f t="shared" si="83"/>
        <v>7.7047896214699494E-3</v>
      </c>
      <c r="EL49" s="528">
        <f t="shared" si="84"/>
        <v>0.53583309640222854</v>
      </c>
      <c r="EM49" s="528">
        <f t="shared" si="85"/>
        <v>4.3749999999999997E-2</v>
      </c>
      <c r="EN49" s="528">
        <f t="shared" si="86"/>
        <v>5.8262399999999999E-2</v>
      </c>
      <c r="EO49">
        <f t="shared" si="87"/>
        <v>1.0800000000000001E-2</v>
      </c>
      <c r="EP49" s="460">
        <f t="shared" si="123"/>
        <v>54.550000000000004</v>
      </c>
      <c r="EQ49" s="528">
        <f t="shared" si="88"/>
        <v>0.65963815108916735</v>
      </c>
      <c r="ER49" s="460">
        <f t="shared" si="124"/>
        <v>659.63815108916731</v>
      </c>
      <c r="ES49" s="528">
        <f t="shared" si="125"/>
        <v>0.27334999999999998</v>
      </c>
      <c r="ET49" s="528"/>
      <c r="EV49" s="460">
        <f t="shared" si="126"/>
        <v>273.34999999999997</v>
      </c>
      <c r="EW49" s="528">
        <f t="shared" si="89"/>
        <v>1.1557184432204924E-2</v>
      </c>
      <c r="EX49" s="528">
        <f t="shared" si="90"/>
        <v>2.3642815567795059E-2</v>
      </c>
      <c r="EY49" s="528">
        <f t="shared" si="91"/>
        <v>0.55248239613490258</v>
      </c>
      <c r="EZ49" s="528">
        <f t="shared" si="92"/>
        <v>0.59781383990808379</v>
      </c>
      <c r="FA49" s="528">
        <f t="shared" si="93"/>
        <v>6.1599999999999997E-3</v>
      </c>
      <c r="FB49" s="460">
        <f t="shared" si="127"/>
        <v>603.97383990808385</v>
      </c>
      <c r="FC49" s="173">
        <f t="shared" si="128"/>
        <v>1.5369619909972512</v>
      </c>
      <c r="FD49" s="5">
        <f t="shared" si="129"/>
        <v>7.2159999999999993</v>
      </c>
      <c r="FE49" s="173">
        <f t="shared" si="130"/>
        <v>0.82440664170847844</v>
      </c>
      <c r="FF49" s="5">
        <f t="shared" si="131"/>
        <v>82.440664170847839</v>
      </c>
      <c r="FI49" s="562">
        <f t="shared" si="94"/>
        <v>-50</v>
      </c>
      <c r="FJ49">
        <f t="shared" si="95"/>
        <v>-50</v>
      </c>
      <c r="FL49">
        <f t="shared" si="181"/>
        <v>0.46904157598234297</v>
      </c>
    </row>
    <row r="50" spans="5:168">
      <c r="E50" s="170">
        <v>45</v>
      </c>
      <c r="F50" s="217">
        <f t="shared" si="182"/>
        <v>0.45</v>
      </c>
      <c r="G50" s="217"/>
      <c r="H50" s="217">
        <f t="shared" si="132"/>
        <v>7.38</v>
      </c>
      <c r="I50" s="541">
        <f t="shared" si="133"/>
        <v>23.953133929421931</v>
      </c>
      <c r="J50" s="172">
        <f t="shared" si="134"/>
        <v>16.828119642346838</v>
      </c>
      <c r="K50" s="172">
        <f t="shared" si="135"/>
        <v>40.828119642346834</v>
      </c>
      <c r="L50" s="443"/>
      <c r="M50" s="217">
        <f t="shared" si="136"/>
        <v>0.41264841982826894</v>
      </c>
      <c r="N50" s="172">
        <f t="shared" si="137"/>
        <v>33.2439362390135</v>
      </c>
      <c r="O50" s="172">
        <f t="shared" si="98"/>
        <v>7.38</v>
      </c>
      <c r="P50" s="217">
        <f t="shared" si="138"/>
        <v>2.0270692828666772</v>
      </c>
      <c r="Q50" s="217">
        <f t="shared" si="139"/>
        <v>16.399999999999999</v>
      </c>
      <c r="R50" s="217">
        <f t="shared" si="140"/>
        <v>2.0089883873802554</v>
      </c>
      <c r="S50" s="172">
        <f t="shared" si="141"/>
        <v>153.53972806165427</v>
      </c>
      <c r="T50" s="172">
        <f t="shared" si="142"/>
        <v>16.399999999999999</v>
      </c>
      <c r="U50" s="217">
        <f t="shared" si="143"/>
        <v>1.5323019982969253</v>
      </c>
      <c r="V50" s="217">
        <f t="shared" si="11"/>
        <v>0.76765003000201815</v>
      </c>
      <c r="W50" s="217">
        <f t="shared" si="144"/>
        <v>1.0926725249380731</v>
      </c>
      <c r="X50" s="197">
        <f t="shared" si="145"/>
        <v>350</v>
      </c>
      <c r="Y50" s="443">
        <f t="shared" si="14"/>
        <v>350</v>
      </c>
      <c r="AA50" s="217">
        <f t="shared" si="146"/>
        <v>2.3533583989475271</v>
      </c>
      <c r="AB50" s="173">
        <f t="shared" si="147"/>
        <v>1.6781613981579675</v>
      </c>
      <c r="AC50" s="173">
        <f t="shared" si="148"/>
        <v>0.69113016370030123</v>
      </c>
      <c r="AD50" s="173"/>
      <c r="AE50" s="173">
        <f t="shared" si="149"/>
        <v>0.95078953204831462</v>
      </c>
      <c r="AF50" s="545">
        <f t="shared" si="150"/>
        <v>709.93629741150698</v>
      </c>
      <c r="AG50" s="528">
        <f t="shared" si="151"/>
        <v>0.22185089081127346</v>
      </c>
      <c r="AI50" s="173">
        <f t="shared" si="152"/>
        <v>1.8989538271495048</v>
      </c>
      <c r="AJ50" s="173">
        <f t="shared" si="153"/>
        <v>1.8989538271495048</v>
      </c>
      <c r="AK50" s="173">
        <f t="shared" si="154"/>
        <v>1.6189781435675343</v>
      </c>
      <c r="AM50" s="545">
        <f t="shared" si="155"/>
        <v>450</v>
      </c>
      <c r="AN50" s="460">
        <f t="shared" si="156"/>
        <v>350</v>
      </c>
      <c r="AP50">
        <f t="shared" si="157"/>
        <v>450</v>
      </c>
      <c r="AQ50" s="460">
        <f t="shared" si="158"/>
        <v>350</v>
      </c>
      <c r="AR50" s="460"/>
      <c r="AS50" s="5">
        <f t="shared" si="101"/>
        <v>2.8571428571428572</v>
      </c>
      <c r="AT50" s="5">
        <f t="shared" si="159"/>
        <v>0.95133463508104699</v>
      </c>
      <c r="AU50" s="5">
        <f t="shared" si="102"/>
        <v>1.9058082220618102</v>
      </c>
      <c r="AV50" s="5">
        <f t="shared" si="160"/>
        <v>1.3541290655226252</v>
      </c>
      <c r="AW50" s="173">
        <f t="shared" si="103"/>
        <v>0.33296712227836645</v>
      </c>
      <c r="AX50" s="173">
        <f t="shared" si="161"/>
        <v>7.5726538390560778</v>
      </c>
      <c r="AY50" s="173">
        <f t="shared" si="162"/>
        <v>0.63333231799202183</v>
      </c>
      <c r="AZ50" s="173">
        <f t="shared" si="104"/>
        <v>11.956841019995874</v>
      </c>
      <c r="BA50" s="460">
        <f t="shared" si="163"/>
        <v>2.6103694255272636</v>
      </c>
      <c r="BB50" s="5">
        <f t="shared" si="164"/>
        <v>0.48931887577697813</v>
      </c>
      <c r="BC50" s="5"/>
      <c r="BD50" s="173">
        <f t="shared" si="105"/>
        <v>0.63263680455400773</v>
      </c>
      <c r="BE50" s="173">
        <f t="shared" si="165"/>
        <v>0.8954212524871249</v>
      </c>
      <c r="BF50" s="173"/>
      <c r="BG50" s="528">
        <f t="shared" si="166"/>
        <v>8.004586529526115E-3</v>
      </c>
      <c r="BH50" s="528">
        <f t="shared" si="167"/>
        <v>0.50879531095412511</v>
      </c>
      <c r="BI50" s="528">
        <f t="shared" si="168"/>
        <v>0.20958992188244188</v>
      </c>
      <c r="BJ50" s="528">
        <f t="shared" si="169"/>
        <v>5.8342737373542564E-2</v>
      </c>
      <c r="BK50">
        <f t="shared" si="170"/>
        <v>1.0778910268239869E-2</v>
      </c>
      <c r="BL50" s="460">
        <f t="shared" si="106"/>
        <v>220.36883215068175</v>
      </c>
      <c r="BM50" s="528">
        <f t="shared" si="171"/>
        <v>0.57840393373854881</v>
      </c>
      <c r="BN50" s="460">
        <f t="shared" si="107"/>
        <v>578.40393373854886</v>
      </c>
      <c r="BO50" s="528">
        <f t="shared" si="172"/>
        <v>0.27956249999999999</v>
      </c>
      <c r="BP50" s="528"/>
      <c r="BR50" s="460">
        <f t="shared" si="109"/>
        <v>279.5625</v>
      </c>
      <c r="BS50" s="528">
        <f t="shared" si="173"/>
        <v>1.2006879794289172E-2</v>
      </c>
      <c r="BT50" s="528">
        <f t="shared" si="174"/>
        <v>2.4053376582168343E-2</v>
      </c>
      <c r="BU50" s="528">
        <f t="shared" si="175"/>
        <v>0.11069999999999999</v>
      </c>
      <c r="BV50" s="528">
        <f t="shared" si="176"/>
        <v>0.15586435860530806</v>
      </c>
      <c r="BW50" s="528">
        <f t="shared" si="177"/>
        <v>6.3105448658800642E-3</v>
      </c>
      <c r="BX50" s="460">
        <f t="shared" si="110"/>
        <v>162.17490347118812</v>
      </c>
      <c r="BY50" s="173">
        <f t="shared" si="45"/>
        <v>1.2405101693604188</v>
      </c>
      <c r="BZ50" s="5">
        <f t="shared" si="111"/>
        <v>7.38</v>
      </c>
      <c r="CA50" s="173">
        <f t="shared" si="112"/>
        <v>0.85609782425992365</v>
      </c>
      <c r="CB50" s="5">
        <f t="shared" si="113"/>
        <v>85.609782425992364</v>
      </c>
      <c r="CE50" s="562">
        <f t="shared" si="178"/>
        <v>-50</v>
      </c>
      <c r="CF50">
        <f t="shared" si="179"/>
        <v>-50</v>
      </c>
      <c r="CG50" s="173">
        <f t="shared" si="180"/>
        <v>0.48009145470217324</v>
      </c>
      <c r="CI50" s="170">
        <v>45</v>
      </c>
      <c r="CJ50" s="217">
        <f t="shared" si="114"/>
        <v>0.45</v>
      </c>
      <c r="CK50" s="217"/>
      <c r="CL50" s="217">
        <f t="shared" si="49"/>
        <v>7.38</v>
      </c>
      <c r="CM50" s="541">
        <f t="shared" si="50"/>
        <v>24</v>
      </c>
      <c r="CN50" s="172">
        <f t="shared" si="51"/>
        <v>16.799999999999997</v>
      </c>
      <c r="CO50" s="443">
        <f t="shared" si="52"/>
        <v>40.799999999999997</v>
      </c>
      <c r="CP50" s="443"/>
      <c r="CQ50" s="217">
        <f t="shared" si="53"/>
        <v>0.41176470588235292</v>
      </c>
      <c r="CR50" s="172">
        <f t="shared" si="54"/>
        <v>33.237647058823534</v>
      </c>
      <c r="CS50" s="172">
        <f t="shared" si="115"/>
        <v>7.38</v>
      </c>
      <c r="CT50" s="217">
        <f t="shared" si="55"/>
        <v>2.026685796269728</v>
      </c>
      <c r="CU50" s="217">
        <f t="shared" si="56"/>
        <v>16.399999999999999</v>
      </c>
      <c r="CV50" s="217">
        <f t="shared" si="57"/>
        <v>2.0086083213773311</v>
      </c>
      <c r="CW50" s="172">
        <f t="shared" si="58"/>
        <v>153.8400184342394</v>
      </c>
      <c r="CX50" s="172">
        <f t="shared" si="59"/>
        <v>16.399999999999999</v>
      </c>
      <c r="CY50" s="217">
        <f t="shared" si="60"/>
        <v>1.4935714285714285</v>
      </c>
      <c r="CZ50" s="217">
        <f t="shared" si="61"/>
        <v>0.74678571428571427</v>
      </c>
      <c r="DA50" s="217">
        <f t="shared" si="62"/>
        <v>1.0668367346938779</v>
      </c>
      <c r="DB50" s="197">
        <f t="shared" si="63"/>
        <v>350</v>
      </c>
      <c r="DC50" s="443">
        <f t="shared" si="116"/>
        <v>350</v>
      </c>
      <c r="DE50" s="217">
        <f t="shared" si="64"/>
        <v>2.3529411764705879</v>
      </c>
      <c r="DF50" s="173">
        <f t="shared" si="65"/>
        <v>1.6806722689075633</v>
      </c>
      <c r="DG50" s="173">
        <f t="shared" si="66"/>
        <v>0.69204152249134954</v>
      </c>
      <c r="DH50" s="173"/>
      <c r="DI50" s="173">
        <f t="shared" si="67"/>
        <v>0.95238095238095266</v>
      </c>
      <c r="DJ50" s="545">
        <f t="shared" si="117"/>
        <v>708.74999999999977</v>
      </c>
      <c r="DK50" s="528">
        <f t="shared" si="68"/>
        <v>0.22222222222222232</v>
      </c>
      <c r="DM50" s="173">
        <f t="shared" si="69"/>
        <v>1.8973665961010273</v>
      </c>
      <c r="DN50" s="173">
        <f t="shared" si="70"/>
        <v>1.8973665961010273</v>
      </c>
      <c r="DO50" s="173">
        <f t="shared" si="71"/>
        <v>1.6178024168649583</v>
      </c>
      <c r="DQ50" s="545">
        <f t="shared" si="72"/>
        <v>450</v>
      </c>
      <c r="DR50" s="460">
        <f t="shared" si="73"/>
        <v>350</v>
      </c>
      <c r="DT50">
        <f t="shared" si="74"/>
        <v>450</v>
      </c>
      <c r="DU50" s="460">
        <f t="shared" si="75"/>
        <v>350</v>
      </c>
      <c r="DV50" s="460"/>
      <c r="DW50" s="5">
        <f t="shared" si="118"/>
        <v>2.8571428571428572</v>
      </c>
      <c r="DX50" s="5">
        <f t="shared" si="76"/>
        <v>0.94868329805051366</v>
      </c>
      <c r="DY50" s="5">
        <f t="shared" si="119"/>
        <v>1.9084595590923437</v>
      </c>
      <c r="DZ50" s="5">
        <f t="shared" si="77"/>
        <v>1.3552618543578767</v>
      </c>
      <c r="EA50" s="173">
        <f t="shared" si="120"/>
        <v>0.33203915431767977</v>
      </c>
      <c r="EB50" s="173">
        <f t="shared" si="78"/>
        <v>7.5599999999999969</v>
      </c>
      <c r="EC50" s="173">
        <f t="shared" si="79"/>
        <v>0.63368329805051382</v>
      </c>
      <c r="ED50" s="173">
        <f t="shared" si="121"/>
        <v>11.930249737144491</v>
      </c>
      <c r="EE50" s="460">
        <f t="shared" si="80"/>
        <v>2.6030944153825075</v>
      </c>
      <c r="EF50" s="5">
        <f t="shared" si="81"/>
        <v>0.48904276201741298</v>
      </c>
      <c r="EG50" s="5"/>
      <c r="EH50" s="173">
        <f t="shared" si="122"/>
        <v>0.63122657198601484</v>
      </c>
      <c r="EI50" s="173">
        <f t="shared" si="82"/>
        <v>0.89529493175086383</v>
      </c>
      <c r="EJ50" s="173"/>
      <c r="EK50" s="528">
        <f t="shared" si="83"/>
        <v>7.9689397036243111E-3</v>
      </c>
      <c r="EL50" s="528">
        <f t="shared" si="84"/>
        <v>0.54188789984645336</v>
      </c>
      <c r="EM50" s="528">
        <f t="shared" si="85"/>
        <v>4.3749999999999997E-2</v>
      </c>
      <c r="EN50" s="528">
        <f t="shared" si="86"/>
        <v>5.8262399999999999E-2</v>
      </c>
      <c r="EO50">
        <f t="shared" si="87"/>
        <v>1.0800000000000001E-2</v>
      </c>
      <c r="EP50" s="460">
        <f t="shared" si="123"/>
        <v>54.550000000000004</v>
      </c>
      <c r="EQ50" s="528">
        <f t="shared" si="88"/>
        <v>0.66608202634939784</v>
      </c>
      <c r="ER50" s="460">
        <f t="shared" si="124"/>
        <v>666.08202634939789</v>
      </c>
      <c r="ES50" s="528">
        <f t="shared" si="125"/>
        <v>0.27956249999999999</v>
      </c>
      <c r="ET50" s="528"/>
      <c r="EV50" s="460">
        <f t="shared" si="126"/>
        <v>279.5625</v>
      </c>
      <c r="EW50" s="528">
        <f t="shared" si="89"/>
        <v>1.1953409555436468E-2</v>
      </c>
      <c r="EX50" s="528">
        <f t="shared" si="90"/>
        <v>2.4046590444563518E-2</v>
      </c>
      <c r="EY50" s="528">
        <f t="shared" si="91"/>
        <v>0.56822225744358357</v>
      </c>
      <c r="EZ50" s="528">
        <f t="shared" si="92"/>
        <v>0.61463239875198927</v>
      </c>
      <c r="FA50" s="528">
        <f t="shared" si="93"/>
        <v>6.2999999999999983E-3</v>
      </c>
      <c r="FB50" s="460">
        <f t="shared" si="127"/>
        <v>620.93239875198924</v>
      </c>
      <c r="FC50" s="173">
        <f t="shared" si="128"/>
        <v>1.566576925101387</v>
      </c>
      <c r="FD50" s="5">
        <f t="shared" si="129"/>
        <v>7.38</v>
      </c>
      <c r="FE50" s="173">
        <f t="shared" si="130"/>
        <v>0.8248965008386564</v>
      </c>
      <c r="FF50" s="5">
        <f t="shared" si="131"/>
        <v>82.489650083865641</v>
      </c>
      <c r="FI50" s="562">
        <f t="shared" si="94"/>
        <v>-50</v>
      </c>
      <c r="FJ50">
        <f t="shared" si="95"/>
        <v>-50</v>
      </c>
      <c r="FL50">
        <f t="shared" si="181"/>
        <v>0.47434164902525694</v>
      </c>
    </row>
    <row r="51" spans="5:168">
      <c r="E51" s="170">
        <v>46</v>
      </c>
      <c r="F51" s="217">
        <f t="shared" si="182"/>
        <v>0.46</v>
      </c>
      <c r="G51" s="217"/>
      <c r="H51" s="217">
        <f t="shared" si="132"/>
        <v>7.5439999999999996</v>
      </c>
      <c r="I51" s="541">
        <f t="shared" si="133"/>
        <v>23.952616056567251</v>
      </c>
      <c r="J51" s="172">
        <f t="shared" si="134"/>
        <v>16.828430366059646</v>
      </c>
      <c r="K51" s="172">
        <f t="shared" si="135"/>
        <v>40.828430366059649</v>
      </c>
      <c r="L51" s="443"/>
      <c r="M51" s="217">
        <f t="shared" si="136"/>
        <v>0.41265818937560156</v>
      </c>
      <c r="N51" s="172">
        <f t="shared" si="137"/>
        <v>33.244004537554702</v>
      </c>
      <c r="O51" s="172">
        <f t="shared" si="98"/>
        <v>7.5439999999999996</v>
      </c>
      <c r="P51" s="217">
        <f t="shared" si="138"/>
        <v>2.0270734474118721</v>
      </c>
      <c r="Q51" s="217">
        <f t="shared" si="139"/>
        <v>16.399999999999999</v>
      </c>
      <c r="R51" s="217">
        <f t="shared" si="140"/>
        <v>2.0089925147788628</v>
      </c>
      <c r="S51" s="172">
        <f t="shared" si="141"/>
        <v>149.6809047229541</v>
      </c>
      <c r="T51" s="172">
        <f t="shared" si="142"/>
        <v>16.399999999999999</v>
      </c>
      <c r="U51" s="217">
        <f t="shared" si="143"/>
        <v>1.5663792077426866</v>
      </c>
      <c r="V51" s="217">
        <f t="shared" si="11"/>
        <v>0.78473893826552032</v>
      </c>
      <c r="W51" s="217">
        <f t="shared" si="144"/>
        <v>1.1169520914334343</v>
      </c>
      <c r="X51" s="197">
        <f t="shared" si="145"/>
        <v>350</v>
      </c>
      <c r="Y51" s="443">
        <f t="shared" si="14"/>
        <v>350</v>
      </c>
      <c r="AA51" s="217">
        <f t="shared" si="146"/>
        <v>2.353362925463014</v>
      </c>
      <c r="AB51" s="173">
        <f t="shared" si="147"/>
        <v>1.6781336399925104</v>
      </c>
      <c r="AC51" s="173">
        <f t="shared" si="148"/>
        <v>0.69112006115786728</v>
      </c>
      <c r="AD51" s="173"/>
      <c r="AE51" s="173">
        <f t="shared" si="149"/>
        <v>0.9507719764684377</v>
      </c>
      <c r="AF51" s="545">
        <f t="shared" si="150"/>
        <v>725.72605953632205</v>
      </c>
      <c r="AG51" s="528">
        <f t="shared" si="151"/>
        <v>0.22184679450930214</v>
      </c>
      <c r="AI51" s="173">
        <f t="shared" si="152"/>
        <v>1.9199551046818824</v>
      </c>
      <c r="AJ51" s="173">
        <f t="shared" si="153"/>
        <v>1.9199551046818824</v>
      </c>
      <c r="AK51" s="173">
        <f t="shared" si="154"/>
        <v>1.6345346454433696</v>
      </c>
      <c r="AM51" s="545">
        <f t="shared" si="155"/>
        <v>460</v>
      </c>
      <c r="AN51" s="460">
        <f t="shared" si="156"/>
        <v>350</v>
      </c>
      <c r="AP51">
        <f t="shared" si="157"/>
        <v>460</v>
      </c>
      <c r="AQ51" s="460">
        <f t="shared" si="158"/>
        <v>350</v>
      </c>
      <c r="AR51" s="460"/>
      <c r="AS51" s="5">
        <f t="shared" si="101"/>
        <v>2.8571428571428572</v>
      </c>
      <c r="AT51" s="5">
        <f t="shared" si="159"/>
        <v>0.96187661513764822</v>
      </c>
      <c r="AU51" s="5">
        <f t="shared" si="102"/>
        <v>1.8952662420052091</v>
      </c>
      <c r="AV51" s="5">
        <f t="shared" si="160"/>
        <v>1.3690796322067944</v>
      </c>
      <c r="AW51" s="173">
        <f t="shared" si="103"/>
        <v>0.33665681529817687</v>
      </c>
      <c r="AX51" s="173">
        <f t="shared" si="161"/>
        <v>7.7410779683874376</v>
      </c>
      <c r="AY51" s="173">
        <f t="shared" si="162"/>
        <v>0.63679456681210111</v>
      </c>
      <c r="AZ51" s="173">
        <f t="shared" si="104"/>
        <v>12.156319120529803</v>
      </c>
      <c r="BA51" s="460">
        <f t="shared" si="163"/>
        <v>2.6979466034348674</v>
      </c>
      <c r="BB51" s="5">
        <f t="shared" si="164"/>
        <v>0.49743656725988206</v>
      </c>
      <c r="BC51" s="5"/>
      <c r="BD51" s="173">
        <f t="shared" si="105"/>
        <v>0.64316758977860378</v>
      </c>
      <c r="BE51" s="173">
        <f t="shared" si="165"/>
        <v>0.90281669574895107</v>
      </c>
      <c r="BF51" s="173"/>
      <c r="BG51" s="528">
        <f t="shared" si="166"/>
        <v>8.2732909708323667E-3</v>
      </c>
      <c r="BH51" s="528">
        <f t="shared" si="167"/>
        <v>0.51442619351461405</v>
      </c>
      <c r="BI51" s="528">
        <f t="shared" si="168"/>
        <v>0.20958539049496344</v>
      </c>
      <c r="BJ51" s="528">
        <f t="shared" si="169"/>
        <v>5.8343625415466359E-2</v>
      </c>
      <c r="BK51">
        <f t="shared" si="170"/>
        <v>1.0778677225455262E-2</v>
      </c>
      <c r="BL51" s="460">
        <f t="shared" si="106"/>
        <v>220.36406772041869</v>
      </c>
      <c r="BM51" s="528">
        <f t="shared" si="171"/>
        <v>0.5844257239408821</v>
      </c>
      <c r="BN51" s="460">
        <f t="shared" si="107"/>
        <v>584.42572394088211</v>
      </c>
      <c r="BO51" s="528">
        <f t="shared" si="172"/>
        <v>0.285775</v>
      </c>
      <c r="BP51" s="528"/>
      <c r="BR51" s="460">
        <f t="shared" si="109"/>
        <v>285.77499999999998</v>
      </c>
      <c r="BS51" s="528">
        <f t="shared" si="173"/>
        <v>1.2409936456248549E-2</v>
      </c>
      <c r="BT51" s="528">
        <f t="shared" si="174"/>
        <v>2.4452339583691619E-2</v>
      </c>
      <c r="BU51" s="528">
        <f t="shared" si="175"/>
        <v>0.11315999999999998</v>
      </c>
      <c r="BV51" s="528">
        <f t="shared" si="176"/>
        <v>0.15933911047145838</v>
      </c>
      <c r="BW51" s="528">
        <f t="shared" si="177"/>
        <v>6.4508983069895311E-3</v>
      </c>
      <c r="BX51" s="460">
        <f t="shared" si="110"/>
        <v>165.79000877844791</v>
      </c>
      <c r="BY51" s="173">
        <f t="shared" si="45"/>
        <v>1.2563548004397487</v>
      </c>
      <c r="BZ51" s="5">
        <f t="shared" si="111"/>
        <v>7.5439999999999996</v>
      </c>
      <c r="CA51" s="173">
        <f t="shared" si="112"/>
        <v>0.85723816494569405</v>
      </c>
      <c r="CB51" s="5">
        <f t="shared" si="113"/>
        <v>85.723816494569405</v>
      </c>
      <c r="CE51" s="562">
        <f t="shared" si="178"/>
        <v>-50</v>
      </c>
      <c r="CF51">
        <f t="shared" si="179"/>
        <v>-50</v>
      </c>
      <c r="CG51" s="173">
        <f t="shared" si="180"/>
        <v>0.48539649370134619</v>
      </c>
      <c r="CI51" s="170">
        <v>46</v>
      </c>
      <c r="CJ51" s="217">
        <f t="shared" si="114"/>
        <v>0.46</v>
      </c>
      <c r="CK51" s="217"/>
      <c r="CL51" s="217">
        <f t="shared" si="49"/>
        <v>7.5439999999999996</v>
      </c>
      <c r="CM51" s="541">
        <f t="shared" si="50"/>
        <v>24</v>
      </c>
      <c r="CN51" s="172">
        <f t="shared" si="51"/>
        <v>16.799999999999997</v>
      </c>
      <c r="CO51" s="443">
        <f t="shared" si="52"/>
        <v>40.799999999999997</v>
      </c>
      <c r="CP51" s="443"/>
      <c r="CQ51" s="217">
        <f t="shared" si="53"/>
        <v>0.41176470588235292</v>
      </c>
      <c r="CR51" s="172">
        <f t="shared" si="54"/>
        <v>33.237647058823534</v>
      </c>
      <c r="CS51" s="172">
        <f t="shared" si="115"/>
        <v>7.5439999999999996</v>
      </c>
      <c r="CT51" s="217">
        <f t="shared" si="55"/>
        <v>2.026685796269728</v>
      </c>
      <c r="CU51" s="217">
        <f t="shared" si="56"/>
        <v>16.399999999999999</v>
      </c>
      <c r="CV51" s="217">
        <f t="shared" si="57"/>
        <v>2.0086083213773311</v>
      </c>
      <c r="CW51" s="172">
        <f t="shared" si="58"/>
        <v>149.97688307782906</v>
      </c>
      <c r="CX51" s="172">
        <f t="shared" si="59"/>
        <v>16.399999999999999</v>
      </c>
      <c r="CY51" s="217">
        <f t="shared" si="60"/>
        <v>1.5267619047619045</v>
      </c>
      <c r="CZ51" s="217">
        <f t="shared" si="61"/>
        <v>0.76338095238095238</v>
      </c>
      <c r="DA51" s="217">
        <f t="shared" si="62"/>
        <v>1.090544217687075</v>
      </c>
      <c r="DB51" s="197">
        <f t="shared" si="63"/>
        <v>350</v>
      </c>
      <c r="DC51" s="443">
        <f t="shared" si="116"/>
        <v>350</v>
      </c>
      <c r="DE51" s="217">
        <f t="shared" si="64"/>
        <v>2.3529411764705879</v>
      </c>
      <c r="DF51" s="173">
        <f t="shared" si="65"/>
        <v>1.6806722689075633</v>
      </c>
      <c r="DG51" s="173">
        <f t="shared" si="66"/>
        <v>0.69204152249134954</v>
      </c>
      <c r="DH51" s="173"/>
      <c r="DI51" s="173">
        <f t="shared" si="67"/>
        <v>0.95238095238095266</v>
      </c>
      <c r="DJ51" s="545">
        <f t="shared" si="117"/>
        <v>724.49999999999977</v>
      </c>
      <c r="DK51" s="528">
        <f t="shared" si="68"/>
        <v>0.22222222222222232</v>
      </c>
      <c r="DM51" s="173">
        <f t="shared" si="69"/>
        <v>1.9183326093250876</v>
      </c>
      <c r="DN51" s="173">
        <f t="shared" si="70"/>
        <v>1.9183326093250876</v>
      </c>
      <c r="DO51" s="173">
        <f t="shared" si="71"/>
        <v>1.633332797030929</v>
      </c>
      <c r="DQ51" s="545">
        <f t="shared" si="72"/>
        <v>460</v>
      </c>
      <c r="DR51" s="460">
        <f t="shared" si="73"/>
        <v>350</v>
      </c>
      <c r="DT51">
        <f t="shared" si="74"/>
        <v>460</v>
      </c>
      <c r="DU51" s="460">
        <f t="shared" si="75"/>
        <v>350</v>
      </c>
      <c r="DV51" s="460"/>
      <c r="DW51" s="5">
        <f t="shared" si="118"/>
        <v>2.8571428571428572</v>
      </c>
      <c r="DX51" s="5">
        <f t="shared" si="76"/>
        <v>0.95916630466254393</v>
      </c>
      <c r="DY51" s="5">
        <f t="shared" si="119"/>
        <v>1.8979765524803134</v>
      </c>
      <c r="DZ51" s="5">
        <f t="shared" si="77"/>
        <v>1.3702375780893485</v>
      </c>
      <c r="EA51" s="173">
        <f t="shared" si="120"/>
        <v>0.33570820663189038</v>
      </c>
      <c r="EB51" s="173">
        <f t="shared" si="78"/>
        <v>7.7279999999999989</v>
      </c>
      <c r="EC51" s="173">
        <f t="shared" si="79"/>
        <v>0.63716630466254387</v>
      </c>
      <c r="ED51" s="173">
        <f t="shared" si="121"/>
        <v>12.128701633230438</v>
      </c>
      <c r="EE51" s="460">
        <f t="shared" si="80"/>
        <v>2.6903445130778674</v>
      </c>
      <c r="EF51" s="5">
        <f t="shared" si="81"/>
        <v>0.49716441360803748</v>
      </c>
      <c r="EG51" s="5"/>
      <c r="EH51" s="173">
        <f t="shared" si="122"/>
        <v>0.64171805865331966</v>
      </c>
      <c r="EI51" s="173">
        <f t="shared" si="82"/>
        <v>0.90269850994940781</v>
      </c>
      <c r="EJ51" s="173"/>
      <c r="EK51" s="528">
        <f t="shared" si="83"/>
        <v>8.2360413360357074E-3</v>
      </c>
      <c r="EL51" s="528">
        <f t="shared" si="84"/>
        <v>0.54787579322324498</v>
      </c>
      <c r="EM51" s="528">
        <f t="shared" si="85"/>
        <v>4.3749999999999997E-2</v>
      </c>
      <c r="EN51" s="528">
        <f t="shared" si="86"/>
        <v>5.8262399999999999E-2</v>
      </c>
      <c r="EO51">
        <f t="shared" si="87"/>
        <v>1.0800000000000001E-2</v>
      </c>
      <c r="EP51" s="460">
        <f t="shared" si="123"/>
        <v>54.550000000000004</v>
      </c>
      <c r="EQ51" s="528">
        <f t="shared" si="88"/>
        <v>0.67246389917582583</v>
      </c>
      <c r="ER51" s="460">
        <f t="shared" si="124"/>
        <v>672.46389917582587</v>
      </c>
      <c r="ES51" s="528">
        <f t="shared" si="125"/>
        <v>0.285775</v>
      </c>
      <c r="ET51" s="528"/>
      <c r="EV51" s="460">
        <f t="shared" si="126"/>
        <v>285.77499999999998</v>
      </c>
      <c r="EW51" s="528">
        <f t="shared" si="89"/>
        <v>1.235406200405356E-2</v>
      </c>
      <c r="EX51" s="528">
        <f t="shared" si="90"/>
        <v>2.4445937995946434E-2</v>
      </c>
      <c r="EY51" s="528">
        <f t="shared" si="91"/>
        <v>0.58404981210931306</v>
      </c>
      <c r="EZ51" s="528">
        <f t="shared" si="92"/>
        <v>0.63154106901649765</v>
      </c>
      <c r="FA51" s="528">
        <f t="shared" si="93"/>
        <v>6.4399999999999987E-3</v>
      </c>
      <c r="FB51" s="460">
        <f t="shared" si="127"/>
        <v>637.9810690164976</v>
      </c>
      <c r="FC51" s="173">
        <f t="shared" si="128"/>
        <v>1.5962199681923235</v>
      </c>
      <c r="FD51" s="5">
        <f t="shared" si="129"/>
        <v>7.5439999999999996</v>
      </c>
      <c r="FE51" s="173">
        <f t="shared" si="130"/>
        <v>0.82536306853148844</v>
      </c>
      <c r="FF51" s="5">
        <f t="shared" si="131"/>
        <v>82.536306853148844</v>
      </c>
      <c r="FI51" s="562">
        <f t="shared" si="94"/>
        <v>-50</v>
      </c>
      <c r="FJ51">
        <f t="shared" si="95"/>
        <v>-50</v>
      </c>
      <c r="FL51">
        <f t="shared" si="181"/>
        <v>0.47958315233127208</v>
      </c>
    </row>
    <row r="52" spans="5:168">
      <c r="E52" s="170">
        <v>47</v>
      </c>
      <c r="F52" s="217">
        <f t="shared" si="182"/>
        <v>0.47</v>
      </c>
      <c r="G52" s="217"/>
      <c r="H52" s="217">
        <f t="shared" si="132"/>
        <v>7.7079999999999993</v>
      </c>
      <c r="I52" s="541">
        <f t="shared" si="133"/>
        <v>23.952103782831546</v>
      </c>
      <c r="J52" s="172">
        <f t="shared" si="134"/>
        <v>16.828737730301068</v>
      </c>
      <c r="K52" s="172">
        <f t="shared" si="135"/>
        <v>40.828737730301071</v>
      </c>
      <c r="L52" s="443"/>
      <c r="M52" s="217">
        <f t="shared" si="136"/>
        <v>0.41266785339276624</v>
      </c>
      <c r="N52" s="172">
        <f t="shared" si="137"/>
        <v>33.244072071908555</v>
      </c>
      <c r="O52" s="172">
        <f t="shared" si="98"/>
        <v>7.7079999999999993</v>
      </c>
      <c r="P52" s="217">
        <f t="shared" si="138"/>
        <v>2.0270775653602779</v>
      </c>
      <c r="Q52" s="217">
        <f t="shared" si="139"/>
        <v>16.399999999999999</v>
      </c>
      <c r="R52" s="217">
        <f t="shared" si="140"/>
        <v>2.0089965959963112</v>
      </c>
      <c r="S52" s="172">
        <f t="shared" si="141"/>
        <v>145.98642166793434</v>
      </c>
      <c r="T52" s="172">
        <f t="shared" si="142"/>
        <v>16.399999999999999</v>
      </c>
      <c r="U52" s="217">
        <f t="shared" si="143"/>
        <v>1.6004572632878646</v>
      </c>
      <c r="V52" s="217">
        <f t="shared" si="11"/>
        <v>0.80182882195177096</v>
      </c>
      <c r="W52" s="217">
        <f t="shared" si="144"/>
        <v>1.1412315924844345</v>
      </c>
      <c r="X52" s="197">
        <f t="shared" si="145"/>
        <v>350</v>
      </c>
      <c r="Y52" s="443">
        <f t="shared" si="14"/>
        <v>350</v>
      </c>
      <c r="AA52" s="217">
        <f t="shared" si="146"/>
        <v>2.3533674012355106</v>
      </c>
      <c r="AB52" s="173">
        <f t="shared" si="147"/>
        <v>1.6781061816643394</v>
      </c>
      <c r="AC52" s="173">
        <f t="shared" si="148"/>
        <v>0.69111006715461409</v>
      </c>
      <c r="AD52" s="173"/>
      <c r="AE52" s="173">
        <f t="shared" si="149"/>
        <v>0.95075461133315564</v>
      </c>
      <c r="AF52" s="545">
        <f t="shared" si="150"/>
        <v>741.51625624139058</v>
      </c>
      <c r="AG52" s="528">
        <f t="shared" si="151"/>
        <v>0.22184274264440298</v>
      </c>
      <c r="AI52" s="173">
        <f t="shared" si="152"/>
        <v>1.9407297023887813</v>
      </c>
      <c r="AJ52" s="173">
        <f t="shared" si="153"/>
        <v>1.9407297023887813</v>
      </c>
      <c r="AK52" s="173">
        <f t="shared" si="154"/>
        <v>1.6499232363373686</v>
      </c>
      <c r="AM52" s="545">
        <f t="shared" si="155"/>
        <v>470</v>
      </c>
      <c r="AN52" s="460">
        <f t="shared" si="156"/>
        <v>350</v>
      </c>
      <c r="AP52">
        <f t="shared" si="157"/>
        <v>470</v>
      </c>
      <c r="AQ52" s="460">
        <f t="shared" si="158"/>
        <v>350</v>
      </c>
      <c r="AR52" s="460"/>
      <c r="AS52" s="5">
        <f t="shared" si="101"/>
        <v>2.8571428571428572</v>
      </c>
      <c r="AT52" s="5">
        <f t="shared" si="159"/>
        <v>0.97230525718406224</v>
      </c>
      <c r="AU52" s="5">
        <f t="shared" si="102"/>
        <v>1.884837599958795</v>
      </c>
      <c r="AV52" s="5">
        <f t="shared" si="160"/>
        <v>1.3838682854230171</v>
      </c>
      <c r="AW52" s="173">
        <f t="shared" si="103"/>
        <v>0.3403068400144218</v>
      </c>
      <c r="AX52" s="173">
        <f t="shared" si="161"/>
        <v>7.9095067332415008</v>
      </c>
      <c r="AY52" s="173">
        <f t="shared" si="162"/>
        <v>0.64014305502336288</v>
      </c>
      <c r="AZ52" s="173">
        <f t="shared" si="104"/>
        <v>12.3558424498612</v>
      </c>
      <c r="BA52" s="460">
        <f t="shared" si="163"/>
        <v>2.7864845785153003</v>
      </c>
      <c r="BB52" s="5">
        <f t="shared" si="164"/>
        <v>0.50546458438499953</v>
      </c>
      <c r="BC52" s="5"/>
      <c r="BD52" s="173">
        <f t="shared" si="105"/>
        <v>0.65364172051937208</v>
      </c>
      <c r="BE52" s="173">
        <f t="shared" si="165"/>
        <v>0.91007129415291288</v>
      </c>
      <c r="BF52" s="173"/>
      <c r="BG52" s="528">
        <f t="shared" si="166"/>
        <v>8.5449499760704983E-3</v>
      </c>
      <c r="BH52" s="528">
        <f t="shared" si="167"/>
        <v>0.51999638265905401</v>
      </c>
      <c r="BI52" s="528">
        <f t="shared" si="168"/>
        <v>0.209580908099776</v>
      </c>
      <c r="BJ52" s="528">
        <f t="shared" si="169"/>
        <v>5.8344503862739872E-2</v>
      </c>
      <c r="BK52">
        <f t="shared" si="170"/>
        <v>1.0778446702274196E-2</v>
      </c>
      <c r="BL52" s="460">
        <f t="shared" si="106"/>
        <v>220.35935480205021</v>
      </c>
      <c r="BM52" s="528">
        <f t="shared" si="171"/>
        <v>0.59039163338432121</v>
      </c>
      <c r="BN52" s="460">
        <f t="shared" si="107"/>
        <v>590.39163338432127</v>
      </c>
      <c r="BO52" s="528">
        <f t="shared" si="172"/>
        <v>0.29198749999999996</v>
      </c>
      <c r="BP52" s="528"/>
      <c r="BR52" s="460">
        <f t="shared" si="109"/>
        <v>291.98749999999995</v>
      </c>
      <c r="BS52" s="528">
        <f t="shared" si="173"/>
        <v>1.2817424964105747E-2</v>
      </c>
      <c r="BT52" s="528">
        <f t="shared" si="174"/>
        <v>2.4846892813234728E-2</v>
      </c>
      <c r="BU52" s="528">
        <f t="shared" si="175"/>
        <v>0.11561999999999999</v>
      </c>
      <c r="BV52" s="528">
        <f t="shared" si="176"/>
        <v>0.16281433731906156</v>
      </c>
      <c r="BW52" s="528">
        <f t="shared" si="177"/>
        <v>6.591255611034583E-3</v>
      </c>
      <c r="BX52" s="460">
        <f t="shared" si="110"/>
        <v>169.40559293009613</v>
      </c>
      <c r="BY52" s="173">
        <f t="shared" si="45"/>
        <v>1.2721440811164675</v>
      </c>
      <c r="BZ52" s="5">
        <f t="shared" si="111"/>
        <v>7.7079999999999993</v>
      </c>
      <c r="CA52" s="173">
        <f t="shared" si="112"/>
        <v>0.85833812134578724</v>
      </c>
      <c r="CB52" s="5">
        <f t="shared" si="113"/>
        <v>85.833812134578721</v>
      </c>
      <c r="CE52" s="562">
        <f t="shared" si="178"/>
        <v>-50</v>
      </c>
      <c r="CF52">
        <f t="shared" si="179"/>
        <v>-50</v>
      </c>
      <c r="CG52" s="173">
        <f t="shared" si="180"/>
        <v>0.49064417587195835</v>
      </c>
      <c r="CI52" s="170">
        <v>47</v>
      </c>
      <c r="CJ52" s="217">
        <f t="shared" si="114"/>
        <v>0.47</v>
      </c>
      <c r="CK52" s="217"/>
      <c r="CL52" s="217">
        <f t="shared" si="49"/>
        <v>7.7079999999999993</v>
      </c>
      <c r="CM52" s="541">
        <f t="shared" si="50"/>
        <v>24</v>
      </c>
      <c r="CN52" s="172">
        <f t="shared" si="51"/>
        <v>16.799999999999997</v>
      </c>
      <c r="CO52" s="443">
        <f t="shared" si="52"/>
        <v>40.799999999999997</v>
      </c>
      <c r="CP52" s="443"/>
      <c r="CQ52" s="217">
        <f t="shared" si="53"/>
        <v>0.41176470588235292</v>
      </c>
      <c r="CR52" s="172">
        <f t="shared" si="54"/>
        <v>33.237647058823534</v>
      </c>
      <c r="CS52" s="172">
        <f t="shared" si="115"/>
        <v>7.7079999999999993</v>
      </c>
      <c r="CT52" s="217">
        <f t="shared" si="55"/>
        <v>2.026685796269728</v>
      </c>
      <c r="CU52" s="217">
        <f t="shared" si="56"/>
        <v>16.399999999999999</v>
      </c>
      <c r="CV52" s="217">
        <f t="shared" si="57"/>
        <v>2.0086083213773311</v>
      </c>
      <c r="CW52" s="172">
        <f t="shared" si="58"/>
        <v>146.27821534934961</v>
      </c>
      <c r="CX52" s="172">
        <f t="shared" si="59"/>
        <v>16.399999999999999</v>
      </c>
      <c r="CY52" s="217">
        <f t="shared" si="60"/>
        <v>1.5599523809523808</v>
      </c>
      <c r="CZ52" s="217">
        <f t="shared" si="61"/>
        <v>0.77997619047619049</v>
      </c>
      <c r="DA52" s="217">
        <f t="shared" si="62"/>
        <v>1.1142517006802724</v>
      </c>
      <c r="DB52" s="197">
        <f t="shared" si="63"/>
        <v>350</v>
      </c>
      <c r="DC52" s="443">
        <f t="shared" si="116"/>
        <v>350</v>
      </c>
      <c r="DE52" s="217">
        <f t="shared" si="64"/>
        <v>2.3529411764705879</v>
      </c>
      <c r="DF52" s="173">
        <f t="shared" si="65"/>
        <v>1.6806722689075633</v>
      </c>
      <c r="DG52" s="173">
        <f t="shared" si="66"/>
        <v>0.69204152249134954</v>
      </c>
      <c r="DH52" s="173"/>
      <c r="DI52" s="173">
        <f t="shared" si="67"/>
        <v>0.95238095238095266</v>
      </c>
      <c r="DJ52" s="545">
        <f t="shared" si="117"/>
        <v>740.24999999999966</v>
      </c>
      <c r="DK52" s="528">
        <f t="shared" si="68"/>
        <v>0.22222222222222232</v>
      </c>
      <c r="DM52" s="173">
        <f t="shared" si="69"/>
        <v>1.9390719429665313</v>
      </c>
      <c r="DN52" s="173">
        <f t="shared" si="70"/>
        <v>1.9390719429665313</v>
      </c>
      <c r="DO52" s="173">
        <f t="shared" si="71"/>
        <v>1.6486952663949612</v>
      </c>
      <c r="DQ52" s="545">
        <f t="shared" si="72"/>
        <v>470</v>
      </c>
      <c r="DR52" s="460">
        <f t="shared" si="73"/>
        <v>350</v>
      </c>
      <c r="DT52">
        <f t="shared" si="74"/>
        <v>470</v>
      </c>
      <c r="DU52" s="460">
        <f t="shared" si="75"/>
        <v>350</v>
      </c>
      <c r="DV52" s="460"/>
      <c r="DW52" s="5">
        <f t="shared" si="118"/>
        <v>2.8571428571428572</v>
      </c>
      <c r="DX52" s="5">
        <f t="shared" si="76"/>
        <v>0.96953597148326565</v>
      </c>
      <c r="DY52" s="5">
        <f t="shared" si="119"/>
        <v>1.8876068856595916</v>
      </c>
      <c r="DZ52" s="5">
        <f t="shared" si="77"/>
        <v>1.3850513878332369</v>
      </c>
      <c r="EA52" s="173">
        <f t="shared" si="120"/>
        <v>0.33933759001914299</v>
      </c>
      <c r="EB52" s="173">
        <f t="shared" si="78"/>
        <v>7.8959999999999981</v>
      </c>
      <c r="EC52" s="173">
        <f t="shared" si="79"/>
        <v>0.64053597148326569</v>
      </c>
      <c r="ED52" s="173">
        <f t="shared" si="121"/>
        <v>12.327176538915559</v>
      </c>
      <c r="EE52" s="460">
        <f t="shared" si="80"/>
        <v>2.7785482109581396</v>
      </c>
      <c r="EF52" s="5">
        <f t="shared" si="81"/>
        <v>0.5051970095369489</v>
      </c>
      <c r="EG52" s="5"/>
      <c r="EH52" s="173">
        <f t="shared" si="122"/>
        <v>0.652152676007691</v>
      </c>
      <c r="EI52" s="173">
        <f t="shared" si="82"/>
        <v>0.90996165881279889</v>
      </c>
      <c r="EJ52" s="173"/>
      <c r="EK52" s="528">
        <f t="shared" si="83"/>
        <v>8.5060622564798478E-3</v>
      </c>
      <c r="EL52" s="528">
        <f t="shared" si="84"/>
        <v>0.55379894691124132</v>
      </c>
      <c r="EM52" s="528">
        <f t="shared" si="85"/>
        <v>4.3749999999999997E-2</v>
      </c>
      <c r="EN52" s="528">
        <f t="shared" si="86"/>
        <v>5.8262399999999999E-2</v>
      </c>
      <c r="EO52">
        <f t="shared" si="87"/>
        <v>1.0800000000000001E-2</v>
      </c>
      <c r="EP52" s="460">
        <f t="shared" si="123"/>
        <v>54.550000000000004</v>
      </c>
      <c r="EQ52" s="528">
        <f t="shared" si="88"/>
        <v>0.67878589969787495</v>
      </c>
      <c r="ER52" s="460">
        <f t="shared" si="124"/>
        <v>678.78589969787492</v>
      </c>
      <c r="ES52" s="528">
        <f t="shared" si="125"/>
        <v>0.29198749999999996</v>
      </c>
      <c r="ET52" s="528"/>
      <c r="EV52" s="460">
        <f t="shared" si="126"/>
        <v>291.98749999999995</v>
      </c>
      <c r="EW52" s="528">
        <f t="shared" si="89"/>
        <v>1.2759093384719773E-2</v>
      </c>
      <c r="EX52" s="528">
        <f t="shared" si="90"/>
        <v>2.4840906615280219E-2</v>
      </c>
      <c r="EY52" s="528">
        <f t="shared" si="91"/>
        <v>0.59996362622776289</v>
      </c>
      <c r="EZ52" s="528">
        <f t="shared" si="92"/>
        <v>0.64853842982467547</v>
      </c>
      <c r="FA52" s="528">
        <f t="shared" si="93"/>
        <v>6.579999999999999E-3</v>
      </c>
      <c r="FB52" s="460">
        <f t="shared" si="127"/>
        <v>655.11842982467545</v>
      </c>
      <c r="FC52" s="173">
        <f t="shared" si="128"/>
        <v>1.6258918295225504</v>
      </c>
      <c r="FD52" s="5">
        <f t="shared" si="129"/>
        <v>7.7079999999999993</v>
      </c>
      <c r="FE52" s="173">
        <f t="shared" si="130"/>
        <v>0.82580772744977071</v>
      </c>
      <c r="FF52" s="5">
        <f t="shared" si="131"/>
        <v>82.580772744977068</v>
      </c>
      <c r="FI52" s="562">
        <f t="shared" si="94"/>
        <v>-50</v>
      </c>
      <c r="FJ52">
        <f t="shared" si="95"/>
        <v>-50</v>
      </c>
      <c r="FL52">
        <f t="shared" si="181"/>
        <v>0.48476798574163299</v>
      </c>
    </row>
    <row r="53" spans="5:168">
      <c r="E53" s="170">
        <v>48</v>
      </c>
      <c r="F53" s="217">
        <f t="shared" si="182"/>
        <v>0.48</v>
      </c>
      <c r="G53" s="217"/>
      <c r="H53" s="217">
        <f t="shared" si="132"/>
        <v>7.871999999999999</v>
      </c>
      <c r="I53" s="541">
        <f t="shared" si="133"/>
        <v>23.95159693043972</v>
      </c>
      <c r="J53" s="172">
        <f t="shared" si="134"/>
        <v>16.829041841736164</v>
      </c>
      <c r="K53" s="172">
        <f t="shared" si="135"/>
        <v>40.829041841736164</v>
      </c>
      <c r="L53" s="443"/>
      <c r="M53" s="217">
        <f t="shared" si="136"/>
        <v>0.41267741523040508</v>
      </c>
      <c r="N53" s="172">
        <f t="shared" si="137"/>
        <v>33.244138866338055</v>
      </c>
      <c r="O53" s="172">
        <f t="shared" si="98"/>
        <v>7.871999999999999</v>
      </c>
      <c r="P53" s="217">
        <f t="shared" si="138"/>
        <v>2.027081638191345</v>
      </c>
      <c r="Q53" s="217">
        <f t="shared" si="139"/>
        <v>16.399999999999999</v>
      </c>
      <c r="R53" s="217">
        <f t="shared" si="140"/>
        <v>2.0090006324988559</v>
      </c>
      <c r="S53" s="172">
        <f t="shared" si="141"/>
        <v>142.44600700827652</v>
      </c>
      <c r="T53" s="172">
        <f t="shared" si="142"/>
        <v>16.399999999999999</v>
      </c>
      <c r="U53" s="217">
        <f t="shared" si="143"/>
        <v>1.6345361559297191</v>
      </c>
      <c r="V53" s="217">
        <f t="shared" si="11"/>
        <v>0.81891967070592031</v>
      </c>
      <c r="W53" s="217">
        <f t="shared" si="144"/>
        <v>1.1655110288283121</v>
      </c>
      <c r="X53" s="197">
        <f t="shared" si="145"/>
        <v>350</v>
      </c>
      <c r="Y53" s="443">
        <f t="shared" si="14"/>
        <v>350</v>
      </c>
      <c r="AA53" s="217">
        <f t="shared" si="146"/>
        <v>2.3533718278761078</v>
      </c>
      <c r="AB53" s="173">
        <f t="shared" si="147"/>
        <v>1.678079013653452</v>
      </c>
      <c r="AC53" s="173">
        <f t="shared" si="148"/>
        <v>0.69110017824437808</v>
      </c>
      <c r="AD53" s="173"/>
      <c r="AE53" s="173">
        <f t="shared" si="149"/>
        <v>0.95073743059571403</v>
      </c>
      <c r="AF53" s="545">
        <f t="shared" si="150"/>
        <v>757.306882878127</v>
      </c>
      <c r="AG53" s="528">
        <f t="shared" si="151"/>
        <v>0.22183873380566663</v>
      </c>
      <c r="AI53" s="173">
        <f t="shared" si="152"/>
        <v>1.9612848174739894</v>
      </c>
      <c r="AJ53" s="173">
        <f t="shared" si="153"/>
        <v>1.9612848174739894</v>
      </c>
      <c r="AK53" s="173">
        <f t="shared" si="154"/>
        <v>1.665149247511597</v>
      </c>
      <c r="AM53" s="545">
        <f t="shared" si="155"/>
        <v>480</v>
      </c>
      <c r="AN53" s="460">
        <f t="shared" si="156"/>
        <v>350</v>
      </c>
      <c r="AP53">
        <f t="shared" si="157"/>
        <v>480</v>
      </c>
      <c r="AQ53" s="460">
        <f t="shared" si="158"/>
        <v>350</v>
      </c>
      <c r="AR53" s="460"/>
      <c r="AS53" s="5">
        <f t="shared" si="101"/>
        <v>2.8571428571428572</v>
      </c>
      <c r="AT53" s="5">
        <f t="shared" si="159"/>
        <v>0.98262415980193241</v>
      </c>
      <c r="AU53" s="5">
        <f t="shared" si="102"/>
        <v>1.8745186973409247</v>
      </c>
      <c r="AV53" s="5">
        <f t="shared" si="160"/>
        <v>1.3985001660237031</v>
      </c>
      <c r="AW53" s="173">
        <f t="shared" si="103"/>
        <v>0.34391845593067633</v>
      </c>
      <c r="AX53" s="173">
        <f t="shared" si="161"/>
        <v>8.0779400840333597</v>
      </c>
      <c r="AY53" s="173">
        <f t="shared" si="162"/>
        <v>0.64338138570402836</v>
      </c>
      <c r="AZ53" s="173">
        <f t="shared" si="104"/>
        <v>12.555445748860095</v>
      </c>
      <c r="BA53" s="460">
        <f t="shared" si="163"/>
        <v>2.8759731506398021</v>
      </c>
      <c r="BB53" s="5">
        <f t="shared" si="164"/>
        <v>0.51340387408275867</v>
      </c>
      <c r="BC53" s="5"/>
      <c r="BD53" s="173">
        <f t="shared" si="105"/>
        <v>0.66406070204477663</v>
      </c>
      <c r="BE53" s="173">
        <f t="shared" si="165"/>
        <v>0.9171892366088501</v>
      </c>
      <c r="BF53" s="173"/>
      <c r="BG53" s="528">
        <f t="shared" si="166"/>
        <v>8.8195323200040317E-3</v>
      </c>
      <c r="BH53" s="528">
        <f t="shared" si="167"/>
        <v>0.52550780543761089</v>
      </c>
      <c r="BI53" s="528">
        <f t="shared" si="168"/>
        <v>0.20957647314134753</v>
      </c>
      <c r="BJ53" s="528">
        <f t="shared" si="169"/>
        <v>5.8345373019998488E-2</v>
      </c>
      <c r="BK53">
        <f t="shared" si="170"/>
        <v>1.0778218618697873E-2</v>
      </c>
      <c r="BL53" s="460">
        <f t="shared" si="106"/>
        <v>220.3546917600454</v>
      </c>
      <c r="BM53" s="528">
        <f t="shared" si="171"/>
        <v>0.59630355104559141</v>
      </c>
      <c r="BN53" s="460">
        <f t="shared" si="107"/>
        <v>596.30355104559146</v>
      </c>
      <c r="BO53" s="528">
        <f t="shared" si="172"/>
        <v>0.29819999999999997</v>
      </c>
      <c r="BP53" s="528"/>
      <c r="BR53" s="460">
        <f t="shared" si="109"/>
        <v>298.2</v>
      </c>
      <c r="BS53" s="528">
        <f t="shared" si="173"/>
        <v>1.3229298480006048E-2</v>
      </c>
      <c r="BT53" s="528">
        <f t="shared" si="174"/>
        <v>2.5237082872533755E-2</v>
      </c>
      <c r="BU53" s="528">
        <f t="shared" si="175"/>
        <v>0.11807999999999998</v>
      </c>
      <c r="BV53" s="528">
        <f t="shared" si="176"/>
        <v>0.16629003896145494</v>
      </c>
      <c r="BW53" s="528">
        <f t="shared" si="177"/>
        <v>6.7316167366944651E-3</v>
      </c>
      <c r="BX53" s="460">
        <f t="shared" si="110"/>
        <v>173.02165569814943</v>
      </c>
      <c r="BY53" s="173">
        <f t="shared" si="45"/>
        <v>1.2878798985037863</v>
      </c>
      <c r="BZ53" s="5">
        <f t="shared" si="111"/>
        <v>7.871999999999999</v>
      </c>
      <c r="CA53" s="173">
        <f t="shared" si="112"/>
        <v>0.85939991432484242</v>
      </c>
      <c r="CB53" s="5">
        <f t="shared" si="113"/>
        <v>85.939991432484248</v>
      </c>
      <c r="CE53" s="562">
        <f t="shared" si="178"/>
        <v>-50</v>
      </c>
      <c r="CF53">
        <f t="shared" si="179"/>
        <v>-50</v>
      </c>
      <c r="CG53" s="173">
        <f t="shared" si="180"/>
        <v>0.4958363223248024</v>
      </c>
      <c r="CI53" s="170">
        <v>48</v>
      </c>
      <c r="CJ53" s="217">
        <f t="shared" si="114"/>
        <v>0.48</v>
      </c>
      <c r="CK53" s="217"/>
      <c r="CL53" s="217">
        <f t="shared" si="49"/>
        <v>7.871999999999999</v>
      </c>
      <c r="CM53" s="541">
        <f t="shared" si="50"/>
        <v>24</v>
      </c>
      <c r="CN53" s="172">
        <f t="shared" si="51"/>
        <v>16.799999999999997</v>
      </c>
      <c r="CO53" s="443">
        <f t="shared" si="52"/>
        <v>40.799999999999997</v>
      </c>
      <c r="CP53" s="443"/>
      <c r="CQ53" s="217">
        <f t="shared" si="53"/>
        <v>0.41176470588235292</v>
      </c>
      <c r="CR53" s="172">
        <f t="shared" si="54"/>
        <v>33.237647058823534</v>
      </c>
      <c r="CS53" s="172">
        <f t="shared" si="115"/>
        <v>7.871999999999999</v>
      </c>
      <c r="CT53" s="217">
        <f t="shared" si="55"/>
        <v>2.026685796269728</v>
      </c>
      <c r="CU53" s="217">
        <f t="shared" si="56"/>
        <v>16.399999999999999</v>
      </c>
      <c r="CV53" s="217">
        <f t="shared" si="57"/>
        <v>2.0086083213773311</v>
      </c>
      <c r="CW53" s="172">
        <f t="shared" si="58"/>
        <v>142.73373680829835</v>
      </c>
      <c r="CX53" s="172">
        <f t="shared" si="59"/>
        <v>16.399999999999999</v>
      </c>
      <c r="CY53" s="217">
        <f t="shared" si="60"/>
        <v>1.593142857142857</v>
      </c>
      <c r="CZ53" s="217">
        <f t="shared" si="61"/>
        <v>0.79657142857142849</v>
      </c>
      <c r="DA53" s="217">
        <f t="shared" si="62"/>
        <v>1.1379591836734693</v>
      </c>
      <c r="DB53" s="197">
        <f t="shared" si="63"/>
        <v>350</v>
      </c>
      <c r="DC53" s="443">
        <f t="shared" si="116"/>
        <v>350</v>
      </c>
      <c r="DE53" s="217">
        <f t="shared" si="64"/>
        <v>2.3529411764705879</v>
      </c>
      <c r="DF53" s="173">
        <f t="shared" si="65"/>
        <v>1.6806722689075633</v>
      </c>
      <c r="DG53" s="173">
        <f t="shared" si="66"/>
        <v>0.69204152249134954</v>
      </c>
      <c r="DH53" s="173"/>
      <c r="DI53" s="173">
        <f t="shared" si="67"/>
        <v>0.95238095238095266</v>
      </c>
      <c r="DJ53" s="545">
        <f t="shared" si="117"/>
        <v>755.99999999999966</v>
      </c>
      <c r="DK53" s="528">
        <f t="shared" si="68"/>
        <v>0.22222222222222232</v>
      </c>
      <c r="DM53" s="173">
        <f t="shared" si="69"/>
        <v>1.9595917942265422</v>
      </c>
      <c r="DN53" s="173">
        <f t="shared" si="70"/>
        <v>1.9595917942265422</v>
      </c>
      <c r="DO53" s="173">
        <f t="shared" si="71"/>
        <v>1.6638951562171915</v>
      </c>
      <c r="DQ53" s="545">
        <f t="shared" si="72"/>
        <v>480</v>
      </c>
      <c r="DR53" s="460">
        <f t="shared" si="73"/>
        <v>350</v>
      </c>
      <c r="DT53">
        <f t="shared" si="74"/>
        <v>480</v>
      </c>
      <c r="DU53" s="460">
        <f t="shared" si="75"/>
        <v>350</v>
      </c>
      <c r="DV53" s="460"/>
      <c r="DW53" s="5">
        <f t="shared" si="118"/>
        <v>2.8571428571428572</v>
      </c>
      <c r="DX53" s="5">
        <f t="shared" si="76"/>
        <v>0.97979589711327109</v>
      </c>
      <c r="DY53" s="5">
        <f t="shared" si="119"/>
        <v>1.8773469600295862</v>
      </c>
      <c r="DZ53" s="5">
        <f t="shared" si="77"/>
        <v>1.3997084244475302</v>
      </c>
      <c r="EA53" s="173">
        <f t="shared" si="120"/>
        <v>0.34292856398964489</v>
      </c>
      <c r="EB53" s="173">
        <f t="shared" si="78"/>
        <v>8.0639999999999983</v>
      </c>
      <c r="EC53" s="173">
        <f t="shared" si="79"/>
        <v>0.64379589711327123</v>
      </c>
      <c r="ED53" s="173">
        <f t="shared" si="121"/>
        <v>12.525708902710194</v>
      </c>
      <c r="EE53" s="460">
        <f t="shared" si="80"/>
        <v>2.8676953086242083</v>
      </c>
      <c r="EF53" s="5">
        <f t="shared" si="81"/>
        <v>0.51314150240808676</v>
      </c>
      <c r="EG53" s="5"/>
      <c r="EH53" s="173">
        <f t="shared" si="122"/>
        <v>0.66253193274493971</v>
      </c>
      <c r="EI53" s="173">
        <f t="shared" si="82"/>
        <v>0.91708856611194001</v>
      </c>
      <c r="EJ53" s="173"/>
      <c r="EK53" s="528">
        <f t="shared" si="83"/>
        <v>8.7789712381349059E-3</v>
      </c>
      <c r="EL53" s="528">
        <f t="shared" si="84"/>
        <v>0.5596594164311004</v>
      </c>
      <c r="EM53" s="528">
        <f t="shared" si="85"/>
        <v>4.3749999999999997E-2</v>
      </c>
      <c r="EN53" s="528">
        <f t="shared" si="86"/>
        <v>5.8262399999999999E-2</v>
      </c>
      <c r="EO53">
        <f t="shared" si="87"/>
        <v>1.0800000000000001E-2</v>
      </c>
      <c r="EP53" s="460">
        <f t="shared" si="123"/>
        <v>54.550000000000004</v>
      </c>
      <c r="EQ53" s="528">
        <f t="shared" si="88"/>
        <v>0.68505004453343554</v>
      </c>
      <c r="ER53" s="460">
        <f t="shared" si="124"/>
        <v>685.05004453343554</v>
      </c>
      <c r="ES53" s="528">
        <f t="shared" si="125"/>
        <v>0.29819999999999997</v>
      </c>
      <c r="ET53" s="528"/>
      <c r="EV53" s="460">
        <f t="shared" si="126"/>
        <v>298.2</v>
      </c>
      <c r="EW53" s="528">
        <f t="shared" si="89"/>
        <v>1.3168456857202358E-2</v>
      </c>
      <c r="EX53" s="528">
        <f t="shared" si="90"/>
        <v>2.5231543142797623E-2</v>
      </c>
      <c r="EY53" s="528">
        <f t="shared" si="91"/>
        <v>0.61596231943984447</v>
      </c>
      <c r="EZ53" s="528">
        <f t="shared" si="92"/>
        <v>0.66562311364496174</v>
      </c>
      <c r="FA53" s="528">
        <f t="shared" si="93"/>
        <v>6.7199999999999994E-3</v>
      </c>
      <c r="FB53" s="460">
        <f t="shared" si="127"/>
        <v>672.3431136449617</v>
      </c>
      <c r="FC53" s="173">
        <f t="shared" si="128"/>
        <v>1.6555931581783974</v>
      </c>
      <c r="FD53" s="5">
        <f t="shared" si="129"/>
        <v>7.871999999999999</v>
      </c>
      <c r="FE53" s="173">
        <f t="shared" si="130"/>
        <v>0.82623175331985588</v>
      </c>
      <c r="FF53" s="5">
        <f t="shared" si="131"/>
        <v>82.623175331985593</v>
      </c>
      <c r="FI53" s="562">
        <f t="shared" si="94"/>
        <v>-50</v>
      </c>
      <c r="FJ53">
        <f t="shared" si="95"/>
        <v>-50</v>
      </c>
      <c r="FL53">
        <f t="shared" si="181"/>
        <v>0.48989794855663565</v>
      </c>
    </row>
    <row r="54" spans="5:168">
      <c r="E54" s="170">
        <v>49</v>
      </c>
      <c r="F54" s="217">
        <f t="shared" si="182"/>
        <v>0.49</v>
      </c>
      <c r="G54" s="217"/>
      <c r="H54" s="217">
        <f t="shared" si="132"/>
        <v>8.0359999999999996</v>
      </c>
      <c r="I54" s="541">
        <f t="shared" si="133"/>
        <v>23.951095330829595</v>
      </c>
      <c r="J54" s="172">
        <f t="shared" si="134"/>
        <v>16.829342801502239</v>
      </c>
      <c r="K54" s="172">
        <f t="shared" si="135"/>
        <v>40.829342801502236</v>
      </c>
      <c r="L54" s="443"/>
      <c r="M54" s="217">
        <f t="shared" si="136"/>
        <v>0.41268687806551835</v>
      </c>
      <c r="N54" s="172">
        <f t="shared" si="137"/>
        <v>33.244204943848821</v>
      </c>
      <c r="O54" s="172">
        <f t="shared" si="98"/>
        <v>8.0359999999999996</v>
      </c>
      <c r="P54" s="217">
        <f t="shared" si="138"/>
        <v>2.0270856673078552</v>
      </c>
      <c r="Q54" s="217">
        <f t="shared" si="139"/>
        <v>16.399999999999999</v>
      </c>
      <c r="R54" s="217">
        <f t="shared" si="140"/>
        <v>2.0090046256767642</v>
      </c>
      <c r="S54" s="172">
        <f t="shared" si="141"/>
        <v>139.05022745536112</v>
      </c>
      <c r="T54" s="172">
        <f t="shared" si="142"/>
        <v>16.399999999999999</v>
      </c>
      <c r="U54" s="217">
        <f t="shared" si="143"/>
        <v>1.6686158769483868</v>
      </c>
      <c r="V54" s="217">
        <f t="shared" si="11"/>
        <v>0.83601147449848556</v>
      </c>
      <c r="W54" s="217">
        <f t="shared" si="144"/>
        <v>1.1897904011791414</v>
      </c>
      <c r="X54" s="197">
        <f t="shared" si="145"/>
        <v>350</v>
      </c>
      <c r="Y54" s="443">
        <f t="shared" si="14"/>
        <v>350</v>
      </c>
      <c r="AA54" s="217">
        <f t="shared" si="146"/>
        <v>2.3533762069124049</v>
      </c>
      <c r="AB54" s="173">
        <f t="shared" si="147"/>
        <v>1.6780521269332052</v>
      </c>
      <c r="AC54" s="173">
        <f t="shared" si="148"/>
        <v>0.69109039115958792</v>
      </c>
      <c r="AD54" s="173"/>
      <c r="AE54" s="173">
        <f t="shared" si="149"/>
        <v>0.95072042852272243</v>
      </c>
      <c r="AF54" s="545">
        <f t="shared" si="150"/>
        <v>773.09793494400878</v>
      </c>
      <c r="AG54" s="528">
        <f t="shared" si="151"/>
        <v>0.22183476665530191</v>
      </c>
      <c r="AI54" s="173">
        <f t="shared" si="152"/>
        <v>1.9816272741572405</v>
      </c>
      <c r="AJ54" s="173">
        <f t="shared" si="153"/>
        <v>1.9816272741572405</v>
      </c>
      <c r="AK54" s="173">
        <f t="shared" si="154"/>
        <v>1.6802177339436348</v>
      </c>
      <c r="AM54" s="545">
        <f t="shared" si="155"/>
        <v>490</v>
      </c>
      <c r="AN54" s="460">
        <f t="shared" si="156"/>
        <v>350</v>
      </c>
      <c r="AP54">
        <f t="shared" si="157"/>
        <v>490</v>
      </c>
      <c r="AQ54" s="460">
        <f t="shared" si="158"/>
        <v>350</v>
      </c>
      <c r="AR54" s="460"/>
      <c r="AS54" s="5">
        <f t="shared" si="101"/>
        <v>2.8571428571428572</v>
      </c>
      <c r="AT54" s="5">
        <f t="shared" si="159"/>
        <v>0.99283673508151149</v>
      </c>
      <c r="AU54" s="5">
        <f t="shared" si="102"/>
        <v>1.8643061220613457</v>
      </c>
      <c r="AV54" s="5">
        <f t="shared" si="160"/>
        <v>1.4129801484443143</v>
      </c>
      <c r="AW54" s="173">
        <f t="shared" si="103"/>
        <v>0.34749285727852902</v>
      </c>
      <c r="AX54" s="173">
        <f t="shared" si="161"/>
        <v>8.2463779727360951</v>
      </c>
      <c r="AY54" s="173">
        <f t="shared" si="162"/>
        <v>0.64651297529963903</v>
      </c>
      <c r="AZ54" s="173">
        <f t="shared" si="104"/>
        <v>12.755162367644903</v>
      </c>
      <c r="BA54" s="460">
        <f t="shared" si="163"/>
        <v>2.966402440182565</v>
      </c>
      <c r="BB54" s="5">
        <f t="shared" si="164"/>
        <v>0.52125535352868457</v>
      </c>
      <c r="BC54" s="5"/>
      <c r="BD54" s="173">
        <f t="shared" si="105"/>
        <v>0.67442596919732001</v>
      </c>
      <c r="BE54" s="173">
        <f t="shared" si="165"/>
        <v>0.92417449468893087</v>
      </c>
      <c r="BF54" s="173"/>
      <c r="BG54" s="528">
        <f t="shared" si="166"/>
        <v>9.0970077585548897E-3</v>
      </c>
      <c r="BH54" s="528">
        <f t="shared" si="167"/>
        <v>0.53096228903400655</v>
      </c>
      <c r="BI54" s="528">
        <f t="shared" si="168"/>
        <v>0.20957208414475897</v>
      </c>
      <c r="BJ54" s="528">
        <f t="shared" si="169"/>
        <v>5.834623317609039E-2</v>
      </c>
      <c r="BK54">
        <f t="shared" si="170"/>
        <v>1.0777992898873318E-2</v>
      </c>
      <c r="BL54" s="460">
        <f t="shared" si="106"/>
        <v>220.3500770436323</v>
      </c>
      <c r="BM54" s="528">
        <f t="shared" si="171"/>
        <v>0.60216326728151748</v>
      </c>
      <c r="BN54" s="460">
        <f t="shared" si="107"/>
        <v>602.16326728151751</v>
      </c>
      <c r="BO54" s="528">
        <f t="shared" si="172"/>
        <v>0.30441249999999997</v>
      </c>
      <c r="BP54" s="528"/>
      <c r="BR54" s="460">
        <f t="shared" si="109"/>
        <v>304.41249999999997</v>
      </c>
      <c r="BS54" s="528">
        <f t="shared" si="173"/>
        <v>1.3645511637832333E-2</v>
      </c>
      <c r="BT54" s="528">
        <f t="shared" si="174"/>
        <v>2.5622954899006224E-2</v>
      </c>
      <c r="BU54" s="528">
        <f t="shared" si="175"/>
        <v>0.12053999999999999</v>
      </c>
      <c r="BV54" s="528">
        <f t="shared" si="176"/>
        <v>0.16976621522099913</v>
      </c>
      <c r="BW54" s="528">
        <f t="shared" si="177"/>
        <v>6.8719816439467467E-3</v>
      </c>
      <c r="BX54" s="460">
        <f t="shared" si="110"/>
        <v>176.63819686494588</v>
      </c>
      <c r="BY54" s="173">
        <f t="shared" si="45"/>
        <v>1.3035640411900957</v>
      </c>
      <c r="BZ54" s="5">
        <f t="shared" si="111"/>
        <v>8.0359999999999996</v>
      </c>
      <c r="CA54" s="173">
        <f t="shared" si="112"/>
        <v>0.86042560065533968</v>
      </c>
      <c r="CB54" s="5">
        <f t="shared" si="113"/>
        <v>86.042560065533962</v>
      </c>
      <c r="CE54" s="562">
        <f t="shared" si="178"/>
        <v>-50</v>
      </c>
      <c r="CF54">
        <f t="shared" si="179"/>
        <v>-50</v>
      </c>
      <c r="CG54" s="173">
        <f t="shared" si="180"/>
        <v>0.50097465979438283</v>
      </c>
      <c r="CI54" s="170">
        <v>49</v>
      </c>
      <c r="CJ54" s="217">
        <f t="shared" si="114"/>
        <v>0.49</v>
      </c>
      <c r="CK54" s="217"/>
      <c r="CL54" s="217">
        <f t="shared" si="49"/>
        <v>8.0359999999999996</v>
      </c>
      <c r="CM54" s="541">
        <f t="shared" si="50"/>
        <v>24</v>
      </c>
      <c r="CN54" s="172">
        <f t="shared" si="51"/>
        <v>16.799999999999997</v>
      </c>
      <c r="CO54" s="443">
        <f t="shared" si="52"/>
        <v>40.799999999999997</v>
      </c>
      <c r="CP54" s="443"/>
      <c r="CQ54" s="217">
        <f t="shared" si="53"/>
        <v>0.41176470588235292</v>
      </c>
      <c r="CR54" s="172">
        <f t="shared" si="54"/>
        <v>33.237647058823534</v>
      </c>
      <c r="CS54" s="172">
        <f t="shared" si="115"/>
        <v>8.0359999999999996</v>
      </c>
      <c r="CT54" s="217">
        <f t="shared" si="55"/>
        <v>2.026685796269728</v>
      </c>
      <c r="CU54" s="217">
        <f t="shared" si="56"/>
        <v>16.399999999999999</v>
      </c>
      <c r="CV54" s="217">
        <f t="shared" si="57"/>
        <v>2.0086083213773311</v>
      </c>
      <c r="CW54" s="172">
        <f t="shared" si="58"/>
        <v>139.33400808077579</v>
      </c>
      <c r="CX54" s="172">
        <f t="shared" si="59"/>
        <v>16.399999999999999</v>
      </c>
      <c r="CY54" s="217">
        <f t="shared" si="60"/>
        <v>1.6263333333333332</v>
      </c>
      <c r="CZ54" s="217">
        <f t="shared" si="61"/>
        <v>0.81316666666666659</v>
      </c>
      <c r="DA54" s="217">
        <f t="shared" si="62"/>
        <v>1.1616666666666666</v>
      </c>
      <c r="DB54" s="197">
        <f t="shared" si="63"/>
        <v>350</v>
      </c>
      <c r="DC54" s="443">
        <f t="shared" si="116"/>
        <v>350</v>
      </c>
      <c r="DE54" s="217">
        <f t="shared" si="64"/>
        <v>2.3529411764705879</v>
      </c>
      <c r="DF54" s="173">
        <f t="shared" si="65"/>
        <v>1.6806722689075633</v>
      </c>
      <c r="DG54" s="173">
        <f t="shared" si="66"/>
        <v>0.69204152249134954</v>
      </c>
      <c r="DH54" s="173"/>
      <c r="DI54" s="173">
        <f t="shared" si="67"/>
        <v>0.95238095238095266</v>
      </c>
      <c r="DJ54" s="545">
        <f t="shared" si="117"/>
        <v>771.74999999999966</v>
      </c>
      <c r="DK54" s="528">
        <f t="shared" si="68"/>
        <v>0.22222222222222232</v>
      </c>
      <c r="DM54" s="173">
        <f t="shared" si="69"/>
        <v>1.9798989873223327</v>
      </c>
      <c r="DN54" s="173">
        <f t="shared" si="70"/>
        <v>1.9798989873223327</v>
      </c>
      <c r="DO54" s="173">
        <f t="shared" si="71"/>
        <v>1.6789375214733329</v>
      </c>
      <c r="DQ54" s="545">
        <f t="shared" si="72"/>
        <v>490</v>
      </c>
      <c r="DR54" s="460">
        <f t="shared" si="73"/>
        <v>350</v>
      </c>
      <c r="DT54">
        <f t="shared" si="74"/>
        <v>490</v>
      </c>
      <c r="DU54" s="460">
        <f t="shared" si="75"/>
        <v>350</v>
      </c>
      <c r="DV54" s="460"/>
      <c r="DW54" s="5">
        <f t="shared" si="118"/>
        <v>2.8571428571428572</v>
      </c>
      <c r="DX54" s="5">
        <f t="shared" si="76"/>
        <v>0.98994949366116647</v>
      </c>
      <c r="DY54" s="5">
        <f t="shared" si="119"/>
        <v>1.8671933634816908</v>
      </c>
      <c r="DZ54" s="5">
        <f t="shared" si="77"/>
        <v>1.4142135623730951</v>
      </c>
      <c r="EA54" s="173">
        <f t="shared" si="120"/>
        <v>0.34648232278140828</v>
      </c>
      <c r="EB54" s="173">
        <f t="shared" si="78"/>
        <v>8.2319999999999958</v>
      </c>
      <c r="EC54" s="173">
        <f t="shared" si="79"/>
        <v>0.6469494936611665</v>
      </c>
      <c r="ED54" s="173">
        <f t="shared" si="121"/>
        <v>12.724331776525705</v>
      </c>
      <c r="EE54" s="460">
        <f t="shared" si="80"/>
        <v>2.9577759261827539</v>
      </c>
      <c r="EF54" s="5">
        <f t="shared" si="81"/>
        <v>0.52099881489371058</v>
      </c>
      <c r="EG54" s="5"/>
      <c r="EH54" s="173">
        <f t="shared" si="122"/>
        <v>0.67285726700965831</v>
      </c>
      <c r="EI54" s="173">
        <f t="shared" si="82"/>
        <v>0.92408320236814157</v>
      </c>
      <c r="EJ54" s="173"/>
      <c r="EK54" s="528">
        <f t="shared" si="83"/>
        <v>9.0547380353541325E-3</v>
      </c>
      <c r="EL54" s="528">
        <f t="shared" si="84"/>
        <v>0.56545915077925812</v>
      </c>
      <c r="EM54" s="528">
        <f t="shared" si="85"/>
        <v>4.3749999999999997E-2</v>
      </c>
      <c r="EN54" s="528">
        <f t="shared" si="86"/>
        <v>5.8262399999999999E-2</v>
      </c>
      <c r="EO54">
        <f t="shared" si="87"/>
        <v>1.0800000000000001E-2</v>
      </c>
      <c r="EP54" s="460">
        <f t="shared" si="123"/>
        <v>54.550000000000004</v>
      </c>
      <c r="EQ54" s="528">
        <f t="shared" si="88"/>
        <v>0.6912582450522754</v>
      </c>
      <c r="ER54" s="460">
        <f t="shared" si="124"/>
        <v>691.25824505227536</v>
      </c>
      <c r="ES54" s="528">
        <f t="shared" si="125"/>
        <v>0.30441249999999997</v>
      </c>
      <c r="ET54" s="528"/>
      <c r="EV54" s="460">
        <f t="shared" si="126"/>
        <v>304.41249999999997</v>
      </c>
      <c r="EW54" s="528">
        <f t="shared" si="89"/>
        <v>1.3582107053031199E-2</v>
      </c>
      <c r="EX54" s="528">
        <f t="shared" si="90"/>
        <v>2.5617892946968788E-2</v>
      </c>
      <c r="EY54" s="528">
        <f t="shared" si="91"/>
        <v>0.63204456185502889</v>
      </c>
      <c r="EZ54" s="528">
        <f t="shared" si="92"/>
        <v>0.68279380322193284</v>
      </c>
      <c r="FA54" s="528">
        <f t="shared" si="93"/>
        <v>6.859999999999998E-3</v>
      </c>
      <c r="FB54" s="460">
        <f t="shared" si="127"/>
        <v>689.65380322193278</v>
      </c>
      <c r="FC54" s="173">
        <f t="shared" si="128"/>
        <v>1.6853245482742083</v>
      </c>
      <c r="FD54" s="5">
        <f t="shared" si="129"/>
        <v>8.0359999999999996</v>
      </c>
      <c r="FE54" s="173">
        <f t="shared" si="130"/>
        <v>0.82663632513190832</v>
      </c>
      <c r="FF54" s="5">
        <f t="shared" si="131"/>
        <v>82.663632513190834</v>
      </c>
      <c r="FI54" s="562">
        <f t="shared" si="94"/>
        <v>-50</v>
      </c>
      <c r="FJ54">
        <f t="shared" si="95"/>
        <v>-50</v>
      </c>
      <c r="FL54">
        <f t="shared" si="181"/>
        <v>0.49497474683058329</v>
      </c>
    </row>
    <row r="55" spans="5:168">
      <c r="E55" s="170">
        <v>50</v>
      </c>
      <c r="F55" s="217">
        <f t="shared" si="182"/>
        <v>0.5</v>
      </c>
      <c r="G55" s="217"/>
      <c r="H55" s="217">
        <f t="shared" si="132"/>
        <v>8.1999999999999993</v>
      </c>
      <c r="I55" s="541">
        <f t="shared" si="133"/>
        <v>23.950598823997034</v>
      </c>
      <c r="J55" s="172">
        <f t="shared" si="134"/>
        <v>16.829640705601779</v>
      </c>
      <c r="K55" s="172">
        <f t="shared" si="135"/>
        <v>40.829640705601776</v>
      </c>
      <c r="L55" s="443"/>
      <c r="M55" s="217">
        <f t="shared" si="136"/>
        <v>0.41269624491380724</v>
      </c>
      <c r="N55" s="172">
        <f t="shared" si="137"/>
        <v>33.244270326278425</v>
      </c>
      <c r="O55" s="172">
        <f t="shared" si="98"/>
        <v>8.1999999999999993</v>
      </c>
      <c r="P55" s="217">
        <f t="shared" si="138"/>
        <v>2.0270896540413674</v>
      </c>
      <c r="Q55" s="217">
        <f t="shared" si="139"/>
        <v>16.399999999999999</v>
      </c>
      <c r="R55" s="217">
        <f t="shared" si="140"/>
        <v>2.0090085768497206</v>
      </c>
      <c r="S55" s="172">
        <f t="shared" si="141"/>
        <v>135.79040445582831</v>
      </c>
      <c r="T55" s="172">
        <f t="shared" si="142"/>
        <v>16.399999999999999</v>
      </c>
      <c r="U55" s="217">
        <f t="shared" si="143"/>
        <v>1.7026964178923731</v>
      </c>
      <c r="V55" s="217">
        <f t="shared" si="11"/>
        <v>0.85310422360866012</v>
      </c>
      <c r="W55" s="217">
        <f t="shared" si="144"/>
        <v>1.2140697102290203</v>
      </c>
      <c r="X55" s="197">
        <f t="shared" si="145"/>
        <v>350</v>
      </c>
      <c r="Y55" s="443">
        <f t="shared" si="14"/>
        <v>350</v>
      </c>
      <c r="AA55" s="217">
        <f t="shared" si="146"/>
        <v>2.3533805397944429</v>
      </c>
      <c r="AB55" s="173">
        <f t="shared" si="147"/>
        <v>1.6780255129352455</v>
      </c>
      <c r="AC55" s="173">
        <f t="shared" si="148"/>
        <v>0.69108070279856904</v>
      </c>
      <c r="AD55" s="173"/>
      <c r="AE55" s="173">
        <f t="shared" si="149"/>
        <v>0.95070359967187956</v>
      </c>
      <c r="AF55" s="545">
        <f t="shared" si="150"/>
        <v>788.88940807508311</v>
      </c>
      <c r="AG55" s="528">
        <f t="shared" si="151"/>
        <v>0.22183083992343858</v>
      </c>
      <c r="AI55" s="173">
        <f t="shared" si="152"/>
        <v>2.0017635501870759</v>
      </c>
      <c r="AJ55" s="173">
        <f t="shared" si="153"/>
        <v>2.0017635501870759</v>
      </c>
      <c r="AK55" s="173">
        <f t="shared" si="154"/>
        <v>1.695133493965735</v>
      </c>
      <c r="AM55" s="545">
        <f t="shared" si="155"/>
        <v>500</v>
      </c>
      <c r="AN55" s="460">
        <f t="shared" si="156"/>
        <v>350</v>
      </c>
      <c r="AP55">
        <f t="shared" si="157"/>
        <v>500</v>
      </c>
      <c r="AQ55" s="460">
        <f t="shared" si="158"/>
        <v>350</v>
      </c>
      <c r="AR55" s="460"/>
      <c r="AS55" s="5">
        <f t="shared" si="101"/>
        <v>2.8571428571428572</v>
      </c>
      <c r="AT55" s="5">
        <f t="shared" si="159"/>
        <v>1.0029462218780592</v>
      </c>
      <c r="AU55" s="5">
        <f t="shared" si="102"/>
        <v>1.8541966352647981</v>
      </c>
      <c r="AV55" s="5">
        <f t="shared" si="160"/>
        <v>1.4273128596411104</v>
      </c>
      <c r="AW55" s="173">
        <f t="shared" si="103"/>
        <v>0.35103117765732067</v>
      </c>
      <c r="AX55" s="173">
        <f t="shared" si="161"/>
        <v>8.4148203528008896</v>
      </c>
      <c r="AY55" s="173">
        <f t="shared" si="162"/>
        <v>0.64954106688670366</v>
      </c>
      <c r="AZ55" s="173">
        <f t="shared" si="104"/>
        <v>12.955024373029591</v>
      </c>
      <c r="BA55" s="460">
        <f t="shared" si="163"/>
        <v>3.0577628715794489</v>
      </c>
      <c r="BB55" s="5">
        <f t="shared" si="164"/>
        <v>0.52901991166978846</v>
      </c>
      <c r="BC55" s="5"/>
      <c r="BD55" s="173">
        <f t="shared" si="105"/>
        <v>0.68473889105524688</v>
      </c>
      <c r="BE55" s="173">
        <f t="shared" si="165"/>
        <v>0.93103083802970021</v>
      </c>
      <c r="BF55" s="173"/>
      <c r="BG55" s="528">
        <f t="shared" si="166"/>
        <v>9.3773469784713855E-3</v>
      </c>
      <c r="BH55" s="528">
        <f t="shared" si="167"/>
        <v>0.53636156786433475</v>
      </c>
      <c r="BI55" s="528">
        <f t="shared" si="168"/>
        <v>0.20956773970997403</v>
      </c>
      <c r="BJ55" s="528">
        <f t="shared" si="169"/>
        <v>5.8347084605198669E-2</v>
      </c>
      <c r="BK55">
        <f t="shared" si="170"/>
        <v>1.0777769470798665E-2</v>
      </c>
      <c r="BL55" s="460">
        <f t="shared" si="106"/>
        <v>220.34550918077269</v>
      </c>
      <c r="BM55" s="528">
        <f t="shared" si="171"/>
        <v>0.60797248086435918</v>
      </c>
      <c r="BN55" s="460">
        <f t="shared" si="107"/>
        <v>607.97248086435923</v>
      </c>
      <c r="BO55" s="528">
        <f t="shared" si="172"/>
        <v>0.31062499999999998</v>
      </c>
      <c r="BP55" s="528"/>
      <c r="BR55" s="460">
        <f t="shared" si="109"/>
        <v>310.625</v>
      </c>
      <c r="BS55" s="528">
        <f t="shared" si="173"/>
        <v>1.4066020467707076E-2</v>
      </c>
      <c r="BT55" s="528">
        <f t="shared" si="174"/>
        <v>2.6004552640868577E-2</v>
      </c>
      <c r="BU55" s="528">
        <f t="shared" si="175"/>
        <v>0.12299999999999998</v>
      </c>
      <c r="BV55" s="528">
        <f t="shared" si="176"/>
        <v>0.17324286592861232</v>
      </c>
      <c r="BW55" s="528">
        <f t="shared" si="177"/>
        <v>7.0123502940007409E-3</v>
      </c>
      <c r="BX55" s="460">
        <f t="shared" si="110"/>
        <v>180.25521622261306</v>
      </c>
      <c r="BY55" s="173">
        <f t="shared" si="45"/>
        <v>1.3191982062677448</v>
      </c>
      <c r="BZ55" s="5">
        <f t="shared" si="111"/>
        <v>8.1999999999999993</v>
      </c>
      <c r="CA55" s="173">
        <f t="shared" si="112"/>
        <v>0.8614170881115657</v>
      </c>
      <c r="CB55" s="5">
        <f t="shared" si="113"/>
        <v>86.141708811156576</v>
      </c>
      <c r="CE55" s="562">
        <f t="shared" si="178"/>
        <v>-50</v>
      </c>
      <c r="CF55">
        <f t="shared" si="179"/>
        <v>-50</v>
      </c>
      <c r="CG55" s="173">
        <f t="shared" si="180"/>
        <v>0.50606082734747393</v>
      </c>
      <c r="CI55" s="170">
        <v>50</v>
      </c>
      <c r="CJ55" s="217">
        <f t="shared" si="114"/>
        <v>0.5</v>
      </c>
      <c r="CK55" s="217"/>
      <c r="CL55" s="217">
        <f t="shared" si="49"/>
        <v>8.1999999999999993</v>
      </c>
      <c r="CM55" s="541">
        <f t="shared" si="50"/>
        <v>24</v>
      </c>
      <c r="CN55" s="172">
        <f t="shared" si="51"/>
        <v>16.799999999999997</v>
      </c>
      <c r="CO55" s="443">
        <f t="shared" si="52"/>
        <v>40.799999999999997</v>
      </c>
      <c r="CP55" s="443"/>
      <c r="CQ55" s="217">
        <f t="shared" si="53"/>
        <v>0.41176470588235292</v>
      </c>
      <c r="CR55" s="172">
        <f t="shared" si="54"/>
        <v>33.237647058823534</v>
      </c>
      <c r="CS55" s="172">
        <f t="shared" si="115"/>
        <v>8.1999999999999993</v>
      </c>
      <c r="CT55" s="217">
        <f t="shared" si="55"/>
        <v>2.026685796269728</v>
      </c>
      <c r="CU55" s="217">
        <f t="shared" si="56"/>
        <v>16.399999999999999</v>
      </c>
      <c r="CV55" s="217">
        <f t="shared" si="57"/>
        <v>2.0086083213773311</v>
      </c>
      <c r="CW55" s="172">
        <f t="shared" si="58"/>
        <v>136.07034495298819</v>
      </c>
      <c r="CX55" s="172">
        <f t="shared" si="59"/>
        <v>16.399999999999999</v>
      </c>
      <c r="CY55" s="217">
        <f t="shared" si="60"/>
        <v>1.6595238095238094</v>
      </c>
      <c r="CZ55" s="217">
        <f t="shared" si="61"/>
        <v>0.8297619047619047</v>
      </c>
      <c r="DA55" s="217">
        <f t="shared" si="62"/>
        <v>1.1853741496598642</v>
      </c>
      <c r="DB55" s="197">
        <f t="shared" si="63"/>
        <v>350</v>
      </c>
      <c r="DC55" s="443">
        <f t="shared" si="116"/>
        <v>350</v>
      </c>
      <c r="DE55" s="217">
        <f t="shared" si="64"/>
        <v>2.3529411764705879</v>
      </c>
      <c r="DF55" s="173">
        <f t="shared" si="65"/>
        <v>1.6806722689075633</v>
      </c>
      <c r="DG55" s="173">
        <f t="shared" si="66"/>
        <v>0.69204152249134954</v>
      </c>
      <c r="DH55" s="173"/>
      <c r="DI55" s="173">
        <f t="shared" si="67"/>
        <v>0.95238095238095266</v>
      </c>
      <c r="DJ55" s="545">
        <f t="shared" si="117"/>
        <v>787.49999999999966</v>
      </c>
      <c r="DK55" s="528">
        <f t="shared" si="68"/>
        <v>0.22222222222222232</v>
      </c>
      <c r="DM55" s="173">
        <f t="shared" si="69"/>
        <v>1.9999999999999998</v>
      </c>
      <c r="DN55" s="173">
        <f t="shared" si="70"/>
        <v>1.9999999999999998</v>
      </c>
      <c r="DO55" s="173">
        <f t="shared" si="71"/>
        <v>1.6938271604938269</v>
      </c>
      <c r="DQ55" s="545">
        <f t="shared" si="72"/>
        <v>500</v>
      </c>
      <c r="DR55" s="460">
        <f t="shared" si="73"/>
        <v>350</v>
      </c>
      <c r="DT55">
        <f t="shared" si="74"/>
        <v>500</v>
      </c>
      <c r="DU55" s="460">
        <f t="shared" si="75"/>
        <v>350</v>
      </c>
      <c r="DV55" s="460"/>
      <c r="DW55" s="5">
        <f t="shared" si="118"/>
        <v>2.8571428571428572</v>
      </c>
      <c r="DX55" s="5">
        <f t="shared" si="76"/>
        <v>1</v>
      </c>
      <c r="DY55" s="5">
        <f t="shared" si="119"/>
        <v>1.8571428571428572</v>
      </c>
      <c r="DZ55" s="5">
        <f t="shared" si="77"/>
        <v>1.4285714285714286</v>
      </c>
      <c r="EA55" s="173">
        <f t="shared" si="120"/>
        <v>0.35</v>
      </c>
      <c r="EB55" s="173">
        <f t="shared" si="78"/>
        <v>8.3999999999999986</v>
      </c>
      <c r="EC55" s="173">
        <f t="shared" si="79"/>
        <v>0.64999999999999991</v>
      </c>
      <c r="ED55" s="173">
        <f t="shared" si="121"/>
        <v>12.923076923076923</v>
      </c>
      <c r="EE55" s="460">
        <f t="shared" si="80"/>
        <v>3.0487804878048785</v>
      </c>
      <c r="EF55" s="5">
        <f t="shared" si="81"/>
        <v>0.52876984126984117</v>
      </c>
      <c r="EG55" s="5"/>
      <c r="EH55" s="173">
        <f t="shared" si="122"/>
        <v>0.68313005106397306</v>
      </c>
      <c r="EI55" s="173">
        <f t="shared" si="82"/>
        <v>0.93094933625126264</v>
      </c>
      <c r="EJ55" s="173"/>
      <c r="EK55" s="528">
        <f t="shared" si="83"/>
        <v>9.3333333333333289E-3</v>
      </c>
      <c r="EL55" s="528">
        <f t="shared" si="84"/>
        <v>0.57119999999999982</v>
      </c>
      <c r="EM55" s="528">
        <f t="shared" si="85"/>
        <v>4.3749999999999997E-2</v>
      </c>
      <c r="EN55" s="528">
        <f t="shared" si="86"/>
        <v>5.8262399999999999E-2</v>
      </c>
      <c r="EO55">
        <f t="shared" si="87"/>
        <v>1.0800000000000001E-2</v>
      </c>
      <c r="EP55" s="460">
        <f t="shared" si="123"/>
        <v>54.550000000000004</v>
      </c>
      <c r="EQ55" s="528">
        <f t="shared" si="88"/>
        <v>0.69741231488281741</v>
      </c>
      <c r="ER55" s="460">
        <f t="shared" si="124"/>
        <v>697.41231488281744</v>
      </c>
      <c r="ES55" s="528">
        <f t="shared" si="125"/>
        <v>0.31062499999999998</v>
      </c>
      <c r="ET55" s="528"/>
      <c r="EV55" s="460">
        <f t="shared" si="126"/>
        <v>310.625</v>
      </c>
      <c r="EW55" s="528">
        <f t="shared" si="89"/>
        <v>1.3999999999999993E-2</v>
      </c>
      <c r="EX55" s="528">
        <f t="shared" si="90"/>
        <v>2.5999999999999992E-2</v>
      </c>
      <c r="EY55" s="528">
        <f t="shared" si="91"/>
        <v>0.64820907121082361</v>
      </c>
      <c r="EZ55" s="528">
        <f t="shared" si="92"/>
        <v>0.70004922874280051</v>
      </c>
      <c r="FA55" s="528">
        <f t="shared" si="93"/>
        <v>6.9999999999999993E-3</v>
      </c>
      <c r="FB55" s="460">
        <f t="shared" si="127"/>
        <v>707.04922874280055</v>
      </c>
      <c r="FC55" s="173">
        <f t="shared" si="128"/>
        <v>1.715086543625618</v>
      </c>
      <c r="FD55" s="5">
        <f t="shared" si="129"/>
        <v>8.1999999999999993</v>
      </c>
      <c r="FE55" s="173">
        <f t="shared" si="130"/>
        <v>0.82702253418773808</v>
      </c>
      <c r="FF55" s="5">
        <f t="shared" si="131"/>
        <v>82.702253418773807</v>
      </c>
      <c r="FI55" s="562">
        <f t="shared" si="94"/>
        <v>-50</v>
      </c>
      <c r="FJ55">
        <f t="shared" si="95"/>
        <v>-50</v>
      </c>
      <c r="FL55">
        <f t="shared" si="181"/>
        <v>0.5</v>
      </c>
    </row>
    <row r="56" spans="5:168">
      <c r="E56" s="170">
        <v>51</v>
      </c>
      <c r="F56" s="217">
        <f t="shared" si="182"/>
        <v>0.51</v>
      </c>
      <c r="G56" s="217"/>
      <c r="H56" s="217">
        <f t="shared" si="132"/>
        <v>8.363999999999999</v>
      </c>
      <c r="I56" s="541">
        <f t="shared" si="133"/>
        <v>23.950107257899713</v>
      </c>
      <c r="J56" s="172">
        <f t="shared" si="134"/>
        <v>16.829935645260168</v>
      </c>
      <c r="K56" s="172">
        <f t="shared" si="135"/>
        <v>40.829935645260164</v>
      </c>
      <c r="L56" s="443"/>
      <c r="M56" s="217">
        <f t="shared" si="136"/>
        <v>0.41270551864091154</v>
      </c>
      <c r="N56" s="172">
        <f t="shared" si="137"/>
        <v>33.244335034377841</v>
      </c>
      <c r="O56" s="172">
        <f t="shared" si="98"/>
        <v>8.363999999999999</v>
      </c>
      <c r="P56" s="217">
        <f t="shared" si="138"/>
        <v>2.0270935996571855</v>
      </c>
      <c r="Q56" s="217">
        <f t="shared" si="139"/>
        <v>16.399999999999999</v>
      </c>
      <c r="R56" s="217">
        <f t="shared" si="140"/>
        <v>2.0090124872717401</v>
      </c>
      <c r="S56" s="172">
        <f t="shared" si="141"/>
        <v>132.65854019394786</v>
      </c>
      <c r="T56" s="172">
        <f t="shared" si="142"/>
        <v>16.399999999999999</v>
      </c>
      <c r="U56" s="217">
        <f t="shared" si="143"/>
        <v>1.7367777705650587</v>
      </c>
      <c r="V56" s="217">
        <f t="shared" si="11"/>
        <v>0.8701979086087972</v>
      </c>
      <c r="W56" s="217">
        <f t="shared" si="144"/>
        <v>1.2383489566491761</v>
      </c>
      <c r="X56" s="197">
        <f t="shared" si="145"/>
        <v>350</v>
      </c>
      <c r="Y56" s="443">
        <f t="shared" si="14"/>
        <v>350</v>
      </c>
      <c r="AA56" s="217">
        <f t="shared" si="146"/>
        <v>2.3533848279001108</v>
      </c>
      <c r="AB56" s="173">
        <f t="shared" si="147"/>
        <v>1.6779991635175839</v>
      </c>
      <c r="AC56" s="173">
        <f t="shared" si="148"/>
        <v>0.69107111021398782</v>
      </c>
      <c r="AD56" s="173"/>
      <c r="AE56" s="173">
        <f t="shared" si="149"/>
        <v>0.95068693887169431</v>
      </c>
      <c r="AF56" s="545">
        <f t="shared" si="150"/>
        <v>804.68129803900149</v>
      </c>
      <c r="AG56" s="528">
        <f t="shared" si="151"/>
        <v>0.22182695240339537</v>
      </c>
      <c r="AI56" s="173">
        <f t="shared" si="152"/>
        <v>2.0216998009787384</v>
      </c>
      <c r="AJ56" s="173">
        <f t="shared" si="153"/>
        <v>2.0216998009787384</v>
      </c>
      <c r="AK56" s="173">
        <f t="shared" si="154"/>
        <v>1.7099010871447442</v>
      </c>
      <c r="AM56" s="545">
        <f t="shared" si="155"/>
        <v>510</v>
      </c>
      <c r="AN56" s="460">
        <f t="shared" si="156"/>
        <v>350</v>
      </c>
      <c r="AP56">
        <f t="shared" si="157"/>
        <v>510</v>
      </c>
      <c r="AQ56" s="460">
        <f t="shared" si="158"/>
        <v>350</v>
      </c>
      <c r="AR56" s="460"/>
      <c r="AS56" s="5">
        <f t="shared" si="101"/>
        <v>2.8571428571428572</v>
      </c>
      <c r="AT56" s="5">
        <f t="shared" si="159"/>
        <v>1.0129556978807601</v>
      </c>
      <c r="AU56" s="5">
        <f t="shared" si="102"/>
        <v>1.8441871592620971</v>
      </c>
      <c r="AV56" s="5">
        <f t="shared" si="160"/>
        <v>1.4415026963324926</v>
      </c>
      <c r="AW56" s="173">
        <f t="shared" si="103"/>
        <v>0.35453449425826605</v>
      </c>
      <c r="AX56" s="173">
        <f t="shared" si="161"/>
        <v>8.5832671790826875</v>
      </c>
      <c r="AY56" s="173">
        <f t="shared" si="162"/>
        <v>0.65246874224835216</v>
      </c>
      <c r="AZ56" s="173">
        <f t="shared" si="104"/>
        <v>13.155062646381303</v>
      </c>
      <c r="BA56" s="460">
        <f t="shared" si="163"/>
        <v>3.1500451580438278</v>
      </c>
      <c r="BB56" s="5">
        <f t="shared" si="164"/>
        <v>0.53669841064352852</v>
      </c>
      <c r="BC56" s="5"/>
      <c r="BD56" s="173">
        <f t="shared" si="105"/>
        <v>0.69500077519879733</v>
      </c>
      <c r="BE56" s="173">
        <f t="shared" si="165"/>
        <v>0.93776184835608856</v>
      </c>
      <c r="BF56" s="173"/>
      <c r="BG56" s="528">
        <f t="shared" si="166"/>
        <v>9.6605215505385852E-3</v>
      </c>
      <c r="BH56" s="528">
        <f t="shared" si="167"/>
        <v>0.5417072900399813</v>
      </c>
      <c r="BI56" s="528">
        <f t="shared" si="168"/>
        <v>0.20956343850662246</v>
      </c>
      <c r="BJ56" s="528">
        <f t="shared" si="169"/>
        <v>5.8347927567863028E-2</v>
      </c>
      <c r="BK56">
        <f t="shared" si="170"/>
        <v>1.077754826605487E-2</v>
      </c>
      <c r="BL56" s="460">
        <f t="shared" si="106"/>
        <v>220.34098677267733</v>
      </c>
      <c r="BM56" s="528">
        <f t="shared" si="171"/>
        <v>0.61373280538569408</v>
      </c>
      <c r="BN56" s="460">
        <f t="shared" si="107"/>
        <v>613.73280538569406</v>
      </c>
      <c r="BO56" s="528">
        <f t="shared" si="172"/>
        <v>0.31683749999999999</v>
      </c>
      <c r="BP56" s="528"/>
      <c r="BR56" s="460">
        <f t="shared" si="109"/>
        <v>316.83749999999998</v>
      </c>
      <c r="BS56" s="528">
        <f t="shared" si="173"/>
        <v>1.4490782325807876E-2</v>
      </c>
      <c r="BT56" s="528">
        <f t="shared" si="174"/>
        <v>2.6381918526966829E-2</v>
      </c>
      <c r="BU56" s="528">
        <f t="shared" si="175"/>
        <v>0.12545999999999999</v>
      </c>
      <c r="BV56" s="528">
        <f t="shared" si="176"/>
        <v>0.17671999092333782</v>
      </c>
      <c r="BW56" s="528">
        <f t="shared" si="177"/>
        <v>7.1527226492355735E-3</v>
      </c>
      <c r="BX56" s="460">
        <f t="shared" si="110"/>
        <v>183.87271357257339</v>
      </c>
      <c r="BY56" s="173">
        <f t="shared" si="45"/>
        <v>1.3347840057309448</v>
      </c>
      <c r="BZ56" s="5">
        <f t="shared" si="111"/>
        <v>8.363999999999999</v>
      </c>
      <c r="CA56" s="173">
        <f t="shared" si="112"/>
        <v>0.86237614891287084</v>
      </c>
      <c r="CB56" s="5">
        <f t="shared" si="113"/>
        <v>86.23761489128708</v>
      </c>
      <c r="CE56" s="562">
        <f t="shared" si="178"/>
        <v>-50</v>
      </c>
      <c r="CF56">
        <f t="shared" si="179"/>
        <v>-50</v>
      </c>
      <c r="CG56" s="173">
        <f t="shared" si="180"/>
        <v>0.51109638249074119</v>
      </c>
      <c r="CI56" s="170">
        <v>51</v>
      </c>
      <c r="CJ56" s="217">
        <f t="shared" si="114"/>
        <v>0.51</v>
      </c>
      <c r="CK56" s="217"/>
      <c r="CL56" s="217">
        <f t="shared" si="49"/>
        <v>8.363999999999999</v>
      </c>
      <c r="CM56" s="541">
        <f t="shared" si="50"/>
        <v>24</v>
      </c>
      <c r="CN56" s="172">
        <f t="shared" si="51"/>
        <v>16.799999999999997</v>
      </c>
      <c r="CO56" s="443">
        <f t="shared" si="52"/>
        <v>40.799999999999997</v>
      </c>
      <c r="CP56" s="443"/>
      <c r="CQ56" s="217">
        <f t="shared" si="53"/>
        <v>0.41176470588235292</v>
      </c>
      <c r="CR56" s="172">
        <f t="shared" si="54"/>
        <v>33.237647058823534</v>
      </c>
      <c r="CS56" s="172">
        <f t="shared" si="115"/>
        <v>8.363999999999999</v>
      </c>
      <c r="CT56" s="217">
        <f t="shared" si="55"/>
        <v>2.026685796269728</v>
      </c>
      <c r="CU56" s="217">
        <f t="shared" si="56"/>
        <v>16.399999999999999</v>
      </c>
      <c r="CV56" s="217">
        <f t="shared" si="57"/>
        <v>2.0086083213773311</v>
      </c>
      <c r="CW56" s="172">
        <f t="shared" si="58"/>
        <v>132.93474433610578</v>
      </c>
      <c r="CX56" s="172">
        <f t="shared" si="59"/>
        <v>16.399999999999999</v>
      </c>
      <c r="CY56" s="217">
        <f t="shared" si="60"/>
        <v>1.6927142857142854</v>
      </c>
      <c r="CZ56" s="217">
        <f t="shared" si="61"/>
        <v>0.84635714285714259</v>
      </c>
      <c r="DA56" s="217">
        <f t="shared" si="62"/>
        <v>1.2090816326530611</v>
      </c>
      <c r="DB56" s="197">
        <f t="shared" si="63"/>
        <v>350</v>
      </c>
      <c r="DC56" s="443">
        <f t="shared" si="116"/>
        <v>350</v>
      </c>
      <c r="DE56" s="217">
        <f t="shared" si="64"/>
        <v>2.3529411764705879</v>
      </c>
      <c r="DF56" s="173">
        <f t="shared" si="65"/>
        <v>1.6806722689075633</v>
      </c>
      <c r="DG56" s="173">
        <f t="shared" si="66"/>
        <v>0.69204152249134954</v>
      </c>
      <c r="DH56" s="173"/>
      <c r="DI56" s="173">
        <f t="shared" si="67"/>
        <v>0.95238095238095266</v>
      </c>
      <c r="DJ56" s="545">
        <f t="shared" si="117"/>
        <v>803.24999999999966</v>
      </c>
      <c r="DK56" s="528">
        <f t="shared" si="68"/>
        <v>0.22222222222222232</v>
      </c>
      <c r="DM56" s="173">
        <f t="shared" si="69"/>
        <v>2.0199009876724152</v>
      </c>
      <c r="DN56" s="173">
        <f t="shared" si="70"/>
        <v>2.0199009876724152</v>
      </c>
      <c r="DO56" s="173">
        <f t="shared" si="71"/>
        <v>1.7085686328437641</v>
      </c>
      <c r="DQ56" s="545">
        <f t="shared" si="72"/>
        <v>510</v>
      </c>
      <c r="DR56" s="460">
        <f t="shared" si="73"/>
        <v>350</v>
      </c>
      <c r="DT56">
        <f t="shared" si="74"/>
        <v>510</v>
      </c>
      <c r="DU56" s="460">
        <f t="shared" si="75"/>
        <v>350</v>
      </c>
      <c r="DV56" s="460"/>
      <c r="DW56" s="5">
        <f t="shared" si="118"/>
        <v>2.8571428571428572</v>
      </c>
      <c r="DX56" s="5">
        <f t="shared" si="76"/>
        <v>1.0099504938362076</v>
      </c>
      <c r="DY56" s="5">
        <f t="shared" si="119"/>
        <v>1.8471923633066496</v>
      </c>
      <c r="DZ56" s="5">
        <f t="shared" si="77"/>
        <v>1.4427864197660112</v>
      </c>
      <c r="EA56" s="173">
        <f t="shared" si="120"/>
        <v>0.35348267284267265</v>
      </c>
      <c r="EB56" s="173">
        <f t="shared" si="78"/>
        <v>8.5679999999999961</v>
      </c>
      <c r="EC56" s="173">
        <f t="shared" si="79"/>
        <v>0.65295049383620773</v>
      </c>
      <c r="ED56" s="173">
        <f t="shared" si="121"/>
        <v>13.121974913689664</v>
      </c>
      <c r="EE56" s="460">
        <f t="shared" si="80"/>
        <v>3.1406997064418656</v>
      </c>
      <c r="EF56" s="5">
        <f t="shared" si="81"/>
        <v>0.53645544884363938</v>
      </c>
      <c r="EG56" s="5"/>
      <c r="EH56" s="173">
        <f t="shared" si="122"/>
        <v>0.693351595560315</v>
      </c>
      <c r="EI56" s="173">
        <f t="shared" si="82"/>
        <v>0.93769054860010448</v>
      </c>
      <c r="EJ56" s="173"/>
      <c r="EK56" s="528">
        <f t="shared" si="83"/>
        <v>9.6147287013206937E-3</v>
      </c>
      <c r="EL56" s="528">
        <f t="shared" si="84"/>
        <v>0.57688372207924177</v>
      </c>
      <c r="EM56" s="528">
        <f t="shared" si="85"/>
        <v>4.3749999999999997E-2</v>
      </c>
      <c r="EN56" s="528">
        <f t="shared" si="86"/>
        <v>5.8262399999999999E-2</v>
      </c>
      <c r="EO56">
        <f t="shared" si="87"/>
        <v>1.0800000000000001E-2</v>
      </c>
      <c r="EP56" s="460">
        <f t="shared" si="123"/>
        <v>54.550000000000004</v>
      </c>
      <c r="EQ56" s="528">
        <f t="shared" si="88"/>
        <v>0.70351397674521965</v>
      </c>
      <c r="ER56" s="460">
        <f t="shared" si="124"/>
        <v>703.51397674521968</v>
      </c>
      <c r="ES56" s="528">
        <f t="shared" si="125"/>
        <v>0.31683749999999999</v>
      </c>
      <c r="ET56" s="528"/>
      <c r="EV56" s="460">
        <f t="shared" si="126"/>
        <v>316.83749999999998</v>
      </c>
      <c r="EW56" s="528">
        <f t="shared" si="89"/>
        <v>1.4422093051981038E-2</v>
      </c>
      <c r="EX56" s="528">
        <f t="shared" si="90"/>
        <v>2.6377906948018944E-2</v>
      </c>
      <c r="EY56" s="528">
        <f t="shared" si="91"/>
        <v>0.66445461024590002</v>
      </c>
      <c r="EZ56" s="528">
        <f t="shared" si="92"/>
        <v>0.71738816521716886</v>
      </c>
      <c r="FA56" s="528">
        <f t="shared" si="93"/>
        <v>7.139999999999997E-3</v>
      </c>
      <c r="FB56" s="460">
        <f t="shared" si="127"/>
        <v>724.52816521716886</v>
      </c>
      <c r="FC56" s="173">
        <f t="shared" si="128"/>
        <v>1.7448796419623884</v>
      </c>
      <c r="FD56" s="5">
        <f t="shared" si="129"/>
        <v>8.363999999999999</v>
      </c>
      <c r="FE56" s="173">
        <f t="shared" si="130"/>
        <v>0.82739139214603774</v>
      </c>
      <c r="FF56" s="5">
        <f t="shared" si="131"/>
        <v>82.739139214603767</v>
      </c>
      <c r="FI56" s="562">
        <f t="shared" si="94"/>
        <v>-50</v>
      </c>
      <c r="FJ56">
        <f t="shared" si="95"/>
        <v>-50</v>
      </c>
      <c r="FL56">
        <f t="shared" si="181"/>
        <v>0.50497524691810391</v>
      </c>
    </row>
    <row r="57" spans="5:168">
      <c r="E57" s="170">
        <v>52</v>
      </c>
      <c r="F57" s="217">
        <f t="shared" si="182"/>
        <v>0.52</v>
      </c>
      <c r="G57" s="217"/>
      <c r="H57" s="217">
        <f t="shared" si="132"/>
        <v>8.5279999999999987</v>
      </c>
      <c r="I57" s="541">
        <f t="shared" si="133"/>
        <v>23.949620487913286</v>
      </c>
      <c r="J57" s="172">
        <f t="shared" si="134"/>
        <v>16.830227707252025</v>
      </c>
      <c r="K57" s="172">
        <f t="shared" si="135"/>
        <v>40.830227707252021</v>
      </c>
      <c r="L57" s="443"/>
      <c r="M57" s="217">
        <f t="shared" si="136"/>
        <v>0.4127147019726598</v>
      </c>
      <c r="N57" s="172">
        <f t="shared" si="137"/>
        <v>33.244399087885618</v>
      </c>
      <c r="O57" s="172">
        <f t="shared" si="98"/>
        <v>8.5279999999999987</v>
      </c>
      <c r="P57" s="217">
        <f t="shared" si="138"/>
        <v>2.0270975053588796</v>
      </c>
      <c r="Q57" s="217">
        <f t="shared" si="139"/>
        <v>16.399999999999999</v>
      </c>
      <c r="R57" s="217">
        <f t="shared" si="140"/>
        <v>2.0090163581356588</v>
      </c>
      <c r="S57" s="172">
        <f t="shared" si="141"/>
        <v>129.64725213253226</v>
      </c>
      <c r="T57" s="172">
        <f t="shared" si="142"/>
        <v>16.399999999999999</v>
      </c>
      <c r="U57" s="217">
        <f t="shared" si="143"/>
        <v>1.7708599270121426</v>
      </c>
      <c r="V57" s="217">
        <f t="shared" si="11"/>
        <v>0.88729252034996386</v>
      </c>
      <c r="W57" s="217">
        <f t="shared" si="144"/>
        <v>1.2626281410909908</v>
      </c>
      <c r="X57" s="197">
        <f t="shared" si="145"/>
        <v>350</v>
      </c>
      <c r="Y57" s="443">
        <f t="shared" si="14"/>
        <v>350</v>
      </c>
      <c r="AA57" s="217">
        <f t="shared" si="146"/>
        <v>2.3533890725400708</v>
      </c>
      <c r="AB57" s="173">
        <f t="shared" si="147"/>
        <v>1.6779730709354661</v>
      </c>
      <c r="AC57" s="173">
        <f t="shared" si="148"/>
        <v>0.69106161060230542</v>
      </c>
      <c r="AD57" s="173"/>
      <c r="AE57" s="173">
        <f t="shared" si="149"/>
        <v>0.95067044120298605</v>
      </c>
      <c r="AF57" s="545">
        <f t="shared" si="150"/>
        <v>820.47360072853598</v>
      </c>
      <c r="AG57" s="528">
        <f t="shared" si="151"/>
        <v>0.22182310294736343</v>
      </c>
      <c r="AI57" s="173">
        <f t="shared" si="152"/>
        <v>2.0414418816320619</v>
      </c>
      <c r="AJ57" s="173">
        <f t="shared" si="153"/>
        <v>2.0414418816320619</v>
      </c>
      <c r="AK57" s="173">
        <f t="shared" si="154"/>
        <v>1.7245248505916506</v>
      </c>
      <c r="AM57" s="545">
        <f t="shared" si="155"/>
        <v>520</v>
      </c>
      <c r="AN57" s="460">
        <f t="shared" si="156"/>
        <v>350</v>
      </c>
      <c r="AP57">
        <f t="shared" si="157"/>
        <v>520</v>
      </c>
      <c r="AQ57" s="460">
        <f t="shared" si="158"/>
        <v>350</v>
      </c>
      <c r="AR57" s="460"/>
      <c r="AS57" s="5">
        <f t="shared" si="101"/>
        <v>2.8571428571428572</v>
      </c>
      <c r="AT57" s="5">
        <f t="shared" si="159"/>
        <v>1.0228680906216387</v>
      </c>
      <c r="AU57" s="5">
        <f t="shared" si="102"/>
        <v>1.8342747665212185</v>
      </c>
      <c r="AV57" s="5">
        <f t="shared" si="160"/>
        <v>1.4555538407260546</v>
      </c>
      <c r="AW57" s="173">
        <f t="shared" si="103"/>
        <v>0.35800383171757355</v>
      </c>
      <c r="AX57" s="173">
        <f t="shared" si="161"/>
        <v>8.751718407771051</v>
      </c>
      <c r="AY57" s="173">
        <f t="shared" si="162"/>
        <v>0.65529893288952523</v>
      </c>
      <c r="AZ57" s="173">
        <f t="shared" si="104"/>
        <v>13.355306972926927</v>
      </c>
      <c r="BA57" s="460">
        <f t="shared" si="163"/>
        <v>3.2432402873369033</v>
      </c>
      <c r="BB57" s="5">
        <f t="shared" si="164"/>
        <v>0.54429168709887576</v>
      </c>
      <c r="BC57" s="5"/>
      <c r="BD57" s="173">
        <f t="shared" si="105"/>
        <v>0.70521287162163648</v>
      </c>
      <c r="BE57" s="173">
        <f t="shared" si="165"/>
        <v>0.94437093227519264</v>
      </c>
      <c r="BF57" s="173"/>
      <c r="BG57" s="528">
        <f t="shared" si="166"/>
        <v>9.9465038860166947E-3</v>
      </c>
      <c r="BH57" s="528">
        <f t="shared" si="167"/>
        <v>0.54700102326291267</v>
      </c>
      <c r="BI57" s="528">
        <f t="shared" si="168"/>
        <v>0.20955917926924125</v>
      </c>
      <c r="BJ57" s="528">
        <f t="shared" si="169"/>
        <v>5.8348762311911773E-2</v>
      </c>
      <c r="BK57">
        <f t="shared" si="170"/>
        <v>1.0777329219560979E-2</v>
      </c>
      <c r="BL57" s="460">
        <f t="shared" si="106"/>
        <v>220.33650848880222</v>
      </c>
      <c r="BM57" s="528">
        <f t="shared" si="171"/>
        <v>0.61944577509672583</v>
      </c>
      <c r="BN57" s="460">
        <f t="shared" si="107"/>
        <v>619.44577509672581</v>
      </c>
      <c r="BO57" s="528">
        <f t="shared" si="172"/>
        <v>0.32304999999999995</v>
      </c>
      <c r="BP57" s="528"/>
      <c r="BR57" s="460">
        <f t="shared" si="109"/>
        <v>323.04999999999995</v>
      </c>
      <c r="BS57" s="528">
        <f t="shared" si="173"/>
        <v>1.4919755829025041E-2</v>
      </c>
      <c r="BT57" s="528">
        <f t="shared" si="174"/>
        <v>2.6755093731789494E-2</v>
      </c>
      <c r="BU57" s="528">
        <f t="shared" si="175"/>
        <v>0.12791999999999998</v>
      </c>
      <c r="BV57" s="528">
        <f t="shared" si="176"/>
        <v>0.18019759005194089</v>
      </c>
      <c r="BW57" s="528">
        <f t="shared" si="177"/>
        <v>7.293098673142543E-3</v>
      </c>
      <c r="BX57" s="460">
        <f t="shared" si="110"/>
        <v>187.49068872508343</v>
      </c>
      <c r="BY57" s="173">
        <f t="shared" si="45"/>
        <v>1.3503229723106114</v>
      </c>
      <c r="BZ57" s="5">
        <f t="shared" si="111"/>
        <v>8.5279999999999987</v>
      </c>
      <c r="CA57" s="173">
        <f t="shared" si="112"/>
        <v>0.86330443172432936</v>
      </c>
      <c r="CB57" s="5">
        <f t="shared" si="113"/>
        <v>86.330443172432936</v>
      </c>
      <c r="CE57" s="562">
        <f t="shared" si="178"/>
        <v>-50</v>
      </c>
      <c r="CF57">
        <f t="shared" si="179"/>
        <v>-50</v>
      </c>
      <c r="CG57" s="173">
        <f t="shared" si="180"/>
        <v>0.51608280674193574</v>
      </c>
      <c r="CI57" s="170">
        <v>52</v>
      </c>
      <c r="CJ57" s="217">
        <f t="shared" si="114"/>
        <v>0.52</v>
      </c>
      <c r="CK57" s="217"/>
      <c r="CL57" s="217">
        <f t="shared" si="49"/>
        <v>8.5279999999999987</v>
      </c>
      <c r="CM57" s="541">
        <f t="shared" si="50"/>
        <v>24</v>
      </c>
      <c r="CN57" s="172">
        <f t="shared" si="51"/>
        <v>16.799999999999997</v>
      </c>
      <c r="CO57" s="443">
        <f t="shared" si="52"/>
        <v>40.799999999999997</v>
      </c>
      <c r="CP57" s="443"/>
      <c r="CQ57" s="217">
        <f t="shared" si="53"/>
        <v>0.41176470588235292</v>
      </c>
      <c r="CR57" s="172">
        <f t="shared" si="54"/>
        <v>33.237647058823534</v>
      </c>
      <c r="CS57" s="172">
        <f t="shared" si="115"/>
        <v>8.5279999999999987</v>
      </c>
      <c r="CT57" s="217">
        <f t="shared" si="55"/>
        <v>2.026685796269728</v>
      </c>
      <c r="CU57" s="217">
        <f t="shared" si="56"/>
        <v>16.399999999999999</v>
      </c>
      <c r="CV57" s="217">
        <f t="shared" si="57"/>
        <v>2.0086083213773311</v>
      </c>
      <c r="CW57" s="172">
        <f t="shared" si="58"/>
        <v>129.91981877364023</v>
      </c>
      <c r="CX57" s="172">
        <f t="shared" si="59"/>
        <v>16.399999999999999</v>
      </c>
      <c r="CY57" s="217">
        <f t="shared" si="60"/>
        <v>1.7259047619047616</v>
      </c>
      <c r="CZ57" s="217">
        <f t="shared" si="61"/>
        <v>0.8629523809523808</v>
      </c>
      <c r="DA57" s="217">
        <f t="shared" si="62"/>
        <v>1.2327891156462585</v>
      </c>
      <c r="DB57" s="197">
        <f t="shared" si="63"/>
        <v>350</v>
      </c>
      <c r="DC57" s="443">
        <f t="shared" si="116"/>
        <v>350</v>
      </c>
      <c r="DE57" s="217">
        <f t="shared" si="64"/>
        <v>2.3529411764705879</v>
      </c>
      <c r="DF57" s="173">
        <f t="shared" si="65"/>
        <v>1.6806722689075633</v>
      </c>
      <c r="DG57" s="173">
        <f t="shared" si="66"/>
        <v>0.69204152249134954</v>
      </c>
      <c r="DH57" s="173"/>
      <c r="DI57" s="173">
        <f t="shared" si="67"/>
        <v>0.95238095238095266</v>
      </c>
      <c r="DJ57" s="545">
        <f t="shared" si="117"/>
        <v>818.99999999999966</v>
      </c>
      <c r="DK57" s="528">
        <f t="shared" si="68"/>
        <v>0.22222222222222232</v>
      </c>
      <c r="DM57" s="173">
        <f t="shared" si="69"/>
        <v>2.0396078054371136</v>
      </c>
      <c r="DN57" s="173">
        <f t="shared" si="70"/>
        <v>2.0396078054371136</v>
      </c>
      <c r="DO57" s="173">
        <f t="shared" si="71"/>
        <v>1.7231662756324297</v>
      </c>
      <c r="DQ57" s="545">
        <f t="shared" si="72"/>
        <v>520</v>
      </c>
      <c r="DR57" s="460">
        <f t="shared" si="73"/>
        <v>350</v>
      </c>
      <c r="DT57">
        <f t="shared" si="74"/>
        <v>520</v>
      </c>
      <c r="DU57" s="460">
        <f t="shared" si="75"/>
        <v>350</v>
      </c>
      <c r="DV57" s="460"/>
      <c r="DW57" s="5">
        <f t="shared" si="118"/>
        <v>2.8571428571428572</v>
      </c>
      <c r="DX57" s="5">
        <f t="shared" si="76"/>
        <v>1.0198039027185568</v>
      </c>
      <c r="DY57" s="5">
        <f t="shared" si="119"/>
        <v>1.8373389544243004</v>
      </c>
      <c r="DZ57" s="5">
        <f t="shared" si="77"/>
        <v>1.4568627181693672</v>
      </c>
      <c r="EA57" s="173">
        <f t="shared" si="120"/>
        <v>0.35693136595149488</v>
      </c>
      <c r="EB57" s="173">
        <f t="shared" si="78"/>
        <v>8.7359999999999971</v>
      </c>
      <c r="EC57" s="173">
        <f t="shared" si="79"/>
        <v>0.65580390271855693</v>
      </c>
      <c r="ED57" s="173">
        <f t="shared" si="121"/>
        <v>13.321055217552001</v>
      </c>
      <c r="EE57" s="460">
        <f t="shared" si="80"/>
        <v>3.2335245695954247</v>
      </c>
      <c r="EF57" s="5">
        <f t="shared" si="81"/>
        <v>0.54405647928230649</v>
      </c>
      <c r="EG57" s="5"/>
      <c r="EH57" s="173">
        <f t="shared" si="122"/>
        <v>0.70352315345888894</v>
      </c>
      <c r="EI57" s="173">
        <f t="shared" si="82"/>
        <v>0.94431024521283613</v>
      </c>
      <c r="EJ57" s="173"/>
      <c r="EK57" s="528">
        <f t="shared" si="83"/>
        <v>9.8988965490547885E-3</v>
      </c>
      <c r="EL57" s="528">
        <f t="shared" si="84"/>
        <v>0.58251198923283964</v>
      </c>
      <c r="EM57" s="528">
        <f t="shared" si="85"/>
        <v>4.3749999999999997E-2</v>
      </c>
      <c r="EN57" s="528">
        <f t="shared" si="86"/>
        <v>5.8262399999999999E-2</v>
      </c>
      <c r="EO57">
        <f t="shared" si="87"/>
        <v>1.0800000000000001E-2</v>
      </c>
      <c r="EP57" s="460">
        <f t="shared" si="123"/>
        <v>54.550000000000004</v>
      </c>
      <c r="EQ57" s="528">
        <f t="shared" si="88"/>
        <v>0.70956486868317259</v>
      </c>
      <c r="ER57" s="460">
        <f t="shared" si="124"/>
        <v>709.56486868317256</v>
      </c>
      <c r="ES57" s="528">
        <f t="shared" si="125"/>
        <v>0.32304999999999995</v>
      </c>
      <c r="ET57" s="528"/>
      <c r="EV57" s="460">
        <f t="shared" si="126"/>
        <v>323.04999999999995</v>
      </c>
      <c r="EW57" s="528">
        <f t="shared" si="89"/>
        <v>1.4848344823582181E-2</v>
      </c>
      <c r="EX57" s="528">
        <f t="shared" si="90"/>
        <v>2.67516551764178E-2</v>
      </c>
      <c r="EY57" s="528">
        <f t="shared" si="91"/>
        <v>0.68077998426692088</v>
      </c>
      <c r="EZ57" s="528">
        <f t="shared" si="92"/>
        <v>0.73480943005012767</v>
      </c>
      <c r="FA57" s="528">
        <f t="shared" si="93"/>
        <v>7.2799999999999974E-3</v>
      </c>
      <c r="FB57" s="460">
        <f t="shared" si="127"/>
        <v>742.08943005012759</v>
      </c>
      <c r="FC57" s="173">
        <f t="shared" si="128"/>
        <v>1.7747042987333004</v>
      </c>
      <c r="FD57" s="5">
        <f t="shared" si="129"/>
        <v>8.5279999999999987</v>
      </c>
      <c r="FE57" s="173">
        <f t="shared" si="130"/>
        <v>0.82774383819290065</v>
      </c>
      <c r="FF57" s="5">
        <f t="shared" si="131"/>
        <v>82.774383819290065</v>
      </c>
      <c r="FI57" s="562">
        <f t="shared" si="94"/>
        <v>-50</v>
      </c>
      <c r="FJ57">
        <f t="shared" si="95"/>
        <v>-50</v>
      </c>
      <c r="FL57">
        <f t="shared" si="181"/>
        <v>0.50990195135927852</v>
      </c>
    </row>
    <row r="58" spans="5:168">
      <c r="E58" s="170">
        <v>53</v>
      </c>
      <c r="F58" s="217">
        <f t="shared" si="182"/>
        <v>0.53</v>
      </c>
      <c r="G58" s="217"/>
      <c r="H58" s="217">
        <f t="shared" si="132"/>
        <v>8.6920000000000002</v>
      </c>
      <c r="I58" s="541">
        <f t="shared" si="133"/>
        <v>23.949138376334364</v>
      </c>
      <c r="J58" s="172">
        <f t="shared" si="134"/>
        <v>16.83051697419938</v>
      </c>
      <c r="K58" s="172">
        <f t="shared" si="135"/>
        <v>40.830516974199384</v>
      </c>
      <c r="L58" s="443"/>
      <c r="M58" s="217">
        <f t="shared" si="136"/>
        <v>0.41272379750443666</v>
      </c>
      <c r="N58" s="172">
        <f t="shared" si="137"/>
        <v>33.244462505595727</v>
      </c>
      <c r="O58" s="172">
        <f t="shared" si="98"/>
        <v>8.6920000000000002</v>
      </c>
      <c r="P58" s="217">
        <f t="shared" si="138"/>
        <v>2.0271013722924227</v>
      </c>
      <c r="Q58" s="217">
        <f t="shared" si="139"/>
        <v>16.399999999999999</v>
      </c>
      <c r="R58" s="217">
        <f t="shared" si="140"/>
        <v>2.0090201905772274</v>
      </c>
      <c r="S58" s="172">
        <f t="shared" si="141"/>
        <v>126.74971496462504</v>
      </c>
      <c r="T58" s="172">
        <f t="shared" si="142"/>
        <v>16.399999999999999</v>
      </c>
      <c r="U58" s="217">
        <f t="shared" si="143"/>
        <v>1.804942879509932</v>
      </c>
      <c r="V58" s="217">
        <f t="shared" si="11"/>
        <v>0.90438804994847344</v>
      </c>
      <c r="W58" s="217">
        <f t="shared" si="144"/>
        <v>1.2869072641869641</v>
      </c>
      <c r="X58" s="197">
        <f t="shared" si="145"/>
        <v>350</v>
      </c>
      <c r="Y58" s="443">
        <f t="shared" si="14"/>
        <v>350</v>
      </c>
      <c r="AA58" s="217">
        <f t="shared" si="146"/>
        <v>2.353393274962265</v>
      </c>
      <c r="AB58" s="173">
        <f t="shared" si="147"/>
        <v>1.677947227814764</v>
      </c>
      <c r="AC58" s="173">
        <f t="shared" si="148"/>
        <v>0.69105220129414724</v>
      </c>
      <c r="AD58" s="173"/>
      <c r="AE58" s="173">
        <f t="shared" si="149"/>
        <v>0.95065410198198119</v>
      </c>
      <c r="AF58" s="545">
        <f t="shared" si="150"/>
        <v>836.26631215553152</v>
      </c>
      <c r="AG58" s="528">
        <f t="shared" si="151"/>
        <v>0.22181929046246229</v>
      </c>
      <c r="AI58" s="173">
        <f t="shared" si="152"/>
        <v>2.0609953670525862</v>
      </c>
      <c r="AJ58" s="173">
        <f t="shared" si="153"/>
        <v>2.0609953670525862</v>
      </c>
      <c r="AK58" s="173">
        <f t="shared" si="154"/>
        <v>1.7390089138661131</v>
      </c>
      <c r="AM58" s="545">
        <f t="shared" si="155"/>
        <v>530</v>
      </c>
      <c r="AN58" s="460">
        <f t="shared" si="156"/>
        <v>350</v>
      </c>
      <c r="AP58">
        <f t="shared" si="157"/>
        <v>530</v>
      </c>
      <c r="AQ58" s="460">
        <f t="shared" si="158"/>
        <v>350</v>
      </c>
      <c r="AR58" s="460"/>
      <c r="AS58" s="5">
        <f t="shared" si="101"/>
        <v>2.8571428571428572</v>
      </c>
      <c r="AT58" s="5">
        <f t="shared" si="159"/>
        <v>1.0326861875360918</v>
      </c>
      <c r="AU58" s="5">
        <f t="shared" si="102"/>
        <v>1.8244566696067654</v>
      </c>
      <c r="AV58" s="5">
        <f t="shared" si="160"/>
        <v>1.4694702748908</v>
      </c>
      <c r="AW58" s="173">
        <f t="shared" si="103"/>
        <v>0.36144016563763209</v>
      </c>
      <c r="AX58" s="173">
        <f t="shared" si="161"/>
        <v>8.920173996325671</v>
      </c>
      <c r="AY58" s="173">
        <f t="shared" si="162"/>
        <v>0.65803443010335361</v>
      </c>
      <c r="AZ58" s="173">
        <f t="shared" si="104"/>
        <v>13.555786123417025</v>
      </c>
      <c r="BA58" s="460">
        <f t="shared" si="163"/>
        <v>3.3373395085007846</v>
      </c>
      <c r="BB58" s="5">
        <f t="shared" si="164"/>
        <v>0.55180055342799783</v>
      </c>
      <c r="BC58" s="5"/>
      <c r="BD58" s="173">
        <f t="shared" si="105"/>
        <v>0.71537637632321993</v>
      </c>
      <c r="BE58" s="173">
        <f t="shared" si="165"/>
        <v>0.95086133296925435</v>
      </c>
      <c r="BF58" s="173"/>
      <c r="BG58" s="528">
        <f t="shared" si="166"/>
        <v>1.0235267196026823E-2</v>
      </c>
      <c r="BH58" s="528">
        <f t="shared" si="167"/>
        <v>0.55224426021310158</v>
      </c>
      <c r="BI58" s="528">
        <f t="shared" si="168"/>
        <v>0.20955496079292568</v>
      </c>
      <c r="BJ58" s="528">
        <f t="shared" si="169"/>
        <v>5.8349589073313439E-2</v>
      </c>
      <c r="BK58">
        <f t="shared" si="170"/>
        <v>1.0777112269350464E-2</v>
      </c>
      <c r="BL58" s="460">
        <f t="shared" si="106"/>
        <v>220.33207306227615</v>
      </c>
      <c r="BM58" s="528">
        <f t="shared" si="171"/>
        <v>0.62511285024443042</v>
      </c>
      <c r="BN58" s="460">
        <f t="shared" si="107"/>
        <v>625.11285024443043</v>
      </c>
      <c r="BO58" s="528">
        <f t="shared" si="172"/>
        <v>0.32926249999999996</v>
      </c>
      <c r="BP58" s="528"/>
      <c r="BR58" s="460">
        <f t="shared" si="109"/>
        <v>329.26249999999993</v>
      </c>
      <c r="BS58" s="528">
        <f t="shared" si="173"/>
        <v>1.5352900794040234E-2</v>
      </c>
      <c r="BT58" s="528">
        <f t="shared" si="174"/>
        <v>2.7124118236082014E-2</v>
      </c>
      <c r="BU58" s="528">
        <f t="shared" si="175"/>
        <v>0.13038</v>
      </c>
      <c r="BV58" s="528">
        <f t="shared" si="176"/>
        <v>0.18367566316853401</v>
      </c>
      <c r="BW58" s="528">
        <f t="shared" si="177"/>
        <v>7.433478330271393E-3</v>
      </c>
      <c r="BX58" s="460">
        <f t="shared" si="110"/>
        <v>191.1091414988054</v>
      </c>
      <c r="BY58" s="173">
        <f t="shared" si="45"/>
        <v>1.3658165648055121</v>
      </c>
      <c r="BZ58" s="5">
        <f t="shared" si="111"/>
        <v>8.6920000000000002</v>
      </c>
      <c r="CA58" s="173">
        <f t="shared" si="112"/>
        <v>0.8642034723933224</v>
      </c>
      <c r="CB58" s="5">
        <f t="shared" si="113"/>
        <v>86.420347239332244</v>
      </c>
      <c r="CE58" s="562">
        <f t="shared" si="178"/>
        <v>-50</v>
      </c>
      <c r="CF58">
        <f t="shared" si="179"/>
        <v>-50</v>
      </c>
      <c r="CG58" s="173">
        <f t="shared" si="180"/>
        <v>0.52102151072114711</v>
      </c>
      <c r="CI58" s="170">
        <v>53</v>
      </c>
      <c r="CJ58" s="217">
        <f t="shared" si="114"/>
        <v>0.53</v>
      </c>
      <c r="CK58" s="217"/>
      <c r="CL58" s="217">
        <f t="shared" si="49"/>
        <v>8.6920000000000002</v>
      </c>
      <c r="CM58" s="541">
        <f t="shared" si="50"/>
        <v>24</v>
      </c>
      <c r="CN58" s="172">
        <f t="shared" si="51"/>
        <v>16.799999999999997</v>
      </c>
      <c r="CO58" s="443">
        <f t="shared" si="52"/>
        <v>40.799999999999997</v>
      </c>
      <c r="CP58" s="443"/>
      <c r="CQ58" s="217">
        <f t="shared" si="53"/>
        <v>0.41176470588235292</v>
      </c>
      <c r="CR58" s="172">
        <f t="shared" si="54"/>
        <v>33.237647058823534</v>
      </c>
      <c r="CS58" s="172">
        <f t="shared" si="115"/>
        <v>8.6920000000000002</v>
      </c>
      <c r="CT58" s="217">
        <f t="shared" si="55"/>
        <v>2.026685796269728</v>
      </c>
      <c r="CU58" s="217">
        <f t="shared" si="56"/>
        <v>16.399999999999999</v>
      </c>
      <c r="CV58" s="217">
        <f t="shared" si="57"/>
        <v>2.0086083213773311</v>
      </c>
      <c r="CW58" s="172">
        <f t="shared" si="58"/>
        <v>127.01873836308454</v>
      </c>
      <c r="CX58" s="172">
        <f t="shared" si="59"/>
        <v>16.399999999999999</v>
      </c>
      <c r="CY58" s="217">
        <f t="shared" si="60"/>
        <v>1.759095238095238</v>
      </c>
      <c r="CZ58" s="217">
        <f t="shared" si="61"/>
        <v>0.87954761904761913</v>
      </c>
      <c r="DA58" s="217">
        <f t="shared" si="62"/>
        <v>1.2564965986394561</v>
      </c>
      <c r="DB58" s="197">
        <f t="shared" si="63"/>
        <v>350</v>
      </c>
      <c r="DC58" s="443">
        <f t="shared" si="116"/>
        <v>350</v>
      </c>
      <c r="DE58" s="217">
        <f t="shared" si="64"/>
        <v>2.3529411764705879</v>
      </c>
      <c r="DF58" s="173">
        <f t="shared" si="65"/>
        <v>1.6806722689075633</v>
      </c>
      <c r="DG58" s="173">
        <f t="shared" si="66"/>
        <v>0.69204152249134954</v>
      </c>
      <c r="DH58" s="173"/>
      <c r="DI58" s="173">
        <f t="shared" si="67"/>
        <v>0.95238095238095266</v>
      </c>
      <c r="DJ58" s="545">
        <f t="shared" si="117"/>
        <v>834.74999999999966</v>
      </c>
      <c r="DK58" s="528">
        <f t="shared" si="68"/>
        <v>0.22222222222222232</v>
      </c>
      <c r="DM58" s="173">
        <f t="shared" si="69"/>
        <v>2.0591260281974</v>
      </c>
      <c r="DN58" s="173">
        <f t="shared" si="70"/>
        <v>2.0591260281974</v>
      </c>
      <c r="DO58" s="173">
        <f t="shared" si="71"/>
        <v>1.737624218417827</v>
      </c>
      <c r="DQ58" s="545">
        <f t="shared" si="72"/>
        <v>530</v>
      </c>
      <c r="DR58" s="460">
        <f t="shared" si="73"/>
        <v>350</v>
      </c>
      <c r="DT58">
        <f t="shared" si="74"/>
        <v>530</v>
      </c>
      <c r="DU58" s="460">
        <f t="shared" si="75"/>
        <v>350</v>
      </c>
      <c r="DV58" s="460"/>
      <c r="DW58" s="5">
        <f t="shared" si="118"/>
        <v>2.8571428571428572</v>
      </c>
      <c r="DX58" s="5">
        <f t="shared" si="76"/>
        <v>1.0295630140987</v>
      </c>
      <c r="DY58" s="5">
        <f t="shared" si="119"/>
        <v>1.8275798430441572</v>
      </c>
      <c r="DZ58" s="5">
        <f t="shared" si="77"/>
        <v>1.4708043058552858</v>
      </c>
      <c r="EA58" s="173">
        <f t="shared" si="120"/>
        <v>0.360347054934545</v>
      </c>
      <c r="EB58" s="173">
        <f t="shared" si="78"/>
        <v>8.9039999999999981</v>
      </c>
      <c r="EC58" s="173">
        <f t="shared" si="79"/>
        <v>0.65856301409869999</v>
      </c>
      <c r="ED58" s="173">
        <f t="shared" si="121"/>
        <v>13.52034628331791</v>
      </c>
      <c r="EE58" s="460">
        <f t="shared" si="80"/>
        <v>3.3272463260506773</v>
      </c>
      <c r="EF58" s="5">
        <f t="shared" si="81"/>
        <v>0.55157374985207686</v>
      </c>
      <c r="EG58" s="5"/>
      <c r="EH58" s="173">
        <f t="shared" si="122"/>
        <v>0.71364592362563828</v>
      </c>
      <c r="EI58" s="173">
        <f t="shared" si="82"/>
        <v>0.9508116685368575</v>
      </c>
      <c r="EJ58" s="173"/>
      <c r="EK58" s="528">
        <f t="shared" si="83"/>
        <v>1.0185810086149808E-2</v>
      </c>
      <c r="EL58" s="528">
        <f t="shared" si="84"/>
        <v>0.5880863936531775</v>
      </c>
      <c r="EM58" s="528">
        <f t="shared" si="85"/>
        <v>4.3749999999999997E-2</v>
      </c>
      <c r="EN58" s="528">
        <f t="shared" si="86"/>
        <v>5.8262399999999999E-2</v>
      </c>
      <c r="EO58">
        <f t="shared" si="87"/>
        <v>1.0800000000000001E-2</v>
      </c>
      <c r="EP58" s="460">
        <f t="shared" si="123"/>
        <v>54.550000000000004</v>
      </c>
      <c r="EQ58" s="528">
        <f t="shared" si="88"/>
        <v>0.71556654975779643</v>
      </c>
      <c r="ER58" s="460">
        <f t="shared" si="124"/>
        <v>715.56654975779645</v>
      </c>
      <c r="ES58" s="528">
        <f t="shared" si="125"/>
        <v>0.32926249999999996</v>
      </c>
      <c r="ET58" s="528"/>
      <c r="EV58" s="460">
        <f t="shared" si="126"/>
        <v>329.26249999999993</v>
      </c>
      <c r="EW58" s="528">
        <f t="shared" si="89"/>
        <v>1.5278715129224709E-2</v>
      </c>
      <c r="EX58" s="528">
        <f t="shared" si="90"/>
        <v>2.7121284870775288E-2</v>
      </c>
      <c r="EY58" s="528">
        <f t="shared" si="91"/>
        <v>0.69718403889131497</v>
      </c>
      <c r="EZ58" s="528">
        <f t="shared" si="92"/>
        <v>0.75231188079095779</v>
      </c>
      <c r="FA58" s="528">
        <f t="shared" si="93"/>
        <v>7.4199999999999995E-3</v>
      </c>
      <c r="FB58" s="460">
        <f t="shared" si="127"/>
        <v>759.7318807909578</v>
      </c>
      <c r="FC58" s="173">
        <f t="shared" si="128"/>
        <v>1.8045609305487542</v>
      </c>
      <c r="FD58" s="5">
        <f t="shared" si="129"/>
        <v>8.6920000000000002</v>
      </c>
      <c r="FE58" s="173">
        <f t="shared" si="130"/>
        <v>0.82808074544712684</v>
      </c>
      <c r="FF58" s="5">
        <f t="shared" si="131"/>
        <v>82.808074544712682</v>
      </c>
      <c r="FI58" s="562">
        <f t="shared" si="94"/>
        <v>-50</v>
      </c>
      <c r="FJ58">
        <f t="shared" si="95"/>
        <v>-50</v>
      </c>
      <c r="FL58">
        <f t="shared" si="181"/>
        <v>0.51478150704935011</v>
      </c>
    </row>
    <row r="59" spans="5:168">
      <c r="E59" s="170">
        <v>54</v>
      </c>
      <c r="F59" s="217">
        <f t="shared" si="182"/>
        <v>0.54</v>
      </c>
      <c r="G59" s="217"/>
      <c r="H59" s="217">
        <f t="shared" si="132"/>
        <v>8.8559999999999999</v>
      </c>
      <c r="I59" s="541">
        <f t="shared" si="133"/>
        <v>23.948660791925523</v>
      </c>
      <c r="J59" s="172">
        <f t="shared" si="134"/>
        <v>16.830803524844683</v>
      </c>
      <c r="K59" s="172">
        <f t="shared" si="135"/>
        <v>40.830803524844683</v>
      </c>
      <c r="L59" s="443"/>
      <c r="M59" s="217">
        <f t="shared" si="136"/>
        <v>0.41273280770975834</v>
      </c>
      <c r="N59" s="172">
        <f t="shared" si="137"/>
        <v>33.244525305419621</v>
      </c>
      <c r="O59" s="172">
        <f t="shared" si="98"/>
        <v>8.8559999999999999</v>
      </c>
      <c r="P59" s="217">
        <f t="shared" si="138"/>
        <v>2.0271052015499773</v>
      </c>
      <c r="Q59" s="217">
        <f t="shared" si="139"/>
        <v>16.399999999999999</v>
      </c>
      <c r="R59" s="217">
        <f t="shared" si="140"/>
        <v>2.0090239856788674</v>
      </c>
      <c r="S59" s="172">
        <f t="shared" si="141"/>
        <v>123.95960901527702</v>
      </c>
      <c r="T59" s="172">
        <f t="shared" si="142"/>
        <v>16.399999999999999</v>
      </c>
      <c r="U59" s="217">
        <f t="shared" si="143"/>
        <v>1.8390266205544106</v>
      </c>
      <c r="V59" s="217">
        <f t="shared" si="11"/>
        <v>0.92148448877331091</v>
      </c>
      <c r="W59" s="217">
        <f t="shared" si="144"/>
        <v>1.3111863265516062</v>
      </c>
      <c r="X59" s="197">
        <f t="shared" si="145"/>
        <v>350</v>
      </c>
      <c r="Y59" s="443">
        <f t="shared" si="14"/>
        <v>350</v>
      </c>
      <c r="AA59" s="217">
        <f t="shared" si="146"/>
        <v>2.3533974363560364</v>
      </c>
      <c r="AB59" s="173">
        <f t="shared" si="147"/>
        <v>1.6779216271276063</v>
      </c>
      <c r="AC59" s="173">
        <f t="shared" si="148"/>
        <v>0.69104287974548018</v>
      </c>
      <c r="AD59" s="173"/>
      <c r="AE59" s="173">
        <f t="shared" si="149"/>
        <v>0.95063791674483666</v>
      </c>
      <c r="AF59" s="545">
        <f t="shared" si="150"/>
        <v>852.05942844526191</v>
      </c>
      <c r="AG59" s="528">
        <f t="shared" si="151"/>
        <v>0.22181551390712856</v>
      </c>
      <c r="AI59" s="173">
        <f t="shared" si="152"/>
        <v>2.0803655703718595</v>
      </c>
      <c r="AJ59" s="173">
        <f t="shared" si="153"/>
        <v>2.0803655703718595</v>
      </c>
      <c r="AK59" s="173">
        <f t="shared" si="154"/>
        <v>1.7533572126211303</v>
      </c>
      <c r="AM59" s="545">
        <f t="shared" si="155"/>
        <v>540</v>
      </c>
      <c r="AN59" s="460">
        <f t="shared" si="156"/>
        <v>350</v>
      </c>
      <c r="AP59">
        <f t="shared" si="157"/>
        <v>540</v>
      </c>
      <c r="AQ59" s="460">
        <f t="shared" si="158"/>
        <v>350</v>
      </c>
      <c r="AR59" s="460"/>
      <c r="AS59" s="5">
        <f t="shared" si="101"/>
        <v>2.8571428571428572</v>
      </c>
      <c r="AT59" s="5">
        <f t="shared" si="159"/>
        <v>1.0424126451730134</v>
      </c>
      <c r="AU59" s="5">
        <f t="shared" si="102"/>
        <v>1.8147302119698439</v>
      </c>
      <c r="AV59" s="5">
        <f t="shared" si="160"/>
        <v>1.483255793914491</v>
      </c>
      <c r="AW59" s="173">
        <f t="shared" si="103"/>
        <v>0.36484442581055465</v>
      </c>
      <c r="AX59" s="173">
        <f t="shared" si="161"/>
        <v>9.0886339034161292</v>
      </c>
      <c r="AY59" s="173">
        <f t="shared" si="162"/>
        <v>0.66067789418674572</v>
      </c>
      <c r="AZ59" s="173">
        <f t="shared" si="104"/>
        <v>13.756527928944383</v>
      </c>
      <c r="BA59" s="460">
        <f t="shared" si="163"/>
        <v>3.4323343194721176</v>
      </c>
      <c r="BB59" s="5">
        <f t="shared" si="164"/>
        <v>0.55922579891619251</v>
      </c>
      <c r="BC59" s="5"/>
      <c r="BD59" s="173">
        <f t="shared" si="105"/>
        <v>0.72549243461363444</v>
      </c>
      <c r="BE59" s="173">
        <f t="shared" si="165"/>
        <v>0.95723614090146303</v>
      </c>
      <c r="BF59" s="173"/>
      <c r="BG59" s="528">
        <f t="shared" si="166"/>
        <v>1.0526785453632373E-2</v>
      </c>
      <c r="BH59" s="528">
        <f t="shared" si="167"/>
        <v>0.55743842348056305</v>
      </c>
      <c r="BI59" s="528">
        <f t="shared" si="168"/>
        <v>0.20955078192934831</v>
      </c>
      <c r="BJ59" s="528">
        <f t="shared" si="169"/>
        <v>5.835040807695642E-2</v>
      </c>
      <c r="BK59">
        <f t="shared" si="170"/>
        <v>1.0776897356366485E-2</v>
      </c>
      <c r="BL59" s="460">
        <f t="shared" si="106"/>
        <v>220.32767928571479</v>
      </c>
      <c r="BM59" s="528">
        <f t="shared" si="171"/>
        <v>0.63073542195570098</v>
      </c>
      <c r="BN59" s="460">
        <f t="shared" si="107"/>
        <v>630.73542195570099</v>
      </c>
      <c r="BO59" s="528">
        <f t="shared" si="172"/>
        <v>0.33547499999999997</v>
      </c>
      <c r="BP59" s="528"/>
      <c r="BR59" s="460">
        <f t="shared" si="109"/>
        <v>335.47499999999997</v>
      </c>
      <c r="BS59" s="528">
        <f t="shared" si="173"/>
        <v>1.5790178180448557E-2</v>
      </c>
      <c r="BT59" s="528">
        <f t="shared" si="174"/>
        <v>2.7489030883437765E-2</v>
      </c>
      <c r="BU59" s="528">
        <f t="shared" si="175"/>
        <v>0.13283999999999999</v>
      </c>
      <c r="BV59" s="528">
        <f t="shared" si="176"/>
        <v>0.18715421013422587</v>
      </c>
      <c r="BW59" s="528">
        <f t="shared" si="177"/>
        <v>7.5738615861801074E-3</v>
      </c>
      <c r="BX59" s="460">
        <f t="shared" si="110"/>
        <v>194.72807172040598</v>
      </c>
      <c r="BY59" s="173">
        <f t="shared" si="45"/>
        <v>1.3812661729618216</v>
      </c>
      <c r="BZ59" s="5">
        <f t="shared" si="111"/>
        <v>8.8559999999999999</v>
      </c>
      <c r="CA59" s="173">
        <f t="shared" si="112"/>
        <v>0.8650747035756523</v>
      </c>
      <c r="CB59" s="5">
        <f t="shared" si="113"/>
        <v>86.507470357565225</v>
      </c>
      <c r="CE59" s="562">
        <f t="shared" si="178"/>
        <v>-50</v>
      </c>
      <c r="CF59">
        <f t="shared" si="179"/>
        <v>-50</v>
      </c>
      <c r="CG59" s="173">
        <f t="shared" si="180"/>
        <v>0.52591383881169984</v>
      </c>
      <c r="CI59" s="170">
        <v>54</v>
      </c>
      <c r="CJ59" s="217">
        <f t="shared" si="114"/>
        <v>0.54</v>
      </c>
      <c r="CK59" s="217"/>
      <c r="CL59" s="217">
        <f t="shared" si="49"/>
        <v>8.8559999999999999</v>
      </c>
      <c r="CM59" s="541">
        <f t="shared" si="50"/>
        <v>24</v>
      </c>
      <c r="CN59" s="172">
        <f t="shared" si="51"/>
        <v>16.799999999999997</v>
      </c>
      <c r="CO59" s="443">
        <f t="shared" si="52"/>
        <v>40.799999999999997</v>
      </c>
      <c r="CP59" s="443"/>
      <c r="CQ59" s="217">
        <f t="shared" si="53"/>
        <v>0.41176470588235292</v>
      </c>
      <c r="CR59" s="172">
        <f t="shared" si="54"/>
        <v>33.237647058823534</v>
      </c>
      <c r="CS59" s="172">
        <f t="shared" si="115"/>
        <v>8.8559999999999999</v>
      </c>
      <c r="CT59" s="217">
        <f t="shared" si="55"/>
        <v>2.026685796269728</v>
      </c>
      <c r="CU59" s="217">
        <f t="shared" si="56"/>
        <v>16.399999999999999</v>
      </c>
      <c r="CV59" s="217">
        <f t="shared" si="57"/>
        <v>2.0086083213773311</v>
      </c>
      <c r="CW59" s="172">
        <f t="shared" si="58"/>
        <v>124.22517913070691</v>
      </c>
      <c r="CX59" s="172">
        <f t="shared" si="59"/>
        <v>16.399999999999999</v>
      </c>
      <c r="CY59" s="217">
        <f t="shared" si="60"/>
        <v>1.7922857142857143</v>
      </c>
      <c r="CZ59" s="217">
        <f t="shared" si="61"/>
        <v>0.89614285714285724</v>
      </c>
      <c r="DA59" s="217">
        <f t="shared" si="62"/>
        <v>1.2802040816326532</v>
      </c>
      <c r="DB59" s="197">
        <f t="shared" si="63"/>
        <v>350</v>
      </c>
      <c r="DC59" s="443">
        <f t="shared" si="116"/>
        <v>350</v>
      </c>
      <c r="DE59" s="217">
        <f t="shared" si="64"/>
        <v>2.3529411764705879</v>
      </c>
      <c r="DF59" s="173">
        <f t="shared" si="65"/>
        <v>1.6806722689075633</v>
      </c>
      <c r="DG59" s="173">
        <f t="shared" si="66"/>
        <v>0.69204152249134954</v>
      </c>
      <c r="DH59" s="173"/>
      <c r="DI59" s="173">
        <f t="shared" si="67"/>
        <v>0.95238095238095266</v>
      </c>
      <c r="DJ59" s="545">
        <f t="shared" si="117"/>
        <v>850.49999999999966</v>
      </c>
      <c r="DK59" s="528">
        <f t="shared" si="68"/>
        <v>0.22222222222222232</v>
      </c>
      <c r="DM59" s="173">
        <f t="shared" si="69"/>
        <v>2.0784609690826525</v>
      </c>
      <c r="DN59" s="173">
        <f t="shared" si="70"/>
        <v>2.0784609690826525</v>
      </c>
      <c r="DO59" s="173">
        <f t="shared" si="71"/>
        <v>1.7519463968513473</v>
      </c>
      <c r="DQ59" s="545">
        <f t="shared" si="72"/>
        <v>540</v>
      </c>
      <c r="DR59" s="460">
        <f t="shared" si="73"/>
        <v>350</v>
      </c>
      <c r="DT59">
        <f t="shared" si="74"/>
        <v>540</v>
      </c>
      <c r="DU59" s="460">
        <f t="shared" si="75"/>
        <v>350</v>
      </c>
      <c r="DV59" s="460"/>
      <c r="DW59" s="5">
        <f t="shared" si="118"/>
        <v>2.8571428571428572</v>
      </c>
      <c r="DX59" s="5">
        <f t="shared" si="76"/>
        <v>1.0392304845413263</v>
      </c>
      <c r="DY59" s="5">
        <f t="shared" si="119"/>
        <v>1.8179123726015309</v>
      </c>
      <c r="DZ59" s="5">
        <f t="shared" si="77"/>
        <v>1.4846149779161806</v>
      </c>
      <c r="EA59" s="173">
        <f t="shared" si="120"/>
        <v>0.36373066958946421</v>
      </c>
      <c r="EB59" s="173">
        <f t="shared" si="78"/>
        <v>9.0719999999999992</v>
      </c>
      <c r="EC59" s="173">
        <f t="shared" si="79"/>
        <v>0.66123048454132638</v>
      </c>
      <c r="ED59" s="173">
        <f t="shared" si="121"/>
        <v>13.719875613860943</v>
      </c>
      <c r="EE59" s="460">
        <f t="shared" si="80"/>
        <v>3.4218564734897332</v>
      </c>
      <c r="EF59" s="5">
        <f t="shared" si="81"/>
        <v>0.55900805457497071</v>
      </c>
      <c r="EG59" s="5"/>
      <c r="EH59" s="173">
        <f t="shared" si="122"/>
        <v>0.7237210541422906</v>
      </c>
      <c r="EI59" s="173">
        <f t="shared" si="82"/>
        <v>0.95719790837170726</v>
      </c>
      <c r="EJ59" s="173"/>
      <c r="EK59" s="528">
        <f t="shared" si="83"/>
        <v>1.0475443284176567E-2</v>
      </c>
      <c r="EL59" s="528">
        <f t="shared" si="84"/>
        <v>0.59360845277000551</v>
      </c>
      <c r="EM59" s="528">
        <f t="shared" si="85"/>
        <v>4.3749999999999997E-2</v>
      </c>
      <c r="EN59" s="528">
        <f t="shared" si="86"/>
        <v>5.8262399999999999E-2</v>
      </c>
      <c r="EO59">
        <f t="shared" si="87"/>
        <v>1.0800000000000001E-2</v>
      </c>
      <c r="EP59" s="460">
        <f t="shared" si="123"/>
        <v>54.550000000000004</v>
      </c>
      <c r="EQ59" s="528">
        <f t="shared" si="88"/>
        <v>0.72152050525928624</v>
      </c>
      <c r="ER59" s="460">
        <f t="shared" si="124"/>
        <v>721.52050525928621</v>
      </c>
      <c r="ES59" s="528">
        <f t="shared" si="125"/>
        <v>0.33547499999999997</v>
      </c>
      <c r="ET59" s="528"/>
      <c r="EV59" s="460">
        <f t="shared" si="126"/>
        <v>335.47499999999997</v>
      </c>
      <c r="EW59" s="528">
        <f t="shared" si="89"/>
        <v>1.5713164926264848E-2</v>
      </c>
      <c r="EX59" s="528">
        <f t="shared" si="90"/>
        <v>2.7486835073735137E-2</v>
      </c>
      <c r="EY59" s="528">
        <f t="shared" si="91"/>
        <v>0.71366565795019454</v>
      </c>
      <c r="EZ59" s="528">
        <f t="shared" si="92"/>
        <v>0.7698944130416665</v>
      </c>
      <c r="FA59" s="528">
        <f t="shared" si="93"/>
        <v>7.5599999999999999E-3</v>
      </c>
      <c r="FB59" s="460">
        <f t="shared" si="127"/>
        <v>777.4544130416665</v>
      </c>
      <c r="FC59" s="173">
        <f t="shared" si="128"/>
        <v>1.8344499183009526</v>
      </c>
      <c r="FD59" s="5">
        <f t="shared" si="129"/>
        <v>8.8559999999999999</v>
      </c>
      <c r="FE59" s="173">
        <f t="shared" si="130"/>
        <v>0.82840292669436089</v>
      </c>
      <c r="FF59" s="5">
        <f t="shared" si="131"/>
        <v>82.840292669436081</v>
      </c>
      <c r="FI59" s="562">
        <f t="shared" si="94"/>
        <v>-50</v>
      </c>
      <c r="FJ59">
        <f t="shared" si="95"/>
        <v>-50</v>
      </c>
      <c r="FL59">
        <f t="shared" si="181"/>
        <v>0.51961524227066325</v>
      </c>
    </row>
    <row r="60" spans="5:168">
      <c r="E60" s="170">
        <v>55</v>
      </c>
      <c r="F60" s="217">
        <f t="shared" si="182"/>
        <v>0.55000000000000004</v>
      </c>
      <c r="G60" s="217"/>
      <c r="H60" s="217">
        <f t="shared" si="132"/>
        <v>9.02</v>
      </c>
      <c r="I60" s="541">
        <f t="shared" si="133"/>
        <v>23.948187609498078</v>
      </c>
      <c r="J60" s="172">
        <f t="shared" si="134"/>
        <v>16.83108743430115</v>
      </c>
      <c r="K60" s="172">
        <f t="shared" si="135"/>
        <v>40.831087434301153</v>
      </c>
      <c r="L60" s="443"/>
      <c r="M60" s="217">
        <f t="shared" si="136"/>
        <v>0.41274173494813715</v>
      </c>
      <c r="N60" s="172">
        <f t="shared" si="137"/>
        <v>33.244587504443288</v>
      </c>
      <c r="O60" s="172">
        <f t="shared" si="98"/>
        <v>9.02</v>
      </c>
      <c r="P60" s="217">
        <f t="shared" si="138"/>
        <v>2.0271089941733713</v>
      </c>
      <c r="Q60" s="217">
        <f t="shared" si="139"/>
        <v>16.399999999999999</v>
      </c>
      <c r="R60" s="217">
        <f t="shared" si="140"/>
        <v>2.0090277444731135</v>
      </c>
      <c r="S60" s="172">
        <f t="shared" si="141"/>
        <v>121.27107427246347</v>
      </c>
      <c r="T60" s="172">
        <f t="shared" si="142"/>
        <v>16.399999999999999</v>
      </c>
      <c r="U60" s="217">
        <f t="shared" si="143"/>
        <v>1.8731111428510168</v>
      </c>
      <c r="V60" s="217">
        <f t="shared" si="11"/>
        <v>0.9385818284343771</v>
      </c>
      <c r="W60" s="217">
        <f t="shared" si="144"/>
        <v>1.3354653287822749</v>
      </c>
      <c r="X60" s="197">
        <f t="shared" si="145"/>
        <v>350</v>
      </c>
      <c r="Y60" s="443">
        <f t="shared" si="14"/>
        <v>350</v>
      </c>
      <c r="AA60" s="217">
        <f t="shared" si="146"/>
        <v>2.3534015578559115</v>
      </c>
      <c r="AB60" s="173">
        <f t="shared" si="147"/>
        <v>1.6778962621700346</v>
      </c>
      <c r="AC60" s="173">
        <f t="shared" si="148"/>
        <v>0.6910336435295249</v>
      </c>
      <c r="AD60" s="173"/>
      <c r="AE60" s="173">
        <f t="shared" si="149"/>
        <v>0.95062188123344782</v>
      </c>
      <c r="AF60" s="545">
        <f t="shared" si="150"/>
        <v>867.85294583115285</v>
      </c>
      <c r="AG60" s="528">
        <f t="shared" si="151"/>
        <v>0.22181177228780449</v>
      </c>
      <c r="AI60" s="173">
        <f t="shared" si="152"/>
        <v>2.0995575598394232</v>
      </c>
      <c r="AJ60" s="173">
        <f t="shared" si="153"/>
        <v>2.0995575598394232</v>
      </c>
      <c r="AK60" s="173">
        <f t="shared" si="154"/>
        <v>1.7675735011156219</v>
      </c>
      <c r="AM60" s="545">
        <f t="shared" si="155"/>
        <v>550</v>
      </c>
      <c r="AN60" s="460">
        <f t="shared" si="156"/>
        <v>350</v>
      </c>
      <c r="AP60">
        <f t="shared" si="157"/>
        <v>550</v>
      </c>
      <c r="AQ60">
        <f t="shared" si="158"/>
        <v>350</v>
      </c>
      <c r="AS60" s="5">
        <f t="shared" si="101"/>
        <v>2.8571428571428572</v>
      </c>
      <c r="AT60" s="5">
        <f t="shared" si="159"/>
        <v>1.0520499976407662</v>
      </c>
      <c r="AU60" s="5">
        <f t="shared" si="102"/>
        <v>1.805092859502091</v>
      </c>
      <c r="AV60" s="5">
        <f t="shared" si="160"/>
        <v>1.4969140179693445</v>
      </c>
      <c r="AW60" s="173">
        <f t="shared" si="103"/>
        <v>0.36821749917426816</v>
      </c>
      <c r="AX60" s="173">
        <f t="shared" si="161"/>
        <v>9.2570980888656322</v>
      </c>
      <c r="AY60" s="173">
        <f t="shared" si="162"/>
        <v>0.66323186289146097</v>
      </c>
      <c r="AZ60" s="173">
        <f t="shared" si="104"/>
        <v>13.95755934961854</v>
      </c>
      <c r="BA60" s="460">
        <f t="shared" si="163"/>
        <v>3.5282164555025703</v>
      </c>
      <c r="BB60" s="5">
        <f t="shared" si="164"/>
        <v>0.56656819081691479</v>
      </c>
      <c r="BC60" s="5"/>
      <c r="BD60" s="173">
        <f t="shared" si="105"/>
        <v>0.73556214415882215</v>
      </c>
      <c r="BE60" s="173">
        <f t="shared" si="165"/>
        <v>0.96349830363460787</v>
      </c>
      <c r="BF60" s="173"/>
      <c r="BG60" s="528">
        <f t="shared" si="166"/>
        <v>1.0821033358390478E-2</v>
      </c>
      <c r="BH60" s="528">
        <f t="shared" si="167"/>
        <v>0.56258487008818137</v>
      </c>
      <c r="BI60" s="528">
        <f t="shared" si="168"/>
        <v>0.20954664158310815</v>
      </c>
      <c r="BJ60" s="528">
        <f t="shared" si="169"/>
        <v>5.8351219537364094E-2</v>
      </c>
      <c r="BK60">
        <f t="shared" si="170"/>
        <v>1.0776684424274135E-2</v>
      </c>
      <c r="BL60" s="460">
        <f t="shared" si="106"/>
        <v>220.32332600738226</v>
      </c>
      <c r="BM60" s="528">
        <f t="shared" si="171"/>
        <v>0.63631481671538959</v>
      </c>
      <c r="BN60" s="460">
        <f t="shared" si="107"/>
        <v>636.31481671538961</v>
      </c>
      <c r="BO60" s="528">
        <f t="shared" si="172"/>
        <v>0.34168749999999998</v>
      </c>
      <c r="BP60" s="528"/>
      <c r="BR60" s="460">
        <f t="shared" si="109"/>
        <v>341.6875</v>
      </c>
      <c r="BS60" s="528">
        <f t="shared" si="173"/>
        <v>1.6231550037585717E-2</v>
      </c>
      <c r="BT60" s="528">
        <f t="shared" si="174"/>
        <v>2.7849869433203008E-2</v>
      </c>
      <c r="BU60" s="528">
        <f t="shared" si="175"/>
        <v>0.13529999999999998</v>
      </c>
      <c r="BV60" s="528">
        <f t="shared" si="176"/>
        <v>0.19063323081679454</v>
      </c>
      <c r="BW60" s="528">
        <f t="shared" si="177"/>
        <v>7.7142484073880269E-3</v>
      </c>
      <c r="BX60" s="460">
        <f t="shared" si="110"/>
        <v>198.34747922418256</v>
      </c>
      <c r="BY60" s="173">
        <f t="shared" si="45"/>
        <v>1.3966731219469544</v>
      </c>
      <c r="BZ60" s="5">
        <f t="shared" si="111"/>
        <v>9.02</v>
      </c>
      <c r="CA60" s="173">
        <f t="shared" si="112"/>
        <v>0.86591946338372716</v>
      </c>
      <c r="CB60" s="5">
        <f t="shared" si="113"/>
        <v>86.591946338372722</v>
      </c>
      <c r="CE60" s="562">
        <f t="shared" si="178"/>
        <v>-50</v>
      </c>
      <c r="CF60">
        <f t="shared" si="179"/>
        <v>-50</v>
      </c>
      <c r="CG60" s="173">
        <f t="shared" si="180"/>
        <v>0.53076107343433809</v>
      </c>
      <c r="CI60" s="170">
        <v>55</v>
      </c>
      <c r="CJ60" s="217">
        <f t="shared" si="114"/>
        <v>0.55000000000000004</v>
      </c>
      <c r="CK60" s="217"/>
      <c r="CL60" s="217">
        <f t="shared" si="49"/>
        <v>9.02</v>
      </c>
      <c r="CM60" s="541">
        <f t="shared" si="50"/>
        <v>24</v>
      </c>
      <c r="CN60" s="172">
        <f t="shared" si="51"/>
        <v>16.799999999999997</v>
      </c>
      <c r="CO60" s="443">
        <f t="shared" si="52"/>
        <v>40.799999999999997</v>
      </c>
      <c r="CP60" s="443"/>
      <c r="CQ60" s="217">
        <f t="shared" si="53"/>
        <v>0.41176470588235292</v>
      </c>
      <c r="CR60" s="172">
        <f t="shared" si="54"/>
        <v>33.237647058823534</v>
      </c>
      <c r="CS60" s="172">
        <f t="shared" si="115"/>
        <v>9.02</v>
      </c>
      <c r="CT60" s="217">
        <f t="shared" si="55"/>
        <v>2.026685796269728</v>
      </c>
      <c r="CU60" s="217">
        <f t="shared" si="56"/>
        <v>16.399999999999999</v>
      </c>
      <c r="CV60" s="217">
        <f t="shared" si="57"/>
        <v>2.0086083213773311</v>
      </c>
      <c r="CW60" s="172">
        <f t="shared" si="58"/>
        <v>121.53327703818846</v>
      </c>
      <c r="CX60" s="172">
        <f t="shared" si="59"/>
        <v>16.399999999999999</v>
      </c>
      <c r="CY60" s="217">
        <f t="shared" si="60"/>
        <v>1.8254761904761903</v>
      </c>
      <c r="CZ60" s="217">
        <f t="shared" si="61"/>
        <v>0.91273809523809513</v>
      </c>
      <c r="DA60" s="217">
        <f t="shared" si="62"/>
        <v>1.3039115646258503</v>
      </c>
      <c r="DB60" s="197">
        <f t="shared" si="63"/>
        <v>350</v>
      </c>
      <c r="DC60" s="443">
        <f t="shared" si="116"/>
        <v>350</v>
      </c>
      <c r="DE60" s="217">
        <f t="shared" si="64"/>
        <v>2.3529411764705879</v>
      </c>
      <c r="DF60" s="173">
        <f t="shared" si="65"/>
        <v>1.6806722689075633</v>
      </c>
      <c r="DG60" s="173">
        <f t="shared" si="66"/>
        <v>0.69204152249134954</v>
      </c>
      <c r="DH60" s="173"/>
      <c r="DI60" s="173">
        <f t="shared" si="67"/>
        <v>0.95238095238095266</v>
      </c>
      <c r="DJ60" s="545">
        <f t="shared" si="117"/>
        <v>866.24999999999977</v>
      </c>
      <c r="DK60" s="528">
        <f t="shared" si="68"/>
        <v>0.22222222222222232</v>
      </c>
      <c r="DM60" s="173">
        <f t="shared" si="69"/>
        <v>2.0976176963403028</v>
      </c>
      <c r="DN60" s="173">
        <f t="shared" si="70"/>
        <v>2.0976176963403028</v>
      </c>
      <c r="DO60" s="173">
        <f t="shared" si="71"/>
        <v>1.7661365651903476</v>
      </c>
      <c r="DQ60" s="545">
        <f t="shared" si="72"/>
        <v>550</v>
      </c>
      <c r="DR60" s="460">
        <f t="shared" si="73"/>
        <v>350</v>
      </c>
      <c r="DT60">
        <f t="shared" si="74"/>
        <v>550</v>
      </c>
      <c r="DU60">
        <f t="shared" si="75"/>
        <v>350</v>
      </c>
      <c r="DW60" s="5">
        <f t="shared" si="118"/>
        <v>2.8571428571428572</v>
      </c>
      <c r="DX60" s="5">
        <f t="shared" si="76"/>
        <v>1.0488088481701514</v>
      </c>
      <c r="DY60" s="5">
        <f t="shared" si="119"/>
        <v>1.8083340089727058</v>
      </c>
      <c r="DZ60" s="5">
        <f t="shared" si="77"/>
        <v>1.4982983545287882</v>
      </c>
      <c r="EA60" s="173">
        <f t="shared" si="120"/>
        <v>0.36708309685955298</v>
      </c>
      <c r="EB60" s="173">
        <f t="shared" si="78"/>
        <v>9.2399999999999967</v>
      </c>
      <c r="EC60" s="173">
        <f t="shared" si="79"/>
        <v>0.66380884817015151</v>
      </c>
      <c r="ED60" s="173">
        <f t="shared" si="121"/>
        <v>13.919669834879247</v>
      </c>
      <c r="EE60" s="460">
        <f t="shared" si="80"/>
        <v>3.5173467469120943</v>
      </c>
      <c r="EF60" s="5">
        <f t="shared" si="81"/>
        <v>0.5663601653102015</v>
      </c>
      <c r="EG60" s="5"/>
      <c r="EH60" s="173">
        <f t="shared" si="122"/>
        <v>0.73374964535642362</v>
      </c>
      <c r="EI60" s="173">
        <f t="shared" si="82"/>
        <v>0.96347191168502089</v>
      </c>
      <c r="EJ60" s="173"/>
      <c r="EK60" s="528">
        <f t="shared" si="83"/>
        <v>1.076777084121355E-2</v>
      </c>
      <c r="EL60" s="528">
        <f t="shared" si="84"/>
        <v>0.59907961407479049</v>
      </c>
      <c r="EM60" s="528">
        <f t="shared" si="85"/>
        <v>4.3749999999999997E-2</v>
      </c>
      <c r="EN60" s="528">
        <f t="shared" si="86"/>
        <v>5.8262399999999999E-2</v>
      </c>
      <c r="EO60">
        <f t="shared" si="87"/>
        <v>1.0800000000000001E-2</v>
      </c>
      <c r="EP60" s="460">
        <f t="shared" si="123"/>
        <v>54.550000000000004</v>
      </c>
      <c r="EQ60" s="528">
        <f t="shared" si="88"/>
        <v>0.72742815148527284</v>
      </c>
      <c r="ER60" s="460">
        <f t="shared" si="124"/>
        <v>727.42815148527279</v>
      </c>
      <c r="ES60" s="528">
        <f t="shared" si="125"/>
        <v>0.34168749999999998</v>
      </c>
      <c r="ET60" s="528"/>
      <c r="EV60" s="460">
        <f t="shared" si="126"/>
        <v>341.6875</v>
      </c>
      <c r="EW60" s="528">
        <f t="shared" si="89"/>
        <v>1.6151656261820323E-2</v>
      </c>
      <c r="EX60" s="528">
        <f t="shared" si="90"/>
        <v>2.7848343738179661E-2</v>
      </c>
      <c r="EY60" s="528">
        <f t="shared" si="91"/>
        <v>0.73022376153728985</v>
      </c>
      <c r="EZ60" s="528">
        <f t="shared" si="92"/>
        <v>0.78755595851124938</v>
      </c>
      <c r="FA60" s="528">
        <f t="shared" si="93"/>
        <v>7.6999999999999976E-3</v>
      </c>
      <c r="FB60" s="460">
        <f t="shared" si="127"/>
        <v>795.25595851124945</v>
      </c>
      <c r="FC60" s="173">
        <f t="shared" si="128"/>
        <v>1.8643716099965222</v>
      </c>
      <c r="FD60" s="5">
        <f t="shared" si="129"/>
        <v>9.02</v>
      </c>
      <c r="FE60" s="173">
        <f t="shared" si="130"/>
        <v>0.82871113953108422</v>
      </c>
      <c r="FF60" s="5">
        <f t="shared" si="131"/>
        <v>82.87111395310842</v>
      </c>
      <c r="FI60" s="562">
        <f t="shared" si="94"/>
        <v>-50</v>
      </c>
      <c r="FJ60">
        <f t="shared" si="95"/>
        <v>-50</v>
      </c>
      <c r="FL60">
        <f t="shared" si="181"/>
        <v>0.52440442408507582</v>
      </c>
    </row>
    <row r="61" spans="5:168">
      <c r="E61" s="170">
        <v>56</v>
      </c>
      <c r="F61" s="217">
        <f t="shared" si="182"/>
        <v>0.56000000000000005</v>
      </c>
      <c r="G61" s="217"/>
      <c r="H61" s="217">
        <f t="shared" si="132"/>
        <v>9.1839999999999993</v>
      </c>
      <c r="I61" s="541">
        <f t="shared" si="133"/>
        <v>23.947718709528807</v>
      </c>
      <c r="J61" s="172">
        <f t="shared" si="134"/>
        <v>16.831368774282712</v>
      </c>
      <c r="K61" s="172">
        <f t="shared" si="135"/>
        <v>40.831368774282709</v>
      </c>
      <c r="L61" s="443"/>
      <c r="M61" s="217">
        <f t="shared" si="136"/>
        <v>0.41275058147230398</v>
      </c>
      <c r="N61" s="172">
        <f t="shared" si="137"/>
        <v>33.244649118979424</v>
      </c>
      <c r="O61" s="172">
        <f t="shared" si="98"/>
        <v>9.1839999999999993</v>
      </c>
      <c r="P61" s="217">
        <f t="shared" si="138"/>
        <v>2.027112751157282</v>
      </c>
      <c r="Q61" s="217">
        <f t="shared" si="139"/>
        <v>16.399999999999999</v>
      </c>
      <c r="R61" s="217">
        <f t="shared" si="140"/>
        <v>2.0090314679457699</v>
      </c>
      <c r="S61" s="172">
        <f t="shared" si="141"/>
        <v>118.67866934347609</v>
      </c>
      <c r="T61" s="172">
        <f t="shared" si="142"/>
        <v>16.399999999999999</v>
      </c>
      <c r="U61" s="217">
        <f t="shared" si="143"/>
        <v>1.9071964393050795</v>
      </c>
      <c r="V61" s="217">
        <f t="shared" si="11"/>
        <v>0.95568006077148659</v>
      </c>
      <c r="W61" s="217">
        <f t="shared" si="144"/>
        <v>1.3597442714599595</v>
      </c>
      <c r="X61" s="197">
        <f t="shared" si="145"/>
        <v>350</v>
      </c>
      <c r="Y61" s="443">
        <f t="shared" si="14"/>
        <v>350</v>
      </c>
      <c r="AA61" s="217">
        <f t="shared" si="146"/>
        <v>2.3534056405450752</v>
      </c>
      <c r="AB61" s="173">
        <f t="shared" si="147"/>
        <v>1.6778711265414847</v>
      </c>
      <c r="AC61" s="173">
        <f t="shared" si="148"/>
        <v>0.69102449032932878</v>
      </c>
      <c r="AD61" s="173"/>
      <c r="AE61" s="173">
        <f t="shared" si="149"/>
        <v>0.95060599138241264</v>
      </c>
      <c r="AF61" s="545">
        <f t="shared" si="150"/>
        <v>883.64686064984244</v>
      </c>
      <c r="AG61" s="528">
        <f t="shared" si="151"/>
        <v>0.22180806465589628</v>
      </c>
      <c r="AI61" s="173">
        <f t="shared" si="152"/>
        <v>2.1185761743386502</v>
      </c>
      <c r="AJ61" s="173">
        <f t="shared" si="153"/>
        <v>2.1185761743386502</v>
      </c>
      <c r="AK61" s="173">
        <f t="shared" si="154"/>
        <v>1.7816613637076419</v>
      </c>
      <c r="AM61" s="545">
        <f t="shared" si="155"/>
        <v>560</v>
      </c>
      <c r="AN61" s="460">
        <f t="shared" si="156"/>
        <v>350</v>
      </c>
      <c r="AP61">
        <f t="shared" si="157"/>
        <v>560</v>
      </c>
      <c r="AQ61">
        <f t="shared" si="158"/>
        <v>350</v>
      </c>
      <c r="AS61" s="5">
        <f t="shared" si="101"/>
        <v>2.8571428571428572</v>
      </c>
      <c r="AT61" s="5">
        <f t="shared" si="159"/>
        <v>1.0616006643650786</v>
      </c>
      <c r="AU61" s="5">
        <f t="shared" si="102"/>
        <v>1.7955421927777786</v>
      </c>
      <c r="AV61" s="5">
        <f t="shared" si="160"/>
        <v>1.5104484033947636</v>
      </c>
      <c r="AW61" s="173">
        <f t="shared" si="103"/>
        <v>0.37156023252777748</v>
      </c>
      <c r="AX61" s="173">
        <f t="shared" si="161"/>
        <v>9.4255665135983211</v>
      </c>
      <c r="AY61" s="173">
        <f t="shared" si="162"/>
        <v>0.665698759186786</v>
      </c>
      <c r="AZ61" s="173">
        <f t="shared" si="104"/>
        <v>14.15890653771466</v>
      </c>
      <c r="BA61" s="460">
        <f t="shared" si="163"/>
        <v>3.6249778783197817</v>
      </c>
      <c r="BB61" s="5">
        <f t="shared" si="164"/>
        <v>0.5738284753580597</v>
      </c>
      <c r="BC61" s="5"/>
      <c r="BD61" s="173">
        <f t="shared" si="105"/>
        <v>0.74558655779091931</v>
      </c>
      <c r="BE61" s="173">
        <f t="shared" si="165"/>
        <v>0.96965063485083047</v>
      </c>
      <c r="BF61" s="173"/>
      <c r="BG61" s="528">
        <f t="shared" si="166"/>
        <v>1.1117986303170237E-2</v>
      </c>
      <c r="BH61" s="528">
        <f t="shared" si="167"/>
        <v>0.56768489564607505</v>
      </c>
      <c r="BI61" s="528">
        <f t="shared" si="168"/>
        <v>0.20954253870837705</v>
      </c>
      <c r="BJ61" s="528">
        <f t="shared" si="169"/>
        <v>5.8352023659351417E-2</v>
      </c>
      <c r="BK61">
        <f t="shared" si="170"/>
        <v>1.0776473419287964E-2</v>
      </c>
      <c r="BL61" s="460">
        <f t="shared" si="106"/>
        <v>220.31901212766502</v>
      </c>
      <c r="BM61" s="528">
        <f t="shared" si="171"/>
        <v>0.6418523004787392</v>
      </c>
      <c r="BN61" s="460">
        <f t="shared" si="107"/>
        <v>641.85230047873915</v>
      </c>
      <c r="BO61" s="528">
        <f t="shared" si="172"/>
        <v>0.34789999999999999</v>
      </c>
      <c r="BP61" s="528"/>
      <c r="BR61" s="460">
        <f t="shared" si="109"/>
        <v>347.9</v>
      </c>
      <c r="BS61" s="528">
        <f t="shared" si="173"/>
        <v>1.6676979454755356E-2</v>
      </c>
      <c r="BT61" s="528">
        <f t="shared" si="174"/>
        <v>2.8206670609998555E-2</v>
      </c>
      <c r="BU61" s="528">
        <f t="shared" si="175"/>
        <v>0.13775999999999999</v>
      </c>
      <c r="BV61" s="528">
        <f t="shared" si="176"/>
        <v>0.19411272509038063</v>
      </c>
      <c r="BW61" s="528">
        <f t="shared" si="177"/>
        <v>7.8546387613319339E-3</v>
      </c>
      <c r="BX61" s="460">
        <f t="shared" si="110"/>
        <v>201.96736385171258</v>
      </c>
      <c r="BY61" s="173">
        <f t="shared" si="45"/>
        <v>1.4120386764581168</v>
      </c>
      <c r="BZ61" s="5">
        <f t="shared" si="111"/>
        <v>9.1839999999999993</v>
      </c>
      <c r="CA61" s="173">
        <f t="shared" si="112"/>
        <v>0.86673900317150299</v>
      </c>
      <c r="CB61" s="5">
        <f t="shared" si="113"/>
        <v>86.673900317150299</v>
      </c>
      <c r="CE61" s="562">
        <f t="shared" si="178"/>
        <v>-50</v>
      </c>
      <c r="CF61">
        <f t="shared" si="179"/>
        <v>-50</v>
      </c>
      <c r="CG61" s="173">
        <f t="shared" si="180"/>
        <v>0.53556443897320427</v>
      </c>
      <c r="CI61" s="170">
        <v>56</v>
      </c>
      <c r="CJ61" s="217">
        <f t="shared" si="114"/>
        <v>0.56000000000000005</v>
      </c>
      <c r="CK61" s="217"/>
      <c r="CL61" s="217">
        <f t="shared" si="49"/>
        <v>9.1839999999999993</v>
      </c>
      <c r="CM61" s="541">
        <f t="shared" si="50"/>
        <v>24</v>
      </c>
      <c r="CN61" s="172">
        <f t="shared" si="51"/>
        <v>16.799999999999997</v>
      </c>
      <c r="CO61" s="443">
        <f t="shared" si="52"/>
        <v>40.799999999999997</v>
      </c>
      <c r="CP61" s="443"/>
      <c r="CQ61" s="217">
        <f t="shared" si="53"/>
        <v>0.41176470588235292</v>
      </c>
      <c r="CR61" s="172">
        <f t="shared" si="54"/>
        <v>33.237647058823534</v>
      </c>
      <c r="CS61" s="172">
        <f t="shared" si="115"/>
        <v>9.1839999999999993</v>
      </c>
      <c r="CT61" s="217">
        <f t="shared" si="55"/>
        <v>2.026685796269728</v>
      </c>
      <c r="CU61" s="217">
        <f t="shared" si="56"/>
        <v>16.399999999999999</v>
      </c>
      <c r="CV61" s="217">
        <f t="shared" si="57"/>
        <v>2.0086083213773311</v>
      </c>
      <c r="CW61" s="172">
        <f t="shared" si="58"/>
        <v>118.93758691712429</v>
      </c>
      <c r="CX61" s="172">
        <f t="shared" si="59"/>
        <v>16.399999999999999</v>
      </c>
      <c r="CY61" s="217">
        <f t="shared" si="60"/>
        <v>1.8586666666666665</v>
      </c>
      <c r="CZ61" s="217">
        <f t="shared" si="61"/>
        <v>0.92933333333333323</v>
      </c>
      <c r="DA61" s="217">
        <f t="shared" si="62"/>
        <v>1.3276190476190479</v>
      </c>
      <c r="DB61" s="197">
        <f t="shared" si="63"/>
        <v>350</v>
      </c>
      <c r="DC61" s="443">
        <f t="shared" si="116"/>
        <v>350</v>
      </c>
      <c r="DE61" s="217">
        <f t="shared" si="64"/>
        <v>2.3529411764705879</v>
      </c>
      <c r="DF61" s="173">
        <f t="shared" si="65"/>
        <v>1.6806722689075633</v>
      </c>
      <c r="DG61" s="173">
        <f t="shared" si="66"/>
        <v>0.69204152249134954</v>
      </c>
      <c r="DH61" s="173"/>
      <c r="DI61" s="173">
        <f t="shared" si="67"/>
        <v>0.95238095238095266</v>
      </c>
      <c r="DJ61" s="545">
        <f t="shared" si="117"/>
        <v>881.99999999999977</v>
      </c>
      <c r="DK61" s="528">
        <f t="shared" si="68"/>
        <v>0.22222222222222232</v>
      </c>
      <c r="DM61" s="173">
        <f t="shared" si="69"/>
        <v>2.1166010488516722</v>
      </c>
      <c r="DN61" s="173">
        <f t="shared" si="70"/>
        <v>2.1166010488516722</v>
      </c>
      <c r="DO61" s="173">
        <f t="shared" si="71"/>
        <v>1.7801983077913619</v>
      </c>
      <c r="DQ61" s="545">
        <f t="shared" si="72"/>
        <v>560</v>
      </c>
      <c r="DR61" s="460">
        <f t="shared" si="73"/>
        <v>350</v>
      </c>
      <c r="DT61">
        <f t="shared" si="74"/>
        <v>560</v>
      </c>
      <c r="DU61">
        <f t="shared" si="75"/>
        <v>350</v>
      </c>
      <c r="DW61" s="5">
        <f t="shared" si="118"/>
        <v>2.8571428571428572</v>
      </c>
      <c r="DX61" s="5">
        <f t="shared" si="76"/>
        <v>1.0583005244258361</v>
      </c>
      <c r="DY61" s="5">
        <f t="shared" si="119"/>
        <v>1.7988423327170211</v>
      </c>
      <c r="DZ61" s="5">
        <f t="shared" si="77"/>
        <v>1.511857892036909</v>
      </c>
      <c r="EA61" s="173">
        <f t="shared" si="120"/>
        <v>0.37040518354904262</v>
      </c>
      <c r="EB61" s="173">
        <f t="shared" si="78"/>
        <v>9.4079999999999977</v>
      </c>
      <c r="EC61" s="173">
        <f t="shared" si="79"/>
        <v>0.6663005244258362</v>
      </c>
      <c r="ED61" s="173">
        <f t="shared" si="121"/>
        <v>14.119754757970586</v>
      </c>
      <c r="EE61" s="460">
        <f t="shared" si="80"/>
        <v>3.6137091077955392</v>
      </c>
      <c r="EF61" s="5">
        <f t="shared" si="81"/>
        <v>0.57363083276642779</v>
      </c>
      <c r="EG61" s="5"/>
      <c r="EH61" s="173">
        <f t="shared" si="122"/>
        <v>0.74373275269631423</v>
      </c>
      <c r="EI61" s="173">
        <f t="shared" si="82"/>
        <v>0.96963649162977372</v>
      </c>
      <c r="EJ61" s="173"/>
      <c r="EK61" s="528">
        <f t="shared" si="83"/>
        <v>1.1062768148664739E-2</v>
      </c>
      <c r="EL61" s="528">
        <f t="shared" si="84"/>
        <v>0.60450125955203748</v>
      </c>
      <c r="EM61" s="528">
        <f t="shared" si="85"/>
        <v>4.3749999999999997E-2</v>
      </c>
      <c r="EN61" s="528">
        <f t="shared" si="86"/>
        <v>5.8262399999999999E-2</v>
      </c>
      <c r="EO61">
        <f t="shared" si="87"/>
        <v>1.0800000000000001E-2</v>
      </c>
      <c r="EP61" s="460">
        <f t="shared" si="123"/>
        <v>54.550000000000004</v>
      </c>
      <c r="EQ61" s="528">
        <f t="shared" si="88"/>
        <v>0.73329084012909496</v>
      </c>
      <c r="ER61" s="460">
        <f t="shared" si="124"/>
        <v>733.29084012909493</v>
      </c>
      <c r="ES61" s="528">
        <f t="shared" si="125"/>
        <v>0.34789999999999999</v>
      </c>
      <c r="ET61" s="528"/>
      <c r="EV61" s="460">
        <f t="shared" si="126"/>
        <v>347.9</v>
      </c>
      <c r="EW61" s="528">
        <f t="shared" si="89"/>
        <v>1.6594152222997108E-2</v>
      </c>
      <c r="EX61" s="528">
        <f t="shared" si="90"/>
        <v>2.8205847777002885E-2</v>
      </c>
      <c r="EY61" s="528">
        <f t="shared" si="91"/>
        <v>0.74685730419125118</v>
      </c>
      <c r="EZ61" s="528">
        <f t="shared" si="92"/>
        <v>0.805295483203051</v>
      </c>
      <c r="FA61" s="528">
        <f t="shared" si="93"/>
        <v>7.839999999999998E-3</v>
      </c>
      <c r="FB61" s="460">
        <f t="shared" si="127"/>
        <v>813.13548320305097</v>
      </c>
      <c r="FC61" s="173">
        <f t="shared" si="128"/>
        <v>1.8943263233321461</v>
      </c>
      <c r="FD61" s="5">
        <f t="shared" si="129"/>
        <v>9.1839999999999993</v>
      </c>
      <c r="FE61" s="173">
        <f t="shared" si="130"/>
        <v>0.82900609098844724</v>
      </c>
      <c r="FF61" s="5">
        <f t="shared" si="131"/>
        <v>82.900609098844726</v>
      </c>
      <c r="FI61" s="562">
        <f t="shared" si="94"/>
        <v>-50</v>
      </c>
      <c r="FJ61">
        <f t="shared" si="95"/>
        <v>-50</v>
      </c>
      <c r="FL61">
        <f t="shared" si="181"/>
        <v>0.52915026221291817</v>
      </c>
    </row>
    <row r="62" spans="5:168">
      <c r="E62" s="170">
        <v>57</v>
      </c>
      <c r="F62" s="217">
        <f t="shared" si="182"/>
        <v>0.56999999999999995</v>
      </c>
      <c r="G62" s="217"/>
      <c r="H62" s="217">
        <f t="shared" si="132"/>
        <v>9.347999999999999</v>
      </c>
      <c r="I62" s="541">
        <f t="shared" si="133"/>
        <v>23.947253977807396</v>
      </c>
      <c r="J62" s="172">
        <f t="shared" si="134"/>
        <v>16.83164761331556</v>
      </c>
      <c r="K62" s="172">
        <f t="shared" si="135"/>
        <v>40.83164761331556</v>
      </c>
      <c r="L62" s="443"/>
      <c r="M62" s="217">
        <f t="shared" si="136"/>
        <v>0.41275934943485459</v>
      </c>
      <c r="N62" s="172">
        <f t="shared" si="137"/>
        <v>33.244710164615647</v>
      </c>
      <c r="O62" s="172">
        <f t="shared" si="98"/>
        <v>9.347999999999999</v>
      </c>
      <c r="P62" s="217">
        <f t="shared" si="138"/>
        <v>2.0271164734521738</v>
      </c>
      <c r="Q62" s="217">
        <f t="shared" si="139"/>
        <v>16.399999999999999</v>
      </c>
      <c r="R62" s="217">
        <f t="shared" si="140"/>
        <v>2.0090351570388241</v>
      </c>
      <c r="S62" s="172">
        <f t="shared" si="141"/>
        <v>116.17733473188716</v>
      </c>
      <c r="T62" s="172">
        <f t="shared" si="142"/>
        <v>16.399999999999999</v>
      </c>
      <c r="U62" s="217">
        <f t="shared" si="143"/>
        <v>1.9412825030128498</v>
      </c>
      <c r="V62" s="217">
        <f t="shared" si="11"/>
        <v>0.97277917784405266</v>
      </c>
      <c r="W62" s="217">
        <f t="shared" si="144"/>
        <v>1.3840231551500135</v>
      </c>
      <c r="X62" s="197">
        <f t="shared" si="145"/>
        <v>350</v>
      </c>
      <c r="Y62" s="443">
        <f t="shared" si="14"/>
        <v>350</v>
      </c>
      <c r="AA62" s="217">
        <f t="shared" si="146"/>
        <v>2.353409685458562</v>
      </c>
      <c r="AB62" s="173">
        <f t="shared" si="147"/>
        <v>1.6778462141258996</v>
      </c>
      <c r="AC62" s="173">
        <f t="shared" si="148"/>
        <v>0.69101541793092769</v>
      </c>
      <c r="AD62" s="173"/>
      <c r="AE62" s="173">
        <f t="shared" si="149"/>
        <v>0.95059024330704023</v>
      </c>
      <c r="AF62" s="545">
        <f t="shared" si="150"/>
        <v>899.44116933654993</v>
      </c>
      <c r="AG62" s="528">
        <f t="shared" si="151"/>
        <v>0.22180439010497607</v>
      </c>
      <c r="AI62" s="173">
        <f t="shared" si="152"/>
        <v>2.1374260376610383</v>
      </c>
      <c r="AJ62" s="173">
        <f t="shared" si="153"/>
        <v>2.1374260376610383</v>
      </c>
      <c r="AK62" s="173">
        <f t="shared" si="154"/>
        <v>1.7956242254279293</v>
      </c>
      <c r="AM62" s="545">
        <f t="shared" si="155"/>
        <v>570</v>
      </c>
      <c r="AN62" s="460">
        <f t="shared" si="156"/>
        <v>350</v>
      </c>
      <c r="AP62">
        <f t="shared" si="157"/>
        <v>570</v>
      </c>
      <c r="AQ62">
        <f t="shared" si="158"/>
        <v>350</v>
      </c>
      <c r="AS62" s="5">
        <f t="shared" si="101"/>
        <v>2.8571428571428572</v>
      </c>
      <c r="AT62" s="5">
        <f t="shared" si="159"/>
        <v>1.07106695722617</v>
      </c>
      <c r="AU62" s="5">
        <f t="shared" si="102"/>
        <v>1.7860758999166872</v>
      </c>
      <c r="AV62" s="5">
        <f t="shared" si="160"/>
        <v>1.5238622528932571</v>
      </c>
      <c r="AW62" s="173">
        <f t="shared" si="103"/>
        <v>0.37487343502915949</v>
      </c>
      <c r="AX62" s="173">
        <f t="shared" si="161"/>
        <v>9.594039139589869</v>
      </c>
      <c r="AY62" s="173">
        <f t="shared" si="162"/>
        <v>0.6680808984011396</v>
      </c>
      <c r="AZ62" s="173">
        <f t="shared" si="104"/>
        <v>14.360594895843386</v>
      </c>
      <c r="BA62" s="460">
        <f t="shared" si="163"/>
        <v>3.722610765969006</v>
      </c>
      <c r="BB62" s="5">
        <f t="shared" si="164"/>
        <v>0.58100737868504915</v>
      </c>
      <c r="BC62" s="5"/>
      <c r="BD62" s="173">
        <f t="shared" si="105"/>
        <v>0.75556668610569322</v>
      </c>
      <c r="BE62" s="173">
        <f t="shared" si="165"/>
        <v>0.97569582265054122</v>
      </c>
      <c r="BF62" s="173"/>
      <c r="BG62" s="528">
        <f t="shared" si="166"/>
        <v>1.1417620343054784E-2</v>
      </c>
      <c r="BH62" s="528">
        <f t="shared" si="167"/>
        <v>0.57273973817353685</v>
      </c>
      <c r="BI62" s="528">
        <f t="shared" si="168"/>
        <v>0.20953847230581468</v>
      </c>
      <c r="BJ62" s="528">
        <f t="shared" si="169"/>
        <v>5.8352820638629239E-2</v>
      </c>
      <c r="BK62">
        <f t="shared" si="170"/>
        <v>1.0776264290013328E-2</v>
      </c>
      <c r="BL62" s="460">
        <f t="shared" si="106"/>
        <v>220.31473659582801</v>
      </c>
      <c r="BM62" s="528">
        <f t="shared" si="171"/>
        <v>0.64734908245401113</v>
      </c>
      <c r="BN62" s="460">
        <f t="shared" si="107"/>
        <v>647.34908245401118</v>
      </c>
      <c r="BO62" s="528">
        <f t="shared" si="172"/>
        <v>0.35411249999999994</v>
      </c>
      <c r="BP62" s="528"/>
      <c r="BR62" s="460">
        <f t="shared" si="109"/>
        <v>354.11249999999995</v>
      </c>
      <c r="BS62" s="528">
        <f t="shared" si="173"/>
        <v>1.7126430514582177E-2</v>
      </c>
      <c r="BT62" s="528">
        <f t="shared" si="174"/>
        <v>2.8559470150131491E-2</v>
      </c>
      <c r="BU62" s="528">
        <f t="shared" si="175"/>
        <v>0.14021999999999998</v>
      </c>
      <c r="BV62" s="528">
        <f t="shared" si="176"/>
        <v>0.19759269283520031</v>
      </c>
      <c r="BW62" s="528">
        <f t="shared" si="177"/>
        <v>7.995032616324893E-3</v>
      </c>
      <c r="BX62" s="460">
        <f t="shared" si="110"/>
        <v>205.58772545152522</v>
      </c>
      <c r="BY62" s="173">
        <f t="shared" si="45"/>
        <v>1.4273640445013644</v>
      </c>
      <c r="BZ62" s="5">
        <f t="shared" si="111"/>
        <v>9.347999999999999</v>
      </c>
      <c r="CA62" s="173">
        <f t="shared" si="112"/>
        <v>0.86753449455568554</v>
      </c>
      <c r="CB62" s="5">
        <f t="shared" si="113"/>
        <v>86.753449455568557</v>
      </c>
      <c r="CE62" s="562">
        <f t="shared" si="178"/>
        <v>-50</v>
      </c>
      <c r="CF62">
        <f t="shared" si="179"/>
        <v>-50</v>
      </c>
      <c r="CG62" s="173">
        <f t="shared" si="180"/>
        <v>0.54032510538766854</v>
      </c>
      <c r="CI62" s="170">
        <v>57</v>
      </c>
      <c r="CJ62" s="217">
        <f t="shared" si="114"/>
        <v>0.56999999999999995</v>
      </c>
      <c r="CK62" s="217"/>
      <c r="CL62" s="217">
        <f t="shared" si="49"/>
        <v>9.347999999999999</v>
      </c>
      <c r="CM62" s="541">
        <f t="shared" si="50"/>
        <v>24</v>
      </c>
      <c r="CN62" s="172">
        <f t="shared" si="51"/>
        <v>16.799999999999997</v>
      </c>
      <c r="CO62" s="443">
        <f t="shared" si="52"/>
        <v>40.799999999999997</v>
      </c>
      <c r="CP62" s="443"/>
      <c r="CQ62" s="217">
        <f t="shared" si="53"/>
        <v>0.41176470588235292</v>
      </c>
      <c r="CR62" s="172">
        <f t="shared" si="54"/>
        <v>33.237647058823534</v>
      </c>
      <c r="CS62" s="172">
        <f t="shared" si="115"/>
        <v>9.347999999999999</v>
      </c>
      <c r="CT62" s="217">
        <f t="shared" si="55"/>
        <v>2.026685796269728</v>
      </c>
      <c r="CU62" s="217">
        <f t="shared" si="56"/>
        <v>16.399999999999999</v>
      </c>
      <c r="CV62" s="217">
        <f t="shared" si="57"/>
        <v>2.0086083213773311</v>
      </c>
      <c r="CW62" s="172">
        <f t="shared" si="58"/>
        <v>116.43304572621146</v>
      </c>
      <c r="CX62" s="172">
        <f t="shared" si="59"/>
        <v>16.399999999999999</v>
      </c>
      <c r="CY62" s="217">
        <f t="shared" si="60"/>
        <v>1.8918571428571425</v>
      </c>
      <c r="CZ62" s="217">
        <f t="shared" si="61"/>
        <v>0.94592857142857123</v>
      </c>
      <c r="DA62" s="217">
        <f t="shared" si="62"/>
        <v>1.3513265306122448</v>
      </c>
      <c r="DB62" s="197">
        <f t="shared" si="63"/>
        <v>350</v>
      </c>
      <c r="DC62" s="443">
        <f t="shared" si="116"/>
        <v>350</v>
      </c>
      <c r="DE62" s="217">
        <f t="shared" si="64"/>
        <v>2.3529411764705879</v>
      </c>
      <c r="DF62" s="173">
        <f t="shared" si="65"/>
        <v>1.6806722689075633</v>
      </c>
      <c r="DG62" s="173">
        <f t="shared" si="66"/>
        <v>0.69204152249134954</v>
      </c>
      <c r="DH62" s="173"/>
      <c r="DI62" s="173">
        <f t="shared" si="67"/>
        <v>0.95238095238095266</v>
      </c>
      <c r="DJ62" s="545">
        <f t="shared" si="117"/>
        <v>897.74999999999955</v>
      </c>
      <c r="DK62" s="528">
        <f t="shared" si="68"/>
        <v>0.22222222222222232</v>
      </c>
      <c r="DM62" s="173">
        <f t="shared" si="69"/>
        <v>2.1354156504062618</v>
      </c>
      <c r="DN62" s="173">
        <f t="shared" si="70"/>
        <v>2.1354156504062618</v>
      </c>
      <c r="DO62" s="173">
        <f t="shared" si="71"/>
        <v>1.7941350496836506</v>
      </c>
      <c r="DQ62" s="545">
        <f t="shared" si="72"/>
        <v>570</v>
      </c>
      <c r="DR62" s="460">
        <f t="shared" si="73"/>
        <v>350</v>
      </c>
      <c r="DT62">
        <f t="shared" si="74"/>
        <v>570</v>
      </c>
      <c r="DU62">
        <f t="shared" si="75"/>
        <v>350</v>
      </c>
      <c r="DW62" s="5">
        <f t="shared" si="118"/>
        <v>2.8571428571428572</v>
      </c>
      <c r="DX62" s="5">
        <f t="shared" si="76"/>
        <v>1.0677078252031309</v>
      </c>
      <c r="DY62" s="5">
        <f t="shared" si="119"/>
        <v>1.7894350319397263</v>
      </c>
      <c r="DZ62" s="5">
        <f t="shared" si="77"/>
        <v>1.5252968931473303</v>
      </c>
      <c r="EA62" s="173">
        <f t="shared" si="120"/>
        <v>0.3736977388210958</v>
      </c>
      <c r="EB62" s="173">
        <f t="shared" si="78"/>
        <v>9.5759999999999952</v>
      </c>
      <c r="EC62" s="173">
        <f t="shared" si="79"/>
        <v>0.6687078252031311</v>
      </c>
      <c r="ED62" s="173">
        <f t="shared" si="121"/>
        <v>14.320155438724118</v>
      </c>
      <c r="EE62" s="460">
        <f t="shared" si="80"/>
        <v>3.7109357339377111</v>
      </c>
      <c r="EF62" s="5">
        <f t="shared" si="81"/>
        <v>0.58082078745043597</v>
      </c>
      <c r="EG62" s="5"/>
      <c r="EH62" s="173">
        <f t="shared" si="122"/>
        <v>0.75367138927258304</v>
      </c>
      <c r="EI62" s="173">
        <f t="shared" si="82"/>
        <v>0.97569433584085841</v>
      </c>
      <c r="EJ62" s="173"/>
      <c r="EK62" s="528">
        <f t="shared" si="83"/>
        <v>1.1360411260161308E-2</v>
      </c>
      <c r="EL62" s="528">
        <f t="shared" si="84"/>
        <v>0.60987470975602831</v>
      </c>
      <c r="EM62" s="528">
        <f t="shared" si="85"/>
        <v>4.3749999999999997E-2</v>
      </c>
      <c r="EN62" s="528">
        <f t="shared" si="86"/>
        <v>5.8262399999999999E-2</v>
      </c>
      <c r="EO62">
        <f t="shared" si="87"/>
        <v>1.0800000000000001E-2</v>
      </c>
      <c r="EP62" s="460">
        <f t="shared" si="123"/>
        <v>54.550000000000004</v>
      </c>
      <c r="EQ62" s="528">
        <f t="shared" si="88"/>
        <v>0.73910986231619236</v>
      </c>
      <c r="ER62" s="460">
        <f t="shared" si="124"/>
        <v>739.10986231619233</v>
      </c>
      <c r="ES62" s="528">
        <f t="shared" si="125"/>
        <v>0.35411249999999994</v>
      </c>
      <c r="ET62" s="528"/>
      <c r="EV62" s="460">
        <f t="shared" si="126"/>
        <v>354.11249999999995</v>
      </c>
      <c r="EW62" s="528">
        <f t="shared" si="89"/>
        <v>1.7040616890241961E-2</v>
      </c>
      <c r="EX62" s="528">
        <f t="shared" si="90"/>
        <v>2.8559383109758012E-2</v>
      </c>
      <c r="EY62" s="528">
        <f t="shared" si="91"/>
        <v>0.76356527319997913</v>
      </c>
      <c r="EZ62" s="528">
        <f t="shared" si="92"/>
        <v>0.82311198572389987</v>
      </c>
      <c r="FA62" s="528">
        <f t="shared" si="93"/>
        <v>7.9799999999999958E-3</v>
      </c>
      <c r="FB62" s="460">
        <f t="shared" si="127"/>
        <v>831.09198572389982</v>
      </c>
      <c r="FC62" s="173">
        <f t="shared" si="128"/>
        <v>1.9243143480400924</v>
      </c>
      <c r="FD62" s="5">
        <f t="shared" si="129"/>
        <v>9.347999999999999</v>
      </c>
      <c r="FE62" s="173">
        <f t="shared" si="130"/>
        <v>0.82928844169656513</v>
      </c>
      <c r="FF62" s="5">
        <f t="shared" si="131"/>
        <v>82.928844169656514</v>
      </c>
      <c r="FI62" s="562">
        <f t="shared" si="94"/>
        <v>-50</v>
      </c>
      <c r="FJ62">
        <f t="shared" si="95"/>
        <v>-50</v>
      </c>
      <c r="FL62">
        <f t="shared" si="181"/>
        <v>0.53385391260156556</v>
      </c>
    </row>
    <row r="63" spans="5:168">
      <c r="E63" s="170">
        <v>58</v>
      </c>
      <c r="F63" s="217">
        <f t="shared" si="182"/>
        <v>0.57999999999999996</v>
      </c>
      <c r="G63" s="217"/>
      <c r="H63" s="217">
        <f t="shared" si="132"/>
        <v>9.5119999999999987</v>
      </c>
      <c r="I63" s="541">
        <f t="shared" si="133"/>
        <v>23.946793305111552</v>
      </c>
      <c r="J63" s="172">
        <f t="shared" si="134"/>
        <v>16.831924016933066</v>
      </c>
      <c r="K63" s="172">
        <f t="shared" si="135"/>
        <v>40.831924016933066</v>
      </c>
      <c r="L63" s="443"/>
      <c r="M63" s="217">
        <f t="shared" si="136"/>
        <v>0.4127680408943718</v>
      </c>
      <c r="N63" s="172">
        <f t="shared" si="137"/>
        <v>33.24477065625878</v>
      </c>
      <c r="O63" s="172">
        <f t="shared" si="98"/>
        <v>9.5119999999999987</v>
      </c>
      <c r="P63" s="217">
        <f t="shared" si="138"/>
        <v>2.027120161966999</v>
      </c>
      <c r="Q63" s="217">
        <f t="shared" si="139"/>
        <v>16.399999999999999</v>
      </c>
      <c r="R63" s="217">
        <f t="shared" si="140"/>
        <v>2.0090388126531207</v>
      </c>
      <c r="S63" s="172">
        <f t="shared" si="141"/>
        <v>113.76235991361929</v>
      </c>
      <c r="T63" s="172">
        <f t="shared" si="142"/>
        <v>16.399999999999999</v>
      </c>
      <c r="U63" s="217">
        <f t="shared" si="143"/>
        <v>1.9753693272530914</v>
      </c>
      <c r="V63" s="217">
        <f t="shared" si="11"/>
        <v>0.9898791719214145</v>
      </c>
      <c r="W63" s="217">
        <f t="shared" si="144"/>
        <v>1.408301980402848</v>
      </c>
      <c r="X63" s="197">
        <f t="shared" si="145"/>
        <v>350</v>
      </c>
      <c r="Y63" s="443">
        <f t="shared" si="14"/>
        <v>350</v>
      </c>
      <c r="AA63" s="217">
        <f t="shared" si="146"/>
        <v>2.3534136935862038</v>
      </c>
      <c r="AB63" s="173">
        <f t="shared" si="147"/>
        <v>1.6778215190743369</v>
      </c>
      <c r="AC63" s="173">
        <f t="shared" si="148"/>
        <v>0.69100642421705127</v>
      </c>
      <c r="AD63" s="173"/>
      <c r="AE63" s="173">
        <f t="shared" si="149"/>
        <v>0.95057463329229974</v>
      </c>
      <c r="AF63" s="545">
        <f t="shared" si="150"/>
        <v>915.23586842073507</v>
      </c>
      <c r="AG63" s="528">
        <f t="shared" si="151"/>
        <v>0.2218007477682033</v>
      </c>
      <c r="AI63" s="173">
        <f t="shared" si="152"/>
        <v>2.1561115716582608</v>
      </c>
      <c r="AJ63" s="173">
        <f t="shared" si="153"/>
        <v>2.1561115716582608</v>
      </c>
      <c r="AK63" s="173">
        <f t="shared" si="154"/>
        <v>1.8094653617221683</v>
      </c>
      <c r="AM63" s="545">
        <f t="shared" si="155"/>
        <v>580</v>
      </c>
      <c r="AN63" s="460">
        <f t="shared" si="156"/>
        <v>350</v>
      </c>
      <c r="AP63">
        <f t="shared" si="157"/>
        <v>580</v>
      </c>
      <c r="AQ63">
        <f t="shared" si="158"/>
        <v>350</v>
      </c>
      <c r="AS63" s="5">
        <f t="shared" si="101"/>
        <v>2.8571428571428572</v>
      </c>
      <c r="AT63" s="5">
        <f t="shared" si="159"/>
        <v>1.0804510871347583</v>
      </c>
      <c r="AU63" s="5">
        <f t="shared" si="102"/>
        <v>1.7766917700080989</v>
      </c>
      <c r="AV63" s="5">
        <f t="shared" si="160"/>
        <v>1.5371587249247511</v>
      </c>
      <c r="AW63" s="173">
        <f t="shared" si="103"/>
        <v>0.37815788049716542</v>
      </c>
      <c r="AX63" s="173">
        <f t="shared" si="161"/>
        <v>9.762515929821177</v>
      </c>
      <c r="AY63" s="173">
        <f t="shared" si="162"/>
        <v>0.67038049480228035</v>
      </c>
      <c r="AZ63" s="173">
        <f t="shared" si="104"/>
        <v>14.56264913062618</v>
      </c>
      <c r="BA63" s="460">
        <f t="shared" si="163"/>
        <v>3.8211075032814632</v>
      </c>
      <c r="BB63" s="5">
        <f t="shared" si="164"/>
        <v>0.58810560774573784</v>
      </c>
      <c r="BC63" s="5"/>
      <c r="BD63" s="173">
        <f t="shared" si="105"/>
        <v>0.76550349986665223</v>
      </c>
      <c r="BE63" s="173">
        <f t="shared" si="165"/>
        <v>0.98163643719970217</v>
      </c>
      <c r="BF63" s="173"/>
      <c r="BG63" s="528">
        <f t="shared" si="166"/>
        <v>1.1719912166161873E-2</v>
      </c>
      <c r="BH63" s="528">
        <f t="shared" si="167"/>
        <v>0.57775058162049542</v>
      </c>
      <c r="BI63" s="528">
        <f t="shared" si="168"/>
        <v>0.20953444141972608</v>
      </c>
      <c r="BJ63" s="528">
        <f t="shared" si="169"/>
        <v>5.835361066236084E-2</v>
      </c>
      <c r="BK63">
        <f t="shared" si="170"/>
        <v>1.0776056987300197E-2</v>
      </c>
      <c r="BL63" s="460">
        <f t="shared" si="106"/>
        <v>220.31049840702627</v>
      </c>
      <c r="BM63" s="528">
        <f t="shared" si="171"/>
        <v>0.6528063185870504</v>
      </c>
      <c r="BN63" s="460">
        <f t="shared" si="107"/>
        <v>652.80631858705044</v>
      </c>
      <c r="BO63" s="528">
        <f t="shared" si="172"/>
        <v>0.36032499999999995</v>
      </c>
      <c r="BP63" s="528"/>
      <c r="BR63" s="460">
        <f t="shared" si="109"/>
        <v>360.32499999999993</v>
      </c>
      <c r="BS63" s="528">
        <f t="shared" si="173"/>
        <v>1.7579868249242809E-2</v>
      </c>
      <c r="BT63" s="528">
        <f t="shared" si="174"/>
        <v>2.8908302845143743E-2</v>
      </c>
      <c r="BU63" s="528">
        <f t="shared" si="175"/>
        <v>0.14267999999999997</v>
      </c>
      <c r="BV63" s="528">
        <f t="shared" si="176"/>
        <v>0.20107313393727613</v>
      </c>
      <c r="BW63" s="528">
        <f t="shared" si="177"/>
        <v>8.1354299415176481E-3</v>
      </c>
      <c r="BX63" s="460">
        <f t="shared" si="110"/>
        <v>209.20856387879377</v>
      </c>
      <c r="BY63" s="173">
        <f t="shared" si="45"/>
        <v>1.4426503808728703</v>
      </c>
      <c r="BZ63" s="5">
        <f t="shared" si="111"/>
        <v>9.5119999999999987</v>
      </c>
      <c r="CA63" s="173">
        <f t="shared" si="112"/>
        <v>0.86830703575973744</v>
      </c>
      <c r="CB63" s="5">
        <f t="shared" si="113"/>
        <v>86.830703575973743</v>
      </c>
      <c r="CE63" s="562">
        <f t="shared" si="178"/>
        <v>-50</v>
      </c>
      <c r="CF63">
        <f t="shared" si="179"/>
        <v>-50</v>
      </c>
      <c r="CG63" s="173">
        <f t="shared" si="180"/>
        <v>0.54504419154019734</v>
      </c>
      <c r="CI63" s="170">
        <v>58</v>
      </c>
      <c r="CJ63" s="217">
        <f t="shared" si="114"/>
        <v>0.57999999999999996</v>
      </c>
      <c r="CK63" s="217"/>
      <c r="CL63" s="217">
        <f t="shared" si="49"/>
        <v>9.5119999999999987</v>
      </c>
      <c r="CM63" s="541">
        <f t="shared" si="50"/>
        <v>24</v>
      </c>
      <c r="CN63" s="172">
        <f t="shared" si="51"/>
        <v>16.799999999999997</v>
      </c>
      <c r="CO63" s="443">
        <f t="shared" si="52"/>
        <v>40.799999999999997</v>
      </c>
      <c r="CP63" s="443"/>
      <c r="CQ63" s="217">
        <f t="shared" si="53"/>
        <v>0.41176470588235292</v>
      </c>
      <c r="CR63" s="172">
        <f t="shared" si="54"/>
        <v>33.237647058823534</v>
      </c>
      <c r="CS63" s="172">
        <f t="shared" si="115"/>
        <v>9.5119999999999987</v>
      </c>
      <c r="CT63" s="217">
        <f t="shared" si="55"/>
        <v>2.026685796269728</v>
      </c>
      <c r="CU63" s="217">
        <f t="shared" si="56"/>
        <v>16.399999999999999</v>
      </c>
      <c r="CV63" s="217">
        <f t="shared" si="57"/>
        <v>2.0086083213773311</v>
      </c>
      <c r="CW63" s="172">
        <f t="shared" si="58"/>
        <v>114.01493960942103</v>
      </c>
      <c r="CX63" s="172">
        <f t="shared" si="59"/>
        <v>16.399999999999999</v>
      </c>
      <c r="CY63" s="217">
        <f t="shared" si="60"/>
        <v>1.9250476190476187</v>
      </c>
      <c r="CZ63" s="217">
        <f t="shared" si="61"/>
        <v>0.96252380952380934</v>
      </c>
      <c r="DA63" s="217">
        <f t="shared" si="62"/>
        <v>1.3750340136054422</v>
      </c>
      <c r="DB63" s="197">
        <f t="shared" si="63"/>
        <v>350</v>
      </c>
      <c r="DC63" s="443">
        <f t="shared" si="116"/>
        <v>350</v>
      </c>
      <c r="DE63" s="217">
        <f t="shared" si="64"/>
        <v>2.3529411764705879</v>
      </c>
      <c r="DF63" s="173">
        <f t="shared" si="65"/>
        <v>1.6806722689075633</v>
      </c>
      <c r="DG63" s="173">
        <f t="shared" si="66"/>
        <v>0.69204152249134954</v>
      </c>
      <c r="DH63" s="173"/>
      <c r="DI63" s="173">
        <f t="shared" si="67"/>
        <v>0.95238095238095266</v>
      </c>
      <c r="DJ63" s="545">
        <f t="shared" si="117"/>
        <v>913.49999999999955</v>
      </c>
      <c r="DK63" s="528">
        <f t="shared" si="68"/>
        <v>0.22222222222222232</v>
      </c>
      <c r="DM63" s="173">
        <f t="shared" si="69"/>
        <v>2.1540659228538015</v>
      </c>
      <c r="DN63" s="173">
        <f t="shared" si="70"/>
        <v>2.1540659228538015</v>
      </c>
      <c r="DO63" s="173">
        <f t="shared" si="71"/>
        <v>1.8079500663114578</v>
      </c>
      <c r="DQ63" s="545">
        <f t="shared" si="72"/>
        <v>580</v>
      </c>
      <c r="DR63" s="460">
        <f t="shared" si="73"/>
        <v>350</v>
      </c>
      <c r="DT63">
        <f t="shared" si="74"/>
        <v>580</v>
      </c>
      <c r="DU63">
        <f t="shared" si="75"/>
        <v>350</v>
      </c>
      <c r="DW63" s="5">
        <f t="shared" si="118"/>
        <v>2.8571428571428572</v>
      </c>
      <c r="DX63" s="5">
        <f t="shared" si="76"/>
        <v>1.0770329614269007</v>
      </c>
      <c r="DY63" s="5">
        <f t="shared" si="119"/>
        <v>1.7801098957159565</v>
      </c>
      <c r="DZ63" s="5">
        <f t="shared" si="77"/>
        <v>1.5386185163241444</v>
      </c>
      <c r="EA63" s="173">
        <f t="shared" si="120"/>
        <v>0.37696153649941527</v>
      </c>
      <c r="EB63" s="173">
        <f t="shared" si="78"/>
        <v>9.7439999999999998</v>
      </c>
      <c r="EC63" s="173">
        <f t="shared" si="79"/>
        <v>0.67103296142690083</v>
      </c>
      <c r="ED63" s="173">
        <f t="shared" si="121"/>
        <v>14.520896230313516</v>
      </c>
      <c r="EE63" s="460">
        <f t="shared" si="80"/>
        <v>3.8090190099244059</v>
      </c>
      <c r="EF63" s="5">
        <f t="shared" si="81"/>
        <v>0.58793074055729766</v>
      </c>
      <c r="EG63" s="5"/>
      <c r="EH63" s="173">
        <f t="shared" si="122"/>
        <v>0.76356652828623628</v>
      </c>
      <c r="EI63" s="173">
        <f t="shared" si="82"/>
        <v>0.98164801408018498</v>
      </c>
      <c r="EJ63" s="173"/>
      <c r="EK63" s="528">
        <f t="shared" si="83"/>
        <v>1.1660676862381914E-2</v>
      </c>
      <c r="EL63" s="528">
        <f t="shared" si="84"/>
        <v>0.61520122756704565</v>
      </c>
      <c r="EM63" s="528">
        <f t="shared" si="85"/>
        <v>4.3749999999999997E-2</v>
      </c>
      <c r="EN63" s="528">
        <f t="shared" si="86"/>
        <v>5.8262399999999999E-2</v>
      </c>
      <c r="EO63">
        <f t="shared" si="87"/>
        <v>1.0800000000000001E-2</v>
      </c>
      <c r="EP63" s="460">
        <f t="shared" si="123"/>
        <v>54.550000000000004</v>
      </c>
      <c r="EQ63" s="528">
        <f t="shared" si="88"/>
        <v>0.74488645232247108</v>
      </c>
      <c r="ER63" s="460">
        <f t="shared" si="124"/>
        <v>744.88645232247109</v>
      </c>
      <c r="ES63" s="528">
        <f t="shared" si="125"/>
        <v>0.36032499999999995</v>
      </c>
      <c r="ET63" s="528"/>
      <c r="EV63" s="460">
        <f t="shared" si="126"/>
        <v>360.32499999999993</v>
      </c>
      <c r="EW63" s="528">
        <f t="shared" si="89"/>
        <v>1.749101529357287E-2</v>
      </c>
      <c r="EX63" s="528">
        <f t="shared" si="90"/>
        <v>2.8908984706427131E-2</v>
      </c>
      <c r="EY63" s="528">
        <f t="shared" si="91"/>
        <v>0.78034668701679666</v>
      </c>
      <c r="EZ63" s="528">
        <f t="shared" si="92"/>
        <v>0.84100449570485314</v>
      </c>
      <c r="FA63" s="528">
        <f t="shared" si="93"/>
        <v>8.1200000000000005E-3</v>
      </c>
      <c r="FB63" s="460">
        <f t="shared" si="127"/>
        <v>849.12449570485319</v>
      </c>
      <c r="FC63" s="173">
        <f t="shared" si="128"/>
        <v>1.9543359480273241</v>
      </c>
      <c r="FD63" s="5">
        <f t="shared" si="129"/>
        <v>9.5119999999999987</v>
      </c>
      <c r="FE63" s="173">
        <f t="shared" si="130"/>
        <v>0.82955880964192841</v>
      </c>
      <c r="FF63" s="5">
        <f t="shared" si="131"/>
        <v>82.955880964192843</v>
      </c>
      <c r="FI63" s="562">
        <f t="shared" si="94"/>
        <v>-50</v>
      </c>
      <c r="FJ63">
        <f t="shared" si="95"/>
        <v>-50</v>
      </c>
      <c r="FL63">
        <f t="shared" si="181"/>
        <v>0.53851648071345037</v>
      </c>
    </row>
    <row r="64" spans="5:168">
      <c r="E64" s="170">
        <v>59</v>
      </c>
      <c r="F64" s="217">
        <f t="shared" si="182"/>
        <v>0.59</v>
      </c>
      <c r="G64" s="217"/>
      <c r="H64" s="217">
        <f t="shared" si="132"/>
        <v>9.6759999999999984</v>
      </c>
      <c r="I64" s="541">
        <f t="shared" si="133"/>
        <v>23.946336586907261</v>
      </c>
      <c r="J64" s="172">
        <f t="shared" si="134"/>
        <v>16.832198047855641</v>
      </c>
      <c r="K64" s="172">
        <f t="shared" si="135"/>
        <v>40.832198047855641</v>
      </c>
      <c r="L64" s="443"/>
      <c r="M64" s="217">
        <f t="shared" si="136"/>
        <v>0.4127766578210757</v>
      </c>
      <c r="N64" s="172">
        <f t="shared" si="137"/>
        <v>33.24483060817581</v>
      </c>
      <c r="O64" s="172">
        <f t="shared" si="98"/>
        <v>9.6759999999999984</v>
      </c>
      <c r="P64" s="217">
        <f t="shared" si="138"/>
        <v>2.0271238175716961</v>
      </c>
      <c r="Q64" s="217">
        <f t="shared" si="139"/>
        <v>16.399999999999999</v>
      </c>
      <c r="R64" s="217">
        <f t="shared" si="140"/>
        <v>2.0090424356508385</v>
      </c>
      <c r="S64" s="172">
        <f t="shared" si="141"/>
        <v>111.42935376136457</v>
      </c>
      <c r="T64" s="172">
        <f t="shared" si="142"/>
        <v>16.399999999999999</v>
      </c>
      <c r="U64" s="217">
        <f t="shared" si="143"/>
        <v>2.0094569054791749</v>
      </c>
      <c r="V64" s="217">
        <f t="shared" si="11"/>
        <v>1.0069800354737444</v>
      </c>
      <c r="W64" s="217">
        <f t="shared" si="144"/>
        <v>1.4325807477545729</v>
      </c>
      <c r="X64" s="197">
        <f t="shared" si="145"/>
        <v>350</v>
      </c>
      <c r="Y64" s="443">
        <f t="shared" si="14"/>
        <v>350</v>
      </c>
      <c r="AA64" s="217">
        <f t="shared" si="146"/>
        <v>2.3534176658753445</v>
      </c>
      <c r="AB64" s="173">
        <f t="shared" si="147"/>
        <v>1.6777970357889138</v>
      </c>
      <c r="AC64" s="173">
        <f t="shared" si="148"/>
        <v>0.69099750716131048</v>
      </c>
      <c r="AD64" s="173"/>
      <c r="AE64" s="173">
        <f t="shared" si="149"/>
        <v>0.95055915778262501</v>
      </c>
      <c r="AF64" s="545">
        <f t="shared" si="150"/>
        <v>931.03095452201478</v>
      </c>
      <c r="AG64" s="528">
        <f t="shared" si="151"/>
        <v>0.22179713681594587</v>
      </c>
      <c r="AI64" s="173">
        <f t="shared" si="152"/>
        <v>2.1746370083779643</v>
      </c>
      <c r="AJ64" s="173">
        <f t="shared" si="153"/>
        <v>2.1746370083779643</v>
      </c>
      <c r="AK64" s="173">
        <f t="shared" si="154"/>
        <v>1.8231879074404671</v>
      </c>
      <c r="AM64" s="545">
        <f t="shared" si="155"/>
        <v>590</v>
      </c>
      <c r="AN64" s="460">
        <f t="shared" si="156"/>
        <v>350</v>
      </c>
      <c r="AP64">
        <f t="shared" si="157"/>
        <v>590</v>
      </c>
      <c r="AQ64">
        <f t="shared" si="158"/>
        <v>350</v>
      </c>
      <c r="AS64" s="5">
        <f t="shared" si="101"/>
        <v>2.8571428571428572</v>
      </c>
      <c r="AT64" s="5">
        <f t="shared" si="159"/>
        <v>1.0897551700999413</v>
      </c>
      <c r="AU64" s="5">
        <f t="shared" si="102"/>
        <v>1.7673876870429159</v>
      </c>
      <c r="AV64" s="5">
        <f t="shared" si="160"/>
        <v>1.5503408423750134</v>
      </c>
      <c r="AW64" s="173">
        <f t="shared" si="103"/>
        <v>0.38141430953497946</v>
      </c>
      <c r="AX64" s="173">
        <f t="shared" si="161"/>
        <v>9.9309968482348321</v>
      </c>
      <c r="AY64" s="173">
        <f t="shared" si="162"/>
        <v>0.67259966766913482</v>
      </c>
      <c r="AZ64" s="173">
        <f t="shared" si="104"/>
        <v>14.765093302306072</v>
      </c>
      <c r="BA64" s="460">
        <f t="shared" si="163"/>
        <v>3.9204606729205209</v>
      </c>
      <c r="BB64" s="5">
        <f t="shared" si="164"/>
        <v>0.59512385112167188</v>
      </c>
      <c r="BC64" s="5"/>
      <c r="BD64" s="173">
        <f t="shared" si="105"/>
        <v>0.77539793223329778</v>
      </c>
      <c r="BE64" s="173">
        <f t="shared" si="165"/>
        <v>0.98747493778695306</v>
      </c>
      <c r="BF64" s="173"/>
      <c r="BG64" s="528">
        <f t="shared" si="166"/>
        <v>1.2024839066233478E-2</v>
      </c>
      <c r="BH64" s="528">
        <f t="shared" si="167"/>
        <v>0.58271855911687254</v>
      </c>
      <c r="BI64" s="528">
        <f t="shared" si="168"/>
        <v>0.20953044513543853</v>
      </c>
      <c r="BJ64" s="528">
        <f t="shared" si="169"/>
        <v>5.8354393909675714E-2</v>
      </c>
      <c r="BK64">
        <f t="shared" si="170"/>
        <v>1.0775851464108267E-2</v>
      </c>
      <c r="BL64" s="460">
        <f t="shared" si="106"/>
        <v>220.30629659954678</v>
      </c>
      <c r="BM64" s="528">
        <f t="shared" si="171"/>
        <v>0.65822511477597401</v>
      </c>
      <c r="BN64" s="460">
        <f t="shared" si="107"/>
        <v>658.22511477597402</v>
      </c>
      <c r="BO64" s="528">
        <f t="shared" si="172"/>
        <v>0.36653749999999996</v>
      </c>
      <c r="BP64" s="528"/>
      <c r="BR64" s="460">
        <f t="shared" si="109"/>
        <v>366.53749999999997</v>
      </c>
      <c r="BS64" s="528">
        <f t="shared" si="173"/>
        <v>1.8037258599350216E-2</v>
      </c>
      <c r="BT64" s="528">
        <f t="shared" si="174"/>
        <v>2.9253202582720402E-2</v>
      </c>
      <c r="BU64" s="528">
        <f t="shared" si="175"/>
        <v>0.14513999999999996</v>
      </c>
      <c r="BV64" s="528">
        <f t="shared" si="176"/>
        <v>0.20455404828818413</v>
      </c>
      <c r="BW64" s="528">
        <f t="shared" si="177"/>
        <v>8.2758307068623582E-3</v>
      </c>
      <c r="BX64" s="460">
        <f t="shared" si="110"/>
        <v>212.8298789950465</v>
      </c>
      <c r="BY64" s="173">
        <f t="shared" si="45"/>
        <v>1.4578987903705674</v>
      </c>
      <c r="BZ64" s="5">
        <f t="shared" si="111"/>
        <v>9.6759999999999984</v>
      </c>
      <c r="CA64" s="173">
        <f t="shared" si="112"/>
        <v>0.86905765735615736</v>
      </c>
      <c r="CB64" s="5">
        <f t="shared" si="113"/>
        <v>86.905765735615731</v>
      </c>
      <c r="CE64" s="562">
        <f t="shared" si="178"/>
        <v>-50</v>
      </c>
      <c r="CF64">
        <f t="shared" si="179"/>
        <v>-50</v>
      </c>
      <c r="CG64" s="173">
        <f t="shared" si="180"/>
        <v>0.549722768267078</v>
      </c>
      <c r="CI64" s="170">
        <v>59</v>
      </c>
      <c r="CJ64" s="217">
        <f t="shared" si="114"/>
        <v>0.59</v>
      </c>
      <c r="CK64" s="217"/>
      <c r="CL64" s="217">
        <f t="shared" si="49"/>
        <v>9.6759999999999984</v>
      </c>
      <c r="CM64" s="541">
        <f t="shared" si="50"/>
        <v>24</v>
      </c>
      <c r="CN64" s="172">
        <f t="shared" si="51"/>
        <v>16.799999999999997</v>
      </c>
      <c r="CO64" s="443">
        <f t="shared" si="52"/>
        <v>40.799999999999997</v>
      </c>
      <c r="CP64" s="443"/>
      <c r="CQ64" s="217">
        <f t="shared" si="53"/>
        <v>0.41176470588235292</v>
      </c>
      <c r="CR64" s="172">
        <f t="shared" si="54"/>
        <v>33.237647058823534</v>
      </c>
      <c r="CS64" s="172">
        <f t="shared" si="115"/>
        <v>9.6759999999999984</v>
      </c>
      <c r="CT64" s="217">
        <f t="shared" si="55"/>
        <v>2.026685796269728</v>
      </c>
      <c r="CU64" s="217">
        <f t="shared" si="56"/>
        <v>16.399999999999999</v>
      </c>
      <c r="CV64" s="217">
        <f t="shared" si="57"/>
        <v>2.0086083213773311</v>
      </c>
      <c r="CW64" s="172">
        <f t="shared" si="58"/>
        <v>111.67887430418928</v>
      </c>
      <c r="CX64" s="172">
        <f t="shared" si="59"/>
        <v>16.399999999999999</v>
      </c>
      <c r="CY64" s="217">
        <f t="shared" si="60"/>
        <v>1.9582380952380949</v>
      </c>
      <c r="CZ64" s="217">
        <f t="shared" si="61"/>
        <v>0.97911904761904744</v>
      </c>
      <c r="DA64" s="217">
        <f t="shared" si="62"/>
        <v>1.3987414965986396</v>
      </c>
      <c r="DB64" s="197">
        <f t="shared" si="63"/>
        <v>350</v>
      </c>
      <c r="DC64" s="443">
        <f t="shared" si="116"/>
        <v>350</v>
      </c>
      <c r="DE64" s="217">
        <f t="shared" si="64"/>
        <v>2.3529411764705879</v>
      </c>
      <c r="DF64" s="173">
        <f t="shared" si="65"/>
        <v>1.6806722689075633</v>
      </c>
      <c r="DG64" s="173">
        <f t="shared" si="66"/>
        <v>0.69204152249134954</v>
      </c>
      <c r="DH64" s="173"/>
      <c r="DI64" s="173">
        <f t="shared" si="67"/>
        <v>0.95238095238095266</v>
      </c>
      <c r="DJ64" s="545">
        <f t="shared" si="117"/>
        <v>929.24999999999955</v>
      </c>
      <c r="DK64" s="528">
        <f t="shared" si="68"/>
        <v>0.22222222222222232</v>
      </c>
      <c r="DM64" s="173">
        <f t="shared" si="69"/>
        <v>2.1725560982400429</v>
      </c>
      <c r="DN64" s="173">
        <f t="shared" si="70"/>
        <v>2.1725560982400429</v>
      </c>
      <c r="DO64" s="173">
        <f t="shared" si="71"/>
        <v>1.8216464925234885</v>
      </c>
      <c r="DQ64" s="545">
        <f t="shared" si="72"/>
        <v>590</v>
      </c>
      <c r="DR64" s="460">
        <f t="shared" si="73"/>
        <v>350</v>
      </c>
      <c r="DT64">
        <f t="shared" si="74"/>
        <v>590</v>
      </c>
      <c r="DU64">
        <f t="shared" si="75"/>
        <v>350</v>
      </c>
      <c r="DW64" s="5">
        <f t="shared" si="118"/>
        <v>2.8571428571428572</v>
      </c>
      <c r="DX64" s="5">
        <f t="shared" si="76"/>
        <v>1.0862780491200215</v>
      </c>
      <c r="DY64" s="5">
        <f t="shared" si="119"/>
        <v>1.7708648080228357</v>
      </c>
      <c r="DZ64" s="5">
        <f t="shared" si="77"/>
        <v>1.5518257844571739</v>
      </c>
      <c r="EA64" s="173">
        <f t="shared" si="120"/>
        <v>0.3801973171920075</v>
      </c>
      <c r="EB64" s="173">
        <f t="shared" si="78"/>
        <v>9.9119999999999973</v>
      </c>
      <c r="EC64" s="173">
        <f t="shared" si="79"/>
        <v>0.67327804912002165</v>
      </c>
      <c r="ED64" s="173">
        <f t="shared" si="121"/>
        <v>14.722000833021424</v>
      </c>
      <c r="EE64" s="460">
        <f t="shared" si="80"/>
        <v>3.9079515181756879</v>
      </c>
      <c r="EF64" s="5">
        <f t="shared" si="81"/>
        <v>0.59496138480656091</v>
      </c>
      <c r="EG64" s="5"/>
      <c r="EH64" s="173">
        <f t="shared" si="122"/>
        <v>0.7734191052605901</v>
      </c>
      <c r="EI64" s="173">
        <f t="shared" si="82"/>
        <v>0.98749998529176775</v>
      </c>
      <c r="EJ64" s="173"/>
      <c r="EK64" s="528">
        <f t="shared" si="83"/>
        <v>1.1963542247641835E-2</v>
      </c>
      <c r="EL64" s="528">
        <f t="shared" si="84"/>
        <v>0.62048202165735622</v>
      </c>
      <c r="EM64" s="528">
        <f t="shared" si="85"/>
        <v>4.3749999999999997E-2</v>
      </c>
      <c r="EN64" s="528">
        <f t="shared" si="86"/>
        <v>5.8262399999999999E-2</v>
      </c>
      <c r="EO64">
        <f t="shared" si="87"/>
        <v>1.0800000000000001E-2</v>
      </c>
      <c r="EP64" s="460">
        <f t="shared" si="123"/>
        <v>54.550000000000004</v>
      </c>
      <c r="EQ64" s="528">
        <f t="shared" si="88"/>
        <v>0.75062179100472504</v>
      </c>
      <c r="ER64" s="460">
        <f t="shared" si="124"/>
        <v>750.62179100472508</v>
      </c>
      <c r="ES64" s="528">
        <f t="shared" si="125"/>
        <v>0.36653749999999996</v>
      </c>
      <c r="ET64" s="528"/>
      <c r="EV64" s="460">
        <f t="shared" si="126"/>
        <v>366.53749999999997</v>
      </c>
      <c r="EW64" s="528">
        <f t="shared" si="89"/>
        <v>1.794531337146275E-2</v>
      </c>
      <c r="EX64" s="528">
        <f t="shared" si="90"/>
        <v>2.9254686628537245E-2</v>
      </c>
      <c r="EY64" s="528">
        <f t="shared" si="91"/>
        <v>0.79720059377926245</v>
      </c>
      <c r="EZ64" s="528">
        <f t="shared" si="92"/>
        <v>0.85897207232435924</v>
      </c>
      <c r="FA64" s="528">
        <f t="shared" si="93"/>
        <v>8.2599999999999982E-3</v>
      </c>
      <c r="FB64" s="460">
        <f t="shared" si="127"/>
        <v>867.23207232435925</v>
      </c>
      <c r="FC64" s="173">
        <f t="shared" si="128"/>
        <v>1.9843913633290842</v>
      </c>
      <c r="FD64" s="5">
        <f t="shared" si="129"/>
        <v>9.6759999999999984</v>
      </c>
      <c r="FE64" s="173">
        <f t="shared" si="130"/>
        <v>0.82981777356377395</v>
      </c>
      <c r="FF64" s="5">
        <f t="shared" si="131"/>
        <v>82.981777356377393</v>
      </c>
      <c r="FI64" s="562">
        <f t="shared" si="94"/>
        <v>-50</v>
      </c>
      <c r="FJ64">
        <f t="shared" si="95"/>
        <v>-50</v>
      </c>
      <c r="FL64">
        <f t="shared" si="181"/>
        <v>0.54313902456001084</v>
      </c>
    </row>
    <row r="65" spans="5:168">
      <c r="E65" s="170">
        <v>60</v>
      </c>
      <c r="F65" s="217">
        <f t="shared" si="182"/>
        <v>0.6</v>
      </c>
      <c r="G65" s="217"/>
      <c r="H65" s="217">
        <f t="shared" si="132"/>
        <v>9.8399999999999981</v>
      </c>
      <c r="I65" s="541">
        <f t="shared" si="133"/>
        <v>23.945883723071784</v>
      </c>
      <c r="J65" s="172">
        <f t="shared" si="134"/>
        <v>16.832469766156926</v>
      </c>
      <c r="K65" s="172">
        <f t="shared" si="135"/>
        <v>40.832469766156926</v>
      </c>
      <c r="L65" s="443"/>
      <c r="M65" s="217">
        <f t="shared" si="136"/>
        <v>0.41278520210204395</v>
      </c>
      <c r="N65" s="172">
        <f t="shared" si="137"/>
        <v>33.244890034031641</v>
      </c>
      <c r="O65" s="172">
        <f t="shared" si="98"/>
        <v>9.8399999999999981</v>
      </c>
      <c r="P65" s="217">
        <f t="shared" si="138"/>
        <v>2.0271274410994904</v>
      </c>
      <c r="Q65" s="217">
        <f t="shared" si="139"/>
        <v>16.399999999999999</v>
      </c>
      <c r="R65" s="217">
        <f t="shared" si="140"/>
        <v>2.0090460268577708</v>
      </c>
      <c r="S65" s="172">
        <f t="shared" si="141"/>
        <v>109.1742179266984</v>
      </c>
      <c r="T65" s="172">
        <f t="shared" si="142"/>
        <v>16.399999999999999</v>
      </c>
      <c r="U65" s="217">
        <f t="shared" si="143"/>
        <v>2.0435452313116462</v>
      </c>
      <c r="V65" s="217">
        <f t="shared" si="11"/>
        <v>1.0240817611635005</v>
      </c>
      <c r="W65" s="217">
        <f t="shared" si="144"/>
        <v>1.4568594577276091</v>
      </c>
      <c r="X65" s="197">
        <f t="shared" si="145"/>
        <v>350</v>
      </c>
      <c r="Y65" s="443">
        <f t="shared" si="14"/>
        <v>350</v>
      </c>
      <c r="AA65" s="217">
        <f t="shared" si="146"/>
        <v>2.3534216032333504</v>
      </c>
      <c r="AB65" s="173">
        <f t="shared" si="147"/>
        <v>1.6777727589079763</v>
      </c>
      <c r="AC65" s="173">
        <f t="shared" si="148"/>
        <v>0.69098866482282895</v>
      </c>
      <c r="AD65" s="173"/>
      <c r="AE65" s="173">
        <f t="shared" si="149"/>
        <v>0.95054381337249316</v>
      </c>
      <c r="AF65" s="545">
        <f t="shared" si="150"/>
        <v>946.82642434632669</v>
      </c>
      <c r="AG65" s="528">
        <f t="shared" si="151"/>
        <v>0.22179355645358179</v>
      </c>
      <c r="AI65" s="173">
        <f t="shared" si="152"/>
        <v>2.1930064012776698</v>
      </c>
      <c r="AJ65" s="173">
        <f t="shared" si="153"/>
        <v>2.1930064012776698</v>
      </c>
      <c r="AK65" s="173">
        <f t="shared" si="154"/>
        <v>1.8367948651439527</v>
      </c>
      <c r="AM65" s="545">
        <f t="shared" si="155"/>
        <v>600</v>
      </c>
      <c r="AN65" s="460">
        <f t="shared" si="156"/>
        <v>350</v>
      </c>
      <c r="AP65">
        <f t="shared" si="157"/>
        <v>600</v>
      </c>
      <c r="AQ65">
        <f t="shared" si="158"/>
        <v>350</v>
      </c>
      <c r="AS65" s="5">
        <f t="shared" si="101"/>
        <v>2.8571428571428572</v>
      </c>
      <c r="AT65" s="5">
        <f t="shared" si="159"/>
        <v>1.0989812328361297</v>
      </c>
      <c r="AU65" s="5">
        <f t="shared" si="102"/>
        <v>1.7581616243067275</v>
      </c>
      <c r="AV65" s="5">
        <f t="shared" si="160"/>
        <v>1.5634115005655729</v>
      </c>
      <c r="AW65" s="173">
        <f t="shared" si="103"/>
        <v>0.3846434314926454</v>
      </c>
      <c r="AX65" s="173">
        <f t="shared" si="161"/>
        <v>10.099481859694157</v>
      </c>
      <c r="AY65" s="173">
        <f t="shared" si="162"/>
        <v>0.67474044690244472</v>
      </c>
      <c r="AZ65" s="173">
        <f t="shared" si="104"/>
        <v>14.967950870676587</v>
      </c>
      <c r="BA65" s="460">
        <f t="shared" si="163"/>
        <v>4.0206630469614506</v>
      </c>
      <c r="BB65" s="5">
        <f t="shared" si="164"/>
        <v>0.60206277980981338</v>
      </c>
      <c r="BC65" s="5"/>
      <c r="BD65" s="173">
        <f t="shared" si="105"/>
        <v>0.78525088082913608</v>
      </c>
      <c r="BE65" s="173">
        <f t="shared" si="165"/>
        <v>0.9932136793453249</v>
      </c>
      <c r="BF65" s="173"/>
      <c r="BG65" s="528">
        <f t="shared" si="166"/>
        <v>1.2332378916858682E-2</v>
      </c>
      <c r="BH65" s="528">
        <f t="shared" si="167"/>
        <v>0.58764475597510624</v>
      </c>
      <c r="BI65" s="528">
        <f t="shared" si="168"/>
        <v>0.20952648257687809</v>
      </c>
      <c r="BJ65" s="528">
        <f t="shared" si="169"/>
        <v>5.8355170552144182E-2</v>
      </c>
      <c r="BK65">
        <f t="shared" si="170"/>
        <v>1.0775647675382303E-2</v>
      </c>
      <c r="BL65" s="460">
        <f t="shared" si="106"/>
        <v>220.30213025226038</v>
      </c>
      <c r="BM65" s="528">
        <f t="shared" si="171"/>
        <v>0.66360652984108304</v>
      </c>
      <c r="BN65" s="460">
        <f t="shared" si="107"/>
        <v>663.60652984108299</v>
      </c>
      <c r="BO65" s="528">
        <f t="shared" si="172"/>
        <v>0.37274999999999997</v>
      </c>
      <c r="BP65" s="528"/>
      <c r="BR65" s="460">
        <f t="shared" si="109"/>
        <v>372.74999999999994</v>
      </c>
      <c r="BS65" s="528">
        <f t="shared" si="173"/>
        <v>1.8498568375288023E-2</v>
      </c>
      <c r="BT65" s="528">
        <f t="shared" si="174"/>
        <v>2.9594202385160334E-2</v>
      </c>
      <c r="BU65" s="528">
        <f t="shared" si="175"/>
        <v>0.14759999999999995</v>
      </c>
      <c r="BV65" s="528">
        <f t="shared" si="176"/>
        <v>0.20803543578481587</v>
      </c>
      <c r="BW65" s="528">
        <f t="shared" si="177"/>
        <v>8.4162348830784627E-3</v>
      </c>
      <c r="BX65" s="460">
        <f t="shared" si="110"/>
        <v>216.45167066789435</v>
      </c>
      <c r="BY65" s="173">
        <f t="shared" si="45"/>
        <v>1.4731103307612379</v>
      </c>
      <c r="BZ65" s="5">
        <f t="shared" si="111"/>
        <v>9.8399999999999981</v>
      </c>
      <c r="CA65" s="173">
        <f t="shared" si="112"/>
        <v>0.86978732747299969</v>
      </c>
      <c r="CB65" s="5">
        <f t="shared" si="113"/>
        <v>86.978732747299972</v>
      </c>
      <c r="CE65" s="562">
        <f t="shared" si="178"/>
        <v>-50</v>
      </c>
      <c r="CF65">
        <f t="shared" si="179"/>
        <v>-50</v>
      </c>
      <c r="CG65" s="173">
        <f t="shared" si="180"/>
        <v>0.55436186121587738</v>
      </c>
      <c r="CI65" s="170">
        <v>60</v>
      </c>
      <c r="CJ65" s="217">
        <f t="shared" si="114"/>
        <v>0.6</v>
      </c>
      <c r="CK65" s="217"/>
      <c r="CL65" s="217">
        <f t="shared" si="49"/>
        <v>9.8399999999999981</v>
      </c>
      <c r="CM65" s="541">
        <f t="shared" si="50"/>
        <v>24</v>
      </c>
      <c r="CN65" s="172">
        <f t="shared" si="51"/>
        <v>16.799999999999997</v>
      </c>
      <c r="CO65" s="443">
        <f t="shared" si="52"/>
        <v>40.799999999999997</v>
      </c>
      <c r="CP65" s="443"/>
      <c r="CQ65" s="217">
        <f t="shared" si="53"/>
        <v>0.41176470588235292</v>
      </c>
      <c r="CR65" s="172">
        <f t="shared" si="54"/>
        <v>33.237647058823534</v>
      </c>
      <c r="CS65" s="172">
        <f t="shared" si="115"/>
        <v>9.8399999999999981</v>
      </c>
      <c r="CT65" s="217">
        <f t="shared" si="55"/>
        <v>2.026685796269728</v>
      </c>
      <c r="CU65" s="217">
        <f t="shared" si="56"/>
        <v>16.399999999999999</v>
      </c>
      <c r="CV65" s="217">
        <f t="shared" si="57"/>
        <v>2.0086083213773311</v>
      </c>
      <c r="CW65" s="172">
        <f t="shared" si="58"/>
        <v>109.42074850879294</v>
      </c>
      <c r="CX65" s="172">
        <f t="shared" si="59"/>
        <v>16.399999999999999</v>
      </c>
      <c r="CY65" s="217">
        <f t="shared" si="60"/>
        <v>1.9914285714285709</v>
      </c>
      <c r="CZ65" s="217">
        <f t="shared" si="61"/>
        <v>0.99571428571428544</v>
      </c>
      <c r="DA65" s="217">
        <f t="shared" si="62"/>
        <v>1.4224489795918365</v>
      </c>
      <c r="DB65" s="197">
        <f t="shared" si="63"/>
        <v>350</v>
      </c>
      <c r="DC65" s="443">
        <f t="shared" si="116"/>
        <v>350</v>
      </c>
      <c r="DE65" s="217">
        <f t="shared" si="64"/>
        <v>2.3529411764705879</v>
      </c>
      <c r="DF65" s="173">
        <f t="shared" si="65"/>
        <v>1.6806722689075633</v>
      </c>
      <c r="DG65" s="173">
        <f t="shared" si="66"/>
        <v>0.69204152249134954</v>
      </c>
      <c r="DH65" s="173"/>
      <c r="DI65" s="173">
        <f t="shared" si="67"/>
        <v>0.95238095238095266</v>
      </c>
      <c r="DJ65" s="545">
        <f t="shared" si="117"/>
        <v>944.99999999999955</v>
      </c>
      <c r="DK65" s="528">
        <f t="shared" si="68"/>
        <v>0.22222222222222232</v>
      </c>
      <c r="DM65" s="173">
        <f t="shared" si="69"/>
        <v>2.1908902300206643</v>
      </c>
      <c r="DN65" s="173">
        <f t="shared" si="70"/>
        <v>2.1908902300206643</v>
      </c>
      <c r="DO65" s="173">
        <f t="shared" si="71"/>
        <v>1.8352273308795042</v>
      </c>
      <c r="DQ65" s="545">
        <f t="shared" si="72"/>
        <v>600</v>
      </c>
      <c r="DR65" s="460">
        <f t="shared" si="73"/>
        <v>350</v>
      </c>
      <c r="DT65">
        <f t="shared" si="74"/>
        <v>600</v>
      </c>
      <c r="DU65">
        <f t="shared" si="75"/>
        <v>350</v>
      </c>
      <c r="DW65" s="5">
        <f t="shared" si="118"/>
        <v>2.8571428571428572</v>
      </c>
      <c r="DX65" s="5">
        <f t="shared" si="76"/>
        <v>1.0954451150103324</v>
      </c>
      <c r="DY65" s="5">
        <f t="shared" si="119"/>
        <v>1.7616977421325248</v>
      </c>
      <c r="DZ65" s="5">
        <f t="shared" si="77"/>
        <v>1.5649215928719036</v>
      </c>
      <c r="EA65" s="173">
        <f t="shared" si="120"/>
        <v>0.38340579025361632</v>
      </c>
      <c r="EB65" s="173">
        <f t="shared" si="78"/>
        <v>10.079999999999998</v>
      </c>
      <c r="EC65" s="173">
        <f t="shared" si="79"/>
        <v>0.67544511501033211</v>
      </c>
      <c r="ED65" s="173">
        <f t="shared" si="121"/>
        <v>14.923492340078301</v>
      </c>
      <c r="EE65" s="460">
        <f t="shared" si="80"/>
        <v>4.0077260305256068</v>
      </c>
      <c r="EF65" s="5">
        <f t="shared" si="81"/>
        <v>0.60191339522861242</v>
      </c>
      <c r="EG65" s="5"/>
      <c r="EH65" s="173">
        <f t="shared" si="122"/>
        <v>0.78323002011272913</v>
      </c>
      <c r="EI65" s="173">
        <f t="shared" si="82"/>
        <v>0.99325260412153649</v>
      </c>
      <c r="EJ65" s="173"/>
      <c r="EK65" s="528">
        <f t="shared" si="83"/>
        <v>1.2268985288115722E-2</v>
      </c>
      <c r="EL65" s="528">
        <f t="shared" si="84"/>
        <v>0.62571824969390166</v>
      </c>
      <c r="EM65" s="528">
        <f t="shared" si="85"/>
        <v>4.3749999999999997E-2</v>
      </c>
      <c r="EN65" s="528">
        <f t="shared" si="86"/>
        <v>5.8262399999999999E-2</v>
      </c>
      <c r="EO65">
        <f t="shared" si="87"/>
        <v>1.0800000000000001E-2</v>
      </c>
      <c r="EP65" s="460">
        <f t="shared" si="123"/>
        <v>54.550000000000004</v>
      </c>
      <c r="EQ65" s="528">
        <f t="shared" si="88"/>
        <v>0.75631700896988252</v>
      </c>
      <c r="ER65" s="460">
        <f t="shared" si="124"/>
        <v>756.31700896988252</v>
      </c>
      <c r="ES65" s="528">
        <f t="shared" si="125"/>
        <v>0.37274999999999997</v>
      </c>
      <c r="ET65" s="528"/>
      <c r="EV65" s="460">
        <f t="shared" si="126"/>
        <v>372.74999999999994</v>
      </c>
      <c r="EW65" s="528">
        <f t="shared" si="89"/>
        <v>1.8403477932173583E-2</v>
      </c>
      <c r="EX65" s="528">
        <f t="shared" si="90"/>
        <v>2.9596522067826411E-2</v>
      </c>
      <c r="EY65" s="528">
        <f t="shared" si="91"/>
        <v>0.81412606992236092</v>
      </c>
      <c r="EZ65" s="528">
        <f t="shared" si="92"/>
        <v>0.87701380292559517</v>
      </c>
      <c r="FA65" s="528">
        <f t="shared" si="93"/>
        <v>8.3999999999999995E-3</v>
      </c>
      <c r="FB65" s="460">
        <f t="shared" si="127"/>
        <v>885.41380292559518</v>
      </c>
      <c r="FC65" s="173">
        <f t="shared" si="128"/>
        <v>2.0144808118954778</v>
      </c>
      <c r="FD65" s="5">
        <f t="shared" si="129"/>
        <v>9.8399999999999981</v>
      </c>
      <c r="FE65" s="173">
        <f t="shared" si="130"/>
        <v>0.8300658760294225</v>
      </c>
      <c r="FF65" s="5">
        <f t="shared" si="131"/>
        <v>83.006587602942247</v>
      </c>
      <c r="FI65" s="562">
        <f t="shared" si="94"/>
        <v>-50</v>
      </c>
      <c r="FJ65">
        <f t="shared" si="95"/>
        <v>-50</v>
      </c>
      <c r="FL65">
        <f t="shared" si="181"/>
        <v>0.54772255750516619</v>
      </c>
    </row>
    <row r="66" spans="5:168">
      <c r="E66" s="170">
        <v>61</v>
      </c>
      <c r="F66" s="217">
        <f t="shared" si="182"/>
        <v>0.61</v>
      </c>
      <c r="G66" s="217"/>
      <c r="H66" s="217">
        <f t="shared" si="132"/>
        <v>10.004</v>
      </c>
      <c r="I66" s="541">
        <f t="shared" si="133"/>
        <v>23.94543461763736</v>
      </c>
      <c r="J66" s="172">
        <f t="shared" si="134"/>
        <v>16.83273922941758</v>
      </c>
      <c r="K66" s="172">
        <f t="shared" si="135"/>
        <v>40.832739229417584</v>
      </c>
      <c r="L66" s="443"/>
      <c r="M66" s="217">
        <f t="shared" si="136"/>
        <v>0.41279367554604307</v>
      </c>
      <c r="N66" s="172">
        <f t="shared" si="137"/>
        <v>33.24494894692414</v>
      </c>
      <c r="O66" s="172">
        <f t="shared" si="98"/>
        <v>10.004</v>
      </c>
      <c r="P66" s="217">
        <f t="shared" si="138"/>
        <v>2.0271310333490331</v>
      </c>
      <c r="Q66" s="217">
        <f t="shared" si="139"/>
        <v>16.399999999999999</v>
      </c>
      <c r="R66" s="217">
        <f t="shared" si="140"/>
        <v>2.0090495870654443</v>
      </c>
      <c r="S66" s="172">
        <f t="shared" si="141"/>
        <v>106.9931228404691</v>
      </c>
      <c r="T66" s="172">
        <f t="shared" si="142"/>
        <v>16.399999999999999</v>
      </c>
      <c r="U66" s="217">
        <f t="shared" si="143"/>
        <v>2.0776342985312324</v>
      </c>
      <c r="V66" s="217">
        <f t="shared" si="11"/>
        <v>1.0411843418373807</v>
      </c>
      <c r="W66" s="217">
        <f t="shared" si="144"/>
        <v>1.4811381108312598</v>
      </c>
      <c r="X66" s="197">
        <f t="shared" si="145"/>
        <v>350</v>
      </c>
      <c r="Y66" s="443">
        <f t="shared" si="14"/>
        <v>350</v>
      </c>
      <c r="AA66" s="217">
        <f t="shared" si="146"/>
        <v>2.3534255065299341</v>
      </c>
      <c r="AB66" s="173">
        <f t="shared" si="147"/>
        <v>1.6777486832923727</v>
      </c>
      <c r="AC66" s="173">
        <f t="shared" si="148"/>
        <v>0.69097989534127446</v>
      </c>
      <c r="AD66" s="173"/>
      <c r="AE66" s="173">
        <f t="shared" si="149"/>
        <v>0.95052859679770663</v>
      </c>
      <c r="AF66" s="545">
        <f t="shared" si="150"/>
        <v>962.62227468231765</v>
      </c>
      <c r="AG66" s="528">
        <f t="shared" si="151"/>
        <v>0.22179000591946491</v>
      </c>
      <c r="AI66" s="173">
        <f t="shared" si="152"/>
        <v>2.2112236356009638</v>
      </c>
      <c r="AJ66" s="173">
        <f t="shared" si="153"/>
        <v>2.2112236356009638</v>
      </c>
      <c r="AK66" s="173">
        <f t="shared" si="154"/>
        <v>1.8502891127908372</v>
      </c>
      <c r="AM66" s="545">
        <f t="shared" si="155"/>
        <v>610</v>
      </c>
      <c r="AN66" s="460">
        <f t="shared" si="156"/>
        <v>350</v>
      </c>
      <c r="AP66">
        <f t="shared" si="157"/>
        <v>610</v>
      </c>
      <c r="AQ66">
        <f t="shared" si="158"/>
        <v>350</v>
      </c>
      <c r="AS66" s="5">
        <f t="shared" si="101"/>
        <v>2.8571428571428572</v>
      </c>
      <c r="AT66" s="5">
        <f t="shared" si="159"/>
        <v>1.1081312179511269</v>
      </c>
      <c r="AU66" s="5">
        <f t="shared" si="102"/>
        <v>1.7490116391917303</v>
      </c>
      <c r="AV66" s="5">
        <f t="shared" si="160"/>
        <v>1.5763734746652804</v>
      </c>
      <c r="AW66" s="173">
        <f t="shared" si="103"/>
        <v>0.38784592628289438</v>
      </c>
      <c r="AX66" s="173">
        <f t="shared" si="161"/>
        <v>10.267970929944722</v>
      </c>
      <c r="AY66" s="173">
        <f t="shared" si="162"/>
        <v>0.67680477821633933</v>
      </c>
      <c r="AZ66" s="173">
        <f t="shared" si="104"/>
        <v>15.171244737670255</v>
      </c>
      <c r="BA66" s="460">
        <f t="shared" si="163"/>
        <v>4.1217075789645579</v>
      </c>
      <c r="BB66" s="5">
        <f t="shared" si="164"/>
        <v>0.60892304795845831</v>
      </c>
      <c r="BC66" s="5"/>
      <c r="BD66" s="173">
        <f t="shared" si="105"/>
        <v>0.79506320966345556</v>
      </c>
      <c r="BE66" s="173">
        <f t="shared" si="165"/>
        <v>0.9988549184873774</v>
      </c>
      <c r="BF66" s="173"/>
      <c r="BG66" s="528">
        <f t="shared" si="166"/>
        <v>1.2642510147207117E-2</v>
      </c>
      <c r="BH66" s="528">
        <f t="shared" si="167"/>
        <v>0.59253021246837367</v>
      </c>
      <c r="BI66" s="528">
        <f t="shared" si="168"/>
        <v>0.20952255290432689</v>
      </c>
      <c r="BJ66" s="528">
        <f t="shared" si="169"/>
        <v>5.8355940754216622E-2</v>
      </c>
      <c r="BK66">
        <f t="shared" si="170"/>
        <v>1.0775445577936811E-2</v>
      </c>
      <c r="BL66" s="460">
        <f t="shared" si="106"/>
        <v>220.29799848226369</v>
      </c>
      <c r="BM66" s="528">
        <f t="shared" si="171"/>
        <v>0.66895157827237595</v>
      </c>
      <c r="BN66" s="460">
        <f t="shared" si="107"/>
        <v>668.95157827237597</v>
      </c>
      <c r="BO66" s="528">
        <f t="shared" si="172"/>
        <v>0.37896249999999998</v>
      </c>
      <c r="BP66" s="528"/>
      <c r="BR66" s="460">
        <f t="shared" si="109"/>
        <v>378.96249999999998</v>
      </c>
      <c r="BS66" s="528">
        <f t="shared" si="173"/>
        <v>1.8963765220810676E-2</v>
      </c>
      <c r="BT66" s="528">
        <f t="shared" si="174"/>
        <v>2.9931334445592761E-2</v>
      </c>
      <c r="BU66" s="528">
        <f t="shared" si="175"/>
        <v>0.15006</v>
      </c>
      <c r="BV66" s="528">
        <f t="shared" si="176"/>
        <v>0.21151729632915484</v>
      </c>
      <c r="BW66" s="528">
        <f t="shared" si="177"/>
        <v>8.5566424416206027E-3</v>
      </c>
      <c r="BX66" s="460">
        <f t="shared" si="110"/>
        <v>220.07393877077544</v>
      </c>
      <c r="BY66" s="173">
        <f t="shared" si="45"/>
        <v>1.4882860155254152</v>
      </c>
      <c r="BZ66" s="5">
        <f t="shared" si="111"/>
        <v>10.004</v>
      </c>
      <c r="CA66" s="173">
        <f t="shared" si="112"/>
        <v>0.87049695652241621</v>
      </c>
      <c r="CB66" s="5">
        <f t="shared" si="113"/>
        <v>87.049695652241624</v>
      </c>
      <c r="CE66" s="562">
        <f t="shared" si="178"/>
        <v>-50</v>
      </c>
      <c r="CF66">
        <f t="shared" si="179"/>
        <v>-50</v>
      </c>
      <c r="CG66" s="173">
        <f t="shared" si="180"/>
        <v>0.5589624534709321</v>
      </c>
      <c r="CI66" s="170">
        <v>61</v>
      </c>
      <c r="CJ66" s="217">
        <f t="shared" si="114"/>
        <v>0.61</v>
      </c>
      <c r="CK66" s="217"/>
      <c r="CL66" s="217">
        <f t="shared" si="49"/>
        <v>10.004</v>
      </c>
      <c r="CM66" s="541">
        <f t="shared" si="50"/>
        <v>24</v>
      </c>
      <c r="CN66" s="172">
        <f t="shared" si="51"/>
        <v>16.799999999999997</v>
      </c>
      <c r="CO66" s="443">
        <f t="shared" si="52"/>
        <v>40.799999999999997</v>
      </c>
      <c r="CP66" s="443"/>
      <c r="CQ66" s="217">
        <f t="shared" si="53"/>
        <v>0.41176470588235292</v>
      </c>
      <c r="CR66" s="172">
        <f t="shared" si="54"/>
        <v>33.237647058823534</v>
      </c>
      <c r="CS66" s="172">
        <f t="shared" si="115"/>
        <v>10.004</v>
      </c>
      <c r="CT66" s="217">
        <f t="shared" si="55"/>
        <v>2.026685796269728</v>
      </c>
      <c r="CU66" s="217">
        <f t="shared" si="56"/>
        <v>16.399999999999999</v>
      </c>
      <c r="CV66" s="217">
        <f t="shared" si="57"/>
        <v>2.0086083213773311</v>
      </c>
      <c r="CW66" s="172">
        <f t="shared" si="58"/>
        <v>107.23672986933038</v>
      </c>
      <c r="CX66" s="172">
        <f t="shared" si="59"/>
        <v>16.399999999999999</v>
      </c>
      <c r="CY66" s="217">
        <f t="shared" si="60"/>
        <v>2.0246190476190473</v>
      </c>
      <c r="CZ66" s="217">
        <f t="shared" si="61"/>
        <v>1.0123095238095237</v>
      </c>
      <c r="DA66" s="217">
        <f t="shared" si="62"/>
        <v>1.4461564625850341</v>
      </c>
      <c r="DB66" s="197">
        <f t="shared" si="63"/>
        <v>350</v>
      </c>
      <c r="DC66" s="443">
        <f t="shared" si="116"/>
        <v>350</v>
      </c>
      <c r="DE66" s="217">
        <f t="shared" si="64"/>
        <v>2.3529411764705879</v>
      </c>
      <c r="DF66" s="173">
        <f t="shared" si="65"/>
        <v>1.6806722689075633</v>
      </c>
      <c r="DG66" s="173">
        <f t="shared" si="66"/>
        <v>0.69204152249134954</v>
      </c>
      <c r="DH66" s="173"/>
      <c r="DI66" s="173">
        <f t="shared" si="67"/>
        <v>0.95238095238095266</v>
      </c>
      <c r="DJ66" s="545">
        <f t="shared" si="117"/>
        <v>960.74999999999955</v>
      </c>
      <c r="DK66" s="528">
        <f t="shared" si="68"/>
        <v>0.22222222222222232</v>
      </c>
      <c r="DM66" s="173">
        <f t="shared" si="69"/>
        <v>2.2090722034374521</v>
      </c>
      <c r="DN66" s="173">
        <f t="shared" si="70"/>
        <v>2.2090722034374521</v>
      </c>
      <c r="DO66" s="173">
        <f t="shared" si="71"/>
        <v>1.8486954593363842</v>
      </c>
      <c r="DQ66" s="545">
        <f t="shared" si="72"/>
        <v>610</v>
      </c>
      <c r="DR66" s="460">
        <f t="shared" si="73"/>
        <v>350</v>
      </c>
      <c r="DT66">
        <f t="shared" si="74"/>
        <v>610</v>
      </c>
      <c r="DU66">
        <f t="shared" si="75"/>
        <v>350</v>
      </c>
      <c r="DW66" s="5">
        <f t="shared" si="118"/>
        <v>2.8571428571428572</v>
      </c>
      <c r="DX66" s="5">
        <f t="shared" si="76"/>
        <v>1.1045361017187261</v>
      </c>
      <c r="DY66" s="5">
        <f t="shared" si="119"/>
        <v>1.7526067554241311</v>
      </c>
      <c r="DZ66" s="5">
        <f t="shared" si="77"/>
        <v>1.5779087167410375</v>
      </c>
      <c r="EA66" s="173">
        <f t="shared" si="120"/>
        <v>0.38658763560155412</v>
      </c>
      <c r="EB66" s="173">
        <f t="shared" si="78"/>
        <v>10.247999999999999</v>
      </c>
      <c r="EC66" s="173">
        <f t="shared" si="79"/>
        <v>0.67753610171872614</v>
      </c>
      <c r="ED66" s="173">
        <f t="shared" si="121"/>
        <v>15.125393280156718</v>
      </c>
      <c r="EE66" s="460">
        <f t="shared" si="80"/>
        <v>4.1083355002952624</v>
      </c>
      <c r="EF66" s="5">
        <f t="shared" si="81"/>
        <v>0.60878742990496548</v>
      </c>
      <c r="EG66" s="5"/>
      <c r="EH66" s="173">
        <f t="shared" si="122"/>
        <v>0.79300013907850486</v>
      </c>
      <c r="EI66" s="173">
        <f t="shared" si="82"/>
        <v>0.99890812695069142</v>
      </c>
      <c r="EJ66" s="173"/>
      <c r="EK66" s="528">
        <f t="shared" si="83"/>
        <v>1.2576984411570562E-2</v>
      </c>
      <c r="EL66" s="528">
        <f t="shared" si="84"/>
        <v>0.63091102130173626</v>
      </c>
      <c r="EM66" s="528">
        <f t="shared" si="85"/>
        <v>4.3749999999999997E-2</v>
      </c>
      <c r="EN66" s="528">
        <f t="shared" si="86"/>
        <v>5.8262399999999999E-2</v>
      </c>
      <c r="EO66">
        <f t="shared" si="87"/>
        <v>1.0800000000000001E-2</v>
      </c>
      <c r="EP66" s="460">
        <f t="shared" si="123"/>
        <v>54.550000000000004</v>
      </c>
      <c r="EQ66" s="528">
        <f t="shared" si="88"/>
        <v>0.76197318950695869</v>
      </c>
      <c r="ER66" s="460">
        <f t="shared" si="124"/>
        <v>761.97318950695865</v>
      </c>
      <c r="ES66" s="528">
        <f t="shared" si="125"/>
        <v>0.37896249999999998</v>
      </c>
      <c r="ET66" s="528"/>
      <c r="EV66" s="460">
        <f t="shared" si="126"/>
        <v>378.96249999999998</v>
      </c>
      <c r="EW66" s="528">
        <f t="shared" si="89"/>
        <v>1.8865476617355843E-2</v>
      </c>
      <c r="EX66" s="528">
        <f t="shared" si="90"/>
        <v>2.9934523382644157E-2</v>
      </c>
      <c r="EY66" s="528">
        <f t="shared" si="91"/>
        <v>0.83112221887856919</v>
      </c>
      <c r="EZ66" s="528">
        <f t="shared" si="92"/>
        <v>0.89512880172048603</v>
      </c>
      <c r="FA66" s="528">
        <f t="shared" si="93"/>
        <v>8.539999999999999E-3</v>
      </c>
      <c r="FB66" s="460">
        <f t="shared" si="127"/>
        <v>903.66880172048604</v>
      </c>
      <c r="FC66" s="173">
        <f t="shared" si="128"/>
        <v>2.0446044912274446</v>
      </c>
      <c r="FD66" s="5">
        <f t="shared" si="129"/>
        <v>10.004</v>
      </c>
      <c r="FE66" s="173">
        <f t="shared" si="130"/>
        <v>0.83030362622359166</v>
      </c>
      <c r="FF66" s="5">
        <f t="shared" si="131"/>
        <v>83.030362622359164</v>
      </c>
      <c r="FI66" s="562">
        <f t="shared" si="94"/>
        <v>-50</v>
      </c>
      <c r="FJ66">
        <f t="shared" si="95"/>
        <v>-50</v>
      </c>
      <c r="FL66">
        <f t="shared" si="181"/>
        <v>0.55226805085936304</v>
      </c>
    </row>
    <row r="67" spans="5:168">
      <c r="E67" s="170">
        <v>62</v>
      </c>
      <c r="F67" s="217">
        <f t="shared" si="182"/>
        <v>0.62</v>
      </c>
      <c r="G67" s="217"/>
      <c r="H67" s="217">
        <f t="shared" si="132"/>
        <v>10.167999999999999</v>
      </c>
      <c r="I67" s="541">
        <f t="shared" si="133"/>
        <v>23.944989178553758</v>
      </c>
      <c r="J67" s="172">
        <f t="shared" si="134"/>
        <v>16.833006492867742</v>
      </c>
      <c r="K67" s="172">
        <f t="shared" si="135"/>
        <v>40.833006492867739</v>
      </c>
      <c r="L67" s="443"/>
      <c r="M67" s="217">
        <f t="shared" si="136"/>
        <v>0.41280207988800294</v>
      </c>
      <c r="N67" s="172">
        <f t="shared" si="137"/>
        <v>33.245007359416462</v>
      </c>
      <c r="O67" s="172">
        <f t="shared" si="98"/>
        <v>10.167999999999999</v>
      </c>
      <c r="P67" s="217">
        <f t="shared" si="138"/>
        <v>2.0271345950863697</v>
      </c>
      <c r="Q67" s="217">
        <f t="shared" si="139"/>
        <v>16.399999999999999</v>
      </c>
      <c r="R67" s="217">
        <f t="shared" si="140"/>
        <v>2.0090531170330723</v>
      </c>
      <c r="S67" s="172">
        <f t="shared" si="141"/>
        <v>104.88248603584053</v>
      </c>
      <c r="T67" s="172">
        <f t="shared" si="142"/>
        <v>16.399999999999999</v>
      </c>
      <c r="U67" s="217">
        <f t="shared" si="143"/>
        <v>2.1117241010722467</v>
      </c>
      <c r="V67" s="217">
        <f t="shared" si="11"/>
        <v>1.0582877705187379</v>
      </c>
      <c r="W67" s="217">
        <f t="shared" si="144"/>
        <v>1.5054167075622518</v>
      </c>
      <c r="X67" s="197">
        <f t="shared" si="145"/>
        <v>350</v>
      </c>
      <c r="Y67" s="443">
        <f t="shared" si="14"/>
        <v>350</v>
      </c>
      <c r="AA67" s="217">
        <f t="shared" si="146"/>
        <v>2.3534293765993053</v>
      </c>
      <c r="AB67" s="173">
        <f t="shared" si="147"/>
        <v>1.677724804012737</v>
      </c>
      <c r="AC67" s="173">
        <f t="shared" si="148"/>
        <v>0.69097119693225539</v>
      </c>
      <c r="AD67" s="173"/>
      <c r="AE67" s="173">
        <f t="shared" si="149"/>
        <v>0.95051350492731712</v>
      </c>
      <c r="AF67" s="545">
        <f t="shared" si="150"/>
        <v>978.41850239793723</v>
      </c>
      <c r="AG67" s="528">
        <f t="shared" si="151"/>
        <v>0.22178648448304067</v>
      </c>
      <c r="AI67" s="173">
        <f t="shared" si="152"/>
        <v>2.2292924379912029</v>
      </c>
      <c r="AJ67" s="173">
        <f t="shared" si="153"/>
        <v>2.2292924379912029</v>
      </c>
      <c r="AK67" s="173">
        <f t="shared" si="154"/>
        <v>1.8636734108576811</v>
      </c>
      <c r="AM67" s="545">
        <f t="shared" si="155"/>
        <v>620</v>
      </c>
      <c r="AN67" s="460">
        <f t="shared" si="156"/>
        <v>350</v>
      </c>
      <c r="AP67">
        <f t="shared" si="157"/>
        <v>620</v>
      </c>
      <c r="AQ67">
        <f t="shared" si="158"/>
        <v>350</v>
      </c>
      <c r="AS67" s="5">
        <f t="shared" si="101"/>
        <v>2.8571428571428572</v>
      </c>
      <c r="AT67" s="5">
        <f t="shared" si="159"/>
        <v>1.1172069887529674</v>
      </c>
      <c r="AU67" s="5">
        <f t="shared" si="102"/>
        <v>1.7399358683898898</v>
      </c>
      <c r="AV67" s="5">
        <f t="shared" si="160"/>
        <v>1.589229426557236</v>
      </c>
      <c r="AW67" s="173">
        <f t="shared" si="103"/>
        <v>0.39102244606353859</v>
      </c>
      <c r="AX67" s="173">
        <f t="shared" si="161"/>
        <v>10.436464025577999</v>
      </c>
      <c r="AY67" s="173">
        <f t="shared" si="162"/>
        <v>0.67879452794846673</v>
      </c>
      <c r="AZ67" s="173">
        <f t="shared" si="104"/>
        <v>15.374997286911428</v>
      </c>
      <c r="BA67" s="460">
        <f t="shared" si="163"/>
        <v>4.2235873965051214</v>
      </c>
      <c r="BB67" s="5">
        <f t="shared" si="164"/>
        <v>0.6157052935607461</v>
      </c>
      <c r="BC67" s="5"/>
      <c r="BD67" s="173">
        <f t="shared" si="105"/>
        <v>0.80483575091942638</v>
      </c>
      <c r="BE67" s="173">
        <f t="shared" si="165"/>
        <v>1.004400819097411</v>
      </c>
      <c r="BF67" s="173"/>
      <c r="BG67" s="528">
        <f t="shared" si="166"/>
        <v>1.2955211719160739E-2</v>
      </c>
      <c r="BH67" s="528">
        <f t="shared" si="167"/>
        <v>0.59737592640465953</v>
      </c>
      <c r="BI67" s="528">
        <f t="shared" si="168"/>
        <v>0.2095186553123454</v>
      </c>
      <c r="BJ67" s="528">
        <f t="shared" si="169"/>
        <v>5.8356704673630258E-2</v>
      </c>
      <c r="BK67">
        <f t="shared" si="170"/>
        <v>1.0775245130349191E-2</v>
      </c>
      <c r="BL67" s="460">
        <f t="shared" si="106"/>
        <v>220.29390044269459</v>
      </c>
      <c r="BM67" s="528">
        <f t="shared" si="171"/>
        <v>0.6742612327746732</v>
      </c>
      <c r="BN67" s="460">
        <f t="shared" si="107"/>
        <v>674.2612327746732</v>
      </c>
      <c r="BO67" s="528">
        <f t="shared" si="172"/>
        <v>0.38517499999999999</v>
      </c>
      <c r="BP67" s="528"/>
      <c r="BR67" s="460">
        <f t="shared" si="109"/>
        <v>385.17500000000001</v>
      </c>
      <c r="BS67" s="528">
        <f t="shared" si="173"/>
        <v>1.9432817578741109E-2</v>
      </c>
      <c r="BT67" s="528">
        <f t="shared" si="174"/>
        <v>3.0264630162106499E-2</v>
      </c>
      <c r="BU67" s="528">
        <f t="shared" si="175"/>
        <v>0.15251999999999999</v>
      </c>
      <c r="BV67" s="528">
        <f t="shared" si="176"/>
        <v>0.21499962982806556</v>
      </c>
      <c r="BW67" s="528">
        <f t="shared" si="177"/>
        <v>8.697053354648333E-3</v>
      </c>
      <c r="BX67" s="460">
        <f t="shared" si="110"/>
        <v>223.69668318271388</v>
      </c>
      <c r="BY67" s="173">
        <f t="shared" si="45"/>
        <v>1.5034268164000817</v>
      </c>
      <c r="BZ67" s="5">
        <f t="shared" si="111"/>
        <v>10.167999999999999</v>
      </c>
      <c r="CA67" s="173">
        <f t="shared" si="112"/>
        <v>0.87118740150197027</v>
      </c>
      <c r="CB67" s="5">
        <f t="shared" si="113"/>
        <v>87.118740150197027</v>
      </c>
      <c r="CE67" s="562">
        <f t="shared" si="178"/>
        <v>-50</v>
      </c>
      <c r="CF67">
        <f t="shared" si="179"/>
        <v>-50</v>
      </c>
      <c r="CG67" s="173">
        <f t="shared" si="180"/>
        <v>0.5635254879859084</v>
      </c>
      <c r="CI67" s="170">
        <v>62</v>
      </c>
      <c r="CJ67" s="217">
        <f t="shared" si="114"/>
        <v>0.62</v>
      </c>
      <c r="CK67" s="217"/>
      <c r="CL67" s="217">
        <f t="shared" si="49"/>
        <v>10.167999999999999</v>
      </c>
      <c r="CM67" s="541">
        <f t="shared" si="50"/>
        <v>24</v>
      </c>
      <c r="CN67" s="172">
        <f t="shared" si="51"/>
        <v>16.799999999999997</v>
      </c>
      <c r="CO67" s="443">
        <f t="shared" si="52"/>
        <v>40.799999999999997</v>
      </c>
      <c r="CP67" s="443"/>
      <c r="CQ67" s="217">
        <f t="shared" si="53"/>
        <v>0.41176470588235292</v>
      </c>
      <c r="CR67" s="172">
        <f t="shared" si="54"/>
        <v>33.237647058823534</v>
      </c>
      <c r="CS67" s="172">
        <f t="shared" si="115"/>
        <v>10.167999999999999</v>
      </c>
      <c r="CT67" s="217">
        <f t="shared" si="55"/>
        <v>2.026685796269728</v>
      </c>
      <c r="CU67" s="217">
        <f t="shared" si="56"/>
        <v>16.399999999999999</v>
      </c>
      <c r="CV67" s="217">
        <f t="shared" si="57"/>
        <v>2.0086083213773311</v>
      </c>
      <c r="CW67" s="172">
        <f t="shared" si="58"/>
        <v>105.1232332905459</v>
      </c>
      <c r="CX67" s="172">
        <f t="shared" si="59"/>
        <v>16.399999999999999</v>
      </c>
      <c r="CY67" s="217">
        <f t="shared" si="60"/>
        <v>2.0578095238095235</v>
      </c>
      <c r="CZ67" s="217">
        <f t="shared" si="61"/>
        <v>1.0289047619047618</v>
      </c>
      <c r="DA67" s="217">
        <f t="shared" si="62"/>
        <v>1.4698639455782316</v>
      </c>
      <c r="DB67" s="197">
        <f t="shared" si="63"/>
        <v>350</v>
      </c>
      <c r="DC67" s="443">
        <f t="shared" si="116"/>
        <v>350</v>
      </c>
      <c r="DE67" s="217">
        <f t="shared" si="64"/>
        <v>2.3529411764705879</v>
      </c>
      <c r="DF67" s="173">
        <f t="shared" si="65"/>
        <v>1.6806722689075633</v>
      </c>
      <c r="DG67" s="173">
        <f t="shared" si="66"/>
        <v>0.69204152249134954</v>
      </c>
      <c r="DH67" s="173"/>
      <c r="DI67" s="173">
        <f t="shared" si="67"/>
        <v>0.95238095238095266</v>
      </c>
      <c r="DJ67" s="545">
        <f t="shared" si="117"/>
        <v>976.49999999999966</v>
      </c>
      <c r="DK67" s="528">
        <f t="shared" si="68"/>
        <v>0.22222222222222232</v>
      </c>
      <c r="DM67" s="173">
        <f t="shared" si="69"/>
        <v>2.2271057451320084</v>
      </c>
      <c r="DN67" s="173">
        <f t="shared" si="70"/>
        <v>2.2271057451320084</v>
      </c>
      <c r="DO67" s="173">
        <f t="shared" si="71"/>
        <v>1.8620536383693889</v>
      </c>
      <c r="DQ67" s="545">
        <f t="shared" si="72"/>
        <v>620</v>
      </c>
      <c r="DR67" s="460">
        <f t="shared" si="73"/>
        <v>350</v>
      </c>
      <c r="DT67">
        <f t="shared" si="74"/>
        <v>620</v>
      </c>
      <c r="DU67">
        <f t="shared" si="75"/>
        <v>350</v>
      </c>
      <c r="DW67" s="5">
        <f t="shared" si="118"/>
        <v>2.8571428571428572</v>
      </c>
      <c r="DX67" s="5">
        <f t="shared" si="76"/>
        <v>1.1135528725660042</v>
      </c>
      <c r="DY67" s="5">
        <f t="shared" si="119"/>
        <v>1.743589984576853</v>
      </c>
      <c r="DZ67" s="5">
        <f t="shared" si="77"/>
        <v>1.590789817951435</v>
      </c>
      <c r="EA67" s="173">
        <f t="shared" si="120"/>
        <v>0.38974350539810149</v>
      </c>
      <c r="EB67" s="173">
        <f t="shared" si="78"/>
        <v>10.415999999999997</v>
      </c>
      <c r="EC67" s="173">
        <f t="shared" si="79"/>
        <v>0.67955287256600427</v>
      </c>
      <c r="ED67" s="173">
        <f t="shared" si="121"/>
        <v>15.32772565682636</v>
      </c>
      <c r="EE67" s="460">
        <f t="shared" si="80"/>
        <v>4.2097730548226995</v>
      </c>
      <c r="EF67" s="5">
        <f t="shared" si="81"/>
        <v>0.61558413066588324</v>
      </c>
      <c r="EG67" s="5"/>
      <c r="EH67" s="173">
        <f t="shared" si="122"/>
        <v>0.80273029650366434</v>
      </c>
      <c r="EI67" s="173">
        <f t="shared" si="82"/>
        <v>1.0044687174862499</v>
      </c>
      <c r="EJ67" s="173"/>
      <c r="EK67" s="528">
        <f t="shared" si="83"/>
        <v>1.2887518578497218E-2</v>
      </c>
      <c r="EL67" s="528">
        <f t="shared" si="84"/>
        <v>0.63606140080970153</v>
      </c>
      <c r="EM67" s="528">
        <f t="shared" si="85"/>
        <v>4.3749999999999997E-2</v>
      </c>
      <c r="EN67" s="528">
        <f t="shared" si="86"/>
        <v>5.8262399999999999E-2</v>
      </c>
      <c r="EO67">
        <f t="shared" si="87"/>
        <v>1.0800000000000001E-2</v>
      </c>
      <c r="EP67" s="460">
        <f t="shared" si="123"/>
        <v>54.550000000000004</v>
      </c>
      <c r="EQ67" s="528">
        <f t="shared" si="88"/>
        <v>0.76759137130305999</v>
      </c>
      <c r="ER67" s="460">
        <f t="shared" si="124"/>
        <v>767.59137130305999</v>
      </c>
      <c r="ES67" s="528">
        <f t="shared" si="125"/>
        <v>0.38517499999999999</v>
      </c>
      <c r="ET67" s="528"/>
      <c r="EV67" s="460">
        <f t="shared" si="126"/>
        <v>385.17500000000001</v>
      </c>
      <c r="EW67" s="528">
        <f t="shared" si="89"/>
        <v>1.9331277867745824E-2</v>
      </c>
      <c r="EX67" s="528">
        <f t="shared" si="90"/>
        <v>3.026872213225415E-2</v>
      </c>
      <c r="EY67" s="528">
        <f t="shared" si="91"/>
        <v>0.84818816985801715</v>
      </c>
      <c r="EZ67" s="528">
        <f t="shared" si="92"/>
        <v>0.91331620857363727</v>
      </c>
      <c r="FA67" s="528">
        <f t="shared" si="93"/>
        <v>8.6799999999999967E-3</v>
      </c>
      <c r="FB67" s="460">
        <f t="shared" si="127"/>
        <v>921.99620857363732</v>
      </c>
      <c r="FC67" s="173">
        <f t="shared" si="128"/>
        <v>2.0747625798766975</v>
      </c>
      <c r="FD67" s="5">
        <f t="shared" si="129"/>
        <v>10.167999999999999</v>
      </c>
      <c r="FE67" s="173">
        <f t="shared" si="130"/>
        <v>0.83053150248237573</v>
      </c>
      <c r="FF67" s="5">
        <f t="shared" si="131"/>
        <v>83.053150248237571</v>
      </c>
      <c r="FI67" s="562">
        <f t="shared" si="94"/>
        <v>-50</v>
      </c>
      <c r="FJ67">
        <f t="shared" si="95"/>
        <v>-50</v>
      </c>
      <c r="FL67">
        <f t="shared" si="181"/>
        <v>0.55677643628300222</v>
      </c>
    </row>
    <row r="68" spans="5:168">
      <c r="E68" s="170">
        <v>63</v>
      </c>
      <c r="F68" s="217">
        <f t="shared" si="182"/>
        <v>0.63</v>
      </c>
      <c r="G68" s="217"/>
      <c r="H68" s="217">
        <f t="shared" si="132"/>
        <v>10.331999999999999</v>
      </c>
      <c r="I68" s="541">
        <f t="shared" si="133"/>
        <v>23.944547317467954</v>
      </c>
      <c r="J68" s="172">
        <f t="shared" si="134"/>
        <v>16.833271609519226</v>
      </c>
      <c r="K68" s="172">
        <f t="shared" si="135"/>
        <v>40.83327160951923</v>
      </c>
      <c r="L68" s="443"/>
      <c r="M68" s="217">
        <f t="shared" si="136"/>
        <v>0.41281041679316993</v>
      </c>
      <c r="N68" s="172">
        <f t="shared" si="137"/>
        <v>33.245065283567186</v>
      </c>
      <c r="O68" s="172">
        <f t="shared" si="98"/>
        <v>10.331999999999999</v>
      </c>
      <c r="P68" s="217">
        <f t="shared" si="138"/>
        <v>2.0271381270467796</v>
      </c>
      <c r="Q68" s="217">
        <f t="shared" si="139"/>
        <v>16.399999999999999</v>
      </c>
      <c r="R68" s="217">
        <f t="shared" si="140"/>
        <v>2.0090566174893758</v>
      </c>
      <c r="S68" s="172">
        <f t="shared" si="141"/>
        <v>102.83895253590651</v>
      </c>
      <c r="T68" s="172">
        <f t="shared" si="142"/>
        <v>16.399999999999999</v>
      </c>
      <c r="U68" s="217">
        <f t="shared" si="143"/>
        <v>2.1458146330163714</v>
      </c>
      <c r="V68" s="217">
        <f t="shared" si="11"/>
        <v>1.075392040400428</v>
      </c>
      <c r="W68" s="217">
        <f t="shared" si="144"/>
        <v>1.5296952484052444</v>
      </c>
      <c r="X68" s="197">
        <f t="shared" si="145"/>
        <v>350</v>
      </c>
      <c r="Y68" s="443">
        <f t="shared" si="14"/>
        <v>350</v>
      </c>
      <c r="AA68" s="217">
        <f t="shared" si="146"/>
        <v>2.3534332142421674</v>
      </c>
      <c r="AB68" s="173">
        <f t="shared" si="147"/>
        <v>1.6777011163376936</v>
      </c>
      <c r="AC68" s="173">
        <f t="shared" si="148"/>
        <v>0.69096256788305099</v>
      </c>
      <c r="AD68" s="173"/>
      <c r="AE68" s="173">
        <f t="shared" si="149"/>
        <v>0.950498534756131</v>
      </c>
      <c r="AF68" s="545">
        <f t="shared" si="150"/>
        <v>994.215104437229</v>
      </c>
      <c r="AG68" s="528">
        <f t="shared" si="151"/>
        <v>0.22178299144309727</v>
      </c>
      <c r="AI68" s="173">
        <f t="shared" si="152"/>
        <v>2.2472163854101295</v>
      </c>
      <c r="AJ68" s="173">
        <f t="shared" si="153"/>
        <v>2.2472163854101295</v>
      </c>
      <c r="AK68" s="173">
        <f t="shared" si="154"/>
        <v>1.8769504089457747</v>
      </c>
      <c r="AM68" s="545">
        <f t="shared" si="155"/>
        <v>630</v>
      </c>
      <c r="AN68" s="460">
        <f t="shared" si="156"/>
        <v>350</v>
      </c>
      <c r="AP68">
        <f t="shared" si="157"/>
        <v>630</v>
      </c>
      <c r="AQ68">
        <f t="shared" si="158"/>
        <v>350</v>
      </c>
      <c r="AS68" s="5">
        <f t="shared" si="101"/>
        <v>2.8571428571428572</v>
      </c>
      <c r="AT68" s="5">
        <f t="shared" si="159"/>
        <v>1.1262103337092102</v>
      </c>
      <c r="AU68" s="5">
        <f t="shared" si="102"/>
        <v>1.730932523433647</v>
      </c>
      <c r="AV68" s="5">
        <f t="shared" si="160"/>
        <v>1.6019819112092224</v>
      </c>
      <c r="AW68" s="173">
        <f t="shared" si="103"/>
        <v>0.39417361679822355</v>
      </c>
      <c r="AX68" s="173">
        <f t="shared" si="161"/>
        <v>10.604961113997112</v>
      </c>
      <c r="AY68" s="173">
        <f t="shared" si="162"/>
        <v>0.68071148752239408</v>
      </c>
      <c r="AZ68" s="173">
        <f t="shared" si="104"/>
        <v>15.579230420506498</v>
      </c>
      <c r="BA68" s="460">
        <f t="shared" si="163"/>
        <v>4.3262957941268452</v>
      </c>
      <c r="BB68" s="5">
        <f t="shared" si="164"/>
        <v>0.62241013910885112</v>
      </c>
      <c r="BC68" s="5"/>
      <c r="BD68" s="173">
        <f t="shared" si="105"/>
        <v>0.81456930661982629</v>
      </c>
      <c r="BE68" s="173">
        <f t="shared" si="165"/>
        <v>1.0098534575198612</v>
      </c>
      <c r="BF68" s="173"/>
      <c r="BG68" s="528">
        <f t="shared" si="166"/>
        <v>1.3270463105742092E-2</v>
      </c>
      <c r="BH68" s="528">
        <f t="shared" si="167"/>
        <v>0.60218285551471595</v>
      </c>
      <c r="BI68" s="528">
        <f t="shared" si="168"/>
        <v>0.20951478902784459</v>
      </c>
      <c r="BJ68" s="528">
        <f t="shared" si="169"/>
        <v>5.835746246178692E-2</v>
      </c>
      <c r="BK68">
        <f t="shared" si="170"/>
        <v>1.0775046292860579E-2</v>
      </c>
      <c r="BL68" s="460">
        <f t="shared" si="106"/>
        <v>220.28983532070518</v>
      </c>
      <c r="BM68" s="528">
        <f t="shared" si="171"/>
        <v>0.67953642662826552</v>
      </c>
      <c r="BN68" s="460">
        <f t="shared" si="107"/>
        <v>679.53642662826553</v>
      </c>
      <c r="BO68" s="528">
        <f t="shared" si="172"/>
        <v>0.39138749999999994</v>
      </c>
      <c r="BP68" s="528"/>
      <c r="BR68" s="460">
        <f t="shared" si="109"/>
        <v>391.38749999999993</v>
      </c>
      <c r="BS68" s="528">
        <f t="shared" si="173"/>
        <v>1.9905694658613138E-2</v>
      </c>
      <c r="BT68" s="528">
        <f t="shared" si="174"/>
        <v>3.0594120169944544E-2</v>
      </c>
      <c r="BU68" s="528">
        <f t="shared" si="175"/>
        <v>0.15497999999999998</v>
      </c>
      <c r="BV68" s="528">
        <f t="shared" si="176"/>
        <v>0.21848243619309499</v>
      </c>
      <c r="BW68" s="528">
        <f t="shared" si="177"/>
        <v>8.8374675949975928E-3</v>
      </c>
      <c r="BX68" s="460">
        <f t="shared" si="110"/>
        <v>227.31990378809257</v>
      </c>
      <c r="BY68" s="173">
        <f t="shared" si="45"/>
        <v>1.5185336657370634</v>
      </c>
      <c r="BZ68" s="5">
        <f t="shared" si="111"/>
        <v>10.331999999999999</v>
      </c>
      <c r="CA68" s="173">
        <f t="shared" si="112"/>
        <v>0.87185946991336483</v>
      </c>
      <c r="CB68" s="5">
        <f t="shared" si="113"/>
        <v>87.185946991336479</v>
      </c>
      <c r="CE68" s="562">
        <f t="shared" si="178"/>
        <v>-50</v>
      </c>
      <c r="CF68">
        <f t="shared" si="179"/>
        <v>-50</v>
      </c>
      <c r="CG68" s="173">
        <f t="shared" si="180"/>
        <v>0.56805186984048239</v>
      </c>
      <c r="CI68" s="170">
        <v>63</v>
      </c>
      <c r="CJ68" s="217">
        <f t="shared" si="114"/>
        <v>0.63</v>
      </c>
      <c r="CK68" s="217"/>
      <c r="CL68" s="217">
        <f t="shared" si="49"/>
        <v>10.331999999999999</v>
      </c>
      <c r="CM68" s="541">
        <f t="shared" si="50"/>
        <v>24</v>
      </c>
      <c r="CN68" s="172">
        <f t="shared" si="51"/>
        <v>16.799999999999997</v>
      </c>
      <c r="CO68" s="443">
        <f t="shared" si="52"/>
        <v>40.799999999999997</v>
      </c>
      <c r="CP68" s="443"/>
      <c r="CQ68" s="217">
        <f t="shared" si="53"/>
        <v>0.41176470588235292</v>
      </c>
      <c r="CR68" s="172">
        <f t="shared" si="54"/>
        <v>33.237647058823534</v>
      </c>
      <c r="CS68" s="172">
        <f t="shared" si="115"/>
        <v>10.331999999999999</v>
      </c>
      <c r="CT68" s="217">
        <f t="shared" si="55"/>
        <v>2.026685796269728</v>
      </c>
      <c r="CU68" s="217">
        <f t="shared" si="56"/>
        <v>16.399999999999999</v>
      </c>
      <c r="CV68" s="217">
        <f t="shared" si="57"/>
        <v>2.0086083213773311</v>
      </c>
      <c r="CW68" s="172">
        <f t="shared" si="58"/>
        <v>103.0769013122935</v>
      </c>
      <c r="CX68" s="172">
        <f t="shared" si="59"/>
        <v>16.399999999999999</v>
      </c>
      <c r="CY68" s="217">
        <f t="shared" si="60"/>
        <v>2.0909999999999997</v>
      </c>
      <c r="CZ68" s="217">
        <f t="shared" si="61"/>
        <v>1.0454999999999999</v>
      </c>
      <c r="DA68" s="217">
        <f t="shared" si="62"/>
        <v>1.4935714285714285</v>
      </c>
      <c r="DB68" s="197">
        <f t="shared" si="63"/>
        <v>350</v>
      </c>
      <c r="DC68" s="443">
        <f t="shared" si="116"/>
        <v>350</v>
      </c>
      <c r="DE68" s="217">
        <f t="shared" si="64"/>
        <v>2.3529411764705879</v>
      </c>
      <c r="DF68" s="173">
        <f t="shared" si="65"/>
        <v>1.6806722689075633</v>
      </c>
      <c r="DG68" s="173">
        <f t="shared" si="66"/>
        <v>0.69204152249134954</v>
      </c>
      <c r="DH68" s="173"/>
      <c r="DI68" s="173">
        <f t="shared" si="67"/>
        <v>0.95238095238095266</v>
      </c>
      <c r="DJ68" s="545">
        <f t="shared" si="117"/>
        <v>992.24999999999966</v>
      </c>
      <c r="DK68" s="528">
        <f t="shared" si="68"/>
        <v>0.22222222222222232</v>
      </c>
      <c r="DM68" s="173">
        <f t="shared" si="69"/>
        <v>2.2449944320643644</v>
      </c>
      <c r="DN68" s="173">
        <f t="shared" si="70"/>
        <v>2.2449944320643644</v>
      </c>
      <c r="DO68" s="173">
        <f t="shared" si="71"/>
        <v>1.8753045175785414</v>
      </c>
      <c r="DQ68" s="545">
        <f t="shared" si="72"/>
        <v>630</v>
      </c>
      <c r="DR68" s="460">
        <f t="shared" si="73"/>
        <v>350</v>
      </c>
      <c r="DT68">
        <f t="shared" si="74"/>
        <v>630</v>
      </c>
      <c r="DU68">
        <f t="shared" si="75"/>
        <v>350</v>
      </c>
      <c r="DW68" s="5">
        <f t="shared" si="118"/>
        <v>2.8571428571428572</v>
      </c>
      <c r="DX68" s="5">
        <f t="shared" si="76"/>
        <v>1.1224972160321822</v>
      </c>
      <c r="DY68" s="5">
        <f t="shared" si="119"/>
        <v>1.734645641110675</v>
      </c>
      <c r="DZ68" s="5">
        <f t="shared" si="77"/>
        <v>1.6035674514745464</v>
      </c>
      <c r="EA68" s="173">
        <f t="shared" si="120"/>
        <v>0.39287402561126378</v>
      </c>
      <c r="EB68" s="173">
        <f t="shared" si="78"/>
        <v>10.583999999999998</v>
      </c>
      <c r="EC68" s="173">
        <f t="shared" si="79"/>
        <v>0.68149721603218238</v>
      </c>
      <c r="ED68" s="173">
        <f t="shared" si="121"/>
        <v>15.530510985242511</v>
      </c>
      <c r="EE68" s="460">
        <f t="shared" si="80"/>
        <v>4.3120319884163107</v>
      </c>
      <c r="EF68" s="5">
        <f t="shared" si="81"/>
        <v>0.62230412374845445</v>
      </c>
      <c r="EG68" s="5"/>
      <c r="EH68" s="173">
        <f t="shared" si="122"/>
        <v>0.8124212965124209</v>
      </c>
      <c r="EI68" s="173">
        <f t="shared" si="82"/>
        <v>1.0099364519478822</v>
      </c>
      <c r="EJ68" s="173"/>
      <c r="EK68" s="528">
        <f t="shared" si="83"/>
        <v>1.3200567260538459E-2</v>
      </c>
      <c r="EL68" s="528">
        <f t="shared" si="84"/>
        <v>0.64117040979758244</v>
      </c>
      <c r="EM68" s="528">
        <f t="shared" si="85"/>
        <v>4.3749999999999997E-2</v>
      </c>
      <c r="EN68" s="528">
        <f t="shared" si="86"/>
        <v>5.8262399999999999E-2</v>
      </c>
      <c r="EO68">
        <f t="shared" si="87"/>
        <v>1.0800000000000001E-2</v>
      </c>
      <c r="EP68" s="460">
        <f t="shared" si="123"/>
        <v>54.550000000000004</v>
      </c>
      <c r="EQ68" s="528">
        <f t="shared" si="88"/>
        <v>0.77317255096255111</v>
      </c>
      <c r="ER68" s="460">
        <f t="shared" si="124"/>
        <v>773.1725509625511</v>
      </c>
      <c r="ES68" s="528">
        <f t="shared" si="125"/>
        <v>0.39138749999999994</v>
      </c>
      <c r="ET68" s="528"/>
      <c r="EV68" s="460">
        <f t="shared" si="126"/>
        <v>391.38749999999993</v>
      </c>
      <c r="EW68" s="528">
        <f t="shared" si="89"/>
        <v>1.9800850890807686E-2</v>
      </c>
      <c r="EX68" s="528">
        <f t="shared" si="90"/>
        <v>3.0599149109192307E-2</v>
      </c>
      <c r="EY68" s="528">
        <f t="shared" si="91"/>
        <v>0.86532307670260289</v>
      </c>
      <c r="EZ68" s="528">
        <f t="shared" si="92"/>
        <v>0.93157518786005467</v>
      </c>
      <c r="FA68" s="528">
        <f t="shared" si="93"/>
        <v>8.8199999999999962E-3</v>
      </c>
      <c r="FB68" s="460">
        <f t="shared" si="127"/>
        <v>940.39518786005476</v>
      </c>
      <c r="FC68" s="173">
        <f t="shared" si="128"/>
        <v>2.1049552388226056</v>
      </c>
      <c r="FD68" s="5">
        <f t="shared" si="129"/>
        <v>10.331999999999999</v>
      </c>
      <c r="FE68" s="173">
        <f t="shared" si="130"/>
        <v>0.83074995459886525</v>
      </c>
      <c r="FF68" s="5">
        <f t="shared" si="131"/>
        <v>83.074995459886523</v>
      </c>
      <c r="FI68" s="562">
        <f t="shared" si="94"/>
        <v>-50</v>
      </c>
      <c r="FJ68">
        <f t="shared" si="95"/>
        <v>-50</v>
      </c>
      <c r="FL68">
        <f t="shared" si="181"/>
        <v>0.56124860801609122</v>
      </c>
    </row>
    <row r="69" spans="5:168">
      <c r="E69" s="170">
        <v>64</v>
      </c>
      <c r="F69" s="217">
        <f t="shared" si="182"/>
        <v>0.64</v>
      </c>
      <c r="G69" s="217"/>
      <c r="H69" s="217">
        <f t="shared" ref="H69:H100" si="183">F69*Vout</f>
        <v>10.495999999999999</v>
      </c>
      <c r="I69" s="541">
        <f t="shared" ref="I69:I105" si="184">Vin-F69*(Rdcr_pri+RON/1000)/CG69/Nps</f>
        <v>23.944108949519538</v>
      </c>
      <c r="J69" s="172">
        <f t="shared" ref="J69:J105" si="185">(T69+Vfwd1+F69/CG69*Rdcr_sec)*Nps</f>
        <v>16.833534630288273</v>
      </c>
      <c r="K69" s="172">
        <f t="shared" ref="K69:K105" si="186">(Vout+Vfwd1+F69/CG69*Rdcr_sec)*Nps+VIN_nom</f>
        <v>40.83353463028827</v>
      </c>
      <c r="L69" s="443"/>
      <c r="M69" s="217">
        <f t="shared" ref="M69:M105" si="187">(Vout+Vfwd1+F69/FL69*Rdcr_sec)*Nps/((Vout+Vfwd1+F69/FL69*Rdcr_sec)*Nps+I69)</f>
        <v>0.41281868786096299</v>
      </c>
      <c r="N69" s="172">
        <f t="shared" ref="N69:N100" si="188">M69*I69*(Isw_max+VIN_nom/Lmag*ILIM_delay)*0.5*Efficiency</f>
        <v>33.245122730958208</v>
      </c>
      <c r="O69" s="172">
        <f t="shared" si="98"/>
        <v>10.495999999999999</v>
      </c>
      <c r="P69" s="217">
        <f t="shared" ref="P69:P100" si="189">N69/Vout</f>
        <v>2.0271416299364762</v>
      </c>
      <c r="Q69" s="217">
        <f t="shared" ref="Q69:Q105" si="190">MIN(Vout,N69/F69)</f>
        <v>16.399999999999999</v>
      </c>
      <c r="R69" s="217">
        <f t="shared" ref="R69:R100" si="191">Isw_max/2*I69*Nps*(Q69+Vfwd1+F69/FL69*Rdcr_sec)/Q69/(I69+Nps*(Q69+Vfwd1+F69/FL69*Rdcr_sec))</f>
        <v>2.0090600891342678</v>
      </c>
      <c r="S69" s="172">
        <f t="shared" ref="S69:S105" si="192">(SQRT(Isw_max^2*Nps^2*I69^2+4*Isw_max*F69/Efficiency*(Nps^2*Vfwd1*I69-Nps*I69^2)+4*(F69/Efficiency)^2*Nps^2*Vfwd1^2+8*(F69/Efficiency)^2*Nps*Vfwd1*I69+4*(F69/Efficiency)^2*I69^2)-2*F69/Efficiency*I69-2*F69/Efficiency*Nps*Vfwd1+Isw_max*Nps*I69)/(4*F69/Efficiency*Nps)</f>
        <v>100.85937708005612</v>
      </c>
      <c r="T69" s="172">
        <f t="shared" ref="T69:T100" si="193">MIN(Vout, S69)</f>
        <v>16.399999999999999</v>
      </c>
      <c r="U69" s="217">
        <f t="shared" ref="U69:U105" si="194">MIN(2*(Vout+Vfwd1+F69/FL69*Rdcr_sec)*F69/(I69*M69), Isw_max)</f>
        <v>2.1799058885867826</v>
      </c>
      <c r="V69" s="217">
        <f t="shared" ref="V69:V104" si="195">L*U69/I69*1000000</f>
        <v>1.0924971448380538</v>
      </c>
      <c r="W69" s="217">
        <f t="shared" ref="W69:W105" si="196">L*U69/J69*1000000</f>
        <v>1.5539737338333097</v>
      </c>
      <c r="X69" s="197">
        <f t="shared" ref="X69:X105" si="197">IF(1/((350000*L)*(1/I69+1/J69))&gt;Isw_min, 350, 0.001/((Isw_min*L)*(1/I69+1/J69)))</f>
        <v>350</v>
      </c>
      <c r="Y69" s="443">
        <f t="shared" ref="Y69:Y104" si="198">MIN(1/(V69+W69+0.2)*1000, 350)</f>
        <v>350</v>
      </c>
      <c r="AA69" s="217">
        <f t="shared" ref="AA69:AA105" si="199">1/((X69*1000*L)*(1/I69+1/J69))</f>
        <v>2.3534370202275721</v>
      </c>
      <c r="AB69" s="173">
        <f t="shared" ref="AB69:AB100" si="200">L*AA69/J69*1000000</f>
        <v>1.6776776157228981</v>
      </c>
      <c r="AC69" s="173">
        <f t="shared" ref="AC69:AC100" si="201">0.5*AB69*AA69*Nps*X69/1000</f>
        <v>0.69095400654864414</v>
      </c>
      <c r="AD69" s="173"/>
      <c r="AE69" s="173">
        <f t="shared" ref="AE69:AE105" si="202">L*Isw_min/J69*1000000</f>
        <v>0.95048368339775136</v>
      </c>
      <c r="AF69" s="545">
        <f t="shared" ref="AF69:AF100" si="203">MAX(12, F69/(0.5*AE69/1000000*Isw_min*Nps)/1000)</f>
        <v>1010.0120778172961</v>
      </c>
      <c r="AG69" s="528">
        <f t="shared" ref="AG69:AG105" si="204">0.5*AE69/1000000*Isw_min*Nps*X69*1000</f>
        <v>0.22177952612614199</v>
      </c>
      <c r="AI69" s="173">
        <f t="shared" ref="AI69:AI105" si="205">SQRT(F69/Efficiency/(0.5*L/J69*Fsw_DCM*Nps))</f>
        <v>2.2649989134218456</v>
      </c>
      <c r="AJ69" s="173">
        <f t="shared" ref="AJ69:AJ100" si="206">MAX(IF(F69&gt;AC69,U69,AI69),Isw_min)</f>
        <v>2.2649989134218456</v>
      </c>
      <c r="AK69" s="173">
        <f t="shared" ref="AK69:AK100" si="207">IF(F69&gt;AG69, (AJ69-Isw_min)/1.08*0.8+1.2, AF69*0.2/350+1)</f>
        <v>1.8901226519174164</v>
      </c>
      <c r="AM69" s="545">
        <f t="shared" ref="AM69:AM105" si="208">F69*1000</f>
        <v>640</v>
      </c>
      <c r="AN69" s="460">
        <f t="shared" ref="AN69:AN105" si="209">IF(F69&gt;AG69, Y69, AF69)</f>
        <v>350</v>
      </c>
      <c r="AP69">
        <f t="shared" ref="AP69:AP105" si="210">IF(H69&gt;N69, "",AM69)</f>
        <v>640</v>
      </c>
      <c r="AQ69">
        <f t="shared" ref="AQ69:AQ105" si="211">IF(H69&gt;N69, "",AN69)</f>
        <v>350</v>
      </c>
      <c r="AS69" s="5">
        <f t="shared" si="101"/>
        <v>2.8571428571428572</v>
      </c>
      <c r="AT69" s="5">
        <f t="shared" ref="AT69:AT105" si="212">L*AJ69/I69*1000000</f>
        <v>1.1351429705889116</v>
      </c>
      <c r="AU69" s="5">
        <f t="shared" si="102"/>
        <v>1.7219998865539456</v>
      </c>
      <c r="AV69" s="5">
        <f t="shared" ref="AV69:AV105" si="213">L*AJ69/J69*1000000</f>
        <v>1.614633382590825</v>
      </c>
      <c r="AW69" s="173">
        <f t="shared" si="103"/>
        <v>0.39730003970611905</v>
      </c>
      <c r="AX69" s="173">
        <f t="shared" ref="AX69:AX132" si="214">0.5*L*AJ69^2*AN69*1000</f>
        <v>10.773462163384496</v>
      </c>
      <c r="AY69" s="173">
        <f t="shared" ref="AY69:AY132" si="215">AJ69*Nps/2*(1-AW69)</f>
        <v>0.68255737759251489</v>
      </c>
      <c r="AZ69" s="173">
        <f t="shared" si="104"/>
        <v>15.783965593316356</v>
      </c>
      <c r="BA69" s="460">
        <f t="shared" ref="BA69:BA105" si="216">F69*AT69/Vout_ripple*1000</f>
        <v>4.4298262266884363</v>
      </c>
      <c r="BB69" s="5">
        <f t="shared" ref="BB69:BB105" si="217">H69/Efficiency/I69*AU69/Vinripple1</f>
        <v>0.62903819221167556</v>
      </c>
      <c r="BC69" s="5"/>
      <c r="BD69" s="173">
        <f t="shared" si="105"/>
        <v>0.82426465018057549</v>
      </c>
      <c r="BE69" s="173">
        <f t="shared" ref="BE69:BE132" si="218">AJ69*Nps*SQRT((1-AW69)/3)</f>
        <v>1.0152148273789512</v>
      </c>
      <c r="BF69" s="173"/>
      <c r="BG69" s="528">
        <f t="shared" ref="BG69:BG105" si="219">Rdson*BD69^2</f>
        <v>1.3588244270746131E-2</v>
      </c>
      <c r="BH69" s="528">
        <f t="shared" ref="BH69:BH105" si="220">0.5*K69*AJ69*AN69*1000*Tfall</f>
        <v>0.60695191967009388</v>
      </c>
      <c r="BI69" s="528">
        <f t="shared" ref="BI69:BI105" si="221">Qg*Vdd*AN69*1000*0+Qg*I69*AN69*1000</f>
        <v>0.20951095330829594</v>
      </c>
      <c r="BJ69" s="528">
        <f t="shared" ref="BJ69:BJ105" si="222">0.5*(Coss+Csw)*K69^2*AN69*1000</f>
        <v>5.83582142641033E-2</v>
      </c>
      <c r="BK69">
        <f t="shared" ref="BK69:BK105" si="223">I69*IQ</f>
        <v>1.0774849027283793E-2</v>
      </c>
      <c r="BL69" s="460">
        <f t="shared" si="106"/>
        <v>220.28580233557975</v>
      </c>
      <c r="BM69" s="528">
        <f t="shared" ref="BM69:BM105" si="224">(BH69+BI69*0+BJ69+BK69*0+BG69*(1+RdsonTC*(Ta-25)))/(1-BG69*RdsonTC*ThetaJA)</f>
        <v>0.68477805588115215</v>
      </c>
      <c r="BN69" s="460">
        <f t="shared" si="107"/>
        <v>684.77805588115211</v>
      </c>
      <c r="BO69" s="528">
        <f t="shared" ref="BO69:BO105" si="225">Vfwd2*F69*(1+Diode_TC/1000*(Ta-25))</f>
        <v>0.39759999999999995</v>
      </c>
      <c r="BP69" s="528"/>
      <c r="BR69" s="460">
        <f t="shared" si="109"/>
        <v>397.59999999999997</v>
      </c>
      <c r="BS69" s="528">
        <f t="shared" ref="BS69:BS105" si="226">Rdcr_pri*BD69^2</f>
        <v>2.0382366406119196E-2</v>
      </c>
      <c r="BT69" s="528">
        <f t="shared" ref="BT69:BT105" si="227">Rdcr_sec*BE69^2</f>
        <v>3.0919834371902207E-2</v>
      </c>
      <c r="BU69" s="528">
        <f t="shared" ref="BU69:BU105" si="228">AJ69^2.5*AN69^2.5*k_core*0+BZ69*0.015</f>
        <v>0.15743999999999997</v>
      </c>
      <c r="BV69" s="528">
        <f t="shared" ref="BV69:BV100" si="229">(BU69+(BS69+BT69)*(1+Ltc*(Ta-25)))/(1-(BS69+BT69)*Ltc*ThetaCa)</f>
        <v>0.22196571534028445</v>
      </c>
      <c r="BW69" s="528">
        <f t="shared" ref="BW69:BW105" si="230">0.5*Lleak*0.000000001*AJ69^2*AN69*1000</f>
        <v>8.9778851361537459E-3</v>
      </c>
      <c r="BX69" s="460">
        <f t="shared" si="110"/>
        <v>230.94360047643821</v>
      </c>
      <c r="BY69" s="173">
        <f t="shared" ref="BY69:BY104" si="231">SUM(BM69,BO69:BQ69,BV69, BW69)+BK69+BI69</f>
        <v>1.5336074586931701</v>
      </c>
      <c r="BZ69" s="5">
        <f t="shared" si="111"/>
        <v>10.495999999999999</v>
      </c>
      <c r="CA69" s="173">
        <f t="shared" si="112"/>
        <v>0.87251392333796296</v>
      </c>
      <c r="CB69" s="5">
        <f t="shared" si="113"/>
        <v>87.251392333796289</v>
      </c>
      <c r="CE69" s="562">
        <f t="shared" ref="CE69:CE105" si="232">IF(ABS(F69-Ioutmax_Vinnom)&lt;Iout/200, AN69, -50)</f>
        <v>-50</v>
      </c>
      <c r="CF69">
        <f t="shared" ref="CF69:CF105" si="233">IF(ABS(F69-Ioutmax_Vinnom)&lt;Iout/200, N69*CA69, -50)</f>
        <v>-50</v>
      </c>
      <c r="CG69" s="173">
        <f t="shared" ref="CG69:CG105" si="234">MIN(SQRT(2*DU69*1000*Ls1_*CL69)/CU69,1-EA69-0.00000005*DU69*1000)</f>
        <v>0.57254246833643752</v>
      </c>
      <c r="CI69" s="170">
        <v>64</v>
      </c>
      <c r="CJ69" s="217">
        <f t="shared" si="114"/>
        <v>0.64</v>
      </c>
      <c r="CK69" s="217"/>
      <c r="CL69" s="217">
        <f t="shared" ref="CL69:CL105" si="235">CJ69*Vout</f>
        <v>10.495999999999999</v>
      </c>
      <c r="CM69" s="541">
        <f t="shared" ref="CM69:CM105" si="236">Vin</f>
        <v>24</v>
      </c>
      <c r="CN69" s="172">
        <f t="shared" ref="CN69:CN105" si="237">(CX69+Vfwd1)*Nps</f>
        <v>16.799999999999997</v>
      </c>
      <c r="CO69" s="443">
        <f t="shared" ref="CO69:CO105" si="238">(Vout+Vfwd1)*Nps+CM69</f>
        <v>40.799999999999997</v>
      </c>
      <c r="CP69" s="443"/>
      <c r="CQ69" s="217">
        <f t="shared" ref="CQ69:CQ105" si="239">(Vout+Vfwd1)*Nps/((Vout+Vfwd1)*Nps+CM69)</f>
        <v>0.41176470588235292</v>
      </c>
      <c r="CR69" s="172">
        <f t="shared" ref="CR69:CR105" si="240">CQ69*CM69*(Isw_max+VIN_nom/Lmag*ILIM_delay)*0.5*Efficiency</f>
        <v>33.237647058823534</v>
      </c>
      <c r="CS69" s="172">
        <f t="shared" si="115"/>
        <v>10.495999999999999</v>
      </c>
      <c r="CT69" s="217">
        <f t="shared" ref="CT69:CT105" si="241">CR69/Vout</f>
        <v>2.026685796269728</v>
      </c>
      <c r="CU69" s="217">
        <f t="shared" ref="CU69:CU105" si="242">MIN(Vout,CR69/CJ69)</f>
        <v>16.399999999999999</v>
      </c>
      <c r="CV69" s="217">
        <f t="shared" ref="CV69:CV105" si="243">Isw_max/2*CM69*Nps*(CU69+Vfwd1)/CU69/(CM69+Nps*(CU69+Vfwd1))</f>
        <v>2.0086083213773311</v>
      </c>
      <c r="CW69" s="172">
        <f t="shared" ref="CW69:CW105" si="244">(SQRT(Isw_max^2*Nps^2*CM69^2+4*Isw_max*CJ69/Efficiency*(Nps^2*Vfwd1*CM69-Nps*CM69^2)+4*(CJ69/Efficiency)^2*Nps^2*Vfwd1^2+8*(CJ69/Efficiency)^2*Nps*Vfwd1*CM69+4*(CJ69/Efficiency)^2*CM69^2)-2*CJ69/Efficiency*CM69-2*CJ69/Efficiency*Nps*Vfwd1+Isw_max*Nps*CM69)/(4*CJ69/Efficiency*Nps)</f>
        <v>101.09458632570995</v>
      </c>
      <c r="CX69" s="172">
        <f t="shared" ref="CX69:CX105" si="245">MIN(Vout, CW69)</f>
        <v>16.399999999999999</v>
      </c>
      <c r="CY69" s="217">
        <f t="shared" ref="CY69:CY105" si="246">MIN(2*Vout*CJ69/(CM69*CQ69), Isw_max)</f>
        <v>2.124190476190476</v>
      </c>
      <c r="CZ69" s="217">
        <f t="shared" ref="CZ69:CZ105" si="247">L*CY69/CM69*1000000</f>
        <v>1.062095238095238</v>
      </c>
      <c r="DA69" s="217">
        <f t="shared" ref="DA69:DA105" si="248">L*CY69/CN69*1000000</f>
        <v>1.5172789115646259</v>
      </c>
      <c r="DB69" s="197">
        <f t="shared" ref="DB69:DB105" si="249">IF(1/((350000*L)*(1/CM69+1/CN69))&gt;Isw_min, 350, 0.001/((Isw_min*L)*(1/CM69+1/CN69)))</f>
        <v>350</v>
      </c>
      <c r="DC69" s="443">
        <f t="shared" si="116"/>
        <v>350</v>
      </c>
      <c r="DE69" s="217">
        <f t="shared" ref="DE69:DE105" si="250">1/((DB69*1000*L)*(1/CM69+1/CN69))</f>
        <v>2.3529411764705879</v>
      </c>
      <c r="DF69" s="173">
        <f t="shared" ref="DF69:DF105" si="251">L*DE69/CN69*1000000</f>
        <v>1.6806722689075633</v>
      </c>
      <c r="DG69" s="173">
        <f t="shared" ref="DG69:DG105" si="252">0.5*DF69*DE69*Nps*DB69/1000</f>
        <v>0.69204152249134954</v>
      </c>
      <c r="DH69" s="173"/>
      <c r="DI69" s="173">
        <f t="shared" ref="DI69:DI105" si="253">L*Isw_min/CN69*1000000</f>
        <v>0.95238095238095266</v>
      </c>
      <c r="DJ69" s="545">
        <f t="shared" si="117"/>
        <v>1007.9999999999997</v>
      </c>
      <c r="DK69" s="528">
        <f t="shared" ref="DK69:DK105" si="254">0.5*DI69/1000000*Isw_min*Nps*DB69*1000</f>
        <v>0.22222222222222232</v>
      </c>
      <c r="DM69" s="173">
        <f t="shared" ref="DM69:DM105" si="255">SQRT(CJ69/Efficiency/(0.5*L/CN69*Fsw_DCM*Nps))</f>
        <v>2.2627416997969521</v>
      </c>
      <c r="DN69" s="173">
        <f t="shared" ref="DN69:DN105" si="256">MAX(IF(CJ69&gt;DG69,CY69,DM69),Isw_min)</f>
        <v>2.2627416997969521</v>
      </c>
      <c r="DO69" s="173">
        <f t="shared" ref="DO69:DO105" si="257">IF(CJ69&gt;DK69, (DN69-Isw_min)/1.08*0.8+1.2, DJ69*0.2/350+1)</f>
        <v>1.8884506418249025</v>
      </c>
      <c r="DQ69" s="545">
        <f t="shared" ref="DQ69:DQ105" si="258">CJ69*1000</f>
        <v>640</v>
      </c>
      <c r="DR69" s="460">
        <f t="shared" ref="DR69:DR105" si="259">IF(CJ69&gt;DK69, DC69, DJ69)</f>
        <v>350</v>
      </c>
      <c r="DT69">
        <f t="shared" ref="DT69:DT105" si="260">IF(CL69&gt;CR69, "",DQ69)</f>
        <v>640</v>
      </c>
      <c r="DU69">
        <f t="shared" ref="DU69:DU105" si="261">IF(CL69&gt;CR69, "",DR69)</f>
        <v>350</v>
      </c>
      <c r="DW69" s="5">
        <f t="shared" si="118"/>
        <v>2.8571428571428572</v>
      </c>
      <c r="DX69" s="5">
        <f t="shared" ref="DX69:DX105" si="262">L*DN69/CM69*1000000</f>
        <v>1.131370849898476</v>
      </c>
      <c r="DY69" s="5">
        <f t="shared" si="119"/>
        <v>1.7257720072443812</v>
      </c>
      <c r="DZ69" s="5">
        <f t="shared" ref="DZ69:DZ105" si="263">L*DN69/CN69*1000000</f>
        <v>1.6162440712835378</v>
      </c>
      <c r="EA69" s="173">
        <f t="shared" si="120"/>
        <v>0.3959797974644666</v>
      </c>
      <c r="EB69" s="173">
        <f t="shared" ref="EB69:EB105" si="264">0.5*L*DN69^2*DR69*1000</f>
        <v>10.752000000000001</v>
      </c>
      <c r="EC69" s="173">
        <f t="shared" ref="EC69:EC105" si="265">DN69*Nps/2*(1-EA69)</f>
        <v>0.68337084989847607</v>
      </c>
      <c r="ED69" s="173">
        <f t="shared" si="121"/>
        <v>15.733770326313092</v>
      </c>
      <c r="EE69" s="460">
        <f t="shared" ref="EE69:EE105" si="266">CJ69*DX69/Vout_ripple*1000</f>
        <v>4.4151057557013704</v>
      </c>
      <c r="EF69" s="5">
        <f t="shared" ref="EF69:EF105" si="267">CL69/Efficiency/CM69*DY69/Vinripple1</f>
        <v>0.62894802041795217</v>
      </c>
      <c r="EG69" s="5"/>
      <c r="EH69" s="173">
        <f t="shared" si="122"/>
        <v>0.82207391456366208</v>
      </c>
      <c r="EI69" s="173">
        <f t="shared" ref="EI69:EI105" si="268">DN69*Nps*SQRT((1-EA69)/3)</f>
        <v>1.0153133238861016</v>
      </c>
      <c r="EJ69" s="173"/>
      <c r="EK69" s="528">
        <f t="shared" ref="EK69:EK105" si="269">Rdson*EH69^2</f>
        <v>1.3516110420120464E-2</v>
      </c>
      <c r="EL69" s="528">
        <f t="shared" ref="EL69:EL105" si="270">0.5*CO69*DN69*DR69*1000*Trise</f>
        <v>0.64623902946200951</v>
      </c>
      <c r="EM69" s="528">
        <f t="shared" ref="EM69:EM105" si="271">Qg*Vdd*DR69*1000</f>
        <v>4.3749999999999997E-2</v>
      </c>
      <c r="EN69" s="528">
        <f t="shared" ref="EN69:EN105" si="272">0.5*(Coss+Csw)*CO69^2*DR69*1000</f>
        <v>5.8262399999999999E-2</v>
      </c>
      <c r="EO69">
        <f t="shared" ref="EO69:EO105" si="273">CM69*IQ</f>
        <v>1.0800000000000001E-2</v>
      </c>
      <c r="EP69" s="460">
        <f t="shared" si="123"/>
        <v>54.550000000000004</v>
      </c>
      <c r="EQ69" s="528">
        <f t="shared" ref="EQ69:EQ105" si="274">(EL69+EM69+EN69+EO69+EK69*(1+RdsonTC*(Ta-25)))/(1-EK69*RdsonTC*ThetaJA)</f>
        <v>0.77871768534653019</v>
      </c>
      <c r="ER69" s="460">
        <f t="shared" si="124"/>
        <v>778.71768534653017</v>
      </c>
      <c r="ES69" s="528">
        <f t="shared" si="125"/>
        <v>0.39759999999999995</v>
      </c>
      <c r="ET69" s="528"/>
      <c r="EV69" s="460">
        <f t="shared" si="126"/>
        <v>397.59999999999997</v>
      </c>
      <c r="EW69" s="528">
        <f t="shared" ref="EW69:EW105" si="275">Rdcr_pri*EH69^2</f>
        <v>2.0274165630180696E-2</v>
      </c>
      <c r="EX69" s="528">
        <f t="shared" ref="EX69:EX105" si="276">Rdcr_sec*EI69^2</f>
        <v>3.0925834369819313E-2</v>
      </c>
      <c r="EY69" s="528">
        <f t="shared" ref="EY69:EY105" si="277">DN69^2.5*DR69^2.5*k_core</f>
        <v>0.88252611680845972</v>
      </c>
      <c r="EZ69" s="528">
        <f t="shared" ref="EZ69:EZ105" si="278">(EY69+(EW69+EX69)*(1+Ltc*(Ta-25)))/(1-(EW69+EX69)*Ltc*ThetaCa)</f>
        <v>0.94990492739105348</v>
      </c>
      <c r="FA69" s="528">
        <f t="shared" ref="FA69:FA105" si="279">0.5*Lleak*0.000000001*DN69^2*DR69*1000</f>
        <v>8.9600000000000009E-3</v>
      </c>
      <c r="FB69" s="460">
        <f t="shared" si="127"/>
        <v>958.86492739105347</v>
      </c>
      <c r="FC69" s="173">
        <f t="shared" si="128"/>
        <v>2.1351826127375837</v>
      </c>
      <c r="FD69" s="5">
        <f t="shared" si="129"/>
        <v>10.495999999999999</v>
      </c>
      <c r="FE69" s="173">
        <f t="shared" si="130"/>
        <v>0.83095940592415984</v>
      </c>
      <c r="FF69" s="5">
        <f t="shared" si="131"/>
        <v>83.095940592415985</v>
      </c>
      <c r="FI69" s="562">
        <f t="shared" ref="FI69:FI105" si="280">IF(ABS(CJ69-Ioutmax_Vinnom)&lt;Iout/200, DR69, -50)</f>
        <v>-50</v>
      </c>
      <c r="FJ69">
        <f t="shared" ref="FJ69:FJ105" si="281">IF(ABS(CJ69-Ioutmax_Vinnom)&lt;Iout/200, CR69*FE69, -50)</f>
        <v>-50</v>
      </c>
      <c r="FL69">
        <f t="shared" ref="FL69:FL105" si="282">MIN(SQRT(2*L*DR69*1000*CJ69*(CX69+Vfwd1))/(Nps*(CX69+Vfwd1)), 1-EA69)</f>
        <v>0.56568542494923812</v>
      </c>
    </row>
    <row r="70" spans="5:168">
      <c r="E70" s="170">
        <v>65</v>
      </c>
      <c r="F70" s="217">
        <f t="shared" ref="F70:F101" si="283">IF(PLOT_TYPE=1, E70/100*Iout_max, min_I*EXP(N70*rr/100))</f>
        <v>0.65</v>
      </c>
      <c r="G70" s="217"/>
      <c r="H70" s="217">
        <f t="shared" si="183"/>
        <v>10.66</v>
      </c>
      <c r="I70" s="541">
        <f t="shared" si="184"/>
        <v>23.943673993150419</v>
      </c>
      <c r="J70" s="172">
        <f t="shared" si="185"/>
        <v>16.833795604109746</v>
      </c>
      <c r="K70" s="172">
        <f t="shared" si="186"/>
        <v>40.833795604109746</v>
      </c>
      <c r="L70" s="443"/>
      <c r="M70" s="217">
        <f t="shared" si="187"/>
        <v>0.41282689462856004</v>
      </c>
      <c r="N70" s="172">
        <f t="shared" si="188"/>
        <v>33.245179712720727</v>
      </c>
      <c r="O70" s="172">
        <f t="shared" ref="O70:O133" si="284">T70*F70</f>
        <v>10.66</v>
      </c>
      <c r="P70" s="217">
        <f t="shared" si="189"/>
        <v>2.027145104434191</v>
      </c>
      <c r="Q70" s="217">
        <f t="shared" si="190"/>
        <v>16.399999999999999</v>
      </c>
      <c r="R70" s="217">
        <f t="shared" si="191"/>
        <v>2.0090635326404276</v>
      </c>
      <c r="S70" s="172">
        <f t="shared" si="192"/>
        <v>98.940807991063437</v>
      </c>
      <c r="T70" s="172">
        <f t="shared" si="193"/>
        <v>16.399999999999999</v>
      </c>
      <c r="U70" s="217">
        <f t="shared" si="194"/>
        <v>2.2139978621426004</v>
      </c>
      <c r="V70" s="217">
        <f t="shared" si="195"/>
        <v>1.1096030773435823</v>
      </c>
      <c r="W70" s="217">
        <f t="shared" si="196"/>
        <v>1.5782521643083862</v>
      </c>
      <c r="X70" s="197">
        <f t="shared" si="197"/>
        <v>350</v>
      </c>
      <c r="Y70" s="443">
        <f t="shared" si="198"/>
        <v>346.27774466560868</v>
      </c>
      <c r="AA70" s="217">
        <f t="shared" si="199"/>
        <v>2.3534407952946443</v>
      </c>
      <c r="AB70" s="173">
        <f t="shared" si="200"/>
        <v>1.6776542978008477</v>
      </c>
      <c r="AC70" s="173">
        <f t="shared" si="201"/>
        <v>0.69094551134803339</v>
      </c>
      <c r="AD70" s="173"/>
      <c r="AE70" s="173">
        <f t="shared" si="202"/>
        <v>0.95046894807810411</v>
      </c>
      <c r="AF70" s="545">
        <f t="shared" si="203"/>
        <v>1025.8094196254374</v>
      </c>
      <c r="AG70" s="528">
        <f t="shared" si="204"/>
        <v>0.22177608788489098</v>
      </c>
      <c r="AI70" s="173">
        <f t="shared" si="205"/>
        <v>2.2826433238964881</v>
      </c>
      <c r="AJ70" s="173">
        <f t="shared" si="153"/>
        <v>2.2826433238964881</v>
      </c>
      <c r="AK70" s="173">
        <f t="shared" si="207"/>
        <v>1.9031925856023366</v>
      </c>
      <c r="AM70" s="545">
        <f t="shared" si="208"/>
        <v>650</v>
      </c>
      <c r="AN70" s="460">
        <f t="shared" si="209"/>
        <v>346.27774466560868</v>
      </c>
      <c r="AP70">
        <f t="shared" si="210"/>
        <v>650</v>
      </c>
      <c r="AQ70">
        <f t="shared" si="211"/>
        <v>346.27774466560868</v>
      </c>
      <c r="AS70" s="5">
        <f t="shared" ref="AS70:AS133" si="285">1/AN70*1000</f>
        <v>2.8878552416519683</v>
      </c>
      <c r="AT70" s="5">
        <f t="shared" si="212"/>
        <v>1.1440065503144514</v>
      </c>
      <c r="AU70" s="5">
        <f t="shared" ref="AU70:AU105" si="286">AS70-AT70</f>
        <v>1.7438486913375169</v>
      </c>
      <c r="AV70" s="5">
        <f t="shared" si="213"/>
        <v>1.6271861991760512</v>
      </c>
      <c r="AW70" s="173">
        <f t="shared" ref="AW70:AW105" si="287">AT70/AS70</f>
        <v>0.39614400812557143</v>
      </c>
      <c r="AX70" s="173">
        <f t="shared" si="214"/>
        <v>10.825599155341212</v>
      </c>
      <c r="AY70" s="173">
        <f t="shared" si="215"/>
        <v>0.68919392422352821</v>
      </c>
      <c r="AZ70" s="173">
        <f t="shared" ref="AZ70:AZ133" si="288">AX70/AY70</f>
        <v>15.707624189429325</v>
      </c>
      <c r="BA70" s="460">
        <f t="shared" si="216"/>
        <v>4.5341723030755698</v>
      </c>
      <c r="BB70" s="5">
        <f t="shared" si="217"/>
        <v>0.64698463621246449</v>
      </c>
      <c r="BC70" s="5"/>
      <c r="BD70" s="173">
        <f t="shared" ref="BD70:BD133" si="289">AJ70*SQRT(AW70/3)</f>
        <v>0.82947628540171658</v>
      </c>
      <c r="BE70" s="173">
        <f t="shared" si="218"/>
        <v>1.0241041320747477</v>
      </c>
      <c r="BF70" s="173"/>
      <c r="BG70" s="528">
        <f t="shared" si="219"/>
        <v>1.3760618160876599E-2</v>
      </c>
      <c r="BH70" s="528">
        <f t="shared" si="220"/>
        <v>0.60517873425172719</v>
      </c>
      <c r="BI70" s="528">
        <f t="shared" si="221"/>
        <v>0.2072790357339179</v>
      </c>
      <c r="BJ70" s="528">
        <f t="shared" si="222"/>
        <v>5.7738311788938346E-2</v>
      </c>
      <c r="BK70">
        <f t="shared" si="223"/>
        <v>1.0774653296917689E-2</v>
      </c>
      <c r="BL70" s="460">
        <f t="shared" ref="BL70:BL105" si="290">(BK70+BI70)*1000</f>
        <v>218.05368903083559</v>
      </c>
      <c r="BM70" s="528">
        <f t="shared" si="224"/>
        <v>0.68262488879395145</v>
      </c>
      <c r="BN70" s="460">
        <f t="shared" ref="BN70:BN105" si="291">BM70*1000</f>
        <v>682.62488879395141</v>
      </c>
      <c r="BO70" s="528">
        <f t="shared" si="225"/>
        <v>0.40381249999999996</v>
      </c>
      <c r="BP70" s="528"/>
      <c r="BR70" s="460">
        <f t="shared" ref="BR70:BR105" si="292">SUM(BO70:BQ70)*1000</f>
        <v>403.81249999999994</v>
      </c>
      <c r="BS70" s="528">
        <f t="shared" si="226"/>
        <v>2.0640927241314899E-2</v>
      </c>
      <c r="BT70" s="528">
        <f t="shared" si="227"/>
        <v>3.1463678199977169E-2</v>
      </c>
      <c r="BU70" s="528">
        <f t="shared" si="228"/>
        <v>0.15989999999999999</v>
      </c>
      <c r="BV70" s="528">
        <f t="shared" si="229"/>
        <v>0.22544946718999287</v>
      </c>
      <c r="BW70" s="528">
        <f t="shared" si="230"/>
        <v>9.0213326294510104E-3</v>
      </c>
      <c r="BX70" s="460">
        <f t="shared" ref="BX70:BX105" si="293">1000*(BV70+BW70)</f>
        <v>234.47079981944387</v>
      </c>
      <c r="BY70" s="173">
        <f t="shared" si="231"/>
        <v>1.5389618776442309</v>
      </c>
      <c r="BZ70" s="5">
        <f t="shared" ref="BZ70:BZ105" si="294">MIN(H70,O70)</f>
        <v>10.66</v>
      </c>
      <c r="CA70" s="173">
        <f t="shared" ref="CA70:CA104" si="295">BZ70/(BZ70+BY70)</f>
        <v>0.87384484900600212</v>
      </c>
      <c r="CB70" s="5">
        <f t="shared" ref="CB70:CB104" si="296">CA70*100</f>
        <v>87.384484900600214</v>
      </c>
      <c r="CE70" s="562">
        <f t="shared" si="232"/>
        <v>-50</v>
      </c>
      <c r="CF70">
        <f t="shared" si="233"/>
        <v>-50</v>
      </c>
      <c r="CG70" s="173">
        <f t="shared" si="234"/>
        <v>0.57699811894692754</v>
      </c>
      <c r="CI70" s="170">
        <v>65</v>
      </c>
      <c r="CJ70" s="217">
        <f t="shared" ref="CJ70:CJ105" si="297">IF(PLOT_TYPE=1, CI70/100*Iout_max, min_I*EXP(CR70*rr/100))</f>
        <v>0.65</v>
      </c>
      <c r="CK70" s="217"/>
      <c r="CL70" s="217">
        <f t="shared" si="235"/>
        <v>10.66</v>
      </c>
      <c r="CM70" s="541">
        <f t="shared" si="236"/>
        <v>24</v>
      </c>
      <c r="CN70" s="172">
        <f t="shared" si="237"/>
        <v>16.799999999999997</v>
      </c>
      <c r="CO70" s="443">
        <f t="shared" si="238"/>
        <v>40.799999999999997</v>
      </c>
      <c r="CP70" s="443"/>
      <c r="CQ70" s="217">
        <f t="shared" si="239"/>
        <v>0.41176470588235292</v>
      </c>
      <c r="CR70" s="172">
        <f t="shared" si="240"/>
        <v>33.237647058823534</v>
      </c>
      <c r="CS70" s="172">
        <f t="shared" ref="CS70:CS105" si="298">CX70*CJ70</f>
        <v>10.66</v>
      </c>
      <c r="CT70" s="217">
        <f t="shared" si="241"/>
        <v>2.026685796269728</v>
      </c>
      <c r="CU70" s="217">
        <f t="shared" si="242"/>
        <v>16.399999999999999</v>
      </c>
      <c r="CV70" s="217">
        <f t="shared" si="243"/>
        <v>2.0086083213773311</v>
      </c>
      <c r="CW70" s="172">
        <f t="shared" si="244"/>
        <v>99.17333443097543</v>
      </c>
      <c r="CX70" s="172">
        <f t="shared" si="245"/>
        <v>16.399999999999999</v>
      </c>
      <c r="CY70" s="217">
        <f t="shared" si="246"/>
        <v>2.1573809523809522</v>
      </c>
      <c r="CZ70" s="217">
        <f t="shared" si="247"/>
        <v>1.0786904761904761</v>
      </c>
      <c r="DA70" s="217">
        <f t="shared" si="248"/>
        <v>1.5409863945578233</v>
      </c>
      <c r="DB70" s="197">
        <f t="shared" si="249"/>
        <v>350</v>
      </c>
      <c r="DC70" s="443">
        <f t="shared" ref="DC70:DC105" si="299">MIN(1/(CZ70+DA70)*1000, 350)</f>
        <v>350</v>
      </c>
      <c r="DE70" s="217">
        <f t="shared" si="250"/>
        <v>2.3529411764705879</v>
      </c>
      <c r="DF70" s="173">
        <f t="shared" si="251"/>
        <v>1.6806722689075633</v>
      </c>
      <c r="DG70" s="173">
        <f t="shared" si="252"/>
        <v>0.69204152249134954</v>
      </c>
      <c r="DH70" s="173"/>
      <c r="DI70" s="173">
        <f t="shared" si="253"/>
        <v>0.95238095238095266</v>
      </c>
      <c r="DJ70" s="545">
        <f t="shared" ref="DJ70:DJ105" si="300">MAX(12, CJ70/(0.5*DI70/1000000*Isw_min*Nps)/1000)</f>
        <v>1023.7499999999997</v>
      </c>
      <c r="DK70" s="528">
        <f t="shared" si="254"/>
        <v>0.22222222222222232</v>
      </c>
      <c r="DM70" s="173">
        <f t="shared" si="255"/>
        <v>2.2803508501982757</v>
      </c>
      <c r="DN70" s="173">
        <f t="shared" si="256"/>
        <v>2.2803508501982757</v>
      </c>
      <c r="DO70" s="173">
        <f t="shared" si="257"/>
        <v>1.901494456936994</v>
      </c>
      <c r="DQ70" s="545">
        <f t="shared" si="258"/>
        <v>650</v>
      </c>
      <c r="DR70" s="460">
        <f t="shared" si="259"/>
        <v>350</v>
      </c>
      <c r="DT70">
        <f t="shared" si="260"/>
        <v>650</v>
      </c>
      <c r="DU70">
        <f t="shared" si="261"/>
        <v>350</v>
      </c>
      <c r="DW70" s="5">
        <f t="shared" ref="DW70:DW105" si="301">1/DR70*1000</f>
        <v>2.8571428571428572</v>
      </c>
      <c r="DX70" s="5">
        <f t="shared" si="262"/>
        <v>1.1401754250991378</v>
      </c>
      <c r="DY70" s="5">
        <f t="shared" ref="DY70:DY105" si="302">DW70-DX70</f>
        <v>1.7169674320437194</v>
      </c>
      <c r="DZ70" s="5">
        <f t="shared" si="263"/>
        <v>1.6288220358559116</v>
      </c>
      <c r="EA70" s="173">
        <f t="shared" ref="EA70:EA105" si="303">DX70/DW70</f>
        <v>0.39906139878469821</v>
      </c>
      <c r="EB70" s="173">
        <f t="shared" si="264"/>
        <v>10.919999999999998</v>
      </c>
      <c r="EC70" s="173">
        <f t="shared" si="265"/>
        <v>0.68517542509913787</v>
      </c>
      <c r="ED70" s="173">
        <f t="shared" ref="ED70:ED105" si="304">EB70/EC70</f>
        <v>15.93752431856409</v>
      </c>
      <c r="EE70" s="460">
        <f t="shared" si="266"/>
        <v>4.5189879653319496</v>
      </c>
      <c r="EF70" s="5">
        <f t="shared" si="267"/>
        <v>0.63551641755507104</v>
      </c>
      <c r="EG70" s="5"/>
      <c r="EH70" s="173">
        <f t="shared" ref="EH70:EH105" si="305">DN70*SQRT(EA70/3)</f>
        <v>0.83168889890399733</v>
      </c>
      <c r="EI70" s="173">
        <f t="shared" si="268"/>
        <v>1.0206012486633502</v>
      </c>
      <c r="EJ70" s="173"/>
      <c r="EK70" s="528">
        <f t="shared" si="269"/>
        <v>1.3834128491202871E-2</v>
      </c>
      <c r="EL70" s="528">
        <f t="shared" si="270"/>
        <v>0.65126820281662756</v>
      </c>
      <c r="EM70" s="528">
        <f t="shared" si="271"/>
        <v>4.3749999999999997E-2</v>
      </c>
      <c r="EN70" s="528">
        <f t="shared" si="272"/>
        <v>5.8262399999999999E-2</v>
      </c>
      <c r="EO70">
        <f t="shared" si="273"/>
        <v>1.0800000000000001E-2</v>
      </c>
      <c r="EP70" s="460">
        <f t="shared" ref="EP70:EP105" si="306">(EO70+EM70)*1000</f>
        <v>54.550000000000004</v>
      </c>
      <c r="EQ70" s="528">
        <f t="shared" si="274"/>
        <v>0.78422769374802004</v>
      </c>
      <c r="ER70" s="460">
        <f t="shared" ref="ER70:ER105" si="307">EQ70*1000</f>
        <v>784.22769374801999</v>
      </c>
      <c r="ES70" s="528">
        <f t="shared" ref="ES70:ES105" si="308">Vfwd2*CJ70*(1+Diode_TC/1000*(Ta-25))</f>
        <v>0.40381249999999996</v>
      </c>
      <c r="ET70" s="528"/>
      <c r="EV70" s="460">
        <f t="shared" ref="EV70:EV105" si="309">SUM(ES70:EU70)*1000</f>
        <v>403.81249999999994</v>
      </c>
      <c r="EW70" s="528">
        <f t="shared" si="275"/>
        <v>2.0751192736804307E-2</v>
      </c>
      <c r="EX70" s="528">
        <f t="shared" si="276"/>
        <v>3.1248807263195684E-2</v>
      </c>
      <c r="EY70" s="528">
        <f t="shared" si="277"/>
        <v>0.89979649011170193</v>
      </c>
      <c r="EZ70" s="528">
        <f t="shared" si="278"/>
        <v>0.96830463740329964</v>
      </c>
      <c r="FA70" s="528">
        <f t="shared" si="279"/>
        <v>9.099999999999997E-3</v>
      </c>
      <c r="FB70" s="460">
        <f t="shared" ref="FB70:FB105" si="310">1000*(EZ70+FA70)</f>
        <v>977.4046374032996</v>
      </c>
      <c r="FC70" s="173">
        <f t="shared" ref="FC70:FC105" si="311">SUM(EQ70,ES70:EU70,EZ70, FA70)</f>
        <v>2.1654448311513197</v>
      </c>
      <c r="FD70" s="5">
        <f t="shared" ref="FD70:FD105" si="312">MIN(CL70,CS70)</f>
        <v>10.66</v>
      </c>
      <c r="FE70" s="173">
        <f t="shared" ref="FE70:FE105" si="313">FD70/(FD70+FC70)</f>
        <v>0.83116025528473381</v>
      </c>
      <c r="FF70" s="5">
        <f t="shared" ref="FF70:FF105" si="314">FE70*100</f>
        <v>83.116025528473386</v>
      </c>
      <c r="FI70" s="562">
        <f t="shared" si="280"/>
        <v>-50</v>
      </c>
      <c r="FJ70">
        <f t="shared" si="281"/>
        <v>-50</v>
      </c>
      <c r="FL70">
        <f t="shared" si="282"/>
        <v>0.57008771254956903</v>
      </c>
    </row>
    <row r="71" spans="5:168">
      <c r="E71" s="170">
        <v>66</v>
      </c>
      <c r="F71" s="217">
        <f t="shared" si="283"/>
        <v>0.66</v>
      </c>
      <c r="G71" s="217"/>
      <c r="H71" s="217">
        <f t="shared" si="183"/>
        <v>10.824</v>
      </c>
      <c r="I71" s="541">
        <f t="shared" si="184"/>
        <v>23.94314076114577</v>
      </c>
      <c r="J71" s="172">
        <f t="shared" si="185"/>
        <v>16.834115543312535</v>
      </c>
      <c r="K71" s="172">
        <f t="shared" si="186"/>
        <v>40.834115543312535</v>
      </c>
      <c r="L71" s="443"/>
      <c r="M71" s="217">
        <f t="shared" si="187"/>
        <v>0.41283606726785849</v>
      </c>
      <c r="N71" s="172">
        <f t="shared" si="188"/>
        <v>33.245177995003431</v>
      </c>
      <c r="O71" s="172">
        <f t="shared" si="284"/>
        <v>10.824</v>
      </c>
      <c r="P71" s="217">
        <f t="shared" si="189"/>
        <v>2.0271449996953312</v>
      </c>
      <c r="Q71" s="217">
        <f t="shared" si="190"/>
        <v>16.399999999999999</v>
      </c>
      <c r="R71" s="217">
        <f t="shared" si="191"/>
        <v>2.0090634288358089</v>
      </c>
      <c r="S71" s="172">
        <f t="shared" si="192"/>
        <v>97.080060939866101</v>
      </c>
      <c r="T71" s="172">
        <f t="shared" si="193"/>
        <v>16.399999999999999</v>
      </c>
      <c r="U71" s="217">
        <f t="shared" si="194"/>
        <v>2.2480944867609423</v>
      </c>
      <c r="V71" s="217">
        <f t="shared" si="195"/>
        <v>1.12671658702809</v>
      </c>
      <c r="W71" s="217">
        <f t="shared" si="196"/>
        <v>1.6025275442432232</v>
      </c>
      <c r="X71" s="197">
        <f t="shared" si="197"/>
        <v>350</v>
      </c>
      <c r="Y71" s="443">
        <f t="shared" si="198"/>
        <v>341.38499735288116</v>
      </c>
      <c r="AA71" s="217">
        <f t="shared" si="199"/>
        <v>2.3534454215494813</v>
      </c>
      <c r="AB71" s="173">
        <f t="shared" si="200"/>
        <v>1.677625711070567</v>
      </c>
      <c r="AC71" s="173">
        <f t="shared" si="201"/>
        <v>0.69093509603872572</v>
      </c>
      <c r="AD71" s="173"/>
      <c r="AE71" s="173">
        <f t="shared" si="202"/>
        <v>0.9504508840297291</v>
      </c>
      <c r="AF71" s="545">
        <f t="shared" si="203"/>
        <v>1041.6108992424629</v>
      </c>
      <c r="AG71" s="528">
        <f t="shared" si="204"/>
        <v>0.22177187294027018</v>
      </c>
      <c r="AI71" s="173">
        <f t="shared" si="205"/>
        <v>2.3001569572310117</v>
      </c>
      <c r="AJ71" s="173">
        <f t="shared" si="153"/>
        <v>2.3001569572310117</v>
      </c>
      <c r="AK71" s="173">
        <f t="shared" si="207"/>
        <v>1.9161656473316135</v>
      </c>
      <c r="AM71" s="545">
        <f t="shared" si="208"/>
        <v>660</v>
      </c>
      <c r="AN71" s="460">
        <f t="shared" si="209"/>
        <v>341.38499735288116</v>
      </c>
      <c r="AP71">
        <f t="shared" si="210"/>
        <v>660</v>
      </c>
      <c r="AQ71">
        <f t="shared" si="211"/>
        <v>341.38499735288116</v>
      </c>
      <c r="AS71" s="5">
        <f t="shared" si="285"/>
        <v>2.9292441312713136</v>
      </c>
      <c r="AT71" s="5">
        <f t="shared" si="212"/>
        <v>1.1528096402274706</v>
      </c>
      <c r="AU71" s="5">
        <f t="shared" si="286"/>
        <v>1.776434491043843</v>
      </c>
      <c r="AV71" s="5">
        <f t="shared" si="213"/>
        <v>1.6396396600555099</v>
      </c>
      <c r="AW71" s="173">
        <f t="shared" si="287"/>
        <v>0.39355191597743089</v>
      </c>
      <c r="AX71" s="173">
        <f t="shared" si="214"/>
        <v>10.837038752933196</v>
      </c>
      <c r="AY71" s="173">
        <f t="shared" si="215"/>
        <v>0.69746288983196469</v>
      </c>
      <c r="AZ71" s="173">
        <f t="shared" si="288"/>
        <v>15.537799804006914</v>
      </c>
      <c r="BA71" s="460">
        <f t="shared" si="216"/>
        <v>4.6393558692081145</v>
      </c>
      <c r="BB71" s="5">
        <f t="shared" si="217"/>
        <v>0.6692287895336535</v>
      </c>
      <c r="BC71" s="5"/>
      <c r="BD71" s="173">
        <f t="shared" si="289"/>
        <v>0.83310139258542948</v>
      </c>
      <c r="BE71" s="173">
        <f t="shared" si="218"/>
        <v>1.0341741047674839</v>
      </c>
      <c r="BF71" s="173"/>
      <c r="BG71" s="528">
        <f t="shared" si="219"/>
        <v>1.3881158606555637E-2</v>
      </c>
      <c r="BH71" s="528">
        <f t="shared" si="220"/>
        <v>0.60121018480048072</v>
      </c>
      <c r="BI71" s="528">
        <f t="shared" si="221"/>
        <v>0.20434572613408522</v>
      </c>
      <c r="BJ71" s="528">
        <f t="shared" si="222"/>
        <v>5.6923387654989471E-2</v>
      </c>
      <c r="BK71">
        <f t="shared" si="223"/>
        <v>1.0774413342515596E-2</v>
      </c>
      <c r="BL71" s="460">
        <f t="shared" si="290"/>
        <v>215.1201394766008</v>
      </c>
      <c r="BM71" s="528">
        <f t="shared" si="224"/>
        <v>0.67799879461742141</v>
      </c>
      <c r="BN71" s="460">
        <f t="shared" si="291"/>
        <v>677.99879461742137</v>
      </c>
      <c r="BO71" s="528">
        <f t="shared" si="225"/>
        <v>0.41002499999999997</v>
      </c>
      <c r="BP71" s="528"/>
      <c r="BR71" s="460">
        <f t="shared" si="292"/>
        <v>410.02499999999998</v>
      </c>
      <c r="BS71" s="528">
        <f t="shared" si="226"/>
        <v>2.0821737909833455E-2</v>
      </c>
      <c r="BT71" s="528">
        <f t="shared" si="227"/>
        <v>3.2085482369148807E-2</v>
      </c>
      <c r="BU71" s="528">
        <f t="shared" si="228"/>
        <v>0.16236</v>
      </c>
      <c r="BV71" s="528">
        <f t="shared" si="229"/>
        <v>0.22893393379109153</v>
      </c>
      <c r="BW71" s="528">
        <f t="shared" si="230"/>
        <v>9.0308656274443299E-3</v>
      </c>
      <c r="BX71" s="460">
        <f t="shared" si="293"/>
        <v>237.96479941853585</v>
      </c>
      <c r="BY71" s="173">
        <f t="shared" si="231"/>
        <v>1.5411087335125582</v>
      </c>
      <c r="BZ71" s="5">
        <f t="shared" si="294"/>
        <v>10.824</v>
      </c>
      <c r="CA71" s="173">
        <f t="shared" si="295"/>
        <v>0.87536634196060359</v>
      </c>
      <c r="CB71" s="5">
        <f t="shared" si="296"/>
        <v>87.536634196060362</v>
      </c>
      <c r="CE71" s="562">
        <f t="shared" si="232"/>
        <v>-50</v>
      </c>
      <c r="CF71">
        <f t="shared" si="233"/>
        <v>-50</v>
      </c>
      <c r="CG71" s="173">
        <f t="shared" si="234"/>
        <v>0.58038061474233804</v>
      </c>
      <c r="CI71" s="170">
        <v>66</v>
      </c>
      <c r="CJ71" s="217">
        <f t="shared" si="297"/>
        <v>0.66</v>
      </c>
      <c r="CK71" s="217"/>
      <c r="CL71" s="217">
        <f t="shared" si="235"/>
        <v>10.824</v>
      </c>
      <c r="CM71" s="541">
        <f t="shared" si="236"/>
        <v>24</v>
      </c>
      <c r="CN71" s="172">
        <f t="shared" si="237"/>
        <v>16.799999999999997</v>
      </c>
      <c r="CO71" s="443">
        <f t="shared" si="238"/>
        <v>40.799999999999997</v>
      </c>
      <c r="CP71" s="443"/>
      <c r="CQ71" s="217">
        <f t="shared" si="239"/>
        <v>0.41176470588235292</v>
      </c>
      <c r="CR71" s="172">
        <f t="shared" si="240"/>
        <v>33.237647058823534</v>
      </c>
      <c r="CS71" s="172">
        <f t="shared" si="298"/>
        <v>10.824</v>
      </c>
      <c r="CT71" s="217">
        <f t="shared" si="241"/>
        <v>2.026685796269728</v>
      </c>
      <c r="CU71" s="217">
        <f t="shared" si="242"/>
        <v>16.399999999999999</v>
      </c>
      <c r="CV71" s="217">
        <f t="shared" si="243"/>
        <v>2.0086083213773311</v>
      </c>
      <c r="CW71" s="172">
        <f t="shared" si="244"/>
        <v>97.310370762553561</v>
      </c>
      <c r="CX71" s="172">
        <f t="shared" si="245"/>
        <v>16.399999999999999</v>
      </c>
      <c r="CY71" s="217">
        <f t="shared" si="246"/>
        <v>2.1905714285714284</v>
      </c>
      <c r="CZ71" s="217">
        <f t="shared" si="247"/>
        <v>1.0952857142857142</v>
      </c>
      <c r="DA71" s="217">
        <f t="shared" si="248"/>
        <v>1.5646938775510204</v>
      </c>
      <c r="DB71" s="197">
        <f t="shared" si="249"/>
        <v>350</v>
      </c>
      <c r="DC71" s="443">
        <f t="shared" si="299"/>
        <v>350</v>
      </c>
      <c r="DE71" s="217">
        <f t="shared" si="250"/>
        <v>2.3529411764705879</v>
      </c>
      <c r="DF71" s="173">
        <f t="shared" si="251"/>
        <v>1.6806722689075633</v>
      </c>
      <c r="DG71" s="173">
        <f t="shared" si="252"/>
        <v>0.69204152249134954</v>
      </c>
      <c r="DH71" s="173"/>
      <c r="DI71" s="173">
        <f t="shared" si="253"/>
        <v>0.95238095238095266</v>
      </c>
      <c r="DJ71" s="545">
        <f t="shared" si="300"/>
        <v>1039.4999999999995</v>
      </c>
      <c r="DK71" s="528">
        <f t="shared" si="254"/>
        <v>0.22222222222222232</v>
      </c>
      <c r="DM71" s="173">
        <f t="shared" si="255"/>
        <v>2.2978250586152114</v>
      </c>
      <c r="DN71" s="173">
        <f t="shared" si="256"/>
        <v>2.2978250586152114</v>
      </c>
      <c r="DO71" s="173">
        <f t="shared" si="257"/>
        <v>1.9144383150236133</v>
      </c>
      <c r="DQ71" s="545">
        <f t="shared" si="258"/>
        <v>660</v>
      </c>
      <c r="DR71" s="460">
        <f t="shared" si="259"/>
        <v>350</v>
      </c>
      <c r="DT71">
        <f t="shared" si="260"/>
        <v>660</v>
      </c>
      <c r="DU71">
        <f t="shared" si="261"/>
        <v>350</v>
      </c>
      <c r="DW71" s="5">
        <f t="shared" si="301"/>
        <v>2.8571428571428572</v>
      </c>
      <c r="DX71" s="5">
        <f t="shared" si="262"/>
        <v>1.1489125293076057</v>
      </c>
      <c r="DY71" s="5">
        <f t="shared" si="302"/>
        <v>1.7082303278352515</v>
      </c>
      <c r="DZ71" s="5">
        <f t="shared" si="263"/>
        <v>1.6413036132965799</v>
      </c>
      <c r="EA71" s="173">
        <f t="shared" si="303"/>
        <v>0.402119385257662</v>
      </c>
      <c r="EB71" s="173">
        <f t="shared" si="264"/>
        <v>11.087999999999999</v>
      </c>
      <c r="EC71" s="173">
        <f t="shared" si="265"/>
        <v>0.68691252930760571</v>
      </c>
      <c r="ED71" s="173">
        <f t="shared" si="304"/>
        <v>16.141793207901571</v>
      </c>
      <c r="EE71" s="460">
        <f t="shared" si="266"/>
        <v>4.6236723740428038</v>
      </c>
      <c r="EF71" s="5">
        <f t="shared" si="267"/>
        <v>0.6420098982114153</v>
      </c>
      <c r="EG71" s="5"/>
      <c r="EH71" s="173">
        <f t="shared" si="305"/>
        <v>0.84126697192596667</v>
      </c>
      <c r="EI71" s="173">
        <f t="shared" si="268"/>
        <v>1.0258020676263597</v>
      </c>
      <c r="EJ71" s="173"/>
      <c r="EK71" s="528">
        <f t="shared" si="269"/>
        <v>1.4154602361069704E-2</v>
      </c>
      <c r="EL71" s="528">
        <f t="shared" si="270"/>
        <v>0.65625883674050434</v>
      </c>
      <c r="EM71" s="528">
        <f t="shared" si="271"/>
        <v>4.3749999999999997E-2</v>
      </c>
      <c r="EN71" s="528">
        <f t="shared" si="272"/>
        <v>5.8262399999999999E-2</v>
      </c>
      <c r="EO71">
        <f t="shared" si="273"/>
        <v>1.0800000000000001E-2</v>
      </c>
      <c r="EP71" s="460">
        <f t="shared" si="306"/>
        <v>54.550000000000004</v>
      </c>
      <c r="EQ71" s="528">
        <f t="shared" si="274"/>
        <v>0.78970345991675084</v>
      </c>
      <c r="ER71" s="460">
        <f t="shared" si="307"/>
        <v>789.70345991675083</v>
      </c>
      <c r="ES71" s="528">
        <f t="shared" si="308"/>
        <v>0.41002499999999997</v>
      </c>
      <c r="ET71" s="528"/>
      <c r="EV71" s="460">
        <f t="shared" si="309"/>
        <v>410.02499999999998</v>
      </c>
      <c r="EW71" s="528">
        <f t="shared" si="275"/>
        <v>2.1231903541604556E-2</v>
      </c>
      <c r="EX71" s="528">
        <f t="shared" si="276"/>
        <v>3.1568096458395437E-2</v>
      </c>
      <c r="EY71" s="528">
        <f t="shared" si="277"/>
        <v>0.91713341813281113</v>
      </c>
      <c r="EZ71" s="528">
        <f t="shared" si="278"/>
        <v>0.98677354960634833</v>
      </c>
      <c r="FA71" s="528">
        <f t="shared" si="279"/>
        <v>9.2399999999999999E-3</v>
      </c>
      <c r="FB71" s="460">
        <f t="shared" si="310"/>
        <v>996.01354960634831</v>
      </c>
      <c r="FC71" s="173">
        <f t="shared" si="311"/>
        <v>2.1957420095230993</v>
      </c>
      <c r="FD71" s="5">
        <f t="shared" si="312"/>
        <v>10.824</v>
      </c>
      <c r="FE71" s="173">
        <f t="shared" si="313"/>
        <v>0.83135287873468944</v>
      </c>
      <c r="FF71" s="5">
        <f t="shared" si="314"/>
        <v>83.13528787346894</v>
      </c>
      <c r="FI71" s="562">
        <f t="shared" si="280"/>
        <v>-50</v>
      </c>
      <c r="FJ71">
        <f t="shared" si="281"/>
        <v>-50</v>
      </c>
      <c r="FL71">
        <f t="shared" si="282"/>
        <v>0.57445626465380295</v>
      </c>
    </row>
    <row r="72" spans="5:168">
      <c r="E72" s="170">
        <v>67</v>
      </c>
      <c r="F72" s="217">
        <f t="shared" si="283"/>
        <v>0.67</v>
      </c>
      <c r="G72" s="217"/>
      <c r="H72" s="217">
        <f t="shared" si="183"/>
        <v>10.988</v>
      </c>
      <c r="I72" s="541">
        <f t="shared" si="184"/>
        <v>23.941975839583701</v>
      </c>
      <c r="J72" s="172">
        <f t="shared" si="185"/>
        <v>16.834814496249777</v>
      </c>
      <c r="K72" s="172">
        <f t="shared" si="186"/>
        <v>40.834814496249777</v>
      </c>
      <c r="L72" s="443"/>
      <c r="M72" s="217">
        <f t="shared" si="187"/>
        <v>0.41285160710736535</v>
      </c>
      <c r="N72" s="172">
        <f t="shared" si="188"/>
        <v>33.244811838407081</v>
      </c>
      <c r="O72" s="172">
        <f t="shared" si="284"/>
        <v>10.988</v>
      </c>
      <c r="P72" s="217">
        <f t="shared" si="189"/>
        <v>2.0271226730736025</v>
      </c>
      <c r="Q72" s="217">
        <f t="shared" si="190"/>
        <v>16.399999999999999</v>
      </c>
      <c r="R72" s="217">
        <f t="shared" si="191"/>
        <v>2.0090413013613508</v>
      </c>
      <c r="S72" s="172">
        <f t="shared" si="192"/>
        <v>95.272431610275603</v>
      </c>
      <c r="T72" s="172">
        <f t="shared" si="193"/>
        <v>16.399999999999999</v>
      </c>
      <c r="U72" s="217">
        <f t="shared" si="194"/>
        <v>2.2822169254323939</v>
      </c>
      <c r="V72" s="217">
        <f t="shared" si="195"/>
        <v>1.1438739763453423</v>
      </c>
      <c r="W72" s="217">
        <f t="shared" si="196"/>
        <v>1.6267837766367743</v>
      </c>
      <c r="X72" s="197">
        <f t="shared" si="197"/>
        <v>350</v>
      </c>
      <c r="Y72" s="443">
        <f t="shared" si="198"/>
        <v>336.62578565172737</v>
      </c>
      <c r="AA72" s="217">
        <f t="shared" si="199"/>
        <v>2.353455521502581</v>
      </c>
      <c r="AB72" s="173">
        <f t="shared" si="200"/>
        <v>1.6775632582302709</v>
      </c>
      <c r="AC72" s="173">
        <f t="shared" si="201"/>
        <v>0.69091233973158095</v>
      </c>
      <c r="AD72" s="173"/>
      <c r="AE72" s="173">
        <f t="shared" si="202"/>
        <v>0.9504114229214855</v>
      </c>
      <c r="AF72" s="545">
        <f t="shared" si="203"/>
        <v>1057.4367855456887</v>
      </c>
      <c r="AG72" s="528">
        <f t="shared" si="204"/>
        <v>0.22176266534834665</v>
      </c>
      <c r="AI72" s="173">
        <f t="shared" si="205"/>
        <v>2.3175649898410255</v>
      </c>
      <c r="AJ72" s="173">
        <f t="shared" si="206"/>
        <v>2.3175649898410255</v>
      </c>
      <c r="AK72" s="173">
        <f t="shared" si="207"/>
        <v>1.929060486301994</v>
      </c>
      <c r="AM72" s="545">
        <f t="shared" si="208"/>
        <v>670</v>
      </c>
      <c r="AN72" s="460">
        <f t="shared" si="209"/>
        <v>336.62578565172737</v>
      </c>
      <c r="AP72">
        <f t="shared" si="210"/>
        <v>670</v>
      </c>
      <c r="AQ72">
        <f t="shared" si="211"/>
        <v>336.62578565172737</v>
      </c>
      <c r="AS72" s="5">
        <f t="shared" si="285"/>
        <v>2.9706577529821168</v>
      </c>
      <c r="AT72" s="5">
        <f t="shared" si="212"/>
        <v>1.1615908421439571</v>
      </c>
      <c r="AU72" s="5">
        <f t="shared" si="286"/>
        <v>1.8090669108381596</v>
      </c>
      <c r="AV72" s="5">
        <f t="shared" si="213"/>
        <v>1.6519801797808704</v>
      </c>
      <c r="AW72" s="173">
        <f t="shared" si="287"/>
        <v>0.39102142984256116</v>
      </c>
      <c r="AX72" s="173">
        <f t="shared" si="214"/>
        <v>10.848319655965097</v>
      </c>
      <c r="AY72" s="173">
        <f t="shared" si="215"/>
        <v>0.70567370688016351</v>
      </c>
      <c r="AZ72" s="173">
        <f t="shared" si="288"/>
        <v>15.372996825864936</v>
      </c>
      <c r="BA72" s="460">
        <f t="shared" si="216"/>
        <v>4.7455235624173868</v>
      </c>
      <c r="BB72" s="5">
        <f t="shared" si="217"/>
        <v>0.69188202307238822</v>
      </c>
      <c r="BC72" s="5"/>
      <c r="BD72" s="173">
        <f t="shared" si="289"/>
        <v>0.83670347744451323</v>
      </c>
      <c r="BE72" s="173">
        <f t="shared" si="218"/>
        <v>1.0441726157798512</v>
      </c>
      <c r="BF72" s="173"/>
      <c r="BG72" s="528">
        <f t="shared" si="219"/>
        <v>1.4001454183354823E-2</v>
      </c>
      <c r="BH72" s="528">
        <f t="shared" si="220"/>
        <v>0.5973256449781128</v>
      </c>
      <c r="BI72" s="528">
        <f t="shared" si="221"/>
        <v>0.20148716067636344</v>
      </c>
      <c r="BJ72" s="528">
        <f t="shared" si="222"/>
        <v>5.6131746353790403E-2</v>
      </c>
      <c r="BK72">
        <f t="shared" si="223"/>
        <v>1.0773889127812665E-2</v>
      </c>
      <c r="BL72" s="460">
        <f t="shared" si="290"/>
        <v>212.26104980417608</v>
      </c>
      <c r="BM72" s="528">
        <f t="shared" si="224"/>
        <v>0.67347973382802262</v>
      </c>
      <c r="BN72" s="460">
        <f t="shared" si="291"/>
        <v>673.47973382802263</v>
      </c>
      <c r="BO72" s="528">
        <f t="shared" si="225"/>
        <v>0.41623749999999993</v>
      </c>
      <c r="BP72" s="528"/>
      <c r="BR72" s="460">
        <f t="shared" si="292"/>
        <v>416.23749999999995</v>
      </c>
      <c r="BS72" s="528">
        <f t="shared" si="226"/>
        <v>2.1002181275032231E-2</v>
      </c>
      <c r="BT72" s="528">
        <f t="shared" si="227"/>
        <v>3.2708893546336104E-2</v>
      </c>
      <c r="BU72" s="528">
        <f t="shared" si="228"/>
        <v>0.16481999999999999</v>
      </c>
      <c r="BV72" s="528">
        <f t="shared" si="229"/>
        <v>0.23242041681028158</v>
      </c>
      <c r="BW72" s="528">
        <f t="shared" si="230"/>
        <v>9.040266379970914E-3</v>
      </c>
      <c r="BX72" s="460">
        <f t="shared" si="293"/>
        <v>241.4606831902525</v>
      </c>
      <c r="BY72" s="173">
        <f t="shared" si="231"/>
        <v>1.5434389668224513</v>
      </c>
      <c r="BZ72" s="5">
        <f t="shared" si="294"/>
        <v>10.988</v>
      </c>
      <c r="CA72" s="173">
        <f t="shared" si="295"/>
        <v>0.87683465794241378</v>
      </c>
      <c r="CB72" s="5">
        <f t="shared" si="296"/>
        <v>87.683465794241371</v>
      </c>
      <c r="CE72" s="562">
        <f t="shared" si="232"/>
        <v>-50</v>
      </c>
      <c r="CF72">
        <f t="shared" si="233"/>
        <v>-50</v>
      </c>
      <c r="CG72" s="173">
        <f t="shared" si="234"/>
        <v>0.57734570840234223</v>
      </c>
      <c r="CI72" s="170">
        <v>67</v>
      </c>
      <c r="CJ72" s="217">
        <f t="shared" si="297"/>
        <v>0.67</v>
      </c>
      <c r="CK72" s="217"/>
      <c r="CL72" s="217">
        <f t="shared" si="235"/>
        <v>10.988</v>
      </c>
      <c r="CM72" s="541">
        <f t="shared" si="236"/>
        <v>24</v>
      </c>
      <c r="CN72" s="172">
        <f t="shared" si="237"/>
        <v>16.799999999999997</v>
      </c>
      <c r="CO72" s="443">
        <f t="shared" si="238"/>
        <v>40.799999999999997</v>
      </c>
      <c r="CP72" s="443"/>
      <c r="CQ72" s="217">
        <f t="shared" si="239"/>
        <v>0.41176470588235292</v>
      </c>
      <c r="CR72" s="172">
        <f t="shared" si="240"/>
        <v>33.237647058823534</v>
      </c>
      <c r="CS72" s="172">
        <f t="shared" si="298"/>
        <v>10.988</v>
      </c>
      <c r="CT72" s="217">
        <f t="shared" si="241"/>
        <v>2.026685796269728</v>
      </c>
      <c r="CU72" s="217">
        <f t="shared" si="242"/>
        <v>16.399999999999999</v>
      </c>
      <c r="CV72" s="217">
        <f t="shared" si="243"/>
        <v>2.0086083213773311</v>
      </c>
      <c r="CW72" s="172">
        <f t="shared" si="244"/>
        <v>95.503086128592201</v>
      </c>
      <c r="CX72" s="172">
        <f t="shared" si="245"/>
        <v>16.399999999999999</v>
      </c>
      <c r="CY72" s="217">
        <f t="shared" si="246"/>
        <v>2.2237619047619046</v>
      </c>
      <c r="CZ72" s="217">
        <f t="shared" si="247"/>
        <v>1.1118809523809523</v>
      </c>
      <c r="DA72" s="217">
        <f t="shared" si="248"/>
        <v>1.5884013605442178</v>
      </c>
      <c r="DB72" s="197">
        <f t="shared" si="249"/>
        <v>350</v>
      </c>
      <c r="DC72" s="443">
        <f t="shared" si="299"/>
        <v>350</v>
      </c>
      <c r="DE72" s="217">
        <f t="shared" si="250"/>
        <v>2.3529411764705879</v>
      </c>
      <c r="DF72" s="173">
        <f t="shared" si="251"/>
        <v>1.6806722689075633</v>
      </c>
      <c r="DG72" s="173">
        <f t="shared" si="252"/>
        <v>0.69204152249134954</v>
      </c>
      <c r="DH72" s="173"/>
      <c r="DI72" s="173">
        <f t="shared" si="253"/>
        <v>0.95238095238095266</v>
      </c>
      <c r="DJ72" s="545">
        <f t="shared" si="300"/>
        <v>1055.2499999999995</v>
      </c>
      <c r="DK72" s="528">
        <f t="shared" si="254"/>
        <v>0.22222222222222232</v>
      </c>
      <c r="DM72" s="173">
        <f t="shared" si="255"/>
        <v>2.3151673805580448</v>
      </c>
      <c r="DN72" s="173">
        <f t="shared" si="256"/>
        <v>2.3151673805580448</v>
      </c>
      <c r="DO72" s="173">
        <f t="shared" si="257"/>
        <v>1.927284479425712</v>
      </c>
      <c r="DQ72" s="545">
        <f t="shared" si="258"/>
        <v>670</v>
      </c>
      <c r="DR72" s="460">
        <f t="shared" si="259"/>
        <v>350</v>
      </c>
      <c r="DT72">
        <f t="shared" si="260"/>
        <v>670</v>
      </c>
      <c r="DU72">
        <f t="shared" si="261"/>
        <v>350</v>
      </c>
      <c r="DW72" s="5">
        <f t="shared" si="301"/>
        <v>2.8571428571428572</v>
      </c>
      <c r="DX72" s="5">
        <f t="shared" si="262"/>
        <v>1.1575836902790224</v>
      </c>
      <c r="DY72" s="5">
        <f t="shared" si="302"/>
        <v>1.6995591668638348</v>
      </c>
      <c r="DZ72" s="5">
        <f t="shared" si="263"/>
        <v>1.6536909861128894</v>
      </c>
      <c r="EA72" s="173">
        <f t="shared" si="303"/>
        <v>0.40515429159765781</v>
      </c>
      <c r="EB72" s="173">
        <f t="shared" si="264"/>
        <v>11.255999999999997</v>
      </c>
      <c r="EC72" s="173">
        <f t="shared" si="265"/>
        <v>0.68858369027902255</v>
      </c>
      <c r="ED72" s="173">
        <f t="shared" si="304"/>
        <v>16.346596875448686</v>
      </c>
      <c r="EE72" s="460">
        <f t="shared" si="266"/>
        <v>4.7291528810179582</v>
      </c>
      <c r="EF72" s="5">
        <f t="shared" si="267"/>
        <v>0.64842903213541014</v>
      </c>
      <c r="EG72" s="5"/>
      <c r="EH72" s="173">
        <f t="shared" si="305"/>
        <v>0.85080883143893249</v>
      </c>
      <c r="EI72" s="173">
        <f t="shared" si="268"/>
        <v>1.0309175519953981</v>
      </c>
      <c r="EJ72" s="173"/>
      <c r="EK72" s="528">
        <f t="shared" si="269"/>
        <v>1.4477513353089638E-2</v>
      </c>
      <c r="EL72" s="528">
        <f t="shared" si="270"/>
        <v>0.66121180388737766</v>
      </c>
      <c r="EM72" s="528">
        <f t="shared" si="271"/>
        <v>4.3749999999999997E-2</v>
      </c>
      <c r="EN72" s="528">
        <f t="shared" si="272"/>
        <v>5.8262399999999999E-2</v>
      </c>
      <c r="EO72">
        <f t="shared" si="273"/>
        <v>1.0800000000000001E-2</v>
      </c>
      <c r="EP72" s="460">
        <f t="shared" si="306"/>
        <v>54.550000000000004</v>
      </c>
      <c r="EQ72" s="528">
        <f t="shared" si="274"/>
        <v>0.79514583394603866</v>
      </c>
      <c r="ER72" s="460">
        <f t="shared" si="307"/>
        <v>795.14583394603869</v>
      </c>
      <c r="ES72" s="528">
        <f t="shared" si="308"/>
        <v>0.41623749999999993</v>
      </c>
      <c r="ET72" s="528"/>
      <c r="EV72" s="460">
        <f t="shared" si="309"/>
        <v>416.23749999999995</v>
      </c>
      <c r="EW72" s="528">
        <f t="shared" si="275"/>
        <v>2.1716270029634454E-2</v>
      </c>
      <c r="EX72" s="528">
        <f t="shared" si="276"/>
        <v>3.1883729970365531E-2</v>
      </c>
      <c r="EY72" s="528">
        <f t="shared" si="277"/>
        <v>0.93453614307542887</v>
      </c>
      <c r="EZ72" s="528">
        <f t="shared" si="278"/>
        <v>1.0053109162844567</v>
      </c>
      <c r="FA72" s="528">
        <f t="shared" si="279"/>
        <v>9.379999999999996E-3</v>
      </c>
      <c r="FB72" s="460">
        <f t="shared" si="310"/>
        <v>1014.6909162844566</v>
      </c>
      <c r="FC72" s="173">
        <f t="shared" si="311"/>
        <v>2.2260742502304955</v>
      </c>
      <c r="FD72" s="5">
        <f t="shared" si="312"/>
        <v>10.988</v>
      </c>
      <c r="FE72" s="173">
        <f t="shared" si="313"/>
        <v>0.83153763115931734</v>
      </c>
      <c r="FF72" s="5">
        <f t="shared" si="314"/>
        <v>83.153763115931739</v>
      </c>
      <c r="FI72" s="562">
        <f t="shared" si="280"/>
        <v>-50</v>
      </c>
      <c r="FJ72">
        <f t="shared" si="281"/>
        <v>-50</v>
      </c>
      <c r="FL72">
        <f t="shared" si="282"/>
        <v>0.57879184513951132</v>
      </c>
    </row>
    <row r="73" spans="5:168">
      <c r="E73" s="170">
        <v>68</v>
      </c>
      <c r="F73" s="217">
        <f t="shared" si="283"/>
        <v>0.68</v>
      </c>
      <c r="G73" s="217"/>
      <c r="H73" s="217">
        <f t="shared" si="183"/>
        <v>11.151999999999999</v>
      </c>
      <c r="I73" s="541">
        <f t="shared" si="184"/>
        <v>23.940800932120247</v>
      </c>
      <c r="J73" s="172">
        <f t="shared" si="185"/>
        <v>16.835519440727847</v>
      </c>
      <c r="K73" s="172">
        <f t="shared" si="186"/>
        <v>40.83551944072785</v>
      </c>
      <c r="L73" s="443"/>
      <c r="M73" s="217">
        <f t="shared" si="187"/>
        <v>0.41286722089657385</v>
      </c>
      <c r="N73" s="172">
        <f t="shared" si="188"/>
        <v>33.244437648015115</v>
      </c>
      <c r="O73" s="172">
        <f t="shared" si="284"/>
        <v>11.151999999999999</v>
      </c>
      <c r="P73" s="217">
        <f t="shared" si="189"/>
        <v>2.0270998565862879</v>
      </c>
      <c r="Q73" s="217">
        <f t="shared" si="190"/>
        <v>16.399999999999999</v>
      </c>
      <c r="R73" s="217">
        <f t="shared" si="191"/>
        <v>2.0090186883907712</v>
      </c>
      <c r="S73" s="172">
        <f t="shared" si="192"/>
        <v>93.518031045063893</v>
      </c>
      <c r="T73" s="172">
        <f t="shared" si="193"/>
        <v>16.399999999999999</v>
      </c>
      <c r="U73" s="217">
        <f t="shared" si="194"/>
        <v>2.316341462108062</v>
      </c>
      <c r="V73" s="217">
        <f t="shared" si="195"/>
        <v>1.1610345712370895</v>
      </c>
      <c r="W73" s="217">
        <f t="shared" si="196"/>
        <v>1.6510389027886772</v>
      </c>
      <c r="X73" s="197">
        <f t="shared" si="197"/>
        <v>350</v>
      </c>
      <c r="Y73" s="443">
        <f t="shared" si="198"/>
        <v>331.99721342237262</v>
      </c>
      <c r="AA73" s="217">
        <f t="shared" si="199"/>
        <v>2.3534656986367386</v>
      </c>
      <c r="AB73" s="173">
        <f t="shared" si="200"/>
        <v>1.6775002685880835</v>
      </c>
      <c r="AC73" s="173">
        <f t="shared" si="201"/>
        <v>0.69088938477579487</v>
      </c>
      <c r="AD73" s="173"/>
      <c r="AE73" s="173">
        <f t="shared" si="202"/>
        <v>0.95037162686488985</v>
      </c>
      <c r="AF73" s="545">
        <f t="shared" si="203"/>
        <v>1073.2643643463998</v>
      </c>
      <c r="AG73" s="528">
        <f t="shared" si="204"/>
        <v>0.22175337960180766</v>
      </c>
      <c r="AI73" s="173">
        <f t="shared" si="205"/>
        <v>2.3348450769136839</v>
      </c>
      <c r="AJ73" s="173">
        <f t="shared" si="206"/>
        <v>2.3348450769136839</v>
      </c>
      <c r="AK73" s="173">
        <f t="shared" si="207"/>
        <v>1.9418605508002595</v>
      </c>
      <c r="AM73" s="545">
        <f t="shared" si="208"/>
        <v>680</v>
      </c>
      <c r="AN73" s="460">
        <f t="shared" si="209"/>
        <v>331.99721342237262</v>
      </c>
      <c r="AP73">
        <f t="shared" si="210"/>
        <v>680</v>
      </c>
      <c r="AQ73">
        <f t="shared" si="211"/>
        <v>331.99721342237262</v>
      </c>
      <c r="AS73" s="5">
        <f t="shared" si="285"/>
        <v>3.0120734740257671</v>
      </c>
      <c r="AT73" s="5">
        <f t="shared" si="212"/>
        <v>1.1703092558350285</v>
      </c>
      <c r="AU73" s="5">
        <f t="shared" si="286"/>
        <v>1.8417642181907385</v>
      </c>
      <c r="AV73" s="5">
        <f t="shared" si="213"/>
        <v>1.6642278856679522</v>
      </c>
      <c r="AW73" s="173">
        <f t="shared" si="287"/>
        <v>0.38853941177964008</v>
      </c>
      <c r="AX73" s="173">
        <f t="shared" si="214"/>
        <v>10.85929990791738</v>
      </c>
      <c r="AY73" s="173">
        <f t="shared" si="215"/>
        <v>0.71383287206652624</v>
      </c>
      <c r="AZ73" s="173">
        <f t="shared" si="288"/>
        <v>15.212664382462536</v>
      </c>
      <c r="BA73" s="460">
        <f t="shared" si="216"/>
        <v>4.8525017924867049</v>
      </c>
      <c r="BB73" s="5">
        <f t="shared" si="217"/>
        <v>0.71493551320953053</v>
      </c>
      <c r="BC73" s="5"/>
      <c r="BD73" s="173">
        <f t="shared" si="289"/>
        <v>0.84026249847308587</v>
      </c>
      <c r="BE73" s="173">
        <f t="shared" si="218"/>
        <v>1.0540996686220534</v>
      </c>
      <c r="BF73" s="173"/>
      <c r="BG73" s="528">
        <f t="shared" si="219"/>
        <v>1.4120821326804653E-2</v>
      </c>
      <c r="BH73" s="528">
        <f t="shared" si="220"/>
        <v>0.59351522517371713</v>
      </c>
      <c r="BI73" s="528">
        <f t="shared" si="221"/>
        <v>0.19870697991409153</v>
      </c>
      <c r="BJ73" s="528">
        <f t="shared" si="222"/>
        <v>5.5361851640535281E-2</v>
      </c>
      <c r="BK73">
        <f t="shared" si="223"/>
        <v>1.0773360419454111E-2</v>
      </c>
      <c r="BL73" s="460">
        <f t="shared" si="290"/>
        <v>209.48034033354566</v>
      </c>
      <c r="BM73" s="528">
        <f t="shared" si="224"/>
        <v>0.66905527202436776</v>
      </c>
      <c r="BN73" s="460">
        <f t="shared" si="291"/>
        <v>669.05527202436781</v>
      </c>
      <c r="BO73" s="528">
        <f t="shared" si="225"/>
        <v>0.42244999999999994</v>
      </c>
      <c r="BP73" s="528"/>
      <c r="BR73" s="460">
        <f t="shared" si="292"/>
        <v>422.44999999999993</v>
      </c>
      <c r="BS73" s="528">
        <f t="shared" si="226"/>
        <v>2.1181231990206981E-2</v>
      </c>
      <c r="BT73" s="528">
        <f t="shared" si="227"/>
        <v>3.3333783341673688E-2</v>
      </c>
      <c r="BU73" s="528">
        <f t="shared" si="228"/>
        <v>0.16727999999999998</v>
      </c>
      <c r="BV73" s="528">
        <f t="shared" si="229"/>
        <v>0.23590745891068571</v>
      </c>
      <c r="BW73" s="528">
        <f t="shared" si="230"/>
        <v>9.0494165899311502E-3</v>
      </c>
      <c r="BX73" s="460">
        <f t="shared" si="293"/>
        <v>244.95687550061683</v>
      </c>
      <c r="BY73" s="173">
        <f t="shared" si="231"/>
        <v>1.5459424878585302</v>
      </c>
      <c r="BZ73" s="5">
        <f t="shared" si="294"/>
        <v>11.151999999999999</v>
      </c>
      <c r="CA73" s="173">
        <f t="shared" si="295"/>
        <v>0.87825252088385786</v>
      </c>
      <c r="CB73" s="5">
        <f t="shared" si="296"/>
        <v>87.825252088385781</v>
      </c>
      <c r="CE73" s="562">
        <f t="shared" si="232"/>
        <v>-50</v>
      </c>
      <c r="CF73">
        <f t="shared" si="233"/>
        <v>-50</v>
      </c>
      <c r="CG73" s="173">
        <f t="shared" si="234"/>
        <v>0.57433336736082896</v>
      </c>
      <c r="CI73" s="170">
        <v>68</v>
      </c>
      <c r="CJ73" s="217">
        <f t="shared" si="297"/>
        <v>0.68</v>
      </c>
      <c r="CK73" s="217"/>
      <c r="CL73" s="217">
        <f t="shared" si="235"/>
        <v>11.151999999999999</v>
      </c>
      <c r="CM73" s="541">
        <f t="shared" si="236"/>
        <v>24</v>
      </c>
      <c r="CN73" s="172">
        <f t="shared" si="237"/>
        <v>16.799999999999997</v>
      </c>
      <c r="CO73" s="443">
        <f t="shared" si="238"/>
        <v>40.799999999999997</v>
      </c>
      <c r="CP73" s="443"/>
      <c r="CQ73" s="217">
        <f t="shared" si="239"/>
        <v>0.41176470588235292</v>
      </c>
      <c r="CR73" s="172">
        <f t="shared" si="240"/>
        <v>33.237647058823534</v>
      </c>
      <c r="CS73" s="172">
        <f t="shared" si="298"/>
        <v>11.151999999999999</v>
      </c>
      <c r="CT73" s="217">
        <f t="shared" si="241"/>
        <v>2.026685796269728</v>
      </c>
      <c r="CU73" s="217">
        <f t="shared" si="242"/>
        <v>16.399999999999999</v>
      </c>
      <c r="CV73" s="217">
        <f t="shared" si="243"/>
        <v>2.0086083213773311</v>
      </c>
      <c r="CW73" s="172">
        <f t="shared" si="244"/>
        <v>93.749024829204089</v>
      </c>
      <c r="CX73" s="172">
        <f t="shared" si="245"/>
        <v>16.399999999999999</v>
      </c>
      <c r="CY73" s="217">
        <f t="shared" si="246"/>
        <v>2.2569523809523808</v>
      </c>
      <c r="CZ73" s="217">
        <f t="shared" si="247"/>
        <v>1.1284761904761904</v>
      </c>
      <c r="DA73" s="217">
        <f t="shared" si="248"/>
        <v>1.6121088435374153</v>
      </c>
      <c r="DB73" s="197">
        <f t="shared" si="249"/>
        <v>350</v>
      </c>
      <c r="DC73" s="443">
        <f t="shared" si="299"/>
        <v>350</v>
      </c>
      <c r="DE73" s="217">
        <f t="shared" si="250"/>
        <v>2.3529411764705879</v>
      </c>
      <c r="DF73" s="173">
        <f t="shared" si="251"/>
        <v>1.6806722689075633</v>
      </c>
      <c r="DG73" s="173">
        <f t="shared" si="252"/>
        <v>0.69204152249134954</v>
      </c>
      <c r="DH73" s="173"/>
      <c r="DI73" s="173">
        <f t="shared" si="253"/>
        <v>0.95238095238095266</v>
      </c>
      <c r="DJ73" s="545">
        <f t="shared" si="300"/>
        <v>1070.9999999999995</v>
      </c>
      <c r="DK73" s="528">
        <f t="shared" si="254"/>
        <v>0.22222222222222232</v>
      </c>
      <c r="DM73" s="173">
        <f t="shared" si="255"/>
        <v>2.3323807579381199</v>
      </c>
      <c r="DN73" s="173">
        <f t="shared" si="256"/>
        <v>2.3323807579381199</v>
      </c>
      <c r="DO73" s="173">
        <f t="shared" si="257"/>
        <v>1.9400351293368789</v>
      </c>
      <c r="DQ73" s="545">
        <f t="shared" si="258"/>
        <v>680</v>
      </c>
      <c r="DR73" s="460">
        <f t="shared" si="259"/>
        <v>350</v>
      </c>
      <c r="DT73">
        <f t="shared" si="260"/>
        <v>680</v>
      </c>
      <c r="DU73">
        <f t="shared" si="261"/>
        <v>350</v>
      </c>
      <c r="DW73" s="5">
        <f t="shared" si="301"/>
        <v>2.8571428571428572</v>
      </c>
      <c r="DX73" s="5">
        <f t="shared" si="262"/>
        <v>1.1661903789690602</v>
      </c>
      <c r="DY73" s="5">
        <f t="shared" si="302"/>
        <v>1.690952478173797</v>
      </c>
      <c r="DZ73" s="5">
        <f t="shared" si="263"/>
        <v>1.6659862556700862</v>
      </c>
      <c r="EA73" s="173">
        <f t="shared" si="303"/>
        <v>0.40816663263917108</v>
      </c>
      <c r="EB73" s="173">
        <f t="shared" si="264"/>
        <v>11.423999999999996</v>
      </c>
      <c r="EC73" s="173">
        <f t="shared" si="265"/>
        <v>0.69019037896905999</v>
      </c>
      <c r="ED73" s="173">
        <f t="shared" si="304"/>
        <v>16.551954863619034</v>
      </c>
      <c r="EE73" s="460">
        <f t="shared" si="266"/>
        <v>4.8354235225546409</v>
      </c>
      <c r="EF73" s="5">
        <f t="shared" si="267"/>
        <v>0.65477437627063118</v>
      </c>
      <c r="EG73" s="5"/>
      <c r="EH73" s="173">
        <f t="shared" si="305"/>
        <v>0.86031515185949736</v>
      </c>
      <c r="EI73" s="173">
        <f t="shared" si="268"/>
        <v>1.0359494064935328</v>
      </c>
      <c r="EJ73" s="173"/>
      <c r="EK73" s="528">
        <f t="shared" si="269"/>
        <v>1.4802843210380601E-2</v>
      </c>
      <c r="EL73" s="528">
        <f t="shared" si="270"/>
        <v>0.66612794446712698</v>
      </c>
      <c r="EM73" s="528">
        <f t="shared" si="271"/>
        <v>4.3749999999999997E-2</v>
      </c>
      <c r="EN73" s="528">
        <f t="shared" si="272"/>
        <v>5.8262399999999999E-2</v>
      </c>
      <c r="EO73">
        <f t="shared" si="273"/>
        <v>1.0800000000000001E-2</v>
      </c>
      <c r="EP73" s="460">
        <f t="shared" si="306"/>
        <v>54.550000000000004</v>
      </c>
      <c r="EQ73" s="528">
        <f t="shared" si="274"/>
        <v>0.80055563403306096</v>
      </c>
      <c r="ER73" s="460">
        <f t="shared" si="307"/>
        <v>800.55563403306098</v>
      </c>
      <c r="ES73" s="528">
        <f t="shared" si="308"/>
        <v>0.42244999999999994</v>
      </c>
      <c r="ET73" s="528"/>
      <c r="EV73" s="460">
        <f t="shared" si="309"/>
        <v>422.44999999999993</v>
      </c>
      <c r="EW73" s="528">
        <f t="shared" si="275"/>
        <v>2.22042648155709E-2</v>
      </c>
      <c r="EX73" s="528">
        <f t="shared" si="276"/>
        <v>3.2195735184429086E-2</v>
      </c>
      <c r="EY73" s="528">
        <f t="shared" si="277"/>
        <v>0.95200392697570035</v>
      </c>
      <c r="EZ73" s="528">
        <f t="shared" si="278"/>
        <v>1.0239160094488216</v>
      </c>
      <c r="FA73" s="528">
        <f t="shared" si="279"/>
        <v>9.5199999999999972E-3</v>
      </c>
      <c r="FB73" s="460">
        <f t="shared" si="310"/>
        <v>1033.4360094488216</v>
      </c>
      <c r="FC73" s="173">
        <f t="shared" si="311"/>
        <v>2.2564416434818826</v>
      </c>
      <c r="FD73" s="5">
        <f t="shared" si="312"/>
        <v>11.151999999999999</v>
      </c>
      <c r="FE73" s="173">
        <f t="shared" si="313"/>
        <v>0.83171484774453375</v>
      </c>
      <c r="FF73" s="5">
        <f t="shared" si="314"/>
        <v>83.171484774453376</v>
      </c>
      <c r="FI73" s="562">
        <f t="shared" si="280"/>
        <v>-50</v>
      </c>
      <c r="FJ73">
        <f t="shared" si="281"/>
        <v>-50</v>
      </c>
      <c r="FL73">
        <f t="shared" si="282"/>
        <v>0.5830951894845301</v>
      </c>
    </row>
    <row r="74" spans="5:168">
      <c r="E74" s="170">
        <v>69</v>
      </c>
      <c r="F74" s="217">
        <f t="shared" si="283"/>
        <v>0.69</v>
      </c>
      <c r="G74" s="217"/>
      <c r="H74" s="217">
        <f t="shared" si="183"/>
        <v>11.315999999999999</v>
      </c>
      <c r="I74" s="541">
        <f t="shared" si="184"/>
        <v>23.939615967597994</v>
      </c>
      <c r="J74" s="172">
        <f t="shared" si="185"/>
        <v>16.8362304194412</v>
      </c>
      <c r="K74" s="172">
        <f t="shared" si="186"/>
        <v>40.8362304194412</v>
      </c>
      <c r="L74" s="443"/>
      <c r="M74" s="217">
        <f t="shared" si="187"/>
        <v>0.41288290998683091</v>
      </c>
      <c r="N74" s="172">
        <f t="shared" si="188"/>
        <v>33.244055431370278</v>
      </c>
      <c r="O74" s="172">
        <f t="shared" si="284"/>
        <v>11.315999999999999</v>
      </c>
      <c r="P74" s="217">
        <f t="shared" si="189"/>
        <v>2.0270765506933097</v>
      </c>
      <c r="Q74" s="217">
        <f t="shared" si="190"/>
        <v>16.399999999999999</v>
      </c>
      <c r="R74" s="217">
        <f t="shared" si="191"/>
        <v>2.0089955903798913</v>
      </c>
      <c r="S74" s="172">
        <f t="shared" si="192"/>
        <v>91.814545839028327</v>
      </c>
      <c r="T74" s="172">
        <f t="shared" si="193"/>
        <v>16.399999999999999</v>
      </c>
      <c r="U74" s="217">
        <f t="shared" si="194"/>
        <v>2.3504681152596771</v>
      </c>
      <c r="V74" s="217">
        <f t="shared" si="195"/>
        <v>1.1781984064110349</v>
      </c>
      <c r="W74" s="217">
        <f t="shared" si="196"/>
        <v>1.6752929058601158</v>
      </c>
      <c r="X74" s="197">
        <f t="shared" si="197"/>
        <v>350</v>
      </c>
      <c r="Y74" s="443">
        <f t="shared" si="198"/>
        <v>327.49397254915118</v>
      </c>
      <c r="AA74" s="217">
        <f t="shared" si="199"/>
        <v>2.353475953326496</v>
      </c>
      <c r="AB74" s="173">
        <f t="shared" si="200"/>
        <v>1.6774367382918784</v>
      </c>
      <c r="AC74" s="173">
        <f t="shared" si="201"/>
        <v>0.69086622968936406</v>
      </c>
      <c r="AD74" s="173"/>
      <c r="AE74" s="173">
        <f t="shared" si="202"/>
        <v>0.95033149353458701</v>
      </c>
      <c r="AF74" s="545">
        <f t="shared" si="203"/>
        <v>1089.0936552576024</v>
      </c>
      <c r="AG74" s="528">
        <f t="shared" si="204"/>
        <v>0.22174401515807032</v>
      </c>
      <c r="AI74" s="173">
        <f t="shared" si="205"/>
        <v>2.3520000596669925</v>
      </c>
      <c r="AJ74" s="173">
        <f t="shared" si="206"/>
        <v>2.3520000596669925</v>
      </c>
      <c r="AK74" s="173">
        <f t="shared" si="207"/>
        <v>1.9545679454323399</v>
      </c>
      <c r="AM74" s="545">
        <f t="shared" si="208"/>
        <v>690</v>
      </c>
      <c r="AN74" s="460">
        <f t="shared" si="209"/>
        <v>327.49397254915118</v>
      </c>
      <c r="AP74">
        <f t="shared" si="210"/>
        <v>690</v>
      </c>
      <c r="AQ74">
        <f t="shared" si="211"/>
        <v>327.49397254915118</v>
      </c>
      <c r="AS74" s="5">
        <f t="shared" si="285"/>
        <v>3.0534913122711509</v>
      </c>
      <c r="AT74" s="5">
        <f t="shared" si="212"/>
        <v>1.178966310662827</v>
      </c>
      <c r="AU74" s="5">
        <f t="shared" si="286"/>
        <v>1.8745250016083239</v>
      </c>
      <c r="AV74" s="5">
        <f t="shared" si="213"/>
        <v>1.6763847971225778</v>
      </c>
      <c r="AW74" s="173">
        <f t="shared" si="287"/>
        <v>0.38610436058058595</v>
      </c>
      <c r="AX74" s="173">
        <f t="shared" si="214"/>
        <v>10.869991851836586</v>
      </c>
      <c r="AY74" s="173">
        <f t="shared" si="215"/>
        <v>0.72194129027188425</v>
      </c>
      <c r="AZ74" s="173">
        <f t="shared" si="288"/>
        <v>15.056614711347137</v>
      </c>
      <c r="BA74" s="460">
        <f t="shared" si="216"/>
        <v>4.960285087544821</v>
      </c>
      <c r="BB74" s="5">
        <f t="shared" si="217"/>
        <v>0.73838990521367609</v>
      </c>
      <c r="BC74" s="5"/>
      <c r="BD74" s="173">
        <f t="shared" si="289"/>
        <v>0.84377966418618666</v>
      </c>
      <c r="BE74" s="173">
        <f t="shared" si="218"/>
        <v>1.0639567528164344</v>
      </c>
      <c r="BF74" s="173"/>
      <c r="BG74" s="528">
        <f t="shared" si="219"/>
        <v>1.4239282433883078E-2</v>
      </c>
      <c r="BH74" s="528">
        <f t="shared" si="220"/>
        <v>0.58977662715001056</v>
      </c>
      <c r="BI74" s="528">
        <f t="shared" si="221"/>
        <v>0.19600199836324397</v>
      </c>
      <c r="BJ74" s="528">
        <f t="shared" si="222"/>
        <v>5.461282002565631E-2</v>
      </c>
      <c r="BK74">
        <f t="shared" si="223"/>
        <v>1.0772827185419097E-2</v>
      </c>
      <c r="BL74" s="460">
        <f t="shared" si="290"/>
        <v>206.77482554866307</v>
      </c>
      <c r="BM74" s="528">
        <f t="shared" si="224"/>
        <v>0.66472225978281796</v>
      </c>
      <c r="BN74" s="460">
        <f t="shared" si="291"/>
        <v>664.72225978281801</v>
      </c>
      <c r="BO74" s="528">
        <f t="shared" si="225"/>
        <v>0.42866249999999989</v>
      </c>
      <c r="BP74" s="528"/>
      <c r="BR74" s="460">
        <f t="shared" si="292"/>
        <v>428.66249999999991</v>
      </c>
      <c r="BS74" s="528">
        <f t="shared" si="226"/>
        <v>2.1358923650824615E-2</v>
      </c>
      <c r="BT74" s="528">
        <f t="shared" si="227"/>
        <v>3.396011915591074E-2</v>
      </c>
      <c r="BU74" s="528">
        <f t="shared" si="228"/>
        <v>0.16973999999999997</v>
      </c>
      <c r="BV74" s="528">
        <f t="shared" si="229"/>
        <v>0.23939506153288453</v>
      </c>
      <c r="BW74" s="528">
        <f t="shared" si="230"/>
        <v>9.0583265431971559E-3</v>
      </c>
      <c r="BX74" s="460">
        <f t="shared" si="293"/>
        <v>248.45338807608169</v>
      </c>
      <c r="BY74" s="173">
        <f t="shared" si="231"/>
        <v>1.5486129734075627</v>
      </c>
      <c r="BZ74" s="5">
        <f t="shared" si="294"/>
        <v>11.315999999999999</v>
      </c>
      <c r="CA74" s="173">
        <f t="shared" si="295"/>
        <v>0.87962226484320205</v>
      </c>
      <c r="CB74" s="5">
        <f t="shared" si="296"/>
        <v>87.962226484320212</v>
      </c>
      <c r="CE74" s="562">
        <f t="shared" si="232"/>
        <v>-50</v>
      </c>
      <c r="CF74">
        <f t="shared" si="233"/>
        <v>-50</v>
      </c>
      <c r="CG74" s="173">
        <f t="shared" si="234"/>
        <v>0.57134309564352448</v>
      </c>
      <c r="CI74" s="170">
        <v>69</v>
      </c>
      <c r="CJ74" s="217">
        <f t="shared" si="297"/>
        <v>0.69</v>
      </c>
      <c r="CK74" s="217"/>
      <c r="CL74" s="217">
        <f t="shared" si="235"/>
        <v>11.315999999999999</v>
      </c>
      <c r="CM74" s="541">
        <f t="shared" si="236"/>
        <v>24</v>
      </c>
      <c r="CN74" s="172">
        <f t="shared" si="237"/>
        <v>16.799999999999997</v>
      </c>
      <c r="CO74" s="443">
        <f t="shared" si="238"/>
        <v>40.799999999999997</v>
      </c>
      <c r="CP74" s="443"/>
      <c r="CQ74" s="217">
        <f t="shared" si="239"/>
        <v>0.41176470588235292</v>
      </c>
      <c r="CR74" s="172">
        <f t="shared" si="240"/>
        <v>33.237647058823534</v>
      </c>
      <c r="CS74" s="172">
        <f t="shared" si="298"/>
        <v>11.315999999999999</v>
      </c>
      <c r="CT74" s="217">
        <f t="shared" si="241"/>
        <v>2.026685796269728</v>
      </c>
      <c r="CU74" s="217">
        <f t="shared" si="242"/>
        <v>16.399999999999999</v>
      </c>
      <c r="CV74" s="217">
        <f t="shared" si="243"/>
        <v>2.0086083213773311</v>
      </c>
      <c r="CW74" s="172">
        <f t="shared" si="244"/>
        <v>92.045873534030733</v>
      </c>
      <c r="CX74" s="172">
        <f t="shared" si="245"/>
        <v>16.399999999999999</v>
      </c>
      <c r="CY74" s="217">
        <f t="shared" si="246"/>
        <v>2.290142857142857</v>
      </c>
      <c r="CZ74" s="217">
        <f t="shared" si="247"/>
        <v>1.1450714285714285</v>
      </c>
      <c r="DA74" s="217">
        <f t="shared" si="248"/>
        <v>1.6358163265306125</v>
      </c>
      <c r="DB74" s="197">
        <f t="shared" si="249"/>
        <v>350</v>
      </c>
      <c r="DC74" s="443">
        <f t="shared" si="299"/>
        <v>350</v>
      </c>
      <c r="DE74" s="217">
        <f t="shared" si="250"/>
        <v>2.3529411764705879</v>
      </c>
      <c r="DF74" s="173">
        <f t="shared" si="251"/>
        <v>1.6806722689075633</v>
      </c>
      <c r="DG74" s="173">
        <f t="shared" si="252"/>
        <v>0.69204152249134954</v>
      </c>
      <c r="DH74" s="173"/>
      <c r="DI74" s="173">
        <f t="shared" si="253"/>
        <v>0.95238095238095266</v>
      </c>
      <c r="DJ74" s="545">
        <f t="shared" si="300"/>
        <v>1086.7499999999995</v>
      </c>
      <c r="DK74" s="528">
        <f t="shared" si="254"/>
        <v>0.22222222222222232</v>
      </c>
      <c r="DM74" s="173">
        <f t="shared" si="255"/>
        <v>2.3494680248941457</v>
      </c>
      <c r="DN74" s="173">
        <f t="shared" si="256"/>
        <v>2.3494680248941457</v>
      </c>
      <c r="DO74" s="173">
        <f t="shared" si="257"/>
        <v>1.9526923641191201</v>
      </c>
      <c r="DQ74" s="545">
        <f t="shared" si="258"/>
        <v>690</v>
      </c>
      <c r="DR74" s="460">
        <f t="shared" si="259"/>
        <v>350</v>
      </c>
      <c r="DT74">
        <f t="shared" si="260"/>
        <v>690</v>
      </c>
      <c r="DU74">
        <f t="shared" si="261"/>
        <v>350</v>
      </c>
      <c r="DW74" s="5">
        <f t="shared" si="301"/>
        <v>2.8571428571428572</v>
      </c>
      <c r="DX74" s="5">
        <f t="shared" si="262"/>
        <v>1.1747340124470729</v>
      </c>
      <c r="DY74" s="5">
        <f t="shared" si="302"/>
        <v>1.6824088446957843</v>
      </c>
      <c r="DZ74" s="5">
        <f t="shared" si="263"/>
        <v>1.6781914463529615</v>
      </c>
      <c r="EA74" s="173">
        <f t="shared" si="303"/>
        <v>0.41115690435647551</v>
      </c>
      <c r="EB74" s="173">
        <f t="shared" si="264"/>
        <v>11.591999999999999</v>
      </c>
      <c r="EC74" s="173">
        <f t="shared" si="265"/>
        <v>0.691734012447073</v>
      </c>
      <c r="ED74" s="173">
        <f t="shared" si="304"/>
        <v>16.757886400572133</v>
      </c>
      <c r="EE74" s="460">
        <f t="shared" si="266"/>
        <v>4.9424784670029291</v>
      </c>
      <c r="EF74" s="5">
        <f t="shared" si="267"/>
        <v>0.66104647522838511</v>
      </c>
      <c r="EG74" s="5"/>
      <c r="EH74" s="173">
        <f t="shared" si="305"/>
        <v>0.86978658532763919</v>
      </c>
      <c r="EI74" s="173">
        <f t="shared" si="268"/>
        <v>1.0408992727368411</v>
      </c>
      <c r="EJ74" s="173"/>
      <c r="EK74" s="528">
        <f t="shared" si="269"/>
        <v>1.5130574080318291E-2</v>
      </c>
      <c r="EL74" s="528">
        <f t="shared" si="270"/>
        <v>0.67100806790976797</v>
      </c>
      <c r="EM74" s="528">
        <f t="shared" si="271"/>
        <v>4.3749999999999997E-2</v>
      </c>
      <c r="EN74" s="528">
        <f t="shared" si="272"/>
        <v>5.8262399999999999E-2</v>
      </c>
      <c r="EO74">
        <f t="shared" si="273"/>
        <v>1.0800000000000001E-2</v>
      </c>
      <c r="EP74" s="460">
        <f t="shared" si="306"/>
        <v>54.550000000000004</v>
      </c>
      <c r="EQ74" s="528">
        <f t="shared" si="274"/>
        <v>0.80593364812275026</v>
      </c>
      <c r="ER74" s="460">
        <f t="shared" si="307"/>
        <v>805.93364812275024</v>
      </c>
      <c r="ES74" s="528">
        <f t="shared" si="308"/>
        <v>0.42866249999999989</v>
      </c>
      <c r="ET74" s="528"/>
      <c r="EV74" s="460">
        <f t="shared" si="309"/>
        <v>428.66249999999991</v>
      </c>
      <c r="EW74" s="528">
        <f t="shared" si="275"/>
        <v>2.2695861120477435E-2</v>
      </c>
      <c r="EX74" s="528">
        <f t="shared" si="276"/>
        <v>3.2504138879522547E-2</v>
      </c>
      <c r="EY74" s="528">
        <f t="shared" si="277"/>
        <v>0.96953605089861949</v>
      </c>
      <c r="EZ74" s="528">
        <f t="shared" si="278"/>
        <v>1.0425881200367015</v>
      </c>
      <c r="FA74" s="528">
        <f t="shared" si="279"/>
        <v>9.6599999999999967E-3</v>
      </c>
      <c r="FB74" s="460">
        <f t="shared" si="310"/>
        <v>1052.2481200367015</v>
      </c>
      <c r="FC74" s="173">
        <f t="shared" si="311"/>
        <v>2.2868442681594514</v>
      </c>
      <c r="FD74" s="5">
        <f t="shared" si="312"/>
        <v>11.315999999999999</v>
      </c>
      <c r="FE74" s="173">
        <f t="shared" si="313"/>
        <v>0.83188484532515516</v>
      </c>
      <c r="FF74" s="5">
        <f t="shared" si="314"/>
        <v>83.188484532515517</v>
      </c>
      <c r="FI74" s="562">
        <f t="shared" si="280"/>
        <v>-50</v>
      </c>
      <c r="FJ74">
        <f t="shared" si="281"/>
        <v>-50</v>
      </c>
      <c r="FL74">
        <f t="shared" si="282"/>
        <v>0.58736700622353655</v>
      </c>
    </row>
    <row r="75" spans="5:168">
      <c r="E75" s="170">
        <v>70</v>
      </c>
      <c r="F75" s="217">
        <f t="shared" si="283"/>
        <v>0.7</v>
      </c>
      <c r="G75" s="217"/>
      <c r="H75" s="217">
        <f t="shared" si="183"/>
        <v>11.479999999999999</v>
      </c>
      <c r="I75" s="541">
        <f t="shared" si="184"/>
        <v>23.939227318767184</v>
      </c>
      <c r="J75" s="172">
        <f t="shared" si="185"/>
        <v>16.836463608739688</v>
      </c>
      <c r="K75" s="172">
        <f t="shared" si="186"/>
        <v>40.836463608739692</v>
      </c>
      <c r="L75" s="443"/>
      <c r="M75" s="217">
        <f t="shared" si="187"/>
        <v>0.41289050938328981</v>
      </c>
      <c r="N75" s="172">
        <f t="shared" si="188"/>
        <v>33.244127599150481</v>
      </c>
      <c r="O75" s="172">
        <f t="shared" si="284"/>
        <v>11.479999999999999</v>
      </c>
      <c r="P75" s="217">
        <f t="shared" si="189"/>
        <v>2.0270809511677124</v>
      </c>
      <c r="Q75" s="217">
        <f t="shared" si="190"/>
        <v>16.399999999999999</v>
      </c>
      <c r="R75" s="217">
        <f t="shared" si="191"/>
        <v>2.0089999516032826</v>
      </c>
      <c r="S75" s="172">
        <f t="shared" si="192"/>
        <v>90.162828580785686</v>
      </c>
      <c r="T75" s="172">
        <f t="shared" si="193"/>
        <v>16.399999999999999</v>
      </c>
      <c r="U75" s="217">
        <f t="shared" si="194"/>
        <v>2.3845637353424745</v>
      </c>
      <c r="V75" s="217">
        <f t="shared" si="195"/>
        <v>1.1953086222493536</v>
      </c>
      <c r="W75" s="217">
        <f t="shared" si="196"/>
        <v>1.6995709722115262</v>
      </c>
      <c r="X75" s="197">
        <f t="shared" si="197"/>
        <v>350</v>
      </c>
      <c r="Y75" s="443">
        <f t="shared" si="198"/>
        <v>323.11434725595433</v>
      </c>
      <c r="AA75" s="217">
        <f t="shared" si="199"/>
        <v>2.353479314604948</v>
      </c>
      <c r="AB75" s="173">
        <f t="shared" si="200"/>
        <v>1.6774159010802772</v>
      </c>
      <c r="AC75" s="173">
        <f t="shared" si="201"/>
        <v>0.69085863440682405</v>
      </c>
      <c r="AD75" s="173"/>
      <c r="AE75" s="173">
        <f t="shared" si="202"/>
        <v>0.95031833120195841</v>
      </c>
      <c r="AF75" s="545">
        <f t="shared" si="203"/>
        <v>1104.8929243235416</v>
      </c>
      <c r="AG75" s="528">
        <f t="shared" si="204"/>
        <v>0.22174094394712365</v>
      </c>
      <c r="AI75" s="173">
        <f t="shared" si="205"/>
        <v>2.3689986357629174</v>
      </c>
      <c r="AJ75" s="173">
        <f t="shared" si="206"/>
        <v>2.3845637353424745</v>
      </c>
      <c r="AK75" s="173">
        <f t="shared" si="207"/>
        <v>1.9786891866734377</v>
      </c>
      <c r="AM75" s="545">
        <f t="shared" si="208"/>
        <v>700</v>
      </c>
      <c r="AN75" s="460">
        <f t="shared" si="209"/>
        <v>323.11434725595433</v>
      </c>
      <c r="AP75">
        <f t="shared" si="210"/>
        <v>700</v>
      </c>
      <c r="AQ75">
        <f t="shared" si="211"/>
        <v>323.11434725595433</v>
      </c>
      <c r="AS75" s="5">
        <f t="shared" si="285"/>
        <v>3.0948795944608802</v>
      </c>
      <c r="AT75" s="5">
        <f t="shared" si="212"/>
        <v>1.1953086222493536</v>
      </c>
      <c r="AU75" s="5">
        <f t="shared" si="286"/>
        <v>1.8995709722115266</v>
      </c>
      <c r="AV75" s="5">
        <f t="shared" si="213"/>
        <v>1.6995709722115262</v>
      </c>
      <c r="AW75" s="173">
        <f t="shared" si="287"/>
        <v>0.38622136524751399</v>
      </c>
      <c r="AX75" s="173">
        <f t="shared" si="214"/>
        <v>11.023648644853274</v>
      </c>
      <c r="AY75" s="173">
        <f t="shared" si="215"/>
        <v>0.73179713697939619</v>
      </c>
      <c r="AZ75" s="173">
        <f t="shared" si="288"/>
        <v>15.063804007699536</v>
      </c>
      <c r="BA75" s="460">
        <f t="shared" si="216"/>
        <v>5.1019270461862662</v>
      </c>
      <c r="BB75" s="5">
        <f t="shared" si="217"/>
        <v>0.75911231631846365</v>
      </c>
      <c r="BC75" s="5"/>
      <c r="BD75" s="173">
        <f t="shared" si="289"/>
        <v>0.85559148721287548</v>
      </c>
      <c r="BE75" s="173">
        <f t="shared" si="218"/>
        <v>1.0785845398695821</v>
      </c>
      <c r="BF75" s="173"/>
      <c r="BG75" s="528">
        <f t="shared" si="219"/>
        <v>1.4640735859822802E-2</v>
      </c>
      <c r="BH75" s="528">
        <f t="shared" si="220"/>
        <v>0.58994914359097328</v>
      </c>
      <c r="BI75" s="528">
        <f t="shared" si="221"/>
        <v>0.19337769522288417</v>
      </c>
      <c r="BJ75" s="528">
        <f t="shared" si="222"/>
        <v>5.3883090090243578E-2</v>
      </c>
      <c r="BK75">
        <f t="shared" si="223"/>
        <v>1.0772652293445232E-2</v>
      </c>
      <c r="BL75" s="460">
        <f t="shared" si="290"/>
        <v>204.15034751632942</v>
      </c>
      <c r="BM75" s="528">
        <f t="shared" si="224"/>
        <v>0.6647383528761398</v>
      </c>
      <c r="BN75" s="460">
        <f t="shared" si="291"/>
        <v>664.73835287613986</v>
      </c>
      <c r="BO75" s="528">
        <f t="shared" si="225"/>
        <v>0.4348749999999999</v>
      </c>
      <c r="BP75" s="528"/>
      <c r="BR75" s="460">
        <f t="shared" si="292"/>
        <v>434.87499999999989</v>
      </c>
      <c r="BS75" s="528">
        <f t="shared" si="226"/>
        <v>2.1961103789734201E-2</v>
      </c>
      <c r="BT75" s="528">
        <f t="shared" si="227"/>
        <v>3.490033828937035E-2</v>
      </c>
      <c r="BU75" s="528">
        <f t="shared" si="228"/>
        <v>0.17219999999999996</v>
      </c>
      <c r="BV75" s="528">
        <f t="shared" si="229"/>
        <v>0.24381729240609226</v>
      </c>
      <c r="BW75" s="528">
        <f t="shared" si="230"/>
        <v>9.18637387071106E-3</v>
      </c>
      <c r="BX75" s="460">
        <f t="shared" si="293"/>
        <v>253.00366627680333</v>
      </c>
      <c r="BY75" s="173">
        <f t="shared" si="231"/>
        <v>1.5567673666692721</v>
      </c>
      <c r="BZ75" s="5">
        <f t="shared" si="294"/>
        <v>11.479999999999999</v>
      </c>
      <c r="CA75" s="173">
        <f t="shared" si="295"/>
        <v>0.8805863966975882</v>
      </c>
      <c r="CB75" s="5">
        <f t="shared" si="296"/>
        <v>88.058639669758819</v>
      </c>
      <c r="CE75" s="562">
        <f t="shared" si="232"/>
        <v>-50</v>
      </c>
      <c r="CF75">
        <f t="shared" si="233"/>
        <v>-50</v>
      </c>
      <c r="CG75" s="173">
        <f t="shared" si="234"/>
        <v>0.57591666666666674</v>
      </c>
      <c r="CI75" s="170">
        <v>70</v>
      </c>
      <c r="CJ75" s="217">
        <f t="shared" si="297"/>
        <v>0.7</v>
      </c>
      <c r="CK75" s="217"/>
      <c r="CL75" s="217">
        <f t="shared" si="235"/>
        <v>11.479999999999999</v>
      </c>
      <c r="CM75" s="541">
        <f t="shared" si="236"/>
        <v>24</v>
      </c>
      <c r="CN75" s="172">
        <f t="shared" si="237"/>
        <v>16.799999999999997</v>
      </c>
      <c r="CO75" s="443">
        <f t="shared" si="238"/>
        <v>40.799999999999997</v>
      </c>
      <c r="CP75" s="443"/>
      <c r="CQ75" s="217">
        <f t="shared" si="239"/>
        <v>0.41176470588235292</v>
      </c>
      <c r="CR75" s="172">
        <f t="shared" si="240"/>
        <v>33.237647058823534</v>
      </c>
      <c r="CS75" s="172">
        <f t="shared" si="298"/>
        <v>11.479999999999999</v>
      </c>
      <c r="CT75" s="217">
        <f t="shared" si="241"/>
        <v>2.026685796269728</v>
      </c>
      <c r="CU75" s="217">
        <f t="shared" si="242"/>
        <v>16.399999999999999</v>
      </c>
      <c r="CV75" s="217">
        <f t="shared" si="243"/>
        <v>2.0086083213773311</v>
      </c>
      <c r="CW75" s="172">
        <f t="shared" si="244"/>
        <v>90.391451113161139</v>
      </c>
      <c r="CX75" s="172">
        <f t="shared" si="245"/>
        <v>16.399999999999999</v>
      </c>
      <c r="CY75" s="217">
        <f t="shared" si="246"/>
        <v>2.3233333333333328</v>
      </c>
      <c r="CZ75" s="217">
        <f t="shared" si="247"/>
        <v>1.1616666666666664</v>
      </c>
      <c r="DA75" s="217">
        <f t="shared" si="248"/>
        <v>1.6595238095238094</v>
      </c>
      <c r="DB75" s="197">
        <f t="shared" si="249"/>
        <v>350</v>
      </c>
      <c r="DC75" s="443">
        <f t="shared" si="299"/>
        <v>350</v>
      </c>
      <c r="DE75" s="217">
        <f t="shared" si="250"/>
        <v>2.3529411764705879</v>
      </c>
      <c r="DF75" s="173">
        <f t="shared" si="251"/>
        <v>1.6806722689075633</v>
      </c>
      <c r="DG75" s="173">
        <f t="shared" si="252"/>
        <v>0.69204152249134954</v>
      </c>
      <c r="DH75" s="173"/>
      <c r="DI75" s="173">
        <f t="shared" si="253"/>
        <v>0.95238095238095266</v>
      </c>
      <c r="DJ75" s="545">
        <f t="shared" si="300"/>
        <v>1102.4999999999995</v>
      </c>
      <c r="DK75" s="528">
        <f t="shared" si="254"/>
        <v>0.22222222222222232</v>
      </c>
      <c r="DM75" s="173">
        <f t="shared" si="255"/>
        <v>2.3664319132398464</v>
      </c>
      <c r="DN75" s="173">
        <f t="shared" si="256"/>
        <v>2.3233333333333328</v>
      </c>
      <c r="DO75" s="173">
        <f t="shared" si="257"/>
        <v>1.9333333333333327</v>
      </c>
      <c r="DQ75" s="545">
        <f t="shared" si="258"/>
        <v>700</v>
      </c>
      <c r="DR75" s="460">
        <f t="shared" si="259"/>
        <v>350</v>
      </c>
      <c r="DT75">
        <f t="shared" si="260"/>
        <v>700</v>
      </c>
      <c r="DU75">
        <f t="shared" si="261"/>
        <v>350</v>
      </c>
      <c r="DW75" s="5">
        <f t="shared" si="301"/>
        <v>2.8571428571428572</v>
      </c>
      <c r="DX75" s="5">
        <f t="shared" si="262"/>
        <v>1.1616666666666664</v>
      </c>
      <c r="DY75" s="5">
        <f t="shared" si="302"/>
        <v>1.6954761904761908</v>
      </c>
      <c r="DZ75" s="5">
        <f t="shared" si="263"/>
        <v>1.6595238095238094</v>
      </c>
      <c r="EA75" s="173">
        <f t="shared" si="303"/>
        <v>0.40658333333333324</v>
      </c>
      <c r="EB75" s="173">
        <f t="shared" si="264"/>
        <v>11.335543333333327</v>
      </c>
      <c r="EC75" s="173">
        <f t="shared" si="265"/>
        <v>0.68935236111111098</v>
      </c>
      <c r="ED75" s="173">
        <f t="shared" si="304"/>
        <v>16.443757899171459</v>
      </c>
      <c r="EE75" s="460">
        <f t="shared" si="266"/>
        <v>4.958333333333333</v>
      </c>
      <c r="EF75" s="5">
        <f t="shared" si="267"/>
        <v>0.67583564814814812</v>
      </c>
      <c r="EG75" s="5"/>
      <c r="EH75" s="173">
        <f t="shared" si="305"/>
        <v>0.85531419954205778</v>
      </c>
      <c r="EI75" s="173">
        <f t="shared" si="268"/>
        <v>1.0333103176946994</v>
      </c>
      <c r="EJ75" s="173"/>
      <c r="EK75" s="528">
        <f t="shared" si="269"/>
        <v>1.4631247598765421E-2</v>
      </c>
      <c r="EL75" s="528">
        <f t="shared" si="270"/>
        <v>0.6635439999999998</v>
      </c>
      <c r="EM75" s="528">
        <f t="shared" si="271"/>
        <v>4.3749999999999997E-2</v>
      </c>
      <c r="EN75" s="528">
        <f t="shared" si="272"/>
        <v>5.8262399999999999E-2</v>
      </c>
      <c r="EO75">
        <f t="shared" si="273"/>
        <v>1.0800000000000001E-2</v>
      </c>
      <c r="EP75" s="460">
        <f t="shared" si="306"/>
        <v>54.550000000000004</v>
      </c>
      <c r="EQ75" s="528">
        <f t="shared" si="274"/>
        <v>0.79771123536827682</v>
      </c>
      <c r="ER75" s="460">
        <f t="shared" si="307"/>
        <v>797.71123536827679</v>
      </c>
      <c r="ES75" s="528">
        <f t="shared" si="308"/>
        <v>0.4348749999999999</v>
      </c>
      <c r="ET75" s="528"/>
      <c r="EV75" s="460">
        <f t="shared" si="309"/>
        <v>434.87499999999989</v>
      </c>
      <c r="EW75" s="528">
        <f t="shared" si="275"/>
        <v>2.1946871398148129E-2</v>
      </c>
      <c r="EX75" s="528">
        <f t="shared" si="276"/>
        <v>3.2031906379629618E-2</v>
      </c>
      <c r="EY75" s="528">
        <f t="shared" si="277"/>
        <v>0.94279858850816489</v>
      </c>
      <c r="EZ75" s="528">
        <f t="shared" si="278"/>
        <v>1.0141115129525735</v>
      </c>
      <c r="FA75" s="528">
        <f t="shared" si="279"/>
        <v>9.4462861111111063E-3</v>
      </c>
      <c r="FB75" s="460">
        <f t="shared" si="310"/>
        <v>1023.5577990636846</v>
      </c>
      <c r="FC75" s="173">
        <f t="shared" si="311"/>
        <v>2.2561440344319617</v>
      </c>
      <c r="FD75" s="5">
        <f t="shared" si="312"/>
        <v>11.479999999999999</v>
      </c>
      <c r="FE75" s="173">
        <f t="shared" si="313"/>
        <v>0.8357512829818502</v>
      </c>
      <c r="FF75" s="5">
        <f t="shared" si="314"/>
        <v>83.575128298185021</v>
      </c>
      <c r="FI75" s="562">
        <f t="shared" si="280"/>
        <v>-50</v>
      </c>
      <c r="FJ75">
        <f t="shared" si="281"/>
        <v>-50</v>
      </c>
      <c r="FL75">
        <f t="shared" si="282"/>
        <v>0.59160797830996159</v>
      </c>
    </row>
    <row r="76" spans="5:168">
      <c r="E76" s="170">
        <v>71</v>
      </c>
      <c r="F76" s="217">
        <f t="shared" si="283"/>
        <v>0.71</v>
      </c>
      <c r="G76" s="217"/>
      <c r="H76" s="217">
        <f t="shared" si="183"/>
        <v>11.643999999999998</v>
      </c>
      <c r="I76" s="541">
        <f t="shared" si="184"/>
        <v>23.937802435595728</v>
      </c>
      <c r="J76" s="172">
        <f t="shared" si="185"/>
        <v>16.83731853864256</v>
      </c>
      <c r="K76" s="172">
        <f t="shared" si="186"/>
        <v>40.837318538642563</v>
      </c>
      <c r="L76" s="443"/>
      <c r="M76" s="217">
        <f t="shared" si="187"/>
        <v>0.4129152122713825</v>
      </c>
      <c r="N76" s="172">
        <f t="shared" si="188"/>
        <v>33.24413772990156</v>
      </c>
      <c r="O76" s="172">
        <f t="shared" si="284"/>
        <v>11.643999999999998</v>
      </c>
      <c r="P76" s="217">
        <f t="shared" si="189"/>
        <v>2.0270815688964365</v>
      </c>
      <c r="Q76" s="217">
        <f t="shared" si="190"/>
        <v>16.399999999999999</v>
      </c>
      <c r="R76" s="217">
        <f t="shared" si="191"/>
        <v>2.0090005638220383</v>
      </c>
      <c r="S76" s="172">
        <f t="shared" si="192"/>
        <v>88.553887957126719</v>
      </c>
      <c r="T76" s="172">
        <f t="shared" si="193"/>
        <v>16.399999999999999</v>
      </c>
      <c r="U76" s="217">
        <f t="shared" si="194"/>
        <v>2.4187307007116678</v>
      </c>
      <c r="V76" s="217">
        <f t="shared" si="195"/>
        <v>1.2125076429480395</v>
      </c>
      <c r="W76" s="217">
        <f t="shared" si="196"/>
        <v>1.7238355586090859</v>
      </c>
      <c r="X76" s="197">
        <f t="shared" si="197"/>
        <v>350</v>
      </c>
      <c r="Y76" s="443">
        <f t="shared" si="198"/>
        <v>318.84265711211765</v>
      </c>
      <c r="AA76" s="217">
        <f t="shared" si="199"/>
        <v>2.353491629052693</v>
      </c>
      <c r="AB76" s="173">
        <f t="shared" si="200"/>
        <v>1.6773395053265534</v>
      </c>
      <c r="AC76" s="173">
        <f t="shared" si="201"/>
        <v>0.69083078485145</v>
      </c>
      <c r="AD76" s="173"/>
      <c r="AE76" s="173">
        <f t="shared" si="202"/>
        <v>0.95027007793902185</v>
      </c>
      <c r="AF76" s="545">
        <f t="shared" si="203"/>
        <v>1120.7340152283948</v>
      </c>
      <c r="AG76" s="528">
        <f t="shared" si="204"/>
        <v>0.22172968485243846</v>
      </c>
      <c r="AI76" s="173">
        <f t="shared" si="205"/>
        <v>2.3859206231992971</v>
      </c>
      <c r="AJ76" s="173">
        <f t="shared" si="206"/>
        <v>2.4187307007116678</v>
      </c>
      <c r="AK76" s="173">
        <f t="shared" si="207"/>
        <v>2.0039980499098773</v>
      </c>
      <c r="AM76" s="545">
        <f t="shared" si="208"/>
        <v>710</v>
      </c>
      <c r="AN76" s="460">
        <f t="shared" si="209"/>
        <v>318.84265711211765</v>
      </c>
      <c r="AP76">
        <f t="shared" si="210"/>
        <v>710</v>
      </c>
      <c r="AQ76">
        <f t="shared" si="211"/>
        <v>318.84265711211765</v>
      </c>
      <c r="AS76" s="5">
        <f t="shared" si="285"/>
        <v>3.1363432015571258</v>
      </c>
      <c r="AT76" s="5">
        <f t="shared" si="212"/>
        <v>1.2125076429480395</v>
      </c>
      <c r="AU76" s="5">
        <f t="shared" si="286"/>
        <v>1.9238355586090863</v>
      </c>
      <c r="AV76" s="5">
        <f t="shared" si="213"/>
        <v>1.7238355586090859</v>
      </c>
      <c r="AW76" s="173">
        <f t="shared" si="287"/>
        <v>0.38659915864630373</v>
      </c>
      <c r="AX76" s="173">
        <f t="shared" si="214"/>
        <v>11.191871220587014</v>
      </c>
      <c r="AY76" s="173">
        <f t="shared" si="215"/>
        <v>0.74182572341227615</v>
      </c>
      <c r="AZ76" s="173">
        <f t="shared" si="288"/>
        <v>15.086927923052128</v>
      </c>
      <c r="BA76" s="460">
        <f t="shared" si="216"/>
        <v>5.2492708932506593</v>
      </c>
      <c r="BB76" s="5">
        <f t="shared" si="217"/>
        <v>0.77983840638372803</v>
      </c>
      <c r="BC76" s="5"/>
      <c r="BD76" s="173">
        <f t="shared" si="289"/>
        <v>0.86827509062034924</v>
      </c>
      <c r="BE76" s="173">
        <f t="shared" si="218"/>
        <v>1.0937021690249786</v>
      </c>
      <c r="BF76" s="173"/>
      <c r="BG76" s="528">
        <f t="shared" si="219"/>
        <v>1.5078032659835514E-2</v>
      </c>
      <c r="BH76" s="528">
        <f t="shared" si="220"/>
        <v>0.59050343267868322</v>
      </c>
      <c r="BI76" s="528">
        <f t="shared" si="221"/>
        <v>0.19080981334975658</v>
      </c>
      <c r="BJ76" s="528">
        <f t="shared" si="222"/>
        <v>5.317296221276388E-2</v>
      </c>
      <c r="BK76">
        <f t="shared" si="223"/>
        <v>1.0772011096018077E-2</v>
      </c>
      <c r="BL76" s="460">
        <f t="shared" si="290"/>
        <v>201.58182444577466</v>
      </c>
      <c r="BM76" s="528">
        <f t="shared" si="224"/>
        <v>0.66520863327900703</v>
      </c>
      <c r="BN76" s="460">
        <f t="shared" si="291"/>
        <v>665.20863327900702</v>
      </c>
      <c r="BO76" s="528">
        <f t="shared" si="225"/>
        <v>0.44108749999999991</v>
      </c>
      <c r="BP76" s="528"/>
      <c r="BR76" s="460">
        <f t="shared" si="292"/>
        <v>441.08749999999992</v>
      </c>
      <c r="BS76" s="528">
        <f t="shared" si="226"/>
        <v>2.261704898975327E-2</v>
      </c>
      <c r="BT76" s="528">
        <f t="shared" si="227"/>
        <v>3.5885533035898282E-2</v>
      </c>
      <c r="BU76" s="528">
        <f t="shared" si="228"/>
        <v>0.17465999999999998</v>
      </c>
      <c r="BV76" s="528">
        <f t="shared" si="229"/>
        <v>0.2483656040416316</v>
      </c>
      <c r="BW76" s="528">
        <f t="shared" si="230"/>
        <v>9.3265593504891792E-3</v>
      </c>
      <c r="BX76" s="460">
        <f t="shared" si="293"/>
        <v>257.69216339212079</v>
      </c>
      <c r="BY76" s="173">
        <f t="shared" si="231"/>
        <v>1.5655701211169024</v>
      </c>
      <c r="BZ76" s="5">
        <f t="shared" si="294"/>
        <v>11.643999999999998</v>
      </c>
      <c r="CA76" s="173">
        <f t="shared" si="295"/>
        <v>0.88148212948927296</v>
      </c>
      <c r="CB76" s="5">
        <f t="shared" si="296"/>
        <v>88.148212948927295</v>
      </c>
      <c r="CE76" s="562">
        <f t="shared" si="232"/>
        <v>-50</v>
      </c>
      <c r="CF76">
        <f t="shared" si="233"/>
        <v>-50</v>
      </c>
      <c r="CG76" s="173">
        <f t="shared" si="234"/>
        <v>0.57076189944120803</v>
      </c>
      <c r="CI76" s="170">
        <v>71</v>
      </c>
      <c r="CJ76" s="217">
        <f t="shared" si="297"/>
        <v>0.71</v>
      </c>
      <c r="CK76" s="217"/>
      <c r="CL76" s="217">
        <f t="shared" si="235"/>
        <v>11.643999999999998</v>
      </c>
      <c r="CM76" s="541">
        <f t="shared" si="236"/>
        <v>24</v>
      </c>
      <c r="CN76" s="172">
        <f t="shared" si="237"/>
        <v>16.799999999999997</v>
      </c>
      <c r="CO76" s="443">
        <f t="shared" si="238"/>
        <v>40.799999999999997</v>
      </c>
      <c r="CP76" s="443"/>
      <c r="CQ76" s="217">
        <f t="shared" si="239"/>
        <v>0.41176470588235292</v>
      </c>
      <c r="CR76" s="172">
        <f t="shared" si="240"/>
        <v>33.237647058823534</v>
      </c>
      <c r="CS76" s="172">
        <f t="shared" si="298"/>
        <v>11.643999999999998</v>
      </c>
      <c r="CT76" s="217">
        <f t="shared" si="241"/>
        <v>2.026685796269728</v>
      </c>
      <c r="CU76" s="217">
        <f t="shared" si="242"/>
        <v>16.399999999999999</v>
      </c>
      <c r="CV76" s="217">
        <f t="shared" si="243"/>
        <v>2.0086083213773311</v>
      </c>
      <c r="CW76" s="172">
        <f t="shared" si="244"/>
        <v>88.783699327413004</v>
      </c>
      <c r="CX76" s="172">
        <f t="shared" si="245"/>
        <v>16.399999999999999</v>
      </c>
      <c r="CY76" s="217">
        <f t="shared" si="246"/>
        <v>2.356523809523809</v>
      </c>
      <c r="CZ76" s="217">
        <f t="shared" si="247"/>
        <v>1.1782619047619045</v>
      </c>
      <c r="DA76" s="217">
        <f t="shared" si="248"/>
        <v>1.6832312925170068</v>
      </c>
      <c r="DB76" s="197">
        <f t="shared" si="249"/>
        <v>350</v>
      </c>
      <c r="DC76" s="443">
        <f t="shared" si="299"/>
        <v>349.46789352878181</v>
      </c>
      <c r="DE76" s="217">
        <f t="shared" si="250"/>
        <v>2.3529411764705879</v>
      </c>
      <c r="DF76" s="173">
        <f t="shared" si="251"/>
        <v>1.6806722689075633</v>
      </c>
      <c r="DG76" s="173">
        <f t="shared" si="252"/>
        <v>0.69204152249134954</v>
      </c>
      <c r="DH76" s="173"/>
      <c r="DI76" s="173">
        <f t="shared" si="253"/>
        <v>0.95238095238095266</v>
      </c>
      <c r="DJ76" s="545">
        <f t="shared" si="300"/>
        <v>1118.2499999999995</v>
      </c>
      <c r="DK76" s="528">
        <f t="shared" si="254"/>
        <v>0.22222222222222232</v>
      </c>
      <c r="DM76" s="173">
        <f t="shared" si="255"/>
        <v>2.3832750575625967</v>
      </c>
      <c r="DN76" s="173">
        <f t="shared" si="256"/>
        <v>2.356523809523809</v>
      </c>
      <c r="DO76" s="173">
        <f t="shared" si="257"/>
        <v>1.957918871252204</v>
      </c>
      <c r="DQ76" s="545">
        <f t="shared" si="258"/>
        <v>710</v>
      </c>
      <c r="DR76" s="460">
        <f t="shared" si="259"/>
        <v>349.46789352878181</v>
      </c>
      <c r="DT76">
        <f t="shared" si="260"/>
        <v>710</v>
      </c>
      <c r="DU76">
        <f t="shared" si="261"/>
        <v>349.46789352878181</v>
      </c>
      <c r="DW76" s="5">
        <f t="shared" si="301"/>
        <v>2.8614931972789113</v>
      </c>
      <c r="DX76" s="5">
        <f t="shared" si="262"/>
        <v>1.1782619047619045</v>
      </c>
      <c r="DY76" s="5">
        <f t="shared" si="302"/>
        <v>1.6832312925170068</v>
      </c>
      <c r="DZ76" s="5">
        <f t="shared" si="263"/>
        <v>1.6832312925170068</v>
      </c>
      <c r="EA76" s="173">
        <f t="shared" si="303"/>
        <v>0.41176470588235292</v>
      </c>
      <c r="EB76" s="173">
        <f t="shared" si="264"/>
        <v>11.643999999999998</v>
      </c>
      <c r="EC76" s="173">
        <f t="shared" si="265"/>
        <v>0.69309523809523799</v>
      </c>
      <c r="ED76" s="173">
        <f t="shared" si="304"/>
        <v>16.8</v>
      </c>
      <c r="EE76" s="460">
        <f t="shared" si="266"/>
        <v>5.1010119047619051</v>
      </c>
      <c r="EF76" s="5">
        <f t="shared" si="267"/>
        <v>0.68053976284958406</v>
      </c>
      <c r="EG76" s="5"/>
      <c r="EH76" s="173">
        <f t="shared" si="305"/>
        <v>0.87304326032077806</v>
      </c>
      <c r="EI76" s="173">
        <f t="shared" si="268"/>
        <v>1.0434862819219688</v>
      </c>
      <c r="EJ76" s="173"/>
      <c r="EK76" s="528">
        <f t="shared" si="269"/>
        <v>1.5244090687830676E-2</v>
      </c>
      <c r="EL76" s="528">
        <f t="shared" si="270"/>
        <v>0.67200000000000004</v>
      </c>
      <c r="EM76" s="528">
        <f t="shared" si="271"/>
        <v>4.3683486691097721E-2</v>
      </c>
      <c r="EN76" s="528">
        <f t="shared" si="272"/>
        <v>5.8173823428375133E-2</v>
      </c>
      <c r="EO76">
        <f t="shared" si="273"/>
        <v>1.0800000000000001E-2</v>
      </c>
      <c r="EP76" s="460">
        <f t="shared" si="306"/>
        <v>54.483486691097717</v>
      </c>
      <c r="EQ76" s="528">
        <f t="shared" si="274"/>
        <v>0.80694003884352694</v>
      </c>
      <c r="ER76" s="460">
        <f t="shared" si="307"/>
        <v>806.94003884352696</v>
      </c>
      <c r="ES76" s="528">
        <f t="shared" si="308"/>
        <v>0.44108749999999991</v>
      </c>
      <c r="ET76" s="528"/>
      <c r="EV76" s="460">
        <f t="shared" si="309"/>
        <v>441.08749999999992</v>
      </c>
      <c r="EW76" s="528">
        <f t="shared" si="275"/>
        <v>2.2866136031746014E-2</v>
      </c>
      <c r="EX76" s="528">
        <f t="shared" si="276"/>
        <v>3.2665908616780037E-2</v>
      </c>
      <c r="EY76" s="528">
        <f t="shared" si="277"/>
        <v>0.9731231182004848</v>
      </c>
      <c r="EZ76" s="528">
        <f t="shared" si="278"/>
        <v>1.046632585361529</v>
      </c>
      <c r="FA76" s="528">
        <f t="shared" si="279"/>
        <v>9.7033333333333312E-3</v>
      </c>
      <c r="FB76" s="460">
        <f t="shared" si="310"/>
        <v>1056.3359186948624</v>
      </c>
      <c r="FC76" s="173">
        <f t="shared" si="311"/>
        <v>2.3043634575383893</v>
      </c>
      <c r="FD76" s="5">
        <f t="shared" si="312"/>
        <v>11.643999999999998</v>
      </c>
      <c r="FE76" s="173">
        <f t="shared" si="313"/>
        <v>0.83479327416773064</v>
      </c>
      <c r="FF76" s="5">
        <f t="shared" si="314"/>
        <v>83.47932741677306</v>
      </c>
      <c r="FI76" s="562">
        <f t="shared" si="280"/>
        <v>-50</v>
      </c>
      <c r="FJ76">
        <f t="shared" si="281"/>
        <v>-50</v>
      </c>
      <c r="FL76">
        <f t="shared" si="282"/>
        <v>0.58823529411764708</v>
      </c>
    </row>
    <row r="77" spans="5:168">
      <c r="E77" s="170">
        <v>72</v>
      </c>
      <c r="F77" s="217">
        <f t="shared" si="283"/>
        <v>0.72</v>
      </c>
      <c r="G77" s="217"/>
      <c r="H77" s="217">
        <f t="shared" si="183"/>
        <v>11.807999999999998</v>
      </c>
      <c r="I77" s="541">
        <f t="shared" si="184"/>
        <v>23.936953220840007</v>
      </c>
      <c r="J77" s="172">
        <f t="shared" si="185"/>
        <v>16.837828067495995</v>
      </c>
      <c r="K77" s="172">
        <f t="shared" si="186"/>
        <v>40.837828067495991</v>
      </c>
      <c r="L77" s="443"/>
      <c r="M77" s="217">
        <f t="shared" si="187"/>
        <v>0.41293115557208393</v>
      </c>
      <c r="N77" s="172">
        <f t="shared" si="188"/>
        <v>33.244241927151961</v>
      </c>
      <c r="O77" s="172">
        <f t="shared" si="284"/>
        <v>11.807999999999998</v>
      </c>
      <c r="P77" s="217">
        <f t="shared" si="189"/>
        <v>2.0270879223873148</v>
      </c>
      <c r="Q77" s="217">
        <f t="shared" si="190"/>
        <v>16.399999999999999</v>
      </c>
      <c r="R77" s="217">
        <f t="shared" si="191"/>
        <v>2.009006860641541</v>
      </c>
      <c r="S77" s="172">
        <f t="shared" si="192"/>
        <v>86.991836160637618</v>
      </c>
      <c r="T77" s="172">
        <f t="shared" si="193"/>
        <v>16.399999999999999</v>
      </c>
      <c r="U77" s="217">
        <f t="shared" si="194"/>
        <v>2.4528639420530722</v>
      </c>
      <c r="V77" s="217">
        <f t="shared" si="195"/>
        <v>1.2296622311569168</v>
      </c>
      <c r="W77" s="217">
        <f t="shared" si="196"/>
        <v>1.7481095059675438</v>
      </c>
      <c r="X77" s="197">
        <f t="shared" si="197"/>
        <v>350</v>
      </c>
      <c r="Y77" s="443">
        <f t="shared" si="198"/>
        <v>314.68591287330526</v>
      </c>
      <c r="AA77" s="217">
        <f t="shared" si="199"/>
        <v>2.3534989617262556</v>
      </c>
      <c r="AB77" s="173">
        <f t="shared" si="200"/>
        <v>1.6772939732787653</v>
      </c>
      <c r="AC77" s="173">
        <f t="shared" si="201"/>
        <v>0.6908141843087241</v>
      </c>
      <c r="AD77" s="173"/>
      <c r="AE77" s="173">
        <f t="shared" si="202"/>
        <v>0.95024132185353838</v>
      </c>
      <c r="AF77" s="545">
        <f t="shared" si="203"/>
        <v>1136.5533945559791</v>
      </c>
      <c r="AG77" s="528">
        <f t="shared" si="204"/>
        <v>0.22172297509915898</v>
      </c>
      <c r="AI77" s="173">
        <f t="shared" si="205"/>
        <v>2.4027004855248779</v>
      </c>
      <c r="AJ77" s="173">
        <f t="shared" si="206"/>
        <v>2.4528639420530722</v>
      </c>
      <c r="AK77" s="173">
        <f t="shared" si="207"/>
        <v>2.0292819323849915</v>
      </c>
      <c r="AM77" s="545">
        <f t="shared" si="208"/>
        <v>720</v>
      </c>
      <c r="AN77" s="460">
        <f t="shared" si="209"/>
        <v>314.68591287330526</v>
      </c>
      <c r="AP77">
        <f t="shared" si="210"/>
        <v>720</v>
      </c>
      <c r="AQ77">
        <f t="shared" si="211"/>
        <v>314.68591287330526</v>
      </c>
      <c r="AS77" s="5">
        <f t="shared" si="285"/>
        <v>3.1777717371244609</v>
      </c>
      <c r="AT77" s="5">
        <f t="shared" si="212"/>
        <v>1.2296622311569168</v>
      </c>
      <c r="AU77" s="5">
        <f t="shared" si="286"/>
        <v>1.9481095059675442</v>
      </c>
      <c r="AV77" s="5">
        <f t="shared" si="213"/>
        <v>1.7481095059675438</v>
      </c>
      <c r="AW77" s="173">
        <f t="shared" si="287"/>
        <v>0.38695738173743965</v>
      </c>
      <c r="AX77" s="173">
        <f t="shared" si="214"/>
        <v>11.359925160015029</v>
      </c>
      <c r="AY77" s="173">
        <f t="shared" si="215"/>
        <v>0.75185506663902024</v>
      </c>
      <c r="AZ77" s="173">
        <f t="shared" si="288"/>
        <v>15.10919546076444</v>
      </c>
      <c r="BA77" s="460">
        <f t="shared" si="216"/>
        <v>5.3985171123962203</v>
      </c>
      <c r="BB77" s="5">
        <f t="shared" si="217"/>
        <v>0.80082863353015854</v>
      </c>
      <c r="BC77" s="5"/>
      <c r="BD77" s="173">
        <f t="shared" si="289"/>
        <v>0.88093608413751423</v>
      </c>
      <c r="BE77" s="173">
        <f t="shared" si="218"/>
        <v>1.1088126329874262</v>
      </c>
      <c r="BF77" s="173"/>
      <c r="BG77" s="528">
        <f t="shared" si="219"/>
        <v>1.5520967686710753E-2</v>
      </c>
      <c r="BH77" s="528">
        <f t="shared" si="220"/>
        <v>0.59103699989064395</v>
      </c>
      <c r="BI77" s="528">
        <f t="shared" si="221"/>
        <v>0.18831554939264103</v>
      </c>
      <c r="BJ77" s="528">
        <f t="shared" si="222"/>
        <v>5.2481057144131968E-2</v>
      </c>
      <c r="BK77">
        <f t="shared" si="223"/>
        <v>1.0771628949378003E-2</v>
      </c>
      <c r="BL77" s="460">
        <f t="shared" si="290"/>
        <v>199.08717834201903</v>
      </c>
      <c r="BM77" s="528">
        <f t="shared" si="224"/>
        <v>0.66568458557758703</v>
      </c>
      <c r="BN77" s="460">
        <f t="shared" si="291"/>
        <v>665.68458557758709</v>
      </c>
      <c r="BO77" s="528">
        <f t="shared" si="225"/>
        <v>0.44729999999999998</v>
      </c>
      <c r="BP77" s="528"/>
      <c r="BR77" s="460">
        <f t="shared" si="292"/>
        <v>447.29999999999995</v>
      </c>
      <c r="BS77" s="528">
        <f t="shared" si="226"/>
        <v>2.3281451530066128E-2</v>
      </c>
      <c r="BT77" s="528">
        <f t="shared" si="227"/>
        <v>3.6883963652175257E-2</v>
      </c>
      <c r="BU77" s="528">
        <f t="shared" si="228"/>
        <v>0.17711999999999997</v>
      </c>
      <c r="BV77" s="528">
        <f t="shared" si="229"/>
        <v>0.2529425864846287</v>
      </c>
      <c r="BW77" s="528">
        <f t="shared" si="230"/>
        <v>9.4666043000125252E-3</v>
      </c>
      <c r="BX77" s="460">
        <f t="shared" si="293"/>
        <v>262.40919078464123</v>
      </c>
      <c r="BY77" s="173">
        <f t="shared" si="231"/>
        <v>1.5744809547042471</v>
      </c>
      <c r="BZ77" s="5">
        <f t="shared" si="294"/>
        <v>11.807999999999998</v>
      </c>
      <c r="CA77" s="173">
        <f t="shared" si="295"/>
        <v>0.88234760355472186</v>
      </c>
      <c r="CB77" s="5">
        <f t="shared" si="296"/>
        <v>88.23476035547219</v>
      </c>
      <c r="CE77" s="562">
        <f t="shared" si="232"/>
        <v>-50</v>
      </c>
      <c r="CF77">
        <f t="shared" si="233"/>
        <v>-50</v>
      </c>
      <c r="CG77" s="173">
        <f t="shared" si="234"/>
        <v>0.57100458547838073</v>
      </c>
      <c r="CI77" s="170">
        <v>72</v>
      </c>
      <c r="CJ77" s="217">
        <f t="shared" si="297"/>
        <v>0.72</v>
      </c>
      <c r="CK77" s="217"/>
      <c r="CL77" s="217">
        <f t="shared" si="235"/>
        <v>11.807999999999998</v>
      </c>
      <c r="CM77" s="541">
        <f t="shared" si="236"/>
        <v>24</v>
      </c>
      <c r="CN77" s="172">
        <f t="shared" si="237"/>
        <v>16.799999999999997</v>
      </c>
      <c r="CO77" s="443">
        <f t="shared" si="238"/>
        <v>40.799999999999997</v>
      </c>
      <c r="CP77" s="443"/>
      <c r="CQ77" s="217">
        <f t="shared" si="239"/>
        <v>0.41176470588235292</v>
      </c>
      <c r="CR77" s="172">
        <f t="shared" si="240"/>
        <v>33.237647058823534</v>
      </c>
      <c r="CS77" s="172">
        <f t="shared" si="298"/>
        <v>11.807999999999998</v>
      </c>
      <c r="CT77" s="217">
        <f t="shared" si="241"/>
        <v>2.026685796269728</v>
      </c>
      <c r="CU77" s="217">
        <f t="shared" si="242"/>
        <v>16.399999999999999</v>
      </c>
      <c r="CV77" s="217">
        <f t="shared" si="243"/>
        <v>2.0086083213773311</v>
      </c>
      <c r="CW77" s="172">
        <f t="shared" si="244"/>
        <v>87.220674294427212</v>
      </c>
      <c r="CX77" s="172">
        <f t="shared" si="245"/>
        <v>16.399999999999999</v>
      </c>
      <c r="CY77" s="217">
        <f t="shared" si="246"/>
        <v>2.3897142857142852</v>
      </c>
      <c r="CZ77" s="217">
        <f t="shared" si="247"/>
        <v>1.1948571428571426</v>
      </c>
      <c r="DA77" s="217">
        <f t="shared" si="248"/>
        <v>1.7069387755102041</v>
      </c>
      <c r="DB77" s="197">
        <f t="shared" si="249"/>
        <v>350</v>
      </c>
      <c r="DC77" s="443">
        <f t="shared" si="299"/>
        <v>344.6141727853265</v>
      </c>
      <c r="DE77" s="217">
        <f t="shared" si="250"/>
        <v>2.3529411764705879</v>
      </c>
      <c r="DF77" s="173">
        <f t="shared" si="251"/>
        <v>1.6806722689075633</v>
      </c>
      <c r="DG77" s="173">
        <f t="shared" si="252"/>
        <v>0.69204152249134954</v>
      </c>
      <c r="DH77" s="173"/>
      <c r="DI77" s="173">
        <f t="shared" si="253"/>
        <v>0.95238095238095266</v>
      </c>
      <c r="DJ77" s="545">
        <f t="shared" si="300"/>
        <v>1133.9999999999995</v>
      </c>
      <c r="DK77" s="528">
        <f t="shared" si="254"/>
        <v>0.22222222222222232</v>
      </c>
      <c r="DM77" s="173">
        <f t="shared" si="255"/>
        <v>2.4</v>
      </c>
      <c r="DN77" s="173">
        <f t="shared" si="256"/>
        <v>2.3897142857142852</v>
      </c>
      <c r="DO77" s="173">
        <f t="shared" si="257"/>
        <v>1.9825044091710753</v>
      </c>
      <c r="DQ77" s="545">
        <f t="shared" si="258"/>
        <v>720</v>
      </c>
      <c r="DR77" s="460">
        <f t="shared" si="259"/>
        <v>344.6141727853265</v>
      </c>
      <c r="DT77">
        <f t="shared" si="260"/>
        <v>720</v>
      </c>
      <c r="DU77">
        <f t="shared" si="261"/>
        <v>344.6141727853265</v>
      </c>
      <c r="DW77" s="5">
        <f t="shared" si="301"/>
        <v>2.9017959183673465</v>
      </c>
      <c r="DX77" s="5">
        <f t="shared" si="262"/>
        <v>1.1948571428571426</v>
      </c>
      <c r="DY77" s="5">
        <f t="shared" si="302"/>
        <v>1.7069387755102039</v>
      </c>
      <c r="DZ77" s="5">
        <f t="shared" si="263"/>
        <v>1.7069387755102041</v>
      </c>
      <c r="EA77" s="173">
        <f t="shared" si="303"/>
        <v>0.41176470588235292</v>
      </c>
      <c r="EB77" s="173">
        <f t="shared" si="264"/>
        <v>11.807999999999996</v>
      </c>
      <c r="EC77" s="173">
        <f t="shared" si="265"/>
        <v>0.70285714285714274</v>
      </c>
      <c r="ED77" s="173">
        <f t="shared" si="304"/>
        <v>16.799999999999997</v>
      </c>
      <c r="EE77" s="460">
        <f t="shared" si="266"/>
        <v>5.2457142857142847</v>
      </c>
      <c r="EF77" s="5">
        <f t="shared" si="267"/>
        <v>0.69984489795918337</v>
      </c>
      <c r="EG77" s="5"/>
      <c r="EH77" s="173">
        <f t="shared" si="305"/>
        <v>0.88533964426895806</v>
      </c>
      <c r="EI77" s="173">
        <f t="shared" si="268"/>
        <v>1.0581832718081936</v>
      </c>
      <c r="EJ77" s="173"/>
      <c r="EK77" s="528">
        <f t="shared" si="269"/>
        <v>1.5676525714285704E-2</v>
      </c>
      <c r="EL77" s="528">
        <f t="shared" si="270"/>
        <v>0.67199999999999982</v>
      </c>
      <c r="EM77" s="528">
        <f t="shared" si="271"/>
        <v>4.3076771598165815E-2</v>
      </c>
      <c r="EN77" s="528">
        <f t="shared" si="272"/>
        <v>5.7365853658536588E-2</v>
      </c>
      <c r="EO77">
        <f t="shared" si="273"/>
        <v>1.0800000000000001E-2</v>
      </c>
      <c r="EP77" s="460">
        <f t="shared" si="306"/>
        <v>53.87677159816581</v>
      </c>
      <c r="EQ77" s="528">
        <f t="shared" si="274"/>
        <v>0.80615453096472833</v>
      </c>
      <c r="ER77" s="460">
        <f t="shared" si="307"/>
        <v>806.15453096472834</v>
      </c>
      <c r="ES77" s="528">
        <f t="shared" si="308"/>
        <v>0.44729999999999998</v>
      </c>
      <c r="ET77" s="528"/>
      <c r="EV77" s="460">
        <f t="shared" si="309"/>
        <v>447.29999999999995</v>
      </c>
      <c r="EW77" s="528">
        <f t="shared" si="275"/>
        <v>2.3514788571428556E-2</v>
      </c>
      <c r="EX77" s="528">
        <f t="shared" si="276"/>
        <v>3.3592555102040796E-2</v>
      </c>
      <c r="EY77" s="528">
        <f t="shared" si="277"/>
        <v>0.97312311820048403</v>
      </c>
      <c r="EZ77" s="528">
        <f t="shared" si="278"/>
        <v>1.0487274273647309</v>
      </c>
      <c r="FA77" s="528">
        <f t="shared" si="279"/>
        <v>9.8399999999999981E-3</v>
      </c>
      <c r="FB77" s="460">
        <f t="shared" si="310"/>
        <v>1058.567427364731</v>
      </c>
      <c r="FC77" s="173">
        <f t="shared" si="311"/>
        <v>2.3120219583294594</v>
      </c>
      <c r="FD77" s="5">
        <f t="shared" si="312"/>
        <v>11.807999999999998</v>
      </c>
      <c r="FE77" s="173">
        <f t="shared" si="313"/>
        <v>0.83625932274378734</v>
      </c>
      <c r="FF77" s="5">
        <f t="shared" si="314"/>
        <v>83.625932274378727</v>
      </c>
      <c r="FI77" s="562">
        <f t="shared" si="280"/>
        <v>-50</v>
      </c>
      <c r="FJ77">
        <f t="shared" si="281"/>
        <v>-50</v>
      </c>
      <c r="FL77">
        <f t="shared" si="282"/>
        <v>0.58823529411764708</v>
      </c>
    </row>
    <row r="78" spans="5:168">
      <c r="E78" s="170">
        <v>73</v>
      </c>
      <c r="F78" s="217">
        <f t="shared" si="283"/>
        <v>0.73</v>
      </c>
      <c r="G78" s="217"/>
      <c r="H78" s="217">
        <f t="shared" si="183"/>
        <v>11.972</v>
      </c>
      <c r="I78" s="541">
        <f t="shared" si="184"/>
        <v>23.936103983930703</v>
      </c>
      <c r="J78" s="172">
        <f t="shared" si="185"/>
        <v>16.838337609641574</v>
      </c>
      <c r="K78" s="172">
        <f t="shared" si="186"/>
        <v>40.83833760964157</v>
      </c>
      <c r="L78" s="443"/>
      <c r="M78" s="217">
        <f t="shared" si="187"/>
        <v>0.41294709936243551</v>
      </c>
      <c r="N78" s="172">
        <f t="shared" si="188"/>
        <v>33.244346041978794</v>
      </c>
      <c r="O78" s="172">
        <f t="shared" si="284"/>
        <v>11.972</v>
      </c>
      <c r="P78" s="217">
        <f t="shared" si="189"/>
        <v>2.0270942708523658</v>
      </c>
      <c r="Q78" s="217">
        <f t="shared" si="190"/>
        <v>16.399999999999999</v>
      </c>
      <c r="R78" s="217">
        <f t="shared" si="191"/>
        <v>2.009013152480045</v>
      </c>
      <c r="S78" s="172">
        <f t="shared" si="192"/>
        <v>85.472670275951785</v>
      </c>
      <c r="T78" s="172">
        <f t="shared" si="193"/>
        <v>16.399999999999999</v>
      </c>
      <c r="U78" s="217">
        <f t="shared" si="194"/>
        <v>2.4869990394636963</v>
      </c>
      <c r="V78" s="217">
        <f t="shared" si="195"/>
        <v>1.246818968266509</v>
      </c>
      <c r="W78" s="217">
        <f t="shared" si="196"/>
        <v>1.7723833056106317</v>
      </c>
      <c r="X78" s="197">
        <f t="shared" si="197"/>
        <v>350</v>
      </c>
      <c r="Y78" s="443">
        <f t="shared" si="198"/>
        <v>310.63596348533287</v>
      </c>
      <c r="AA78" s="217">
        <f t="shared" si="199"/>
        <v>2.3535062896597423</v>
      </c>
      <c r="AB78" s="173">
        <f t="shared" si="200"/>
        <v>1.6772484392845046</v>
      </c>
      <c r="AC78" s="173">
        <f t="shared" si="201"/>
        <v>0.69079758145616188</v>
      </c>
      <c r="AD78" s="173"/>
      <c r="AE78" s="173">
        <f t="shared" si="202"/>
        <v>0.95021256675828003</v>
      </c>
      <c r="AF78" s="545">
        <f t="shared" si="203"/>
        <v>1152.3737301598451</v>
      </c>
      <c r="AG78" s="528">
        <f t="shared" si="204"/>
        <v>0.22171626557693203</v>
      </c>
      <c r="AI78" s="173">
        <f t="shared" si="205"/>
        <v>2.4193649752262667</v>
      </c>
      <c r="AJ78" s="173">
        <f t="shared" si="206"/>
        <v>2.4869990394636963</v>
      </c>
      <c r="AK78" s="173">
        <f t="shared" si="207"/>
        <v>2.0545671897261943</v>
      </c>
      <c r="AM78" s="545">
        <f t="shared" si="208"/>
        <v>730</v>
      </c>
      <c r="AN78" s="460">
        <f t="shared" si="209"/>
        <v>310.63596348533287</v>
      </c>
      <c r="AP78">
        <f t="shared" si="210"/>
        <v>730</v>
      </c>
      <c r="AQ78">
        <f t="shared" si="211"/>
        <v>310.63596348533287</v>
      </c>
      <c r="AS78" s="5">
        <f t="shared" si="285"/>
        <v>3.2192022738771406</v>
      </c>
      <c r="AT78" s="5">
        <f t="shared" si="212"/>
        <v>1.246818968266509</v>
      </c>
      <c r="AU78" s="5">
        <f t="shared" si="286"/>
        <v>1.9723833056106317</v>
      </c>
      <c r="AV78" s="5">
        <f t="shared" si="213"/>
        <v>1.7723833056106317</v>
      </c>
      <c r="AW78" s="173">
        <f t="shared" si="287"/>
        <v>0.38730681149925567</v>
      </c>
      <c r="AX78" s="173">
        <f t="shared" si="214"/>
        <v>11.528006685042621</v>
      </c>
      <c r="AY78" s="173">
        <f t="shared" si="215"/>
        <v>0.76188368564365017</v>
      </c>
      <c r="AZ78" s="173">
        <f t="shared" si="288"/>
        <v>15.130927334798615</v>
      </c>
      <c r="BA78" s="460">
        <f t="shared" si="216"/>
        <v>5.549864919722876</v>
      </c>
      <c r="BB78" s="5">
        <f t="shared" si="217"/>
        <v>0.82209748053342036</v>
      </c>
      <c r="BC78" s="5"/>
      <c r="BD78" s="173">
        <f t="shared" si="289"/>
        <v>0.8935987603571881</v>
      </c>
      <c r="BE78" s="173">
        <f t="shared" si="218"/>
        <v>1.1239228901126681</v>
      </c>
      <c r="BF78" s="173"/>
      <c r="BG78" s="528">
        <f t="shared" si="219"/>
        <v>1.5970374890238066E-2</v>
      </c>
      <c r="BH78" s="528">
        <f t="shared" si="220"/>
        <v>0.59155711047175463</v>
      </c>
      <c r="BI78" s="528">
        <f t="shared" si="221"/>
        <v>0.18588536807833572</v>
      </c>
      <c r="BJ78" s="528">
        <f t="shared" si="222"/>
        <v>5.1806928450955574E-2</v>
      </c>
      <c r="BK78">
        <f t="shared" si="223"/>
        <v>1.0771246792768816E-2</v>
      </c>
      <c r="BL78" s="460">
        <f t="shared" si="290"/>
        <v>196.65661487110452</v>
      </c>
      <c r="BM78" s="528">
        <f t="shared" si="224"/>
        <v>0.66617425392570706</v>
      </c>
      <c r="BN78" s="460">
        <f t="shared" si="291"/>
        <v>666.17425392570703</v>
      </c>
      <c r="BO78" s="528">
        <f t="shared" si="225"/>
        <v>0.45351249999999999</v>
      </c>
      <c r="BP78" s="528"/>
      <c r="BR78" s="460">
        <f t="shared" si="292"/>
        <v>453.51249999999999</v>
      </c>
      <c r="BS78" s="528">
        <f t="shared" si="226"/>
        <v>2.3955562335357099E-2</v>
      </c>
      <c r="BT78" s="528">
        <f t="shared" si="227"/>
        <v>3.7896079887576373E-2</v>
      </c>
      <c r="BU78" s="528">
        <f t="shared" si="228"/>
        <v>0.17957999999999999</v>
      </c>
      <c r="BV78" s="528">
        <f t="shared" si="229"/>
        <v>0.25755042971910541</v>
      </c>
      <c r="BW78" s="528">
        <f t="shared" si="230"/>
        <v>9.6066722375355174E-3</v>
      </c>
      <c r="BX78" s="460">
        <f t="shared" si="293"/>
        <v>267.15710195664093</v>
      </c>
      <c r="BY78" s="173">
        <f t="shared" si="231"/>
        <v>1.5835004707534521</v>
      </c>
      <c r="BZ78" s="5">
        <f t="shared" si="294"/>
        <v>11.972</v>
      </c>
      <c r="CA78" s="173">
        <f t="shared" si="295"/>
        <v>0.88318391680411068</v>
      </c>
      <c r="CB78" s="5">
        <f t="shared" si="296"/>
        <v>88.318391680411068</v>
      </c>
      <c r="CE78" s="562">
        <f t="shared" si="232"/>
        <v>-50</v>
      </c>
      <c r="CF78">
        <f t="shared" si="233"/>
        <v>-50</v>
      </c>
      <c r="CG78" s="173">
        <f t="shared" si="234"/>
        <v>0.5712406225830281</v>
      </c>
      <c r="CI78" s="170">
        <v>73</v>
      </c>
      <c r="CJ78" s="217">
        <f t="shared" si="297"/>
        <v>0.73</v>
      </c>
      <c r="CK78" s="217"/>
      <c r="CL78" s="217">
        <f t="shared" si="235"/>
        <v>11.972</v>
      </c>
      <c r="CM78" s="541">
        <f t="shared" si="236"/>
        <v>24</v>
      </c>
      <c r="CN78" s="172">
        <f t="shared" si="237"/>
        <v>16.799999999999997</v>
      </c>
      <c r="CO78" s="443">
        <f t="shared" si="238"/>
        <v>40.799999999999997</v>
      </c>
      <c r="CP78" s="443"/>
      <c r="CQ78" s="217">
        <f t="shared" si="239"/>
        <v>0.41176470588235292</v>
      </c>
      <c r="CR78" s="172">
        <f t="shared" si="240"/>
        <v>33.237647058823534</v>
      </c>
      <c r="CS78" s="172">
        <f t="shared" si="298"/>
        <v>11.972</v>
      </c>
      <c r="CT78" s="217">
        <f t="shared" si="241"/>
        <v>2.026685796269728</v>
      </c>
      <c r="CU78" s="217">
        <f t="shared" si="242"/>
        <v>16.399999999999999</v>
      </c>
      <c r="CV78" s="217">
        <f t="shared" si="243"/>
        <v>2.0086083213773311</v>
      </c>
      <c r="CW78" s="172">
        <f t="shared" si="244"/>
        <v>85.700538656182516</v>
      </c>
      <c r="CX78" s="172">
        <f t="shared" si="245"/>
        <v>16.399999999999999</v>
      </c>
      <c r="CY78" s="217">
        <f t="shared" si="246"/>
        <v>2.4229047619047619</v>
      </c>
      <c r="CZ78" s="217">
        <f t="shared" si="247"/>
        <v>1.2114523809523809</v>
      </c>
      <c r="DA78" s="217">
        <f t="shared" si="248"/>
        <v>1.7306462585034015</v>
      </c>
      <c r="DB78" s="197">
        <f t="shared" si="249"/>
        <v>350</v>
      </c>
      <c r="DC78" s="443">
        <f t="shared" si="299"/>
        <v>339.8934306923768</v>
      </c>
      <c r="DE78" s="217">
        <f t="shared" si="250"/>
        <v>2.3529411764705879</v>
      </c>
      <c r="DF78" s="173">
        <f t="shared" si="251"/>
        <v>1.6806722689075633</v>
      </c>
      <c r="DG78" s="173">
        <f t="shared" si="252"/>
        <v>0.69204152249134954</v>
      </c>
      <c r="DH78" s="173"/>
      <c r="DI78" s="173">
        <f t="shared" si="253"/>
        <v>0.95238095238095266</v>
      </c>
      <c r="DJ78" s="545">
        <f t="shared" si="300"/>
        <v>1149.7499999999995</v>
      </c>
      <c r="DK78" s="528">
        <f t="shared" si="254"/>
        <v>0.22222222222222232</v>
      </c>
      <c r="DM78" s="173">
        <f t="shared" si="255"/>
        <v>2.4166091947189141</v>
      </c>
      <c r="DN78" s="173">
        <f t="shared" si="256"/>
        <v>2.4229047619047619</v>
      </c>
      <c r="DO78" s="173">
        <f t="shared" si="257"/>
        <v>2.007089947089947</v>
      </c>
      <c r="DQ78" s="545">
        <f t="shared" si="258"/>
        <v>730</v>
      </c>
      <c r="DR78" s="460">
        <f t="shared" si="259"/>
        <v>339.8934306923768</v>
      </c>
      <c r="DT78">
        <f t="shared" si="260"/>
        <v>730</v>
      </c>
      <c r="DU78">
        <f t="shared" si="261"/>
        <v>339.8934306923768</v>
      </c>
      <c r="DW78" s="5">
        <f t="shared" si="301"/>
        <v>2.9420986394557822</v>
      </c>
      <c r="DX78" s="5">
        <f t="shared" si="262"/>
        <v>1.2114523809523809</v>
      </c>
      <c r="DY78" s="5">
        <f t="shared" si="302"/>
        <v>1.7306462585034013</v>
      </c>
      <c r="DZ78" s="5">
        <f t="shared" si="263"/>
        <v>1.7306462585034015</v>
      </c>
      <c r="EA78" s="173">
        <f t="shared" si="303"/>
        <v>0.41176470588235298</v>
      </c>
      <c r="EB78" s="173">
        <f t="shared" si="264"/>
        <v>11.972000000000001</v>
      </c>
      <c r="EC78" s="173">
        <f t="shared" si="265"/>
        <v>0.71261904761904749</v>
      </c>
      <c r="ED78" s="173">
        <f t="shared" si="304"/>
        <v>16.800000000000004</v>
      </c>
      <c r="EE78" s="460">
        <f t="shared" si="266"/>
        <v>5.392440476190477</v>
      </c>
      <c r="EF78" s="5">
        <f t="shared" si="267"/>
        <v>0.71942003495842755</v>
      </c>
      <c r="EG78" s="5"/>
      <c r="EH78" s="173">
        <f t="shared" si="305"/>
        <v>0.89763602821713839</v>
      </c>
      <c r="EI78" s="173">
        <f t="shared" si="268"/>
        <v>1.0728802616944186</v>
      </c>
      <c r="EJ78" s="173"/>
      <c r="EK78" s="528">
        <f t="shared" si="269"/>
        <v>1.6115008783068784E-2</v>
      </c>
      <c r="EL78" s="528">
        <f t="shared" si="270"/>
        <v>0.67199999999999982</v>
      </c>
      <c r="EM78" s="528">
        <f t="shared" si="271"/>
        <v>4.2486678836547102E-2</v>
      </c>
      <c r="EN78" s="528">
        <f t="shared" si="272"/>
        <v>5.6580020046775814E-2</v>
      </c>
      <c r="EO78">
        <f t="shared" si="273"/>
        <v>1.0800000000000001E-2</v>
      </c>
      <c r="EP78" s="460">
        <f t="shared" si="306"/>
        <v>53.286678836547097</v>
      </c>
      <c r="EQ78" s="528">
        <f t="shared" si="274"/>
        <v>0.80541664082466258</v>
      </c>
      <c r="ER78" s="460">
        <f t="shared" si="307"/>
        <v>805.41664082466252</v>
      </c>
      <c r="ES78" s="528">
        <f t="shared" si="308"/>
        <v>0.45351249999999999</v>
      </c>
      <c r="ET78" s="528"/>
      <c r="EV78" s="460">
        <f t="shared" si="309"/>
        <v>453.51249999999999</v>
      </c>
      <c r="EW78" s="528">
        <f t="shared" si="275"/>
        <v>2.4172513174603175E-2</v>
      </c>
      <c r="EX78" s="528">
        <f t="shared" si="276"/>
        <v>3.4532161678004526E-2</v>
      </c>
      <c r="EY78" s="528">
        <f t="shared" si="277"/>
        <v>0.97312311820048625</v>
      </c>
      <c r="EZ78" s="528">
        <f t="shared" si="278"/>
        <v>1.0508521095303724</v>
      </c>
      <c r="FA78" s="528">
        <f t="shared" si="279"/>
        <v>9.9766666666666667E-3</v>
      </c>
      <c r="FB78" s="460">
        <f t="shared" si="310"/>
        <v>1060.8287761970391</v>
      </c>
      <c r="FC78" s="173">
        <f t="shared" si="311"/>
        <v>2.3197579170217018</v>
      </c>
      <c r="FD78" s="5">
        <f t="shared" si="312"/>
        <v>11.972</v>
      </c>
      <c r="FE78" s="173">
        <f t="shared" si="313"/>
        <v>0.83768561358999549</v>
      </c>
      <c r="FF78" s="5">
        <f t="shared" si="314"/>
        <v>83.768561358999548</v>
      </c>
      <c r="FI78" s="562">
        <f t="shared" si="280"/>
        <v>-50</v>
      </c>
      <c r="FJ78">
        <f t="shared" si="281"/>
        <v>-50</v>
      </c>
      <c r="FL78">
        <f t="shared" si="282"/>
        <v>0.58823529411764697</v>
      </c>
    </row>
    <row r="79" spans="5:168">
      <c r="E79" s="170">
        <v>74</v>
      </c>
      <c r="F79" s="217">
        <f t="shared" si="283"/>
        <v>0.74</v>
      </c>
      <c r="G79" s="217"/>
      <c r="H79" s="217">
        <f t="shared" si="183"/>
        <v>12.135999999999999</v>
      </c>
      <c r="I79" s="541">
        <f t="shared" si="184"/>
        <v>23.935254725792287</v>
      </c>
      <c r="J79" s="172">
        <f t="shared" si="185"/>
        <v>16.838847164524623</v>
      </c>
      <c r="K79" s="172">
        <f t="shared" si="186"/>
        <v>40.838847164524623</v>
      </c>
      <c r="L79" s="443"/>
      <c r="M79" s="217">
        <f t="shared" si="187"/>
        <v>0.41296304363311176</v>
      </c>
      <c r="N79" s="172">
        <f t="shared" si="188"/>
        <v>33.244450074907597</v>
      </c>
      <c r="O79" s="172">
        <f t="shared" si="284"/>
        <v>12.135999999999999</v>
      </c>
      <c r="P79" s="217">
        <f t="shared" si="189"/>
        <v>2.0271006143236341</v>
      </c>
      <c r="Q79" s="217">
        <f t="shared" si="190"/>
        <v>16.399999999999999</v>
      </c>
      <c r="R79" s="217">
        <f t="shared" si="191"/>
        <v>2.0090194393693102</v>
      </c>
      <c r="S79" s="172">
        <f t="shared" si="192"/>
        <v>83.994652417027098</v>
      </c>
      <c r="T79" s="172">
        <f t="shared" si="193"/>
        <v>16.399999999999999</v>
      </c>
      <c r="U79" s="217">
        <f t="shared" si="194"/>
        <v>2.5211359931401405</v>
      </c>
      <c r="V79" s="217">
        <f t="shared" si="195"/>
        <v>1.2639778546029345</v>
      </c>
      <c r="W79" s="217">
        <f t="shared" si="196"/>
        <v>1.7966569576935629</v>
      </c>
      <c r="X79" s="197">
        <f t="shared" si="197"/>
        <v>350</v>
      </c>
      <c r="Y79" s="443">
        <f t="shared" si="198"/>
        <v>306.68874546416623</v>
      </c>
      <c r="AA79" s="217">
        <f t="shared" si="199"/>
        <v>2.3535136128446759</v>
      </c>
      <c r="AB79" s="173">
        <f t="shared" si="200"/>
        <v>1.6772029033932632</v>
      </c>
      <c r="AC79" s="173">
        <f t="shared" si="201"/>
        <v>0.69078097631176527</v>
      </c>
      <c r="AD79" s="173"/>
      <c r="AE79" s="173">
        <f t="shared" si="202"/>
        <v>0.95018381268452468</v>
      </c>
      <c r="AF79" s="545">
        <f t="shared" si="203"/>
        <v>1168.1950220388953</v>
      </c>
      <c r="AG79" s="528">
        <f t="shared" si="204"/>
        <v>0.22170955629305575</v>
      </c>
      <c r="AI79" s="173">
        <f t="shared" si="205"/>
        <v>2.4359164601505703</v>
      </c>
      <c r="AJ79" s="173">
        <f t="shared" si="206"/>
        <v>2.5211359931401405</v>
      </c>
      <c r="AK79" s="173">
        <f t="shared" si="207"/>
        <v>2.0798538220791163</v>
      </c>
      <c r="AM79" s="545">
        <f t="shared" si="208"/>
        <v>740</v>
      </c>
      <c r="AN79" s="460">
        <f t="shared" si="209"/>
        <v>306.68874546416623</v>
      </c>
      <c r="AP79">
        <f t="shared" si="210"/>
        <v>740</v>
      </c>
      <c r="AQ79">
        <f t="shared" si="211"/>
        <v>306.68874546416623</v>
      </c>
      <c r="AS79" s="5">
        <f t="shared" si="285"/>
        <v>3.2606348122964977</v>
      </c>
      <c r="AT79" s="5">
        <f t="shared" si="212"/>
        <v>1.2639778546029345</v>
      </c>
      <c r="AU79" s="5">
        <f t="shared" si="286"/>
        <v>1.9966569576935631</v>
      </c>
      <c r="AV79" s="5">
        <f t="shared" si="213"/>
        <v>1.7966569576935629</v>
      </c>
      <c r="AW79" s="173">
        <f t="shared" si="287"/>
        <v>0.3876477825226623</v>
      </c>
      <c r="AX79" s="173">
        <f t="shared" si="214"/>
        <v>11.696115134273571</v>
      </c>
      <c r="AY79" s="173">
        <f t="shared" si="215"/>
        <v>0.77191160798064751</v>
      </c>
      <c r="AZ79" s="173">
        <f t="shared" si="288"/>
        <v>15.152143086526562</v>
      </c>
      <c r="BA79" s="460">
        <f t="shared" si="216"/>
        <v>5.7033147097937302</v>
      </c>
      <c r="BB79" s="5">
        <f t="shared" si="217"/>
        <v>0.84364497461206045</v>
      </c>
      <c r="BC79" s="5"/>
      <c r="BD79" s="173">
        <f t="shared" si="289"/>
        <v>0.90626309996993282</v>
      </c>
      <c r="BE79" s="173">
        <f t="shared" si="218"/>
        <v>1.1390329636443635</v>
      </c>
      <c r="BF79" s="173"/>
      <c r="BG79" s="528">
        <f t="shared" si="219"/>
        <v>1.6426256127342248E-2</v>
      </c>
      <c r="BH79" s="528">
        <f t="shared" si="220"/>
        <v>0.59206427639037851</v>
      </c>
      <c r="BI79" s="528">
        <f t="shared" si="221"/>
        <v>0.18351683110546232</v>
      </c>
      <c r="BJ79" s="528">
        <f t="shared" si="222"/>
        <v>5.1149899750740399E-2</v>
      </c>
      <c r="BK79">
        <f t="shared" si="223"/>
        <v>1.0770864626606529E-2</v>
      </c>
      <c r="BL79" s="460">
        <f t="shared" si="290"/>
        <v>194.28769573206887</v>
      </c>
      <c r="BM79" s="528">
        <f t="shared" si="224"/>
        <v>0.66667748260671389</v>
      </c>
      <c r="BN79" s="460">
        <f t="shared" si="291"/>
        <v>666.67748260671385</v>
      </c>
      <c r="BO79" s="528">
        <f t="shared" si="225"/>
        <v>0.45972499999999999</v>
      </c>
      <c r="BP79" s="528"/>
      <c r="BR79" s="460">
        <f t="shared" si="292"/>
        <v>459.72500000000002</v>
      </c>
      <c r="BS79" s="528">
        <f t="shared" si="226"/>
        <v>2.4639384191013372E-2</v>
      </c>
      <c r="BT79" s="528">
        <f t="shared" si="227"/>
        <v>3.8921882768053855E-2</v>
      </c>
      <c r="BU79" s="528">
        <f t="shared" si="228"/>
        <v>0.18203999999999998</v>
      </c>
      <c r="BV79" s="528">
        <f t="shared" si="229"/>
        <v>0.26218917713175932</v>
      </c>
      <c r="BW79" s="528">
        <f t="shared" si="230"/>
        <v>9.7467626118946434E-3</v>
      </c>
      <c r="BX79" s="460">
        <f t="shared" si="293"/>
        <v>271.93593974365399</v>
      </c>
      <c r="BY79" s="173">
        <f t="shared" si="231"/>
        <v>1.5926261180824364</v>
      </c>
      <c r="BZ79" s="5">
        <f t="shared" si="294"/>
        <v>12.135999999999999</v>
      </c>
      <c r="CA79" s="173">
        <f t="shared" si="295"/>
        <v>0.8839923161732306</v>
      </c>
      <c r="CB79" s="5">
        <f t="shared" si="296"/>
        <v>88.399231617323053</v>
      </c>
      <c r="CE79" s="562">
        <f t="shared" si="232"/>
        <v>-50</v>
      </c>
      <c r="CF79">
        <f t="shared" si="233"/>
        <v>-50</v>
      </c>
      <c r="CG79" s="173">
        <f t="shared" si="234"/>
        <v>0.57147028030646918</v>
      </c>
      <c r="CI79" s="170">
        <v>74</v>
      </c>
      <c r="CJ79" s="217">
        <f t="shared" si="297"/>
        <v>0.74</v>
      </c>
      <c r="CK79" s="217"/>
      <c r="CL79" s="217">
        <f t="shared" si="235"/>
        <v>12.135999999999999</v>
      </c>
      <c r="CM79" s="541">
        <f t="shared" si="236"/>
        <v>24</v>
      </c>
      <c r="CN79" s="172">
        <f t="shared" si="237"/>
        <v>16.799999999999997</v>
      </c>
      <c r="CO79" s="443">
        <f t="shared" si="238"/>
        <v>40.799999999999997</v>
      </c>
      <c r="CP79" s="443"/>
      <c r="CQ79" s="217">
        <f t="shared" si="239"/>
        <v>0.41176470588235292</v>
      </c>
      <c r="CR79" s="172">
        <f t="shared" si="240"/>
        <v>33.237647058823534</v>
      </c>
      <c r="CS79" s="172">
        <f t="shared" si="298"/>
        <v>12.135999999999999</v>
      </c>
      <c r="CT79" s="217">
        <f t="shared" si="241"/>
        <v>2.026685796269728</v>
      </c>
      <c r="CU79" s="217">
        <f t="shared" si="242"/>
        <v>16.399999999999999</v>
      </c>
      <c r="CV79" s="217">
        <f t="shared" si="243"/>
        <v>2.0086083213773311</v>
      </c>
      <c r="CW79" s="172">
        <f t="shared" si="244"/>
        <v>84.22155438158012</v>
      </c>
      <c r="CX79" s="172">
        <f t="shared" si="245"/>
        <v>16.399999999999999</v>
      </c>
      <c r="CY79" s="217">
        <f t="shared" si="246"/>
        <v>2.4560952380952377</v>
      </c>
      <c r="CZ79" s="217">
        <f t="shared" si="247"/>
        <v>1.2280476190476188</v>
      </c>
      <c r="DA79" s="217">
        <f t="shared" si="248"/>
        <v>1.7543537414965988</v>
      </c>
      <c r="DB79" s="197">
        <f t="shared" si="249"/>
        <v>350</v>
      </c>
      <c r="DC79" s="443">
        <f t="shared" si="299"/>
        <v>335.30027622356084</v>
      </c>
      <c r="DE79" s="217">
        <f t="shared" si="250"/>
        <v>2.3529411764705879</v>
      </c>
      <c r="DF79" s="173">
        <f t="shared" si="251"/>
        <v>1.6806722689075633</v>
      </c>
      <c r="DG79" s="173">
        <f t="shared" si="252"/>
        <v>0.69204152249134954</v>
      </c>
      <c r="DH79" s="173"/>
      <c r="DI79" s="173">
        <f t="shared" si="253"/>
        <v>0.95238095238095266</v>
      </c>
      <c r="DJ79" s="545">
        <f t="shared" si="300"/>
        <v>1165.4999999999995</v>
      </c>
      <c r="DK79" s="528">
        <f t="shared" si="254"/>
        <v>0.22222222222222232</v>
      </c>
      <c r="DM79" s="173">
        <f t="shared" si="255"/>
        <v>2.4331050121192876</v>
      </c>
      <c r="DN79" s="173">
        <f t="shared" si="256"/>
        <v>2.4560952380952377</v>
      </c>
      <c r="DO79" s="173">
        <f t="shared" si="257"/>
        <v>2.0316754850088179</v>
      </c>
      <c r="DQ79" s="545">
        <f t="shared" si="258"/>
        <v>740</v>
      </c>
      <c r="DR79" s="460">
        <f t="shared" si="259"/>
        <v>335.30027622356084</v>
      </c>
      <c r="DT79">
        <f t="shared" si="260"/>
        <v>740</v>
      </c>
      <c r="DU79">
        <f t="shared" si="261"/>
        <v>335.30027622356084</v>
      </c>
      <c r="DW79" s="5">
        <f t="shared" si="301"/>
        <v>2.9824013605442183</v>
      </c>
      <c r="DX79" s="5">
        <f t="shared" si="262"/>
        <v>1.2280476190476188</v>
      </c>
      <c r="DY79" s="5">
        <f t="shared" si="302"/>
        <v>1.7543537414965995</v>
      </c>
      <c r="DZ79" s="5">
        <f t="shared" si="263"/>
        <v>1.7543537414965988</v>
      </c>
      <c r="EA79" s="173">
        <f t="shared" si="303"/>
        <v>0.41176470588235276</v>
      </c>
      <c r="EB79" s="173">
        <f t="shared" si="264"/>
        <v>12.135999999999994</v>
      </c>
      <c r="EC79" s="173">
        <f t="shared" si="265"/>
        <v>0.72238095238095246</v>
      </c>
      <c r="ED79" s="173">
        <f t="shared" si="304"/>
        <v>16.79999999999999</v>
      </c>
      <c r="EE79" s="460">
        <f t="shared" si="266"/>
        <v>5.5411904761904767</v>
      </c>
      <c r="EF79" s="5">
        <f t="shared" si="267"/>
        <v>0.73926517384731683</v>
      </c>
      <c r="EG79" s="5"/>
      <c r="EH79" s="173">
        <f t="shared" si="305"/>
        <v>0.90993241216531795</v>
      </c>
      <c r="EI79" s="173">
        <f t="shared" si="268"/>
        <v>1.0875772515806437</v>
      </c>
      <c r="EJ79" s="173"/>
      <c r="EK79" s="528">
        <f t="shared" si="269"/>
        <v>1.6559539894179881E-2</v>
      </c>
      <c r="EL79" s="528">
        <f t="shared" si="270"/>
        <v>0.67199999999999971</v>
      </c>
      <c r="EM79" s="528">
        <f t="shared" si="271"/>
        <v>4.1912534527945099E-2</v>
      </c>
      <c r="EN79" s="528">
        <f t="shared" si="272"/>
        <v>5.5815425181278827E-2</v>
      </c>
      <c r="EO79">
        <f t="shared" si="273"/>
        <v>1.0800000000000001E-2</v>
      </c>
      <c r="EP79" s="460">
        <f t="shared" si="306"/>
        <v>52.712534527945095</v>
      </c>
      <c r="EQ79" s="528">
        <f t="shared" si="274"/>
        <v>0.80472480267458946</v>
      </c>
      <c r="ER79" s="460">
        <f t="shared" si="307"/>
        <v>804.72480267458945</v>
      </c>
      <c r="ES79" s="528">
        <f t="shared" si="308"/>
        <v>0.45972499999999999</v>
      </c>
      <c r="ET79" s="528"/>
      <c r="EV79" s="460">
        <f t="shared" si="309"/>
        <v>459.72500000000002</v>
      </c>
      <c r="EW79" s="528">
        <f t="shared" si="275"/>
        <v>2.4839309841269822E-2</v>
      </c>
      <c r="EX79" s="528">
        <f t="shared" si="276"/>
        <v>3.5484728344671201E-2</v>
      </c>
      <c r="EY79" s="528">
        <f t="shared" si="277"/>
        <v>0.97312311820048347</v>
      </c>
      <c r="EZ79" s="528">
        <f t="shared" si="278"/>
        <v>1.0530066546426273</v>
      </c>
      <c r="FA79" s="528">
        <f t="shared" si="279"/>
        <v>1.0113333333333328E-2</v>
      </c>
      <c r="FB79" s="460">
        <f t="shared" si="310"/>
        <v>1063.1199879759608</v>
      </c>
      <c r="FC79" s="173">
        <f t="shared" si="311"/>
        <v>2.3275697906505504</v>
      </c>
      <c r="FD79" s="5">
        <f t="shared" si="312"/>
        <v>12.135999999999999</v>
      </c>
      <c r="FE79" s="173">
        <f t="shared" si="313"/>
        <v>0.83907362951606024</v>
      </c>
      <c r="FF79" s="5">
        <f t="shared" si="314"/>
        <v>83.907362951606018</v>
      </c>
      <c r="FI79" s="562">
        <f t="shared" si="280"/>
        <v>-50</v>
      </c>
      <c r="FJ79">
        <f t="shared" si="281"/>
        <v>-50</v>
      </c>
      <c r="FL79">
        <f t="shared" si="282"/>
        <v>0.58823529411764719</v>
      </c>
    </row>
    <row r="80" spans="5:168">
      <c r="E80" s="170">
        <v>75</v>
      </c>
      <c r="F80" s="217">
        <f t="shared" si="283"/>
        <v>0.75</v>
      </c>
      <c r="G80" s="217"/>
      <c r="H80" s="217">
        <f t="shared" si="183"/>
        <v>12.299999999999999</v>
      </c>
      <c r="I80" s="541">
        <f t="shared" si="184"/>
        <v>23.934405447298495</v>
      </c>
      <c r="J80" s="172">
        <f t="shared" si="185"/>
        <v>16.839356731620899</v>
      </c>
      <c r="K80" s="172">
        <f t="shared" si="186"/>
        <v>40.839356731620896</v>
      </c>
      <c r="L80" s="443"/>
      <c r="M80" s="217">
        <f t="shared" si="187"/>
        <v>0.41297898837530006</v>
      </c>
      <c r="N80" s="172">
        <f t="shared" si="188"/>
        <v>33.244554026435033</v>
      </c>
      <c r="O80" s="172">
        <f t="shared" si="284"/>
        <v>12.299999999999999</v>
      </c>
      <c r="P80" s="217">
        <f t="shared" si="189"/>
        <v>2.0271069528314047</v>
      </c>
      <c r="Q80" s="217">
        <f t="shared" si="190"/>
        <v>16.399999999999999</v>
      </c>
      <c r="R80" s="217">
        <f t="shared" si="191"/>
        <v>2.0090257213393508</v>
      </c>
      <c r="S80" s="172">
        <f t="shared" si="192"/>
        <v>82.556137395153641</v>
      </c>
      <c r="T80" s="172">
        <f t="shared" si="193"/>
        <v>16.399999999999999</v>
      </c>
      <c r="U80" s="217">
        <f t="shared" si="194"/>
        <v>2.5552748032790937</v>
      </c>
      <c r="V80" s="217">
        <f t="shared" si="195"/>
        <v>1.2811388904924785</v>
      </c>
      <c r="W80" s="217">
        <f t="shared" si="196"/>
        <v>1.820930462371503</v>
      </c>
      <c r="X80" s="197">
        <f t="shared" si="197"/>
        <v>350</v>
      </c>
      <c r="Y80" s="443">
        <f t="shared" si="198"/>
        <v>302.84039889491436</v>
      </c>
      <c r="AA80" s="217">
        <f t="shared" si="199"/>
        <v>2.3535209312730361</v>
      </c>
      <c r="AB80" s="173">
        <f t="shared" si="200"/>
        <v>1.6771573656518133</v>
      </c>
      <c r="AC80" s="173">
        <f t="shared" si="201"/>
        <v>0.69076436889255033</v>
      </c>
      <c r="AD80" s="173"/>
      <c r="AE80" s="173">
        <f t="shared" si="202"/>
        <v>0.95015505966182456</v>
      </c>
      <c r="AF80" s="545">
        <f t="shared" si="203"/>
        <v>1184.0172701920942</v>
      </c>
      <c r="AG80" s="528">
        <f t="shared" si="204"/>
        <v>0.22170284725442577</v>
      </c>
      <c r="AI80" s="173">
        <f t="shared" si="205"/>
        <v>2.4523572283782173</v>
      </c>
      <c r="AJ80" s="173">
        <f t="shared" si="206"/>
        <v>2.5552748032790937</v>
      </c>
      <c r="AK80" s="173">
        <f t="shared" si="207"/>
        <v>2.105141829589452</v>
      </c>
      <c r="AM80" s="545">
        <f t="shared" si="208"/>
        <v>750</v>
      </c>
      <c r="AN80" s="460">
        <f t="shared" si="209"/>
        <v>302.84039889491436</v>
      </c>
      <c r="AP80">
        <f t="shared" si="210"/>
        <v>750</v>
      </c>
      <c r="AQ80">
        <f t="shared" si="211"/>
        <v>302.84039889491436</v>
      </c>
      <c r="AS80" s="5">
        <f t="shared" si="285"/>
        <v>3.302069352863982</v>
      </c>
      <c r="AT80" s="5">
        <f t="shared" si="212"/>
        <v>1.2811388904924785</v>
      </c>
      <c r="AU80" s="5">
        <f t="shared" si="286"/>
        <v>2.0209304623715036</v>
      </c>
      <c r="AV80" s="5">
        <f t="shared" si="213"/>
        <v>1.820930462371503</v>
      </c>
      <c r="AW80" s="173">
        <f t="shared" si="287"/>
        <v>0.38798061263653022</v>
      </c>
      <c r="AX80" s="173">
        <f t="shared" si="214"/>
        <v>11.86424987944577</v>
      </c>
      <c r="AY80" s="173">
        <f t="shared" si="215"/>
        <v>0.78193885982409095</v>
      </c>
      <c r="AZ80" s="173">
        <f t="shared" si="288"/>
        <v>15.172861318229938</v>
      </c>
      <c r="BA80" s="460">
        <f t="shared" si="216"/>
        <v>5.8588668772521899</v>
      </c>
      <c r="BB80" s="5">
        <f t="shared" si="217"/>
        <v>0.8654711429920221</v>
      </c>
      <c r="BC80" s="5"/>
      <c r="BD80" s="173">
        <f t="shared" si="289"/>
        <v>0.91892908464988854</v>
      </c>
      <c r="BE80" s="173">
        <f t="shared" si="218"/>
        <v>1.1541428756768035</v>
      </c>
      <c r="BF80" s="173"/>
      <c r="BG80" s="528">
        <f t="shared" si="219"/>
        <v>1.6888613252309642E-2</v>
      </c>
      <c r="BH80" s="528">
        <f t="shared" si="220"/>
        <v>0.59255898396671214</v>
      </c>
      <c r="BI80" s="528">
        <f t="shared" si="221"/>
        <v>0.18120762232431217</v>
      </c>
      <c r="BJ80" s="528">
        <f t="shared" si="222"/>
        <v>5.0509328545931688E-2</v>
      </c>
      <c r="BK80">
        <f t="shared" si="223"/>
        <v>1.0770482451284322E-2</v>
      </c>
      <c r="BL80" s="460">
        <f t="shared" si="290"/>
        <v>191.97810477559648</v>
      </c>
      <c r="BM80" s="528">
        <f t="shared" si="224"/>
        <v>0.66719412422940683</v>
      </c>
      <c r="BN80" s="460">
        <f t="shared" si="291"/>
        <v>667.19412422940684</v>
      </c>
      <c r="BO80" s="528">
        <f t="shared" si="225"/>
        <v>0.46593749999999989</v>
      </c>
      <c r="BP80" s="528"/>
      <c r="BR80" s="460">
        <f t="shared" si="292"/>
        <v>465.93749999999989</v>
      </c>
      <c r="BS80" s="528">
        <f t="shared" si="226"/>
        <v>2.533291987846446E-2</v>
      </c>
      <c r="BT80" s="528">
        <f t="shared" si="227"/>
        <v>3.9961373324265644E-2</v>
      </c>
      <c r="BU80" s="528">
        <f t="shared" si="228"/>
        <v>0.18449999999999997</v>
      </c>
      <c r="BV80" s="528">
        <f t="shared" si="229"/>
        <v>0.26685887248850648</v>
      </c>
      <c r="BW80" s="528">
        <f t="shared" si="230"/>
        <v>9.8868748995381422E-3</v>
      </c>
      <c r="BX80" s="460">
        <f t="shared" si="293"/>
        <v>276.74574738804466</v>
      </c>
      <c r="BY80" s="173">
        <f t="shared" si="231"/>
        <v>1.6018554763930481</v>
      </c>
      <c r="BZ80" s="5">
        <f t="shared" si="294"/>
        <v>12.299999999999999</v>
      </c>
      <c r="CA80" s="173">
        <f t="shared" si="295"/>
        <v>0.88477398005516716</v>
      </c>
      <c r="CB80" s="5">
        <f t="shared" si="296"/>
        <v>88.477398005516719</v>
      </c>
      <c r="CE80" s="562">
        <f t="shared" si="232"/>
        <v>-50</v>
      </c>
      <c r="CF80">
        <f t="shared" si="233"/>
        <v>-50</v>
      </c>
      <c r="CG80" s="173">
        <f t="shared" si="234"/>
        <v>0.57169381382395146</v>
      </c>
      <c r="CI80" s="170">
        <v>75</v>
      </c>
      <c r="CJ80" s="217">
        <f t="shared" si="297"/>
        <v>0.75</v>
      </c>
      <c r="CK80" s="217"/>
      <c r="CL80" s="217">
        <f t="shared" si="235"/>
        <v>12.299999999999999</v>
      </c>
      <c r="CM80" s="541">
        <f t="shared" si="236"/>
        <v>24</v>
      </c>
      <c r="CN80" s="172">
        <f t="shared" si="237"/>
        <v>16.799999999999997</v>
      </c>
      <c r="CO80" s="443">
        <f t="shared" si="238"/>
        <v>40.799999999999997</v>
      </c>
      <c r="CP80" s="443"/>
      <c r="CQ80" s="217">
        <f t="shared" si="239"/>
        <v>0.41176470588235292</v>
      </c>
      <c r="CR80" s="172">
        <f t="shared" si="240"/>
        <v>33.237647058823534</v>
      </c>
      <c r="CS80" s="172">
        <f t="shared" si="298"/>
        <v>12.299999999999999</v>
      </c>
      <c r="CT80" s="217">
        <f t="shared" si="241"/>
        <v>2.026685796269728</v>
      </c>
      <c r="CU80" s="217">
        <f t="shared" si="242"/>
        <v>16.399999999999999</v>
      </c>
      <c r="CV80" s="217">
        <f t="shared" si="243"/>
        <v>2.0086083213773311</v>
      </c>
      <c r="CW80" s="172">
        <f t="shared" si="244"/>
        <v>82.782076144824998</v>
      </c>
      <c r="CX80" s="172">
        <f t="shared" si="245"/>
        <v>16.399999999999999</v>
      </c>
      <c r="CY80" s="217">
        <f t="shared" si="246"/>
        <v>2.4892857142857139</v>
      </c>
      <c r="CZ80" s="217">
        <f t="shared" si="247"/>
        <v>1.2446428571428569</v>
      </c>
      <c r="DA80" s="217">
        <f t="shared" si="248"/>
        <v>1.778061224489796</v>
      </c>
      <c r="DB80" s="197">
        <f t="shared" si="249"/>
        <v>350</v>
      </c>
      <c r="DC80" s="443">
        <f t="shared" si="299"/>
        <v>330.82960587391347</v>
      </c>
      <c r="DE80" s="217">
        <f t="shared" si="250"/>
        <v>2.3529411764705879</v>
      </c>
      <c r="DF80" s="173">
        <f t="shared" si="251"/>
        <v>1.6806722689075633</v>
      </c>
      <c r="DG80" s="173">
        <f t="shared" si="252"/>
        <v>0.69204152249134954</v>
      </c>
      <c r="DH80" s="173"/>
      <c r="DI80" s="173">
        <f t="shared" si="253"/>
        <v>0.95238095238095266</v>
      </c>
      <c r="DJ80" s="545">
        <f t="shared" si="300"/>
        <v>1181.2499999999995</v>
      </c>
      <c r="DK80" s="528">
        <f t="shared" si="254"/>
        <v>0.22222222222222232</v>
      </c>
      <c r="DM80" s="173">
        <f t="shared" si="255"/>
        <v>2.4494897427831779</v>
      </c>
      <c r="DN80" s="173">
        <f t="shared" si="256"/>
        <v>2.4892857142857139</v>
      </c>
      <c r="DO80" s="173">
        <f t="shared" si="257"/>
        <v>2.0562610229276892</v>
      </c>
      <c r="DQ80" s="545">
        <f t="shared" si="258"/>
        <v>750</v>
      </c>
      <c r="DR80" s="460">
        <f t="shared" si="259"/>
        <v>330.82960587391347</v>
      </c>
      <c r="DT80">
        <f t="shared" si="260"/>
        <v>750</v>
      </c>
      <c r="DU80">
        <f t="shared" si="261"/>
        <v>330.82960587391347</v>
      </c>
      <c r="DW80" s="5">
        <f t="shared" si="301"/>
        <v>3.0227040816326527</v>
      </c>
      <c r="DX80" s="5">
        <f t="shared" si="262"/>
        <v>1.2446428571428569</v>
      </c>
      <c r="DY80" s="5">
        <f t="shared" si="302"/>
        <v>1.7780612244897958</v>
      </c>
      <c r="DZ80" s="5">
        <f t="shared" si="263"/>
        <v>1.778061224489796</v>
      </c>
      <c r="EA80" s="173">
        <f t="shared" si="303"/>
        <v>0.41176470588235292</v>
      </c>
      <c r="EB80" s="173">
        <f t="shared" si="264"/>
        <v>12.299999999999999</v>
      </c>
      <c r="EC80" s="173">
        <f t="shared" si="265"/>
        <v>0.7321428571428571</v>
      </c>
      <c r="ED80" s="173">
        <f t="shared" si="304"/>
        <v>16.8</v>
      </c>
      <c r="EE80" s="460">
        <f t="shared" si="266"/>
        <v>5.6919642857142856</v>
      </c>
      <c r="EF80" s="5">
        <f t="shared" si="267"/>
        <v>0.75938031462585009</v>
      </c>
      <c r="EG80" s="5"/>
      <c r="EH80" s="173">
        <f t="shared" si="305"/>
        <v>0.92222879611349806</v>
      </c>
      <c r="EI80" s="173">
        <f t="shared" si="268"/>
        <v>1.1022742414668685</v>
      </c>
      <c r="EJ80" s="173"/>
      <c r="EK80" s="528">
        <f t="shared" si="269"/>
        <v>1.7010119047619038E-2</v>
      </c>
      <c r="EL80" s="528">
        <f t="shared" si="270"/>
        <v>0.67200000000000004</v>
      </c>
      <c r="EM80" s="528">
        <f t="shared" si="271"/>
        <v>4.1353700734239184E-2</v>
      </c>
      <c r="EN80" s="528">
        <f t="shared" si="272"/>
        <v>5.5071219512195131E-2</v>
      </c>
      <c r="EO80">
        <f t="shared" si="273"/>
        <v>1.0800000000000001E-2</v>
      </c>
      <c r="EP80" s="460">
        <f t="shared" si="306"/>
        <v>52.15370073423918</v>
      </c>
      <c r="EQ80" s="528">
        <f t="shared" si="274"/>
        <v>0.8040775346469865</v>
      </c>
      <c r="ER80" s="460">
        <f t="shared" si="307"/>
        <v>804.07753464698646</v>
      </c>
      <c r="ES80" s="528">
        <f t="shared" si="308"/>
        <v>0.46593749999999989</v>
      </c>
      <c r="ET80" s="528"/>
      <c r="EV80" s="460">
        <f t="shared" si="309"/>
        <v>465.93749999999989</v>
      </c>
      <c r="EW80" s="528">
        <f t="shared" si="275"/>
        <v>2.5515178571428557E-2</v>
      </c>
      <c r="EX80" s="528">
        <f t="shared" si="276"/>
        <v>3.6450255102040807E-2</v>
      </c>
      <c r="EY80" s="528">
        <f t="shared" si="277"/>
        <v>0.97312311820048514</v>
      </c>
      <c r="EZ80" s="528">
        <f t="shared" si="278"/>
        <v>1.055191085814859</v>
      </c>
      <c r="FA80" s="528">
        <f t="shared" si="279"/>
        <v>1.0249999999999999E-2</v>
      </c>
      <c r="FB80" s="460">
        <f t="shared" si="310"/>
        <v>1065.441085814859</v>
      </c>
      <c r="FC80" s="173">
        <f t="shared" si="311"/>
        <v>2.3354561204618456</v>
      </c>
      <c r="FD80" s="5">
        <f t="shared" si="312"/>
        <v>12.299999999999999</v>
      </c>
      <c r="FE80" s="173">
        <f t="shared" si="313"/>
        <v>0.84042478066695558</v>
      </c>
      <c r="FF80" s="5">
        <f t="shared" si="314"/>
        <v>84.042478066695566</v>
      </c>
      <c r="FI80" s="562">
        <f t="shared" si="280"/>
        <v>-50</v>
      </c>
      <c r="FJ80">
        <f t="shared" si="281"/>
        <v>-50</v>
      </c>
      <c r="FL80">
        <f t="shared" si="282"/>
        <v>0.58823529411764708</v>
      </c>
    </row>
    <row r="81" spans="5:168">
      <c r="E81" s="170">
        <v>76</v>
      </c>
      <c r="F81" s="217">
        <f t="shared" si="283"/>
        <v>0.76</v>
      </c>
      <c r="G81" s="217"/>
      <c r="H81" s="217">
        <f t="shared" si="183"/>
        <v>12.463999999999999</v>
      </c>
      <c r="I81" s="541">
        <f t="shared" si="184"/>
        <v>23.933556149275756</v>
      </c>
      <c r="J81" s="172">
        <f t="shared" si="185"/>
        <v>16.839866310434545</v>
      </c>
      <c r="K81" s="172">
        <f t="shared" si="186"/>
        <v>40.839866310434545</v>
      </c>
      <c r="L81" s="443"/>
      <c r="M81" s="217">
        <f t="shared" si="187"/>
        <v>0.41299493358066458</v>
      </c>
      <c r="N81" s="172">
        <f t="shared" si="188"/>
        <v>33.244657897030734</v>
      </c>
      <c r="O81" s="172">
        <f t="shared" si="284"/>
        <v>12.463999999999999</v>
      </c>
      <c r="P81" s="217">
        <f t="shared" si="189"/>
        <v>2.0271132864043131</v>
      </c>
      <c r="Q81" s="217">
        <f t="shared" si="190"/>
        <v>16.399999999999999</v>
      </c>
      <c r="R81" s="217">
        <f t="shared" si="191"/>
        <v>2.0090319984185463</v>
      </c>
      <c r="S81" s="172">
        <f t="shared" si="192"/>
        <v>81.155566620636961</v>
      </c>
      <c r="T81" s="172">
        <f t="shared" si="193"/>
        <v>16.399999999999999</v>
      </c>
      <c r="U81" s="217">
        <f t="shared" si="194"/>
        <v>2.5894154700773337</v>
      </c>
      <c r="V81" s="217">
        <f t="shared" si="195"/>
        <v>1.2983020762615878</v>
      </c>
      <c r="W81" s="217">
        <f t="shared" si="196"/>
        <v>1.8452038197995753</v>
      </c>
      <c r="X81" s="197">
        <f t="shared" si="197"/>
        <v>350</v>
      </c>
      <c r="Y81" s="443">
        <f t="shared" si="198"/>
        <v>299.08725484170844</v>
      </c>
      <c r="AA81" s="217">
        <f t="shared" si="199"/>
        <v>2.3535282449372312</v>
      </c>
      <c r="AB81" s="173">
        <f t="shared" si="200"/>
        <v>1.6771118261043958</v>
      </c>
      <c r="AC81" s="173">
        <f t="shared" si="201"/>
        <v>0.69074775921461695</v>
      </c>
      <c r="AD81" s="173"/>
      <c r="AE81" s="173">
        <f t="shared" si="202"/>
        <v>0.95012630771812412</v>
      </c>
      <c r="AF81" s="545">
        <f t="shared" si="203"/>
        <v>1199.8404746184608</v>
      </c>
      <c r="AG81" s="528">
        <f t="shared" si="204"/>
        <v>0.22169613846756234</v>
      </c>
      <c r="AI81" s="173">
        <f t="shared" si="205"/>
        <v>2.4686894919340983</v>
      </c>
      <c r="AJ81" s="173">
        <f t="shared" si="206"/>
        <v>2.5894154700773337</v>
      </c>
      <c r="AK81" s="173">
        <f t="shared" si="207"/>
        <v>2.130431212402963</v>
      </c>
      <c r="AM81" s="545">
        <f t="shared" si="208"/>
        <v>760</v>
      </c>
      <c r="AN81" s="460">
        <f t="shared" si="209"/>
        <v>299.08725484170844</v>
      </c>
      <c r="AP81">
        <f t="shared" si="210"/>
        <v>760</v>
      </c>
      <c r="AQ81">
        <f t="shared" si="211"/>
        <v>299.08725484170844</v>
      </c>
      <c r="AS81" s="5">
        <f t="shared" si="285"/>
        <v>3.3435058960611639</v>
      </c>
      <c r="AT81" s="5">
        <f t="shared" si="212"/>
        <v>1.2983020762615878</v>
      </c>
      <c r="AU81" s="5">
        <f t="shared" si="286"/>
        <v>2.0452038197995761</v>
      </c>
      <c r="AV81" s="5">
        <f t="shared" si="213"/>
        <v>1.8452038197995753</v>
      </c>
      <c r="AW81" s="173">
        <f t="shared" si="287"/>
        <v>0.38830560394436869</v>
      </c>
      <c r="AX81" s="173">
        <f t="shared" si="214"/>
        <v>12.032410323381995</v>
      </c>
      <c r="AY81" s="173">
        <f t="shared" si="215"/>
        <v>0.79196546605303175</v>
      </c>
      <c r="AZ81" s="173">
        <f t="shared" si="288"/>
        <v>15.193099748842178</v>
      </c>
      <c r="BA81" s="460">
        <f t="shared" si="216"/>
        <v>6.0165218168219932</v>
      </c>
      <c r="BB81" s="5">
        <f t="shared" si="217"/>
        <v>0.88757601290664923</v>
      </c>
      <c r="BC81" s="5"/>
      <c r="BD81" s="173">
        <f t="shared" si="289"/>
        <v>0.93159669699328007</v>
      </c>
      <c r="BE81" s="173">
        <f t="shared" si="218"/>
        <v>1.1692526472252054</v>
      </c>
      <c r="BF81" s="173"/>
      <c r="BG81" s="528">
        <f t="shared" si="219"/>
        <v>1.7357448116975788E-2</v>
      </c>
      <c r="BH81" s="528">
        <f t="shared" si="220"/>
        <v>0.59304169545904473</v>
      </c>
      <c r="BI81" s="528">
        <f t="shared" si="221"/>
        <v>0.17895554018216941</v>
      </c>
      <c r="BJ81" s="528">
        <f t="shared" si="222"/>
        <v>4.9884604128230772E-2</v>
      </c>
      <c r="BK81">
        <f t="shared" si="223"/>
        <v>1.077010026717409E-2</v>
      </c>
      <c r="BL81" s="460">
        <f t="shared" si="290"/>
        <v>189.7256404493435</v>
      </c>
      <c r="BM81" s="528">
        <f t="shared" si="224"/>
        <v>0.66772403921908219</v>
      </c>
      <c r="BN81" s="460">
        <f t="shared" si="291"/>
        <v>667.72403921908221</v>
      </c>
      <c r="BO81" s="528">
        <f t="shared" si="225"/>
        <v>0.4721499999999999</v>
      </c>
      <c r="BP81" s="528"/>
      <c r="BR81" s="460">
        <f t="shared" si="292"/>
        <v>472.14999999999992</v>
      </c>
      <c r="BS81" s="528">
        <f t="shared" si="226"/>
        <v>2.6036172175463678E-2</v>
      </c>
      <c r="BT81" s="528">
        <f t="shared" si="227"/>
        <v>4.1014552591294516E-2</v>
      </c>
      <c r="BU81" s="528">
        <f t="shared" si="228"/>
        <v>0.18695999999999996</v>
      </c>
      <c r="BV81" s="528">
        <f t="shared" si="229"/>
        <v>0.27155955993566233</v>
      </c>
      <c r="BW81" s="528">
        <f t="shared" si="230"/>
        <v>1.002700860281833E-2</v>
      </c>
      <c r="BX81" s="460">
        <f t="shared" si="293"/>
        <v>281.58656853848066</v>
      </c>
      <c r="BY81" s="173">
        <f t="shared" si="231"/>
        <v>1.6111862482069061</v>
      </c>
      <c r="BZ81" s="5">
        <f t="shared" si="294"/>
        <v>12.463999999999999</v>
      </c>
      <c r="CA81" s="173">
        <f t="shared" si="295"/>
        <v>0.88553002285052096</v>
      </c>
      <c r="CB81" s="5">
        <f t="shared" si="296"/>
        <v>88.553002285052102</v>
      </c>
      <c r="CE81" s="562">
        <f t="shared" si="232"/>
        <v>-50</v>
      </c>
      <c r="CF81">
        <f t="shared" si="233"/>
        <v>-50</v>
      </c>
      <c r="CG81" s="173">
        <f t="shared" si="234"/>
        <v>0.57191146488044753</v>
      </c>
      <c r="CI81" s="170">
        <v>76</v>
      </c>
      <c r="CJ81" s="217">
        <f t="shared" si="297"/>
        <v>0.76</v>
      </c>
      <c r="CK81" s="217"/>
      <c r="CL81" s="217">
        <f t="shared" si="235"/>
        <v>12.463999999999999</v>
      </c>
      <c r="CM81" s="541">
        <f t="shared" si="236"/>
        <v>24</v>
      </c>
      <c r="CN81" s="172">
        <f t="shared" si="237"/>
        <v>16.799999999999997</v>
      </c>
      <c r="CO81" s="443">
        <f t="shared" si="238"/>
        <v>40.799999999999997</v>
      </c>
      <c r="CP81" s="443"/>
      <c r="CQ81" s="217">
        <f t="shared" si="239"/>
        <v>0.41176470588235292</v>
      </c>
      <c r="CR81" s="172">
        <f t="shared" si="240"/>
        <v>33.237647058823534</v>
      </c>
      <c r="CS81" s="172">
        <f t="shared" si="298"/>
        <v>12.463999999999999</v>
      </c>
      <c r="CT81" s="217">
        <f t="shared" si="241"/>
        <v>2.026685796269728</v>
      </c>
      <c r="CU81" s="217">
        <f t="shared" si="242"/>
        <v>16.399999999999999</v>
      </c>
      <c r="CV81" s="217">
        <f t="shared" si="243"/>
        <v>2.0086083213773311</v>
      </c>
      <c r="CW81" s="172">
        <f t="shared" si="244"/>
        <v>81.380545226569907</v>
      </c>
      <c r="CX81" s="172">
        <f t="shared" si="245"/>
        <v>16.399999999999999</v>
      </c>
      <c r="CY81" s="217">
        <f t="shared" si="246"/>
        <v>2.5224761904761901</v>
      </c>
      <c r="CZ81" s="217">
        <f t="shared" si="247"/>
        <v>1.261238095238095</v>
      </c>
      <c r="DA81" s="217">
        <f t="shared" si="248"/>
        <v>1.8017687074829933</v>
      </c>
      <c r="DB81" s="197">
        <f t="shared" si="249"/>
        <v>350</v>
      </c>
      <c r="DC81" s="443">
        <f t="shared" si="299"/>
        <v>326.4765847439935</v>
      </c>
      <c r="DE81" s="217">
        <f t="shared" si="250"/>
        <v>2.3529411764705879</v>
      </c>
      <c r="DF81" s="173">
        <f t="shared" si="251"/>
        <v>1.6806722689075633</v>
      </c>
      <c r="DG81" s="173">
        <f t="shared" si="252"/>
        <v>0.69204152249134954</v>
      </c>
      <c r="DH81" s="173"/>
      <c r="DI81" s="173">
        <f t="shared" si="253"/>
        <v>0.95238095238095266</v>
      </c>
      <c r="DJ81" s="545">
        <f t="shared" si="300"/>
        <v>1196.9999999999995</v>
      </c>
      <c r="DK81" s="528">
        <f t="shared" si="254"/>
        <v>0.22222222222222232</v>
      </c>
      <c r="DM81" s="173">
        <f t="shared" si="255"/>
        <v>2.4657656011875901</v>
      </c>
      <c r="DN81" s="173">
        <f t="shared" si="256"/>
        <v>2.5224761904761901</v>
      </c>
      <c r="DO81" s="173">
        <f t="shared" si="257"/>
        <v>2.0808465608465605</v>
      </c>
      <c r="DQ81" s="545">
        <f t="shared" si="258"/>
        <v>760</v>
      </c>
      <c r="DR81" s="460">
        <f t="shared" si="259"/>
        <v>326.4765847439935</v>
      </c>
      <c r="DT81">
        <f t="shared" si="260"/>
        <v>760</v>
      </c>
      <c r="DU81">
        <f t="shared" si="261"/>
        <v>326.4765847439935</v>
      </c>
      <c r="DW81" s="5">
        <f t="shared" si="301"/>
        <v>3.0630068027210884</v>
      </c>
      <c r="DX81" s="5">
        <f t="shared" si="262"/>
        <v>1.261238095238095</v>
      </c>
      <c r="DY81" s="5">
        <f t="shared" si="302"/>
        <v>1.8017687074829933</v>
      </c>
      <c r="DZ81" s="5">
        <f t="shared" si="263"/>
        <v>1.8017687074829933</v>
      </c>
      <c r="EA81" s="173">
        <f t="shared" si="303"/>
        <v>0.41176470588235287</v>
      </c>
      <c r="EB81" s="173">
        <f t="shared" si="264"/>
        <v>12.463999999999995</v>
      </c>
      <c r="EC81" s="173">
        <f t="shared" si="265"/>
        <v>0.74190476190476196</v>
      </c>
      <c r="ED81" s="173">
        <f t="shared" si="304"/>
        <v>16.799999999999994</v>
      </c>
      <c r="EE81" s="460">
        <f t="shared" si="266"/>
        <v>5.8447619047619046</v>
      </c>
      <c r="EF81" s="5">
        <f t="shared" si="267"/>
        <v>0.77976545729402869</v>
      </c>
      <c r="EG81" s="5"/>
      <c r="EH81" s="173">
        <f t="shared" si="305"/>
        <v>0.93452518006167806</v>
      </c>
      <c r="EI81" s="173">
        <f t="shared" si="268"/>
        <v>1.1169712313530935</v>
      </c>
      <c r="EJ81" s="173"/>
      <c r="EK81" s="528">
        <f t="shared" si="269"/>
        <v>1.7466746243386237E-2</v>
      </c>
      <c r="EL81" s="528">
        <f t="shared" si="270"/>
        <v>0.67199999999999982</v>
      </c>
      <c r="EM81" s="528">
        <f t="shared" si="271"/>
        <v>4.0809573092999187E-2</v>
      </c>
      <c r="EN81" s="528">
        <f t="shared" si="272"/>
        <v>5.4346598202824135E-2</v>
      </c>
      <c r="EO81">
        <f t="shared" si="273"/>
        <v>1.0800000000000001E-2</v>
      </c>
      <c r="EP81" s="460">
        <f t="shared" si="306"/>
        <v>51.609573092999184</v>
      </c>
      <c r="EQ81" s="528">
        <f t="shared" si="274"/>
        <v>0.80347343324237075</v>
      </c>
      <c r="ER81" s="460">
        <f t="shared" si="307"/>
        <v>803.47343324237079</v>
      </c>
      <c r="ES81" s="528">
        <f t="shared" si="308"/>
        <v>0.4721499999999999</v>
      </c>
      <c r="ET81" s="528"/>
      <c r="EV81" s="460">
        <f t="shared" si="309"/>
        <v>472.14999999999992</v>
      </c>
      <c r="EW81" s="528">
        <f t="shared" si="275"/>
        <v>2.6200119365079353E-2</v>
      </c>
      <c r="EX81" s="528">
        <f t="shared" si="276"/>
        <v>3.7428741950113371E-2</v>
      </c>
      <c r="EY81" s="528">
        <f t="shared" si="277"/>
        <v>0.97312311820048347</v>
      </c>
      <c r="EZ81" s="528">
        <f t="shared" si="278"/>
        <v>1.0574054264902086</v>
      </c>
      <c r="FA81" s="528">
        <f t="shared" si="279"/>
        <v>1.0386666666666666E-2</v>
      </c>
      <c r="FB81" s="460">
        <f t="shared" si="310"/>
        <v>1067.7920931568754</v>
      </c>
      <c r="FC81" s="173">
        <f t="shared" si="311"/>
        <v>2.3434155263992458</v>
      </c>
      <c r="FD81" s="5">
        <f t="shared" si="312"/>
        <v>12.463999999999999</v>
      </c>
      <c r="FE81" s="173">
        <f t="shared" si="313"/>
        <v>0.84174040890381496</v>
      </c>
      <c r="FF81" s="5">
        <f t="shared" si="314"/>
        <v>84.174040890381491</v>
      </c>
      <c r="FI81" s="562">
        <f t="shared" si="280"/>
        <v>-50</v>
      </c>
      <c r="FJ81">
        <f t="shared" si="281"/>
        <v>-50</v>
      </c>
      <c r="FL81">
        <f t="shared" si="282"/>
        <v>0.58823529411764719</v>
      </c>
    </row>
    <row r="82" spans="5:168">
      <c r="E82" s="170">
        <v>77</v>
      </c>
      <c r="F82" s="217">
        <f t="shared" si="283"/>
        <v>0.77</v>
      </c>
      <c r="G82" s="217"/>
      <c r="H82" s="217">
        <f t="shared" si="183"/>
        <v>12.627999999999998</v>
      </c>
      <c r="I82" s="541">
        <f t="shared" si="184"/>
        <v>23.932706832506369</v>
      </c>
      <c r="J82" s="172">
        <f t="shared" si="185"/>
        <v>16.840375900496174</v>
      </c>
      <c r="K82" s="172">
        <f t="shared" si="186"/>
        <v>40.84037590049617</v>
      </c>
      <c r="L82" s="443"/>
      <c r="M82" s="217">
        <f t="shared" si="187"/>
        <v>0.41301087924131535</v>
      </c>
      <c r="N82" s="172">
        <f t="shared" si="188"/>
        <v>33.244761687139182</v>
      </c>
      <c r="O82" s="172">
        <f t="shared" si="284"/>
        <v>12.627999999999998</v>
      </c>
      <c r="P82" s="217">
        <f t="shared" si="189"/>
        <v>2.0271196150694624</v>
      </c>
      <c r="Q82" s="217">
        <f t="shared" si="190"/>
        <v>16.399999999999999</v>
      </c>
      <c r="R82" s="217">
        <f t="shared" si="191"/>
        <v>2.0090382706337584</v>
      </c>
      <c r="S82" s="172">
        <f t="shared" si="192"/>
        <v>79.791462479677108</v>
      </c>
      <c r="T82" s="172">
        <f t="shared" si="193"/>
        <v>16.399999999999999</v>
      </c>
      <c r="U82" s="217">
        <f t="shared" si="194"/>
        <v>2.6235579937317191</v>
      </c>
      <c r="V82" s="217">
        <f t="shared" si="195"/>
        <v>1.3154674122368624</v>
      </c>
      <c r="W82" s="217">
        <f t="shared" si="196"/>
        <v>1.8694770301328629</v>
      </c>
      <c r="X82" s="197">
        <f t="shared" si="197"/>
        <v>350</v>
      </c>
      <c r="Y82" s="443">
        <f t="shared" si="198"/>
        <v>295.42582368055702</v>
      </c>
      <c r="AA82" s="217">
        <f t="shared" si="199"/>
        <v>2.3535355538300666</v>
      </c>
      <c r="AB82" s="173">
        <f t="shared" si="200"/>
        <v>1.6770662847928877</v>
      </c>
      <c r="AC82" s="173">
        <f t="shared" si="201"/>
        <v>0.69073114729320817</v>
      </c>
      <c r="AD82" s="173"/>
      <c r="AE82" s="173">
        <f t="shared" si="202"/>
        <v>0.95009755687986686</v>
      </c>
      <c r="AF82" s="545">
        <f t="shared" si="203"/>
        <v>1215.6646353170675</v>
      </c>
      <c r="AG82" s="528">
        <f t="shared" si="204"/>
        <v>0.22168942993863563</v>
      </c>
      <c r="AI82" s="173">
        <f t="shared" si="205"/>
        <v>2.4849153902796361</v>
      </c>
      <c r="AJ82" s="173">
        <f t="shared" si="206"/>
        <v>2.6235579937317191</v>
      </c>
      <c r="AK82" s="173">
        <f t="shared" si="207"/>
        <v>2.1557219706654709</v>
      </c>
      <c r="AM82" s="545">
        <f t="shared" si="208"/>
        <v>770</v>
      </c>
      <c r="AN82" s="460">
        <f t="shared" si="209"/>
        <v>295.42582368055702</v>
      </c>
      <c r="AP82">
        <f t="shared" si="210"/>
        <v>770</v>
      </c>
      <c r="AQ82">
        <f t="shared" si="211"/>
        <v>295.42582368055702</v>
      </c>
      <c r="AS82" s="5">
        <f t="shared" si="285"/>
        <v>3.3849444423697257</v>
      </c>
      <c r="AT82" s="5">
        <f t="shared" si="212"/>
        <v>1.3154674122368624</v>
      </c>
      <c r="AU82" s="5">
        <f t="shared" si="286"/>
        <v>2.0694770301328633</v>
      </c>
      <c r="AV82" s="5">
        <f t="shared" si="213"/>
        <v>1.8694770301328629</v>
      </c>
      <c r="AW82" s="173">
        <f t="shared" si="287"/>
        <v>0.38862304378500595</v>
      </c>
      <c r="AX82" s="173">
        <f t="shared" si="214"/>
        <v>12.200595898090887</v>
      </c>
      <c r="AY82" s="173">
        <f t="shared" si="215"/>
        <v>0.80199145033060737</v>
      </c>
      <c r="AZ82" s="173">
        <f t="shared" si="288"/>
        <v>15.212875265766733</v>
      </c>
      <c r="BA82" s="460">
        <f t="shared" si="216"/>
        <v>6.1762799233072201</v>
      </c>
      <c r="BB82" s="5">
        <f t="shared" si="217"/>
        <v>0.90995961159668504</v>
      </c>
      <c r="BC82" s="5"/>
      <c r="BD82" s="173">
        <f t="shared" si="289"/>
        <v>0.94426592046147717</v>
      </c>
      <c r="BE82" s="173">
        <f t="shared" si="218"/>
        <v>1.1843622982909017</v>
      </c>
      <c r="BF82" s="173"/>
      <c r="BG82" s="528">
        <f t="shared" si="219"/>
        <v>1.7832762570899215E-2</v>
      </c>
      <c r="BH82" s="528">
        <f t="shared" si="220"/>
        <v>0.59351285053372782</v>
      </c>
      <c r="BI82" s="528">
        <f t="shared" si="221"/>
        <v>0.17675849072246222</v>
      </c>
      <c r="BJ82" s="528">
        <f t="shared" si="222"/>
        <v>4.9275145636545295E-2</v>
      </c>
      <c r="BK82">
        <f t="shared" si="223"/>
        <v>1.0769718074627866E-2</v>
      </c>
      <c r="BL82" s="460">
        <f t="shared" si="290"/>
        <v>187.52820879709009</v>
      </c>
      <c r="BM82" s="528">
        <f t="shared" si="224"/>
        <v>0.66826709534590611</v>
      </c>
      <c r="BN82" s="460">
        <f t="shared" si="291"/>
        <v>668.26709534590611</v>
      </c>
      <c r="BO82" s="528">
        <f t="shared" si="225"/>
        <v>0.47836249999999991</v>
      </c>
      <c r="BP82" s="528"/>
      <c r="BR82" s="460">
        <f t="shared" si="292"/>
        <v>478.3624999999999</v>
      </c>
      <c r="BS82" s="528">
        <f t="shared" si="226"/>
        <v>2.6749143856348821E-2</v>
      </c>
      <c r="BT82" s="528">
        <f t="shared" si="227"/>
        <v>4.2081421608387203E-2</v>
      </c>
      <c r="BU82" s="528">
        <f t="shared" si="228"/>
        <v>0.18941999999999998</v>
      </c>
      <c r="BV82" s="528">
        <f t="shared" si="229"/>
        <v>0.27629128400113473</v>
      </c>
      <c r="BW82" s="528">
        <f t="shared" si="230"/>
        <v>1.0167163248409073E-2</v>
      </c>
      <c r="BX82" s="460">
        <f t="shared" si="293"/>
        <v>286.45844724954378</v>
      </c>
      <c r="BY82" s="173">
        <f t="shared" si="231"/>
        <v>1.6206162513925397</v>
      </c>
      <c r="BZ82" s="5">
        <f t="shared" si="294"/>
        <v>12.627999999999998</v>
      </c>
      <c r="CA82" s="173">
        <f t="shared" si="295"/>
        <v>0.88626149916598718</v>
      </c>
      <c r="CB82" s="5">
        <f t="shared" si="296"/>
        <v>88.62614991659872</v>
      </c>
      <c r="CE82" s="562">
        <f t="shared" si="232"/>
        <v>-50</v>
      </c>
      <c r="CF82">
        <f t="shared" si="233"/>
        <v>-50</v>
      </c>
      <c r="CG82" s="173">
        <f t="shared" si="234"/>
        <v>0.57212346266274872</v>
      </c>
      <c r="CI82" s="170">
        <v>77</v>
      </c>
      <c r="CJ82" s="217">
        <f t="shared" si="297"/>
        <v>0.77</v>
      </c>
      <c r="CK82" s="217"/>
      <c r="CL82" s="217">
        <f t="shared" si="235"/>
        <v>12.627999999999998</v>
      </c>
      <c r="CM82" s="541">
        <f t="shared" si="236"/>
        <v>24</v>
      </c>
      <c r="CN82" s="172">
        <f t="shared" si="237"/>
        <v>16.799999999999997</v>
      </c>
      <c r="CO82" s="443">
        <f t="shared" si="238"/>
        <v>40.799999999999997</v>
      </c>
      <c r="CP82" s="443"/>
      <c r="CQ82" s="217">
        <f t="shared" si="239"/>
        <v>0.41176470588235292</v>
      </c>
      <c r="CR82" s="172">
        <f t="shared" si="240"/>
        <v>33.237647058823534</v>
      </c>
      <c r="CS82" s="172">
        <f t="shared" si="298"/>
        <v>12.627999999999998</v>
      </c>
      <c r="CT82" s="217">
        <f t="shared" si="241"/>
        <v>2.026685796269728</v>
      </c>
      <c r="CU82" s="217">
        <f t="shared" si="242"/>
        <v>16.399999999999999</v>
      </c>
      <c r="CV82" s="217">
        <f t="shared" si="243"/>
        <v>2.0086083213773311</v>
      </c>
      <c r="CW82" s="172">
        <f t="shared" si="244"/>
        <v>80.015483890298754</v>
      </c>
      <c r="CX82" s="172">
        <f t="shared" si="245"/>
        <v>16.399999999999999</v>
      </c>
      <c r="CY82" s="217">
        <f t="shared" si="246"/>
        <v>2.5556666666666663</v>
      </c>
      <c r="CZ82" s="217">
        <f t="shared" si="247"/>
        <v>1.2778333333333334</v>
      </c>
      <c r="DA82" s="217">
        <f t="shared" si="248"/>
        <v>1.8254761904761907</v>
      </c>
      <c r="DB82" s="197">
        <f t="shared" si="249"/>
        <v>350</v>
      </c>
      <c r="DC82" s="443">
        <f t="shared" si="299"/>
        <v>322.23662909796758</v>
      </c>
      <c r="DE82" s="217">
        <f t="shared" si="250"/>
        <v>2.3529411764705879</v>
      </c>
      <c r="DF82" s="173">
        <f t="shared" si="251"/>
        <v>1.6806722689075633</v>
      </c>
      <c r="DG82" s="173">
        <f t="shared" si="252"/>
        <v>0.69204152249134954</v>
      </c>
      <c r="DH82" s="173"/>
      <c r="DI82" s="173">
        <f t="shared" si="253"/>
        <v>0.95238095238095266</v>
      </c>
      <c r="DJ82" s="545">
        <f t="shared" si="300"/>
        <v>1212.7499999999995</v>
      </c>
      <c r="DK82" s="528">
        <f t="shared" si="254"/>
        <v>0.22222222222222232</v>
      </c>
      <c r="DM82" s="173">
        <f t="shared" si="255"/>
        <v>2.481934729198171</v>
      </c>
      <c r="DN82" s="173">
        <f t="shared" si="256"/>
        <v>2.5556666666666663</v>
      </c>
      <c r="DO82" s="173">
        <f t="shared" si="257"/>
        <v>2.1054320987654318</v>
      </c>
      <c r="DQ82" s="545">
        <f t="shared" si="258"/>
        <v>770</v>
      </c>
      <c r="DR82" s="460">
        <f t="shared" si="259"/>
        <v>322.23662909796758</v>
      </c>
      <c r="DT82">
        <f t="shared" si="260"/>
        <v>770</v>
      </c>
      <c r="DU82">
        <f t="shared" si="261"/>
        <v>322.23662909796758</v>
      </c>
      <c r="DW82" s="5">
        <f t="shared" si="301"/>
        <v>3.1033095238095241</v>
      </c>
      <c r="DX82" s="5">
        <f t="shared" si="262"/>
        <v>1.2778333333333334</v>
      </c>
      <c r="DY82" s="5">
        <f t="shared" si="302"/>
        <v>1.8254761904761907</v>
      </c>
      <c r="DZ82" s="5">
        <f t="shared" si="263"/>
        <v>1.8254761904761907</v>
      </c>
      <c r="EA82" s="173">
        <f t="shared" si="303"/>
        <v>0.41176470588235292</v>
      </c>
      <c r="EB82" s="173">
        <f t="shared" si="264"/>
        <v>12.627999999999995</v>
      </c>
      <c r="EC82" s="173">
        <f t="shared" si="265"/>
        <v>0.75166666666666659</v>
      </c>
      <c r="ED82" s="173">
        <f t="shared" si="304"/>
        <v>16.799999999999994</v>
      </c>
      <c r="EE82" s="460">
        <f t="shared" si="266"/>
        <v>5.9995833333333355</v>
      </c>
      <c r="EF82" s="5">
        <f t="shared" si="267"/>
        <v>0.80042060185185171</v>
      </c>
      <c r="EG82" s="5"/>
      <c r="EH82" s="173">
        <f t="shared" si="305"/>
        <v>0.94682156400985795</v>
      </c>
      <c r="EI82" s="173">
        <f t="shared" si="268"/>
        <v>1.1316682212393183</v>
      </c>
      <c r="EJ82" s="173"/>
      <c r="EK82" s="528">
        <f t="shared" si="269"/>
        <v>1.792942148148147E-2</v>
      </c>
      <c r="EL82" s="528">
        <f t="shared" si="270"/>
        <v>0.67199999999999982</v>
      </c>
      <c r="EM82" s="528">
        <f t="shared" si="271"/>
        <v>4.0279578637245947E-2</v>
      </c>
      <c r="EN82" s="528">
        <f t="shared" si="272"/>
        <v>5.3640798226164077E-2</v>
      </c>
      <c r="EO82">
        <f t="shared" si="273"/>
        <v>1.0800000000000001E-2</v>
      </c>
      <c r="EP82" s="460">
        <f t="shared" si="306"/>
        <v>51.079578637245952</v>
      </c>
      <c r="EQ82" s="528">
        <f t="shared" si="274"/>
        <v>0.80291116824573694</v>
      </c>
      <c r="ER82" s="460">
        <f t="shared" si="307"/>
        <v>802.91116824573692</v>
      </c>
      <c r="ES82" s="528">
        <f t="shared" si="308"/>
        <v>0.47836249999999991</v>
      </c>
      <c r="ET82" s="528"/>
      <c r="EV82" s="460">
        <f t="shared" si="309"/>
        <v>478.3624999999999</v>
      </c>
      <c r="EW82" s="528">
        <f t="shared" si="275"/>
        <v>2.6894132222222207E-2</v>
      </c>
      <c r="EX82" s="528">
        <f t="shared" si="276"/>
        <v>3.842018888888888E-2</v>
      </c>
      <c r="EY82" s="528">
        <f t="shared" si="277"/>
        <v>0.97312311820048369</v>
      </c>
      <c r="EZ82" s="528">
        <f t="shared" si="278"/>
        <v>1.0596497004422598</v>
      </c>
      <c r="FA82" s="528">
        <f t="shared" si="279"/>
        <v>1.0523333333333329E-2</v>
      </c>
      <c r="FB82" s="460">
        <f t="shared" si="310"/>
        <v>1070.173033775593</v>
      </c>
      <c r="FC82" s="173">
        <f t="shared" si="311"/>
        <v>2.3514467020213301</v>
      </c>
      <c r="FD82" s="5">
        <f t="shared" si="312"/>
        <v>12.627999999999998</v>
      </c>
      <c r="FE82" s="173">
        <f t="shared" si="313"/>
        <v>0.84302179187272486</v>
      </c>
      <c r="FF82" s="5">
        <f t="shared" si="314"/>
        <v>84.302179187272486</v>
      </c>
      <c r="FI82" s="562">
        <f t="shared" si="280"/>
        <v>-50</v>
      </c>
      <c r="FJ82">
        <f t="shared" si="281"/>
        <v>-50</v>
      </c>
      <c r="FL82">
        <f t="shared" si="282"/>
        <v>0.58823529411764708</v>
      </c>
    </row>
    <row r="83" spans="5:168">
      <c r="E83" s="170">
        <v>78</v>
      </c>
      <c r="F83" s="217">
        <f t="shared" si="283"/>
        <v>0.78</v>
      </c>
      <c r="G83" s="217"/>
      <c r="H83" s="217">
        <f t="shared" si="183"/>
        <v>12.792</v>
      </c>
      <c r="I83" s="541">
        <f t="shared" si="184"/>
        <v>23.931857497731396</v>
      </c>
      <c r="J83" s="172">
        <f t="shared" si="185"/>
        <v>16.840885501361157</v>
      </c>
      <c r="K83" s="172">
        <f t="shared" si="186"/>
        <v>40.840885501361157</v>
      </c>
      <c r="L83" s="443"/>
      <c r="M83" s="217">
        <f t="shared" si="187"/>
        <v>0.41302682534977886</v>
      </c>
      <c r="N83" s="172">
        <f t="shared" si="188"/>
        <v>33.244865397181343</v>
      </c>
      <c r="O83" s="172">
        <f t="shared" si="284"/>
        <v>12.792</v>
      </c>
      <c r="P83" s="217">
        <f t="shared" si="189"/>
        <v>2.0271259388525209</v>
      </c>
      <c r="Q83" s="217">
        <f t="shared" si="190"/>
        <v>16.399999999999999</v>
      </c>
      <c r="R83" s="217">
        <f t="shared" si="191"/>
        <v>2.0090445380104271</v>
      </c>
      <c r="S83" s="172">
        <f t="shared" si="192"/>
        <v>78.46242314379775</v>
      </c>
      <c r="T83" s="172">
        <f t="shared" si="193"/>
        <v>16.399999999999999</v>
      </c>
      <c r="U83" s="217">
        <f t="shared" si="194"/>
        <v>2.6577023744391859</v>
      </c>
      <c r="V83" s="217">
        <f t="shared" si="195"/>
        <v>1.3326348987450491</v>
      </c>
      <c r="W83" s="217">
        <f t="shared" si="196"/>
        <v>1.8937500935264087</v>
      </c>
      <c r="X83" s="197">
        <f t="shared" si="197"/>
        <v>350</v>
      </c>
      <c r="Y83" s="443">
        <f t="shared" si="198"/>
        <v>291.85278427718907</v>
      </c>
      <c r="AA83" s="217">
        <f t="shared" si="199"/>
        <v>2.3535428579447233</v>
      </c>
      <c r="AB83" s="173">
        <f t="shared" si="200"/>
        <v>1.6770207417569576</v>
      </c>
      <c r="AC83" s="173">
        <f t="shared" si="201"/>
        <v>0.69071453314276865</v>
      </c>
      <c r="AD83" s="173"/>
      <c r="AE83" s="173">
        <f t="shared" si="202"/>
        <v>0.95006880717209374</v>
      </c>
      <c r="AF83" s="545">
        <f t="shared" si="203"/>
        <v>1231.4897522870342</v>
      </c>
      <c r="AG83" s="528">
        <f t="shared" si="204"/>
        <v>0.22168272167348857</v>
      </c>
      <c r="AI83" s="173">
        <f t="shared" si="205"/>
        <v>2.5010369936013972</v>
      </c>
      <c r="AJ83" s="173">
        <f t="shared" si="206"/>
        <v>2.6577023744391859</v>
      </c>
      <c r="AK83" s="173">
        <f t="shared" si="207"/>
        <v>2.1810141045228537</v>
      </c>
      <c r="AM83" s="545">
        <f t="shared" si="208"/>
        <v>780</v>
      </c>
      <c r="AN83" s="460">
        <f t="shared" si="209"/>
        <v>291.85278427718907</v>
      </c>
      <c r="AP83">
        <f t="shared" si="210"/>
        <v>780</v>
      </c>
      <c r="AQ83">
        <f t="shared" si="211"/>
        <v>291.85278427718907</v>
      </c>
      <c r="AS83" s="5">
        <f t="shared" si="285"/>
        <v>3.426384992271458</v>
      </c>
      <c r="AT83" s="5">
        <f t="shared" si="212"/>
        <v>1.3326348987450491</v>
      </c>
      <c r="AU83" s="5">
        <f t="shared" si="286"/>
        <v>2.0937500935264088</v>
      </c>
      <c r="AV83" s="5">
        <f t="shared" si="213"/>
        <v>1.8937500935264087</v>
      </c>
      <c r="AW83" s="173">
        <f t="shared" si="287"/>
        <v>0.38893320562369255</v>
      </c>
      <c r="AX83" s="173">
        <f t="shared" si="214"/>
        <v>12.368806063005458</v>
      </c>
      <c r="AY83" s="173">
        <f t="shared" si="215"/>
        <v>0.81201683517742707</v>
      </c>
      <c r="AZ83" s="173">
        <f t="shared" si="288"/>
        <v>15.23220397308986</v>
      </c>
      <c r="BA83" s="460">
        <f t="shared" si="216"/>
        <v>6.3381415915923078</v>
      </c>
      <c r="BB83" s="5">
        <f t="shared" si="217"/>
        <v>0.9326219663102735</v>
      </c>
      <c r="BC83" s="5"/>
      <c r="BD83" s="173">
        <f t="shared" si="289"/>
        <v>0.95693673932822487</v>
      </c>
      <c r="BE83" s="173">
        <f t="shared" si="218"/>
        <v>1.1994718479218651</v>
      </c>
      <c r="BF83" s="173"/>
      <c r="BG83" s="528">
        <f t="shared" si="219"/>
        <v>1.83145584615227E-2</v>
      </c>
      <c r="BH83" s="528">
        <f t="shared" si="220"/>
        <v>0.59397286762868606</v>
      </c>
      <c r="BI83" s="528">
        <f t="shared" si="221"/>
        <v>0.17461448109094577</v>
      </c>
      <c r="BJ83" s="528">
        <f t="shared" si="222"/>
        <v>4.8680400255592331E-2</v>
      </c>
      <c r="BK83">
        <f t="shared" si="223"/>
        <v>1.0769335873979128E-2</v>
      </c>
      <c r="BL83" s="460">
        <f t="shared" si="290"/>
        <v>185.3838169649249</v>
      </c>
      <c r="BM83" s="528">
        <f t="shared" si="224"/>
        <v>0.66882316728746738</v>
      </c>
      <c r="BN83" s="460">
        <f t="shared" si="291"/>
        <v>668.82316728746741</v>
      </c>
      <c r="BO83" s="528">
        <f t="shared" si="225"/>
        <v>0.48457499999999992</v>
      </c>
      <c r="BP83" s="528"/>
      <c r="BR83" s="460">
        <f t="shared" si="292"/>
        <v>484.57499999999993</v>
      </c>
      <c r="BS83" s="528">
        <f t="shared" si="226"/>
        <v>2.7471837692284052E-2</v>
      </c>
      <c r="BT83" s="528">
        <f t="shared" si="227"/>
        <v>4.3161981418712816E-2</v>
      </c>
      <c r="BU83" s="528">
        <f t="shared" si="228"/>
        <v>0.19188</v>
      </c>
      <c r="BV83" s="528">
        <f t="shared" si="229"/>
        <v>0.28105408959562839</v>
      </c>
      <c r="BW83" s="528">
        <f t="shared" si="230"/>
        <v>1.0307338385837882E-2</v>
      </c>
      <c r="BX83" s="460">
        <f t="shared" si="293"/>
        <v>291.36142798146625</v>
      </c>
      <c r="BY83" s="173">
        <f t="shared" si="231"/>
        <v>1.6301434122338585</v>
      </c>
      <c r="BZ83" s="5">
        <f t="shared" si="294"/>
        <v>12.792</v>
      </c>
      <c r="CA83" s="173">
        <f t="shared" si="295"/>
        <v>0.88696940769212862</v>
      </c>
      <c r="CB83" s="5">
        <f t="shared" si="296"/>
        <v>88.696940769212858</v>
      </c>
      <c r="CE83" s="562">
        <f t="shared" si="232"/>
        <v>-50</v>
      </c>
      <c r="CF83">
        <f t="shared" si="233"/>
        <v>-50</v>
      </c>
      <c r="CG83" s="173">
        <f t="shared" si="234"/>
        <v>0.57233002460447824</v>
      </c>
      <c r="CI83" s="170">
        <v>78</v>
      </c>
      <c r="CJ83" s="217">
        <f t="shared" si="297"/>
        <v>0.78</v>
      </c>
      <c r="CK83" s="217"/>
      <c r="CL83" s="217">
        <f t="shared" si="235"/>
        <v>12.792</v>
      </c>
      <c r="CM83" s="541">
        <f t="shared" si="236"/>
        <v>24</v>
      </c>
      <c r="CN83" s="172">
        <f t="shared" si="237"/>
        <v>16.799999999999997</v>
      </c>
      <c r="CO83" s="443">
        <f t="shared" si="238"/>
        <v>40.799999999999997</v>
      </c>
      <c r="CP83" s="443"/>
      <c r="CQ83" s="217">
        <f t="shared" si="239"/>
        <v>0.41176470588235292</v>
      </c>
      <c r="CR83" s="172">
        <f t="shared" si="240"/>
        <v>33.237647058823534</v>
      </c>
      <c r="CS83" s="172">
        <f t="shared" si="298"/>
        <v>12.792</v>
      </c>
      <c r="CT83" s="217">
        <f t="shared" si="241"/>
        <v>2.026685796269728</v>
      </c>
      <c r="CU83" s="217">
        <f t="shared" si="242"/>
        <v>16.399999999999999</v>
      </c>
      <c r="CV83" s="217">
        <f t="shared" si="243"/>
        <v>2.0086083213773311</v>
      </c>
      <c r="CW83" s="172">
        <f t="shared" si="244"/>
        <v>78.685490191299138</v>
      </c>
      <c r="CX83" s="172">
        <f t="shared" si="245"/>
        <v>16.399999999999999</v>
      </c>
      <c r="CY83" s="217">
        <f t="shared" si="246"/>
        <v>2.5888571428571425</v>
      </c>
      <c r="CZ83" s="217">
        <f t="shared" si="247"/>
        <v>1.2944285714285713</v>
      </c>
      <c r="DA83" s="217">
        <f t="shared" si="248"/>
        <v>1.8491836734693878</v>
      </c>
      <c r="DB83" s="197">
        <f t="shared" si="249"/>
        <v>350</v>
      </c>
      <c r="DC83" s="443">
        <f t="shared" si="299"/>
        <v>318.1053902633783</v>
      </c>
      <c r="DE83" s="217">
        <f t="shared" si="250"/>
        <v>2.3529411764705879</v>
      </c>
      <c r="DF83" s="173">
        <f t="shared" si="251"/>
        <v>1.6806722689075633</v>
      </c>
      <c r="DG83" s="173">
        <f t="shared" si="252"/>
        <v>0.69204152249134954</v>
      </c>
      <c r="DH83" s="173"/>
      <c r="DI83" s="173">
        <f t="shared" si="253"/>
        <v>0.95238095238095266</v>
      </c>
      <c r="DJ83" s="545">
        <f t="shared" si="300"/>
        <v>1228.4999999999995</v>
      </c>
      <c r="DK83" s="528">
        <f t="shared" si="254"/>
        <v>0.22222222222222232</v>
      </c>
      <c r="DM83" s="173">
        <f t="shared" si="255"/>
        <v>2.4979991993593589</v>
      </c>
      <c r="DN83" s="173">
        <f t="shared" si="256"/>
        <v>2.5888571428571425</v>
      </c>
      <c r="DO83" s="173">
        <f t="shared" si="257"/>
        <v>2.1300176366843031</v>
      </c>
      <c r="DQ83" s="545">
        <f t="shared" si="258"/>
        <v>780</v>
      </c>
      <c r="DR83" s="460">
        <f t="shared" si="259"/>
        <v>318.1053902633783</v>
      </c>
      <c r="DT83">
        <f t="shared" si="260"/>
        <v>780</v>
      </c>
      <c r="DU83">
        <f t="shared" si="261"/>
        <v>318.1053902633783</v>
      </c>
      <c r="DW83" s="5">
        <f t="shared" si="301"/>
        <v>3.1436122448979593</v>
      </c>
      <c r="DX83" s="5">
        <f t="shared" si="262"/>
        <v>1.2944285714285713</v>
      </c>
      <c r="DY83" s="5">
        <f t="shared" si="302"/>
        <v>1.8491836734693881</v>
      </c>
      <c r="DZ83" s="5">
        <f t="shared" si="263"/>
        <v>1.8491836734693878</v>
      </c>
      <c r="EA83" s="173">
        <f t="shared" si="303"/>
        <v>0.41176470588235287</v>
      </c>
      <c r="EB83" s="173">
        <f t="shared" si="264"/>
        <v>12.791999999999996</v>
      </c>
      <c r="EC83" s="173">
        <f t="shared" si="265"/>
        <v>0.76142857142857145</v>
      </c>
      <c r="ED83" s="173">
        <f t="shared" si="304"/>
        <v>16.799999999999994</v>
      </c>
      <c r="EE83" s="460">
        <f t="shared" si="266"/>
        <v>6.156428571428572</v>
      </c>
      <c r="EF83" s="5">
        <f t="shared" si="267"/>
        <v>0.82134574829931983</v>
      </c>
      <c r="EG83" s="5"/>
      <c r="EH83" s="173">
        <f t="shared" si="305"/>
        <v>0.95911794795803795</v>
      </c>
      <c r="EI83" s="173">
        <f t="shared" si="268"/>
        <v>1.1463652111255433</v>
      </c>
      <c r="EJ83" s="173"/>
      <c r="EK83" s="528">
        <f t="shared" si="269"/>
        <v>1.8398144761904753E-2</v>
      </c>
      <c r="EL83" s="528">
        <f t="shared" si="270"/>
        <v>0.67200000000000004</v>
      </c>
      <c r="EM83" s="528">
        <f t="shared" si="271"/>
        <v>3.9763173782922281E-2</v>
      </c>
      <c r="EN83" s="528">
        <f t="shared" si="272"/>
        <v>5.2953095684803005E-2</v>
      </c>
      <c r="EO83">
        <f t="shared" si="273"/>
        <v>1.0800000000000001E-2</v>
      </c>
      <c r="EP83" s="460">
        <f t="shared" si="306"/>
        <v>50.563173782922284</v>
      </c>
      <c r="EQ83" s="528">
        <f t="shared" si="274"/>
        <v>0.80238947803404281</v>
      </c>
      <c r="ER83" s="460">
        <f t="shared" si="307"/>
        <v>802.38947803404278</v>
      </c>
      <c r="ES83" s="528">
        <f t="shared" si="308"/>
        <v>0.48457499999999992</v>
      </c>
      <c r="ET83" s="528"/>
      <c r="EV83" s="460">
        <f t="shared" si="309"/>
        <v>484.57499999999993</v>
      </c>
      <c r="EW83" s="528">
        <f t="shared" si="275"/>
        <v>2.7597217142857126E-2</v>
      </c>
      <c r="EX83" s="528">
        <f t="shared" si="276"/>
        <v>3.9424595918367347E-2</v>
      </c>
      <c r="EY83" s="528">
        <f t="shared" si="277"/>
        <v>0.9731231182004848</v>
      </c>
      <c r="EZ83" s="528">
        <f t="shared" si="278"/>
        <v>1.0619239317756597</v>
      </c>
      <c r="FA83" s="528">
        <f t="shared" si="279"/>
        <v>1.0659999999999996E-2</v>
      </c>
      <c r="FB83" s="460">
        <f t="shared" si="310"/>
        <v>1072.5839317756595</v>
      </c>
      <c r="FC83" s="173">
        <f t="shared" si="311"/>
        <v>2.3595484098097024</v>
      </c>
      <c r="FD83" s="5">
        <f t="shared" si="312"/>
        <v>12.792</v>
      </c>
      <c r="FE83" s="173">
        <f t="shared" si="313"/>
        <v>0.84427014678697532</v>
      </c>
      <c r="FF83" s="5">
        <f t="shared" si="314"/>
        <v>84.427014678697532</v>
      </c>
      <c r="FI83" s="562">
        <f t="shared" si="280"/>
        <v>-50</v>
      </c>
      <c r="FJ83">
        <f t="shared" si="281"/>
        <v>-50</v>
      </c>
      <c r="FL83">
        <f t="shared" si="282"/>
        <v>0.58823529411764719</v>
      </c>
    </row>
    <row r="84" spans="5:168">
      <c r="E84" s="170">
        <v>79</v>
      </c>
      <c r="F84" s="217">
        <f t="shared" si="283"/>
        <v>0.79</v>
      </c>
      <c r="G84" s="217"/>
      <c r="H84" s="217">
        <f t="shared" si="183"/>
        <v>12.956</v>
      </c>
      <c r="I84" s="541">
        <f t="shared" si="184"/>
        <v>23.931008145653351</v>
      </c>
      <c r="J84" s="172">
        <f t="shared" si="185"/>
        <v>16.841395112607987</v>
      </c>
      <c r="K84" s="172">
        <f t="shared" si="186"/>
        <v>40.841395112607984</v>
      </c>
      <c r="L84" s="443"/>
      <c r="M84" s="217">
        <f t="shared" si="187"/>
        <v>0.41304277189897004</v>
      </c>
      <c r="N84" s="172">
        <f t="shared" si="188"/>
        <v>33.244969027556166</v>
      </c>
      <c r="O84" s="172">
        <f t="shared" si="284"/>
        <v>12.956</v>
      </c>
      <c r="P84" s="217">
        <f t="shared" si="189"/>
        <v>2.027132257777815</v>
      </c>
      <c r="Q84" s="217">
        <f t="shared" si="190"/>
        <v>16.399999999999999</v>
      </c>
      <c r="R84" s="217">
        <f t="shared" si="191"/>
        <v>2.0090508005726613</v>
      </c>
      <c r="S84" s="172">
        <f t="shared" si="192"/>
        <v>77.167117773498816</v>
      </c>
      <c r="T84" s="172">
        <f t="shared" si="193"/>
        <v>16.399999999999999</v>
      </c>
      <c r="U84" s="217">
        <f t="shared" si="194"/>
        <v>2.69184861239675</v>
      </c>
      <c r="V84" s="217">
        <f t="shared" si="195"/>
        <v>1.34980453611304</v>
      </c>
      <c r="W84" s="217">
        <f t="shared" si="196"/>
        <v>1.9180230101352229</v>
      </c>
      <c r="X84" s="197">
        <f t="shared" si="197"/>
        <v>350</v>
      </c>
      <c r="Y84" s="443">
        <f t="shared" si="198"/>
        <v>288.36497393933831</v>
      </c>
      <c r="AA84" s="217">
        <f t="shared" si="199"/>
        <v>2.3535501572747277</v>
      </c>
      <c r="AB84" s="173">
        <f t="shared" si="200"/>
        <v>1.6769751970342082</v>
      </c>
      <c r="AC84" s="173">
        <f t="shared" si="201"/>
        <v>0.69069791677699366</v>
      </c>
      <c r="AD84" s="173"/>
      <c r="AE84" s="173">
        <f t="shared" si="202"/>
        <v>0.95004005861853502</v>
      </c>
      <c r="AF84" s="545">
        <f t="shared" si="203"/>
        <v>1247.3158255275287</v>
      </c>
      <c r="AG84" s="528">
        <f t="shared" si="204"/>
        <v>0.22167601367765821</v>
      </c>
      <c r="AI84" s="173">
        <f t="shared" si="205"/>
        <v>2.5170563059105286</v>
      </c>
      <c r="AJ84" s="173">
        <f t="shared" si="206"/>
        <v>2.69184861239675</v>
      </c>
      <c r="AK84" s="173">
        <f t="shared" si="207"/>
        <v>2.2063076141210494</v>
      </c>
      <c r="AM84" s="545">
        <f t="shared" si="208"/>
        <v>790</v>
      </c>
      <c r="AN84" s="460">
        <f t="shared" si="209"/>
        <v>288.36497393933831</v>
      </c>
      <c r="AP84">
        <f t="shared" si="210"/>
        <v>790</v>
      </c>
      <c r="AQ84">
        <f t="shared" si="211"/>
        <v>288.36497393933831</v>
      </c>
      <c r="AS84" s="5">
        <f t="shared" si="285"/>
        <v>3.4678275462482633</v>
      </c>
      <c r="AT84" s="5">
        <f t="shared" si="212"/>
        <v>1.34980453611304</v>
      </c>
      <c r="AU84" s="5">
        <f t="shared" si="286"/>
        <v>2.1180230101352233</v>
      </c>
      <c r="AV84" s="5">
        <f t="shared" si="213"/>
        <v>1.9180230101352229</v>
      </c>
      <c r="AW84" s="173">
        <f t="shared" si="287"/>
        <v>0.38923634987943745</v>
      </c>
      <c r="AX84" s="173">
        <f t="shared" si="214"/>
        <v>12.537040303347702</v>
      </c>
      <c r="AY84" s="173">
        <f t="shared" si="215"/>
        <v>0.8220416420397052</v>
      </c>
      <c r="AZ84" s="173">
        <f t="shared" si="288"/>
        <v>15.251101236477451</v>
      </c>
      <c r="BA84" s="460">
        <f t="shared" si="216"/>
        <v>6.5021072166420844</v>
      </c>
      <c r="BB84" s="5">
        <f t="shared" si="217"/>
        <v>0.95556310430296076</v>
      </c>
      <c r="BC84" s="5"/>
      <c r="BD84" s="173">
        <f t="shared" si="289"/>
        <v>0.96960913863069176</v>
      </c>
      <c r="BE84" s="173">
        <f t="shared" si="218"/>
        <v>1.2145813142689477</v>
      </c>
      <c r="BF84" s="173"/>
      <c r="BG84" s="528">
        <f t="shared" si="219"/>
        <v>1.8802837634323041E-2</v>
      </c>
      <c r="BH84" s="528">
        <f t="shared" si="220"/>
        <v>0.59442214521935</v>
      </c>
      <c r="BI84" s="528">
        <f t="shared" si="221"/>
        <v>0.17252161350658554</v>
      </c>
      <c r="BJ84" s="528">
        <f t="shared" si="222"/>
        <v>4.8099841543410619E-2</v>
      </c>
      <c r="BK84">
        <f t="shared" si="223"/>
        <v>1.0768953665544008E-2</v>
      </c>
      <c r="BL84" s="460">
        <f t="shared" si="290"/>
        <v>183.29056717212956</v>
      </c>
      <c r="BM84" s="528">
        <f t="shared" si="224"/>
        <v>0.66939213622264915</v>
      </c>
      <c r="BN84" s="460">
        <f t="shared" si="291"/>
        <v>669.39213622264913</v>
      </c>
      <c r="BO84" s="528">
        <f t="shared" si="225"/>
        <v>0.49078749999999993</v>
      </c>
      <c r="BP84" s="528"/>
      <c r="BR84" s="460">
        <f t="shared" si="292"/>
        <v>490.78749999999991</v>
      </c>
      <c r="BS84" s="528">
        <f t="shared" si="226"/>
        <v>2.8204256451484559E-2</v>
      </c>
      <c r="BT84" s="528">
        <f t="shared" si="227"/>
        <v>4.425623306913852E-2</v>
      </c>
      <c r="BU84" s="528">
        <f t="shared" si="228"/>
        <v>0.19433999999999998</v>
      </c>
      <c r="BV84" s="528">
        <f t="shared" si="229"/>
        <v>0.28584802201386272</v>
      </c>
      <c r="BW84" s="528">
        <f t="shared" si="230"/>
        <v>1.0447533586123086E-2</v>
      </c>
      <c r="BX84" s="460">
        <f t="shared" si="293"/>
        <v>296.29555559998585</v>
      </c>
      <c r="BY84" s="173">
        <f t="shared" si="231"/>
        <v>1.6397657589947645</v>
      </c>
      <c r="BZ84" s="5">
        <f t="shared" si="294"/>
        <v>12.956</v>
      </c>
      <c r="CA84" s="173">
        <f t="shared" si="295"/>
        <v>0.88765469478816172</v>
      </c>
      <c r="CB84" s="5">
        <f t="shared" si="296"/>
        <v>88.765469478816172</v>
      </c>
      <c r="CE84" s="562">
        <f t="shared" si="232"/>
        <v>-50</v>
      </c>
      <c r="CF84">
        <f t="shared" si="233"/>
        <v>-50</v>
      </c>
      <c r="CG84" s="173">
        <f t="shared" si="234"/>
        <v>0.57253135712996128</v>
      </c>
      <c r="CI84" s="170">
        <v>79</v>
      </c>
      <c r="CJ84" s="217">
        <f t="shared" si="297"/>
        <v>0.79</v>
      </c>
      <c r="CK84" s="217"/>
      <c r="CL84" s="217">
        <f t="shared" si="235"/>
        <v>12.956</v>
      </c>
      <c r="CM84" s="541">
        <f t="shared" si="236"/>
        <v>24</v>
      </c>
      <c r="CN84" s="172">
        <f t="shared" si="237"/>
        <v>16.799999999999997</v>
      </c>
      <c r="CO84" s="443">
        <f t="shared" si="238"/>
        <v>40.799999999999997</v>
      </c>
      <c r="CP84" s="443"/>
      <c r="CQ84" s="217">
        <f t="shared" si="239"/>
        <v>0.41176470588235292</v>
      </c>
      <c r="CR84" s="172">
        <f t="shared" si="240"/>
        <v>33.237647058823534</v>
      </c>
      <c r="CS84" s="172">
        <f t="shared" si="298"/>
        <v>12.956</v>
      </c>
      <c r="CT84" s="217">
        <f t="shared" si="241"/>
        <v>2.026685796269728</v>
      </c>
      <c r="CU84" s="217">
        <f t="shared" si="242"/>
        <v>16.399999999999999</v>
      </c>
      <c r="CV84" s="217">
        <f t="shared" si="243"/>
        <v>2.0086083213773311</v>
      </c>
      <c r="CW84" s="172">
        <f t="shared" si="244"/>
        <v>77.389233179893964</v>
      </c>
      <c r="CX84" s="172">
        <f t="shared" si="245"/>
        <v>16.399999999999999</v>
      </c>
      <c r="CY84" s="217">
        <f t="shared" si="246"/>
        <v>2.6220476190476187</v>
      </c>
      <c r="CZ84" s="217">
        <f t="shared" si="247"/>
        <v>1.3110238095238096</v>
      </c>
      <c r="DA84" s="217">
        <f t="shared" si="248"/>
        <v>1.8728911564625852</v>
      </c>
      <c r="DB84" s="197">
        <f t="shared" si="249"/>
        <v>350</v>
      </c>
      <c r="DC84" s="443">
        <f t="shared" si="299"/>
        <v>314.07873975371524</v>
      </c>
      <c r="DE84" s="217">
        <f t="shared" si="250"/>
        <v>2.3529411764705879</v>
      </c>
      <c r="DF84" s="173">
        <f t="shared" si="251"/>
        <v>1.6806722689075633</v>
      </c>
      <c r="DG84" s="173">
        <f t="shared" si="252"/>
        <v>0.69204152249134954</v>
      </c>
      <c r="DH84" s="173"/>
      <c r="DI84" s="173">
        <f t="shared" si="253"/>
        <v>0.95238095238095266</v>
      </c>
      <c r="DJ84" s="545">
        <f t="shared" si="300"/>
        <v>1244.2499999999995</v>
      </c>
      <c r="DK84" s="528">
        <f t="shared" si="254"/>
        <v>0.22222222222222232</v>
      </c>
      <c r="DM84" s="173">
        <f t="shared" si="255"/>
        <v>2.5139610179953067</v>
      </c>
      <c r="DN84" s="173">
        <f t="shared" si="256"/>
        <v>2.6220476190476187</v>
      </c>
      <c r="DO84" s="173">
        <f t="shared" si="257"/>
        <v>2.1546031746031744</v>
      </c>
      <c r="DQ84" s="545">
        <f t="shared" si="258"/>
        <v>790</v>
      </c>
      <c r="DR84" s="460">
        <f t="shared" si="259"/>
        <v>314.07873975371524</v>
      </c>
      <c r="DT84">
        <f t="shared" si="260"/>
        <v>790</v>
      </c>
      <c r="DU84">
        <f t="shared" si="261"/>
        <v>314.07873975371524</v>
      </c>
      <c r="DW84" s="5">
        <f t="shared" si="301"/>
        <v>3.183914965986395</v>
      </c>
      <c r="DX84" s="5">
        <f t="shared" si="262"/>
        <v>1.3110238095238096</v>
      </c>
      <c r="DY84" s="5">
        <f t="shared" si="302"/>
        <v>1.8728911564625854</v>
      </c>
      <c r="DZ84" s="5">
        <f t="shared" si="263"/>
        <v>1.8728911564625852</v>
      </c>
      <c r="EA84" s="173">
        <f t="shared" si="303"/>
        <v>0.41176470588235292</v>
      </c>
      <c r="EB84" s="173">
        <f t="shared" si="264"/>
        <v>12.955999999999998</v>
      </c>
      <c r="EC84" s="173">
        <f t="shared" si="265"/>
        <v>0.77119047619047609</v>
      </c>
      <c r="ED84" s="173">
        <f t="shared" si="304"/>
        <v>16.8</v>
      </c>
      <c r="EE84" s="460">
        <f t="shared" si="266"/>
        <v>6.3152976190476204</v>
      </c>
      <c r="EF84" s="5">
        <f t="shared" si="267"/>
        <v>0.84254089663643239</v>
      </c>
      <c r="EG84" s="5"/>
      <c r="EH84" s="173">
        <f t="shared" si="305"/>
        <v>0.97141433190621795</v>
      </c>
      <c r="EI84" s="173">
        <f t="shared" si="268"/>
        <v>1.1610622010117682</v>
      </c>
      <c r="EJ84" s="173"/>
      <c r="EK84" s="528">
        <f t="shared" si="269"/>
        <v>1.8872916084656074E-2</v>
      </c>
      <c r="EL84" s="528">
        <f t="shared" si="270"/>
        <v>0.67199999999999982</v>
      </c>
      <c r="EM84" s="528">
        <f t="shared" si="271"/>
        <v>3.9259842469214407E-2</v>
      </c>
      <c r="EN84" s="528">
        <f t="shared" si="272"/>
        <v>5.2282803334362457E-2</v>
      </c>
      <c r="EO84">
        <f t="shared" si="273"/>
        <v>1.0800000000000001E-2</v>
      </c>
      <c r="EP84" s="460">
        <f t="shared" si="306"/>
        <v>50.059842469214409</v>
      </c>
      <c r="EQ84" s="528">
        <f t="shared" si="274"/>
        <v>0.80190716524010308</v>
      </c>
      <c r="ER84" s="460">
        <f t="shared" si="307"/>
        <v>801.90716524010304</v>
      </c>
      <c r="ES84" s="528">
        <f t="shared" si="308"/>
        <v>0.49078749999999993</v>
      </c>
      <c r="ET84" s="528"/>
      <c r="EV84" s="460">
        <f t="shared" si="309"/>
        <v>490.78749999999991</v>
      </c>
      <c r="EW84" s="528">
        <f t="shared" si="275"/>
        <v>2.8309374126984112E-2</v>
      </c>
      <c r="EX84" s="528">
        <f t="shared" si="276"/>
        <v>4.0441963038548738E-2</v>
      </c>
      <c r="EY84" s="528">
        <f t="shared" si="277"/>
        <v>0.97312311820048403</v>
      </c>
      <c r="EZ84" s="528">
        <f t="shared" si="278"/>
        <v>1.0642281449267776</v>
      </c>
      <c r="FA84" s="528">
        <f t="shared" si="279"/>
        <v>1.0796666666666664E-2</v>
      </c>
      <c r="FB84" s="460">
        <f t="shared" si="310"/>
        <v>1075.0248115934442</v>
      </c>
      <c r="FC84" s="173">
        <f t="shared" si="311"/>
        <v>2.3677194768335474</v>
      </c>
      <c r="FD84" s="5">
        <f t="shared" si="312"/>
        <v>12.956</v>
      </c>
      <c r="FE84" s="173">
        <f t="shared" si="313"/>
        <v>0.84548663394595058</v>
      </c>
      <c r="FF84" s="5">
        <f t="shared" si="314"/>
        <v>84.548663394595053</v>
      </c>
      <c r="FI84" s="562">
        <f t="shared" si="280"/>
        <v>-50</v>
      </c>
      <c r="FJ84">
        <f t="shared" si="281"/>
        <v>-50</v>
      </c>
      <c r="FL84">
        <f t="shared" si="282"/>
        <v>0.58823529411764708</v>
      </c>
    </row>
    <row r="85" spans="5:168">
      <c r="E85" s="170">
        <v>80</v>
      </c>
      <c r="F85" s="217">
        <f t="shared" si="283"/>
        <v>0.8</v>
      </c>
      <c r="G85" s="217"/>
      <c r="H85" s="217">
        <f t="shared" si="183"/>
        <v>13.12</v>
      </c>
      <c r="I85" s="541">
        <f t="shared" si="184"/>
        <v>23.930158776938661</v>
      </c>
      <c r="J85" s="172">
        <f t="shared" si="185"/>
        <v>16.841904733836799</v>
      </c>
      <c r="K85" s="172">
        <f t="shared" si="186"/>
        <v>40.841904733836799</v>
      </c>
      <c r="L85" s="443"/>
      <c r="M85" s="217">
        <f t="shared" si="187"/>
        <v>0.41305871888216883</v>
      </c>
      <c r="N85" s="172">
        <f t="shared" si="188"/>
        <v>33.245072578642045</v>
      </c>
      <c r="O85" s="172">
        <f t="shared" si="284"/>
        <v>13.12</v>
      </c>
      <c r="P85" s="217">
        <f t="shared" si="189"/>
        <v>2.0271385718684174</v>
      </c>
      <c r="Q85" s="217">
        <f t="shared" si="190"/>
        <v>16.399999999999999</v>
      </c>
      <c r="R85" s="217">
        <f t="shared" si="191"/>
        <v>2.0090570583433278</v>
      </c>
      <c r="S85" s="172">
        <f t="shared" si="192"/>
        <v>75.90428208163766</v>
      </c>
      <c r="T85" s="172">
        <f t="shared" si="193"/>
        <v>16.399999999999999</v>
      </c>
      <c r="U85" s="217">
        <f t="shared" si="194"/>
        <v>2.7259967078014955</v>
      </c>
      <c r="V85" s="217">
        <f t="shared" si="195"/>
        <v>1.3669763246678601</v>
      </c>
      <c r="W85" s="217">
        <f t="shared" si="196"/>
        <v>1.9422957801142813</v>
      </c>
      <c r="X85" s="197">
        <f t="shared" si="197"/>
        <v>350</v>
      </c>
      <c r="Y85" s="443">
        <f t="shared" si="198"/>
        <v>284.95937907957722</v>
      </c>
      <c r="AA85" s="217">
        <f t="shared" si="199"/>
        <v>2.3535574518139333</v>
      </c>
      <c r="AB85" s="173">
        <f t="shared" si="200"/>
        <v>1.6769296506603122</v>
      </c>
      <c r="AC85" s="173">
        <f t="shared" si="201"/>
        <v>0.69068129820887991</v>
      </c>
      <c r="AD85" s="173"/>
      <c r="AE85" s="173">
        <f t="shared" si="202"/>
        <v>0.95001131124169469</v>
      </c>
      <c r="AF85" s="545">
        <f t="shared" si="203"/>
        <v>1263.1428550377595</v>
      </c>
      <c r="AG85" s="528">
        <f t="shared" si="204"/>
        <v>0.22166930595639547</v>
      </c>
      <c r="AI85" s="173">
        <f t="shared" si="205"/>
        <v>2.5329752679661728</v>
      </c>
      <c r="AJ85" s="173">
        <f t="shared" si="206"/>
        <v>2.7259967078014955</v>
      </c>
      <c r="AK85" s="173">
        <f t="shared" si="207"/>
        <v>2.231602499606046</v>
      </c>
      <c r="AM85" s="545">
        <f t="shared" si="208"/>
        <v>800</v>
      </c>
      <c r="AN85" s="460">
        <f t="shared" si="209"/>
        <v>284.95937907957722</v>
      </c>
      <c r="AP85">
        <f t="shared" si="210"/>
        <v>800</v>
      </c>
      <c r="AQ85">
        <f t="shared" si="211"/>
        <v>284.95937907957722</v>
      </c>
      <c r="AS85" s="5">
        <f t="shared" si="285"/>
        <v>3.5092721047821414</v>
      </c>
      <c r="AT85" s="5">
        <f t="shared" si="212"/>
        <v>1.3669763246678601</v>
      </c>
      <c r="AU85" s="5">
        <f t="shared" si="286"/>
        <v>2.1422957801142815</v>
      </c>
      <c r="AV85" s="5">
        <f t="shared" si="213"/>
        <v>1.9422957801142813</v>
      </c>
      <c r="AW85" s="173">
        <f t="shared" si="287"/>
        <v>0.38953272469383599</v>
      </c>
      <c r="AX85" s="173">
        <f t="shared" si="214"/>
        <v>12.705298128608785</v>
      </c>
      <c r="AY85" s="173">
        <f t="shared" si="215"/>
        <v>0.83206589135257603</v>
      </c>
      <c r="AZ85" s="173">
        <f t="shared" si="288"/>
        <v>15.269581725018814</v>
      </c>
      <c r="BA85" s="460">
        <f t="shared" si="216"/>
        <v>6.6681771935017577</v>
      </c>
      <c r="BB85" s="5">
        <f t="shared" si="217"/>
        <v>0.97878305283769584</v>
      </c>
      <c r="BC85" s="5"/>
      <c r="BD85" s="173">
        <f t="shared" si="289"/>
        <v>0.98228310412401199</v>
      </c>
      <c r="BE85" s="173">
        <f t="shared" si="218"/>
        <v>1.2296907146381806</v>
      </c>
      <c r="BF85" s="173"/>
      <c r="BG85" s="528">
        <f t="shared" si="219"/>
        <v>1.9297601932950093E-2</v>
      </c>
      <c r="BH85" s="528">
        <f t="shared" si="220"/>
        <v>0.59486106299507002</v>
      </c>
      <c r="BI85" s="528">
        <f t="shared" si="221"/>
        <v>0.17047807965880341</v>
      </c>
      <c r="BJ85" s="528">
        <f t="shared" si="222"/>
        <v>4.7532967877147718E-2</v>
      </c>
      <c r="BK85">
        <f t="shared" si="223"/>
        <v>1.0768571449622398E-2</v>
      </c>
      <c r="BL85" s="460">
        <f t="shared" si="290"/>
        <v>181.24665110842579</v>
      </c>
      <c r="BM85" s="528">
        <f t="shared" si="224"/>
        <v>0.66997388945424441</v>
      </c>
      <c r="BN85" s="460">
        <f t="shared" si="291"/>
        <v>669.97388945424439</v>
      </c>
      <c r="BO85" s="528">
        <f t="shared" si="225"/>
        <v>0.49699999999999994</v>
      </c>
      <c r="BP85" s="528"/>
      <c r="BR85" s="460">
        <f t="shared" si="292"/>
        <v>496.99999999999994</v>
      </c>
      <c r="BS85" s="528">
        <f t="shared" si="226"/>
        <v>2.8946402899425138E-2</v>
      </c>
      <c r="BT85" s="528">
        <f t="shared" si="227"/>
        <v>4.5364177610020776E-2</v>
      </c>
      <c r="BU85" s="528">
        <f t="shared" si="228"/>
        <v>0.19679999999999997</v>
      </c>
      <c r="BV85" s="528">
        <f t="shared" si="229"/>
        <v>0.2906731269358005</v>
      </c>
      <c r="BW85" s="528">
        <f t="shared" si="230"/>
        <v>1.0587748440507321E-2</v>
      </c>
      <c r="BX85" s="460">
        <f t="shared" si="293"/>
        <v>301.26087537630781</v>
      </c>
      <c r="BY85" s="173">
        <f t="shared" si="231"/>
        <v>1.6494814159389779</v>
      </c>
      <c r="BZ85" s="5">
        <f t="shared" si="294"/>
        <v>13.12</v>
      </c>
      <c r="CA85" s="173">
        <f t="shared" si="295"/>
        <v>0.88831825779889029</v>
      </c>
      <c r="CB85" s="5">
        <f t="shared" si="296"/>
        <v>88.83182577988903</v>
      </c>
      <c r="CE85" s="562">
        <f t="shared" si="232"/>
        <v>-50</v>
      </c>
      <c r="CF85">
        <f t="shared" si="233"/>
        <v>-50</v>
      </c>
      <c r="CG85" s="173">
        <f t="shared" si="234"/>
        <v>0.57272765634230749</v>
      </c>
      <c r="CI85" s="170">
        <v>80</v>
      </c>
      <c r="CJ85" s="217">
        <f t="shared" si="297"/>
        <v>0.8</v>
      </c>
      <c r="CK85" s="217"/>
      <c r="CL85" s="217">
        <f t="shared" si="235"/>
        <v>13.12</v>
      </c>
      <c r="CM85" s="541">
        <f t="shared" si="236"/>
        <v>24</v>
      </c>
      <c r="CN85" s="172">
        <f t="shared" si="237"/>
        <v>16.799999999999997</v>
      </c>
      <c r="CO85" s="443">
        <f t="shared" si="238"/>
        <v>40.799999999999997</v>
      </c>
      <c r="CP85" s="443"/>
      <c r="CQ85" s="217">
        <f t="shared" si="239"/>
        <v>0.41176470588235292</v>
      </c>
      <c r="CR85" s="172">
        <f t="shared" si="240"/>
        <v>33.237647058823534</v>
      </c>
      <c r="CS85" s="172">
        <f t="shared" si="298"/>
        <v>13.12</v>
      </c>
      <c r="CT85" s="217">
        <f t="shared" si="241"/>
        <v>2.026685796269728</v>
      </c>
      <c r="CU85" s="217">
        <f t="shared" si="242"/>
        <v>16.399999999999999</v>
      </c>
      <c r="CV85" s="217">
        <f t="shared" si="243"/>
        <v>2.0086083213773311</v>
      </c>
      <c r="CW85" s="172">
        <f t="shared" si="244"/>
        <v>76.125448464434172</v>
      </c>
      <c r="CX85" s="172">
        <f t="shared" si="245"/>
        <v>16.399999999999999</v>
      </c>
      <c r="CY85" s="217">
        <f t="shared" si="246"/>
        <v>2.655238095238095</v>
      </c>
      <c r="CZ85" s="217">
        <f t="shared" si="247"/>
        <v>1.3276190476190475</v>
      </c>
      <c r="DA85" s="217">
        <f t="shared" si="248"/>
        <v>1.8965986394557826</v>
      </c>
      <c r="DB85" s="197">
        <f t="shared" si="249"/>
        <v>350</v>
      </c>
      <c r="DC85" s="443">
        <f t="shared" si="299"/>
        <v>310.15275550679377</v>
      </c>
      <c r="DE85" s="217">
        <f t="shared" si="250"/>
        <v>2.3529411764705879</v>
      </c>
      <c r="DF85" s="173">
        <f t="shared" si="251"/>
        <v>1.6806722689075633</v>
      </c>
      <c r="DG85" s="173">
        <f t="shared" si="252"/>
        <v>0.69204152249134954</v>
      </c>
      <c r="DH85" s="173"/>
      <c r="DI85" s="173">
        <f t="shared" si="253"/>
        <v>0.95238095238095266</v>
      </c>
      <c r="DJ85" s="545">
        <f t="shared" si="300"/>
        <v>1259.9999999999995</v>
      </c>
      <c r="DK85" s="528">
        <f t="shared" si="254"/>
        <v>0.22222222222222232</v>
      </c>
      <c r="DM85" s="173">
        <f t="shared" si="255"/>
        <v>2.5298221281347031</v>
      </c>
      <c r="DN85" s="173">
        <f t="shared" si="256"/>
        <v>2.655238095238095</v>
      </c>
      <c r="DO85" s="173">
        <f t="shared" si="257"/>
        <v>2.1791887125220457</v>
      </c>
      <c r="DQ85" s="545">
        <f t="shared" si="258"/>
        <v>800</v>
      </c>
      <c r="DR85" s="460">
        <f t="shared" si="259"/>
        <v>310.15275550679377</v>
      </c>
      <c r="DT85">
        <f t="shared" si="260"/>
        <v>800</v>
      </c>
      <c r="DU85">
        <f t="shared" si="261"/>
        <v>310.15275550679377</v>
      </c>
      <c r="DW85" s="5">
        <f t="shared" si="301"/>
        <v>3.2242176870748303</v>
      </c>
      <c r="DX85" s="5">
        <f t="shared" si="262"/>
        <v>1.3276190476190475</v>
      </c>
      <c r="DY85" s="5">
        <f t="shared" si="302"/>
        <v>1.8965986394557828</v>
      </c>
      <c r="DZ85" s="5">
        <f t="shared" si="263"/>
        <v>1.8965986394557826</v>
      </c>
      <c r="EA85" s="173">
        <f t="shared" si="303"/>
        <v>0.41176470588235287</v>
      </c>
      <c r="EB85" s="173">
        <f t="shared" si="264"/>
        <v>13.119999999999994</v>
      </c>
      <c r="EC85" s="173">
        <f t="shared" si="265"/>
        <v>0.78095238095238106</v>
      </c>
      <c r="ED85" s="173">
        <f t="shared" si="304"/>
        <v>16.79999999999999</v>
      </c>
      <c r="EE85" s="460">
        <f t="shared" si="266"/>
        <v>6.4761904761904763</v>
      </c>
      <c r="EF85" s="5">
        <f t="shared" si="267"/>
        <v>0.86400604686318982</v>
      </c>
      <c r="EG85" s="5"/>
      <c r="EH85" s="173">
        <f t="shared" si="305"/>
        <v>0.98371071585439795</v>
      </c>
      <c r="EI85" s="173">
        <f t="shared" si="268"/>
        <v>1.1757591908979932</v>
      </c>
      <c r="EJ85" s="173"/>
      <c r="EK85" s="528">
        <f t="shared" si="269"/>
        <v>1.935373544973544E-2</v>
      </c>
      <c r="EL85" s="528">
        <f t="shared" si="270"/>
        <v>0.67199999999999971</v>
      </c>
      <c r="EM85" s="528">
        <f t="shared" si="271"/>
        <v>3.8769094438349215E-2</v>
      </c>
      <c r="EN85" s="528">
        <f t="shared" si="272"/>
        <v>5.1629268292682919E-2</v>
      </c>
      <c r="EO85">
        <f t="shared" si="273"/>
        <v>1.0800000000000001E-2</v>
      </c>
      <c r="EP85" s="460">
        <f t="shared" si="306"/>
        <v>49.569094438349211</v>
      </c>
      <c r="EQ85" s="528">
        <f t="shared" si="274"/>
        <v>0.80146309274170457</v>
      </c>
      <c r="ER85" s="460">
        <f t="shared" si="307"/>
        <v>801.4630927417046</v>
      </c>
      <c r="ES85" s="528">
        <f t="shared" si="308"/>
        <v>0.49699999999999994</v>
      </c>
      <c r="ET85" s="528"/>
      <c r="EV85" s="460">
        <f t="shared" si="309"/>
        <v>496.99999999999994</v>
      </c>
      <c r="EW85" s="528">
        <f t="shared" si="275"/>
        <v>2.903060317460316E-2</v>
      </c>
      <c r="EX85" s="528">
        <f t="shared" si="276"/>
        <v>4.1472290249433108E-2</v>
      </c>
      <c r="EY85" s="528">
        <f t="shared" si="277"/>
        <v>0.97312311820048403</v>
      </c>
      <c r="EZ85" s="528">
        <f t="shared" si="278"/>
        <v>1.0665623646643705</v>
      </c>
      <c r="FA85" s="528">
        <f t="shared" si="279"/>
        <v>1.093333333333333E-2</v>
      </c>
      <c r="FB85" s="460">
        <f t="shared" si="310"/>
        <v>1077.4956979977037</v>
      </c>
      <c r="FC85" s="173">
        <f t="shared" si="311"/>
        <v>2.3759587907394084</v>
      </c>
      <c r="FD85" s="5">
        <f t="shared" si="312"/>
        <v>13.12</v>
      </c>
      <c r="FE85" s="173">
        <f t="shared" si="313"/>
        <v>0.84667236001173973</v>
      </c>
      <c r="FF85" s="5">
        <f t="shared" si="314"/>
        <v>84.667236001173976</v>
      </c>
      <c r="FI85" s="562">
        <f t="shared" si="280"/>
        <v>-50</v>
      </c>
      <c r="FJ85">
        <f t="shared" si="281"/>
        <v>-50</v>
      </c>
      <c r="FL85">
        <f t="shared" si="282"/>
        <v>0.58823529411764719</v>
      </c>
    </row>
    <row r="86" spans="5:168">
      <c r="E86" s="170">
        <v>81</v>
      </c>
      <c r="F86" s="217">
        <f t="shared" si="283"/>
        <v>0.81</v>
      </c>
      <c r="G86" s="217"/>
      <c r="H86" s="217">
        <f t="shared" si="183"/>
        <v>13.283999999999999</v>
      </c>
      <c r="I86" s="541">
        <f t="shared" si="184"/>
        <v>23.929309392219981</v>
      </c>
      <c r="J86" s="172">
        <f t="shared" si="185"/>
        <v>16.842414364668009</v>
      </c>
      <c r="K86" s="172">
        <f t="shared" si="186"/>
        <v>40.842414364668009</v>
      </c>
      <c r="L86" s="443"/>
      <c r="M86" s="217">
        <f t="shared" si="187"/>
        <v>0.41307466629299544</v>
      </c>
      <c r="N86" s="172">
        <f t="shared" si="188"/>
        <v>33.245176050798094</v>
      </c>
      <c r="O86" s="172">
        <f t="shared" si="284"/>
        <v>13.283999999999999</v>
      </c>
      <c r="P86" s="217">
        <f t="shared" si="189"/>
        <v>2.0271448811462256</v>
      </c>
      <c r="Q86" s="217">
        <f t="shared" si="190"/>
        <v>16.399999999999999</v>
      </c>
      <c r="R86" s="217">
        <f t="shared" si="191"/>
        <v>2.0090633113441285</v>
      </c>
      <c r="S86" s="172">
        <f t="shared" si="192"/>
        <v>74.672714225451728</v>
      </c>
      <c r="T86" s="172">
        <f t="shared" si="193"/>
        <v>16.399999999999999</v>
      </c>
      <c r="U86" s="217">
        <f t="shared" si="194"/>
        <v>2.7601466608505785</v>
      </c>
      <c r="V86" s="217">
        <f t="shared" si="195"/>
        <v>1.3841502647366688</v>
      </c>
      <c r="W86" s="217">
        <f t="shared" si="196"/>
        <v>1.9665684036185287</v>
      </c>
      <c r="X86" s="197">
        <f t="shared" si="197"/>
        <v>350</v>
      </c>
      <c r="Y86" s="443">
        <f t="shared" si="198"/>
        <v>281.6331265307569</v>
      </c>
      <c r="AA86" s="217">
        <f t="shared" si="199"/>
        <v>2.3535647415564993</v>
      </c>
      <c r="AB86" s="173">
        <f t="shared" si="200"/>
        <v>1.6768841026691308</v>
      </c>
      <c r="AC86" s="173">
        <f t="shared" si="201"/>
        <v>0.69066467745076821</v>
      </c>
      <c r="AD86" s="173"/>
      <c r="AE86" s="173">
        <f t="shared" si="202"/>
        <v>0.94998256506292689</v>
      </c>
      <c r="AF86" s="545">
        <f t="shared" si="203"/>
        <v>1278.9708408169768</v>
      </c>
      <c r="AG86" s="528">
        <f t="shared" si="204"/>
        <v>0.22166259851468295</v>
      </c>
      <c r="AI86" s="173">
        <f t="shared" si="205"/>
        <v>2.5487957600349125</v>
      </c>
      <c r="AJ86" s="173">
        <f t="shared" si="206"/>
        <v>2.7601466608505785</v>
      </c>
      <c r="AK86" s="173">
        <f t="shared" si="207"/>
        <v>2.2568987611238853</v>
      </c>
      <c r="AM86" s="545">
        <f t="shared" si="208"/>
        <v>810</v>
      </c>
      <c r="AN86" s="460">
        <f t="shared" si="209"/>
        <v>281.6331265307569</v>
      </c>
      <c r="AP86">
        <f t="shared" si="210"/>
        <v>810</v>
      </c>
      <c r="AQ86">
        <f t="shared" si="211"/>
        <v>281.6331265307569</v>
      </c>
      <c r="AS86" s="5">
        <f t="shared" si="285"/>
        <v>3.5507186683551977</v>
      </c>
      <c r="AT86" s="5">
        <f t="shared" si="212"/>
        <v>1.3841502647366688</v>
      </c>
      <c r="AU86" s="5">
        <f t="shared" si="286"/>
        <v>2.1665684036185286</v>
      </c>
      <c r="AV86" s="5">
        <f t="shared" si="213"/>
        <v>1.9665684036185287</v>
      </c>
      <c r="AW86" s="173">
        <f t="shared" si="287"/>
        <v>0.38982256664616288</v>
      </c>
      <c r="AX86" s="173">
        <f t="shared" si="214"/>
        <v>12.873579071135504</v>
      </c>
      <c r="AY86" s="173">
        <f t="shared" si="215"/>
        <v>0.84208960259898491</v>
      </c>
      <c r="AZ86" s="173">
        <f t="shared" si="288"/>
        <v>15.287659450256966</v>
      </c>
      <c r="BA86" s="460">
        <f t="shared" si="216"/>
        <v>6.8363519172969642</v>
      </c>
      <c r="BB86" s="5">
        <f t="shared" si="217"/>
        <v>1.0022818391848316</v>
      </c>
      <c r="BC86" s="5"/>
      <c r="BD86" s="173">
        <f t="shared" si="289"/>
        <v>0.9949586222390423</v>
      </c>
      <c r="BE86" s="173">
        <f t="shared" si="218"/>
        <v>1.2448000655394633</v>
      </c>
      <c r="BF86" s="173"/>
      <c r="BG86" s="528">
        <f t="shared" si="219"/>
        <v>1.9798853199356266E-2</v>
      </c>
      <c r="BH86" s="528">
        <f t="shared" si="220"/>
        <v>0.59528998295330271</v>
      </c>
      <c r="BI86" s="528">
        <f t="shared" si="221"/>
        <v>0.16848215549631798</v>
      </c>
      <c r="BJ86" s="528">
        <f t="shared" si="222"/>
        <v>4.6979301007476236E-2</v>
      </c>
      <c r="BK86">
        <f t="shared" si="223"/>
        <v>1.0768189226498991E-2</v>
      </c>
      <c r="BL86" s="460">
        <f t="shared" si="290"/>
        <v>179.25034472281698</v>
      </c>
      <c r="BM86" s="528">
        <f t="shared" si="224"/>
        <v>0.67056832005796385</v>
      </c>
      <c r="BN86" s="460">
        <f t="shared" si="291"/>
        <v>670.56832005796389</v>
      </c>
      <c r="BO86" s="528">
        <f t="shared" si="225"/>
        <v>0.50321249999999995</v>
      </c>
      <c r="BP86" s="528"/>
      <c r="BR86" s="460">
        <f t="shared" si="292"/>
        <v>503.21249999999998</v>
      </c>
      <c r="BS86" s="528">
        <f t="shared" si="226"/>
        <v>2.9698279799034399E-2</v>
      </c>
      <c r="BT86" s="528">
        <f t="shared" si="227"/>
        <v>4.648581609501156E-2</v>
      </c>
      <c r="BU86" s="528">
        <f t="shared" si="228"/>
        <v>0.19925999999999996</v>
      </c>
      <c r="BV86" s="528">
        <f t="shared" si="229"/>
        <v>0.29552945042789003</v>
      </c>
      <c r="BW86" s="528">
        <f t="shared" si="230"/>
        <v>1.0727982559279585E-2</v>
      </c>
      <c r="BX86" s="460">
        <f t="shared" si="293"/>
        <v>306.25743298716964</v>
      </c>
      <c r="BY86" s="173">
        <f t="shared" si="231"/>
        <v>1.6592885977679506</v>
      </c>
      <c r="BZ86" s="5">
        <f t="shared" si="294"/>
        <v>13.283999999999999</v>
      </c>
      <c r="CA86" s="173">
        <f t="shared" si="295"/>
        <v>0.88896094812651916</v>
      </c>
      <c r="CB86" s="5">
        <f t="shared" si="296"/>
        <v>88.89609481265191</v>
      </c>
      <c r="CE86" s="562">
        <f t="shared" si="232"/>
        <v>-50</v>
      </c>
      <c r="CF86">
        <f t="shared" si="233"/>
        <v>-50</v>
      </c>
      <c r="CG86" s="173">
        <f t="shared" si="234"/>
        <v>0.57291910866052154</v>
      </c>
      <c r="CI86" s="170">
        <v>81</v>
      </c>
      <c r="CJ86" s="217">
        <f t="shared" si="297"/>
        <v>0.81</v>
      </c>
      <c r="CK86" s="217"/>
      <c r="CL86" s="217">
        <f t="shared" si="235"/>
        <v>13.283999999999999</v>
      </c>
      <c r="CM86" s="541">
        <f t="shared" si="236"/>
        <v>24</v>
      </c>
      <c r="CN86" s="172">
        <f t="shared" si="237"/>
        <v>16.799999999999997</v>
      </c>
      <c r="CO86" s="443">
        <f t="shared" si="238"/>
        <v>40.799999999999997</v>
      </c>
      <c r="CP86" s="443"/>
      <c r="CQ86" s="217">
        <f t="shared" si="239"/>
        <v>0.41176470588235292</v>
      </c>
      <c r="CR86" s="172">
        <f t="shared" si="240"/>
        <v>33.237647058823534</v>
      </c>
      <c r="CS86" s="172">
        <f t="shared" si="298"/>
        <v>13.283999999999999</v>
      </c>
      <c r="CT86" s="217">
        <f t="shared" si="241"/>
        <v>2.026685796269728</v>
      </c>
      <c r="CU86" s="217">
        <f t="shared" si="242"/>
        <v>16.399999999999999</v>
      </c>
      <c r="CV86" s="217">
        <f t="shared" si="243"/>
        <v>2.0086083213773311</v>
      </c>
      <c r="CW86" s="172">
        <f t="shared" si="244"/>
        <v>74.892934102962428</v>
      </c>
      <c r="CX86" s="172">
        <f t="shared" si="245"/>
        <v>16.399999999999999</v>
      </c>
      <c r="CY86" s="217">
        <f t="shared" si="246"/>
        <v>2.6884285714285712</v>
      </c>
      <c r="CZ86" s="217">
        <f t="shared" si="247"/>
        <v>1.3442142857142858</v>
      </c>
      <c r="DA86" s="217">
        <f t="shared" si="248"/>
        <v>1.9203061224489799</v>
      </c>
      <c r="DB86" s="197">
        <f t="shared" si="249"/>
        <v>350</v>
      </c>
      <c r="DC86" s="443">
        <f t="shared" si="299"/>
        <v>306.32370914251231</v>
      </c>
      <c r="DE86" s="217">
        <f t="shared" si="250"/>
        <v>2.3529411764705879</v>
      </c>
      <c r="DF86" s="173">
        <f t="shared" si="251"/>
        <v>1.6806722689075633</v>
      </c>
      <c r="DG86" s="173">
        <f t="shared" si="252"/>
        <v>0.69204152249134954</v>
      </c>
      <c r="DH86" s="173"/>
      <c r="DI86" s="173">
        <f t="shared" si="253"/>
        <v>0.95238095238095266</v>
      </c>
      <c r="DJ86" s="545">
        <f t="shared" si="300"/>
        <v>1275.7499999999995</v>
      </c>
      <c r="DK86" s="528">
        <f t="shared" si="254"/>
        <v>0.22222222222222232</v>
      </c>
      <c r="DM86" s="173">
        <f t="shared" si="255"/>
        <v>2.545584412271571</v>
      </c>
      <c r="DN86" s="173">
        <f t="shared" si="256"/>
        <v>2.6884285714285712</v>
      </c>
      <c r="DO86" s="173">
        <f t="shared" si="257"/>
        <v>2.2037742504409166</v>
      </c>
      <c r="DQ86" s="545">
        <f t="shared" si="258"/>
        <v>810</v>
      </c>
      <c r="DR86" s="460">
        <f t="shared" si="259"/>
        <v>306.32370914251231</v>
      </c>
      <c r="DT86">
        <f t="shared" si="260"/>
        <v>810</v>
      </c>
      <c r="DU86">
        <f t="shared" si="261"/>
        <v>306.32370914251231</v>
      </c>
      <c r="DW86" s="5">
        <f t="shared" si="301"/>
        <v>3.2645204081632664</v>
      </c>
      <c r="DX86" s="5">
        <f t="shared" si="262"/>
        <v>1.3442142857142858</v>
      </c>
      <c r="DY86" s="5">
        <f t="shared" si="302"/>
        <v>1.9203061224489806</v>
      </c>
      <c r="DZ86" s="5">
        <f t="shared" si="263"/>
        <v>1.9203061224489799</v>
      </c>
      <c r="EA86" s="173">
        <f t="shared" si="303"/>
        <v>0.41176470588235281</v>
      </c>
      <c r="EB86" s="173">
        <f t="shared" si="264"/>
        <v>13.283999999999992</v>
      </c>
      <c r="EC86" s="173">
        <f t="shared" si="265"/>
        <v>0.79071428571428581</v>
      </c>
      <c r="ED86" s="173">
        <f t="shared" si="304"/>
        <v>16.799999999999986</v>
      </c>
      <c r="EE86" s="460">
        <f t="shared" si="266"/>
        <v>6.6391071428571458</v>
      </c>
      <c r="EF86" s="5">
        <f t="shared" si="267"/>
        <v>0.88574119897959214</v>
      </c>
      <c r="EG86" s="5"/>
      <c r="EH86" s="173">
        <f t="shared" si="305"/>
        <v>0.99600709980257796</v>
      </c>
      <c r="EI86" s="173">
        <f t="shared" si="268"/>
        <v>1.190456180784218</v>
      </c>
      <c r="EJ86" s="173"/>
      <c r="EK86" s="528">
        <f t="shared" si="269"/>
        <v>1.9840602857142852E-2</v>
      </c>
      <c r="EL86" s="528">
        <f t="shared" si="270"/>
        <v>0.67199999999999971</v>
      </c>
      <c r="EM86" s="528">
        <f t="shared" si="271"/>
        <v>3.8290463642814035E-2</v>
      </c>
      <c r="EN86" s="528">
        <f t="shared" si="272"/>
        <v>5.0991869918699168E-2</v>
      </c>
      <c r="EO86">
        <f t="shared" si="273"/>
        <v>1.0800000000000001E-2</v>
      </c>
      <c r="EP86" s="460">
        <f t="shared" si="306"/>
        <v>49.090463642814036</v>
      </c>
      <c r="EQ86" s="528">
        <f t="shared" si="274"/>
        <v>0.8010561799478314</v>
      </c>
      <c r="ER86" s="460">
        <f t="shared" si="307"/>
        <v>801.05617994783142</v>
      </c>
      <c r="ES86" s="528">
        <f t="shared" si="308"/>
        <v>0.50321249999999995</v>
      </c>
      <c r="ET86" s="528"/>
      <c r="EV86" s="460">
        <f t="shared" si="309"/>
        <v>503.21249999999998</v>
      </c>
      <c r="EW86" s="528">
        <f t="shared" si="275"/>
        <v>2.9760904285714276E-2</v>
      </c>
      <c r="EX86" s="528">
        <f t="shared" si="276"/>
        <v>4.2515577551020402E-2</v>
      </c>
      <c r="EY86" s="528">
        <f t="shared" si="277"/>
        <v>0.97312311820048347</v>
      </c>
      <c r="EZ86" s="528">
        <f t="shared" si="278"/>
        <v>1.0689266160902464</v>
      </c>
      <c r="FA86" s="528">
        <f t="shared" si="279"/>
        <v>1.1069999999999995E-2</v>
      </c>
      <c r="FB86" s="460">
        <f t="shared" si="310"/>
        <v>1079.9966160902463</v>
      </c>
      <c r="FC86" s="173">
        <f t="shared" si="311"/>
        <v>2.3842652960380777</v>
      </c>
      <c r="FD86" s="5">
        <f t="shared" si="312"/>
        <v>13.283999999999999</v>
      </c>
      <c r="FE86" s="173">
        <f t="shared" si="313"/>
        <v>0.8478283810626458</v>
      </c>
      <c r="FF86" s="5">
        <f t="shared" si="314"/>
        <v>84.782838106264578</v>
      </c>
      <c r="FI86" s="562">
        <f t="shared" si="280"/>
        <v>-50</v>
      </c>
      <c r="FJ86">
        <f t="shared" si="281"/>
        <v>-50</v>
      </c>
      <c r="FL86">
        <f t="shared" si="282"/>
        <v>0.58823529411764719</v>
      </c>
    </row>
    <row r="87" spans="5:168">
      <c r="E87" s="170">
        <v>82</v>
      </c>
      <c r="F87" s="217">
        <f t="shared" si="283"/>
        <v>0.82</v>
      </c>
      <c r="G87" s="217"/>
      <c r="H87" s="217">
        <f t="shared" si="183"/>
        <v>13.447999999999999</v>
      </c>
      <c r="I87" s="541">
        <f t="shared" si="184"/>
        <v>23.928459992098269</v>
      </c>
      <c r="J87" s="172">
        <f t="shared" si="185"/>
        <v>16.842924004741036</v>
      </c>
      <c r="K87" s="172">
        <f t="shared" si="186"/>
        <v>40.842924004741036</v>
      </c>
      <c r="L87" s="443"/>
      <c r="M87" s="217">
        <f t="shared" si="187"/>
        <v>0.41309061412539061</v>
      </c>
      <c r="N87" s="172">
        <f t="shared" si="188"/>
        <v>33.245279444365366</v>
      </c>
      <c r="O87" s="172">
        <f t="shared" si="284"/>
        <v>13.447999999999999</v>
      </c>
      <c r="P87" s="217">
        <f t="shared" si="189"/>
        <v>2.0271511856320346</v>
      </c>
      <c r="Q87" s="217">
        <f t="shared" si="190"/>
        <v>16.399999999999999</v>
      </c>
      <c r="R87" s="217">
        <f t="shared" si="191"/>
        <v>2.0090695595956736</v>
      </c>
      <c r="S87" s="172">
        <f t="shared" si="192"/>
        <v>73.471270999167885</v>
      </c>
      <c r="T87" s="172">
        <f t="shared" si="193"/>
        <v>16.399999999999999</v>
      </c>
      <c r="U87" s="217">
        <f t="shared" si="194"/>
        <v>2.7942984717412216</v>
      </c>
      <c r="V87" s="217">
        <f t="shared" si="195"/>
        <v>1.4013263566467533</v>
      </c>
      <c r="W87" s="217">
        <f t="shared" si="196"/>
        <v>1.9908408808028828</v>
      </c>
      <c r="X87" s="197">
        <f t="shared" si="197"/>
        <v>350</v>
      </c>
      <c r="Y87" s="443">
        <f t="shared" si="198"/>
        <v>278.38347546145405</v>
      </c>
      <c r="AA87" s="217">
        <f t="shared" si="199"/>
        <v>2.3535720264968716</v>
      </c>
      <c r="AB87" s="173">
        <f t="shared" si="200"/>
        <v>1.6768385530928303</v>
      </c>
      <c r="AC87" s="173">
        <f t="shared" si="201"/>
        <v>0.69064805451438549</v>
      </c>
      <c r="AD87" s="173"/>
      <c r="AE87" s="173">
        <f t="shared" si="202"/>
        <v>0.94995382010250939</v>
      </c>
      <c r="AF87" s="545">
        <f t="shared" si="203"/>
        <v>1294.7997828644666</v>
      </c>
      <c r="AG87" s="528">
        <f t="shared" si="204"/>
        <v>0.22165589135725222</v>
      </c>
      <c r="AI87" s="173">
        <f t="shared" si="205"/>
        <v>2.5645196044973533</v>
      </c>
      <c r="AJ87" s="173">
        <f t="shared" si="206"/>
        <v>2.7942984717412216</v>
      </c>
      <c r="AK87" s="173">
        <f t="shared" si="207"/>
        <v>2.2821963988206577</v>
      </c>
      <c r="AM87" s="545">
        <f t="shared" si="208"/>
        <v>820</v>
      </c>
      <c r="AN87" s="460">
        <f t="shared" si="209"/>
        <v>278.38347546145405</v>
      </c>
      <c r="AP87">
        <f t="shared" si="210"/>
        <v>820</v>
      </c>
      <c r="AQ87">
        <f t="shared" si="211"/>
        <v>278.38347546145405</v>
      </c>
      <c r="AS87" s="5">
        <f t="shared" si="285"/>
        <v>3.5921672374496363</v>
      </c>
      <c r="AT87" s="5">
        <f t="shared" si="212"/>
        <v>1.4013263566467533</v>
      </c>
      <c r="AU87" s="5">
        <f t="shared" si="286"/>
        <v>2.1908408808028828</v>
      </c>
      <c r="AV87" s="5">
        <f t="shared" si="213"/>
        <v>1.9908408808028828</v>
      </c>
      <c r="AW87" s="173">
        <f t="shared" si="287"/>
        <v>0.39010610141906027</v>
      </c>
      <c r="AX87" s="173">
        <f t="shared" si="214"/>
        <v>13.041882684814393</v>
      </c>
      <c r="AY87" s="173">
        <f t="shared" si="215"/>
        <v>0.85211279436450771</v>
      </c>
      <c r="AZ87" s="173">
        <f t="shared" si="288"/>
        <v>15.305347802623739</v>
      </c>
      <c r="BA87" s="460">
        <f t="shared" si="216"/>
        <v>7.0066317832337681</v>
      </c>
      <c r="BB87" s="5">
        <f t="shared" si="217"/>
        <v>1.0260594906221272</v>
      </c>
      <c r="BC87" s="5"/>
      <c r="BD87" s="173">
        <f t="shared" si="289"/>
        <v>1.0076356800430657</v>
      </c>
      <c r="BE87" s="173">
        <f t="shared" si="218"/>
        <v>1.2599093827319183</v>
      </c>
      <c r="BF87" s="173"/>
      <c r="BG87" s="528">
        <f t="shared" si="219"/>
        <v>2.0306593273917033E-2</v>
      </c>
      <c r="BH87" s="528">
        <f t="shared" si="220"/>
        <v>0.59570925041820333</v>
      </c>
      <c r="BI87" s="528">
        <f t="shared" si="221"/>
        <v>0.16653219637601685</v>
      </c>
      <c r="BJ87" s="528">
        <f t="shared" si="222"/>
        <v>4.6438384712884341E-2</v>
      </c>
      <c r="BK87">
        <f t="shared" si="223"/>
        <v>1.076780699644422E-2</v>
      </c>
      <c r="BL87" s="460">
        <f t="shared" si="290"/>
        <v>177.30000337246108</v>
      </c>
      <c r="BM87" s="528">
        <f t="shared" si="224"/>
        <v>0.67117532655571499</v>
      </c>
      <c r="BN87" s="460">
        <f t="shared" si="291"/>
        <v>671.17532655571495</v>
      </c>
      <c r="BO87" s="528">
        <f t="shared" si="225"/>
        <v>0.50942499999999991</v>
      </c>
      <c r="BP87" s="528"/>
      <c r="BR87" s="460">
        <f t="shared" si="292"/>
        <v>509.4249999999999</v>
      </c>
      <c r="BS87" s="528">
        <f t="shared" si="226"/>
        <v>3.0459889910875546E-2</v>
      </c>
      <c r="BT87" s="528">
        <f t="shared" si="227"/>
        <v>4.7621149580877702E-2</v>
      </c>
      <c r="BU87" s="528">
        <f t="shared" si="228"/>
        <v>0.20171999999999998</v>
      </c>
      <c r="BV87" s="528">
        <f t="shared" si="229"/>
        <v>0.30041703894431859</v>
      </c>
      <c r="BW87" s="528">
        <f t="shared" si="230"/>
        <v>1.0868235570678661E-2</v>
      </c>
      <c r="BX87" s="460">
        <f t="shared" si="293"/>
        <v>311.28527451499724</v>
      </c>
      <c r="BY87" s="173">
        <f t="shared" si="231"/>
        <v>1.6691856044431734</v>
      </c>
      <c r="BZ87" s="5">
        <f t="shared" si="294"/>
        <v>13.447999999999999</v>
      </c>
      <c r="CA87" s="173">
        <f t="shared" si="295"/>
        <v>0.88958357407793065</v>
      </c>
      <c r="CB87" s="5">
        <f t="shared" si="296"/>
        <v>88.958357407793059</v>
      </c>
      <c r="CE87" s="562">
        <f t="shared" si="232"/>
        <v>-50</v>
      </c>
      <c r="CF87">
        <f t="shared" si="233"/>
        <v>-50</v>
      </c>
      <c r="CG87" s="173">
        <f t="shared" si="234"/>
        <v>0.57310589140999868</v>
      </c>
      <c r="CI87" s="170">
        <v>82</v>
      </c>
      <c r="CJ87" s="217">
        <f t="shared" si="297"/>
        <v>0.82</v>
      </c>
      <c r="CK87" s="217"/>
      <c r="CL87" s="217">
        <f t="shared" si="235"/>
        <v>13.447999999999999</v>
      </c>
      <c r="CM87" s="541">
        <f t="shared" si="236"/>
        <v>24</v>
      </c>
      <c r="CN87" s="172">
        <f t="shared" si="237"/>
        <v>16.799999999999997</v>
      </c>
      <c r="CO87" s="443">
        <f t="shared" si="238"/>
        <v>40.799999999999997</v>
      </c>
      <c r="CP87" s="443"/>
      <c r="CQ87" s="217">
        <f t="shared" si="239"/>
        <v>0.41176470588235292</v>
      </c>
      <c r="CR87" s="172">
        <f t="shared" si="240"/>
        <v>33.237647058823534</v>
      </c>
      <c r="CS87" s="172">
        <f t="shared" si="298"/>
        <v>13.447999999999999</v>
      </c>
      <c r="CT87" s="217">
        <f t="shared" si="241"/>
        <v>2.026685796269728</v>
      </c>
      <c r="CU87" s="217">
        <f t="shared" si="242"/>
        <v>16.399999999999999</v>
      </c>
      <c r="CV87" s="217">
        <f t="shared" si="243"/>
        <v>2.0086083213773311</v>
      </c>
      <c r="CW87" s="172">
        <f t="shared" si="244"/>
        <v>73.690546795490476</v>
      </c>
      <c r="CX87" s="172">
        <f t="shared" si="245"/>
        <v>16.399999999999999</v>
      </c>
      <c r="CY87" s="217">
        <f t="shared" si="246"/>
        <v>2.7216190476190474</v>
      </c>
      <c r="CZ87" s="217">
        <f t="shared" si="247"/>
        <v>1.3608095238095237</v>
      </c>
      <c r="DA87" s="217">
        <f t="shared" si="248"/>
        <v>1.9440136054421771</v>
      </c>
      <c r="DB87" s="197">
        <f t="shared" si="249"/>
        <v>350</v>
      </c>
      <c r="DC87" s="443">
        <f t="shared" si="299"/>
        <v>302.58805415296956</v>
      </c>
      <c r="DE87" s="217">
        <f t="shared" si="250"/>
        <v>2.3529411764705879</v>
      </c>
      <c r="DF87" s="173">
        <f t="shared" si="251"/>
        <v>1.6806722689075633</v>
      </c>
      <c r="DG87" s="173">
        <f t="shared" si="252"/>
        <v>0.69204152249134954</v>
      </c>
      <c r="DH87" s="173"/>
      <c r="DI87" s="173">
        <f t="shared" si="253"/>
        <v>0.95238095238095266</v>
      </c>
      <c r="DJ87" s="545">
        <f t="shared" si="300"/>
        <v>1291.4999999999993</v>
      </c>
      <c r="DK87" s="528">
        <f t="shared" si="254"/>
        <v>0.22222222222222232</v>
      </c>
      <c r="DM87" s="173">
        <f t="shared" si="255"/>
        <v>2.5612496949731391</v>
      </c>
      <c r="DN87" s="173">
        <f t="shared" si="256"/>
        <v>2.7216190476190474</v>
      </c>
      <c r="DO87" s="173">
        <f t="shared" si="257"/>
        <v>2.2283597883597879</v>
      </c>
      <c r="DQ87" s="545">
        <f t="shared" si="258"/>
        <v>820</v>
      </c>
      <c r="DR87" s="460">
        <f t="shared" si="259"/>
        <v>302.58805415296956</v>
      </c>
      <c r="DT87">
        <f t="shared" si="260"/>
        <v>820</v>
      </c>
      <c r="DU87">
        <f t="shared" si="261"/>
        <v>302.58805415296956</v>
      </c>
      <c r="DW87" s="5">
        <f t="shared" si="301"/>
        <v>3.3048231292517012</v>
      </c>
      <c r="DX87" s="5">
        <f t="shared" si="262"/>
        <v>1.3608095238095237</v>
      </c>
      <c r="DY87" s="5">
        <f t="shared" si="302"/>
        <v>1.9440136054421775</v>
      </c>
      <c r="DZ87" s="5">
        <f t="shared" si="263"/>
        <v>1.9440136054421771</v>
      </c>
      <c r="EA87" s="173">
        <f t="shared" si="303"/>
        <v>0.41176470588235287</v>
      </c>
      <c r="EB87" s="173">
        <f t="shared" si="264"/>
        <v>13.447999999999997</v>
      </c>
      <c r="EC87" s="173">
        <f t="shared" si="265"/>
        <v>0.80047619047619056</v>
      </c>
      <c r="ED87" s="173">
        <f t="shared" si="304"/>
        <v>16.799999999999994</v>
      </c>
      <c r="EE87" s="460">
        <f t="shared" si="266"/>
        <v>6.8040476190476191</v>
      </c>
      <c r="EF87" s="5">
        <f t="shared" si="267"/>
        <v>0.90774635298563877</v>
      </c>
      <c r="EG87" s="5"/>
      <c r="EH87" s="173">
        <f t="shared" si="305"/>
        <v>1.0083034837507578</v>
      </c>
      <c r="EI87" s="173">
        <f t="shared" si="268"/>
        <v>1.205153170670443</v>
      </c>
      <c r="EJ87" s="173"/>
      <c r="EK87" s="528">
        <f t="shared" si="269"/>
        <v>2.0333518306878299E-2</v>
      </c>
      <c r="EL87" s="528">
        <f t="shared" si="270"/>
        <v>0.67199999999999982</v>
      </c>
      <c r="EM87" s="528">
        <f t="shared" si="271"/>
        <v>3.7823506769121197E-2</v>
      </c>
      <c r="EN87" s="528">
        <f t="shared" si="272"/>
        <v>5.0370017846519927E-2</v>
      </c>
      <c r="EO87">
        <f t="shared" si="273"/>
        <v>1.0800000000000001E-2</v>
      </c>
      <c r="EP87" s="460">
        <f t="shared" si="306"/>
        <v>48.623506769121192</v>
      </c>
      <c r="EQ87" s="528">
        <f t="shared" si="274"/>
        <v>0.80068539935664274</v>
      </c>
      <c r="ER87" s="460">
        <f t="shared" si="307"/>
        <v>800.68539935664273</v>
      </c>
      <c r="ES87" s="528">
        <f t="shared" si="308"/>
        <v>0.50942499999999991</v>
      </c>
      <c r="ET87" s="528"/>
      <c r="EV87" s="460">
        <f t="shared" si="309"/>
        <v>509.4249999999999</v>
      </c>
      <c r="EW87" s="528">
        <f t="shared" si="275"/>
        <v>3.0500277460317447E-2</v>
      </c>
      <c r="EX87" s="528">
        <f t="shared" si="276"/>
        <v>4.3571824943310661E-2</v>
      </c>
      <c r="EY87" s="528">
        <f t="shared" si="277"/>
        <v>0.97312311820048503</v>
      </c>
      <c r="EZ87" s="528">
        <f t="shared" si="278"/>
        <v>1.0713209246399502</v>
      </c>
      <c r="FA87" s="528">
        <f t="shared" si="279"/>
        <v>1.1206666666666663E-2</v>
      </c>
      <c r="FB87" s="460">
        <f t="shared" si="310"/>
        <v>1082.5275913066168</v>
      </c>
      <c r="FC87" s="173">
        <f t="shared" si="311"/>
        <v>2.39263799066326</v>
      </c>
      <c r="FD87" s="5">
        <f t="shared" si="312"/>
        <v>13.447999999999999</v>
      </c>
      <c r="FE87" s="173">
        <f t="shared" si="313"/>
        <v>0.84895570544106103</v>
      </c>
      <c r="FF87" s="5">
        <f t="shared" si="314"/>
        <v>84.895570544106107</v>
      </c>
      <c r="FI87" s="562">
        <f t="shared" si="280"/>
        <v>-50</v>
      </c>
      <c r="FJ87">
        <f t="shared" si="281"/>
        <v>-50</v>
      </c>
      <c r="FL87">
        <f t="shared" si="282"/>
        <v>0.58823529411764719</v>
      </c>
    </row>
    <row r="88" spans="5:168">
      <c r="E88" s="170">
        <v>83</v>
      </c>
      <c r="F88" s="217">
        <f t="shared" si="283"/>
        <v>0.83</v>
      </c>
      <c r="G88" s="217"/>
      <c r="H88" s="217">
        <f t="shared" si="183"/>
        <v>13.611999999999998</v>
      </c>
      <c r="I88" s="541">
        <f t="shared" si="184"/>
        <v>23.927610577144783</v>
      </c>
      <c r="J88" s="172">
        <f t="shared" si="185"/>
        <v>16.843433653713127</v>
      </c>
      <c r="K88" s="172">
        <f t="shared" si="186"/>
        <v>40.843433653713127</v>
      </c>
      <c r="L88" s="443"/>
      <c r="M88" s="217">
        <f t="shared" si="187"/>
        <v>0.41310656237359439</v>
      </c>
      <c r="N88" s="172">
        <f t="shared" si="188"/>
        <v>33.245382759667947</v>
      </c>
      <c r="O88" s="172">
        <f t="shared" si="284"/>
        <v>13.611999999999998</v>
      </c>
      <c r="P88" s="217">
        <f t="shared" si="189"/>
        <v>2.0271574853456067</v>
      </c>
      <c r="Q88" s="217">
        <f t="shared" si="190"/>
        <v>16.399999999999999</v>
      </c>
      <c r="R88" s="217">
        <f t="shared" si="191"/>
        <v>2.0090758031175486</v>
      </c>
      <c r="S88" s="172">
        <f t="shared" si="192"/>
        <v>72.2988643018479</v>
      </c>
      <c r="T88" s="172">
        <f t="shared" si="193"/>
        <v>16.399999999999999</v>
      </c>
      <c r="U88" s="217">
        <f t="shared" si="194"/>
        <v>2.8284521406707119</v>
      </c>
      <c r="V88" s="217">
        <f t="shared" si="195"/>
        <v>1.4185046007255222</v>
      </c>
      <c r="W88" s="217">
        <f t="shared" si="196"/>
        <v>2.015113211822233</v>
      </c>
      <c r="X88" s="197">
        <f t="shared" si="197"/>
        <v>350</v>
      </c>
      <c r="Y88" s="443">
        <f t="shared" si="198"/>
        <v>275.20780984361085</v>
      </c>
      <c r="AA88" s="217">
        <f t="shared" si="199"/>
        <v>2.3535793066297628</v>
      </c>
      <c r="AB88" s="173">
        <f t="shared" si="200"/>
        <v>1.6767930019619848</v>
      </c>
      <c r="AC88" s="173">
        <f t="shared" si="201"/>
        <v>0.69063142941088207</v>
      </c>
      <c r="AD88" s="173"/>
      <c r="AE88" s="173">
        <f t="shared" si="202"/>
        <v>0.94992507637970902</v>
      </c>
      <c r="AF88" s="545">
        <f t="shared" si="203"/>
        <v>1310.6296811795521</v>
      </c>
      <c r="AG88" s="528">
        <f t="shared" si="204"/>
        <v>0.2216491844885988</v>
      </c>
      <c r="AI88" s="173">
        <f t="shared" si="205"/>
        <v>2.5801485683120666</v>
      </c>
      <c r="AJ88" s="173">
        <f t="shared" si="206"/>
        <v>2.8284521406707119</v>
      </c>
      <c r="AK88" s="173">
        <f t="shared" si="207"/>
        <v>2.3074954128425027</v>
      </c>
      <c r="AM88" s="545">
        <f t="shared" si="208"/>
        <v>830</v>
      </c>
      <c r="AN88" s="460">
        <f t="shared" si="209"/>
        <v>275.20780984361085</v>
      </c>
      <c r="AP88">
        <f t="shared" si="210"/>
        <v>830</v>
      </c>
      <c r="AQ88">
        <f t="shared" si="211"/>
        <v>275.20780984361085</v>
      </c>
      <c r="AS88" s="5">
        <f t="shared" si="285"/>
        <v>3.6336178125477563</v>
      </c>
      <c r="AT88" s="5">
        <f t="shared" si="212"/>
        <v>1.4185046007255222</v>
      </c>
      <c r="AU88" s="5">
        <f t="shared" si="286"/>
        <v>2.2151132118222341</v>
      </c>
      <c r="AV88" s="5">
        <f t="shared" si="213"/>
        <v>2.015113211822233</v>
      </c>
      <c r="AW88" s="173">
        <f t="shared" si="287"/>
        <v>0.39038354441875661</v>
      </c>
      <c r="AX88" s="173">
        <f t="shared" si="214"/>
        <v>13.210208543845731</v>
      </c>
      <c r="AY88" s="173">
        <f t="shared" si="215"/>
        <v>0.8621354843884298</v>
      </c>
      <c r="AZ88" s="173">
        <f t="shared" si="288"/>
        <v>15.322659585478741</v>
      </c>
      <c r="BA88" s="460">
        <f t="shared" si="216"/>
        <v>7.1790171865986796</v>
      </c>
      <c r="BB88" s="5">
        <f t="shared" si="217"/>
        <v>1.0501160344347475</v>
      </c>
      <c r="BC88" s="5"/>
      <c r="BD88" s="173">
        <f t="shared" si="289"/>
        <v>1.0203142652032038</v>
      </c>
      <c r="BE88" s="173">
        <f t="shared" si="218"/>
        <v>1.2750186812661832</v>
      </c>
      <c r="BF88" s="173"/>
      <c r="BG88" s="528">
        <f t="shared" si="219"/>
        <v>2.0820823995543074E-2</v>
      </c>
      <c r="BH88" s="528">
        <f t="shared" si="220"/>
        <v>0.59611919498964638</v>
      </c>
      <c r="BI88" s="528">
        <f t="shared" si="221"/>
        <v>0.16462663254317081</v>
      </c>
      <c r="BJ88" s="528">
        <f t="shared" si="222"/>
        <v>4.5909783545881419E-2</v>
      </c>
      <c r="BK88">
        <f t="shared" si="223"/>
        <v>1.0767424759715151E-2</v>
      </c>
      <c r="BL88" s="460">
        <f t="shared" si="290"/>
        <v>175.39405730288595</v>
      </c>
      <c r="BM88" s="528">
        <f t="shared" si="224"/>
        <v>0.67179481261121599</v>
      </c>
      <c r="BN88" s="460">
        <f t="shared" si="291"/>
        <v>671.794812611216</v>
      </c>
      <c r="BO88" s="528">
        <f t="shared" si="225"/>
        <v>0.51563749999999997</v>
      </c>
      <c r="BP88" s="528"/>
      <c r="BR88" s="460">
        <f t="shared" si="292"/>
        <v>515.63749999999993</v>
      </c>
      <c r="BS88" s="528">
        <f t="shared" si="226"/>
        <v>3.1231235993314607E-2</v>
      </c>
      <c r="BT88" s="528">
        <f t="shared" si="227"/>
        <v>4.8770179127332711E-2</v>
      </c>
      <c r="BU88" s="528">
        <f t="shared" si="228"/>
        <v>0.20417999999999997</v>
      </c>
      <c r="BV88" s="528">
        <f t="shared" si="229"/>
        <v>0.30533593932827902</v>
      </c>
      <c r="BW88" s="528">
        <f t="shared" si="230"/>
        <v>1.1008507119871443E-2</v>
      </c>
      <c r="BX88" s="460">
        <f t="shared" si="293"/>
        <v>316.34444644815045</v>
      </c>
      <c r="BY88" s="173">
        <f t="shared" si="231"/>
        <v>1.6791708163622523</v>
      </c>
      <c r="BZ88" s="5">
        <f t="shared" si="294"/>
        <v>13.611999999999998</v>
      </c>
      <c r="CA88" s="173">
        <f t="shared" si="295"/>
        <v>0.89018690350607665</v>
      </c>
      <c r="CB88" s="5">
        <f t="shared" si="296"/>
        <v>89.01869035060767</v>
      </c>
      <c r="CE88" s="562">
        <f t="shared" si="232"/>
        <v>-50</v>
      </c>
      <c r="CF88">
        <f t="shared" si="233"/>
        <v>-50</v>
      </c>
      <c r="CG88" s="173">
        <f t="shared" si="234"/>
        <v>0.57328817337033178</v>
      </c>
      <c r="CI88" s="170">
        <v>83</v>
      </c>
      <c r="CJ88" s="217">
        <f t="shared" si="297"/>
        <v>0.83</v>
      </c>
      <c r="CK88" s="217"/>
      <c r="CL88" s="217">
        <f t="shared" si="235"/>
        <v>13.611999999999998</v>
      </c>
      <c r="CM88" s="541">
        <f t="shared" si="236"/>
        <v>24</v>
      </c>
      <c r="CN88" s="172">
        <f t="shared" si="237"/>
        <v>16.799999999999997</v>
      </c>
      <c r="CO88" s="443">
        <f t="shared" si="238"/>
        <v>40.799999999999997</v>
      </c>
      <c r="CP88" s="443"/>
      <c r="CQ88" s="217">
        <f t="shared" si="239"/>
        <v>0.41176470588235292</v>
      </c>
      <c r="CR88" s="172">
        <f t="shared" si="240"/>
        <v>33.237647058823534</v>
      </c>
      <c r="CS88" s="172">
        <f t="shared" si="298"/>
        <v>13.611999999999998</v>
      </c>
      <c r="CT88" s="217">
        <f t="shared" si="241"/>
        <v>2.026685796269728</v>
      </c>
      <c r="CU88" s="217">
        <f t="shared" si="242"/>
        <v>16.399999999999999</v>
      </c>
      <c r="CV88" s="217">
        <f t="shared" si="243"/>
        <v>2.0086083213773311</v>
      </c>
      <c r="CW88" s="172">
        <f t="shared" si="244"/>
        <v>72.517198351537331</v>
      </c>
      <c r="CX88" s="172">
        <f t="shared" si="245"/>
        <v>16.399999999999999</v>
      </c>
      <c r="CY88" s="217">
        <f t="shared" si="246"/>
        <v>2.7548095238095232</v>
      </c>
      <c r="CZ88" s="217">
        <f t="shared" si="247"/>
        <v>1.3774047619047618</v>
      </c>
      <c r="DA88" s="217">
        <f t="shared" si="248"/>
        <v>1.9677210884353742</v>
      </c>
      <c r="DB88" s="197">
        <f t="shared" si="249"/>
        <v>350</v>
      </c>
      <c r="DC88" s="443">
        <f t="shared" si="299"/>
        <v>298.94241494630728</v>
      </c>
      <c r="DE88" s="217">
        <f t="shared" si="250"/>
        <v>2.3529411764705879</v>
      </c>
      <c r="DF88" s="173">
        <f t="shared" si="251"/>
        <v>1.6806722689075633</v>
      </c>
      <c r="DG88" s="173">
        <f t="shared" si="252"/>
        <v>0.69204152249134954</v>
      </c>
      <c r="DH88" s="173"/>
      <c r="DI88" s="173">
        <f t="shared" si="253"/>
        <v>0.95238095238095266</v>
      </c>
      <c r="DJ88" s="545">
        <f t="shared" si="300"/>
        <v>1307.2499999999993</v>
      </c>
      <c r="DK88" s="528">
        <f t="shared" si="254"/>
        <v>0.22222222222222232</v>
      </c>
      <c r="DM88" s="173">
        <f t="shared" si="255"/>
        <v>2.5768197453450248</v>
      </c>
      <c r="DN88" s="173">
        <f t="shared" si="256"/>
        <v>2.7548095238095232</v>
      </c>
      <c r="DO88" s="173">
        <f t="shared" si="257"/>
        <v>2.2529453262786587</v>
      </c>
      <c r="DQ88" s="545">
        <f t="shared" si="258"/>
        <v>830</v>
      </c>
      <c r="DR88" s="460">
        <f t="shared" si="259"/>
        <v>298.94241494630728</v>
      </c>
      <c r="DT88">
        <f t="shared" si="260"/>
        <v>830</v>
      </c>
      <c r="DU88">
        <f t="shared" si="261"/>
        <v>298.94241494630728</v>
      </c>
      <c r="DW88" s="5">
        <f t="shared" si="301"/>
        <v>3.3451258503401364</v>
      </c>
      <c r="DX88" s="5">
        <f t="shared" si="262"/>
        <v>1.3774047619047618</v>
      </c>
      <c r="DY88" s="5">
        <f t="shared" si="302"/>
        <v>1.9677210884353746</v>
      </c>
      <c r="DZ88" s="5">
        <f t="shared" si="263"/>
        <v>1.9677210884353742</v>
      </c>
      <c r="EA88" s="173">
        <f t="shared" si="303"/>
        <v>0.41176470588235287</v>
      </c>
      <c r="EB88" s="173">
        <f t="shared" si="264"/>
        <v>13.611999999999995</v>
      </c>
      <c r="EC88" s="173">
        <f t="shared" si="265"/>
        <v>0.8102380952380952</v>
      </c>
      <c r="ED88" s="173">
        <f t="shared" si="304"/>
        <v>16.799999999999994</v>
      </c>
      <c r="EE88" s="460">
        <f t="shared" si="266"/>
        <v>6.9710119047619044</v>
      </c>
      <c r="EF88" s="5">
        <f t="shared" si="267"/>
        <v>0.93002150888133017</v>
      </c>
      <c r="EG88" s="5"/>
      <c r="EH88" s="173">
        <f t="shared" si="305"/>
        <v>1.0205998676989378</v>
      </c>
      <c r="EI88" s="173">
        <f t="shared" si="268"/>
        <v>1.2198501605566678</v>
      </c>
      <c r="EJ88" s="173"/>
      <c r="EK88" s="528">
        <f t="shared" si="269"/>
        <v>2.0832481798941788E-2</v>
      </c>
      <c r="EL88" s="528">
        <f t="shared" si="270"/>
        <v>0.67199999999999971</v>
      </c>
      <c r="EM88" s="528">
        <f t="shared" si="271"/>
        <v>3.7367801868288406E-2</v>
      </c>
      <c r="EN88" s="528">
        <f t="shared" si="272"/>
        <v>4.9763150161622097E-2</v>
      </c>
      <c r="EO88">
        <f t="shared" si="273"/>
        <v>1.0800000000000001E-2</v>
      </c>
      <c r="EP88" s="460">
        <f t="shared" si="306"/>
        <v>48.167801868288407</v>
      </c>
      <c r="EQ88" s="528">
        <f t="shared" si="274"/>
        <v>0.80034977336228474</v>
      </c>
      <c r="ER88" s="460">
        <f t="shared" si="307"/>
        <v>800.34977336228474</v>
      </c>
      <c r="ES88" s="528">
        <f t="shared" si="308"/>
        <v>0.51563749999999997</v>
      </c>
      <c r="ET88" s="528"/>
      <c r="EV88" s="460">
        <f t="shared" si="309"/>
        <v>515.63749999999993</v>
      </c>
      <c r="EW88" s="528">
        <f t="shared" si="275"/>
        <v>3.1248722698412681E-2</v>
      </c>
      <c r="EX88" s="528">
        <f t="shared" si="276"/>
        <v>4.4641032426303844E-2</v>
      </c>
      <c r="EY88" s="528">
        <f t="shared" si="277"/>
        <v>0.97312311820048225</v>
      </c>
      <c r="EZ88" s="528">
        <f t="shared" si="278"/>
        <v>1.0737453160834414</v>
      </c>
      <c r="FA88" s="528">
        <f t="shared" si="279"/>
        <v>1.1343333333333327E-2</v>
      </c>
      <c r="FB88" s="460">
        <f t="shared" si="310"/>
        <v>1085.0886494167746</v>
      </c>
      <c r="FC88" s="173">
        <f t="shared" si="311"/>
        <v>2.4010759227790595</v>
      </c>
      <c r="FD88" s="5">
        <f t="shared" si="312"/>
        <v>13.611999999999998</v>
      </c>
      <c r="FE88" s="173">
        <f t="shared" si="313"/>
        <v>0.8500552964116368</v>
      </c>
      <c r="FF88" s="5">
        <f t="shared" si="314"/>
        <v>85.005529641163676</v>
      </c>
      <c r="FI88" s="562">
        <f t="shared" si="280"/>
        <v>-50</v>
      </c>
      <c r="FJ88">
        <f t="shared" si="281"/>
        <v>-50</v>
      </c>
      <c r="FL88">
        <f t="shared" si="282"/>
        <v>0.58823529411764719</v>
      </c>
    </row>
    <row r="89" spans="5:168">
      <c r="E89" s="170">
        <v>84</v>
      </c>
      <c r="F89" s="217">
        <f t="shared" si="283"/>
        <v>0.84</v>
      </c>
      <c r="G89" s="217"/>
      <c r="H89" s="217">
        <f t="shared" si="183"/>
        <v>13.775999999999998</v>
      </c>
      <c r="I89" s="541">
        <f t="shared" si="184"/>
        <v>23.926761147902869</v>
      </c>
      <c r="J89" s="172">
        <f t="shared" si="185"/>
        <v>16.843943311258275</v>
      </c>
      <c r="K89" s="172">
        <f t="shared" si="186"/>
        <v>40.843943311258272</v>
      </c>
      <c r="L89" s="443"/>
      <c r="M89" s="217">
        <f t="shared" si="187"/>
        <v>0.41312251103212894</v>
      </c>
      <c r="N89" s="172">
        <f t="shared" si="188"/>
        <v>33.245485997014022</v>
      </c>
      <c r="O89" s="172">
        <f t="shared" si="284"/>
        <v>13.775999999999998</v>
      </c>
      <c r="P89" s="217">
        <f t="shared" si="189"/>
        <v>2.0271637803057332</v>
      </c>
      <c r="Q89" s="217">
        <f t="shared" si="190"/>
        <v>16.399999999999999</v>
      </c>
      <c r="R89" s="217">
        <f t="shared" si="191"/>
        <v>2.0090820419283775</v>
      </c>
      <c r="S89" s="172">
        <f t="shared" si="192"/>
        <v>71.154457857533899</v>
      </c>
      <c r="T89" s="172">
        <f t="shared" si="193"/>
        <v>16.399999999999999</v>
      </c>
      <c r="U89" s="217">
        <f t="shared" si="194"/>
        <v>2.8626076678363988</v>
      </c>
      <c r="V89" s="217">
        <f t="shared" si="195"/>
        <v>1.4356849973005064</v>
      </c>
      <c r="W89" s="217">
        <f t="shared" si="196"/>
        <v>2.039385396831443</v>
      </c>
      <c r="X89" s="197">
        <f t="shared" si="197"/>
        <v>350</v>
      </c>
      <c r="Y89" s="443">
        <f t="shared" si="198"/>
        <v>272.10363142886132</v>
      </c>
      <c r="AA89" s="217">
        <f t="shared" si="199"/>
        <v>2.35358658195014</v>
      </c>
      <c r="AB89" s="173">
        <f t="shared" si="200"/>
        <v>1.676747449305674</v>
      </c>
      <c r="AC89" s="173">
        <f t="shared" si="201"/>
        <v>0.69061480215086746</v>
      </c>
      <c r="AD89" s="173"/>
      <c r="AE89" s="173">
        <f t="shared" si="202"/>
        <v>0.94989633391284389</v>
      </c>
      <c r="AF89" s="545">
        <f t="shared" si="203"/>
        <v>1326.4605357615887</v>
      </c>
      <c r="AG89" s="528">
        <f t="shared" si="204"/>
        <v>0.2216424779129969</v>
      </c>
      <c r="AI89" s="173">
        <f t="shared" si="205"/>
        <v>2.5956843653463166</v>
      </c>
      <c r="AJ89" s="173">
        <f t="shared" si="206"/>
        <v>2.8626076678363988</v>
      </c>
      <c r="AK89" s="173">
        <f t="shared" si="207"/>
        <v>2.3327958033356038</v>
      </c>
      <c r="AM89" s="545">
        <f t="shared" si="208"/>
        <v>840</v>
      </c>
      <c r="AN89" s="460">
        <f t="shared" si="209"/>
        <v>272.10363142886132</v>
      </c>
      <c r="AP89">
        <f t="shared" si="210"/>
        <v>840</v>
      </c>
      <c r="AQ89">
        <f t="shared" si="211"/>
        <v>272.10363142886132</v>
      </c>
      <c r="AS89" s="5">
        <f t="shared" si="285"/>
        <v>3.6750703941319491</v>
      </c>
      <c r="AT89" s="5">
        <f t="shared" si="212"/>
        <v>1.4356849973005064</v>
      </c>
      <c r="AU89" s="5">
        <f t="shared" si="286"/>
        <v>2.2393853968314428</v>
      </c>
      <c r="AV89" s="5">
        <f t="shared" si="213"/>
        <v>2.039385396831443</v>
      </c>
      <c r="AW89" s="173">
        <f t="shared" si="287"/>
        <v>0.39065510135340276</v>
      </c>
      <c r="AX89" s="173">
        <f t="shared" si="214"/>
        <v>13.378556241600304</v>
      </c>
      <c r="AY89" s="173">
        <f t="shared" si="215"/>
        <v>0.8721576896113713</v>
      </c>
      <c r="AZ89" s="173">
        <f t="shared" si="288"/>
        <v>15.339607046934042</v>
      </c>
      <c r="BA89" s="460">
        <f t="shared" si="216"/>
        <v>7.353508522758692</v>
      </c>
      <c r="BB89" s="5">
        <f t="shared" si="217"/>
        <v>1.0744514979152631</v>
      </c>
      <c r="BC89" s="5"/>
      <c r="BD89" s="173">
        <f t="shared" si="289"/>
        <v>1.0329943659523297</v>
      </c>
      <c r="BE89" s="173">
        <f t="shared" si="218"/>
        <v>1.2901279755238726</v>
      </c>
      <c r="BF89" s="173"/>
      <c r="BG89" s="528">
        <f t="shared" si="219"/>
        <v>2.1341547201785115E-2</v>
      </c>
      <c r="BH89" s="528">
        <f t="shared" si="220"/>
        <v>0.59652013142815408</v>
      </c>
      <c r="BI89" s="528">
        <f t="shared" si="221"/>
        <v>0.16276396491688402</v>
      </c>
      <c r="BJ89" s="528">
        <f t="shared" si="222"/>
        <v>4.5393081663876927E-2</v>
      </c>
      <c r="BK89">
        <f t="shared" si="223"/>
        <v>1.0767042516556292E-2</v>
      </c>
      <c r="BL89" s="460">
        <f t="shared" si="290"/>
        <v>173.53100743344032</v>
      </c>
      <c r="BM89" s="528">
        <f t="shared" si="224"/>
        <v>0.67242668674618233</v>
      </c>
      <c r="BN89" s="460">
        <f t="shared" si="291"/>
        <v>672.42668674618233</v>
      </c>
      <c r="BO89" s="528">
        <f t="shared" si="225"/>
        <v>0.52184999999999993</v>
      </c>
      <c r="BP89" s="528"/>
      <c r="BR89" s="460">
        <f t="shared" si="292"/>
        <v>521.84999999999991</v>
      </c>
      <c r="BS89" s="528">
        <f t="shared" si="226"/>
        <v>3.2012320802677671E-2</v>
      </c>
      <c r="BT89" s="528">
        <f t="shared" si="227"/>
        <v>4.9932905796879777E-2</v>
      </c>
      <c r="BU89" s="528">
        <f t="shared" si="228"/>
        <v>0.20663999999999996</v>
      </c>
      <c r="BV89" s="528">
        <f t="shared" si="229"/>
        <v>0.31028619881324854</v>
      </c>
      <c r="BW89" s="528">
        <f t="shared" si="230"/>
        <v>1.1148796868000254E-2</v>
      </c>
      <c r="BX89" s="460">
        <f t="shared" si="293"/>
        <v>321.43499568124878</v>
      </c>
      <c r="BY89" s="173">
        <f t="shared" si="231"/>
        <v>1.6892426898608712</v>
      </c>
      <c r="BZ89" s="5">
        <f t="shared" si="294"/>
        <v>13.775999999999998</v>
      </c>
      <c r="CA89" s="173">
        <f t="shared" si="295"/>
        <v>0.89077166626241489</v>
      </c>
      <c r="CB89" s="5">
        <f t="shared" si="296"/>
        <v>89.077166626241493</v>
      </c>
      <c r="CE89" s="562">
        <f t="shared" si="232"/>
        <v>-50</v>
      </c>
      <c r="CF89">
        <f t="shared" si="233"/>
        <v>-50</v>
      </c>
      <c r="CG89" s="173">
        <f t="shared" si="234"/>
        <v>0.57346611528399039</v>
      </c>
      <c r="CI89" s="170">
        <v>84</v>
      </c>
      <c r="CJ89" s="217">
        <f t="shared" si="297"/>
        <v>0.84</v>
      </c>
      <c r="CK89" s="217"/>
      <c r="CL89" s="217">
        <f t="shared" si="235"/>
        <v>13.775999999999998</v>
      </c>
      <c r="CM89" s="541">
        <f t="shared" si="236"/>
        <v>24</v>
      </c>
      <c r="CN89" s="172">
        <f t="shared" si="237"/>
        <v>16.799999999999997</v>
      </c>
      <c r="CO89" s="443">
        <f t="shared" si="238"/>
        <v>40.799999999999997</v>
      </c>
      <c r="CP89" s="443"/>
      <c r="CQ89" s="217">
        <f t="shared" si="239"/>
        <v>0.41176470588235292</v>
      </c>
      <c r="CR89" s="172">
        <f t="shared" si="240"/>
        <v>33.237647058823534</v>
      </c>
      <c r="CS89" s="172">
        <f t="shared" si="298"/>
        <v>13.775999999999998</v>
      </c>
      <c r="CT89" s="217">
        <f t="shared" si="241"/>
        <v>2.026685796269728</v>
      </c>
      <c r="CU89" s="217">
        <f t="shared" si="242"/>
        <v>16.399999999999999</v>
      </c>
      <c r="CV89" s="217">
        <f t="shared" si="243"/>
        <v>2.0086083213773311</v>
      </c>
      <c r="CW89" s="172">
        <f t="shared" si="244"/>
        <v>71.371852409989884</v>
      </c>
      <c r="CX89" s="172">
        <f t="shared" si="245"/>
        <v>16.399999999999999</v>
      </c>
      <c r="CY89" s="217">
        <f t="shared" si="246"/>
        <v>2.7879999999999994</v>
      </c>
      <c r="CZ89" s="217">
        <f t="shared" si="247"/>
        <v>1.3939999999999997</v>
      </c>
      <c r="DA89" s="217">
        <f t="shared" si="248"/>
        <v>1.9914285714285713</v>
      </c>
      <c r="DB89" s="197">
        <f t="shared" si="249"/>
        <v>350</v>
      </c>
      <c r="DC89" s="443">
        <f t="shared" si="299"/>
        <v>295.38357667313699</v>
      </c>
      <c r="DE89" s="217">
        <f t="shared" si="250"/>
        <v>2.3529411764705879</v>
      </c>
      <c r="DF89" s="173">
        <f t="shared" si="251"/>
        <v>1.6806722689075633</v>
      </c>
      <c r="DG89" s="173">
        <f t="shared" si="252"/>
        <v>0.69204152249134954</v>
      </c>
      <c r="DH89" s="173"/>
      <c r="DI89" s="173">
        <f t="shared" si="253"/>
        <v>0.95238095238095266</v>
      </c>
      <c r="DJ89" s="545">
        <f t="shared" si="300"/>
        <v>1322.9999999999993</v>
      </c>
      <c r="DK89" s="528">
        <f t="shared" si="254"/>
        <v>0.22222222222222232</v>
      </c>
      <c r="DM89" s="173">
        <f t="shared" si="255"/>
        <v>2.5922962793631439</v>
      </c>
      <c r="DN89" s="173">
        <f t="shared" si="256"/>
        <v>2.7879999999999994</v>
      </c>
      <c r="DO89" s="173">
        <f t="shared" si="257"/>
        <v>2.27753086419753</v>
      </c>
      <c r="DQ89" s="545">
        <f t="shared" si="258"/>
        <v>840</v>
      </c>
      <c r="DR89" s="460">
        <f t="shared" si="259"/>
        <v>295.38357667313699</v>
      </c>
      <c r="DT89">
        <f t="shared" si="260"/>
        <v>840</v>
      </c>
      <c r="DU89">
        <f t="shared" si="261"/>
        <v>295.38357667313699</v>
      </c>
      <c r="DW89" s="5">
        <f t="shared" si="301"/>
        <v>3.3854285714285712</v>
      </c>
      <c r="DX89" s="5">
        <f t="shared" si="262"/>
        <v>1.3939999999999997</v>
      </c>
      <c r="DY89" s="5">
        <f t="shared" si="302"/>
        <v>1.9914285714285715</v>
      </c>
      <c r="DZ89" s="5">
        <f t="shared" si="263"/>
        <v>1.9914285714285713</v>
      </c>
      <c r="EA89" s="173">
        <f t="shared" si="303"/>
        <v>0.41176470588235287</v>
      </c>
      <c r="EB89" s="173">
        <f t="shared" si="264"/>
        <v>13.775999999999993</v>
      </c>
      <c r="EC89" s="173">
        <f t="shared" si="265"/>
        <v>0.82</v>
      </c>
      <c r="ED89" s="173">
        <f t="shared" si="304"/>
        <v>16.799999999999994</v>
      </c>
      <c r="EE89" s="460">
        <f t="shared" si="266"/>
        <v>7.14</v>
      </c>
      <c r="EF89" s="5">
        <f t="shared" si="267"/>
        <v>0.95256666666666645</v>
      </c>
      <c r="EG89" s="5"/>
      <c r="EH89" s="173">
        <f t="shared" si="305"/>
        <v>1.0328962516471176</v>
      </c>
      <c r="EI89" s="173">
        <f t="shared" si="268"/>
        <v>1.2345471504428926</v>
      </c>
      <c r="EJ89" s="173"/>
      <c r="EK89" s="528">
        <f t="shared" si="269"/>
        <v>2.1337493333333315E-2</v>
      </c>
      <c r="EL89" s="528">
        <f t="shared" si="270"/>
        <v>0.67199999999999982</v>
      </c>
      <c r="EM89" s="528">
        <f t="shared" si="271"/>
        <v>3.6922947084142121E-2</v>
      </c>
      <c r="EN89" s="528">
        <f t="shared" si="272"/>
        <v>4.9170731707317075E-2</v>
      </c>
      <c r="EO89">
        <f t="shared" si="273"/>
        <v>1.0800000000000001E-2</v>
      </c>
      <c r="EP89" s="460">
        <f t="shared" si="306"/>
        <v>47.722947084142127</v>
      </c>
      <c r="EQ89" s="528">
        <f t="shared" si="274"/>
        <v>0.80004837128979711</v>
      </c>
      <c r="ER89" s="460">
        <f t="shared" si="307"/>
        <v>800.04837128979716</v>
      </c>
      <c r="ES89" s="528">
        <f t="shared" si="308"/>
        <v>0.52184999999999993</v>
      </c>
      <c r="ET89" s="528"/>
      <c r="EV89" s="460">
        <f t="shared" si="309"/>
        <v>521.84999999999991</v>
      </c>
      <c r="EW89" s="528">
        <f t="shared" si="275"/>
        <v>3.2006239999999971E-2</v>
      </c>
      <c r="EX89" s="528">
        <f t="shared" si="276"/>
        <v>4.5723199999999985E-2</v>
      </c>
      <c r="EY89" s="528">
        <f t="shared" si="277"/>
        <v>0.97312311820048503</v>
      </c>
      <c r="EZ89" s="528">
        <f t="shared" si="278"/>
        <v>1.0761998165258173</v>
      </c>
      <c r="FA89" s="528">
        <f t="shared" si="279"/>
        <v>1.1479999999999995E-2</v>
      </c>
      <c r="FB89" s="460">
        <f t="shared" si="310"/>
        <v>1087.6798165258172</v>
      </c>
      <c r="FC89" s="173">
        <f t="shared" si="311"/>
        <v>2.4095781878156148</v>
      </c>
      <c r="FD89" s="5">
        <f t="shared" si="312"/>
        <v>13.775999999999998</v>
      </c>
      <c r="FE89" s="173">
        <f t="shared" si="313"/>
        <v>0.85112807464428264</v>
      </c>
      <c r="FF89" s="5">
        <f t="shared" si="314"/>
        <v>85.112807464428258</v>
      </c>
      <c r="FI89" s="562">
        <f t="shared" si="280"/>
        <v>-50</v>
      </c>
      <c r="FJ89">
        <f t="shared" si="281"/>
        <v>-50</v>
      </c>
      <c r="FL89">
        <f t="shared" si="282"/>
        <v>0.58823529411764719</v>
      </c>
    </row>
    <row r="90" spans="5:168">
      <c r="E90" s="170">
        <v>85</v>
      </c>
      <c r="F90" s="217">
        <f t="shared" si="283"/>
        <v>0.85</v>
      </c>
      <c r="G90" s="217"/>
      <c r="H90" s="217">
        <f t="shared" si="183"/>
        <v>13.939999999999998</v>
      </c>
      <c r="I90" s="541">
        <f t="shared" si="184"/>
        <v>23.925911704889657</v>
      </c>
      <c r="J90" s="172">
        <f t="shared" si="185"/>
        <v>16.844452977066201</v>
      </c>
      <c r="K90" s="172">
        <f t="shared" si="186"/>
        <v>40.844452977066197</v>
      </c>
      <c r="L90" s="443"/>
      <c r="M90" s="217">
        <f t="shared" si="187"/>
        <v>0.4131384600957807</v>
      </c>
      <c r="N90" s="172">
        <f t="shared" si="188"/>
        <v>33.245589156696795</v>
      </c>
      <c r="O90" s="172">
        <f t="shared" si="284"/>
        <v>13.939999999999998</v>
      </c>
      <c r="P90" s="217">
        <f t="shared" si="189"/>
        <v>2.0271700705302926</v>
      </c>
      <c r="Q90" s="217">
        <f t="shared" si="190"/>
        <v>16.399999999999999</v>
      </c>
      <c r="R90" s="217">
        <f t="shared" si="191"/>
        <v>2.0090882760458801</v>
      </c>
      <c r="S90" s="172">
        <f t="shared" si="192"/>
        <v>70.037064166916309</v>
      </c>
      <c r="T90" s="172">
        <f t="shared" si="193"/>
        <v>16.399999999999999</v>
      </c>
      <c r="U90" s="217">
        <f t="shared" si="194"/>
        <v>2.8967650534356957</v>
      </c>
      <c r="V90" s="217">
        <f t="shared" si="195"/>
        <v>1.4528675466993521</v>
      </c>
      <c r="W90" s="217">
        <f t="shared" si="196"/>
        <v>2.0636574359853568</v>
      </c>
      <c r="X90" s="197">
        <f t="shared" si="197"/>
        <v>350</v>
      </c>
      <c r="Y90" s="443">
        <f t="shared" si="198"/>
        <v>269.06855319391104</v>
      </c>
      <c r="AA90" s="217">
        <f t="shared" si="199"/>
        <v>2.353593852453205</v>
      </c>
      <c r="AB90" s="173">
        <f t="shared" si="200"/>
        <v>1.6767018951515733</v>
      </c>
      <c r="AC90" s="173">
        <f t="shared" si="201"/>
        <v>0.69059817274444169</v>
      </c>
      <c r="AD90" s="173"/>
      <c r="AE90" s="173">
        <f t="shared" si="202"/>
        <v>0.94986759271934063</v>
      </c>
      <c r="AF90" s="545">
        <f t="shared" si="203"/>
        <v>1342.2923466099624</v>
      </c>
      <c r="AG90" s="528">
        <f t="shared" si="204"/>
        <v>0.22163577163451284</v>
      </c>
      <c r="AI90" s="173">
        <f t="shared" si="205"/>
        <v>2.6111286585822713</v>
      </c>
      <c r="AJ90" s="173">
        <f t="shared" si="206"/>
        <v>2.8967650534356957</v>
      </c>
      <c r="AK90" s="173">
        <f t="shared" si="207"/>
        <v>2.3580975704461942</v>
      </c>
      <c r="AM90" s="545">
        <f t="shared" si="208"/>
        <v>850</v>
      </c>
      <c r="AN90" s="460">
        <f t="shared" si="209"/>
        <v>269.06855319391104</v>
      </c>
      <c r="AP90">
        <f t="shared" si="210"/>
        <v>850</v>
      </c>
      <c r="AQ90">
        <f t="shared" si="211"/>
        <v>269.06855319391104</v>
      </c>
      <c r="AS90" s="5">
        <f t="shared" si="285"/>
        <v>3.7165249826847093</v>
      </c>
      <c r="AT90" s="5">
        <f t="shared" si="212"/>
        <v>1.4528675466993521</v>
      </c>
      <c r="AU90" s="5">
        <f t="shared" si="286"/>
        <v>2.2636574359853574</v>
      </c>
      <c r="AV90" s="5">
        <f t="shared" si="213"/>
        <v>2.0636574359853568</v>
      </c>
      <c r="AW90" s="173">
        <f t="shared" si="287"/>
        <v>0.39092096877278165</v>
      </c>
      <c r="AX90" s="173">
        <f t="shared" si="214"/>
        <v>13.546925389552555</v>
      </c>
      <c r="AY90" s="173">
        <f t="shared" si="215"/>
        <v>0.88217942621973733</v>
      </c>
      <c r="AZ90" s="173">
        <f t="shared" si="288"/>
        <v>15.356201909630824</v>
      </c>
      <c r="BA90" s="460">
        <f t="shared" si="216"/>
        <v>7.5301061871612776</v>
      </c>
      <c r="BB90" s="5">
        <f t="shared" si="217"/>
        <v>1.099065908363658</v>
      </c>
      <c r="BC90" s="5"/>
      <c r="BD90" s="173">
        <f t="shared" si="289"/>
        <v>1.0456759710572758</v>
      </c>
      <c r="BE90" s="173">
        <f t="shared" si="218"/>
        <v>1.3052372792544373</v>
      </c>
      <c r="BF90" s="173"/>
      <c r="BG90" s="528">
        <f t="shared" si="219"/>
        <v>2.1868764728931536E-2</v>
      </c>
      <c r="BH90" s="528">
        <f t="shared" si="220"/>
        <v>0.59691236048072893</v>
      </c>
      <c r="BI90" s="528">
        <f t="shared" si="221"/>
        <v>0.16094276115699802</v>
      </c>
      <c r="BJ90" s="528">
        <f t="shared" si="222"/>
        <v>4.488788173813546E-2</v>
      </c>
      <c r="BK90">
        <f t="shared" si="223"/>
        <v>1.0766660267200346E-2</v>
      </c>
      <c r="BL90" s="460">
        <f t="shared" si="290"/>
        <v>171.70942142419838</v>
      </c>
      <c r="BM90" s="528">
        <f t="shared" si="224"/>
        <v>0.67307086207548961</v>
      </c>
      <c r="BN90" s="460">
        <f t="shared" si="291"/>
        <v>673.07086207548957</v>
      </c>
      <c r="BO90" s="528">
        <f t="shared" si="225"/>
        <v>0.52806249999999999</v>
      </c>
      <c r="BP90" s="528"/>
      <c r="BR90" s="460">
        <f t="shared" si="292"/>
        <v>528.0625</v>
      </c>
      <c r="BS90" s="528">
        <f t="shared" si="226"/>
        <v>3.2803147093397302E-2</v>
      </c>
      <c r="BT90" s="528">
        <f t="shared" si="227"/>
        <v>5.1109330654665781E-2</v>
      </c>
      <c r="BU90" s="528">
        <f t="shared" si="228"/>
        <v>0.20909999999999995</v>
      </c>
      <c r="BV90" s="528">
        <f t="shared" si="229"/>
        <v>0.3152678650242805</v>
      </c>
      <c r="BW90" s="528">
        <f t="shared" si="230"/>
        <v>1.1289104491293797E-2</v>
      </c>
      <c r="BX90" s="460">
        <f t="shared" si="293"/>
        <v>326.55696951557428</v>
      </c>
      <c r="BY90" s="173">
        <f t="shared" si="231"/>
        <v>1.6993997530152622</v>
      </c>
      <c r="BZ90" s="5">
        <f t="shared" si="294"/>
        <v>13.939999999999998</v>
      </c>
      <c r="CA90" s="173">
        <f t="shared" si="295"/>
        <v>0.89133855647576121</v>
      </c>
      <c r="CB90" s="5">
        <f t="shared" si="296"/>
        <v>89.133855647576127</v>
      </c>
      <c r="CE90" s="562">
        <f t="shared" si="232"/>
        <v>-50</v>
      </c>
      <c r="CF90">
        <f t="shared" si="233"/>
        <v>-50</v>
      </c>
      <c r="CG90" s="173">
        <f t="shared" si="234"/>
        <v>0.57363987032909203</v>
      </c>
      <c r="CI90" s="170">
        <v>85</v>
      </c>
      <c r="CJ90" s="217">
        <f t="shared" si="297"/>
        <v>0.85</v>
      </c>
      <c r="CK90" s="217"/>
      <c r="CL90" s="217">
        <f t="shared" si="235"/>
        <v>13.939999999999998</v>
      </c>
      <c r="CM90" s="541">
        <f t="shared" si="236"/>
        <v>24</v>
      </c>
      <c r="CN90" s="172">
        <f t="shared" si="237"/>
        <v>16.799999999999997</v>
      </c>
      <c r="CO90" s="443">
        <f t="shared" si="238"/>
        <v>40.799999999999997</v>
      </c>
      <c r="CP90" s="443"/>
      <c r="CQ90" s="217">
        <f t="shared" si="239"/>
        <v>0.41176470588235292</v>
      </c>
      <c r="CR90" s="172">
        <f t="shared" si="240"/>
        <v>33.237647058823534</v>
      </c>
      <c r="CS90" s="172">
        <f t="shared" si="298"/>
        <v>13.939999999999998</v>
      </c>
      <c r="CT90" s="217">
        <f t="shared" si="241"/>
        <v>2.026685796269728</v>
      </c>
      <c r="CU90" s="217">
        <f t="shared" si="242"/>
        <v>16.399999999999999</v>
      </c>
      <c r="CV90" s="217">
        <f t="shared" si="243"/>
        <v>2.0086083213773311</v>
      </c>
      <c r="CW90" s="172">
        <f t="shared" si="244"/>
        <v>70.253521390506734</v>
      </c>
      <c r="CX90" s="172">
        <f t="shared" si="245"/>
        <v>16.399999999999999</v>
      </c>
      <c r="CY90" s="217">
        <f t="shared" si="246"/>
        <v>2.8211904761904756</v>
      </c>
      <c r="CZ90" s="217">
        <f t="shared" si="247"/>
        <v>1.410595238095238</v>
      </c>
      <c r="DA90" s="217">
        <f t="shared" si="248"/>
        <v>2.0151360544217689</v>
      </c>
      <c r="DB90" s="197">
        <f t="shared" si="249"/>
        <v>350</v>
      </c>
      <c r="DC90" s="443">
        <f t="shared" si="299"/>
        <v>291.90847577110009</v>
      </c>
      <c r="DE90" s="217">
        <f t="shared" si="250"/>
        <v>2.3529411764705879</v>
      </c>
      <c r="DF90" s="173">
        <f t="shared" si="251"/>
        <v>1.6806722689075633</v>
      </c>
      <c r="DG90" s="173">
        <f t="shared" si="252"/>
        <v>0.69204152249134954</v>
      </c>
      <c r="DH90" s="173"/>
      <c r="DI90" s="173">
        <f t="shared" si="253"/>
        <v>0.95238095238095266</v>
      </c>
      <c r="DJ90" s="545">
        <f t="shared" si="300"/>
        <v>1338.7499999999993</v>
      </c>
      <c r="DK90" s="528">
        <f t="shared" si="254"/>
        <v>0.22222222222222232</v>
      </c>
      <c r="DM90" s="173">
        <f t="shared" si="255"/>
        <v>2.607680962081059</v>
      </c>
      <c r="DN90" s="173">
        <f t="shared" si="256"/>
        <v>2.8211904761904756</v>
      </c>
      <c r="DO90" s="173">
        <f t="shared" si="257"/>
        <v>2.3021164021164013</v>
      </c>
      <c r="DQ90" s="545">
        <f t="shared" si="258"/>
        <v>850</v>
      </c>
      <c r="DR90" s="460">
        <f t="shared" si="259"/>
        <v>291.90847577110009</v>
      </c>
      <c r="DT90">
        <f t="shared" si="260"/>
        <v>850</v>
      </c>
      <c r="DU90">
        <f t="shared" si="261"/>
        <v>291.90847577110009</v>
      </c>
      <c r="DW90" s="5">
        <f t="shared" si="301"/>
        <v>3.4257312925170069</v>
      </c>
      <c r="DX90" s="5">
        <f t="shared" si="262"/>
        <v>1.410595238095238</v>
      </c>
      <c r="DY90" s="5">
        <f t="shared" si="302"/>
        <v>2.0151360544217689</v>
      </c>
      <c r="DZ90" s="5">
        <f t="shared" si="263"/>
        <v>2.0151360544217689</v>
      </c>
      <c r="EA90" s="173">
        <f t="shared" si="303"/>
        <v>0.41176470588235292</v>
      </c>
      <c r="EB90" s="173">
        <f t="shared" si="264"/>
        <v>13.939999999999996</v>
      </c>
      <c r="EC90" s="173">
        <f t="shared" si="265"/>
        <v>0.82976190476190459</v>
      </c>
      <c r="ED90" s="173">
        <f t="shared" si="304"/>
        <v>16.799999999999997</v>
      </c>
      <c r="EE90" s="460">
        <f t="shared" si="266"/>
        <v>7.3110119047619051</v>
      </c>
      <c r="EF90" s="5">
        <f t="shared" si="267"/>
        <v>0.9753818263416475</v>
      </c>
      <c r="EG90" s="5"/>
      <c r="EH90" s="173">
        <f t="shared" si="305"/>
        <v>1.0451926355952976</v>
      </c>
      <c r="EI90" s="173">
        <f t="shared" si="268"/>
        <v>1.2492441403291175</v>
      </c>
      <c r="EJ90" s="173"/>
      <c r="EK90" s="528">
        <f t="shared" si="269"/>
        <v>2.1848552910052894E-2</v>
      </c>
      <c r="EL90" s="528">
        <f t="shared" si="270"/>
        <v>0.67199999999999982</v>
      </c>
      <c r="EM90" s="528">
        <f t="shared" si="271"/>
        <v>3.6488559471387509E-2</v>
      </c>
      <c r="EN90" s="528">
        <f t="shared" si="272"/>
        <v>4.8592252510760409E-2</v>
      </c>
      <c r="EO90">
        <f t="shared" si="273"/>
        <v>1.0800000000000001E-2</v>
      </c>
      <c r="EP90" s="460">
        <f t="shared" si="306"/>
        <v>47.288559471387508</v>
      </c>
      <c r="EQ90" s="528">
        <f t="shared" si="274"/>
        <v>0.7997803066393312</v>
      </c>
      <c r="ER90" s="460">
        <f t="shared" si="307"/>
        <v>799.78030663933123</v>
      </c>
      <c r="ES90" s="528">
        <f t="shared" si="308"/>
        <v>0.52806249999999999</v>
      </c>
      <c r="ET90" s="528"/>
      <c r="EV90" s="460">
        <f t="shared" si="309"/>
        <v>528.0625</v>
      </c>
      <c r="EW90" s="528">
        <f t="shared" si="275"/>
        <v>3.2772829365079338E-2</v>
      </c>
      <c r="EX90" s="528">
        <f t="shared" si="276"/>
        <v>4.681832766439907E-2</v>
      </c>
      <c r="EY90" s="528">
        <f t="shared" si="277"/>
        <v>0.97312311820048281</v>
      </c>
      <c r="EZ90" s="528">
        <f t="shared" si="278"/>
        <v>1.0786844524079848</v>
      </c>
      <c r="FA90" s="528">
        <f t="shared" si="279"/>
        <v>1.1616666666666664E-2</v>
      </c>
      <c r="FB90" s="460">
        <f t="shared" si="310"/>
        <v>1090.3011190746515</v>
      </c>
      <c r="FC90" s="173">
        <f t="shared" si="311"/>
        <v>2.418143925713983</v>
      </c>
      <c r="FD90" s="5">
        <f t="shared" si="312"/>
        <v>13.939999999999998</v>
      </c>
      <c r="FE90" s="173">
        <f t="shared" si="313"/>
        <v>0.85217492053528077</v>
      </c>
      <c r="FF90" s="5">
        <f t="shared" si="314"/>
        <v>85.217492053528076</v>
      </c>
      <c r="FI90" s="562">
        <f t="shared" si="280"/>
        <v>-50</v>
      </c>
      <c r="FJ90">
        <f t="shared" si="281"/>
        <v>-50</v>
      </c>
      <c r="FL90">
        <f t="shared" si="282"/>
        <v>0.58823529411764708</v>
      </c>
    </row>
    <row r="91" spans="5:168">
      <c r="E91" s="170">
        <v>86</v>
      </c>
      <c r="F91" s="217">
        <f t="shared" si="283"/>
        <v>0.86</v>
      </c>
      <c r="G91" s="217"/>
      <c r="H91" s="217">
        <f t="shared" si="183"/>
        <v>14.103999999999999</v>
      </c>
      <c r="I91" s="541">
        <f t="shared" si="184"/>
        <v>23.925062248597619</v>
      </c>
      <c r="J91" s="172">
        <f t="shared" si="185"/>
        <v>16.844962650841424</v>
      </c>
      <c r="K91" s="172">
        <f t="shared" si="186"/>
        <v>40.844962650841424</v>
      </c>
      <c r="L91" s="443"/>
      <c r="M91" s="217">
        <f t="shared" si="187"/>
        <v>0.41315440955958543</v>
      </c>
      <c r="N91" s="172">
        <f t="shared" si="188"/>
        <v>33.24569223899546</v>
      </c>
      <c r="O91" s="172">
        <f t="shared" si="284"/>
        <v>14.103999999999999</v>
      </c>
      <c r="P91" s="217">
        <f t="shared" si="189"/>
        <v>2.0271763560363087</v>
      </c>
      <c r="Q91" s="217">
        <f t="shared" si="190"/>
        <v>16.399999999999999</v>
      </c>
      <c r="R91" s="217">
        <f t="shared" si="191"/>
        <v>2.0090945054869263</v>
      </c>
      <c r="S91" s="172">
        <f t="shared" si="192"/>
        <v>68.945741671679457</v>
      </c>
      <c r="T91" s="172">
        <f t="shared" si="193"/>
        <v>16.399999999999999</v>
      </c>
      <c r="U91" s="217">
        <f t="shared" si="194"/>
        <v>2.9309242976660665</v>
      </c>
      <c r="V91" s="217">
        <f t="shared" si="195"/>
        <v>1.4700522492498163</v>
      </c>
      <c r="W91" s="217">
        <f t="shared" si="196"/>
        <v>2.0879293294387899</v>
      </c>
      <c r="X91" s="197">
        <f t="shared" si="197"/>
        <v>350</v>
      </c>
      <c r="Y91" s="443">
        <f t="shared" si="198"/>
        <v>266.10029321883007</v>
      </c>
      <c r="AA91" s="217">
        <f t="shared" si="199"/>
        <v>2.3536011181343843</v>
      </c>
      <c r="AB91" s="173">
        <f t="shared" si="200"/>
        <v>1.6766563395260383</v>
      </c>
      <c r="AC91" s="173">
        <f t="shared" si="201"/>
        <v>0.69058154120122783</v>
      </c>
      <c r="AD91" s="173"/>
      <c r="AE91" s="173">
        <f t="shared" si="202"/>
        <v>0.94983885281578739</v>
      </c>
      <c r="AF91" s="545">
        <f t="shared" si="203"/>
        <v>1358.1251137240895</v>
      </c>
      <c r="AG91" s="528">
        <f t="shared" si="204"/>
        <v>0.22162906565701707</v>
      </c>
      <c r="AI91" s="173">
        <f t="shared" si="205"/>
        <v>2.6264830622067352</v>
      </c>
      <c r="AJ91" s="173">
        <f t="shared" si="206"/>
        <v>2.9309242976660665</v>
      </c>
      <c r="AK91" s="173">
        <f t="shared" si="207"/>
        <v>2.3834007143205431</v>
      </c>
      <c r="AM91" s="545">
        <f t="shared" si="208"/>
        <v>860</v>
      </c>
      <c r="AN91" s="460">
        <f t="shared" si="209"/>
        <v>266.10029321883007</v>
      </c>
      <c r="AP91">
        <f t="shared" si="210"/>
        <v>860</v>
      </c>
      <c r="AQ91">
        <f t="shared" si="211"/>
        <v>266.10029321883007</v>
      </c>
      <c r="AS91" s="5">
        <f t="shared" si="285"/>
        <v>3.7579815786886059</v>
      </c>
      <c r="AT91" s="5">
        <f t="shared" si="212"/>
        <v>1.4700522492498163</v>
      </c>
      <c r="AU91" s="5">
        <f t="shared" si="286"/>
        <v>2.2879293294387897</v>
      </c>
      <c r="AV91" s="5">
        <f t="shared" si="213"/>
        <v>2.0879293294387899</v>
      </c>
      <c r="AW91" s="173">
        <f t="shared" si="287"/>
        <v>0.3911813345723768</v>
      </c>
      <c r="AX91" s="173">
        <f t="shared" si="214"/>
        <v>13.715315616284137</v>
      </c>
      <c r="AY91" s="173">
        <f t="shared" si="215"/>
        <v>0.8922007096872242</v>
      </c>
      <c r="AZ91" s="173">
        <f t="shared" si="288"/>
        <v>15.372455398620193</v>
      </c>
      <c r="BA91" s="460">
        <f t="shared" si="216"/>
        <v>7.7088105753344029</v>
      </c>
      <c r="BB91" s="5">
        <f t="shared" si="217"/>
        <v>1.1239592930873199</v>
      </c>
      <c r="BC91" s="5"/>
      <c r="BD91" s="173">
        <f t="shared" si="289"/>
        <v>1.0583590697891614</v>
      </c>
      <c r="BE91" s="173">
        <f t="shared" si="218"/>
        <v>1.3203466056096012</v>
      </c>
      <c r="BF91" s="173"/>
      <c r="BG91" s="528">
        <f t="shared" si="219"/>
        <v>2.2402478412099577E-2</v>
      </c>
      <c r="BH91" s="528">
        <f t="shared" si="220"/>
        <v>0.59729616965214216</v>
      </c>
      <c r="BI91" s="528">
        <f t="shared" si="221"/>
        <v>0.15916165199076471</v>
      </c>
      <c r="BJ91" s="528">
        <f t="shared" si="222"/>
        <v>4.4393803934792267E-2</v>
      </c>
      <c r="BK91">
        <f t="shared" si="223"/>
        <v>1.0766278011868928E-2</v>
      </c>
      <c r="BL91" s="460">
        <f t="shared" si="290"/>
        <v>169.92793000263364</v>
      </c>
      <c r="BM91" s="528">
        <f t="shared" si="224"/>
        <v>0.67372725605984374</v>
      </c>
      <c r="BN91" s="460">
        <f t="shared" si="291"/>
        <v>673.72725605984374</v>
      </c>
      <c r="BO91" s="528">
        <f t="shared" si="225"/>
        <v>0.53427499999999994</v>
      </c>
      <c r="BP91" s="528"/>
      <c r="BR91" s="460">
        <f t="shared" si="292"/>
        <v>534.27499999999998</v>
      </c>
      <c r="BS91" s="528">
        <f t="shared" si="226"/>
        <v>3.3603717618149363E-2</v>
      </c>
      <c r="BT91" s="528">
        <f t="shared" si="227"/>
        <v>5.229945476834387E-2</v>
      </c>
      <c r="BU91" s="528">
        <f t="shared" si="228"/>
        <v>0.21155999999999997</v>
      </c>
      <c r="BV91" s="528">
        <f t="shared" si="229"/>
        <v>0.32028098597930732</v>
      </c>
      <c r="BW91" s="528">
        <f t="shared" si="230"/>
        <v>1.142942968023678E-2</v>
      </c>
      <c r="BX91" s="460">
        <f t="shared" si="293"/>
        <v>331.71041565954414</v>
      </c>
      <c r="BY91" s="173">
        <f t="shared" si="231"/>
        <v>1.7096406017220214</v>
      </c>
      <c r="BZ91" s="5">
        <f t="shared" si="294"/>
        <v>14.103999999999999</v>
      </c>
      <c r="CA91" s="173">
        <f t="shared" si="295"/>
        <v>0.89188823467153722</v>
      </c>
      <c r="CB91" s="5">
        <f t="shared" si="296"/>
        <v>89.188823467153725</v>
      </c>
      <c r="CE91" s="562">
        <f t="shared" si="232"/>
        <v>-50</v>
      </c>
      <c r="CF91">
        <f t="shared" si="233"/>
        <v>-50</v>
      </c>
      <c r="CG91" s="173">
        <f t="shared" si="234"/>
        <v>0.57380958455919162</v>
      </c>
      <c r="CI91" s="170">
        <v>86</v>
      </c>
      <c r="CJ91" s="217">
        <f t="shared" si="297"/>
        <v>0.86</v>
      </c>
      <c r="CK91" s="217"/>
      <c r="CL91" s="217">
        <f t="shared" si="235"/>
        <v>14.103999999999999</v>
      </c>
      <c r="CM91" s="541">
        <f t="shared" si="236"/>
        <v>24</v>
      </c>
      <c r="CN91" s="172">
        <f t="shared" si="237"/>
        <v>16.799999999999997</v>
      </c>
      <c r="CO91" s="443">
        <f t="shared" si="238"/>
        <v>40.799999999999997</v>
      </c>
      <c r="CP91" s="443"/>
      <c r="CQ91" s="217">
        <f t="shared" si="239"/>
        <v>0.41176470588235292</v>
      </c>
      <c r="CR91" s="172">
        <f t="shared" si="240"/>
        <v>33.237647058823534</v>
      </c>
      <c r="CS91" s="172">
        <f t="shared" si="298"/>
        <v>14.103999999999999</v>
      </c>
      <c r="CT91" s="217">
        <f t="shared" si="241"/>
        <v>2.026685796269728</v>
      </c>
      <c r="CU91" s="217">
        <f t="shared" si="242"/>
        <v>16.399999999999999</v>
      </c>
      <c r="CV91" s="217">
        <f t="shared" si="243"/>
        <v>2.0086083213773311</v>
      </c>
      <c r="CW91" s="172">
        <f t="shared" si="244"/>
        <v>69.161263657618491</v>
      </c>
      <c r="CX91" s="172">
        <f t="shared" si="245"/>
        <v>16.399999999999999</v>
      </c>
      <c r="CY91" s="217">
        <f t="shared" si="246"/>
        <v>2.8543809523809522</v>
      </c>
      <c r="CZ91" s="217">
        <f t="shared" si="247"/>
        <v>1.4271904761904761</v>
      </c>
      <c r="DA91" s="217">
        <f t="shared" si="248"/>
        <v>2.0388435374149663</v>
      </c>
      <c r="DB91" s="197">
        <f t="shared" si="249"/>
        <v>350</v>
      </c>
      <c r="DC91" s="443">
        <f t="shared" si="299"/>
        <v>288.51419116911046</v>
      </c>
      <c r="DE91" s="217">
        <f t="shared" si="250"/>
        <v>2.3529411764705879</v>
      </c>
      <c r="DF91" s="173">
        <f t="shared" si="251"/>
        <v>1.6806722689075633</v>
      </c>
      <c r="DG91" s="173">
        <f t="shared" si="252"/>
        <v>0.69204152249134954</v>
      </c>
      <c r="DH91" s="173"/>
      <c r="DI91" s="173">
        <f t="shared" si="253"/>
        <v>0.95238095238095266</v>
      </c>
      <c r="DJ91" s="545">
        <f t="shared" si="300"/>
        <v>1354.4999999999995</v>
      </c>
      <c r="DK91" s="528">
        <f t="shared" si="254"/>
        <v>0.22222222222222232</v>
      </c>
      <c r="DM91" s="173">
        <f t="shared" si="255"/>
        <v>2.6229754097207998</v>
      </c>
      <c r="DN91" s="173">
        <f t="shared" si="256"/>
        <v>2.8543809523809522</v>
      </c>
      <c r="DO91" s="173">
        <f t="shared" si="257"/>
        <v>2.3267019400352731</v>
      </c>
      <c r="DQ91" s="545">
        <f t="shared" si="258"/>
        <v>860</v>
      </c>
      <c r="DR91" s="460">
        <f t="shared" si="259"/>
        <v>288.51419116911046</v>
      </c>
      <c r="DT91">
        <f t="shared" si="260"/>
        <v>860</v>
      </c>
      <c r="DU91">
        <f t="shared" si="261"/>
        <v>288.51419116911046</v>
      </c>
      <c r="DW91" s="5">
        <f t="shared" si="301"/>
        <v>3.4660340136054431</v>
      </c>
      <c r="DX91" s="5">
        <f t="shared" si="262"/>
        <v>1.4271904761904761</v>
      </c>
      <c r="DY91" s="5">
        <f t="shared" si="302"/>
        <v>2.0388435374149667</v>
      </c>
      <c r="DZ91" s="5">
        <f t="shared" si="263"/>
        <v>2.0388435374149663</v>
      </c>
      <c r="EA91" s="173">
        <f t="shared" si="303"/>
        <v>0.41176470588235281</v>
      </c>
      <c r="EB91" s="173">
        <f t="shared" si="264"/>
        <v>14.103999999999997</v>
      </c>
      <c r="EC91" s="173">
        <f t="shared" si="265"/>
        <v>0.83952380952380967</v>
      </c>
      <c r="ED91" s="173">
        <f t="shared" si="304"/>
        <v>16.799999999999994</v>
      </c>
      <c r="EE91" s="460">
        <f t="shared" si="266"/>
        <v>7.4840476190476206</v>
      </c>
      <c r="EF91" s="5">
        <f t="shared" si="267"/>
        <v>0.99846698790627375</v>
      </c>
      <c r="EG91" s="5"/>
      <c r="EH91" s="173">
        <f t="shared" si="305"/>
        <v>1.0574890195434778</v>
      </c>
      <c r="EI91" s="173">
        <f t="shared" si="268"/>
        <v>1.2639411302153427</v>
      </c>
      <c r="EJ91" s="173"/>
      <c r="EK91" s="528">
        <f t="shared" si="269"/>
        <v>2.2365660529100523E-2</v>
      </c>
      <c r="EL91" s="528">
        <f t="shared" si="270"/>
        <v>0.67199999999999971</v>
      </c>
      <c r="EM91" s="528">
        <f t="shared" si="271"/>
        <v>3.606427389613881E-2</v>
      </c>
      <c r="EN91" s="528">
        <f t="shared" si="272"/>
        <v>4.8027226318774804E-2</v>
      </c>
      <c r="EO91">
        <f t="shared" si="273"/>
        <v>1.0800000000000001E-2</v>
      </c>
      <c r="EP91" s="460">
        <f t="shared" si="306"/>
        <v>46.864273896138812</v>
      </c>
      <c r="EQ91" s="528">
        <f t="shared" si="274"/>
        <v>0.79954473452264563</v>
      </c>
      <c r="ER91" s="460">
        <f t="shared" si="307"/>
        <v>799.54473452264563</v>
      </c>
      <c r="ES91" s="528">
        <f t="shared" si="308"/>
        <v>0.53427499999999994</v>
      </c>
      <c r="ET91" s="528"/>
      <c r="EV91" s="460">
        <f t="shared" si="309"/>
        <v>534.27499999999998</v>
      </c>
      <c r="EW91" s="528">
        <f t="shared" si="275"/>
        <v>3.3548490793650784E-2</v>
      </c>
      <c r="EX91" s="528">
        <f t="shared" si="276"/>
        <v>4.7926415419501135E-2</v>
      </c>
      <c r="EY91" s="528">
        <f t="shared" si="277"/>
        <v>0.97312311820048347</v>
      </c>
      <c r="EZ91" s="528">
        <f t="shared" si="278"/>
        <v>1.0811992505074177</v>
      </c>
      <c r="FA91" s="528">
        <f t="shared" si="279"/>
        <v>1.1753333333333331E-2</v>
      </c>
      <c r="FB91" s="460">
        <f t="shared" si="310"/>
        <v>1092.952583840751</v>
      </c>
      <c r="FC91" s="173">
        <f t="shared" si="311"/>
        <v>2.4267723183633967</v>
      </c>
      <c r="FD91" s="5">
        <f t="shared" si="312"/>
        <v>14.103999999999999</v>
      </c>
      <c r="FE91" s="173">
        <f t="shared" si="313"/>
        <v>0.85319667637865959</v>
      </c>
      <c r="FF91" s="5">
        <f t="shared" si="314"/>
        <v>85.319667637865962</v>
      </c>
      <c r="FI91" s="562">
        <f t="shared" si="280"/>
        <v>-50</v>
      </c>
      <c r="FJ91">
        <f t="shared" si="281"/>
        <v>-50</v>
      </c>
      <c r="FL91">
        <f t="shared" si="282"/>
        <v>0.58823529411764719</v>
      </c>
    </row>
    <row r="92" spans="5:168">
      <c r="E92" s="170">
        <v>87</v>
      </c>
      <c r="F92" s="217">
        <f t="shared" si="283"/>
        <v>0.87</v>
      </c>
      <c r="G92" s="217"/>
      <c r="H92" s="217">
        <f t="shared" si="183"/>
        <v>14.267999999999999</v>
      </c>
      <c r="I92" s="541">
        <f t="shared" si="184"/>
        <v>23.92421277949602</v>
      </c>
      <c r="J92" s="172">
        <f t="shared" si="185"/>
        <v>16.845472332302386</v>
      </c>
      <c r="K92" s="172">
        <f t="shared" si="186"/>
        <v>40.845472332302386</v>
      </c>
      <c r="L92" s="443"/>
      <c r="M92" s="217">
        <f t="shared" si="187"/>
        <v>0.41317035941881297</v>
      </c>
      <c r="N92" s="172">
        <f t="shared" si="188"/>
        <v>33.24579524417593</v>
      </c>
      <c r="O92" s="172">
        <f t="shared" si="284"/>
        <v>14.267999999999999</v>
      </c>
      <c r="P92" s="217">
        <f t="shared" si="189"/>
        <v>2.0271826368399961</v>
      </c>
      <c r="Q92" s="217">
        <f t="shared" si="190"/>
        <v>16.399999999999999</v>
      </c>
      <c r="R92" s="217">
        <f t="shared" si="191"/>
        <v>2.0091007302675874</v>
      </c>
      <c r="S92" s="172">
        <f t="shared" si="192"/>
        <v>67.879592114412986</v>
      </c>
      <c r="T92" s="172">
        <f t="shared" si="193"/>
        <v>16.399999999999999</v>
      </c>
      <c r="U92" s="217">
        <f t="shared" si="194"/>
        <v>2.9650854007250391</v>
      </c>
      <c r="V92" s="217">
        <f t="shared" si="195"/>
        <v>1.4872391052797687</v>
      </c>
      <c r="W92" s="217">
        <f t="shared" si="196"/>
        <v>2.1122010773465423</v>
      </c>
      <c r="X92" s="197">
        <f t="shared" si="197"/>
        <v>350</v>
      </c>
      <c r="Y92" s="443">
        <f t="shared" si="198"/>
        <v>263.19666896525888</v>
      </c>
      <c r="AA92" s="217">
        <f t="shared" si="199"/>
        <v>2.3536083789893141</v>
      </c>
      <c r="AB92" s="173">
        <f t="shared" si="200"/>
        <v>1.6766107824541816</v>
      </c>
      <c r="AC92" s="173">
        <f t="shared" si="201"/>
        <v>0.69056490753039845</v>
      </c>
      <c r="AD92" s="173"/>
      <c r="AE92" s="173">
        <f t="shared" si="202"/>
        <v>0.949810114217983</v>
      </c>
      <c r="AF92" s="545">
        <f t="shared" si="203"/>
        <v>1373.9588371034129</v>
      </c>
      <c r="AG92" s="528">
        <f t="shared" si="204"/>
        <v>0.22162235998419608</v>
      </c>
      <c r="AI92" s="173">
        <f t="shared" si="205"/>
        <v>2.6417491435918232</v>
      </c>
      <c r="AJ92" s="173">
        <f t="shared" si="206"/>
        <v>2.9650854007250391</v>
      </c>
      <c r="AK92" s="173">
        <f t="shared" si="207"/>
        <v>2.4087052351049669</v>
      </c>
      <c r="AM92" s="545">
        <f t="shared" si="208"/>
        <v>870</v>
      </c>
      <c r="AN92" s="460">
        <f t="shared" si="209"/>
        <v>263.19666896525888</v>
      </c>
      <c r="AP92">
        <f t="shared" si="210"/>
        <v>870</v>
      </c>
      <c r="AQ92">
        <f t="shared" si="211"/>
        <v>263.19666896525888</v>
      </c>
      <c r="AS92" s="5">
        <f t="shared" si="285"/>
        <v>3.7994401826263116</v>
      </c>
      <c r="AT92" s="5">
        <f t="shared" si="212"/>
        <v>1.4872391052797687</v>
      </c>
      <c r="AU92" s="5">
        <f t="shared" si="286"/>
        <v>2.3122010773465429</v>
      </c>
      <c r="AV92" s="5">
        <f t="shared" si="213"/>
        <v>2.1122010773465423</v>
      </c>
      <c r="AW92" s="173">
        <f t="shared" si="287"/>
        <v>0.39143637846450707</v>
      </c>
      <c r="AX92" s="173">
        <f t="shared" si="214"/>
        <v>13.883726566552657</v>
      </c>
      <c r="AY92" s="173">
        <f t="shared" si="215"/>
        <v>0.90222155481362409</v>
      </c>
      <c r="AZ92" s="173">
        <f t="shared" si="288"/>
        <v>15.38837826748739</v>
      </c>
      <c r="BA92" s="460">
        <f t="shared" si="216"/>
        <v>7.8896220828865786</v>
      </c>
      <c r="BB92" s="5">
        <f t="shared" si="217"/>
        <v>1.1491316794010527</v>
      </c>
      <c r="BC92" s="5"/>
      <c r="BD92" s="173">
        <f t="shared" si="289"/>
        <v>1.0710436518956827</v>
      </c>
      <c r="BE92" s="173">
        <f t="shared" si="218"/>
        <v>1.3354559671755866</v>
      </c>
      <c r="BF92" s="173"/>
      <c r="BG92" s="528">
        <f t="shared" si="219"/>
        <v>2.2942690085320808E-2</v>
      </c>
      <c r="BH92" s="528">
        <f t="shared" si="220"/>
        <v>0.59767183392583589</v>
      </c>
      <c r="BI92" s="528">
        <f t="shared" si="221"/>
        <v>0.15741932777948575</v>
      </c>
      <c r="BJ92" s="528">
        <f t="shared" si="222"/>
        <v>4.3910484962436068E-2</v>
      </c>
      <c r="BK92">
        <f t="shared" si="223"/>
        <v>1.0765895750773209E-2</v>
      </c>
      <c r="BL92" s="460">
        <f t="shared" si="290"/>
        <v>168.18522353025898</v>
      </c>
      <c r="BM92" s="528">
        <f t="shared" si="224"/>
        <v>0.67439579027463048</v>
      </c>
      <c r="BN92" s="460">
        <f t="shared" si="291"/>
        <v>674.39579027463049</v>
      </c>
      <c r="BO92" s="528">
        <f t="shared" si="225"/>
        <v>0.54048750000000001</v>
      </c>
      <c r="BP92" s="528"/>
      <c r="BR92" s="460">
        <f t="shared" si="292"/>
        <v>540.48749999999995</v>
      </c>
      <c r="BS92" s="528">
        <f t="shared" si="226"/>
        <v>3.4414035127981212E-2</v>
      </c>
      <c r="BT92" s="528">
        <f t="shared" si="227"/>
        <v>5.3503279207946439E-2</v>
      </c>
      <c r="BU92" s="528">
        <f t="shared" si="228"/>
        <v>0.21401999999999999</v>
      </c>
      <c r="BV92" s="528">
        <f t="shared" si="229"/>
        <v>0.32532561009045824</v>
      </c>
      <c r="BW92" s="528">
        <f t="shared" si="230"/>
        <v>1.1569772138793882E-2</v>
      </c>
      <c r="BX92" s="460">
        <f t="shared" si="293"/>
        <v>336.89538222925216</v>
      </c>
      <c r="BY92" s="173">
        <f t="shared" si="231"/>
        <v>1.7199638960341417</v>
      </c>
      <c r="BZ92" s="5">
        <f t="shared" si="294"/>
        <v>14.267999999999999</v>
      </c>
      <c r="CA92" s="173">
        <f t="shared" si="295"/>
        <v>0.89242132974413435</v>
      </c>
      <c r="CB92" s="5">
        <f t="shared" si="296"/>
        <v>89.242132974413437</v>
      </c>
      <c r="CE92" s="562">
        <f t="shared" si="232"/>
        <v>-50</v>
      </c>
      <c r="CF92">
        <f t="shared" si="233"/>
        <v>-50</v>
      </c>
      <c r="CG92" s="173">
        <f t="shared" si="234"/>
        <v>0.57397539731273706</v>
      </c>
      <c r="CI92" s="170">
        <v>87</v>
      </c>
      <c r="CJ92" s="217">
        <f t="shared" si="297"/>
        <v>0.87</v>
      </c>
      <c r="CK92" s="217"/>
      <c r="CL92" s="217">
        <f t="shared" si="235"/>
        <v>14.267999999999999</v>
      </c>
      <c r="CM92" s="541">
        <f t="shared" si="236"/>
        <v>24</v>
      </c>
      <c r="CN92" s="172">
        <f t="shared" si="237"/>
        <v>16.799999999999997</v>
      </c>
      <c r="CO92" s="443">
        <f t="shared" si="238"/>
        <v>40.799999999999997</v>
      </c>
      <c r="CP92" s="443"/>
      <c r="CQ92" s="217">
        <f t="shared" si="239"/>
        <v>0.41176470588235292</v>
      </c>
      <c r="CR92" s="172">
        <f t="shared" si="240"/>
        <v>33.237647058823534</v>
      </c>
      <c r="CS92" s="172">
        <f t="shared" si="298"/>
        <v>14.267999999999999</v>
      </c>
      <c r="CT92" s="217">
        <f t="shared" si="241"/>
        <v>2.026685796269728</v>
      </c>
      <c r="CU92" s="217">
        <f t="shared" si="242"/>
        <v>16.399999999999999</v>
      </c>
      <c r="CV92" s="217">
        <f t="shared" si="243"/>
        <v>2.0086083213773311</v>
      </c>
      <c r="CW92" s="172">
        <f t="shared" si="244"/>
        <v>68.094180880411372</v>
      </c>
      <c r="CX92" s="172">
        <f t="shared" si="245"/>
        <v>16.399999999999999</v>
      </c>
      <c r="CY92" s="217">
        <f t="shared" si="246"/>
        <v>2.887571428571428</v>
      </c>
      <c r="CZ92" s="217">
        <f t="shared" si="247"/>
        <v>1.4437857142857138</v>
      </c>
      <c r="DA92" s="217">
        <f t="shared" si="248"/>
        <v>2.0625510204081627</v>
      </c>
      <c r="DB92" s="197">
        <f t="shared" si="249"/>
        <v>350</v>
      </c>
      <c r="DC92" s="443">
        <f t="shared" si="299"/>
        <v>285.1979360982013</v>
      </c>
      <c r="DE92" s="217">
        <f t="shared" si="250"/>
        <v>2.3529411764705879</v>
      </c>
      <c r="DF92" s="173">
        <f t="shared" si="251"/>
        <v>1.6806722689075633</v>
      </c>
      <c r="DG92" s="173">
        <f t="shared" si="252"/>
        <v>0.69204152249134954</v>
      </c>
      <c r="DH92" s="173"/>
      <c r="DI92" s="173">
        <f t="shared" si="253"/>
        <v>0.95238095238095266</v>
      </c>
      <c r="DJ92" s="545">
        <f t="shared" si="300"/>
        <v>1370.2499999999995</v>
      </c>
      <c r="DK92" s="528">
        <f t="shared" si="254"/>
        <v>0.22222222222222232</v>
      </c>
      <c r="DM92" s="173">
        <f t="shared" si="255"/>
        <v>2.6381811916545836</v>
      </c>
      <c r="DN92" s="173">
        <f t="shared" si="256"/>
        <v>2.887571428571428</v>
      </c>
      <c r="DO92" s="173">
        <f t="shared" si="257"/>
        <v>2.3512874779541439</v>
      </c>
      <c r="DQ92" s="545">
        <f t="shared" si="258"/>
        <v>870</v>
      </c>
      <c r="DR92" s="460">
        <f t="shared" si="259"/>
        <v>285.1979360982013</v>
      </c>
      <c r="DT92">
        <f t="shared" si="260"/>
        <v>870</v>
      </c>
      <c r="DU92">
        <f t="shared" si="261"/>
        <v>285.1979360982013</v>
      </c>
      <c r="DW92" s="5">
        <f t="shared" si="301"/>
        <v>3.5063367346938765</v>
      </c>
      <c r="DX92" s="5">
        <f t="shared" si="262"/>
        <v>1.4437857142857138</v>
      </c>
      <c r="DY92" s="5">
        <f t="shared" si="302"/>
        <v>2.0625510204081627</v>
      </c>
      <c r="DZ92" s="5">
        <f t="shared" si="263"/>
        <v>2.0625510204081627</v>
      </c>
      <c r="EA92" s="173">
        <f t="shared" si="303"/>
        <v>0.41176470588235292</v>
      </c>
      <c r="EB92" s="173">
        <f t="shared" si="264"/>
        <v>14.267999999999999</v>
      </c>
      <c r="EC92" s="173">
        <f t="shared" si="265"/>
        <v>0.8492857142857142</v>
      </c>
      <c r="ED92" s="173">
        <f t="shared" si="304"/>
        <v>16.8</v>
      </c>
      <c r="EE92" s="460">
        <f t="shared" si="266"/>
        <v>7.6591071428571418</v>
      </c>
      <c r="EF92" s="5">
        <f t="shared" si="267"/>
        <v>1.0218221513605437</v>
      </c>
      <c r="EG92" s="5"/>
      <c r="EH92" s="173">
        <f t="shared" si="305"/>
        <v>1.0697854034916576</v>
      </c>
      <c r="EI92" s="173">
        <f t="shared" si="268"/>
        <v>1.2786381201015673</v>
      </c>
      <c r="EJ92" s="173"/>
      <c r="EK92" s="528">
        <f t="shared" si="269"/>
        <v>2.2888816190476176E-2</v>
      </c>
      <c r="EL92" s="528">
        <f t="shared" si="270"/>
        <v>0.67200000000000004</v>
      </c>
      <c r="EM92" s="528">
        <f t="shared" si="271"/>
        <v>3.5649742012275158E-2</v>
      </c>
      <c r="EN92" s="528">
        <f t="shared" si="272"/>
        <v>4.747518923465098E-2</v>
      </c>
      <c r="EO92">
        <f t="shared" si="273"/>
        <v>1.0800000000000001E-2</v>
      </c>
      <c r="EP92" s="460">
        <f t="shared" si="306"/>
        <v>46.449742012275152</v>
      </c>
      <c r="EQ92" s="528">
        <f t="shared" si="274"/>
        <v>0.79934084927640703</v>
      </c>
      <c r="ER92" s="460">
        <f t="shared" si="307"/>
        <v>799.34084927640708</v>
      </c>
      <c r="ES92" s="528">
        <f t="shared" si="308"/>
        <v>0.54048750000000001</v>
      </c>
      <c r="ET92" s="528"/>
      <c r="EV92" s="460">
        <f t="shared" si="309"/>
        <v>540.48749999999995</v>
      </c>
      <c r="EW92" s="528">
        <f t="shared" si="275"/>
        <v>3.433322428571426E-2</v>
      </c>
      <c r="EX92" s="528">
        <f t="shared" si="276"/>
        <v>4.9047463265306103E-2</v>
      </c>
      <c r="EY92" s="528">
        <f t="shared" si="277"/>
        <v>0.97312311820048369</v>
      </c>
      <c r="EZ92" s="528">
        <f t="shared" si="278"/>
        <v>1.0837442379388529</v>
      </c>
      <c r="FA92" s="528">
        <f t="shared" si="279"/>
        <v>1.189E-2</v>
      </c>
      <c r="FB92" s="460">
        <f t="shared" si="310"/>
        <v>1095.6342379388529</v>
      </c>
      <c r="FC92" s="173">
        <f t="shared" si="311"/>
        <v>2.4354625872152602</v>
      </c>
      <c r="FD92" s="5">
        <f t="shared" si="312"/>
        <v>14.267999999999999</v>
      </c>
      <c r="FE92" s="173">
        <f t="shared" si="313"/>
        <v>0.85419414839894625</v>
      </c>
      <c r="FF92" s="5">
        <f t="shared" si="314"/>
        <v>85.419414839894628</v>
      </c>
      <c r="FI92" s="562">
        <f t="shared" si="280"/>
        <v>-50</v>
      </c>
      <c r="FJ92">
        <f t="shared" si="281"/>
        <v>-50</v>
      </c>
      <c r="FL92">
        <f t="shared" si="282"/>
        <v>0.58823529411764708</v>
      </c>
    </row>
    <row r="93" spans="5:168">
      <c r="E93" s="170">
        <v>88</v>
      </c>
      <c r="F93" s="217">
        <f t="shared" si="283"/>
        <v>0.88</v>
      </c>
      <c r="G93" s="217"/>
      <c r="H93" s="217">
        <f t="shared" si="183"/>
        <v>14.431999999999999</v>
      </c>
      <c r="I93" s="541">
        <f t="shared" si="184"/>
        <v>23.923363298032271</v>
      </c>
      <c r="J93" s="172">
        <f t="shared" si="185"/>
        <v>16.845982021180635</v>
      </c>
      <c r="K93" s="172">
        <f t="shared" si="186"/>
        <v>40.845982021180632</v>
      </c>
      <c r="L93" s="443"/>
      <c r="M93" s="217">
        <f t="shared" si="187"/>
        <v>0.41318630966895342</v>
      </c>
      <c r="N93" s="172">
        <f t="shared" si="188"/>
        <v>33.245898172491636</v>
      </c>
      <c r="O93" s="172">
        <f t="shared" si="284"/>
        <v>14.431999999999999</v>
      </c>
      <c r="P93" s="217">
        <f t="shared" si="189"/>
        <v>2.0271889129568073</v>
      </c>
      <c r="Q93" s="217">
        <f t="shared" si="190"/>
        <v>16.399999999999999</v>
      </c>
      <c r="R93" s="217">
        <f t="shared" si="191"/>
        <v>2.0091069504031789</v>
      </c>
      <c r="S93" s="172">
        <f t="shared" si="192"/>
        <v>66.837758078533042</v>
      </c>
      <c r="T93" s="172">
        <f t="shared" si="193"/>
        <v>16.399999999999999</v>
      </c>
      <c r="U93" s="217">
        <f t="shared" si="194"/>
        <v>2.9992483628101945</v>
      </c>
      <c r="V93" s="217">
        <f t="shared" si="195"/>
        <v>1.504428115117185</v>
      </c>
      <c r="W93" s="217">
        <f t="shared" si="196"/>
        <v>2.1364726798633931</v>
      </c>
      <c r="X93" s="197">
        <f t="shared" si="197"/>
        <v>350</v>
      </c>
      <c r="Y93" s="443">
        <f t="shared" si="198"/>
        <v>260.35559192438257</v>
      </c>
      <c r="AA93" s="217">
        <f t="shared" si="199"/>
        <v>2.3536156350138255</v>
      </c>
      <c r="AB93" s="173">
        <f t="shared" si="200"/>
        <v>1.6765652239599445</v>
      </c>
      <c r="AC93" s="173">
        <f t="shared" si="201"/>
        <v>0.69054827174070166</v>
      </c>
      <c r="AD93" s="173"/>
      <c r="AE93" s="173">
        <f t="shared" si="202"/>
        <v>0.94978137694098397</v>
      </c>
      <c r="AF93" s="545">
        <f t="shared" si="203"/>
        <v>1389.793516747402</v>
      </c>
      <c r="AG93" s="528">
        <f t="shared" si="204"/>
        <v>0.22161565461956295</v>
      </c>
      <c r="AI93" s="173">
        <f t="shared" si="205"/>
        <v>2.6569284251734637</v>
      </c>
      <c r="AJ93" s="173">
        <f t="shared" si="206"/>
        <v>2.9992483628101945</v>
      </c>
      <c r="AK93" s="173">
        <f t="shared" si="207"/>
        <v>2.4340111329458232</v>
      </c>
      <c r="AM93" s="545">
        <f t="shared" si="208"/>
        <v>880</v>
      </c>
      <c r="AN93" s="460">
        <f t="shared" si="209"/>
        <v>260.35559192438257</v>
      </c>
      <c r="AP93">
        <f t="shared" si="210"/>
        <v>880</v>
      </c>
      <c r="AQ93">
        <f t="shared" si="211"/>
        <v>260.35559192438257</v>
      </c>
      <c r="AS93" s="5">
        <f t="shared" si="285"/>
        <v>3.8409007949805782</v>
      </c>
      <c r="AT93" s="5">
        <f t="shared" si="212"/>
        <v>1.504428115117185</v>
      </c>
      <c r="AU93" s="5">
        <f t="shared" si="286"/>
        <v>2.3364726798633932</v>
      </c>
      <c r="AV93" s="5">
        <f t="shared" si="213"/>
        <v>2.1364726798633931</v>
      </c>
      <c r="AW93" s="173">
        <f t="shared" si="287"/>
        <v>0.39168627241901782</v>
      </c>
      <c r="AX93" s="173">
        <f t="shared" si="214"/>
        <v>14.052157900420521</v>
      </c>
      <c r="AY93" s="173">
        <f t="shared" si="215"/>
        <v>0.91224197576111377</v>
      </c>
      <c r="AZ93" s="173">
        <f t="shared" si="288"/>
        <v>15.403980822847293</v>
      </c>
      <c r="BA93" s="460">
        <f t="shared" si="216"/>
        <v>8.0725411055068488</v>
      </c>
      <c r="BB93" s="5">
        <f t="shared" si="217"/>
        <v>1.1745830946270694</v>
      </c>
      <c r="BC93" s="5"/>
      <c r="BD93" s="173">
        <f t="shared" si="289"/>
        <v>1.0837297075752048</v>
      </c>
      <c r="BE93" s="173">
        <f t="shared" si="218"/>
        <v>1.3505653760032643</v>
      </c>
      <c r="BF93" s="173"/>
      <c r="BG93" s="528">
        <f t="shared" si="219"/>
        <v>2.3489401581620779E-2</v>
      </c>
      <c r="BH93" s="528">
        <f t="shared" si="220"/>
        <v>0.59803961643823889</v>
      </c>
      <c r="BI93" s="528">
        <f t="shared" si="221"/>
        <v>0.155714535307031</v>
      </c>
      <c r="BJ93" s="528">
        <f t="shared" si="222"/>
        <v>4.3437577181241617E-2</v>
      </c>
      <c r="BK93">
        <f t="shared" si="223"/>
        <v>1.0765513484114522E-2</v>
      </c>
      <c r="BL93" s="460">
        <f t="shared" si="290"/>
        <v>166.48004879114552</v>
      </c>
      <c r="BM93" s="528">
        <f t="shared" si="224"/>
        <v>0.67507639019372034</v>
      </c>
      <c r="BN93" s="460">
        <f t="shared" si="291"/>
        <v>675.07639019372039</v>
      </c>
      <c r="BO93" s="528">
        <f t="shared" si="225"/>
        <v>0.54669999999999996</v>
      </c>
      <c r="BP93" s="528"/>
      <c r="BR93" s="460">
        <f t="shared" si="292"/>
        <v>546.69999999999993</v>
      </c>
      <c r="BS93" s="528">
        <f t="shared" si="226"/>
        <v>3.5234102372431166E-2</v>
      </c>
      <c r="BT93" s="528">
        <f t="shared" si="227"/>
        <v>5.472080504576516E-2</v>
      </c>
      <c r="BU93" s="528">
        <f t="shared" si="228"/>
        <v>0.21647999999999998</v>
      </c>
      <c r="BV93" s="528">
        <f t="shared" si="229"/>
        <v>0.33040178616538857</v>
      </c>
      <c r="BW93" s="528">
        <f t="shared" si="230"/>
        <v>1.1710131583683768E-2</v>
      </c>
      <c r="BX93" s="460">
        <f t="shared" si="293"/>
        <v>342.11191774907235</v>
      </c>
      <c r="BY93" s="173">
        <f t="shared" si="231"/>
        <v>1.7303683567339381</v>
      </c>
      <c r="BZ93" s="5">
        <f t="shared" si="294"/>
        <v>14.431999999999999</v>
      </c>
      <c r="CA93" s="173">
        <f t="shared" si="295"/>
        <v>0.89293844079398232</v>
      </c>
      <c r="CB93" s="5">
        <f t="shared" si="296"/>
        <v>89.293844079398227</v>
      </c>
      <c r="CE93" s="562">
        <f t="shared" si="232"/>
        <v>-50</v>
      </c>
      <c r="CF93">
        <f t="shared" si="233"/>
        <v>-50</v>
      </c>
      <c r="CG93" s="173">
        <f t="shared" si="234"/>
        <v>0.574137441594611</v>
      </c>
      <c r="CI93" s="170">
        <v>88</v>
      </c>
      <c r="CJ93" s="217">
        <f t="shared" si="297"/>
        <v>0.88</v>
      </c>
      <c r="CK93" s="217"/>
      <c r="CL93" s="217">
        <f t="shared" si="235"/>
        <v>14.431999999999999</v>
      </c>
      <c r="CM93" s="541">
        <f t="shared" si="236"/>
        <v>24</v>
      </c>
      <c r="CN93" s="172">
        <f t="shared" si="237"/>
        <v>16.799999999999997</v>
      </c>
      <c r="CO93" s="443">
        <f t="shared" si="238"/>
        <v>40.799999999999997</v>
      </c>
      <c r="CP93" s="443"/>
      <c r="CQ93" s="217">
        <f t="shared" si="239"/>
        <v>0.41176470588235292</v>
      </c>
      <c r="CR93" s="172">
        <f t="shared" si="240"/>
        <v>33.237647058823534</v>
      </c>
      <c r="CS93" s="172">
        <f t="shared" si="298"/>
        <v>14.431999999999999</v>
      </c>
      <c r="CT93" s="217">
        <f t="shared" si="241"/>
        <v>2.026685796269728</v>
      </c>
      <c r="CU93" s="217">
        <f t="shared" si="242"/>
        <v>16.399999999999999</v>
      </c>
      <c r="CV93" s="217">
        <f t="shared" si="243"/>
        <v>2.0086083213773311</v>
      </c>
      <c r="CW93" s="172">
        <f t="shared" si="244"/>
        <v>67.051415572236323</v>
      </c>
      <c r="CX93" s="172">
        <f t="shared" si="245"/>
        <v>16.399999999999999</v>
      </c>
      <c r="CY93" s="217">
        <f t="shared" si="246"/>
        <v>2.9207619047619042</v>
      </c>
      <c r="CZ93" s="217">
        <f t="shared" si="247"/>
        <v>1.4603809523809521</v>
      </c>
      <c r="DA93" s="217">
        <f t="shared" si="248"/>
        <v>2.086258503401361</v>
      </c>
      <c r="DB93" s="197">
        <f t="shared" si="249"/>
        <v>350</v>
      </c>
      <c r="DC93" s="443">
        <f t="shared" si="299"/>
        <v>281.95705046072169</v>
      </c>
      <c r="DE93" s="217">
        <f t="shared" si="250"/>
        <v>2.3529411764705879</v>
      </c>
      <c r="DF93" s="173">
        <f t="shared" si="251"/>
        <v>1.6806722689075633</v>
      </c>
      <c r="DG93" s="173">
        <f t="shared" si="252"/>
        <v>0.69204152249134954</v>
      </c>
      <c r="DH93" s="173"/>
      <c r="DI93" s="173">
        <f t="shared" si="253"/>
        <v>0.95238095238095266</v>
      </c>
      <c r="DJ93" s="545">
        <f t="shared" si="300"/>
        <v>1385.9999999999995</v>
      </c>
      <c r="DK93" s="528">
        <f t="shared" si="254"/>
        <v>0.22222222222222232</v>
      </c>
      <c r="DM93" s="173">
        <f t="shared" si="255"/>
        <v>2.6532998322843198</v>
      </c>
      <c r="DN93" s="173">
        <f t="shared" si="256"/>
        <v>2.9207619047619042</v>
      </c>
      <c r="DO93" s="173">
        <f t="shared" si="257"/>
        <v>2.3758730158730152</v>
      </c>
      <c r="DQ93" s="545">
        <f t="shared" si="258"/>
        <v>880</v>
      </c>
      <c r="DR93" s="460">
        <f t="shared" si="259"/>
        <v>281.95705046072169</v>
      </c>
      <c r="DT93">
        <f t="shared" si="260"/>
        <v>880</v>
      </c>
      <c r="DU93">
        <f t="shared" si="261"/>
        <v>281.95705046072169</v>
      </c>
      <c r="DW93" s="5">
        <f t="shared" si="301"/>
        <v>3.5466394557823122</v>
      </c>
      <c r="DX93" s="5">
        <f t="shared" si="262"/>
        <v>1.4603809523809521</v>
      </c>
      <c r="DY93" s="5">
        <f t="shared" si="302"/>
        <v>2.0862585034013601</v>
      </c>
      <c r="DZ93" s="5">
        <f t="shared" si="263"/>
        <v>2.086258503401361</v>
      </c>
      <c r="EA93" s="173">
        <f t="shared" si="303"/>
        <v>0.41176470588235292</v>
      </c>
      <c r="EB93" s="173">
        <f t="shared" si="264"/>
        <v>14.431999999999997</v>
      </c>
      <c r="EC93" s="173">
        <f t="shared" si="265"/>
        <v>0.85904761904761895</v>
      </c>
      <c r="ED93" s="173">
        <f t="shared" si="304"/>
        <v>16.799999999999997</v>
      </c>
      <c r="EE93" s="460">
        <f t="shared" si="266"/>
        <v>7.8361904761904757</v>
      </c>
      <c r="EF93" s="5">
        <f t="shared" si="267"/>
        <v>1.0454473167044591</v>
      </c>
      <c r="EG93" s="5"/>
      <c r="EH93" s="173">
        <f t="shared" si="305"/>
        <v>1.0820817874398376</v>
      </c>
      <c r="EI93" s="173">
        <f t="shared" si="268"/>
        <v>1.2933351099877921</v>
      </c>
      <c r="EJ93" s="173"/>
      <c r="EK93" s="528">
        <f t="shared" si="269"/>
        <v>2.3418019894179878E-2</v>
      </c>
      <c r="EL93" s="528">
        <f t="shared" si="270"/>
        <v>0.67200000000000004</v>
      </c>
      <c r="EM93" s="528">
        <f t="shared" si="271"/>
        <v>3.5244631307590216E-2</v>
      </c>
      <c r="EN93" s="528">
        <f t="shared" si="272"/>
        <v>4.6935698447893574E-2</v>
      </c>
      <c r="EO93">
        <f t="shared" si="273"/>
        <v>1.0800000000000001E-2</v>
      </c>
      <c r="EP93" s="460">
        <f t="shared" si="306"/>
        <v>46.044631307590222</v>
      </c>
      <c r="EQ93" s="528">
        <f t="shared" si="274"/>
        <v>0.79916788223822699</v>
      </c>
      <c r="ER93" s="460">
        <f t="shared" si="307"/>
        <v>799.16788223822698</v>
      </c>
      <c r="ES93" s="528">
        <f t="shared" si="308"/>
        <v>0.54669999999999996</v>
      </c>
      <c r="ET93" s="528"/>
      <c r="EV93" s="460">
        <f t="shared" si="309"/>
        <v>546.69999999999993</v>
      </c>
      <c r="EW93" s="528">
        <f t="shared" si="275"/>
        <v>3.5127029841269815E-2</v>
      </c>
      <c r="EX93" s="528">
        <f t="shared" si="276"/>
        <v>5.0181471201814029E-2</v>
      </c>
      <c r="EY93" s="528">
        <f t="shared" si="277"/>
        <v>0.9731231182004848</v>
      </c>
      <c r="EZ93" s="528">
        <f t="shared" si="278"/>
        <v>1.0863194421550453</v>
      </c>
      <c r="FA93" s="528">
        <f t="shared" si="279"/>
        <v>1.2026666666666665E-2</v>
      </c>
      <c r="FB93" s="460">
        <f t="shared" si="310"/>
        <v>1098.3461088217118</v>
      </c>
      <c r="FC93" s="173">
        <f t="shared" si="311"/>
        <v>2.444213991059939</v>
      </c>
      <c r="FD93" s="5">
        <f t="shared" si="312"/>
        <v>14.431999999999999</v>
      </c>
      <c r="FE93" s="173">
        <f t="shared" si="313"/>
        <v>0.8551681086554872</v>
      </c>
      <c r="FF93" s="5">
        <f t="shared" si="314"/>
        <v>85.51681086554872</v>
      </c>
      <c r="FI93" s="562">
        <f t="shared" si="280"/>
        <v>-50</v>
      </c>
      <c r="FJ93">
        <f t="shared" si="281"/>
        <v>-50</v>
      </c>
      <c r="FL93">
        <f t="shared" si="282"/>
        <v>0.58823529411764708</v>
      </c>
    </row>
    <row r="94" spans="5:168">
      <c r="E94" s="170">
        <v>89</v>
      </c>
      <c r="F94" s="217">
        <f t="shared" si="283"/>
        <v>0.89</v>
      </c>
      <c r="G94" s="217"/>
      <c r="H94" s="217">
        <f t="shared" si="183"/>
        <v>14.595999999999998</v>
      </c>
      <c r="I94" s="541">
        <f t="shared" si="184"/>
        <v>23.922513804633191</v>
      </c>
      <c r="J94" s="172">
        <f t="shared" si="185"/>
        <v>16.846491717220083</v>
      </c>
      <c r="K94" s="172">
        <f t="shared" si="186"/>
        <v>40.846491717220083</v>
      </c>
      <c r="L94" s="443"/>
      <c r="M94" s="217">
        <f t="shared" si="187"/>
        <v>0.41320226030570534</v>
      </c>
      <c r="N94" s="172">
        <f t="shared" si="188"/>
        <v>33.246001024184309</v>
      </c>
      <c r="O94" s="172">
        <f t="shared" si="284"/>
        <v>14.595999999999998</v>
      </c>
      <c r="P94" s="217">
        <f t="shared" si="189"/>
        <v>2.0271951844014824</v>
      </c>
      <c r="Q94" s="217">
        <f t="shared" si="190"/>
        <v>16.399999999999999</v>
      </c>
      <c r="R94" s="217">
        <f t="shared" si="191"/>
        <v>2.0091131659083077</v>
      </c>
      <c r="S94" s="172">
        <f t="shared" si="192"/>
        <v>65.819420694054983</v>
      </c>
      <c r="T94" s="172">
        <f t="shared" si="193"/>
        <v>16.399999999999999</v>
      </c>
      <c r="U94" s="217">
        <f t="shared" si="194"/>
        <v>3.0334131841191661</v>
      </c>
      <c r="V94" s="217">
        <f t="shared" si="195"/>
        <v>1.5216192790901448</v>
      </c>
      <c r="W94" s="217">
        <f t="shared" si="196"/>
        <v>2.1607441371441034</v>
      </c>
      <c r="X94" s="197">
        <f t="shared" si="197"/>
        <v>350</v>
      </c>
      <c r="Y94" s="443">
        <f t="shared" si="198"/>
        <v>257.57506260708681</v>
      </c>
      <c r="AA94" s="217">
        <f t="shared" si="199"/>
        <v>2.3536228862039383</v>
      </c>
      <c r="AB94" s="173">
        <f t="shared" si="200"/>
        <v>1.6765196640661661</v>
      </c>
      <c r="AC94" s="173">
        <f t="shared" si="201"/>
        <v>0.69053163384048677</v>
      </c>
      <c r="AD94" s="173"/>
      <c r="AE94" s="173">
        <f t="shared" si="202"/>
        <v>0.94975264099914547</v>
      </c>
      <c r="AF94" s="545">
        <f t="shared" si="203"/>
        <v>1405.6291526555503</v>
      </c>
      <c r="AG94" s="528">
        <f t="shared" si="204"/>
        <v>0.22160894956646729</v>
      </c>
      <c r="AI94" s="173">
        <f t="shared" si="205"/>
        <v>2.6720223862340919</v>
      </c>
      <c r="AJ94" s="173">
        <f t="shared" si="206"/>
        <v>3.0334131841191661</v>
      </c>
      <c r="AK94" s="173">
        <f t="shared" si="207"/>
        <v>2.4593184079895059</v>
      </c>
      <c r="AM94" s="545">
        <f t="shared" si="208"/>
        <v>890</v>
      </c>
      <c r="AN94" s="460">
        <f t="shared" si="209"/>
        <v>257.57506260708681</v>
      </c>
      <c r="AP94">
        <f t="shared" si="210"/>
        <v>890</v>
      </c>
      <c r="AQ94">
        <f t="shared" si="211"/>
        <v>257.57506260708681</v>
      </c>
      <c r="AS94" s="5">
        <f t="shared" si="285"/>
        <v>3.8823634162342486</v>
      </c>
      <c r="AT94" s="5">
        <f t="shared" si="212"/>
        <v>1.5216192790901448</v>
      </c>
      <c r="AU94" s="5">
        <f t="shared" si="286"/>
        <v>2.3607441371441036</v>
      </c>
      <c r="AV94" s="5">
        <f t="shared" si="213"/>
        <v>2.1607441371441034</v>
      </c>
      <c r="AW94" s="173">
        <f t="shared" si="287"/>
        <v>0.39193118107579433</v>
      </c>
      <c r="AX94" s="173">
        <f t="shared" si="214"/>
        <v>14.220609292439486</v>
      </c>
      <c r="AY94" s="173">
        <f t="shared" si="215"/>
        <v>0.92226198608822763</v>
      </c>
      <c r="AZ94" s="173">
        <f t="shared" si="288"/>
        <v>15.419272947328309</v>
      </c>
      <c r="BA94" s="460">
        <f t="shared" si="216"/>
        <v>8.2575680389648127</v>
      </c>
      <c r="BB94" s="5">
        <f t="shared" si="217"/>
        <v>1.2003135660949988</v>
      </c>
      <c r="BC94" s="5"/>
      <c r="BD94" s="173">
        <f t="shared" si="289"/>
        <v>1.0964172274525277</v>
      </c>
      <c r="BE94" s="173">
        <f t="shared" si="218"/>
        <v>1.3656748436363995</v>
      </c>
      <c r="BF94" s="173"/>
      <c r="BG94" s="528">
        <f t="shared" si="219"/>
        <v>2.4042614733093756E-2</v>
      </c>
      <c r="BH94" s="528">
        <f t="shared" si="220"/>
        <v>0.59839976910996695</v>
      </c>
      <c r="BI94" s="528">
        <f t="shared" si="221"/>
        <v>0.15404607477368232</v>
      </c>
      <c r="BJ94" s="528">
        <f t="shared" si="222"/>
        <v>4.297474776905999E-2</v>
      </c>
      <c r="BK94">
        <f t="shared" si="223"/>
        <v>1.0765131212084935E-2</v>
      </c>
      <c r="BL94" s="460">
        <f t="shared" si="290"/>
        <v>164.81120598576726</v>
      </c>
      <c r="BM94" s="528">
        <f t="shared" si="224"/>
        <v>0.67576898498711346</v>
      </c>
      <c r="BN94" s="460">
        <f t="shared" si="291"/>
        <v>675.76898498711341</v>
      </c>
      <c r="BO94" s="528">
        <f t="shared" si="225"/>
        <v>0.55291249999999992</v>
      </c>
      <c r="BP94" s="528"/>
      <c r="BR94" s="460">
        <f t="shared" si="292"/>
        <v>552.91249999999991</v>
      </c>
      <c r="BS94" s="528">
        <f t="shared" si="226"/>
        <v>3.6063922099640634E-2</v>
      </c>
      <c r="BT94" s="528">
        <f t="shared" si="227"/>
        <v>5.595203335623912E-2</v>
      </c>
      <c r="BU94" s="528">
        <f t="shared" si="228"/>
        <v>0.21893999999999997</v>
      </c>
      <c r="BV94" s="528">
        <f t="shared" si="229"/>
        <v>0.3355095634086212</v>
      </c>
      <c r="BW94" s="528">
        <f t="shared" si="230"/>
        <v>1.1850507743699574E-2</v>
      </c>
      <c r="BX94" s="460">
        <f t="shared" si="293"/>
        <v>347.36007115232076</v>
      </c>
      <c r="BY94" s="173">
        <f t="shared" si="231"/>
        <v>1.7408527621252015</v>
      </c>
      <c r="BZ94" s="5">
        <f t="shared" si="294"/>
        <v>14.595999999999998</v>
      </c>
      <c r="CA94" s="173">
        <f t="shared" si="295"/>
        <v>0.89344013883989115</v>
      </c>
      <c r="CB94" s="5">
        <f t="shared" si="296"/>
        <v>89.34401388398912</v>
      </c>
      <c r="CE94" s="562">
        <f t="shared" si="232"/>
        <v>-50</v>
      </c>
      <c r="CF94">
        <f t="shared" si="233"/>
        <v>-50</v>
      </c>
      <c r="CG94" s="173">
        <f t="shared" si="234"/>
        <v>0.57429584443194848</v>
      </c>
      <c r="CI94" s="170">
        <v>89</v>
      </c>
      <c r="CJ94" s="217">
        <f t="shared" si="297"/>
        <v>0.89</v>
      </c>
      <c r="CK94" s="217"/>
      <c r="CL94" s="217">
        <f t="shared" si="235"/>
        <v>14.595999999999998</v>
      </c>
      <c r="CM94" s="541">
        <f t="shared" si="236"/>
        <v>24</v>
      </c>
      <c r="CN94" s="172">
        <f t="shared" si="237"/>
        <v>16.799999999999997</v>
      </c>
      <c r="CO94" s="443">
        <f t="shared" si="238"/>
        <v>40.799999999999997</v>
      </c>
      <c r="CP94" s="443"/>
      <c r="CQ94" s="217">
        <f t="shared" si="239"/>
        <v>0.41176470588235292</v>
      </c>
      <c r="CR94" s="172">
        <f t="shared" si="240"/>
        <v>33.237647058823534</v>
      </c>
      <c r="CS94" s="172">
        <f t="shared" si="298"/>
        <v>14.595999999999998</v>
      </c>
      <c r="CT94" s="217">
        <f t="shared" si="241"/>
        <v>2.026685796269728</v>
      </c>
      <c r="CU94" s="217">
        <f t="shared" si="242"/>
        <v>16.399999999999999</v>
      </c>
      <c r="CV94" s="217">
        <f t="shared" si="243"/>
        <v>2.0086083213773311</v>
      </c>
      <c r="CW94" s="172">
        <f t="shared" si="244"/>
        <v>66.032148796284531</v>
      </c>
      <c r="CX94" s="172">
        <f t="shared" si="245"/>
        <v>16.399999999999999</v>
      </c>
      <c r="CY94" s="217">
        <f t="shared" si="246"/>
        <v>2.9539523809523804</v>
      </c>
      <c r="CZ94" s="217">
        <f t="shared" si="247"/>
        <v>1.47697619047619</v>
      </c>
      <c r="DA94" s="217">
        <f t="shared" si="248"/>
        <v>2.1099659863945579</v>
      </c>
      <c r="DB94" s="197">
        <f t="shared" si="249"/>
        <v>350</v>
      </c>
      <c r="DC94" s="443">
        <f t="shared" si="299"/>
        <v>278.78899371397205</v>
      </c>
      <c r="DE94" s="217">
        <f t="shared" si="250"/>
        <v>2.3529411764705879</v>
      </c>
      <c r="DF94" s="173">
        <f t="shared" si="251"/>
        <v>1.6806722689075633</v>
      </c>
      <c r="DG94" s="173">
        <f t="shared" si="252"/>
        <v>0.69204152249134954</v>
      </c>
      <c r="DH94" s="173"/>
      <c r="DI94" s="173">
        <f t="shared" si="253"/>
        <v>0.95238095238095266</v>
      </c>
      <c r="DJ94" s="545">
        <f t="shared" si="300"/>
        <v>1401.7499999999995</v>
      </c>
      <c r="DK94" s="528">
        <f t="shared" si="254"/>
        <v>0.22222222222222232</v>
      </c>
      <c r="DM94" s="173">
        <f t="shared" si="255"/>
        <v>2.6683328128252666</v>
      </c>
      <c r="DN94" s="173">
        <f t="shared" si="256"/>
        <v>2.9539523809523804</v>
      </c>
      <c r="DO94" s="173">
        <f t="shared" si="257"/>
        <v>2.4004585537918866</v>
      </c>
      <c r="DQ94" s="545">
        <f t="shared" si="258"/>
        <v>890</v>
      </c>
      <c r="DR94" s="460">
        <f t="shared" si="259"/>
        <v>278.78899371397205</v>
      </c>
      <c r="DT94">
        <f t="shared" si="260"/>
        <v>890</v>
      </c>
      <c r="DU94">
        <f t="shared" si="261"/>
        <v>278.78899371397205</v>
      </c>
      <c r="DW94" s="5">
        <f t="shared" si="301"/>
        <v>3.5869421768707475</v>
      </c>
      <c r="DX94" s="5">
        <f t="shared" si="262"/>
        <v>1.47697619047619</v>
      </c>
      <c r="DY94" s="5">
        <f t="shared" si="302"/>
        <v>2.1099659863945575</v>
      </c>
      <c r="DZ94" s="5">
        <f t="shared" si="263"/>
        <v>2.1099659863945579</v>
      </c>
      <c r="EA94" s="173">
        <f t="shared" si="303"/>
        <v>0.41176470588235292</v>
      </c>
      <c r="EB94" s="173">
        <f t="shared" si="264"/>
        <v>14.595999999999998</v>
      </c>
      <c r="EC94" s="173">
        <f t="shared" si="265"/>
        <v>0.8688095238095237</v>
      </c>
      <c r="ED94" s="173">
        <f t="shared" si="304"/>
        <v>16.8</v>
      </c>
      <c r="EE94" s="460">
        <f t="shared" si="266"/>
        <v>8.0152976190476188</v>
      </c>
      <c r="EF94" s="5">
        <f t="shared" si="267"/>
        <v>1.0693424839380192</v>
      </c>
      <c r="EG94" s="5"/>
      <c r="EH94" s="173">
        <f t="shared" si="305"/>
        <v>1.0943781713880176</v>
      </c>
      <c r="EI94" s="173">
        <f t="shared" si="268"/>
        <v>1.3080320998740171</v>
      </c>
      <c r="EJ94" s="173"/>
      <c r="EK94" s="528">
        <f t="shared" si="269"/>
        <v>2.3953271640211625E-2</v>
      </c>
      <c r="EL94" s="528">
        <f t="shared" si="270"/>
        <v>0.67200000000000004</v>
      </c>
      <c r="EM94" s="528">
        <f t="shared" si="271"/>
        <v>3.4848624214246504E-2</v>
      </c>
      <c r="EN94" s="528">
        <f t="shared" si="272"/>
        <v>4.6408331049602639E-2</v>
      </c>
      <c r="EO94">
        <f t="shared" si="273"/>
        <v>1.0800000000000001E-2</v>
      </c>
      <c r="EP94" s="460">
        <f t="shared" si="306"/>
        <v>45.64862421424651</v>
      </c>
      <c r="EQ94" s="528">
        <f t="shared" si="274"/>
        <v>0.7990250996726479</v>
      </c>
      <c r="ER94" s="460">
        <f t="shared" si="307"/>
        <v>799.02509967264791</v>
      </c>
      <c r="ES94" s="528">
        <f t="shared" si="308"/>
        <v>0.55291249999999992</v>
      </c>
      <c r="ET94" s="528"/>
      <c r="EV94" s="460">
        <f t="shared" si="309"/>
        <v>552.91249999999991</v>
      </c>
      <c r="EW94" s="528">
        <f t="shared" si="275"/>
        <v>3.5929907460317434E-2</v>
      </c>
      <c r="EX94" s="528">
        <f t="shared" si="276"/>
        <v>5.1328439229024921E-2</v>
      </c>
      <c r="EY94" s="528">
        <f t="shared" si="277"/>
        <v>0.97312311820048569</v>
      </c>
      <c r="EZ94" s="528">
        <f t="shared" si="278"/>
        <v>1.0889248909475062</v>
      </c>
      <c r="FA94" s="528">
        <f t="shared" si="279"/>
        <v>1.2163333333333332E-2</v>
      </c>
      <c r="FB94" s="460">
        <f t="shared" si="310"/>
        <v>1101.0882242808395</v>
      </c>
      <c r="FC94" s="173">
        <f t="shared" si="311"/>
        <v>2.4530258239534879</v>
      </c>
      <c r="FD94" s="5">
        <f t="shared" si="312"/>
        <v>14.595999999999998</v>
      </c>
      <c r="FE94" s="173">
        <f t="shared" si="313"/>
        <v>0.85611929682767895</v>
      </c>
      <c r="FF94" s="5">
        <f t="shared" si="314"/>
        <v>85.611929682767894</v>
      </c>
      <c r="FI94" s="562">
        <f t="shared" si="280"/>
        <v>-50</v>
      </c>
      <c r="FJ94">
        <f t="shared" si="281"/>
        <v>-50</v>
      </c>
      <c r="FL94">
        <f t="shared" si="282"/>
        <v>0.58823529411764708</v>
      </c>
    </row>
    <row r="95" spans="5:168">
      <c r="E95" s="170">
        <v>90</v>
      </c>
      <c r="F95" s="217">
        <f t="shared" si="283"/>
        <v>0.9</v>
      </c>
      <c r="G95" s="217"/>
      <c r="H95" s="217">
        <f t="shared" si="183"/>
        <v>14.76</v>
      </c>
      <c r="I95" s="541">
        <f t="shared" si="184"/>
        <v>23.921664299706169</v>
      </c>
      <c r="J95" s="172">
        <f t="shared" si="185"/>
        <v>16.847001420176294</v>
      </c>
      <c r="K95" s="172">
        <f t="shared" si="186"/>
        <v>40.847001420176298</v>
      </c>
      <c r="L95" s="443"/>
      <c r="M95" s="217">
        <f t="shared" si="187"/>
        <v>0.41321821132496295</v>
      </c>
      <c r="N95" s="172">
        <f t="shared" si="188"/>
        <v>33.246103799484573</v>
      </c>
      <c r="O95" s="172">
        <f t="shared" si="284"/>
        <v>14.76</v>
      </c>
      <c r="P95" s="217">
        <f t="shared" si="189"/>
        <v>2.027201451188084</v>
      </c>
      <c r="Q95" s="217">
        <f t="shared" si="190"/>
        <v>16.399999999999999</v>
      </c>
      <c r="R95" s="217">
        <f t="shared" si="191"/>
        <v>2.0091193767969115</v>
      </c>
      <c r="S95" s="172">
        <f t="shared" si="192"/>
        <v>64.823797496318264</v>
      </c>
      <c r="T95" s="172">
        <f t="shared" si="193"/>
        <v>16.399999999999999</v>
      </c>
      <c r="U95" s="217">
        <f t="shared" si="194"/>
        <v>3.0675798648496393</v>
      </c>
      <c r="V95" s="217">
        <f t="shared" si="195"/>
        <v>1.5388125975268294</v>
      </c>
      <c r="W95" s="217">
        <f t="shared" si="196"/>
        <v>2.1850154493434157</v>
      </c>
      <c r="X95" s="197">
        <f t="shared" si="197"/>
        <v>350</v>
      </c>
      <c r="Y95" s="443">
        <f t="shared" si="198"/>
        <v>254.85316585104383</v>
      </c>
      <c r="AA95" s="217">
        <f t="shared" si="199"/>
        <v>2.3536301325558475</v>
      </c>
      <c r="AB95" s="173">
        <f t="shared" si="200"/>
        <v>1.6764741027946455</v>
      </c>
      <c r="AC95" s="173">
        <f t="shared" si="201"/>
        <v>0.69051499383772619</v>
      </c>
      <c r="AD95" s="173"/>
      <c r="AE95" s="173">
        <f t="shared" si="202"/>
        <v>0.94972390640616278</v>
      </c>
      <c r="AF95" s="545">
        <f t="shared" si="203"/>
        <v>1421.4657448273747</v>
      </c>
      <c r="AG95" s="528">
        <f t="shared" si="204"/>
        <v>0.22160224482810467</v>
      </c>
      <c r="AI95" s="173">
        <f t="shared" si="205"/>
        <v>2.6870324645954393</v>
      </c>
      <c r="AJ95" s="173">
        <f t="shared" si="206"/>
        <v>3.0675798648496393</v>
      </c>
      <c r="AK95" s="173">
        <f t="shared" si="207"/>
        <v>2.484627060382449</v>
      </c>
      <c r="AM95" s="545">
        <f t="shared" si="208"/>
        <v>900</v>
      </c>
      <c r="AN95" s="460">
        <f t="shared" si="209"/>
        <v>254.85316585104383</v>
      </c>
      <c r="AP95">
        <f t="shared" si="210"/>
        <v>900</v>
      </c>
      <c r="AQ95">
        <f t="shared" si="211"/>
        <v>254.85316585104383</v>
      </c>
      <c r="AS95" s="5">
        <f t="shared" si="285"/>
        <v>3.9238280468702453</v>
      </c>
      <c r="AT95" s="5">
        <f t="shared" si="212"/>
        <v>1.5388125975268294</v>
      </c>
      <c r="AU95" s="5">
        <f t="shared" si="286"/>
        <v>2.3850154493434159</v>
      </c>
      <c r="AV95" s="5">
        <f t="shared" si="213"/>
        <v>2.1850154493434157</v>
      </c>
      <c r="AW95" s="173">
        <f t="shared" si="287"/>
        <v>0.39217126213118059</v>
      </c>
      <c r="AX95" s="173">
        <f t="shared" si="214"/>
        <v>14.389080430886843</v>
      </c>
      <c r="AY95" s="173">
        <f t="shared" si="215"/>
        <v>0.93228159878167993</v>
      </c>
      <c r="AZ95" s="173">
        <f t="shared" si="288"/>
        <v>15.434264121152575</v>
      </c>
      <c r="BA95" s="460">
        <f t="shared" si="216"/>
        <v>8.4447032791106516</v>
      </c>
      <c r="BB95" s="5">
        <f t="shared" si="217"/>
        <v>1.2263231211418824</v>
      </c>
      <c r="BC95" s="5"/>
      <c r="BD95" s="173">
        <f t="shared" si="289"/>
        <v>1.1091062025562006</v>
      </c>
      <c r="BE95" s="173">
        <f t="shared" si="218"/>
        <v>1.3807843811381297</v>
      </c>
      <c r="BF95" s="173"/>
      <c r="BG95" s="528">
        <f t="shared" si="219"/>
        <v>2.4602331370972719E-2</v>
      </c>
      <c r="BH95" s="528">
        <f t="shared" si="220"/>
        <v>0.59875253323709621</v>
      </c>
      <c r="BI95" s="528">
        <f t="shared" si="221"/>
        <v>0.15241279698015026</v>
      </c>
      <c r="BJ95" s="528">
        <f t="shared" si="222"/>
        <v>4.2521677940263174E-2</v>
      </c>
      <c r="BK95">
        <f t="shared" si="223"/>
        <v>1.0764748934867776E-2</v>
      </c>
      <c r="BL95" s="460">
        <f t="shared" si="290"/>
        <v>163.17754591501804</v>
      </c>
      <c r="BM95" s="528">
        <f t="shared" si="224"/>
        <v>0.67647350733140854</v>
      </c>
      <c r="BN95" s="460">
        <f t="shared" si="291"/>
        <v>676.47350733140854</v>
      </c>
      <c r="BO95" s="528">
        <f t="shared" si="225"/>
        <v>0.55912499999999998</v>
      </c>
      <c r="BP95" s="528"/>
      <c r="BR95" s="460">
        <f t="shared" si="292"/>
        <v>559.125</v>
      </c>
      <c r="BS95" s="528">
        <f t="shared" si="226"/>
        <v>3.6903497056459074E-2</v>
      </c>
      <c r="BT95" s="528">
        <f t="shared" si="227"/>
        <v>5.7196965215850236E-2</v>
      </c>
      <c r="BU95" s="528">
        <f t="shared" si="228"/>
        <v>0.22139999999999999</v>
      </c>
      <c r="BV95" s="528">
        <f t="shared" si="229"/>
        <v>0.34064899142290278</v>
      </c>
      <c r="BW95" s="528">
        <f t="shared" si="230"/>
        <v>1.1990900359072368E-2</v>
      </c>
      <c r="BX95" s="460">
        <f t="shared" si="293"/>
        <v>352.63989178197511</v>
      </c>
      <c r="BY95" s="173">
        <f t="shared" si="231"/>
        <v>1.7514159450284015</v>
      </c>
      <c r="BZ95" s="5">
        <f t="shared" si="294"/>
        <v>14.76</v>
      </c>
      <c r="CA95" s="173">
        <f t="shared" si="295"/>
        <v>0.89392696841631247</v>
      </c>
      <c r="CB95" s="5">
        <f t="shared" si="296"/>
        <v>89.392696841631249</v>
      </c>
      <c r="CE95" s="562">
        <f t="shared" si="232"/>
        <v>-50</v>
      </c>
      <c r="CF95">
        <f t="shared" si="233"/>
        <v>-50</v>
      </c>
      <c r="CG95" s="173">
        <f t="shared" si="234"/>
        <v>0.57445072720623402</v>
      </c>
      <c r="CI95" s="170">
        <v>90</v>
      </c>
      <c r="CJ95" s="217">
        <f t="shared" si="297"/>
        <v>0.9</v>
      </c>
      <c r="CK95" s="217"/>
      <c r="CL95" s="217">
        <f t="shared" si="235"/>
        <v>14.76</v>
      </c>
      <c r="CM95" s="541">
        <f t="shared" si="236"/>
        <v>24</v>
      </c>
      <c r="CN95" s="172">
        <f t="shared" si="237"/>
        <v>16.799999999999997</v>
      </c>
      <c r="CO95" s="443">
        <f t="shared" si="238"/>
        <v>40.799999999999997</v>
      </c>
      <c r="CP95" s="443"/>
      <c r="CQ95" s="217">
        <f t="shared" si="239"/>
        <v>0.41176470588235292</v>
      </c>
      <c r="CR95" s="172">
        <f t="shared" si="240"/>
        <v>33.237647058823534</v>
      </c>
      <c r="CS95" s="172">
        <f t="shared" si="298"/>
        <v>14.76</v>
      </c>
      <c r="CT95" s="217">
        <f t="shared" si="241"/>
        <v>2.026685796269728</v>
      </c>
      <c r="CU95" s="217">
        <f t="shared" si="242"/>
        <v>16.399999999999999</v>
      </c>
      <c r="CV95" s="217">
        <f t="shared" si="243"/>
        <v>2.0086083213773311</v>
      </c>
      <c r="CW95" s="172">
        <f t="shared" si="244"/>
        <v>65.035598024128404</v>
      </c>
      <c r="CX95" s="172">
        <f t="shared" si="245"/>
        <v>16.399999999999999</v>
      </c>
      <c r="CY95" s="217">
        <f t="shared" si="246"/>
        <v>2.9871428571428571</v>
      </c>
      <c r="CZ95" s="217">
        <f t="shared" si="247"/>
        <v>1.4935714285714285</v>
      </c>
      <c r="DA95" s="217">
        <f t="shared" si="248"/>
        <v>2.1336734693877557</v>
      </c>
      <c r="DB95" s="197">
        <f t="shared" si="249"/>
        <v>350</v>
      </c>
      <c r="DC95" s="443">
        <f t="shared" si="299"/>
        <v>275.69133822826115</v>
      </c>
      <c r="DE95" s="217">
        <f t="shared" si="250"/>
        <v>2.3529411764705879</v>
      </c>
      <c r="DF95" s="173">
        <f t="shared" si="251"/>
        <v>1.6806722689075633</v>
      </c>
      <c r="DG95" s="173">
        <f t="shared" si="252"/>
        <v>0.69204152249134954</v>
      </c>
      <c r="DH95" s="173"/>
      <c r="DI95" s="173">
        <f t="shared" si="253"/>
        <v>0.95238095238095266</v>
      </c>
      <c r="DJ95" s="545">
        <f t="shared" si="300"/>
        <v>1417.4999999999995</v>
      </c>
      <c r="DK95" s="528">
        <f t="shared" si="254"/>
        <v>0.22222222222222232</v>
      </c>
      <c r="DM95" s="173">
        <f t="shared" si="255"/>
        <v>2.6832815729997472</v>
      </c>
      <c r="DN95" s="173">
        <f t="shared" si="256"/>
        <v>2.9871428571428571</v>
      </c>
      <c r="DO95" s="173">
        <f t="shared" si="257"/>
        <v>2.4250440917107583</v>
      </c>
      <c r="DQ95" s="545">
        <f t="shared" si="258"/>
        <v>900</v>
      </c>
      <c r="DR95" s="460">
        <f t="shared" si="259"/>
        <v>275.69133822826115</v>
      </c>
      <c r="DT95">
        <f t="shared" si="260"/>
        <v>900</v>
      </c>
      <c r="DU95">
        <f t="shared" si="261"/>
        <v>275.69133822826115</v>
      </c>
      <c r="DW95" s="5">
        <f t="shared" si="301"/>
        <v>3.627244897959184</v>
      </c>
      <c r="DX95" s="5">
        <f t="shared" si="262"/>
        <v>1.4935714285714285</v>
      </c>
      <c r="DY95" s="5">
        <f t="shared" si="302"/>
        <v>2.1336734693877553</v>
      </c>
      <c r="DZ95" s="5">
        <f t="shared" si="263"/>
        <v>2.1336734693877557</v>
      </c>
      <c r="EA95" s="173">
        <f t="shared" si="303"/>
        <v>0.41176470588235292</v>
      </c>
      <c r="EB95" s="173">
        <f t="shared" si="264"/>
        <v>14.759999999999996</v>
      </c>
      <c r="EC95" s="173">
        <f t="shared" si="265"/>
        <v>0.87857142857142856</v>
      </c>
      <c r="ED95" s="173">
        <f t="shared" si="304"/>
        <v>16.799999999999997</v>
      </c>
      <c r="EE95" s="460">
        <f t="shared" si="266"/>
        <v>8.196428571428573</v>
      </c>
      <c r="EF95" s="5">
        <f t="shared" si="267"/>
        <v>1.0935076530612244</v>
      </c>
      <c r="EG95" s="5"/>
      <c r="EH95" s="173">
        <f t="shared" si="305"/>
        <v>1.1066745553361979</v>
      </c>
      <c r="EI95" s="173">
        <f t="shared" si="268"/>
        <v>1.3227290897602422</v>
      </c>
      <c r="EJ95" s="173"/>
      <c r="EK95" s="528">
        <f t="shared" si="269"/>
        <v>2.4494571428571425E-2</v>
      </c>
      <c r="EL95" s="528">
        <f t="shared" si="270"/>
        <v>0.67199999999999982</v>
      </c>
      <c r="EM95" s="528">
        <f t="shared" si="271"/>
        <v>3.4461417278532643E-2</v>
      </c>
      <c r="EN95" s="528">
        <f t="shared" si="272"/>
        <v>4.5892682926829263E-2</v>
      </c>
      <c r="EO95">
        <f t="shared" si="273"/>
        <v>1.0800000000000001E-2</v>
      </c>
      <c r="EP95" s="460">
        <f t="shared" si="306"/>
        <v>45.26141727853264</v>
      </c>
      <c r="EQ95" s="528">
        <f t="shared" si="274"/>
        <v>0.79891180083540381</v>
      </c>
      <c r="ER95" s="460">
        <f t="shared" si="307"/>
        <v>798.91180083540382</v>
      </c>
      <c r="ES95" s="528">
        <f t="shared" si="308"/>
        <v>0.55912499999999998</v>
      </c>
      <c r="ET95" s="528"/>
      <c r="EV95" s="460">
        <f t="shared" si="309"/>
        <v>559.125</v>
      </c>
      <c r="EW95" s="528">
        <f t="shared" si="275"/>
        <v>3.6741857142857132E-2</v>
      </c>
      <c r="EX95" s="528">
        <f t="shared" si="276"/>
        <v>5.2488367346938763E-2</v>
      </c>
      <c r="EY95" s="528">
        <f t="shared" si="277"/>
        <v>0.97312311820048503</v>
      </c>
      <c r="EZ95" s="528">
        <f t="shared" si="278"/>
        <v>1.091560612447263</v>
      </c>
      <c r="FA95" s="528">
        <f t="shared" si="279"/>
        <v>1.2299999999999997E-2</v>
      </c>
      <c r="FB95" s="460">
        <f t="shared" si="310"/>
        <v>1103.8606124472631</v>
      </c>
      <c r="FC95" s="173">
        <f t="shared" si="311"/>
        <v>2.4618974132826668</v>
      </c>
      <c r="FD95" s="5">
        <f t="shared" si="312"/>
        <v>14.76</v>
      </c>
      <c r="FE95" s="173">
        <f t="shared" si="313"/>
        <v>0.85704842188968755</v>
      </c>
      <c r="FF95" s="5">
        <f t="shared" si="314"/>
        <v>85.704842188968755</v>
      </c>
      <c r="FI95" s="562">
        <f t="shared" si="280"/>
        <v>-50</v>
      </c>
      <c r="FJ95">
        <f t="shared" si="281"/>
        <v>-50</v>
      </c>
      <c r="FL95">
        <f t="shared" si="282"/>
        <v>0.58823529411764708</v>
      </c>
    </row>
    <row r="96" spans="5:168">
      <c r="E96" s="170">
        <v>91</v>
      </c>
      <c r="F96" s="217">
        <f t="shared" si="283"/>
        <v>0.91</v>
      </c>
      <c r="G96" s="217"/>
      <c r="H96" s="217">
        <f t="shared" si="183"/>
        <v>14.923999999999999</v>
      </c>
      <c r="I96" s="541">
        <f t="shared" si="184"/>
        <v>23.920814783640267</v>
      </c>
      <c r="J96" s="172">
        <f t="shared" si="185"/>
        <v>16.847511129815839</v>
      </c>
      <c r="K96" s="172">
        <f t="shared" si="186"/>
        <v>40.847511129815842</v>
      </c>
      <c r="L96" s="443"/>
      <c r="M96" s="217">
        <f t="shared" si="187"/>
        <v>0.41323416272280566</v>
      </c>
      <c r="N96" s="172">
        <f t="shared" si="188"/>
        <v>33.246206498612601</v>
      </c>
      <c r="O96" s="172">
        <f t="shared" si="284"/>
        <v>14.923999999999999</v>
      </c>
      <c r="P96" s="217">
        <f t="shared" si="189"/>
        <v>2.027207713330037</v>
      </c>
      <c r="Q96" s="217">
        <f t="shared" si="190"/>
        <v>16.399999999999999</v>
      </c>
      <c r="R96" s="217">
        <f t="shared" si="191"/>
        <v>2.0091255830822963</v>
      </c>
      <c r="S96" s="172">
        <f t="shared" si="192"/>
        <v>63.850140425898196</v>
      </c>
      <c r="T96" s="217">
        <f t="shared" si="193"/>
        <v>16.399999999999999</v>
      </c>
      <c r="U96" s="217">
        <f t="shared" si="194"/>
        <v>3.1017484051993525</v>
      </c>
      <c r="V96" s="217">
        <f t="shared" si="195"/>
        <v>1.5560080707555206</v>
      </c>
      <c r="W96" s="217">
        <f t="shared" si="196"/>
        <v>2.2092866166160587</v>
      </c>
      <c r="X96" s="197">
        <f t="shared" si="197"/>
        <v>350</v>
      </c>
      <c r="Y96" s="443">
        <f t="shared" si="198"/>
        <v>252.18806642157949</v>
      </c>
      <c r="AA96" s="217">
        <f t="shared" si="199"/>
        <v>2.3536373740659133</v>
      </c>
      <c r="AB96" s="173">
        <f t="shared" si="200"/>
        <v>1.6764285401661991</v>
      </c>
      <c r="AC96" s="173">
        <f t="shared" si="201"/>
        <v>0.69049835174003693</v>
      </c>
      <c r="AD96" s="173"/>
      <c r="AE96" s="173">
        <f t="shared" si="202"/>
        <v>0.94969517317510743</v>
      </c>
      <c r="AF96" s="545">
        <f t="shared" si="203"/>
        <v>1437.3032932624135</v>
      </c>
      <c r="AG96" s="528">
        <f t="shared" si="204"/>
        <v>0.2215955404075251</v>
      </c>
      <c r="AI96" s="173">
        <f t="shared" si="205"/>
        <v>2.7019600582269034</v>
      </c>
      <c r="AJ96" s="173">
        <f t="shared" si="206"/>
        <v>3.1017484051993525</v>
      </c>
      <c r="AK96" s="173">
        <f t="shared" si="207"/>
        <v>2.5099370902711251</v>
      </c>
      <c r="AM96" s="545">
        <f t="shared" si="208"/>
        <v>910</v>
      </c>
      <c r="AN96" s="460">
        <f t="shared" si="209"/>
        <v>252.18806642157949</v>
      </c>
      <c r="AP96">
        <f t="shared" si="210"/>
        <v>910</v>
      </c>
      <c r="AQ96">
        <f t="shared" si="211"/>
        <v>252.18806642157949</v>
      </c>
      <c r="AS96" s="5">
        <f t="shared" si="285"/>
        <v>3.9652946873715793</v>
      </c>
      <c r="AT96" s="5">
        <f t="shared" si="212"/>
        <v>1.5560080707555206</v>
      </c>
      <c r="AU96" s="5">
        <f t="shared" si="286"/>
        <v>2.4092866166160585</v>
      </c>
      <c r="AV96" s="5">
        <f t="shared" si="213"/>
        <v>2.2092866166160587</v>
      </c>
      <c r="AW96" s="173">
        <f t="shared" si="287"/>
        <v>0.39240666670020696</v>
      </c>
      <c r="AX96" s="173">
        <f t="shared" si="214"/>
        <v>14.557571017049376</v>
      </c>
      <c r="AY96" s="173">
        <f t="shared" si="215"/>
        <v>0.94230082628619583</v>
      </c>
      <c r="AZ96" s="173">
        <f t="shared" si="288"/>
        <v>15.448963442411275</v>
      </c>
      <c r="BA96" s="460">
        <f t="shared" si="216"/>
        <v>8.6339472218751467</v>
      </c>
      <c r="BB96" s="5">
        <f t="shared" si="217"/>
        <v>1.252611787112178</v>
      </c>
      <c r="BC96" s="5"/>
      <c r="BD96" s="173">
        <f t="shared" si="289"/>
        <v>1.1217966242972692</v>
      </c>
      <c r="BE96" s="173">
        <f t="shared" si="218"/>
        <v>1.3958939991157973</v>
      </c>
      <c r="BF96" s="173"/>
      <c r="BG96" s="528">
        <f t="shared" si="219"/>
        <v>2.5168553325694974E-2</v>
      </c>
      <c r="BH96" s="528">
        <f t="shared" si="220"/>
        <v>0.59909814004541939</v>
      </c>
      <c r="BI96" s="528">
        <f t="shared" si="221"/>
        <v>0.15081360068787431</v>
      </c>
      <c r="BJ96" s="528">
        <f t="shared" si="222"/>
        <v>4.2078062213490065E-2</v>
      </c>
      <c r="BK96">
        <f t="shared" si="223"/>
        <v>1.076436665263812E-2</v>
      </c>
      <c r="BL96" s="460">
        <f t="shared" si="290"/>
        <v>161.5779673405124</v>
      </c>
      <c r="BM96" s="528">
        <f t="shared" si="224"/>
        <v>0.67718989323215195</v>
      </c>
      <c r="BN96" s="460">
        <f t="shared" si="291"/>
        <v>677.18989323215192</v>
      </c>
      <c r="BO96" s="528">
        <f t="shared" si="225"/>
        <v>0.56533749999999994</v>
      </c>
      <c r="BP96" s="528"/>
      <c r="BR96" s="460">
        <f t="shared" si="292"/>
        <v>565.33749999999998</v>
      </c>
      <c r="BS96" s="528">
        <f t="shared" si="226"/>
        <v>3.7752829988542458E-2</v>
      </c>
      <c r="BT96" s="528">
        <f t="shared" si="227"/>
        <v>5.8455601703024801E-2</v>
      </c>
      <c r="BU96" s="528">
        <f t="shared" si="228"/>
        <v>0.22385999999999998</v>
      </c>
      <c r="BV96" s="528">
        <f t="shared" si="229"/>
        <v>0.34582012021057129</v>
      </c>
      <c r="BW96" s="528">
        <f t="shared" si="230"/>
        <v>1.213130918087448E-2</v>
      </c>
      <c r="BX96" s="460">
        <f t="shared" si="293"/>
        <v>357.95142939144574</v>
      </c>
      <c r="BY96" s="173">
        <f t="shared" si="231"/>
        <v>1.76205678996411</v>
      </c>
      <c r="BZ96" s="5">
        <f t="shared" si="294"/>
        <v>14.923999999999999</v>
      </c>
      <c r="CA96" s="173">
        <f t="shared" si="295"/>
        <v>0.89439944906432867</v>
      </c>
      <c r="CB96" s="5">
        <f t="shared" si="296"/>
        <v>89.439944906432871</v>
      </c>
      <c r="CE96" s="562">
        <f t="shared" si="232"/>
        <v>-50</v>
      </c>
      <c r="CF96">
        <f t="shared" si="233"/>
        <v>-50</v>
      </c>
      <c r="CG96" s="173">
        <f t="shared" si="234"/>
        <v>0.57460220596350242</v>
      </c>
      <c r="CI96" s="170">
        <v>91</v>
      </c>
      <c r="CJ96" s="217">
        <f t="shared" si="297"/>
        <v>0.91</v>
      </c>
      <c r="CK96" s="217"/>
      <c r="CL96" s="217">
        <f t="shared" si="235"/>
        <v>14.923999999999999</v>
      </c>
      <c r="CM96" s="541">
        <f t="shared" si="236"/>
        <v>24</v>
      </c>
      <c r="CN96" s="172">
        <f t="shared" si="237"/>
        <v>16.799999999999997</v>
      </c>
      <c r="CO96" s="443">
        <f t="shared" si="238"/>
        <v>40.799999999999997</v>
      </c>
      <c r="CP96" s="443"/>
      <c r="CQ96" s="217">
        <f t="shared" si="239"/>
        <v>0.41176470588235292</v>
      </c>
      <c r="CR96" s="172">
        <f t="shared" si="240"/>
        <v>33.237647058823534</v>
      </c>
      <c r="CS96" s="172">
        <f t="shared" si="298"/>
        <v>14.923999999999999</v>
      </c>
      <c r="CT96" s="217">
        <f t="shared" si="241"/>
        <v>2.026685796269728</v>
      </c>
      <c r="CU96" s="217">
        <f t="shared" si="242"/>
        <v>16.399999999999999</v>
      </c>
      <c r="CV96" s="217">
        <f t="shared" si="243"/>
        <v>2.0086083213773311</v>
      </c>
      <c r="CW96" s="172">
        <f t="shared" si="244"/>
        <v>64.061015135462014</v>
      </c>
      <c r="CX96" s="217">
        <f t="shared" si="245"/>
        <v>16.399999999999999</v>
      </c>
      <c r="CY96" s="217">
        <f t="shared" si="246"/>
        <v>3.0203333333333333</v>
      </c>
      <c r="CZ96" s="217">
        <f t="shared" si="247"/>
        <v>1.5101666666666667</v>
      </c>
      <c r="DA96" s="217">
        <f t="shared" si="248"/>
        <v>2.1573809523809531</v>
      </c>
      <c r="DB96" s="197">
        <f t="shared" si="249"/>
        <v>350</v>
      </c>
      <c r="DC96" s="443">
        <f t="shared" si="299"/>
        <v>272.66176308289562</v>
      </c>
      <c r="DE96" s="217">
        <f t="shared" si="250"/>
        <v>2.3529411764705879</v>
      </c>
      <c r="DF96" s="173">
        <f t="shared" si="251"/>
        <v>1.6806722689075633</v>
      </c>
      <c r="DG96" s="173">
        <f t="shared" si="252"/>
        <v>0.69204152249134954</v>
      </c>
      <c r="DH96" s="173"/>
      <c r="DI96" s="173">
        <f t="shared" si="253"/>
        <v>0.95238095238095266</v>
      </c>
      <c r="DJ96" s="545">
        <f t="shared" si="300"/>
        <v>1433.2499999999995</v>
      </c>
      <c r="DK96" s="528">
        <f t="shared" si="254"/>
        <v>0.22222222222222232</v>
      </c>
      <c r="DM96" s="173">
        <f t="shared" si="255"/>
        <v>2.6981475126464081</v>
      </c>
      <c r="DN96" s="173">
        <f t="shared" si="256"/>
        <v>3.0203333333333333</v>
      </c>
      <c r="DO96" s="173">
        <f t="shared" si="257"/>
        <v>2.4496296296296292</v>
      </c>
      <c r="DQ96" s="545">
        <f t="shared" si="258"/>
        <v>910</v>
      </c>
      <c r="DR96" s="460">
        <f t="shared" si="259"/>
        <v>272.66176308289562</v>
      </c>
      <c r="DT96">
        <f t="shared" si="260"/>
        <v>910</v>
      </c>
      <c r="DU96">
        <f t="shared" si="261"/>
        <v>272.66176308289562</v>
      </c>
      <c r="DW96" s="5">
        <f t="shared" si="301"/>
        <v>3.6675476190476197</v>
      </c>
      <c r="DX96" s="5">
        <f t="shared" si="262"/>
        <v>1.5101666666666667</v>
      </c>
      <c r="DY96" s="5">
        <f t="shared" si="302"/>
        <v>2.1573809523809531</v>
      </c>
      <c r="DZ96" s="5">
        <f t="shared" si="263"/>
        <v>2.1573809523809531</v>
      </c>
      <c r="EA96" s="173">
        <f t="shared" si="303"/>
        <v>0.41176470588235287</v>
      </c>
      <c r="EB96" s="173">
        <f t="shared" si="264"/>
        <v>14.923999999999998</v>
      </c>
      <c r="EC96" s="173">
        <f t="shared" si="265"/>
        <v>0.88833333333333353</v>
      </c>
      <c r="ED96" s="173">
        <f t="shared" si="304"/>
        <v>16.799999999999994</v>
      </c>
      <c r="EE96" s="460">
        <f t="shared" si="266"/>
        <v>8.3795833333333345</v>
      </c>
      <c r="EF96" s="5">
        <f t="shared" si="267"/>
        <v>1.1179428240740743</v>
      </c>
      <c r="EG96" s="5"/>
      <c r="EH96" s="173">
        <f t="shared" si="305"/>
        <v>1.1189709392843779</v>
      </c>
      <c r="EI96" s="173">
        <f t="shared" si="268"/>
        <v>1.3374260796464674</v>
      </c>
      <c r="EJ96" s="173"/>
      <c r="EK96" s="528">
        <f t="shared" si="269"/>
        <v>2.5041919259259259E-2</v>
      </c>
      <c r="EL96" s="528">
        <f t="shared" si="270"/>
        <v>0.67199999999999982</v>
      </c>
      <c r="EM96" s="528">
        <f t="shared" si="271"/>
        <v>3.4082720385361948E-2</v>
      </c>
      <c r="EN96" s="528">
        <f t="shared" si="272"/>
        <v>4.5388367729831139E-2</v>
      </c>
      <c r="EO96">
        <f t="shared" si="273"/>
        <v>1.0800000000000001E-2</v>
      </c>
      <c r="EP96" s="460">
        <f t="shared" si="306"/>
        <v>44.882720385361949</v>
      </c>
      <c r="EQ96" s="528">
        <f t="shared" si="274"/>
        <v>0.79882731616532454</v>
      </c>
      <c r="ER96" s="460">
        <f t="shared" si="307"/>
        <v>798.82731616532453</v>
      </c>
      <c r="ES96" s="528">
        <f t="shared" si="308"/>
        <v>0.56533749999999994</v>
      </c>
      <c r="ET96" s="528"/>
      <c r="EV96" s="460">
        <f t="shared" si="309"/>
        <v>565.33749999999998</v>
      </c>
      <c r="EW96" s="528">
        <f t="shared" si="275"/>
        <v>3.7562878888888887E-2</v>
      </c>
      <c r="EX96" s="528">
        <f t="shared" si="276"/>
        <v>5.3661255555555565E-2</v>
      </c>
      <c r="EY96" s="528">
        <f t="shared" si="277"/>
        <v>0.97312311820048614</v>
      </c>
      <c r="EZ96" s="528">
        <f t="shared" si="278"/>
        <v>1.0942266351256287</v>
      </c>
      <c r="FA96" s="528">
        <f t="shared" si="279"/>
        <v>1.2436666666666664E-2</v>
      </c>
      <c r="FB96" s="460">
        <f t="shared" si="310"/>
        <v>1106.6633017922954</v>
      </c>
      <c r="FC96" s="173">
        <f t="shared" si="311"/>
        <v>2.4708281179576197</v>
      </c>
      <c r="FD96" s="5">
        <f t="shared" si="312"/>
        <v>14.923999999999999</v>
      </c>
      <c r="FE96" s="173">
        <f t="shared" si="313"/>
        <v>0.85795616368253447</v>
      </c>
      <c r="FF96" s="5">
        <f t="shared" si="314"/>
        <v>85.795616368253448</v>
      </c>
      <c r="FI96" s="562">
        <f t="shared" si="280"/>
        <v>-50</v>
      </c>
      <c r="FJ96">
        <f t="shared" si="281"/>
        <v>-50</v>
      </c>
      <c r="FL96">
        <f t="shared" si="282"/>
        <v>0.58823529411764719</v>
      </c>
    </row>
    <row r="97" spans="5:168" ht="13">
      <c r="E97" s="170">
        <v>92</v>
      </c>
      <c r="F97" s="217">
        <f t="shared" si="283"/>
        <v>0.92</v>
      </c>
      <c r="G97" s="217"/>
      <c r="H97" s="217">
        <f t="shared" si="183"/>
        <v>15.087999999999999</v>
      </c>
      <c r="I97" s="541">
        <f t="shared" si="184"/>
        <v>23.919965256807227</v>
      </c>
      <c r="J97" s="172">
        <f t="shared" si="185"/>
        <v>16.848020845915659</v>
      </c>
      <c r="K97" s="172">
        <f t="shared" si="186"/>
        <v>40.848020845915656</v>
      </c>
      <c r="L97" s="443"/>
      <c r="M97" s="217">
        <f t="shared" si="187"/>
        <v>0.41325011449548771</v>
      </c>
      <c r="N97" s="172">
        <f t="shared" si="188"/>
        <v>33.246309121778694</v>
      </c>
      <c r="O97" s="172">
        <f t="shared" si="284"/>
        <v>15.087999999999999</v>
      </c>
      <c r="P97" s="217">
        <f t="shared" si="189"/>
        <v>2.0272139708401644</v>
      </c>
      <c r="Q97" s="217">
        <f t="shared" si="190"/>
        <v>16.399999999999999</v>
      </c>
      <c r="R97" s="217">
        <f t="shared" si="191"/>
        <v>2.0091317847771704</v>
      </c>
      <c r="S97" s="172">
        <f t="shared" si="192"/>
        <v>62.897733958962057</v>
      </c>
      <c r="T97" s="532">
        <f t="shared" si="193"/>
        <v>16.399999999999999</v>
      </c>
      <c r="U97" s="217">
        <f t="shared" si="194"/>
        <v>3.13591880536609</v>
      </c>
      <c r="V97" s="217">
        <f t="shared" si="195"/>
        <v>1.5732056991045968</v>
      </c>
      <c r="W97" s="217">
        <f t="shared" si="196"/>
        <v>2.2335576391167447</v>
      </c>
      <c r="X97" s="197">
        <f t="shared" si="197"/>
        <v>350</v>
      </c>
      <c r="Y97" s="443">
        <f t="shared" si="198"/>
        <v>249.5780048850886</v>
      </c>
      <c r="AA97" s="217">
        <f t="shared" si="199"/>
        <v>2.3536446107306519</v>
      </c>
      <c r="AB97" s="173">
        <f t="shared" si="200"/>
        <v>1.6763829762007176</v>
      </c>
      <c r="AC97" s="173">
        <f t="shared" si="201"/>
        <v>0.69048170755470017</v>
      </c>
      <c r="AD97" s="173"/>
      <c r="AE97" s="173">
        <f t="shared" si="202"/>
        <v>0.9496664413184629</v>
      </c>
      <c r="AF97" s="545">
        <f t="shared" si="203"/>
        <v>1453.1417979602249</v>
      </c>
      <c r="AG97" s="528">
        <f t="shared" si="204"/>
        <v>0.22158883630764137</v>
      </c>
      <c r="AI97" s="173">
        <f t="shared" si="205"/>
        <v>2.71680652677458</v>
      </c>
      <c r="AJ97" s="173">
        <f t="shared" si="206"/>
        <v>3.13591880536609</v>
      </c>
      <c r="AK97" s="173">
        <f t="shared" si="207"/>
        <v>2.5352484978020415</v>
      </c>
      <c r="AM97" s="545">
        <f t="shared" si="208"/>
        <v>920</v>
      </c>
      <c r="AN97" s="460">
        <f t="shared" si="209"/>
        <v>249.5780048850886</v>
      </c>
      <c r="AP97">
        <f t="shared" si="210"/>
        <v>920</v>
      </c>
      <c r="AQ97">
        <f t="shared" si="211"/>
        <v>249.5780048850886</v>
      </c>
      <c r="AS97" s="5">
        <f t="shared" si="285"/>
        <v>4.0067633382213419</v>
      </c>
      <c r="AT97" s="5">
        <f t="shared" si="212"/>
        <v>1.5732056991045968</v>
      </c>
      <c r="AU97" s="5">
        <f t="shared" si="286"/>
        <v>2.4335576391167448</v>
      </c>
      <c r="AV97" s="5">
        <f t="shared" si="213"/>
        <v>2.2335576391167447</v>
      </c>
      <c r="AW97" s="173">
        <f t="shared" si="287"/>
        <v>0.39263753965637632</v>
      </c>
      <c r="AX97" s="173">
        <f t="shared" si="214"/>
        <v>14.726080764551664</v>
      </c>
      <c r="AY97" s="173">
        <f t="shared" si="215"/>
        <v>0.95231968053249272</v>
      </c>
      <c r="AZ97" s="173">
        <f t="shared" si="288"/>
        <v>15.463379646126317</v>
      </c>
      <c r="BA97" s="460">
        <f t="shared" si="216"/>
        <v>8.8253002632696926</v>
      </c>
      <c r="BB97" s="5">
        <f t="shared" si="217"/>
        <v>1.2791795913577619</v>
      </c>
      <c r="BC97" s="5"/>
      <c r="BD97" s="173">
        <f t="shared" si="289"/>
        <v>1.134488484449349</v>
      </c>
      <c r="BE97" s="173">
        <f t="shared" si="218"/>
        <v>1.4110037077442594</v>
      </c>
      <c r="BF97" s="173"/>
      <c r="BG97" s="528">
        <f t="shared" si="219"/>
        <v>2.5741282426963618E-2</v>
      </c>
      <c r="BH97" s="528">
        <f t="shared" si="220"/>
        <v>0.59943681121036374</v>
      </c>
      <c r="BI97" s="528">
        <f t="shared" si="221"/>
        <v>0.1492474301428646</v>
      </c>
      <c r="BJ97" s="528">
        <f t="shared" si="222"/>
        <v>4.1643607724759141E-2</v>
      </c>
      <c r="BK97">
        <f t="shared" si="223"/>
        <v>1.0763984365563252E-2</v>
      </c>
      <c r="BL97" s="460">
        <f t="shared" si="290"/>
        <v>160.01141450842783</v>
      </c>
      <c r="BM97" s="528">
        <f t="shared" si="224"/>
        <v>0.67791808185721258</v>
      </c>
      <c r="BN97" s="460">
        <f t="shared" si="291"/>
        <v>677.91808185721254</v>
      </c>
      <c r="BO97" s="528">
        <f t="shared" si="225"/>
        <v>0.57155</v>
      </c>
      <c r="BP97" s="528"/>
      <c r="BR97" s="460">
        <f t="shared" si="292"/>
        <v>571.54999999999995</v>
      </c>
      <c r="BS97" s="528">
        <f t="shared" si="226"/>
        <v>3.8611923640445425E-2</v>
      </c>
      <c r="BT97" s="528">
        <f t="shared" si="227"/>
        <v>5.9727943898041425E-2</v>
      </c>
      <c r="BU97" s="528">
        <f t="shared" si="228"/>
        <v>0.22631999999999997</v>
      </c>
      <c r="BV97" s="528">
        <f t="shared" si="229"/>
        <v>0.35102300017493693</v>
      </c>
      <c r="BW97" s="528">
        <f t="shared" si="230"/>
        <v>1.2271733970459719E-2</v>
      </c>
      <c r="BX97" s="460">
        <f t="shared" si="293"/>
        <v>363.29473414539666</v>
      </c>
      <c r="BY97" s="173">
        <f t="shared" si="231"/>
        <v>1.772774230511037</v>
      </c>
      <c r="BZ97" s="5">
        <f t="shared" si="294"/>
        <v>15.087999999999999</v>
      </c>
      <c r="CA97" s="173">
        <f t="shared" si="295"/>
        <v>0.89485807672443363</v>
      </c>
      <c r="CB97" s="5">
        <f t="shared" si="296"/>
        <v>89.485807672443357</v>
      </c>
      <c r="CE97" s="562">
        <f t="shared" si="232"/>
        <v>-50</v>
      </c>
      <c r="CF97">
        <f t="shared" si="233"/>
        <v>-50</v>
      </c>
      <c r="CG97" s="173">
        <f t="shared" si="234"/>
        <v>0.57475039170430831</v>
      </c>
      <c r="CI97" s="170">
        <v>92</v>
      </c>
      <c r="CJ97" s="217">
        <f t="shared" si="297"/>
        <v>0.92</v>
      </c>
      <c r="CK97" s="217"/>
      <c r="CL97" s="217">
        <f t="shared" si="235"/>
        <v>15.087999999999999</v>
      </c>
      <c r="CM97" s="541">
        <f t="shared" si="236"/>
        <v>24</v>
      </c>
      <c r="CN97" s="172">
        <f t="shared" si="237"/>
        <v>16.799999999999997</v>
      </c>
      <c r="CO97" s="443">
        <f t="shared" si="238"/>
        <v>40.799999999999997</v>
      </c>
      <c r="CP97" s="443"/>
      <c r="CQ97" s="217">
        <f t="shared" si="239"/>
        <v>0.41176470588235292</v>
      </c>
      <c r="CR97" s="172">
        <f t="shared" si="240"/>
        <v>33.237647058823534</v>
      </c>
      <c r="CS97" s="172">
        <f t="shared" si="298"/>
        <v>15.087999999999999</v>
      </c>
      <c r="CT97" s="217">
        <f t="shared" si="241"/>
        <v>2.026685796269728</v>
      </c>
      <c r="CU97" s="217">
        <f t="shared" si="242"/>
        <v>16.399999999999999</v>
      </c>
      <c r="CV97" s="217">
        <f t="shared" si="243"/>
        <v>2.0086083213773311</v>
      </c>
      <c r="CW97" s="172">
        <f t="shared" si="244"/>
        <v>63.107684548297236</v>
      </c>
      <c r="CX97" s="532">
        <f t="shared" si="245"/>
        <v>16.399999999999999</v>
      </c>
      <c r="CY97" s="217">
        <f t="shared" si="246"/>
        <v>3.0535238095238091</v>
      </c>
      <c r="CZ97" s="217">
        <f t="shared" si="247"/>
        <v>1.5267619047619048</v>
      </c>
      <c r="DA97" s="217">
        <f t="shared" si="248"/>
        <v>2.18108843537415</v>
      </c>
      <c r="DB97" s="197">
        <f t="shared" si="249"/>
        <v>350</v>
      </c>
      <c r="DC97" s="443">
        <f t="shared" si="299"/>
        <v>269.69804826677716</v>
      </c>
      <c r="DE97" s="217">
        <f t="shared" si="250"/>
        <v>2.3529411764705879</v>
      </c>
      <c r="DF97" s="173">
        <f t="shared" si="251"/>
        <v>1.6806722689075633</v>
      </c>
      <c r="DG97" s="173">
        <f t="shared" si="252"/>
        <v>0.69204152249134954</v>
      </c>
      <c r="DH97" s="173"/>
      <c r="DI97" s="173">
        <f t="shared" si="253"/>
        <v>0.95238095238095266</v>
      </c>
      <c r="DJ97" s="545">
        <f t="shared" si="300"/>
        <v>1448.9999999999995</v>
      </c>
      <c r="DK97" s="528">
        <f t="shared" si="254"/>
        <v>0.22222222222222232</v>
      </c>
      <c r="DM97" s="173">
        <f t="shared" si="255"/>
        <v>2.7129319932501068</v>
      </c>
      <c r="DN97" s="173">
        <f t="shared" si="256"/>
        <v>3.0535238095238091</v>
      </c>
      <c r="DO97" s="173">
        <f t="shared" si="257"/>
        <v>2.4742151675485005</v>
      </c>
      <c r="DQ97" s="545">
        <f t="shared" si="258"/>
        <v>920</v>
      </c>
      <c r="DR97" s="460">
        <f t="shared" si="259"/>
        <v>269.69804826677716</v>
      </c>
      <c r="DT97">
        <f t="shared" si="260"/>
        <v>920</v>
      </c>
      <c r="DU97">
        <f t="shared" si="261"/>
        <v>269.69804826677716</v>
      </c>
      <c r="DW97" s="5">
        <f t="shared" si="301"/>
        <v>3.7078503401360554</v>
      </c>
      <c r="DX97" s="5">
        <f t="shared" si="262"/>
        <v>1.5267619047619048</v>
      </c>
      <c r="DY97" s="5">
        <f t="shared" si="302"/>
        <v>2.1810884353741509</v>
      </c>
      <c r="DZ97" s="5">
        <f t="shared" si="263"/>
        <v>2.18108843537415</v>
      </c>
      <c r="EA97" s="173">
        <f t="shared" si="303"/>
        <v>0.41176470588235281</v>
      </c>
      <c r="EB97" s="173">
        <f t="shared" si="264"/>
        <v>15.087999999999992</v>
      </c>
      <c r="EC97" s="173">
        <f t="shared" si="265"/>
        <v>0.89809523809523817</v>
      </c>
      <c r="ED97" s="173">
        <f t="shared" si="304"/>
        <v>16.79999999999999</v>
      </c>
      <c r="EE97" s="460">
        <f t="shared" si="266"/>
        <v>8.564761904761907</v>
      </c>
      <c r="EF97" s="5">
        <f t="shared" si="267"/>
        <v>1.1426479969765686</v>
      </c>
      <c r="EG97" s="5"/>
      <c r="EH97" s="173">
        <f t="shared" si="305"/>
        <v>1.1312673232325576</v>
      </c>
      <c r="EI97" s="173">
        <f t="shared" si="268"/>
        <v>1.352123069532692</v>
      </c>
      <c r="EJ97" s="173"/>
      <c r="EK97" s="528">
        <f t="shared" si="269"/>
        <v>2.5595315132275122E-2</v>
      </c>
      <c r="EL97" s="528">
        <f t="shared" si="270"/>
        <v>0.67199999999999971</v>
      </c>
      <c r="EM97" s="528">
        <f t="shared" si="271"/>
        <v>3.371225603334714E-2</v>
      </c>
      <c r="EN97" s="528">
        <f t="shared" si="272"/>
        <v>4.4895015906680796E-2</v>
      </c>
      <c r="EO97">
        <f t="shared" si="273"/>
        <v>1.0800000000000001E-2</v>
      </c>
      <c r="EP97" s="460">
        <f t="shared" si="306"/>
        <v>44.512256033347143</v>
      </c>
      <c r="EQ97" s="528">
        <f t="shared" si="274"/>
        <v>0.79877100559417058</v>
      </c>
      <c r="ER97" s="460">
        <f t="shared" si="307"/>
        <v>798.77100559417056</v>
      </c>
      <c r="ES97" s="528">
        <f t="shared" si="308"/>
        <v>0.57155</v>
      </c>
      <c r="ET97" s="528"/>
      <c r="EV97" s="460">
        <f t="shared" si="309"/>
        <v>571.54999999999995</v>
      </c>
      <c r="EW97" s="528">
        <f t="shared" si="275"/>
        <v>3.8392972698412679E-2</v>
      </c>
      <c r="EX97" s="528">
        <f t="shared" si="276"/>
        <v>5.4847103854875269E-2</v>
      </c>
      <c r="EY97" s="528">
        <f t="shared" si="277"/>
        <v>0.97312311820048447</v>
      </c>
      <c r="EZ97" s="528">
        <f t="shared" si="278"/>
        <v>1.0969229877949664</v>
      </c>
      <c r="FA97" s="528">
        <f t="shared" si="279"/>
        <v>1.2573333333333327E-2</v>
      </c>
      <c r="FB97" s="460">
        <f t="shared" si="310"/>
        <v>1109.4963211282998</v>
      </c>
      <c r="FC97" s="173">
        <f t="shared" si="311"/>
        <v>2.4798173267224706</v>
      </c>
      <c r="FD97" s="5">
        <f t="shared" si="312"/>
        <v>15.087999999999999</v>
      </c>
      <c r="FE97" s="173">
        <f t="shared" si="313"/>
        <v>0.8588431743907986</v>
      </c>
      <c r="FF97" s="5">
        <f t="shared" si="314"/>
        <v>85.884317439079865</v>
      </c>
      <c r="FI97" s="562">
        <f t="shared" si="280"/>
        <v>-50</v>
      </c>
      <c r="FJ97">
        <f t="shared" si="281"/>
        <v>-50</v>
      </c>
      <c r="FL97">
        <f t="shared" si="282"/>
        <v>0.58823529411764719</v>
      </c>
    </row>
    <row r="98" spans="5:168" ht="13">
      <c r="E98" s="170">
        <v>93</v>
      </c>
      <c r="F98" s="217">
        <f t="shared" si="283"/>
        <v>0.93</v>
      </c>
      <c r="G98" s="217"/>
      <c r="H98" s="217">
        <f t="shared" si="183"/>
        <v>15.251999999999999</v>
      </c>
      <c r="I98" s="541">
        <f t="shared" si="184"/>
        <v>23.919115719562438</v>
      </c>
      <c r="J98" s="172">
        <f t="shared" si="185"/>
        <v>16.848530568262536</v>
      </c>
      <c r="K98" s="172">
        <f t="shared" si="186"/>
        <v>40.848530568262532</v>
      </c>
      <c r="L98" s="443"/>
      <c r="M98" s="217">
        <f t="shared" si="187"/>
        <v>0.4132660666394285</v>
      </c>
      <c r="N98" s="172">
        <f t="shared" si="188"/>
        <v>33.246411669183814</v>
      </c>
      <c r="O98" s="172">
        <f t="shared" si="284"/>
        <v>15.251999999999999</v>
      </c>
      <c r="P98" s="217">
        <f t="shared" si="189"/>
        <v>2.0272202237307204</v>
      </c>
      <c r="Q98" s="217">
        <f t="shared" si="190"/>
        <v>16.399999999999999</v>
      </c>
      <c r="R98" s="217">
        <f t="shared" si="191"/>
        <v>2.0091379818936774</v>
      </c>
      <c r="S98" s="172">
        <f t="shared" si="192"/>
        <v>61.965893358251321</v>
      </c>
      <c r="T98" s="532">
        <f t="shared" si="193"/>
        <v>16.399999999999999</v>
      </c>
      <c r="U98" s="217">
        <f t="shared" si="194"/>
        <v>3.1700910655476875</v>
      </c>
      <c r="V98" s="217">
        <f t="shared" si="195"/>
        <v>1.5904054829025325</v>
      </c>
      <c r="W98" s="217">
        <f t="shared" si="196"/>
        <v>2.2578285170001715</v>
      </c>
      <c r="X98" s="197">
        <f t="shared" si="197"/>
        <v>350</v>
      </c>
      <c r="Y98" s="443">
        <f t="shared" si="198"/>
        <v>247.021293735499</v>
      </c>
      <c r="AA98" s="217">
        <f t="shared" si="199"/>
        <v>2.3536518425467281</v>
      </c>
      <c r="AB98" s="173">
        <f t="shared" si="200"/>
        <v>1.6763374109172129</v>
      </c>
      <c r="AC98" s="173">
        <f t="shared" si="201"/>
        <v>0.69046506128867935</v>
      </c>
      <c r="AD98" s="173"/>
      <c r="AE98" s="173">
        <f t="shared" si="202"/>
        <v>0.94963771084815529</v>
      </c>
      <c r="AF98" s="545">
        <f t="shared" si="203"/>
        <v>1468.9812589203896</v>
      </c>
      <c r="AG98" s="528">
        <f t="shared" si="204"/>
        <v>0.22158213253123626</v>
      </c>
      <c r="AI98" s="173">
        <f t="shared" si="205"/>
        <v>2.731573193015699</v>
      </c>
      <c r="AJ98" s="173">
        <f t="shared" si="206"/>
        <v>3.1700910655476875</v>
      </c>
      <c r="AK98" s="173">
        <f t="shared" si="207"/>
        <v>2.5605612831217437</v>
      </c>
      <c r="AM98" s="545">
        <f t="shared" si="208"/>
        <v>930</v>
      </c>
      <c r="AN98" s="460">
        <f t="shared" si="209"/>
        <v>247.021293735499</v>
      </c>
      <c r="AP98">
        <f t="shared" si="210"/>
        <v>930</v>
      </c>
      <c r="AQ98">
        <f t="shared" si="211"/>
        <v>247.021293735499</v>
      </c>
      <c r="AS98" s="5">
        <f t="shared" si="285"/>
        <v>4.0482339999027044</v>
      </c>
      <c r="AT98" s="5">
        <f t="shared" si="212"/>
        <v>1.5904054829025325</v>
      </c>
      <c r="AU98" s="5">
        <f t="shared" si="286"/>
        <v>2.4578285170001717</v>
      </c>
      <c r="AV98" s="5">
        <f t="shared" si="213"/>
        <v>2.2578285170001715</v>
      </c>
      <c r="AW98" s="173">
        <f t="shared" si="287"/>
        <v>0.3928640199506146</v>
      </c>
      <c r="AX98" s="173">
        <f t="shared" si="214"/>
        <v>14.894609398725672</v>
      </c>
      <c r="AY98" s="173">
        <f t="shared" si="215"/>
        <v>0.96233817296354784</v>
      </c>
      <c r="AZ98" s="173">
        <f t="shared" si="288"/>
        <v>15.477521122182338</v>
      </c>
      <c r="BA98" s="460">
        <f t="shared" si="216"/>
        <v>9.018762799386316</v>
      </c>
      <c r="BB98" s="5">
        <f t="shared" si="217"/>
        <v>1.3060265612379269</v>
      </c>
      <c r="BC98" s="5"/>
      <c r="BD98" s="173">
        <f t="shared" si="289"/>
        <v>1.1471817751299365</v>
      </c>
      <c r="BE98" s="173">
        <f t="shared" si="218"/>
        <v>1.4261135167877832</v>
      </c>
      <c r="BF98" s="173"/>
      <c r="BG98" s="528">
        <f t="shared" si="219"/>
        <v>2.6320520503805442E-2</v>
      </c>
      <c r="BH98" s="528">
        <f t="shared" si="220"/>
        <v>0.59976875934502971</v>
      </c>
      <c r="BI98" s="528">
        <f t="shared" si="221"/>
        <v>0.1477132727513856</v>
      </c>
      <c r="BJ98" s="528">
        <f t="shared" si="222"/>
        <v>4.1218033582702526E-2</v>
      </c>
      <c r="BK98">
        <f t="shared" si="223"/>
        <v>1.0763602073803096E-2</v>
      </c>
      <c r="BL98" s="460">
        <f t="shared" si="290"/>
        <v>158.47687482518867</v>
      </c>
      <c r="BM98" s="528">
        <f t="shared" si="224"/>
        <v>0.67865801538039783</v>
      </c>
      <c r="BN98" s="460">
        <f t="shared" si="291"/>
        <v>678.65801538039784</v>
      </c>
      <c r="BO98" s="528">
        <f t="shared" si="225"/>
        <v>0.57776249999999996</v>
      </c>
      <c r="BP98" s="528"/>
      <c r="BR98" s="460">
        <f t="shared" si="292"/>
        <v>577.76249999999993</v>
      </c>
      <c r="BS98" s="528">
        <f t="shared" si="226"/>
        <v>3.9480780755708156E-2</v>
      </c>
      <c r="BT98" s="528">
        <f t="shared" si="227"/>
        <v>6.1013992882944568E-2</v>
      </c>
      <c r="BU98" s="528">
        <f t="shared" si="228"/>
        <v>0.22877999999999998</v>
      </c>
      <c r="BV98" s="528">
        <f t="shared" si="229"/>
        <v>0.3562576821216773</v>
      </c>
      <c r="BW98" s="528">
        <f t="shared" si="230"/>
        <v>1.2412174498938061E-2</v>
      </c>
      <c r="BX98" s="460">
        <f t="shared" si="293"/>
        <v>368.66985662061535</v>
      </c>
      <c r="BY98" s="173">
        <f t="shared" si="231"/>
        <v>1.7835672468262018</v>
      </c>
      <c r="BZ98" s="5">
        <f t="shared" si="294"/>
        <v>15.251999999999999</v>
      </c>
      <c r="CA98" s="173">
        <f t="shared" si="295"/>
        <v>0.89530332503847276</v>
      </c>
      <c r="CB98" s="5">
        <f t="shared" si="296"/>
        <v>89.530332503847276</v>
      </c>
      <c r="CE98" s="562">
        <f t="shared" si="232"/>
        <v>-50</v>
      </c>
      <c r="CF98">
        <f t="shared" si="233"/>
        <v>-50</v>
      </c>
      <c r="CG98" s="173">
        <f t="shared" si="234"/>
        <v>0.5748953906549894</v>
      </c>
      <c r="CI98" s="170">
        <v>93</v>
      </c>
      <c r="CJ98" s="217">
        <f t="shared" si="297"/>
        <v>0.93</v>
      </c>
      <c r="CK98" s="217"/>
      <c r="CL98" s="217">
        <f t="shared" si="235"/>
        <v>15.251999999999999</v>
      </c>
      <c r="CM98" s="541">
        <f t="shared" si="236"/>
        <v>24</v>
      </c>
      <c r="CN98" s="172">
        <f t="shared" si="237"/>
        <v>16.799999999999997</v>
      </c>
      <c r="CO98" s="443">
        <f t="shared" si="238"/>
        <v>40.799999999999997</v>
      </c>
      <c r="CP98" s="443"/>
      <c r="CQ98" s="217">
        <f t="shared" si="239"/>
        <v>0.41176470588235292</v>
      </c>
      <c r="CR98" s="172">
        <f t="shared" si="240"/>
        <v>33.237647058823534</v>
      </c>
      <c r="CS98" s="172">
        <f t="shared" si="298"/>
        <v>15.251999999999999</v>
      </c>
      <c r="CT98" s="217">
        <f t="shared" si="241"/>
        <v>2.026685796269728</v>
      </c>
      <c r="CU98" s="217">
        <f t="shared" si="242"/>
        <v>16.399999999999999</v>
      </c>
      <c r="CV98" s="217">
        <f t="shared" si="243"/>
        <v>2.0086083213773311</v>
      </c>
      <c r="CW98" s="172">
        <f t="shared" si="244"/>
        <v>62.174921469796701</v>
      </c>
      <c r="CX98" s="532">
        <f t="shared" si="245"/>
        <v>16.399999999999999</v>
      </c>
      <c r="CY98" s="217">
        <f t="shared" si="246"/>
        <v>3.0867142857142853</v>
      </c>
      <c r="CZ98" s="217">
        <f t="shared" si="247"/>
        <v>1.5433571428571426</v>
      </c>
      <c r="DA98" s="217">
        <f t="shared" si="248"/>
        <v>2.2047959183673469</v>
      </c>
      <c r="DB98" s="197">
        <f t="shared" si="249"/>
        <v>350</v>
      </c>
      <c r="DC98" s="443">
        <f t="shared" si="299"/>
        <v>266.79806925315597</v>
      </c>
      <c r="DE98" s="217">
        <f t="shared" si="250"/>
        <v>2.3529411764705879</v>
      </c>
      <c r="DF98" s="173">
        <f t="shared" si="251"/>
        <v>1.6806722689075633</v>
      </c>
      <c r="DG98" s="173">
        <f t="shared" si="252"/>
        <v>0.69204152249134954</v>
      </c>
      <c r="DH98" s="173"/>
      <c r="DI98" s="173">
        <f t="shared" si="253"/>
        <v>0.95238095238095266</v>
      </c>
      <c r="DJ98" s="545">
        <f t="shared" si="300"/>
        <v>1464.7499999999995</v>
      </c>
      <c r="DK98" s="528">
        <f t="shared" si="254"/>
        <v>0.22222222222222232</v>
      </c>
      <c r="DM98" s="173">
        <f t="shared" si="255"/>
        <v>2.7276363393971708</v>
      </c>
      <c r="DN98" s="173">
        <f t="shared" si="256"/>
        <v>3.0867142857142853</v>
      </c>
      <c r="DO98" s="173">
        <f t="shared" si="257"/>
        <v>2.4988007054673718</v>
      </c>
      <c r="DQ98" s="545">
        <f t="shared" si="258"/>
        <v>930</v>
      </c>
      <c r="DR98" s="460">
        <f t="shared" si="259"/>
        <v>266.79806925315597</v>
      </c>
      <c r="DT98">
        <f t="shared" si="260"/>
        <v>930</v>
      </c>
      <c r="DU98">
        <f t="shared" si="261"/>
        <v>266.79806925315597</v>
      </c>
      <c r="DW98" s="5">
        <f t="shared" si="301"/>
        <v>3.7481530612244902</v>
      </c>
      <c r="DX98" s="5">
        <f t="shared" si="262"/>
        <v>1.5433571428571426</v>
      </c>
      <c r="DY98" s="5">
        <f t="shared" si="302"/>
        <v>2.2047959183673473</v>
      </c>
      <c r="DZ98" s="5">
        <f t="shared" si="263"/>
        <v>2.2047959183673469</v>
      </c>
      <c r="EA98" s="173">
        <f t="shared" si="303"/>
        <v>0.41176470588235287</v>
      </c>
      <c r="EB98" s="173">
        <f t="shared" si="264"/>
        <v>15.251999999999995</v>
      </c>
      <c r="EC98" s="173">
        <f t="shared" si="265"/>
        <v>0.90785714285714292</v>
      </c>
      <c r="ED98" s="173">
        <f t="shared" si="304"/>
        <v>16.799999999999994</v>
      </c>
      <c r="EE98" s="460">
        <f t="shared" si="266"/>
        <v>8.751964285714287</v>
      </c>
      <c r="EF98" s="5">
        <f t="shared" si="267"/>
        <v>1.1676231717687076</v>
      </c>
      <c r="EG98" s="5"/>
      <c r="EH98" s="173">
        <f t="shared" si="305"/>
        <v>1.1435637071807376</v>
      </c>
      <c r="EI98" s="173">
        <f t="shared" si="268"/>
        <v>1.366820059418917</v>
      </c>
      <c r="EJ98" s="173"/>
      <c r="EK98" s="528">
        <f t="shared" si="269"/>
        <v>2.6154759047619037E-2</v>
      </c>
      <c r="EL98" s="528">
        <f t="shared" si="270"/>
        <v>0.67199999999999982</v>
      </c>
      <c r="EM98" s="528">
        <f t="shared" si="271"/>
        <v>3.3349758656644496E-2</v>
      </c>
      <c r="EN98" s="528">
        <f t="shared" si="272"/>
        <v>4.4412273800157359E-2</v>
      </c>
      <c r="EO98">
        <f t="shared" si="273"/>
        <v>1.0800000000000001E-2</v>
      </c>
      <c r="EP98" s="460">
        <f t="shared" si="306"/>
        <v>44.149758656644501</v>
      </c>
      <c r="EQ98" s="528">
        <f t="shared" si="274"/>
        <v>0.79874225696552514</v>
      </c>
      <c r="ER98" s="460">
        <f t="shared" si="307"/>
        <v>798.74225696552514</v>
      </c>
      <c r="ES98" s="528">
        <f t="shared" si="308"/>
        <v>0.57776249999999996</v>
      </c>
      <c r="ET98" s="528"/>
      <c r="EV98" s="460">
        <f t="shared" si="309"/>
        <v>577.76249999999993</v>
      </c>
      <c r="EW98" s="528">
        <f t="shared" si="275"/>
        <v>3.923213857142855E-2</v>
      </c>
      <c r="EX98" s="528">
        <f t="shared" si="276"/>
        <v>5.6045912244897952E-2</v>
      </c>
      <c r="EY98" s="528">
        <f t="shared" si="277"/>
        <v>0.97312311820048347</v>
      </c>
      <c r="EZ98" s="528">
        <f t="shared" si="278"/>
        <v>1.0996496996094924</v>
      </c>
      <c r="FA98" s="528">
        <f t="shared" si="279"/>
        <v>1.2709999999999997E-2</v>
      </c>
      <c r="FB98" s="460">
        <f t="shared" si="310"/>
        <v>1112.3596996094925</v>
      </c>
      <c r="FC98" s="173">
        <f t="shared" si="311"/>
        <v>2.4888644565750173</v>
      </c>
      <c r="FD98" s="5">
        <f t="shared" si="312"/>
        <v>15.251999999999999</v>
      </c>
      <c r="FE98" s="173">
        <f t="shared" si="313"/>
        <v>0.85971007993059712</v>
      </c>
      <c r="FF98" s="5">
        <f t="shared" si="314"/>
        <v>85.971007993059715</v>
      </c>
      <c r="FI98" s="562">
        <f t="shared" si="280"/>
        <v>-50</v>
      </c>
      <c r="FJ98">
        <f t="shared" si="281"/>
        <v>-50</v>
      </c>
      <c r="FL98">
        <f t="shared" si="282"/>
        <v>0.58823529411764719</v>
      </c>
    </row>
    <row r="99" spans="5:168" ht="13">
      <c r="E99" s="170">
        <v>94</v>
      </c>
      <c r="F99" s="217">
        <f t="shared" si="283"/>
        <v>0.94</v>
      </c>
      <c r="G99" s="217"/>
      <c r="H99" s="217">
        <f t="shared" si="183"/>
        <v>15.415999999999999</v>
      </c>
      <c r="I99" s="541">
        <f t="shared" si="184"/>
        <v>23.918266172245815</v>
      </c>
      <c r="J99" s="172">
        <f t="shared" si="185"/>
        <v>16.849040296652507</v>
      </c>
      <c r="K99" s="172">
        <f t="shared" si="186"/>
        <v>40.849040296652504</v>
      </c>
      <c r="L99" s="443"/>
      <c r="M99" s="217">
        <f t="shared" si="187"/>
        <v>0.41328201915120333</v>
      </c>
      <c r="N99" s="172">
        <f t="shared" si="188"/>
        <v>33.246514141020093</v>
      </c>
      <c r="O99" s="172">
        <f t="shared" si="284"/>
        <v>15.415999999999999</v>
      </c>
      <c r="P99" s="217">
        <f t="shared" si="189"/>
        <v>2.0272264720134205</v>
      </c>
      <c r="Q99" s="217">
        <f t="shared" si="190"/>
        <v>16.399999999999999</v>
      </c>
      <c r="R99" s="217">
        <f t="shared" si="191"/>
        <v>2.00914417444343</v>
      </c>
      <c r="S99" s="172">
        <f t="shared" si="192"/>
        <v>61.053963035707412</v>
      </c>
      <c r="T99" s="532">
        <f t="shared" si="193"/>
        <v>16.399999999999999</v>
      </c>
      <c r="U99" s="217">
        <f t="shared" si="194"/>
        <v>3.2042651859420266</v>
      </c>
      <c r="V99" s="217">
        <f t="shared" si="195"/>
        <v>1.6076074224778951</v>
      </c>
      <c r="W99" s="217">
        <f t="shared" si="196"/>
        <v>2.2820992504210245</v>
      </c>
      <c r="X99" s="197">
        <f t="shared" si="197"/>
        <v>350</v>
      </c>
      <c r="Y99" s="443">
        <f t="shared" si="198"/>
        <v>244.51631375586331</v>
      </c>
      <c r="AA99" s="217">
        <f t="shared" si="199"/>
        <v>2.3536590695109467</v>
      </c>
      <c r="AB99" s="173">
        <f t="shared" si="200"/>
        <v>1.6762918443338719</v>
      </c>
      <c r="AC99" s="173">
        <f t="shared" si="201"/>
        <v>0.69044841294863868</v>
      </c>
      <c r="AD99" s="173"/>
      <c r="AE99" s="173">
        <f t="shared" si="202"/>
        <v>0.94960898177558584</v>
      </c>
      <c r="AF99" s="545">
        <f t="shared" si="203"/>
        <v>1484.8216761425017</v>
      </c>
      <c r="AG99" s="528">
        <f t="shared" si="204"/>
        <v>0.22157542908097005</v>
      </c>
      <c r="AI99" s="173">
        <f t="shared" si="205"/>
        <v>2.7462613442428507</v>
      </c>
      <c r="AJ99" s="173">
        <f t="shared" si="206"/>
        <v>3.2042651859420266</v>
      </c>
      <c r="AK99" s="173">
        <f t="shared" si="207"/>
        <v>2.5858754463768099</v>
      </c>
      <c r="AM99" s="545">
        <f t="shared" si="208"/>
        <v>940</v>
      </c>
      <c r="AN99" s="460">
        <f t="shared" si="209"/>
        <v>244.51631375586331</v>
      </c>
      <c r="AP99">
        <f t="shared" si="210"/>
        <v>940</v>
      </c>
      <c r="AQ99">
        <f t="shared" si="211"/>
        <v>244.51631375586331</v>
      </c>
      <c r="AS99" s="5">
        <f t="shared" si="285"/>
        <v>4.0897066728989193</v>
      </c>
      <c r="AT99" s="5">
        <f t="shared" si="212"/>
        <v>1.6076074224778951</v>
      </c>
      <c r="AU99" s="5">
        <f t="shared" si="286"/>
        <v>2.4820992504210242</v>
      </c>
      <c r="AV99" s="5">
        <f t="shared" si="213"/>
        <v>2.2820992504210245</v>
      </c>
      <c r="AW99" s="173">
        <f t="shared" si="287"/>
        <v>0.3930862409108597</v>
      </c>
      <c r="AX99" s="173">
        <f t="shared" si="214"/>
        <v>15.063156656018478</v>
      </c>
      <c r="AY99" s="173">
        <f t="shared" si="215"/>
        <v>0.97235631455926919</v>
      </c>
      <c r="AZ99" s="173">
        <f t="shared" si="288"/>
        <v>15.491395932206203</v>
      </c>
      <c r="BA99" s="460">
        <f t="shared" si="216"/>
        <v>9.2143352263976936</v>
      </c>
      <c r="BB99" s="5">
        <f t="shared" si="217"/>
        <v>1.3331527241193866</v>
      </c>
      <c r="BC99" s="5"/>
      <c r="BD99" s="173">
        <f t="shared" si="289"/>
        <v>1.1598764887828603</v>
      </c>
      <c r="BE99" s="173">
        <f t="shared" si="218"/>
        <v>1.4412234356206213</v>
      </c>
      <c r="BF99" s="173"/>
      <c r="BG99" s="528">
        <f t="shared" si="219"/>
        <v>2.6906269384625134E-2</v>
      </c>
      <c r="BH99" s="528">
        <f t="shared" si="220"/>
        <v>0.60009418845859996</v>
      </c>
      <c r="BI99" s="528">
        <f t="shared" si="221"/>
        <v>0.14621015689672773</v>
      </c>
      <c r="BJ99" s="528">
        <f t="shared" si="222"/>
        <v>4.0801070262937708E-2</v>
      </c>
      <c r="BK99">
        <f t="shared" si="223"/>
        <v>1.0763219777510616E-2</v>
      </c>
      <c r="BL99" s="460">
        <f t="shared" si="290"/>
        <v>156.97337667423832</v>
      </c>
      <c r="BM99" s="528">
        <f t="shared" si="224"/>
        <v>0.67940963883457417</v>
      </c>
      <c r="BN99" s="460">
        <f t="shared" si="291"/>
        <v>679.40963883457414</v>
      </c>
      <c r="BO99" s="528">
        <f t="shared" si="225"/>
        <v>0.58397499999999991</v>
      </c>
      <c r="BP99" s="528"/>
      <c r="BR99" s="460">
        <f t="shared" si="292"/>
        <v>583.97499999999991</v>
      </c>
      <c r="BS99" s="528">
        <f t="shared" si="226"/>
        <v>4.0359404076937701E-2</v>
      </c>
      <c r="BT99" s="528">
        <f t="shared" si="227"/>
        <v>6.2313749741463212E-2</v>
      </c>
      <c r="BU99" s="528">
        <f t="shared" si="228"/>
        <v>0.23123999999999997</v>
      </c>
      <c r="BV99" s="528">
        <f t="shared" si="229"/>
        <v>0.3615242172602442</v>
      </c>
      <c r="BW99" s="528">
        <f t="shared" si="230"/>
        <v>1.2552630546682065E-2</v>
      </c>
      <c r="BX99" s="460">
        <f t="shared" si="293"/>
        <v>374.07684780692625</v>
      </c>
      <c r="BY99" s="173">
        <f t="shared" si="231"/>
        <v>1.7944348633157388</v>
      </c>
      <c r="BZ99" s="5">
        <f t="shared" si="294"/>
        <v>15.415999999999999</v>
      </c>
      <c r="CA99" s="173">
        <f t="shared" si="295"/>
        <v>0.89573564656750193</v>
      </c>
      <c r="CB99" s="5">
        <f t="shared" si="296"/>
        <v>89.573564656750193</v>
      </c>
      <c r="CE99" s="562">
        <f t="shared" si="232"/>
        <v>-50</v>
      </c>
      <c r="CF99">
        <f t="shared" si="233"/>
        <v>-50</v>
      </c>
      <c r="CG99" s="173">
        <f t="shared" si="234"/>
        <v>0.57503730452161328</v>
      </c>
      <c r="CI99" s="170">
        <v>94</v>
      </c>
      <c r="CJ99" s="217">
        <f t="shared" si="297"/>
        <v>0.94</v>
      </c>
      <c r="CK99" s="217"/>
      <c r="CL99" s="217">
        <f t="shared" si="235"/>
        <v>15.415999999999999</v>
      </c>
      <c r="CM99" s="541">
        <f t="shared" si="236"/>
        <v>24</v>
      </c>
      <c r="CN99" s="172">
        <f t="shared" si="237"/>
        <v>16.799999999999997</v>
      </c>
      <c r="CO99" s="443">
        <f t="shared" si="238"/>
        <v>40.799999999999997</v>
      </c>
      <c r="CP99" s="443"/>
      <c r="CQ99" s="217">
        <f t="shared" si="239"/>
        <v>0.41176470588235292</v>
      </c>
      <c r="CR99" s="172">
        <f t="shared" si="240"/>
        <v>33.237647058823534</v>
      </c>
      <c r="CS99" s="172">
        <f t="shared" si="298"/>
        <v>15.415999999999999</v>
      </c>
      <c r="CT99" s="217">
        <f t="shared" si="241"/>
        <v>2.026685796269728</v>
      </c>
      <c r="CU99" s="217">
        <f t="shared" si="242"/>
        <v>16.399999999999999</v>
      </c>
      <c r="CV99" s="217">
        <f t="shared" si="243"/>
        <v>2.0086083213773311</v>
      </c>
      <c r="CW99" s="172">
        <f t="shared" si="244"/>
        <v>61.26207025875982</v>
      </c>
      <c r="CX99" s="532">
        <f t="shared" si="245"/>
        <v>16.399999999999999</v>
      </c>
      <c r="CY99" s="217">
        <f t="shared" si="246"/>
        <v>3.1199047619047615</v>
      </c>
      <c r="CZ99" s="217">
        <f t="shared" si="247"/>
        <v>1.559952380952381</v>
      </c>
      <c r="DA99" s="217">
        <f t="shared" si="248"/>
        <v>2.2285034013605447</v>
      </c>
      <c r="DB99" s="197">
        <f t="shared" si="249"/>
        <v>350</v>
      </c>
      <c r="DC99" s="443">
        <f t="shared" si="299"/>
        <v>263.95979192067557</v>
      </c>
      <c r="DE99" s="217">
        <f t="shared" si="250"/>
        <v>2.3529411764705879</v>
      </c>
      <c r="DF99" s="173">
        <f t="shared" si="251"/>
        <v>1.6806722689075633</v>
      </c>
      <c r="DG99" s="173">
        <f t="shared" si="252"/>
        <v>0.69204152249134954</v>
      </c>
      <c r="DH99" s="173"/>
      <c r="DI99" s="173">
        <f t="shared" si="253"/>
        <v>0.95238095238095266</v>
      </c>
      <c r="DJ99" s="545">
        <f t="shared" si="300"/>
        <v>1480.4999999999993</v>
      </c>
      <c r="DK99" s="528">
        <f t="shared" si="254"/>
        <v>0.22222222222222232</v>
      </c>
      <c r="DM99" s="173">
        <f t="shared" si="255"/>
        <v>2.7422618401604173</v>
      </c>
      <c r="DN99" s="173">
        <f t="shared" si="256"/>
        <v>3.1199047619047615</v>
      </c>
      <c r="DO99" s="173">
        <f t="shared" si="257"/>
        <v>2.5233862433862431</v>
      </c>
      <c r="DQ99" s="545">
        <f t="shared" si="258"/>
        <v>940</v>
      </c>
      <c r="DR99" s="460">
        <f t="shared" si="259"/>
        <v>263.95979192067557</v>
      </c>
      <c r="DT99">
        <f t="shared" si="260"/>
        <v>940</v>
      </c>
      <c r="DU99">
        <f t="shared" si="261"/>
        <v>263.95979192067557</v>
      </c>
      <c r="DW99" s="5">
        <f t="shared" si="301"/>
        <v>3.7884557823129255</v>
      </c>
      <c r="DX99" s="5">
        <f t="shared" si="262"/>
        <v>1.559952380952381</v>
      </c>
      <c r="DY99" s="5">
        <f t="shared" si="302"/>
        <v>2.2285034013605447</v>
      </c>
      <c r="DZ99" s="5">
        <f t="shared" si="263"/>
        <v>2.2285034013605447</v>
      </c>
      <c r="EA99" s="173">
        <f t="shared" si="303"/>
        <v>0.41176470588235292</v>
      </c>
      <c r="EB99" s="173">
        <f t="shared" si="264"/>
        <v>15.415999999999995</v>
      </c>
      <c r="EC99" s="173">
        <f t="shared" si="265"/>
        <v>0.91761904761904756</v>
      </c>
      <c r="ED99" s="173">
        <f t="shared" si="304"/>
        <v>16.799999999999997</v>
      </c>
      <c r="EE99" s="460">
        <f t="shared" si="266"/>
        <v>8.9411904761904779</v>
      </c>
      <c r="EF99" s="5">
        <f t="shared" si="267"/>
        <v>1.1928683484504914</v>
      </c>
      <c r="EG99" s="5"/>
      <c r="EH99" s="173">
        <f t="shared" si="305"/>
        <v>1.1558600911289176</v>
      </c>
      <c r="EI99" s="173">
        <f t="shared" si="268"/>
        <v>1.3815170493051419</v>
      </c>
      <c r="EJ99" s="173"/>
      <c r="EK99" s="528">
        <f t="shared" si="269"/>
        <v>2.6720251005290994E-2</v>
      </c>
      <c r="EL99" s="528">
        <f t="shared" si="270"/>
        <v>0.67199999999999982</v>
      </c>
      <c r="EM99" s="528">
        <f t="shared" si="271"/>
        <v>3.2994973990084442E-2</v>
      </c>
      <c r="EN99" s="528">
        <f t="shared" si="272"/>
        <v>4.3939802802283337E-2</v>
      </c>
      <c r="EO99">
        <f t="shared" si="273"/>
        <v>1.0800000000000001E-2</v>
      </c>
      <c r="EP99" s="460">
        <f t="shared" si="306"/>
        <v>43.794973990084443</v>
      </c>
      <c r="EQ99" s="528">
        <f t="shared" si="274"/>
        <v>0.79874048455461533</v>
      </c>
      <c r="ER99" s="460">
        <f t="shared" si="307"/>
        <v>798.74048455461536</v>
      </c>
      <c r="ES99" s="528">
        <f t="shared" si="308"/>
        <v>0.58397499999999991</v>
      </c>
      <c r="ET99" s="528"/>
      <c r="EV99" s="460">
        <f t="shared" si="309"/>
        <v>583.97499999999991</v>
      </c>
      <c r="EW99" s="528">
        <f t="shared" si="275"/>
        <v>4.0080376507936492E-2</v>
      </c>
      <c r="EX99" s="528">
        <f t="shared" si="276"/>
        <v>5.7257680725623566E-2</v>
      </c>
      <c r="EY99" s="528">
        <f t="shared" si="277"/>
        <v>0.97312311820048536</v>
      </c>
      <c r="EZ99" s="528">
        <f t="shared" si="278"/>
        <v>1.1024068000660596</v>
      </c>
      <c r="FA99" s="528">
        <f t="shared" si="279"/>
        <v>1.2846666666666662E-2</v>
      </c>
      <c r="FB99" s="460">
        <f t="shared" si="310"/>
        <v>1115.2534667327263</v>
      </c>
      <c r="FC99" s="173">
        <f t="shared" si="311"/>
        <v>2.4979689512873415</v>
      </c>
      <c r="FD99" s="5">
        <f t="shared" si="312"/>
        <v>15.415999999999999</v>
      </c>
      <c r="FE99" s="173">
        <f t="shared" si="313"/>
        <v>0.86055748125499387</v>
      </c>
      <c r="FF99" s="5">
        <f t="shared" si="314"/>
        <v>86.055748125499392</v>
      </c>
      <c r="FI99" s="562">
        <f t="shared" si="280"/>
        <v>-50</v>
      </c>
      <c r="FJ99">
        <f t="shared" si="281"/>
        <v>-50</v>
      </c>
      <c r="FL99">
        <f t="shared" si="282"/>
        <v>0.58823529411764708</v>
      </c>
    </row>
    <row r="100" spans="5:168" ht="13">
      <c r="E100" s="170">
        <v>95</v>
      </c>
      <c r="F100" s="217">
        <f t="shared" si="283"/>
        <v>0.95</v>
      </c>
      <c r="G100" s="217"/>
      <c r="H100" s="217">
        <f t="shared" si="183"/>
        <v>15.579999999999998</v>
      </c>
      <c r="I100" s="541">
        <f t="shared" si="184"/>
        <v>23.917416615182638</v>
      </c>
      <c r="J100" s="172">
        <f t="shared" si="185"/>
        <v>16.849550030890413</v>
      </c>
      <c r="K100" s="172">
        <f t="shared" si="186"/>
        <v>40.849550030890413</v>
      </c>
      <c r="L100" s="443"/>
      <c r="M100" s="217">
        <f t="shared" si="187"/>
        <v>0.41329797202753554</v>
      </c>
      <c r="N100" s="172">
        <f t="shared" si="188"/>
        <v>33.24661653747134</v>
      </c>
      <c r="O100" s="172">
        <f t="shared" si="284"/>
        <v>15.579999999999998</v>
      </c>
      <c r="P100" s="217">
        <f t="shared" si="189"/>
        <v>2.0272327156994723</v>
      </c>
      <c r="Q100" s="217">
        <f t="shared" si="190"/>
        <v>16.399999999999999</v>
      </c>
      <c r="R100" s="217">
        <f t="shared" si="191"/>
        <v>2.0091503624375346</v>
      </c>
      <c r="S100" s="172">
        <f t="shared" si="192"/>
        <v>60.1613150185145</v>
      </c>
      <c r="T100" s="532">
        <f t="shared" si="193"/>
        <v>16.399999999999999</v>
      </c>
      <c r="U100" s="217">
        <f t="shared" si="194"/>
        <v>3.2384411667470352</v>
      </c>
      <c r="V100" s="217">
        <f t="shared" si="195"/>
        <v>1.6248115181593441</v>
      </c>
      <c r="W100" s="217">
        <f t="shared" si="196"/>
        <v>2.3063698395339758</v>
      </c>
      <c r="X100" s="197">
        <f t="shared" si="197"/>
        <v>350</v>
      </c>
      <c r="Y100" s="443">
        <f t="shared" si="198"/>
        <v>242.06151059859508</v>
      </c>
      <c r="AA100" s="217">
        <f t="shared" si="199"/>
        <v>2.3536662916202435</v>
      </c>
      <c r="AB100" s="173">
        <f t="shared" si="200"/>
        <v>1.6762462764680945</v>
      </c>
      <c r="AC100" s="173">
        <f t="shared" si="201"/>
        <v>0.69043176254095784</v>
      </c>
      <c r="AD100" s="173"/>
      <c r="AE100" s="173">
        <f t="shared" si="202"/>
        <v>0.94958025411165736</v>
      </c>
      <c r="AF100" s="545">
        <f t="shared" si="203"/>
        <v>1500.6630496261766</v>
      </c>
      <c r="AG100" s="528">
        <f t="shared" si="204"/>
        <v>0.22156872595938676</v>
      </c>
      <c r="AI100" s="173">
        <f t="shared" si="205"/>
        <v>2.7608722335821172</v>
      </c>
      <c r="AJ100" s="173">
        <f t="shared" si="206"/>
        <v>3.2384411667470352</v>
      </c>
      <c r="AK100" s="173">
        <f t="shared" si="207"/>
        <v>2.6111909877138531</v>
      </c>
      <c r="AM100" s="545">
        <f t="shared" si="208"/>
        <v>950</v>
      </c>
      <c r="AN100" s="460">
        <f t="shared" si="209"/>
        <v>242.06151059859508</v>
      </c>
      <c r="AP100">
        <f t="shared" si="210"/>
        <v>950</v>
      </c>
      <c r="AQ100">
        <f t="shared" si="211"/>
        <v>242.06151059859508</v>
      </c>
      <c r="AS100" s="5">
        <f t="shared" si="285"/>
        <v>4.1311813576933201</v>
      </c>
      <c r="AT100" s="5">
        <f t="shared" si="212"/>
        <v>1.6248115181593441</v>
      </c>
      <c r="AU100" s="5">
        <f t="shared" si="286"/>
        <v>2.506369839533976</v>
      </c>
      <c r="AV100" s="5">
        <f t="shared" si="213"/>
        <v>2.3063698395339758</v>
      </c>
      <c r="AW100" s="173">
        <f t="shared" si="287"/>
        <v>0.39330433052364744</v>
      </c>
      <c r="AX100" s="173">
        <f t="shared" si="214"/>
        <v>15.231722283435676</v>
      </c>
      <c r="AY100" s="173">
        <f t="shared" si="215"/>
        <v>0.98237411585968637</v>
      </c>
      <c r="AZ100" s="173">
        <f t="shared" si="288"/>
        <v>15.505011825465525</v>
      </c>
      <c r="BA100" s="460">
        <f t="shared" si="216"/>
        <v>9.4120179405571776</v>
      </c>
      <c r="BB100" s="5">
        <f t="shared" si="217"/>
        <v>1.3605581073762756</v>
      </c>
      <c r="BC100" s="5"/>
      <c r="BD100" s="173">
        <f t="shared" si="289"/>
        <v>1.1725726181617975</v>
      </c>
      <c r="BE100" s="173">
        <f t="shared" si="218"/>
        <v>1.4563334732463646</v>
      </c>
      <c r="BF100" s="173"/>
      <c r="BG100" s="528">
        <f t="shared" si="219"/>
        <v>2.7498530897256252E-2</v>
      </c>
      <c r="BH100" s="528">
        <f t="shared" si="220"/>
        <v>0.60041329438720492</v>
      </c>
      <c r="BI100" s="528">
        <f t="shared" si="221"/>
        <v>0.14473714988717615</v>
      </c>
      <c r="BJ100" s="528">
        <f t="shared" si="222"/>
        <v>4.0392459038833955E-2</v>
      </c>
      <c r="BK100">
        <f t="shared" si="223"/>
        <v>1.0762837476832187E-2</v>
      </c>
      <c r="BL100" s="460">
        <f t="shared" si="290"/>
        <v>155.49998736400832</v>
      </c>
      <c r="BM100" s="528">
        <f t="shared" si="224"/>
        <v>0.68017289997363761</v>
      </c>
      <c r="BN100" s="460">
        <f t="shared" si="291"/>
        <v>680.17289997363764</v>
      </c>
      <c r="BO100" s="528">
        <f t="shared" si="225"/>
        <v>0.59018749999999986</v>
      </c>
      <c r="BP100" s="528"/>
      <c r="BR100" s="460">
        <f t="shared" si="292"/>
        <v>590.18749999999989</v>
      </c>
      <c r="BS100" s="528">
        <f t="shared" si="226"/>
        <v>4.1247796345884373E-2</v>
      </c>
      <c r="BT100" s="528">
        <f t="shared" si="227"/>
        <v>6.3627215558934594E-2</v>
      </c>
      <c r="BU100" s="528">
        <f t="shared" si="228"/>
        <v>0.23369999999999996</v>
      </c>
      <c r="BV100" s="528">
        <f t="shared" si="229"/>
        <v>0.3668226572052844</v>
      </c>
      <c r="BW100" s="528">
        <f t="shared" si="230"/>
        <v>1.2693101902863064E-2</v>
      </c>
      <c r="BX100" s="460">
        <f t="shared" si="293"/>
        <v>379.51575910814745</v>
      </c>
      <c r="BY100" s="173">
        <f t="shared" si="231"/>
        <v>1.8053761464457934</v>
      </c>
      <c r="BZ100" s="5">
        <f t="shared" si="294"/>
        <v>15.579999999999998</v>
      </c>
      <c r="CA100" s="173">
        <f t="shared" si="295"/>
        <v>0.89615547393175732</v>
      </c>
      <c r="CB100" s="5">
        <f t="shared" si="296"/>
        <v>89.615547393175731</v>
      </c>
      <c r="CE100" s="562">
        <f t="shared" si="232"/>
        <v>-50</v>
      </c>
      <c r="CF100">
        <f t="shared" si="233"/>
        <v>-50</v>
      </c>
      <c r="CG100" s="173">
        <f t="shared" si="234"/>
        <v>0.57517623072788737</v>
      </c>
      <c r="CI100" s="170">
        <v>95</v>
      </c>
      <c r="CJ100" s="217">
        <f t="shared" si="297"/>
        <v>0.95</v>
      </c>
      <c r="CK100" s="217"/>
      <c r="CL100" s="217">
        <f t="shared" si="235"/>
        <v>15.579999999999998</v>
      </c>
      <c r="CM100" s="541">
        <f t="shared" si="236"/>
        <v>24</v>
      </c>
      <c r="CN100" s="172">
        <f t="shared" si="237"/>
        <v>16.799999999999997</v>
      </c>
      <c r="CO100" s="443">
        <f t="shared" si="238"/>
        <v>40.799999999999997</v>
      </c>
      <c r="CP100" s="443"/>
      <c r="CQ100" s="217">
        <f t="shared" si="239"/>
        <v>0.41176470588235292</v>
      </c>
      <c r="CR100" s="172">
        <f t="shared" si="240"/>
        <v>33.237647058823534</v>
      </c>
      <c r="CS100" s="172">
        <f t="shared" si="298"/>
        <v>15.579999999999998</v>
      </c>
      <c r="CT100" s="217">
        <f t="shared" si="241"/>
        <v>2.026685796269728</v>
      </c>
      <c r="CU100" s="217">
        <f t="shared" si="242"/>
        <v>16.399999999999999</v>
      </c>
      <c r="CV100" s="217">
        <f t="shared" si="243"/>
        <v>2.0086083213773311</v>
      </c>
      <c r="CW100" s="172">
        <f t="shared" si="244"/>
        <v>60.368502891535229</v>
      </c>
      <c r="CX100" s="532">
        <f t="shared" si="245"/>
        <v>16.399999999999999</v>
      </c>
      <c r="CY100" s="217">
        <f t="shared" si="246"/>
        <v>3.1530952380952377</v>
      </c>
      <c r="CZ100" s="217">
        <f t="shared" si="247"/>
        <v>1.5765476190476189</v>
      </c>
      <c r="DA100" s="217">
        <f t="shared" si="248"/>
        <v>2.2522108843537416</v>
      </c>
      <c r="DB100" s="197">
        <f t="shared" si="249"/>
        <v>350</v>
      </c>
      <c r="DC100" s="443">
        <f t="shared" si="299"/>
        <v>261.1812677951948</v>
      </c>
      <c r="DE100" s="217">
        <f t="shared" si="250"/>
        <v>2.3529411764705879</v>
      </c>
      <c r="DF100" s="173">
        <f t="shared" si="251"/>
        <v>1.6806722689075633</v>
      </c>
      <c r="DG100" s="173">
        <f t="shared" si="252"/>
        <v>0.69204152249134954</v>
      </c>
      <c r="DH100" s="173"/>
      <c r="DI100" s="173">
        <f t="shared" si="253"/>
        <v>0.95238095238095266</v>
      </c>
      <c r="DJ100" s="545">
        <f t="shared" si="300"/>
        <v>1496.2499999999993</v>
      </c>
      <c r="DK100" s="528">
        <f t="shared" si="254"/>
        <v>0.22222222222222232</v>
      </c>
      <c r="DM100" s="173">
        <f t="shared" si="255"/>
        <v>2.7568097504180438</v>
      </c>
      <c r="DN100" s="173">
        <f t="shared" si="256"/>
        <v>3.1530952380952377</v>
      </c>
      <c r="DO100" s="173">
        <f t="shared" si="257"/>
        <v>2.5479717813051144</v>
      </c>
      <c r="DQ100" s="545">
        <f t="shared" si="258"/>
        <v>950</v>
      </c>
      <c r="DR100" s="460">
        <f t="shared" si="259"/>
        <v>261.1812677951948</v>
      </c>
      <c r="DT100">
        <f t="shared" si="260"/>
        <v>950</v>
      </c>
      <c r="DU100">
        <f t="shared" si="261"/>
        <v>261.1812677951948</v>
      </c>
      <c r="DW100" s="5">
        <f t="shared" si="301"/>
        <v>3.8287585034013603</v>
      </c>
      <c r="DX100" s="5">
        <f t="shared" si="262"/>
        <v>1.5765476190476189</v>
      </c>
      <c r="DY100" s="5">
        <f t="shared" si="302"/>
        <v>2.2522108843537412</v>
      </c>
      <c r="DZ100" s="5">
        <f t="shared" si="263"/>
        <v>2.2522108843537416</v>
      </c>
      <c r="EA100" s="173">
        <f t="shared" si="303"/>
        <v>0.41176470588235292</v>
      </c>
      <c r="EB100" s="173">
        <f t="shared" si="264"/>
        <v>15.579999999999997</v>
      </c>
      <c r="EC100" s="173">
        <f t="shared" si="265"/>
        <v>0.92738095238095231</v>
      </c>
      <c r="ED100" s="173">
        <f t="shared" si="304"/>
        <v>16.799999999999997</v>
      </c>
      <c r="EE100" s="460">
        <f t="shared" si="266"/>
        <v>9.1324404761904763</v>
      </c>
      <c r="EF100" s="5">
        <f t="shared" si="267"/>
        <v>1.2183835270219194</v>
      </c>
      <c r="EG100" s="5"/>
      <c r="EH100" s="173">
        <f t="shared" si="305"/>
        <v>1.1681564750770976</v>
      </c>
      <c r="EI100" s="173">
        <f t="shared" si="268"/>
        <v>1.3962140391913667</v>
      </c>
      <c r="EJ100" s="173"/>
      <c r="EK100" s="528">
        <f t="shared" si="269"/>
        <v>2.7291791005290996E-2</v>
      </c>
      <c r="EL100" s="528">
        <f t="shared" si="270"/>
        <v>0.67199999999999982</v>
      </c>
      <c r="EM100" s="528">
        <f t="shared" si="271"/>
        <v>3.2647658474399349E-2</v>
      </c>
      <c r="EN100" s="528">
        <f t="shared" si="272"/>
        <v>4.347727856225931E-2</v>
      </c>
      <c r="EO100">
        <f t="shared" si="273"/>
        <v>1.0800000000000001E-2</v>
      </c>
      <c r="EP100" s="460">
        <f t="shared" si="306"/>
        <v>43.447658474399354</v>
      </c>
      <c r="EQ100" s="528">
        <f t="shared" si="274"/>
        <v>0.79876512768163377</v>
      </c>
      <c r="ER100" s="460">
        <f t="shared" si="307"/>
        <v>798.76512768163377</v>
      </c>
      <c r="ES100" s="528">
        <f t="shared" si="308"/>
        <v>0.59018749999999986</v>
      </c>
      <c r="ET100" s="528"/>
      <c r="EV100" s="460">
        <f t="shared" si="309"/>
        <v>590.18749999999989</v>
      </c>
      <c r="EW100" s="528">
        <f t="shared" si="275"/>
        <v>4.0937686507936492E-2</v>
      </c>
      <c r="EX100" s="528">
        <f t="shared" si="276"/>
        <v>5.8482409297052139E-2</v>
      </c>
      <c r="EY100" s="528">
        <f t="shared" si="277"/>
        <v>0.97312311820048447</v>
      </c>
      <c r="EZ100" s="528">
        <f t="shared" si="278"/>
        <v>1.1051943190049585</v>
      </c>
      <c r="FA100" s="528">
        <f t="shared" si="279"/>
        <v>1.2983333333333329E-2</v>
      </c>
      <c r="FB100" s="460">
        <f t="shared" si="310"/>
        <v>1118.1776523382919</v>
      </c>
      <c r="FC100" s="173">
        <f t="shared" si="311"/>
        <v>2.5071302800199251</v>
      </c>
      <c r="FD100" s="5">
        <f t="shared" si="312"/>
        <v>15.579999999999998</v>
      </c>
      <c r="FE100" s="173">
        <f t="shared" si="313"/>
        <v>0.86138595558249254</v>
      </c>
      <c r="FF100" s="5">
        <f t="shared" si="314"/>
        <v>86.13859555824925</v>
      </c>
      <c r="FI100" s="562">
        <f t="shared" si="280"/>
        <v>-50</v>
      </c>
      <c r="FJ100">
        <f t="shared" si="281"/>
        <v>-50</v>
      </c>
      <c r="FL100">
        <f t="shared" si="282"/>
        <v>0.58823529411764708</v>
      </c>
    </row>
    <row r="101" spans="5:168" ht="13">
      <c r="E101" s="170">
        <v>96</v>
      </c>
      <c r="F101" s="217">
        <f t="shared" si="283"/>
        <v>0.96</v>
      </c>
      <c r="G101" s="217"/>
      <c r="H101" s="217">
        <f>F101*Vout</f>
        <v>15.743999999999998</v>
      </c>
      <c r="I101" s="541">
        <f t="shared" si="184"/>
        <v>23.916567048684332</v>
      </c>
      <c r="J101" s="172">
        <f t="shared" si="185"/>
        <v>16.8500597707894</v>
      </c>
      <c r="K101" s="172">
        <f t="shared" si="186"/>
        <v>40.8500597707894</v>
      </c>
      <c r="L101" s="443"/>
      <c r="M101" s="217">
        <f t="shared" si="187"/>
        <v>0.41331392526528815</v>
      </c>
      <c r="N101" s="172">
        <f>M101*I101*(Isw_max+VIN_nom/Lmag*ILIM_delay)*0.5*Efficiency</f>
        <v>33.246718858713429</v>
      </c>
      <c r="O101" s="172">
        <f t="shared" si="284"/>
        <v>15.743999999999998</v>
      </c>
      <c r="P101" s="217">
        <f>N101/Vout</f>
        <v>2.0272389547995995</v>
      </c>
      <c r="Q101" s="217">
        <f t="shared" si="190"/>
        <v>16.399999999999999</v>
      </c>
      <c r="R101" s="217">
        <f>Isw_max/2*I101*Nps*(Q101+Vfwd1+F101/FL101*Rdcr_sec)/Q101/(I101+Nps*(Q101+Vfwd1+F101/FL101*Rdcr_sec))</f>
        <v>2.0091565458866198</v>
      </c>
      <c r="S101" s="172">
        <f t="shared" si="192"/>
        <v>59.287347511018901</v>
      </c>
      <c r="T101" s="532">
        <f>MIN(Vout, S101)</f>
        <v>16.399999999999999</v>
      </c>
      <c r="U101" s="217">
        <f t="shared" si="194"/>
        <v>3.2726190081606878</v>
      </c>
      <c r="V101" s="217">
        <f t="shared" si="195"/>
        <v>1.64201777027563</v>
      </c>
      <c r="W101" s="217">
        <f t="shared" si="196"/>
        <v>2.330640284493688</v>
      </c>
      <c r="X101" s="197">
        <f t="shared" si="197"/>
        <v>350</v>
      </c>
      <c r="Y101" s="443">
        <f t="shared" si="198"/>
        <v>239.65539156917188</v>
      </c>
      <c r="AA101" s="217">
        <f t="shared" si="199"/>
        <v>2.3536735088716818</v>
      </c>
      <c r="AB101" s="173">
        <f>L*AA101/J101*1000000</f>
        <v>1.6762007073365408</v>
      </c>
      <c r="AC101" s="173">
        <f>0.5*AB101*AA101*Nps*X101/1000</f>
        <v>0.69041511007174849</v>
      </c>
      <c r="AD101" s="173"/>
      <c r="AE101" s="173">
        <f t="shared" si="202"/>
        <v>0.94955152786680153</v>
      </c>
      <c r="AF101" s="545">
        <f>MAX(12, F101/(0.5*AE101/1000000*Isw_min*Nps)/1000)</f>
        <v>1516.5053793710456</v>
      </c>
      <c r="AG101" s="528">
        <f t="shared" si="204"/>
        <v>0.22156202316892037</v>
      </c>
      <c r="AI101" s="173">
        <f t="shared" si="205"/>
        <v>2.775407081248908</v>
      </c>
      <c r="AJ101" s="173">
        <f>MAX(IF(F101&gt;AC101,U101,AI101),Isw_min)</f>
        <v>3.2726190081606878</v>
      </c>
      <c r="AK101" s="173">
        <f>IF(F101&gt;AG101, (AJ101-Isw_min)/1.08*0.8+1.2, AF101*0.2/350+1)</f>
        <v>2.6365079072795217</v>
      </c>
      <c r="AM101" s="545">
        <f t="shared" si="208"/>
        <v>960</v>
      </c>
      <c r="AN101" s="460">
        <f t="shared" si="209"/>
        <v>239.65539156917188</v>
      </c>
      <c r="AP101">
        <f t="shared" si="210"/>
        <v>960</v>
      </c>
      <c r="AQ101">
        <f t="shared" si="211"/>
        <v>239.65539156917188</v>
      </c>
      <c r="AS101" s="5">
        <f t="shared" si="285"/>
        <v>4.1726580547693182</v>
      </c>
      <c r="AT101" s="5">
        <f t="shared" si="212"/>
        <v>1.64201777027563</v>
      </c>
      <c r="AU101" s="5">
        <f t="shared" si="286"/>
        <v>2.5306402844936882</v>
      </c>
      <c r="AV101" s="5">
        <f t="shared" si="213"/>
        <v>2.330640284493688</v>
      </c>
      <c r="AW101" s="173">
        <f t="shared" si="287"/>
        <v>0.39351841169894464</v>
      </c>
      <c r="AX101" s="173">
        <f t="shared" si="214"/>
        <v>15.400306038017877</v>
      </c>
      <c r="AY101" s="173">
        <f t="shared" si="215"/>
        <v>0.99239158698675922</v>
      </c>
      <c r="AZ101" s="173">
        <f t="shared" si="288"/>
        <v>15.518376253852052</v>
      </c>
      <c r="BA101" s="460">
        <f t="shared" si="216"/>
        <v>9.6118113381988106</v>
      </c>
      <c r="BB101" s="5">
        <f t="shared" si="217"/>
        <v>1.3882427383901506</v>
      </c>
      <c r="BC101" s="5"/>
      <c r="BD101" s="173">
        <f t="shared" si="289"/>
        <v>1.1852701563147825</v>
      </c>
      <c r="BE101" s="173">
        <f t="shared" si="218"/>
        <v>1.4714436383161535</v>
      </c>
      <c r="BF101" s="173"/>
      <c r="BG101" s="528">
        <f t="shared" si="219"/>
        <v>2.8097306869009381E-2</v>
      </c>
      <c r="BH101" s="528">
        <f t="shared" si="220"/>
        <v>0.60072626519915184</v>
      </c>
      <c r="BI101" s="528">
        <f t="shared" si="221"/>
        <v>0.14329335602606993</v>
      </c>
      <c r="BJ101" s="528">
        <f t="shared" si="222"/>
        <v>3.9991951446146493E-2</v>
      </c>
      <c r="BK101">
        <f t="shared" si="223"/>
        <v>1.0762455171907949E-2</v>
      </c>
      <c r="BL101" s="460">
        <f t="shared" si="290"/>
        <v>154.05581119797787</v>
      </c>
      <c r="BM101" s="528">
        <f t="shared" si="224"/>
        <v>0.68094774914271539</v>
      </c>
      <c r="BN101" s="460">
        <f t="shared" si="291"/>
        <v>680.94774914271534</v>
      </c>
      <c r="BO101" s="528">
        <f t="shared" si="225"/>
        <v>0.59639999999999993</v>
      </c>
      <c r="BP101" s="528"/>
      <c r="BR101" s="460">
        <f t="shared" si="292"/>
        <v>596.4</v>
      </c>
      <c r="BS101" s="528">
        <f t="shared" si="226"/>
        <v>4.2145960303514071E-2</v>
      </c>
      <c r="BT101" s="528">
        <f t="shared" si="227"/>
        <v>6.4954391422232374E-2</v>
      </c>
      <c r="BU101" s="528">
        <f t="shared" si="228"/>
        <v>0.23615999999999995</v>
      </c>
      <c r="BV101" s="528">
        <f>(BU101+(BS101+BT101)*(1+Ltc*(Ta-25)))/(1-(BS101+BT101)*Ltc*ThetaCa)</f>
        <v>0.37215305397807458</v>
      </c>
      <c r="BW101" s="528">
        <f t="shared" si="230"/>
        <v>1.2833588365014898E-2</v>
      </c>
      <c r="BX101" s="460">
        <f t="shared" si="293"/>
        <v>384.9866423430895</v>
      </c>
      <c r="BY101" s="173">
        <f t="shared" si="231"/>
        <v>1.8163902026837824</v>
      </c>
      <c r="BZ101" s="5">
        <f t="shared" si="294"/>
        <v>15.743999999999998</v>
      </c>
      <c r="CA101" s="173">
        <f t="shared" si="295"/>
        <v>0.89656322087841867</v>
      </c>
      <c r="CB101" s="5">
        <f t="shared" si="296"/>
        <v>89.656322087841872</v>
      </c>
      <c r="CE101" s="562">
        <f t="shared" si="232"/>
        <v>-50</v>
      </c>
      <c r="CF101">
        <f t="shared" si="233"/>
        <v>-50</v>
      </c>
      <c r="CG101" s="173">
        <f t="shared" si="234"/>
        <v>0.57531226263819724</v>
      </c>
      <c r="CI101" s="170">
        <v>96</v>
      </c>
      <c r="CJ101" s="217">
        <f t="shared" si="297"/>
        <v>0.96</v>
      </c>
      <c r="CK101" s="217"/>
      <c r="CL101" s="217">
        <f t="shared" si="235"/>
        <v>15.743999999999998</v>
      </c>
      <c r="CM101" s="541">
        <f t="shared" si="236"/>
        <v>24</v>
      </c>
      <c r="CN101" s="172">
        <f t="shared" si="237"/>
        <v>16.799999999999997</v>
      </c>
      <c r="CO101" s="443">
        <f t="shared" si="238"/>
        <v>40.799999999999997</v>
      </c>
      <c r="CP101" s="443"/>
      <c r="CQ101" s="217">
        <f t="shared" si="239"/>
        <v>0.41176470588235292</v>
      </c>
      <c r="CR101" s="172">
        <f t="shared" si="240"/>
        <v>33.237647058823534</v>
      </c>
      <c r="CS101" s="172">
        <f t="shared" si="298"/>
        <v>15.743999999999998</v>
      </c>
      <c r="CT101" s="217">
        <f t="shared" si="241"/>
        <v>2.026685796269728</v>
      </c>
      <c r="CU101" s="217">
        <f t="shared" si="242"/>
        <v>16.399999999999999</v>
      </c>
      <c r="CV101" s="217">
        <f t="shared" si="243"/>
        <v>2.0086083213773311</v>
      </c>
      <c r="CW101" s="172">
        <f t="shared" si="244"/>
        <v>59.493617523817953</v>
      </c>
      <c r="CX101" s="532">
        <f t="shared" si="245"/>
        <v>16.399999999999999</v>
      </c>
      <c r="CY101" s="217">
        <f t="shared" si="246"/>
        <v>3.1862857142857139</v>
      </c>
      <c r="CZ101" s="217">
        <f t="shared" si="247"/>
        <v>1.593142857142857</v>
      </c>
      <c r="DA101" s="217">
        <f t="shared" si="248"/>
        <v>2.2759183673469385</v>
      </c>
      <c r="DB101" s="197">
        <f t="shared" si="249"/>
        <v>350</v>
      </c>
      <c r="DC101" s="443">
        <f t="shared" si="299"/>
        <v>258.46062958899489</v>
      </c>
      <c r="DE101" s="217">
        <f t="shared" si="250"/>
        <v>2.3529411764705879</v>
      </c>
      <c r="DF101" s="173">
        <f t="shared" si="251"/>
        <v>1.6806722689075633</v>
      </c>
      <c r="DG101" s="173">
        <f t="shared" si="252"/>
        <v>0.69204152249134954</v>
      </c>
      <c r="DH101" s="173"/>
      <c r="DI101" s="173">
        <f t="shared" si="253"/>
        <v>0.95238095238095266</v>
      </c>
      <c r="DJ101" s="545">
        <f t="shared" si="300"/>
        <v>1511.9999999999993</v>
      </c>
      <c r="DK101" s="528">
        <f t="shared" si="254"/>
        <v>0.22222222222222232</v>
      </c>
      <c r="DM101" s="173">
        <f t="shared" si="255"/>
        <v>2.7712812921102032</v>
      </c>
      <c r="DN101" s="173">
        <f t="shared" si="256"/>
        <v>3.1862857142857139</v>
      </c>
      <c r="DO101" s="173">
        <f t="shared" si="257"/>
        <v>2.5725573192239857</v>
      </c>
      <c r="DQ101" s="545">
        <f t="shared" si="258"/>
        <v>960</v>
      </c>
      <c r="DR101" s="460">
        <f t="shared" si="259"/>
        <v>258.46062958899489</v>
      </c>
      <c r="DT101">
        <f t="shared" si="260"/>
        <v>960</v>
      </c>
      <c r="DU101">
        <f t="shared" si="261"/>
        <v>258.46062958899489</v>
      </c>
      <c r="DW101" s="5">
        <f t="shared" si="301"/>
        <v>3.8690612244897951</v>
      </c>
      <c r="DX101" s="5">
        <f t="shared" si="262"/>
        <v>1.593142857142857</v>
      </c>
      <c r="DY101" s="5">
        <f t="shared" si="302"/>
        <v>2.2759183673469381</v>
      </c>
      <c r="DZ101" s="5">
        <f t="shared" si="263"/>
        <v>2.2759183673469385</v>
      </c>
      <c r="EA101" s="173">
        <f t="shared" si="303"/>
        <v>0.41176470588235298</v>
      </c>
      <c r="EB101" s="173">
        <f t="shared" si="264"/>
        <v>15.743999999999998</v>
      </c>
      <c r="EC101" s="173">
        <f t="shared" si="265"/>
        <v>0.93714285714285694</v>
      </c>
      <c r="ED101" s="173">
        <f t="shared" si="304"/>
        <v>16.8</v>
      </c>
      <c r="EE101" s="460">
        <f t="shared" si="266"/>
        <v>9.3257142857142856</v>
      </c>
      <c r="EF101" s="5">
        <f t="shared" si="267"/>
        <v>1.2441687074829926</v>
      </c>
      <c r="EG101" s="5"/>
      <c r="EH101" s="173">
        <f t="shared" si="305"/>
        <v>1.1804528590252776</v>
      </c>
      <c r="EI101" s="173">
        <f t="shared" si="268"/>
        <v>1.4109110290775917</v>
      </c>
      <c r="EJ101" s="173"/>
      <c r="EK101" s="528">
        <f t="shared" si="269"/>
        <v>2.786937904761904E-2</v>
      </c>
      <c r="EL101" s="528">
        <f t="shared" si="270"/>
        <v>0.67200000000000004</v>
      </c>
      <c r="EM101" s="528">
        <f t="shared" si="271"/>
        <v>3.2307578698624363E-2</v>
      </c>
      <c r="EN101" s="528">
        <f t="shared" si="272"/>
        <v>4.3024390243902449E-2</v>
      </c>
      <c r="EO101">
        <f t="shared" si="273"/>
        <v>1.0800000000000001E-2</v>
      </c>
      <c r="EP101" s="460">
        <f t="shared" si="306"/>
        <v>43.107578698624359</v>
      </c>
      <c r="EQ101" s="528">
        <f t="shared" si="274"/>
        <v>0.79881564941173888</v>
      </c>
      <c r="ER101" s="460">
        <f t="shared" si="307"/>
        <v>798.81564941173883</v>
      </c>
      <c r="ES101" s="528">
        <f t="shared" si="308"/>
        <v>0.59639999999999993</v>
      </c>
      <c r="ET101" s="528"/>
      <c r="EV101" s="460">
        <f t="shared" si="309"/>
        <v>596.4</v>
      </c>
      <c r="EW101" s="528">
        <f t="shared" si="275"/>
        <v>4.1804068571428557E-2</v>
      </c>
      <c r="EX101" s="528">
        <f t="shared" si="276"/>
        <v>5.9720097959183663E-2</v>
      </c>
      <c r="EY101" s="528">
        <f t="shared" si="277"/>
        <v>0.9731231182004848</v>
      </c>
      <c r="EZ101" s="528">
        <f t="shared" si="278"/>
        <v>1.1080122866107507</v>
      </c>
      <c r="FA101" s="528">
        <f t="shared" si="279"/>
        <v>1.3119999999999998E-2</v>
      </c>
      <c r="FB101" s="460">
        <f t="shared" si="310"/>
        <v>1121.1322866107507</v>
      </c>
      <c r="FC101" s="173">
        <f t="shared" si="311"/>
        <v>2.5163479360224894</v>
      </c>
      <c r="FD101" s="5">
        <f t="shared" si="312"/>
        <v>15.743999999999998</v>
      </c>
      <c r="FE101" s="173">
        <f t="shared" si="313"/>
        <v>0.86219605755384054</v>
      </c>
      <c r="FF101" s="5">
        <f t="shared" si="314"/>
        <v>86.219605755384052</v>
      </c>
      <c r="FI101" s="562">
        <f t="shared" si="280"/>
        <v>-50</v>
      </c>
      <c r="FJ101">
        <f t="shared" si="281"/>
        <v>-50</v>
      </c>
      <c r="FL101">
        <f t="shared" si="282"/>
        <v>0.58823529411764697</v>
      </c>
    </row>
    <row r="102" spans="5:168" ht="13">
      <c r="E102" s="170">
        <v>97</v>
      </c>
      <c r="F102" s="217">
        <f>IF(PLOT_TYPE=1, E102/100*Iout_max, min_I*EXP(N102*rr/100))</f>
        <v>0.97</v>
      </c>
      <c r="G102" s="217"/>
      <c r="H102" s="217">
        <f>F102*Vout</f>
        <v>15.907999999999998</v>
      </c>
      <c r="I102" s="541">
        <f t="shared" si="184"/>
        <v>23.915717473049185</v>
      </c>
      <c r="J102" s="172">
        <f t="shared" si="185"/>
        <v>16.850569516170488</v>
      </c>
      <c r="K102" s="172">
        <f t="shared" si="186"/>
        <v>40.850569516170488</v>
      </c>
      <c r="L102" s="443"/>
      <c r="M102" s="217">
        <f t="shared" si="187"/>
        <v>0.41332987886145683</v>
      </c>
      <c r="N102" s="172">
        <f>M102*I102*(Isw_max+VIN_nom/Lmag*ILIM_delay)*0.5*Efficiency</f>
        <v>33.246821104914758</v>
      </c>
      <c r="O102" s="172">
        <f t="shared" si="284"/>
        <v>15.907999999999998</v>
      </c>
      <c r="P102" s="217">
        <f>N102/Vout</f>
        <v>2.0272451893240708</v>
      </c>
      <c r="Q102" s="217">
        <f t="shared" si="190"/>
        <v>16.399999999999999</v>
      </c>
      <c r="R102" s="217">
        <f>Isw_max/2*I102*Nps*(Q102+Vfwd1+F102/FL102*Rdcr_sec)/Q102/(I102+Nps*(Q102+Vfwd1+F102/FL102*Rdcr_sec))</f>
        <v>2.0091627248008632</v>
      </c>
      <c r="S102" s="172">
        <f t="shared" si="192"/>
        <v>58.431483545606177</v>
      </c>
      <c r="T102" s="532">
        <f>MIN(Vout, S102)</f>
        <v>16.399999999999999</v>
      </c>
      <c r="U102" s="217">
        <f t="shared" si="194"/>
        <v>3.3067987103810008</v>
      </c>
      <c r="V102" s="217">
        <f t="shared" si="195"/>
        <v>1.6592261791555911</v>
      </c>
      <c r="W102" s="217">
        <f t="shared" si="196"/>
        <v>2.3549105854548094</v>
      </c>
      <c r="X102" s="197">
        <f t="shared" si="197"/>
        <v>350</v>
      </c>
      <c r="Y102" s="443">
        <f t="shared" si="198"/>
        <v>237.29652259932067</v>
      </c>
      <c r="AA102" s="217">
        <f t="shared" si="199"/>
        <v>2.3536807212624407</v>
      </c>
      <c r="AB102" s="173">
        <f>L*AA102/J102*1000000</f>
        <v>1.6761551369551659</v>
      </c>
      <c r="AC102" s="173">
        <f>0.5*AB102*AA102*Nps*X102/1000</f>
        <v>0.69039845554686652</v>
      </c>
      <c r="AD102" s="173"/>
      <c r="AE102" s="173">
        <f t="shared" si="202"/>
        <v>0.94952280305100412</v>
      </c>
      <c r="AF102" s="545">
        <f>MAX(12, F102/(0.5*AE102/1000000*Isw_min*Nps)/1000)</f>
        <v>1532.3486653767534</v>
      </c>
      <c r="AG102" s="528">
        <f t="shared" si="204"/>
        <v>0.22155532071190095</v>
      </c>
      <c r="AI102" s="173">
        <f t="shared" si="205"/>
        <v>2.7898670757450734</v>
      </c>
      <c r="AJ102" s="173">
        <f>MAX(IF(F102&gt;AC102,U102,AI102),Isw_min)</f>
        <v>3.3067987103810008</v>
      </c>
      <c r="AK102" s="173">
        <f>IF(F102&gt;AG102, (AJ102-Isw_min)/1.08*0.8+1.2, AF102*0.2/350+1)</f>
        <v>2.6618262052204944</v>
      </c>
      <c r="AM102" s="545">
        <f t="shared" si="208"/>
        <v>970</v>
      </c>
      <c r="AN102" s="460">
        <f t="shared" si="209"/>
        <v>237.29652259932067</v>
      </c>
      <c r="AP102">
        <f t="shared" si="210"/>
        <v>970</v>
      </c>
      <c r="AQ102">
        <f t="shared" si="211"/>
        <v>237.29652259932067</v>
      </c>
      <c r="AS102" s="5">
        <f t="shared" si="285"/>
        <v>4.2141367646104007</v>
      </c>
      <c r="AT102" s="5">
        <f t="shared" si="212"/>
        <v>1.6592261791555911</v>
      </c>
      <c r="AU102" s="5">
        <f t="shared" si="286"/>
        <v>2.5549105854548095</v>
      </c>
      <c r="AV102" s="5">
        <f t="shared" si="213"/>
        <v>2.3549105854548094</v>
      </c>
      <c r="AW102" s="173">
        <f t="shared" si="287"/>
        <v>0.39372860251937919</v>
      </c>
      <c r="AX102" s="173">
        <f t="shared" si="214"/>
        <v>15.568907686348032</v>
      </c>
      <c r="AY102" s="173">
        <f t="shared" si="215"/>
        <v>1.002408737664902</v>
      </c>
      <c r="AZ102" s="173">
        <f t="shared" si="288"/>
        <v>15.531496386010758</v>
      </c>
      <c r="BA102" s="460">
        <f t="shared" si="216"/>
        <v>9.8137158157373392</v>
      </c>
      <c r="BB102" s="5">
        <f t="shared" si="217"/>
        <v>1.4162066445499912</v>
      </c>
      <c r="BC102" s="5"/>
      <c r="BD102" s="173">
        <f t="shared" si="289"/>
        <v>1.1979690965696292</v>
      </c>
      <c r="BE102" s="173">
        <f t="shared" si="218"/>
        <v>1.4865539391458231</v>
      </c>
      <c r="BF102" s="173"/>
      <c r="BG102" s="528">
        <f t="shared" si="219"/>
        <v>2.8702599126717077E-2</v>
      </c>
      <c r="BH102" s="528">
        <f t="shared" si="220"/>
        <v>0.60103328157628011</v>
      </c>
      <c r="BI102" s="528">
        <f t="shared" si="221"/>
        <v>0.14187791479555961</v>
      </c>
      <c r="BJ102" s="528">
        <f t="shared" si="222"/>
        <v>3.9599308779190899E-2</v>
      </c>
      <c r="BK102">
        <f t="shared" si="223"/>
        <v>1.0762072862872132E-2</v>
      </c>
      <c r="BL102" s="460">
        <f t="shared" si="290"/>
        <v>152.63998765843172</v>
      </c>
      <c r="BM102" s="528">
        <f t="shared" si="224"/>
        <v>0.68173413915603076</v>
      </c>
      <c r="BN102" s="460">
        <f t="shared" si="291"/>
        <v>681.73413915603078</v>
      </c>
      <c r="BO102" s="528">
        <f t="shared" si="225"/>
        <v>0.60261249999999988</v>
      </c>
      <c r="BP102" s="528"/>
      <c r="BR102" s="460">
        <f t="shared" si="292"/>
        <v>602.61249999999984</v>
      </c>
      <c r="BS102" s="528">
        <f t="shared" si="226"/>
        <v>4.3053898690075608E-2</v>
      </c>
      <c r="BT102" s="528">
        <f t="shared" si="227"/>
        <v>6.62952784196989E-2</v>
      </c>
      <c r="BU102" s="528">
        <f t="shared" si="228"/>
        <v>0.23861999999999994</v>
      </c>
      <c r="BV102" s="528">
        <f>(BU102+(BS102+BT102)*(1+Ltc*(Ta-25)))/(1-(BS102+BT102)*Ltc*ThetaCa)</f>
        <v>0.37751546000796743</v>
      </c>
      <c r="BW102" s="528">
        <f t="shared" si="230"/>
        <v>1.2974089738623362E-2</v>
      </c>
      <c r="BX102" s="460">
        <f t="shared" si="293"/>
        <v>390.4895497465908</v>
      </c>
      <c r="BY102" s="173">
        <f t="shared" si="231"/>
        <v>1.8274761765610532</v>
      </c>
      <c r="BZ102" s="5">
        <f t="shared" si="294"/>
        <v>15.907999999999998</v>
      </c>
      <c r="CA102" s="173">
        <f t="shared" si="295"/>
        <v>0.89695928328238406</v>
      </c>
      <c r="CB102" s="5">
        <f t="shared" si="296"/>
        <v>89.695928328238409</v>
      </c>
      <c r="CE102" s="562">
        <f t="shared" si="232"/>
        <v>-50</v>
      </c>
      <c r="CF102">
        <f t="shared" si="233"/>
        <v>-50</v>
      </c>
      <c r="CG102" s="173">
        <f t="shared" si="234"/>
        <v>0.57544548976685161</v>
      </c>
      <c r="CI102" s="170">
        <v>97</v>
      </c>
      <c r="CJ102" s="217">
        <f t="shared" si="297"/>
        <v>0.97</v>
      </c>
      <c r="CK102" s="217"/>
      <c r="CL102" s="217">
        <f t="shared" si="235"/>
        <v>15.907999999999998</v>
      </c>
      <c r="CM102" s="541">
        <f t="shared" si="236"/>
        <v>24</v>
      </c>
      <c r="CN102" s="172">
        <f t="shared" si="237"/>
        <v>16.799999999999997</v>
      </c>
      <c r="CO102" s="443">
        <f t="shared" si="238"/>
        <v>40.799999999999997</v>
      </c>
      <c r="CP102" s="443"/>
      <c r="CQ102" s="217">
        <f t="shared" si="239"/>
        <v>0.41176470588235292</v>
      </c>
      <c r="CR102" s="172">
        <f t="shared" si="240"/>
        <v>33.237647058823534</v>
      </c>
      <c r="CS102" s="172">
        <f t="shared" si="298"/>
        <v>15.907999999999998</v>
      </c>
      <c r="CT102" s="217">
        <f t="shared" si="241"/>
        <v>2.026685796269728</v>
      </c>
      <c r="CU102" s="217">
        <f t="shared" si="242"/>
        <v>16.399999999999999</v>
      </c>
      <c r="CV102" s="217">
        <f t="shared" si="243"/>
        <v>2.0086083213773311</v>
      </c>
      <c r="CW102" s="172">
        <f t="shared" si="244"/>
        <v>58.636837141412023</v>
      </c>
      <c r="CX102" s="532">
        <f t="shared" si="245"/>
        <v>16.399999999999999</v>
      </c>
      <c r="CY102" s="217">
        <f t="shared" si="246"/>
        <v>3.2194761904761897</v>
      </c>
      <c r="CZ102" s="217">
        <f t="shared" si="247"/>
        <v>1.6097380952380949</v>
      </c>
      <c r="DA102" s="217">
        <f t="shared" si="248"/>
        <v>2.2996258503401359</v>
      </c>
      <c r="DB102" s="197">
        <f t="shared" si="249"/>
        <v>350</v>
      </c>
      <c r="DC102" s="443">
        <f t="shared" si="299"/>
        <v>255.79608701591243</v>
      </c>
      <c r="DE102" s="217">
        <f t="shared" si="250"/>
        <v>2.3529411764705879</v>
      </c>
      <c r="DF102" s="173">
        <f t="shared" si="251"/>
        <v>1.6806722689075633</v>
      </c>
      <c r="DG102" s="173">
        <f t="shared" si="252"/>
        <v>0.69204152249134954</v>
      </c>
      <c r="DH102" s="173"/>
      <c r="DI102" s="173">
        <f t="shared" si="253"/>
        <v>0.95238095238095266</v>
      </c>
      <c r="DJ102" s="545">
        <f t="shared" si="300"/>
        <v>1527.7499999999993</v>
      </c>
      <c r="DK102" s="528">
        <f t="shared" si="254"/>
        <v>0.22222222222222232</v>
      </c>
      <c r="DM102" s="173">
        <f t="shared" si="255"/>
        <v>2.7856776554368237</v>
      </c>
      <c r="DN102" s="173">
        <f t="shared" si="256"/>
        <v>3.2194761904761897</v>
      </c>
      <c r="DO102" s="173">
        <f t="shared" si="257"/>
        <v>2.5971428571428565</v>
      </c>
      <c r="DQ102" s="545">
        <f t="shared" si="258"/>
        <v>970</v>
      </c>
      <c r="DR102" s="460">
        <f t="shared" si="259"/>
        <v>255.79608701591243</v>
      </c>
      <c r="DT102">
        <f t="shared" si="260"/>
        <v>970</v>
      </c>
      <c r="DU102">
        <f t="shared" si="261"/>
        <v>255.79608701591243</v>
      </c>
      <c r="DW102" s="5">
        <f t="shared" si="301"/>
        <v>3.9093639455782312</v>
      </c>
      <c r="DX102" s="5">
        <f t="shared" si="262"/>
        <v>1.6097380952380949</v>
      </c>
      <c r="DY102" s="5">
        <f t="shared" si="302"/>
        <v>2.2996258503401363</v>
      </c>
      <c r="DZ102" s="5">
        <f t="shared" si="263"/>
        <v>2.2996258503401359</v>
      </c>
      <c r="EA102" s="173">
        <f t="shared" si="303"/>
        <v>0.41176470588235287</v>
      </c>
      <c r="EB102" s="173">
        <f t="shared" si="264"/>
        <v>15.907999999999992</v>
      </c>
      <c r="EC102" s="173">
        <f t="shared" si="265"/>
        <v>0.94690476190476192</v>
      </c>
      <c r="ED102" s="173">
        <f t="shared" si="304"/>
        <v>16.79999999999999</v>
      </c>
      <c r="EE102" s="460">
        <f t="shared" si="266"/>
        <v>9.521011904761906</v>
      </c>
      <c r="EF102" s="5">
        <f t="shared" si="267"/>
        <v>1.270223889833711</v>
      </c>
      <c r="EG102" s="5"/>
      <c r="EH102" s="173">
        <f t="shared" si="305"/>
        <v>1.1927492429734574</v>
      </c>
      <c r="EI102" s="173">
        <f t="shared" si="268"/>
        <v>1.4256080189638165</v>
      </c>
      <c r="EJ102" s="173"/>
      <c r="EK102" s="528">
        <f t="shared" si="269"/>
        <v>2.8453015132275116E-2</v>
      </c>
      <c r="EL102" s="528">
        <f t="shared" si="270"/>
        <v>0.67199999999999971</v>
      </c>
      <c r="EM102" s="528">
        <f t="shared" si="271"/>
        <v>3.1974510876989048E-2</v>
      </c>
      <c r="EN102" s="528">
        <f t="shared" si="272"/>
        <v>4.2580839829016844E-2</v>
      </c>
      <c r="EO102">
        <f t="shared" si="273"/>
        <v>1.0800000000000001E-2</v>
      </c>
      <c r="EP102" s="460">
        <f t="shared" si="306"/>
        <v>42.774510876989055</v>
      </c>
      <c r="EQ102" s="528">
        <f t="shared" si="274"/>
        <v>0.79889153533547685</v>
      </c>
      <c r="ER102" s="460">
        <f t="shared" si="307"/>
        <v>798.89153533547687</v>
      </c>
      <c r="ES102" s="528">
        <f t="shared" si="308"/>
        <v>0.60261249999999988</v>
      </c>
      <c r="ET102" s="528"/>
      <c r="EV102" s="460">
        <f t="shared" si="309"/>
        <v>602.61249999999984</v>
      </c>
      <c r="EW102" s="528">
        <f t="shared" si="275"/>
        <v>4.2679522698412672E-2</v>
      </c>
      <c r="EX102" s="528">
        <f t="shared" si="276"/>
        <v>6.0970746712018124E-2</v>
      </c>
      <c r="EY102" s="528">
        <f t="shared" si="277"/>
        <v>0.97312311820048447</v>
      </c>
      <c r="EZ102" s="528">
        <f t="shared" si="278"/>
        <v>1.1108607334130773</v>
      </c>
      <c r="FA102" s="528">
        <f t="shared" si="279"/>
        <v>1.325666666666666E-2</v>
      </c>
      <c r="FB102" s="460">
        <f t="shared" si="310"/>
        <v>1124.1174000797441</v>
      </c>
      <c r="FC102" s="173">
        <f t="shared" si="311"/>
        <v>2.5256214354152209</v>
      </c>
      <c r="FD102" s="5">
        <f t="shared" si="312"/>
        <v>15.907999999999998</v>
      </c>
      <c r="FE102" s="173">
        <f t="shared" si="313"/>
        <v>0.86298832032196759</v>
      </c>
      <c r="FF102" s="5">
        <f t="shared" si="314"/>
        <v>86.298832032196756</v>
      </c>
      <c r="FI102" s="562">
        <f t="shared" si="280"/>
        <v>-50</v>
      </c>
      <c r="FJ102">
        <f t="shared" si="281"/>
        <v>-50</v>
      </c>
      <c r="FL102">
        <f t="shared" si="282"/>
        <v>0.58823529411764719</v>
      </c>
    </row>
    <row r="103" spans="5:168" ht="13">
      <c r="E103" s="170">
        <v>98</v>
      </c>
      <c r="F103" s="217">
        <f>IF(PLOT_TYPE=1, E103/100*Iout_max, min_I*EXP(N103*rr/100))</f>
        <v>0.98</v>
      </c>
      <c r="G103" s="217"/>
      <c r="H103" s="217">
        <f>F103*Vout</f>
        <v>16.071999999999999</v>
      </c>
      <c r="I103" s="541">
        <f t="shared" si="184"/>
        <v>23.914867888563048</v>
      </c>
      <c r="J103" s="172">
        <f t="shared" si="185"/>
        <v>16.851079266862168</v>
      </c>
      <c r="K103" s="172">
        <f t="shared" si="186"/>
        <v>40.851079266862172</v>
      </c>
      <c r="L103" s="443"/>
      <c r="M103" s="217">
        <f t="shared" si="187"/>
        <v>0.41334583281316289</v>
      </c>
      <c r="N103" s="172">
        <f>M103*I103*(Isw_max+VIN_nom/Lmag*ILIM_delay)*0.5*Efficiency</f>
        <v>33.246923276236643</v>
      </c>
      <c r="O103" s="172">
        <f t="shared" si="284"/>
        <v>16.071999999999999</v>
      </c>
      <c r="P103" s="217">
        <f>N103/Vout</f>
        <v>2.0272514192827225</v>
      </c>
      <c r="Q103" s="217">
        <f t="shared" si="190"/>
        <v>16.399999999999999</v>
      </c>
      <c r="R103" s="217">
        <f>Isw_max/2*I103*Nps*(Q103+Vfwd1+F103/FL103*Rdcr_sec)/Q103/(I103+Nps*(Q103+Vfwd1+F103/FL103*Rdcr_sec))</f>
        <v>2.0091688991900125</v>
      </c>
      <c r="S103" s="172">
        <f t="shared" si="192"/>
        <v>57.593169716181727</v>
      </c>
      <c r="T103" s="532">
        <f>MIN(Vout, S103)</f>
        <v>16.399999999999999</v>
      </c>
      <c r="U103" s="217">
        <f t="shared" si="194"/>
        <v>3.3409802736060361</v>
      </c>
      <c r="V103" s="217">
        <f t="shared" si="195"/>
        <v>1.6764367451281537</v>
      </c>
      <c r="W103" s="217">
        <f t="shared" si="196"/>
        <v>2.3791807425719806</v>
      </c>
      <c r="X103" s="197">
        <f t="shared" si="197"/>
        <v>350</v>
      </c>
      <c r="Y103" s="443">
        <f t="shared" si="198"/>
        <v>234.98352539678808</v>
      </c>
      <c r="AA103" s="217">
        <f t="shared" si="199"/>
        <v>2.3536879287898134</v>
      </c>
      <c r="AB103" s="173">
        <f>L*AA103/J103*1000000</f>
        <v>1.6761095653392597</v>
      </c>
      <c r="AC103" s="173">
        <f>0.5*AB103*AA103*Nps*X103/1000</f>
        <v>0.69038179897192742</v>
      </c>
      <c r="AD103" s="173"/>
      <c r="AE103" s="173">
        <f t="shared" si="202"/>
        <v>0.94949407967382704</v>
      </c>
      <c r="AF103" s="545">
        <f>MAX(12, F103/(0.5*AE103/1000000*Isw_min*Nps)/1000)</f>
        <v>1548.1929076429612</v>
      </c>
      <c r="AG103" s="528">
        <f t="shared" si="204"/>
        <v>0.22154861859055969</v>
      </c>
      <c r="AI103" s="173">
        <f t="shared" si="205"/>
        <v>2.804253375000616</v>
      </c>
      <c r="AJ103" s="173">
        <f>MAX(IF(F103&gt;AC103,U103,AI103),Isw_min)</f>
        <v>3.3409802736060361</v>
      </c>
      <c r="AK103" s="173">
        <f>IF(F103&gt;AG103, (AJ103-Isw_min)/1.08*0.8+1.2, AF103*0.2/350+1)</f>
        <v>2.6871458816834837</v>
      </c>
      <c r="AM103" s="545">
        <f t="shared" si="208"/>
        <v>980</v>
      </c>
      <c r="AN103" s="460">
        <f t="shared" si="209"/>
        <v>234.98352539678808</v>
      </c>
      <c r="AP103">
        <f t="shared" si="210"/>
        <v>980</v>
      </c>
      <c r="AQ103">
        <f t="shared" si="211"/>
        <v>234.98352539678808</v>
      </c>
      <c r="AS103" s="5">
        <f t="shared" si="285"/>
        <v>4.2556174877001345</v>
      </c>
      <c r="AT103" s="5">
        <f t="shared" si="212"/>
        <v>1.6764367451281537</v>
      </c>
      <c r="AU103" s="5">
        <f t="shared" si="286"/>
        <v>2.5791807425719808</v>
      </c>
      <c r="AV103" s="5">
        <f t="shared" si="213"/>
        <v>2.3791807425719806</v>
      </c>
      <c r="AW103" s="173">
        <f t="shared" si="287"/>
        <v>0.39393501647493023</v>
      </c>
      <c r="AX103" s="173">
        <f t="shared" si="214"/>
        <v>15.73752700408753</v>
      </c>
      <c r="AY103" s="173">
        <f t="shared" si="215"/>
        <v>1.0124255772403126</v>
      </c>
      <c r="AZ103" s="173">
        <f t="shared" si="288"/>
        <v>15.544379120670932</v>
      </c>
      <c r="BA103" s="460">
        <f t="shared" si="216"/>
        <v>10.017731769668238</v>
      </c>
      <c r="BB103" s="5">
        <f t="shared" si="217"/>
        <v>1.4444498532522034</v>
      </c>
      <c r="BC103" s="5"/>
      <c r="BD103" s="173">
        <f t="shared" si="289"/>
        <v>1.2106694325202187</v>
      </c>
      <c r="BE103" s="173">
        <f t="shared" si="218"/>
        <v>1.5016643837320618</v>
      </c>
      <c r="BF103" s="173"/>
      <c r="BG103" s="528">
        <f t="shared" si="219"/>
        <v>2.9314409496776567E-2</v>
      </c>
      <c r="BH103" s="528">
        <f t="shared" si="220"/>
        <v>0.60133451717306963</v>
      </c>
      <c r="BI103" s="528">
        <f t="shared" si="221"/>
        <v>0.14048999914632468</v>
      </c>
      <c r="BJ103" s="528">
        <f t="shared" si="222"/>
        <v>3.9214301616410846E-2</v>
      </c>
      <c r="BK103">
        <f t="shared" si="223"/>
        <v>1.0761690549853372E-2</v>
      </c>
      <c r="BL103" s="460">
        <f t="shared" si="290"/>
        <v>151.25168969617806</v>
      </c>
      <c r="BM103" s="528">
        <f t="shared" si="224"/>
        <v>0.6825320251819158</v>
      </c>
      <c r="BN103" s="460">
        <f t="shared" si="291"/>
        <v>682.53202518191586</v>
      </c>
      <c r="BO103" s="528">
        <f t="shared" si="225"/>
        <v>0.60882499999999995</v>
      </c>
      <c r="BP103" s="528"/>
      <c r="BR103" s="460">
        <f t="shared" si="292"/>
        <v>608.82499999999993</v>
      </c>
      <c r="BS103" s="528">
        <f t="shared" si="226"/>
        <v>4.3971614245164853E-2</v>
      </c>
      <c r="BT103" s="528">
        <f t="shared" si="227"/>
        <v>6.7649877641081782E-2</v>
      </c>
      <c r="BU103" s="528">
        <f t="shared" si="228"/>
        <v>0.24107999999999999</v>
      </c>
      <c r="BV103" s="528">
        <f>(BU103+(BS103+BT103)*(1+Ltc*(Ta-25)))/(1-(BS103+BT103)*Ltc*ThetaCa)</f>
        <v>0.38290992813385433</v>
      </c>
      <c r="BW103" s="528">
        <f t="shared" si="230"/>
        <v>1.3114605836739606E-2</v>
      </c>
      <c r="BX103" s="460">
        <f t="shared" si="293"/>
        <v>396.02453397059395</v>
      </c>
      <c r="BY103" s="173">
        <f t="shared" si="231"/>
        <v>1.8386332488486876</v>
      </c>
      <c r="BZ103" s="5">
        <f t="shared" si="294"/>
        <v>16.071999999999999</v>
      </c>
      <c r="CA103" s="173">
        <f t="shared" si="295"/>
        <v>0.89734404008485424</v>
      </c>
      <c r="CB103" s="5">
        <f t="shared" si="296"/>
        <v>89.734404008485427</v>
      </c>
      <c r="CE103" s="562">
        <f t="shared" si="232"/>
        <v>-50</v>
      </c>
      <c r="CF103">
        <f t="shared" si="233"/>
        <v>-50</v>
      </c>
      <c r="CG103" s="173">
        <f t="shared" si="234"/>
        <v>0.57557599797451264</v>
      </c>
      <c r="CI103" s="170">
        <v>98</v>
      </c>
      <c r="CJ103" s="217">
        <f t="shared" si="297"/>
        <v>0.98</v>
      </c>
      <c r="CK103" s="217"/>
      <c r="CL103" s="217">
        <f t="shared" si="235"/>
        <v>16.071999999999999</v>
      </c>
      <c r="CM103" s="541">
        <f t="shared" si="236"/>
        <v>24</v>
      </c>
      <c r="CN103" s="172">
        <f t="shared" si="237"/>
        <v>16.799999999999997</v>
      </c>
      <c r="CO103" s="443">
        <f t="shared" si="238"/>
        <v>40.799999999999997</v>
      </c>
      <c r="CP103" s="443"/>
      <c r="CQ103" s="217">
        <f t="shared" si="239"/>
        <v>0.41176470588235292</v>
      </c>
      <c r="CR103" s="172">
        <f t="shared" si="240"/>
        <v>33.237647058823534</v>
      </c>
      <c r="CS103" s="172">
        <f t="shared" si="298"/>
        <v>16.071999999999999</v>
      </c>
      <c r="CT103" s="217">
        <f t="shared" si="241"/>
        <v>2.026685796269728</v>
      </c>
      <c r="CU103" s="217">
        <f t="shared" si="242"/>
        <v>16.399999999999999</v>
      </c>
      <c r="CV103" s="217">
        <f t="shared" si="243"/>
        <v>2.0086083213773311</v>
      </c>
      <c r="CW103" s="172">
        <f t="shared" si="244"/>
        <v>57.797608293603957</v>
      </c>
      <c r="CX103" s="532">
        <f t="shared" si="245"/>
        <v>16.399999999999999</v>
      </c>
      <c r="CY103" s="217">
        <f t="shared" si="246"/>
        <v>3.2526666666666664</v>
      </c>
      <c r="CZ103" s="217">
        <f t="shared" si="247"/>
        <v>1.6263333333333332</v>
      </c>
      <c r="DA103" s="217">
        <f t="shared" si="248"/>
        <v>2.3233333333333333</v>
      </c>
      <c r="DB103" s="197">
        <f t="shared" si="249"/>
        <v>350</v>
      </c>
      <c r="DC103" s="443">
        <f t="shared" si="299"/>
        <v>253.18592286268887</v>
      </c>
      <c r="DE103" s="217">
        <f t="shared" si="250"/>
        <v>2.3529411764705879</v>
      </c>
      <c r="DF103" s="173">
        <f t="shared" si="251"/>
        <v>1.6806722689075633</v>
      </c>
      <c r="DG103" s="173">
        <f t="shared" si="252"/>
        <v>0.69204152249134954</v>
      </c>
      <c r="DH103" s="173"/>
      <c r="DI103" s="173">
        <f t="shared" si="253"/>
        <v>0.95238095238095266</v>
      </c>
      <c r="DJ103" s="545">
        <f t="shared" si="300"/>
        <v>1543.4999999999993</v>
      </c>
      <c r="DK103" s="528">
        <f t="shared" si="254"/>
        <v>0.22222222222222232</v>
      </c>
      <c r="DM103" s="173">
        <f t="shared" si="255"/>
        <v>2.8</v>
      </c>
      <c r="DN103" s="173">
        <f t="shared" si="256"/>
        <v>3.2526666666666664</v>
      </c>
      <c r="DO103" s="173">
        <f t="shared" si="257"/>
        <v>2.6217283950617283</v>
      </c>
      <c r="DQ103" s="545">
        <f t="shared" si="258"/>
        <v>980</v>
      </c>
      <c r="DR103" s="460">
        <f t="shared" si="259"/>
        <v>253.18592286268887</v>
      </c>
      <c r="DT103">
        <f t="shared" si="260"/>
        <v>980</v>
      </c>
      <c r="DU103">
        <f t="shared" si="261"/>
        <v>253.18592286268887</v>
      </c>
      <c r="DW103" s="5">
        <f t="shared" si="301"/>
        <v>3.9496666666666664</v>
      </c>
      <c r="DX103" s="5">
        <f t="shared" si="262"/>
        <v>1.6263333333333332</v>
      </c>
      <c r="DY103" s="5">
        <f t="shared" si="302"/>
        <v>2.3233333333333333</v>
      </c>
      <c r="DZ103" s="5">
        <f t="shared" si="263"/>
        <v>2.3233333333333333</v>
      </c>
      <c r="EA103" s="173">
        <f t="shared" si="303"/>
        <v>0.41176470588235292</v>
      </c>
      <c r="EB103" s="173">
        <f t="shared" si="264"/>
        <v>16.071999999999999</v>
      </c>
      <c r="EC103" s="173">
        <f t="shared" si="265"/>
        <v>0.95666666666666667</v>
      </c>
      <c r="ED103" s="173">
        <f t="shared" si="304"/>
        <v>16.8</v>
      </c>
      <c r="EE103" s="460">
        <f t="shared" si="266"/>
        <v>9.7183333333333337</v>
      </c>
      <c r="EF103" s="5">
        <f t="shared" si="267"/>
        <v>1.2965490740740737</v>
      </c>
      <c r="EG103" s="5"/>
      <c r="EH103" s="173">
        <f t="shared" si="305"/>
        <v>1.2050456269216374</v>
      </c>
      <c r="EI103" s="173">
        <f t="shared" si="268"/>
        <v>1.4403050088500415</v>
      </c>
      <c r="EJ103" s="173"/>
      <c r="EK103" s="528">
        <f t="shared" si="269"/>
        <v>2.9042699259259241E-2</v>
      </c>
      <c r="EL103" s="528">
        <f t="shared" si="270"/>
        <v>0.67200000000000004</v>
      </c>
      <c r="EM103" s="528">
        <f t="shared" si="271"/>
        <v>3.1648240357836102E-2</v>
      </c>
      <c r="EN103" s="528">
        <f t="shared" si="272"/>
        <v>4.2146341463414637E-2</v>
      </c>
      <c r="EO103">
        <f t="shared" si="273"/>
        <v>1.0800000000000001E-2</v>
      </c>
      <c r="EP103" s="460">
        <f t="shared" si="306"/>
        <v>42.448240357836106</v>
      </c>
      <c r="EQ103" s="528">
        <f t="shared" si="274"/>
        <v>0.7989922924238877</v>
      </c>
      <c r="ER103" s="460">
        <f t="shared" si="307"/>
        <v>798.99229242388765</v>
      </c>
      <c r="ES103" s="528">
        <f t="shared" si="308"/>
        <v>0.60882499999999995</v>
      </c>
      <c r="ET103" s="528"/>
      <c r="EV103" s="460">
        <f t="shared" si="309"/>
        <v>608.82499999999993</v>
      </c>
      <c r="EW103" s="528">
        <f t="shared" si="275"/>
        <v>4.3564048888888859E-2</v>
      </c>
      <c r="EX103" s="528">
        <f t="shared" si="276"/>
        <v>6.2234355555555551E-2</v>
      </c>
      <c r="EY103" s="528">
        <f t="shared" si="277"/>
        <v>0.97312311820048625</v>
      </c>
      <c r="EZ103" s="528">
        <f t="shared" si="278"/>
        <v>1.1137396902875067</v>
      </c>
      <c r="FA103" s="528">
        <f t="shared" si="279"/>
        <v>1.3393333333333335E-2</v>
      </c>
      <c r="FB103" s="460">
        <f t="shared" si="310"/>
        <v>1127.13302362084</v>
      </c>
      <c r="FC103" s="173">
        <f t="shared" si="311"/>
        <v>2.5349503160447275</v>
      </c>
      <c r="FD103" s="5">
        <f t="shared" si="312"/>
        <v>16.071999999999999</v>
      </c>
      <c r="FE103" s="173">
        <f t="shared" si="313"/>
        <v>0.86376325657951336</v>
      </c>
      <c r="FF103" s="5">
        <f t="shared" si="314"/>
        <v>86.376325657951341</v>
      </c>
      <c r="FI103" s="562">
        <f t="shared" si="280"/>
        <v>-50</v>
      </c>
      <c r="FJ103">
        <f t="shared" si="281"/>
        <v>-50</v>
      </c>
      <c r="FL103">
        <f t="shared" si="282"/>
        <v>0.58823529411764708</v>
      </c>
    </row>
    <row r="104" spans="5:168" ht="13">
      <c r="E104" s="170">
        <v>99</v>
      </c>
      <c r="F104" s="217">
        <f>IF(PLOT_TYPE=1, E104/100*Iout_max, min_I*EXP(N104*rr/100))</f>
        <v>0.99</v>
      </c>
      <c r="G104" s="217"/>
      <c r="H104" s="217">
        <f>F104*Vout</f>
        <v>16.235999999999997</v>
      </c>
      <c r="I104" s="541">
        <f t="shared" si="184"/>
        <v>23.914018295499979</v>
      </c>
      <c r="J104" s="172">
        <f t="shared" si="185"/>
        <v>16.851589022700011</v>
      </c>
      <c r="K104" s="172">
        <f t="shared" si="186"/>
        <v>40.851589022700011</v>
      </c>
      <c r="L104" s="443"/>
      <c r="M104" s="217">
        <f t="shared" si="187"/>
        <v>0.41336178711764648</v>
      </c>
      <c r="N104" s="172">
        <f>M104*I104*(Isw_max+VIN_nom/Lmag*ILIM_delay)*0.5*Efficiency</f>
        <v>33.247025372833647</v>
      </c>
      <c r="O104" s="172">
        <f t="shared" si="284"/>
        <v>16.235999999999997</v>
      </c>
      <c r="P104" s="217">
        <f>N104/Vout</f>
        <v>2.0272576446849788</v>
      </c>
      <c r="Q104" s="217">
        <f t="shared" si="190"/>
        <v>16.399999999999999</v>
      </c>
      <c r="R104" s="217">
        <f>Isw_max/2*I104*Nps*(Q104+Vfwd1+F104/FL104*Rdcr_sec)/Q104/(I104+Nps*(Q104+Vfwd1+F104/FL104*Rdcr_sec))</f>
        <v>2.0091750690634083</v>
      </c>
      <c r="S104" s="172">
        <f t="shared" si="192"/>
        <v>56.771874988414709</v>
      </c>
      <c r="T104" s="532">
        <f>MIN(Vout, S104)</f>
        <v>16.399999999999999</v>
      </c>
      <c r="U104" s="217">
        <f t="shared" si="194"/>
        <v>3.3751636980338962</v>
      </c>
      <c r="V104" s="217">
        <f t="shared" si="195"/>
        <v>1.6936494685223273</v>
      </c>
      <c r="W104" s="217">
        <f t="shared" si="196"/>
        <v>2.4034507559998284</v>
      </c>
      <c r="X104" s="197">
        <f t="shared" si="197"/>
        <v>350</v>
      </c>
      <c r="Y104" s="443">
        <f t="shared" si="198"/>
        <v>232.71507475979374</v>
      </c>
      <c r="AA104" s="217">
        <f t="shared" si="199"/>
        <v>2.3536951314511998</v>
      </c>
      <c r="AB104" s="173">
        <f>L*AA104/J104*1000000</f>
        <v>1.6760639925034799</v>
      </c>
      <c r="AC104" s="173">
        <f>0.5*AB104*AA104*Nps*X104/1000</f>
        <v>0.69036514035231766</v>
      </c>
      <c r="AD104" s="173"/>
      <c r="AE104" s="173">
        <f t="shared" si="202"/>
        <v>0.94946535774443164</v>
      </c>
      <c r="AF104" s="545">
        <f>MAX(12, F104/(0.5*AE104/1000000*Isw_min*Nps)/1000)</f>
        <v>1564.0381061693442</v>
      </c>
      <c r="AG104" s="528">
        <f t="shared" si="204"/>
        <v>0.22154191680703408</v>
      </c>
      <c r="AI104" s="173">
        <f t="shared" si="205"/>
        <v>2.818567107463092</v>
      </c>
      <c r="AJ104" s="173">
        <f>MAX(IF(F104&gt;AC104,U104,AI104),Isw_min)</f>
        <v>3.3751636980338962</v>
      </c>
      <c r="AK104" s="173">
        <f>IF(F104&gt;AG104, (AJ104-Isw_min)/1.08*0.8+1.2, AF104*0.2/350+1)</f>
        <v>2.7124669368152317</v>
      </c>
      <c r="AM104" s="545">
        <f t="shared" si="208"/>
        <v>990</v>
      </c>
      <c r="AN104" s="460">
        <f t="shared" si="209"/>
        <v>232.71507475979374</v>
      </c>
      <c r="AP104">
        <f t="shared" si="210"/>
        <v>990</v>
      </c>
      <c r="AQ104">
        <f t="shared" si="211"/>
        <v>232.71507475979374</v>
      </c>
      <c r="AS104" s="5">
        <f t="shared" si="285"/>
        <v>4.2971002245221559</v>
      </c>
      <c r="AT104" s="5">
        <f t="shared" si="212"/>
        <v>1.6936494685223273</v>
      </c>
      <c r="AU104" s="5">
        <f t="shared" si="286"/>
        <v>2.6034507559998286</v>
      </c>
      <c r="AV104" s="5">
        <f t="shared" si="213"/>
        <v>2.4034507559998284</v>
      </c>
      <c r="AW104" s="173">
        <f t="shared" si="287"/>
        <v>0.39413776268405837</v>
      </c>
      <c r="AX104" s="173">
        <f t="shared" si="214"/>
        <v>15.906163775539062</v>
      </c>
      <c r="AY104" s="173">
        <f t="shared" si="215"/>
        <v>1.0224421146991818</v>
      </c>
      <c r="AZ104" s="173">
        <f t="shared" si="288"/>
        <v>15.557031099231374</v>
      </c>
      <c r="BA104" s="460">
        <f t="shared" si="216"/>
        <v>10.22385959656771</v>
      </c>
      <c r="BB104" s="5">
        <f t="shared" si="217"/>
        <v>1.472972391900615</v>
      </c>
      <c r="BC104" s="5"/>
      <c r="BD104" s="173">
        <f t="shared" si="289"/>
        <v>1.2233711580135811</v>
      </c>
      <c r="BE104" s="173">
        <f t="shared" si="218"/>
        <v>1.5167749797676402</v>
      </c>
      <c r="BF104" s="173"/>
      <c r="BG104" s="528">
        <f t="shared" si="219"/>
        <v>2.9932739805189811E-2</v>
      </c>
      <c r="BH104" s="528">
        <f t="shared" si="220"/>
        <v>0.60163013895499862</v>
      </c>
      <c r="BI104" s="528">
        <f t="shared" si="221"/>
        <v>0.13912881388610882</v>
      </c>
      <c r="BJ104" s="528">
        <f t="shared" si="222"/>
        <v>3.8836709373358008E-2</v>
      </c>
      <c r="BK104">
        <f t="shared" si="223"/>
        <v>1.0761308232974991E-2</v>
      </c>
      <c r="BL104" s="460">
        <f t="shared" si="290"/>
        <v>149.8901221190838</v>
      </c>
      <c r="BM104" s="528">
        <f t="shared" si="224"/>
        <v>0.68334136463448447</v>
      </c>
      <c r="BN104" s="460">
        <f t="shared" si="291"/>
        <v>683.34136463448442</v>
      </c>
      <c r="BO104" s="528">
        <f t="shared" si="225"/>
        <v>0.6150374999999999</v>
      </c>
      <c r="BP104" s="528"/>
      <c r="BR104" s="460">
        <f t="shared" si="292"/>
        <v>615.03749999999991</v>
      </c>
      <c r="BS104" s="528">
        <f t="shared" si="226"/>
        <v>4.4899109707784712E-2</v>
      </c>
      <c r="BT104" s="528">
        <f t="shared" si="227"/>
        <v>6.9018190177473765E-2</v>
      </c>
      <c r="BU104" s="528">
        <f t="shared" si="228"/>
        <v>0.24353999999999995</v>
      </c>
      <c r="BV104" s="528">
        <f>(BU104+(BS104+BT104)*(1+Ltc*(Ta-25)))/(1-(BS104+BT104)*Ltc*ThetaCa)</f>
        <v>0.38833651160563842</v>
      </c>
      <c r="BW104" s="528">
        <f t="shared" si="230"/>
        <v>1.3255136479615882E-2</v>
      </c>
      <c r="BX104" s="460">
        <f t="shared" si="293"/>
        <v>401.59164808525435</v>
      </c>
      <c r="BY104" s="173">
        <f t="shared" si="231"/>
        <v>1.8498606348388227</v>
      </c>
      <c r="BZ104" s="5">
        <f t="shared" si="294"/>
        <v>16.235999999999997</v>
      </c>
      <c r="CA104" s="173">
        <f t="shared" si="295"/>
        <v>0.89771785417413685</v>
      </c>
      <c r="CB104" s="5">
        <f t="shared" si="296"/>
        <v>89.771785417413682</v>
      </c>
      <c r="CE104" s="562">
        <f t="shared" si="232"/>
        <v>-50</v>
      </c>
      <c r="CF104">
        <f t="shared" si="233"/>
        <v>-50</v>
      </c>
      <c r="CG104" s="173">
        <f t="shared" si="234"/>
        <v>0.57570386965272602</v>
      </c>
      <c r="CI104" s="170">
        <v>99</v>
      </c>
      <c r="CJ104" s="217">
        <f t="shared" si="297"/>
        <v>0.99</v>
      </c>
      <c r="CK104" s="217"/>
      <c r="CL104" s="217">
        <f t="shared" si="235"/>
        <v>16.235999999999997</v>
      </c>
      <c r="CM104" s="541">
        <f t="shared" si="236"/>
        <v>24</v>
      </c>
      <c r="CN104" s="172">
        <f t="shared" si="237"/>
        <v>16.799999999999997</v>
      </c>
      <c r="CO104" s="443">
        <f t="shared" si="238"/>
        <v>40.799999999999997</v>
      </c>
      <c r="CP104" s="443"/>
      <c r="CQ104" s="217">
        <f t="shared" si="239"/>
        <v>0.41176470588235292</v>
      </c>
      <c r="CR104" s="172">
        <f t="shared" si="240"/>
        <v>33.237647058823534</v>
      </c>
      <c r="CS104" s="172">
        <f t="shared" si="298"/>
        <v>16.235999999999997</v>
      </c>
      <c r="CT104" s="217">
        <f t="shared" si="241"/>
        <v>2.026685796269728</v>
      </c>
      <c r="CU104" s="217">
        <f t="shared" si="242"/>
        <v>16.399999999999999</v>
      </c>
      <c r="CV104" s="217">
        <f t="shared" si="243"/>
        <v>2.0086083213773311</v>
      </c>
      <c r="CW104" s="172">
        <f t="shared" si="244"/>
        <v>56.97539990330592</v>
      </c>
      <c r="CX104" s="532">
        <f t="shared" si="245"/>
        <v>16.399999999999999</v>
      </c>
      <c r="CY104" s="217">
        <f t="shared" si="246"/>
        <v>3.2858571428571421</v>
      </c>
      <c r="CZ104" s="217">
        <f t="shared" si="247"/>
        <v>1.6429285714285711</v>
      </c>
      <c r="DA104" s="217">
        <f t="shared" si="248"/>
        <v>2.3470408163265306</v>
      </c>
      <c r="DB104" s="197">
        <f t="shared" si="249"/>
        <v>350</v>
      </c>
      <c r="DC104" s="443">
        <f t="shared" si="299"/>
        <v>250.62848929841931</v>
      </c>
      <c r="DE104" s="217">
        <f t="shared" si="250"/>
        <v>2.3529411764705879</v>
      </c>
      <c r="DF104" s="173">
        <f t="shared" si="251"/>
        <v>1.6806722689075633</v>
      </c>
      <c r="DG104" s="173">
        <f t="shared" si="252"/>
        <v>0.69204152249134954</v>
      </c>
      <c r="DH104" s="173"/>
      <c r="DI104" s="173">
        <f t="shared" si="253"/>
        <v>0.95238095238095266</v>
      </c>
      <c r="DJ104" s="545">
        <f t="shared" si="300"/>
        <v>1559.2499999999993</v>
      </c>
      <c r="DK104" s="528">
        <f t="shared" si="254"/>
        <v>0.22222222222222232</v>
      </c>
      <c r="DM104" s="173">
        <f t="shared" si="255"/>
        <v>2.8142494558940574</v>
      </c>
      <c r="DN104" s="173">
        <f t="shared" si="256"/>
        <v>3.2858571428571421</v>
      </c>
      <c r="DO104" s="173">
        <f t="shared" si="257"/>
        <v>2.6463139329805987</v>
      </c>
      <c r="DQ104" s="545">
        <f t="shared" si="258"/>
        <v>990</v>
      </c>
      <c r="DR104" s="460">
        <f t="shared" si="259"/>
        <v>250.62848929841931</v>
      </c>
      <c r="DT104">
        <f t="shared" si="260"/>
        <v>990</v>
      </c>
      <c r="DU104">
        <f t="shared" si="261"/>
        <v>250.62848929841931</v>
      </c>
      <c r="DW104" s="5">
        <f t="shared" si="301"/>
        <v>3.9899693877551008</v>
      </c>
      <c r="DX104" s="5">
        <f t="shared" si="262"/>
        <v>1.6429285714285711</v>
      </c>
      <c r="DY104" s="5">
        <f t="shared" si="302"/>
        <v>2.3470408163265297</v>
      </c>
      <c r="DZ104" s="5">
        <f t="shared" si="263"/>
        <v>2.3470408163265306</v>
      </c>
      <c r="EA104" s="173">
        <f t="shared" si="303"/>
        <v>0.41176470588235298</v>
      </c>
      <c r="EB104" s="173">
        <f t="shared" si="264"/>
        <v>16.235999999999997</v>
      </c>
      <c r="EC104" s="173">
        <f t="shared" si="265"/>
        <v>0.96642857142857108</v>
      </c>
      <c r="ED104" s="173">
        <f t="shared" si="304"/>
        <v>16.800000000000004</v>
      </c>
      <c r="EE104" s="460">
        <f t="shared" si="266"/>
        <v>9.9176785714285707</v>
      </c>
      <c r="EF104" s="5">
        <f t="shared" si="267"/>
        <v>1.3231442602040806</v>
      </c>
      <c r="EG104" s="5"/>
      <c r="EH104" s="173">
        <f t="shared" si="305"/>
        <v>1.2173420108698174</v>
      </c>
      <c r="EI104" s="173">
        <f t="shared" si="268"/>
        <v>1.4550019987362661</v>
      </c>
      <c r="EJ104" s="173"/>
      <c r="EK104" s="528">
        <f t="shared" si="269"/>
        <v>2.9638431428571414E-2</v>
      </c>
      <c r="EL104" s="528">
        <f t="shared" si="270"/>
        <v>0.67200000000000004</v>
      </c>
      <c r="EM104" s="528">
        <f t="shared" si="271"/>
        <v>3.1328561162302412E-2</v>
      </c>
      <c r="EN104" s="528">
        <f t="shared" si="272"/>
        <v>4.1720620842572075E-2</v>
      </c>
      <c r="EO104">
        <f t="shared" si="273"/>
        <v>1.0800000000000001E-2</v>
      </c>
      <c r="EP104" s="460">
        <f t="shared" si="306"/>
        <v>42.128561162302418</v>
      </c>
      <c r="EQ104" s="528">
        <f t="shared" si="274"/>
        <v>0.79911744795300466</v>
      </c>
      <c r="ER104" s="460">
        <f t="shared" si="307"/>
        <v>799.11744795300467</v>
      </c>
      <c r="ES104" s="528">
        <f t="shared" si="308"/>
        <v>0.6150374999999999</v>
      </c>
      <c r="ET104" s="528"/>
      <c r="EV104" s="460">
        <f t="shared" si="309"/>
        <v>615.03749999999991</v>
      </c>
      <c r="EW104" s="528">
        <f t="shared" si="275"/>
        <v>4.4457647142857118E-2</v>
      </c>
      <c r="EX104" s="528">
        <f t="shared" si="276"/>
        <v>6.3510924489795881E-2</v>
      </c>
      <c r="EY104" s="528">
        <f t="shared" si="277"/>
        <v>0.97312311820048447</v>
      </c>
      <c r="EZ104" s="528">
        <f t="shared" si="278"/>
        <v>1.1166491884563658</v>
      </c>
      <c r="FA104" s="528">
        <f t="shared" si="279"/>
        <v>1.3529999999999997E-2</v>
      </c>
      <c r="FB104" s="460">
        <f t="shared" si="310"/>
        <v>1130.1791884563659</v>
      </c>
      <c r="FC104" s="173">
        <f t="shared" si="311"/>
        <v>2.5443341364093701</v>
      </c>
      <c r="FD104" s="5">
        <f t="shared" si="312"/>
        <v>16.235999999999997</v>
      </c>
      <c r="FE104" s="173">
        <f t="shared" si="313"/>
        <v>0.8645213595280673</v>
      </c>
      <c r="FF104" s="5">
        <f t="shared" si="314"/>
        <v>86.452135952806728</v>
      </c>
      <c r="FI104" s="562">
        <f t="shared" si="280"/>
        <v>-50</v>
      </c>
      <c r="FJ104">
        <f t="shared" si="281"/>
        <v>-50</v>
      </c>
      <c r="FL104">
        <f t="shared" si="282"/>
        <v>0.58823529411764697</v>
      </c>
    </row>
    <row r="105" spans="5:168" ht="13">
      <c r="E105" s="170">
        <v>100</v>
      </c>
      <c r="F105" s="217">
        <f>IF(PLOT_TYPE=1, E105/100*Iout_max, min_I*EXP(N105*rr/100))</f>
        <v>1</v>
      </c>
      <c r="G105" s="217"/>
      <c r="H105" s="217">
        <f>F105*Vout</f>
        <v>16.399999999999999</v>
      </c>
      <c r="I105" s="541">
        <f t="shared" si="184"/>
        <v>23.91316869412282</v>
      </c>
      <c r="J105" s="172">
        <f t="shared" si="185"/>
        <v>16.852098783526305</v>
      </c>
      <c r="K105" s="172">
        <f t="shared" si="186"/>
        <v>40.852098783526301</v>
      </c>
      <c r="L105" s="443"/>
      <c r="M105" s="217">
        <f t="shared" si="187"/>
        <v>0.41337774177226122</v>
      </c>
      <c r="N105" s="172">
        <f>M105*I105*(Isw_max+VIN_nom/Lmag*ILIM_delay)*0.5*Efficiency</f>
        <v>33.247127394853948</v>
      </c>
      <c r="O105" s="172">
        <f t="shared" si="284"/>
        <v>16.399999999999999</v>
      </c>
      <c r="P105" s="217">
        <f>N105/Vout</f>
        <v>2.0272638655398749</v>
      </c>
      <c r="Q105" s="217">
        <f t="shared" si="190"/>
        <v>16.399999999999999</v>
      </c>
      <c r="R105" s="217">
        <f>Isw_max/2*I105*Nps*(Q105+Vfwd1+F105/FL105*Rdcr_sec)/Q105/(I105+Nps*(Q105+Vfwd1+F105/FL105*Rdcr_sec))</f>
        <v>2.0091812344300055</v>
      </c>
      <c r="S105" s="172">
        <f t="shared" si="192"/>
        <v>55.967089581371511</v>
      </c>
      <c r="T105" s="532">
        <f>MIN(Vout, S105)</f>
        <v>16.399999999999999</v>
      </c>
      <c r="U105" s="217">
        <f t="shared" si="194"/>
        <v>3.4093489838627278</v>
      </c>
      <c r="V105" s="217">
        <f>L*U105/I105*1000000</f>
        <v>1.7108643496672105</v>
      </c>
      <c r="W105" s="217">
        <f t="shared" si="196"/>
        <v>2.427720625892976</v>
      </c>
      <c r="X105" s="197">
        <f t="shared" si="197"/>
        <v>350</v>
      </c>
      <c r="Y105" s="443">
        <f>MIN(1/(V105+W105+0.2)*1000, 350)</f>
        <v>230.48989604516913</v>
      </c>
      <c r="AA105" s="217">
        <f t="shared" si="199"/>
        <v>2.3537023292441011</v>
      </c>
      <c r="AB105" s="173">
        <f>L*AA105/J105*1000000</f>
        <v>1.6760184184618849</v>
      </c>
      <c r="AC105" s="173">
        <f>0.5*AB105*AA105*Nps*X105/1000</f>
        <v>0.69034847969320678</v>
      </c>
      <c r="AD105" s="173"/>
      <c r="AE105" s="173">
        <f t="shared" si="202"/>
        <v>0.94943663727159799</v>
      </c>
      <c r="AF105" s="545">
        <f>MAX(12, F105/(0.5*AE105/1000000*Isw_min*Nps)/1000)</f>
        <v>1579.8842609555904</v>
      </c>
      <c r="AG105" s="528">
        <f t="shared" si="204"/>
        <v>0.22153521536337292</v>
      </c>
      <c r="AI105" s="173">
        <f t="shared" si="205"/>
        <v>2.8328093731376165</v>
      </c>
      <c r="AJ105" s="173">
        <f>MAX(IF(F105&gt;AC105,U105,AI105),Isw_min)</f>
        <v>3.4093489838627278</v>
      </c>
      <c r="AK105" s="173">
        <f>IF(F105&gt;AG105, (AJ105-Isw_min)/1.08*0.8+1.2, AF105*0.2/350+1)</f>
        <v>2.7377893707625143</v>
      </c>
      <c r="AM105" s="545">
        <f t="shared" si="208"/>
        <v>1000</v>
      </c>
      <c r="AN105" s="460">
        <f t="shared" si="209"/>
        <v>230.48989604516913</v>
      </c>
      <c r="AP105">
        <f t="shared" si="210"/>
        <v>1000</v>
      </c>
      <c r="AQ105" s="3">
        <f t="shared" si="211"/>
        <v>230.48989604516913</v>
      </c>
      <c r="AS105" s="5">
        <f t="shared" si="285"/>
        <v>4.3385849755601855</v>
      </c>
      <c r="AT105" s="5">
        <f t="shared" si="212"/>
        <v>1.7108643496672105</v>
      </c>
      <c r="AU105" s="5">
        <f t="shared" si="286"/>
        <v>2.6277206258929748</v>
      </c>
      <c r="AV105" s="5">
        <f t="shared" si="213"/>
        <v>2.427720625892976</v>
      </c>
      <c r="AW105" s="173">
        <f t="shared" si="287"/>
        <v>0.39433694610218128</v>
      </c>
      <c r="AX105" s="173">
        <f t="shared" si="214"/>
        <v>16.074817793234534</v>
      </c>
      <c r="AY105" s="173">
        <f t="shared" si="215"/>
        <v>1.0324583586848624</v>
      </c>
      <c r="AZ105" s="173">
        <f t="shared" si="288"/>
        <v>15.56945871764796</v>
      </c>
      <c r="BA105" s="460">
        <f t="shared" si="216"/>
        <v>10.432099693092749</v>
      </c>
      <c r="BB105" s="5">
        <f t="shared" si="217"/>
        <v>1.5017742879064861</v>
      </c>
      <c r="BC105" s="5"/>
      <c r="BD105" s="173">
        <f t="shared" si="289"/>
        <v>1.2360742671377241</v>
      </c>
      <c r="BE105" s="173">
        <f t="shared" si="218"/>
        <v>1.5318857346557793</v>
      </c>
      <c r="BF105" s="173"/>
      <c r="BG105" s="528">
        <f t="shared" si="219"/>
        <v>3.0557591877601233E-2</v>
      </c>
      <c r="BH105" s="528">
        <f t="shared" si="220"/>
        <v>0.60192030751753833</v>
      </c>
      <c r="BI105" s="528">
        <f t="shared" si="221"/>
        <v>0.13779359416047404</v>
      </c>
      <c r="BJ105" s="528">
        <f t="shared" si="222"/>
        <v>3.8466319881253631E-2</v>
      </c>
      <c r="BK105">
        <f t="shared" si="223"/>
        <v>1.0760925912355269E-2</v>
      </c>
      <c r="BL105" s="460">
        <f t="shared" si="290"/>
        <v>148.55452007282932</v>
      </c>
      <c r="BM105" s="528">
        <f t="shared" si="224"/>
        <v>0.68416211707152264</v>
      </c>
      <c r="BN105" s="460">
        <f t="shared" si="291"/>
        <v>684.16211707152263</v>
      </c>
      <c r="BO105" s="528">
        <f t="shared" si="225"/>
        <v>0.62124999999999997</v>
      </c>
      <c r="BP105" s="528"/>
      <c r="BR105" s="460">
        <f t="shared" si="292"/>
        <v>621.25</v>
      </c>
      <c r="BS105" s="528">
        <f t="shared" si="226"/>
        <v>4.5836387816401848E-2</v>
      </c>
      <c r="BT105" s="528">
        <f t="shared" si="227"/>
        <v>7.0400217121256298E-2</v>
      </c>
      <c r="BU105" s="528">
        <f t="shared" si="228"/>
        <v>0.24599999999999997</v>
      </c>
      <c r="BV105" s="528">
        <f>(BU105+(BS105+BT105)*(1+Ltc*(Ta-25)))/(1-(BS105+BT105)*Ltc*ThetaCa)</f>
        <v>0.39379526408572435</v>
      </c>
      <c r="BW105" s="528">
        <f t="shared" si="230"/>
        <v>1.339568149436211E-2</v>
      </c>
      <c r="BX105" s="460">
        <f t="shared" si="293"/>
        <v>407.19094558008646</v>
      </c>
      <c r="BY105" s="173">
        <f>SUM(BM105,BO105:BQ105,BV105, BW105)+BK105+BI105</f>
        <v>1.8611575827244384</v>
      </c>
      <c r="BZ105" s="5">
        <f t="shared" si="294"/>
        <v>16.399999999999999</v>
      </c>
      <c r="CA105" s="173">
        <f>BZ105/(BZ105+BY105)</f>
        <v>0.89808107321273301</v>
      </c>
      <c r="CB105" s="5">
        <f>CA105*100</f>
        <v>89.808107321273297</v>
      </c>
      <c r="CE105" s="562">
        <f t="shared" si="232"/>
        <v>-50</v>
      </c>
      <c r="CF105">
        <f t="shared" si="233"/>
        <v>-50</v>
      </c>
      <c r="CG105" s="173">
        <f t="shared" si="234"/>
        <v>0.57582918389737547</v>
      </c>
      <c r="CI105" s="170">
        <v>100</v>
      </c>
      <c r="CJ105" s="217">
        <f t="shared" si="297"/>
        <v>1</v>
      </c>
      <c r="CK105" s="217"/>
      <c r="CL105" s="217">
        <f t="shared" si="235"/>
        <v>16.399999999999999</v>
      </c>
      <c r="CM105" s="541">
        <f t="shared" si="236"/>
        <v>24</v>
      </c>
      <c r="CN105" s="172">
        <f t="shared" si="237"/>
        <v>16.799999999999997</v>
      </c>
      <c r="CO105" s="443">
        <f t="shared" si="238"/>
        <v>40.799999999999997</v>
      </c>
      <c r="CP105" s="443"/>
      <c r="CQ105" s="217">
        <f t="shared" si="239"/>
        <v>0.41176470588235292</v>
      </c>
      <c r="CR105" s="172">
        <f t="shared" si="240"/>
        <v>33.237647058823534</v>
      </c>
      <c r="CS105" s="172">
        <f t="shared" si="298"/>
        <v>16.399999999999999</v>
      </c>
      <c r="CT105" s="217">
        <f t="shared" si="241"/>
        <v>2.026685796269728</v>
      </c>
      <c r="CU105" s="217">
        <f t="shared" si="242"/>
        <v>16.399999999999999</v>
      </c>
      <c r="CV105" s="217">
        <f t="shared" si="243"/>
        <v>2.0086083213773311</v>
      </c>
      <c r="CW105" s="172">
        <f t="shared" si="244"/>
        <v>56.169702148595078</v>
      </c>
      <c r="CX105" s="532">
        <f t="shared" si="245"/>
        <v>16.399999999999999</v>
      </c>
      <c r="CY105" s="217">
        <f t="shared" si="246"/>
        <v>3.3190476190476188</v>
      </c>
      <c r="CZ105" s="217">
        <f t="shared" si="247"/>
        <v>1.6595238095238094</v>
      </c>
      <c r="DA105" s="217">
        <f t="shared" si="248"/>
        <v>2.3707482993197284</v>
      </c>
      <c r="DB105" s="197">
        <f t="shared" si="249"/>
        <v>350</v>
      </c>
      <c r="DC105" s="443">
        <f t="shared" si="299"/>
        <v>248.12220440543504</v>
      </c>
      <c r="DE105" s="217">
        <f t="shared" si="250"/>
        <v>2.3529411764705879</v>
      </c>
      <c r="DF105" s="173">
        <f t="shared" si="251"/>
        <v>1.6806722689075633</v>
      </c>
      <c r="DG105" s="173">
        <f t="shared" si="252"/>
        <v>0.69204152249134954</v>
      </c>
      <c r="DH105" s="173"/>
      <c r="DI105" s="173">
        <f t="shared" si="253"/>
        <v>0.95238095238095266</v>
      </c>
      <c r="DJ105" s="545">
        <f t="shared" si="300"/>
        <v>1574.9999999999993</v>
      </c>
      <c r="DK105" s="528">
        <f t="shared" si="254"/>
        <v>0.22222222222222232</v>
      </c>
      <c r="DM105" s="173">
        <f t="shared" si="255"/>
        <v>2.8284271247461898</v>
      </c>
      <c r="DN105" s="173">
        <f t="shared" si="256"/>
        <v>3.3190476190476188</v>
      </c>
      <c r="DO105" s="173">
        <f t="shared" si="257"/>
        <v>2.6708994708994709</v>
      </c>
      <c r="DQ105" s="545">
        <f t="shared" si="258"/>
        <v>1000</v>
      </c>
      <c r="DR105" s="460">
        <f t="shared" si="259"/>
        <v>248.12220440543504</v>
      </c>
      <c r="DT105">
        <f t="shared" si="260"/>
        <v>1000</v>
      </c>
      <c r="DU105" s="3">
        <f t="shared" si="261"/>
        <v>248.12220440543504</v>
      </c>
      <c r="DW105" s="5">
        <f t="shared" si="301"/>
        <v>4.0302721088435378</v>
      </c>
      <c r="DX105" s="5">
        <f t="shared" si="262"/>
        <v>1.6595238095238094</v>
      </c>
      <c r="DY105" s="5">
        <f t="shared" si="302"/>
        <v>2.3707482993197284</v>
      </c>
      <c r="DZ105" s="5">
        <f t="shared" si="263"/>
        <v>2.3707482993197284</v>
      </c>
      <c r="EA105" s="173">
        <f t="shared" si="303"/>
        <v>0.41176470588235287</v>
      </c>
      <c r="EB105" s="173">
        <f t="shared" si="264"/>
        <v>16.399999999999995</v>
      </c>
      <c r="EC105" s="173">
        <f t="shared" si="265"/>
        <v>0.97619047619047639</v>
      </c>
      <c r="ED105" s="173">
        <f t="shared" si="304"/>
        <v>16.79999999999999</v>
      </c>
      <c r="EE105" s="460">
        <f t="shared" si="266"/>
        <v>10.11904761904762</v>
      </c>
      <c r="EF105" s="5">
        <f t="shared" si="267"/>
        <v>1.3500094482237339</v>
      </c>
      <c r="EG105" s="5"/>
      <c r="EH105" s="173">
        <f t="shared" si="305"/>
        <v>1.2296383948179974</v>
      </c>
      <c r="EI105" s="173">
        <f t="shared" si="268"/>
        <v>1.4696989886224916</v>
      </c>
      <c r="EJ105" s="173"/>
      <c r="EK105" s="528">
        <f t="shared" si="269"/>
        <v>3.0240211640211626E-2</v>
      </c>
      <c r="EL105" s="528">
        <f t="shared" si="270"/>
        <v>0.67199999999999982</v>
      </c>
      <c r="EM105" s="528">
        <f t="shared" si="271"/>
        <v>3.1015275550679382E-2</v>
      </c>
      <c r="EN105" s="528">
        <f t="shared" si="272"/>
        <v>4.1303414634146343E-2</v>
      </c>
      <c r="EO105">
        <f t="shared" si="273"/>
        <v>1.0800000000000001E-2</v>
      </c>
      <c r="EP105" s="460">
        <f t="shared" si="306"/>
        <v>41.815275550679381</v>
      </c>
      <c r="EQ105" s="528">
        <f t="shared" si="274"/>
        <v>0.79926654849290224</v>
      </c>
      <c r="ER105" s="460">
        <f t="shared" si="307"/>
        <v>799.26654849290219</v>
      </c>
      <c r="ES105" s="528">
        <f t="shared" si="308"/>
        <v>0.62124999999999997</v>
      </c>
      <c r="ET105" s="528"/>
      <c r="EV105" s="460">
        <f t="shared" si="309"/>
        <v>621.25</v>
      </c>
      <c r="EW105" s="528">
        <f t="shared" si="275"/>
        <v>4.5360317460317441E-2</v>
      </c>
      <c r="EX105" s="528">
        <f t="shared" si="276"/>
        <v>6.4800453514739245E-2</v>
      </c>
      <c r="EY105" s="528">
        <f t="shared" si="277"/>
        <v>0.97312311820048614</v>
      </c>
      <c r="EZ105" s="528">
        <f t="shared" si="278"/>
        <v>1.119589259489618</v>
      </c>
      <c r="FA105" s="528">
        <f t="shared" si="279"/>
        <v>1.3666666666666664E-2</v>
      </c>
      <c r="FB105" s="460">
        <f t="shared" si="310"/>
        <v>1133.2559261562847</v>
      </c>
      <c r="FC105" s="173">
        <f t="shared" si="311"/>
        <v>2.553772474649187</v>
      </c>
      <c r="FD105" s="5">
        <f t="shared" si="312"/>
        <v>16.399999999999999</v>
      </c>
      <c r="FE105" s="173">
        <f t="shared" si="313"/>
        <v>0.86526310379293214</v>
      </c>
      <c r="FF105" s="5">
        <f t="shared" si="314"/>
        <v>86.526310379293221</v>
      </c>
      <c r="FI105" s="562">
        <f t="shared" si="280"/>
        <v>-50</v>
      </c>
      <c r="FJ105">
        <f t="shared" si="281"/>
        <v>-50</v>
      </c>
      <c r="FL105">
        <f t="shared" si="282"/>
        <v>0.58823529411764719</v>
      </c>
    </row>
    <row r="106" spans="5:168" ht="13">
      <c r="E106" s="170"/>
      <c r="F106" s="217"/>
      <c r="G106" s="217"/>
      <c r="H106" s="217"/>
      <c r="I106" s="541"/>
      <c r="J106" s="443"/>
      <c r="K106" s="443"/>
      <c r="L106" s="443"/>
      <c r="M106" s="217"/>
      <c r="N106" s="172"/>
      <c r="O106" s="172"/>
      <c r="P106" s="217"/>
      <c r="Q106" s="217"/>
      <c r="R106" s="217"/>
      <c r="S106" s="172"/>
      <c r="T106" s="172"/>
      <c r="U106" s="217"/>
      <c r="V106" s="217"/>
      <c r="W106" s="217"/>
      <c r="X106" s="197"/>
      <c r="Y106" s="443"/>
      <c r="AA106" s="217"/>
      <c r="AB106" s="173"/>
      <c r="AC106" s="173"/>
      <c r="AD106" s="173"/>
      <c r="AE106" s="173"/>
      <c r="AF106" s="545"/>
      <c r="AI106" s="173"/>
      <c r="AJ106" s="173"/>
      <c r="AK106" s="173"/>
      <c r="AM106" s="545"/>
      <c r="AN106" s="460"/>
      <c r="AQ106" s="3"/>
      <c r="AS106" s="5"/>
      <c r="AT106" s="5"/>
      <c r="AU106" s="5"/>
      <c r="AV106" s="5"/>
      <c r="AW106" s="173"/>
      <c r="AX106" s="173"/>
      <c r="AY106" s="173"/>
      <c r="AZ106" s="173"/>
      <c r="BA106" s="460"/>
      <c r="BB106" s="5"/>
      <c r="BC106" s="5"/>
      <c r="BD106" s="173"/>
      <c r="BE106" s="173"/>
      <c r="BF106" s="173"/>
      <c r="BG106" s="528"/>
      <c r="BH106" s="528"/>
      <c r="BI106" s="528"/>
      <c r="BJ106" s="528"/>
      <c r="BN106" s="460"/>
      <c r="BO106" s="528"/>
      <c r="BP106" s="528"/>
      <c r="BR106" s="460"/>
      <c r="BS106" s="528"/>
      <c r="BT106" s="528"/>
      <c r="BU106" s="528"/>
      <c r="BV106" s="528"/>
      <c r="BW106" s="528"/>
      <c r="BX106" s="460"/>
      <c r="BY106" s="173"/>
      <c r="BZ106" s="5"/>
      <c r="CA106" s="173"/>
      <c r="CB106" s="5"/>
      <c r="CE106" s="562"/>
      <c r="CI106" s="170"/>
      <c r="CJ106" s="217"/>
      <c r="CK106" s="217"/>
      <c r="CL106" s="217"/>
      <c r="CM106" s="541"/>
      <c r="CN106" s="443"/>
      <c r="CO106" s="443"/>
      <c r="CP106" s="443"/>
      <c r="CQ106" s="217"/>
      <c r="CR106" s="172"/>
      <c r="CS106" s="172"/>
      <c r="CT106" s="217"/>
      <c r="CU106" s="217"/>
      <c r="CV106" s="217"/>
      <c r="CW106" s="172"/>
      <c r="CX106" s="172"/>
      <c r="CY106" s="217"/>
      <c r="CZ106" s="217"/>
      <c r="DA106" s="217"/>
      <c r="DB106" s="197"/>
      <c r="DC106" s="443"/>
      <c r="DE106" s="217"/>
      <c r="DF106" s="173"/>
      <c r="DG106" s="173"/>
      <c r="DH106" s="173"/>
      <c r="DI106" s="173"/>
      <c r="DJ106" s="545"/>
      <c r="DM106" s="173"/>
      <c r="DN106" s="173"/>
      <c r="DO106" s="173"/>
      <c r="DQ106" s="545"/>
      <c r="DR106" s="460"/>
      <c r="DU106" s="3"/>
      <c r="DW106" s="5"/>
      <c r="DX106" s="5"/>
      <c r="DY106" s="5"/>
      <c r="DZ106" s="5"/>
      <c r="EA106" s="173"/>
      <c r="EB106" s="173"/>
      <c r="EC106" s="173"/>
      <c r="ED106" s="173"/>
      <c r="EE106" s="460"/>
      <c r="EF106" s="5"/>
      <c r="EG106" s="5"/>
      <c r="EH106" s="173"/>
      <c r="EI106" s="173"/>
      <c r="EJ106" s="173"/>
      <c r="EK106" s="528"/>
      <c r="EL106" s="528"/>
      <c r="EM106" s="528"/>
      <c r="EN106" s="528"/>
      <c r="ER106" s="460"/>
      <c r="ES106" s="528"/>
      <c r="ET106" s="528"/>
      <c r="EV106" s="460"/>
      <c r="EW106" s="528"/>
      <c r="EX106" s="528"/>
      <c r="EY106" s="528"/>
      <c r="EZ106" s="528"/>
      <c r="FA106" s="528"/>
      <c r="FB106" s="460"/>
      <c r="FC106" s="173"/>
      <c r="FD106" s="5"/>
      <c r="FE106" s="173"/>
      <c r="FF106" s="5"/>
      <c r="FI106" s="562"/>
      <c r="FL106" t="e">
        <f>MIN(SQRT(2*L*DJ106*1000*CJ106*CN106)/CM106, 1-EA106)</f>
        <v>#DIV/0!</v>
      </c>
    </row>
    <row r="107" spans="5:168">
      <c r="H107" s="217"/>
      <c r="I107" s="541"/>
      <c r="J107" s="443"/>
      <c r="K107" s="443"/>
      <c r="L107" s="443"/>
      <c r="M107" s="217"/>
      <c r="N107" s="172"/>
      <c r="O107" s="172"/>
      <c r="P107" s="217"/>
      <c r="Q107" s="736"/>
      <c r="R107" s="217"/>
      <c r="S107" s="172"/>
      <c r="T107" s="172"/>
      <c r="U107" s="217"/>
      <c r="V107" s="217"/>
      <c r="W107" s="217"/>
      <c r="X107" s="197"/>
      <c r="Y107" s="443"/>
      <c r="AA107" s="217"/>
      <c r="AB107" s="173"/>
      <c r="AC107" s="173"/>
      <c r="AD107" s="173"/>
      <c r="AE107" s="173"/>
      <c r="AF107" s="545"/>
      <c r="AI107" s="173"/>
      <c r="AJ107" s="173"/>
      <c r="AK107" s="173"/>
      <c r="AM107" s="545"/>
      <c r="AN107" s="460"/>
      <c r="AS107" s="5"/>
      <c r="AT107" s="5"/>
      <c r="AU107" s="5"/>
      <c r="AV107" s="5"/>
      <c r="AW107" s="173"/>
      <c r="AX107" s="173"/>
      <c r="AY107" s="173"/>
      <c r="AZ107" s="173"/>
      <c r="BA107" s="460"/>
      <c r="BB107" s="5"/>
      <c r="BD107" s="173"/>
      <c r="BE107" s="173"/>
      <c r="BG107" s="528"/>
      <c r="BH107" s="528"/>
      <c r="BI107" s="528"/>
      <c r="BJ107" s="528"/>
      <c r="BN107" s="460"/>
      <c r="BO107" s="528"/>
      <c r="BR107" s="460"/>
      <c r="BS107" s="528"/>
      <c r="BT107" s="528"/>
      <c r="BU107" s="528"/>
      <c r="BV107" s="528"/>
      <c r="BW107" s="528"/>
      <c r="BX107" s="460"/>
      <c r="BY107" s="173"/>
      <c r="BZ107" s="5"/>
      <c r="CA107" s="173"/>
      <c r="CB107" s="5"/>
      <c r="CE107" s="562"/>
      <c r="CL107" s="217"/>
      <c r="CM107" s="541"/>
      <c r="CN107" s="443"/>
      <c r="CO107" s="443"/>
      <c r="CP107" s="443"/>
      <c r="CQ107" s="217"/>
      <c r="CR107" s="172"/>
      <c r="CS107" s="172"/>
      <c r="CT107" s="217"/>
      <c r="CU107" s="736"/>
      <c r="CV107" s="217"/>
      <c r="CW107" s="172"/>
      <c r="CX107" s="172"/>
      <c r="CY107" s="217"/>
      <c r="CZ107" s="217"/>
      <c r="DA107" s="217"/>
      <c r="DB107" s="197"/>
      <c r="DC107" s="443"/>
      <c r="DE107" s="217"/>
      <c r="DF107" s="173"/>
      <c r="DG107" s="173"/>
      <c r="DH107" s="173"/>
      <c r="DI107" s="173"/>
      <c r="DJ107" s="545"/>
      <c r="DM107" s="173"/>
      <c r="DN107" s="173"/>
      <c r="DO107" s="173"/>
      <c r="DQ107" s="545"/>
      <c r="DR107" s="460"/>
      <c r="DW107" s="5"/>
      <c r="DX107" s="5"/>
      <c r="DY107" s="5"/>
      <c r="DZ107" s="5"/>
      <c r="EA107" s="173"/>
      <c r="EB107" s="173"/>
      <c r="EC107" s="173"/>
      <c r="ED107" s="173"/>
      <c r="EE107" s="460"/>
      <c r="EF107" s="5"/>
      <c r="EH107" s="173"/>
      <c r="EI107" s="173"/>
      <c r="EK107" s="528"/>
      <c r="EL107" s="528"/>
      <c r="EM107" s="528"/>
      <c r="EN107" s="528"/>
      <c r="ER107" s="460"/>
      <c r="ES107" s="528"/>
      <c r="EV107" s="460"/>
      <c r="EW107" s="528"/>
      <c r="EX107" s="528"/>
      <c r="EY107" s="528"/>
      <c r="EZ107" s="528"/>
      <c r="FA107" s="528"/>
      <c r="FB107" s="460"/>
      <c r="FC107" s="173"/>
      <c r="FD107" s="5"/>
      <c r="FE107" s="173"/>
      <c r="FF107" s="5"/>
      <c r="FI107" s="562"/>
      <c r="FL107" t="e">
        <f>MIN(SQRT(2*L*DJ107*1000*CJ107*CN107)/CM107, 1-EA107)</f>
        <v>#DIV/0!</v>
      </c>
    </row>
    <row r="108" spans="5:168" ht="13">
      <c r="E108" s="445" t="s">
        <v>434</v>
      </c>
      <c r="H108" s="217"/>
      <c r="I108" s="541"/>
      <c r="J108" s="443"/>
      <c r="K108" s="443"/>
      <c r="L108" s="443"/>
      <c r="M108" s="217"/>
      <c r="N108" s="172">
        <f>Efficiency</f>
        <v>1</v>
      </c>
      <c r="O108" s="172"/>
      <c r="P108" s="217"/>
      <c r="Q108" s="217"/>
      <c r="R108" s="217"/>
      <c r="S108" s="172"/>
      <c r="T108" s="172"/>
      <c r="U108" s="217"/>
      <c r="V108" s="217"/>
      <c r="W108" s="217"/>
      <c r="X108" s="197"/>
      <c r="Y108" s="443"/>
      <c r="AA108" s="217"/>
      <c r="AB108" s="173"/>
      <c r="AC108" s="173"/>
      <c r="AD108" s="173"/>
      <c r="AE108" s="173"/>
      <c r="AF108" s="545"/>
      <c r="AI108" s="173"/>
      <c r="AJ108" s="173"/>
      <c r="AK108" s="173"/>
      <c r="AM108" s="545"/>
      <c r="AN108" s="460"/>
      <c r="AS108" s="5"/>
      <c r="AT108" s="5"/>
      <c r="AU108" s="5"/>
      <c r="AV108" s="5"/>
      <c r="AW108" s="173"/>
      <c r="AX108" s="173"/>
      <c r="AY108" s="173"/>
      <c r="AZ108" s="173"/>
      <c r="BA108" s="460"/>
      <c r="BB108" s="5"/>
      <c r="BD108" s="173"/>
      <c r="BE108" s="173"/>
      <c r="BG108" s="528"/>
      <c r="BH108" s="528"/>
      <c r="BI108" s="528"/>
      <c r="BJ108" s="528"/>
      <c r="BN108" s="460"/>
      <c r="BO108" s="528"/>
      <c r="BR108" s="460"/>
      <c r="BS108" s="528"/>
      <c r="BT108" s="528"/>
      <c r="BU108" s="528"/>
      <c r="BV108" s="528"/>
      <c r="BW108" s="528"/>
      <c r="BX108" s="460"/>
      <c r="BY108" s="173"/>
      <c r="BZ108" s="5"/>
      <c r="CA108" s="173"/>
      <c r="CB108" s="5"/>
      <c r="CE108" s="562">
        <f>Ioutmax_Vinmin</f>
        <v>1.2788944076213371</v>
      </c>
      <c r="CI108" s="445" t="s">
        <v>434</v>
      </c>
      <c r="CL108" s="217"/>
      <c r="CM108" s="541"/>
      <c r="CN108" s="443"/>
      <c r="CO108" s="443"/>
      <c r="CP108" s="443"/>
      <c r="CQ108" s="217"/>
      <c r="CR108" s="172">
        <f>Efficiency</f>
        <v>1</v>
      </c>
      <c r="CS108" s="172"/>
      <c r="CT108" s="217"/>
      <c r="CU108" s="217"/>
      <c r="CV108" s="217"/>
      <c r="CW108" s="172"/>
      <c r="CX108" s="172"/>
      <c r="CY108" s="217"/>
      <c r="CZ108" s="217"/>
      <c r="DA108" s="217"/>
      <c r="DB108" s="197"/>
      <c r="DC108" s="443"/>
      <c r="DE108" s="217"/>
      <c r="DF108" s="173"/>
      <c r="DG108" s="173"/>
      <c r="DH108" s="173"/>
      <c r="DI108" s="173"/>
      <c r="DJ108" s="545"/>
      <c r="DM108" s="173"/>
      <c r="DN108" s="173"/>
      <c r="DO108" s="173"/>
      <c r="DQ108" s="545"/>
      <c r="DR108" s="460"/>
      <c r="DW108" s="5"/>
      <c r="DX108" s="5"/>
      <c r="DY108" s="5"/>
      <c r="DZ108" s="5"/>
      <c r="EA108" s="173"/>
      <c r="EB108" s="173"/>
      <c r="EC108" s="173"/>
      <c r="ED108" s="173"/>
      <c r="EE108" s="460"/>
      <c r="EF108" s="5"/>
      <c r="EH108" s="173"/>
      <c r="EI108" s="173"/>
      <c r="EK108" s="528"/>
      <c r="EL108" s="528"/>
      <c r="EM108" s="528"/>
      <c r="EN108" s="528"/>
      <c r="ER108" s="460"/>
      <c r="ES108" s="528"/>
      <c r="EV108" s="460"/>
      <c r="EW108" s="528"/>
      <c r="EX108" s="528"/>
      <c r="EY108" s="528"/>
      <c r="EZ108" s="528"/>
      <c r="FA108" s="528"/>
      <c r="FB108" s="460"/>
      <c r="FC108" s="173"/>
      <c r="FD108" s="5"/>
      <c r="FE108" s="173"/>
      <c r="FF108" s="5"/>
      <c r="FI108" s="562">
        <f>Ioutmax_Vinmin</f>
        <v>1.2788944076213371</v>
      </c>
      <c r="FL108" t="e">
        <f>MIN(SQRT(2*L*DJ108*1000*CJ108*CN108)/CM108, 1-EA108)</f>
        <v>#DIV/0!</v>
      </c>
    </row>
    <row r="109" spans="5:168" ht="45" customHeight="1" thickBot="1">
      <c r="E109" s="241" t="s">
        <v>25</v>
      </c>
      <c r="F109" s="444" t="s">
        <v>194</v>
      </c>
      <c r="G109" s="260"/>
      <c r="H109" s="527" t="s">
        <v>223</v>
      </c>
      <c r="I109" s="242" t="s">
        <v>412</v>
      </c>
      <c r="J109" s="243" t="s">
        <v>418</v>
      </c>
      <c r="K109" s="527" t="s">
        <v>413</v>
      </c>
      <c r="L109" s="527"/>
      <c r="M109" s="244" t="s">
        <v>48</v>
      </c>
      <c r="N109" s="527" t="s">
        <v>402</v>
      </c>
      <c r="O109" s="527" t="s">
        <v>656</v>
      </c>
      <c r="P109" s="527" t="s">
        <v>403</v>
      </c>
      <c r="Q109" s="527" t="s">
        <v>433</v>
      </c>
      <c r="R109" s="527" t="s">
        <v>654</v>
      </c>
      <c r="S109" s="527" t="s">
        <v>657</v>
      </c>
      <c r="T109" s="527" t="s">
        <v>655</v>
      </c>
      <c r="U109" s="527" t="s">
        <v>414</v>
      </c>
      <c r="V109" s="527" t="s">
        <v>466</v>
      </c>
      <c r="W109" s="527" t="s">
        <v>465</v>
      </c>
      <c r="X109" s="546" t="s">
        <v>420</v>
      </c>
      <c r="Y109" s="542" t="s">
        <v>425</v>
      </c>
      <c r="AA109" s="245" t="s">
        <v>417</v>
      </c>
      <c r="AB109" s="245" t="s">
        <v>464</v>
      </c>
      <c r="AC109" s="245" t="s">
        <v>423</v>
      </c>
      <c r="AD109" s="544"/>
      <c r="AE109" s="245" t="s">
        <v>463</v>
      </c>
      <c r="AF109" s="245" t="s">
        <v>681</v>
      </c>
      <c r="AG109" s="245" t="s">
        <v>427</v>
      </c>
      <c r="AH109" s="544"/>
      <c r="AI109" s="245" t="s">
        <v>429</v>
      </c>
      <c r="AJ109" s="547" t="s">
        <v>430</v>
      </c>
      <c r="AK109" s="547" t="s">
        <v>431</v>
      </c>
      <c r="AM109" s="543" t="s">
        <v>275</v>
      </c>
      <c r="AN109" s="543" t="s">
        <v>432</v>
      </c>
      <c r="AP109" s="245" t="s">
        <v>275</v>
      </c>
      <c r="AQ109" s="245" t="s">
        <v>432</v>
      </c>
      <c r="AR109" s="548"/>
      <c r="AS109" s="245" t="s">
        <v>467</v>
      </c>
      <c r="AT109" s="245" t="s">
        <v>461</v>
      </c>
      <c r="AU109" s="245" t="s">
        <v>462</v>
      </c>
      <c r="AV109" s="245" t="s">
        <v>653</v>
      </c>
      <c r="AW109" s="245" t="s">
        <v>48</v>
      </c>
      <c r="AX109" s="548" t="s">
        <v>651</v>
      </c>
      <c r="AY109" s="544" t="s">
        <v>650</v>
      </c>
      <c r="AZ109" s="544" t="s">
        <v>652</v>
      </c>
      <c r="BA109" s="245" t="s">
        <v>481</v>
      </c>
      <c r="BB109" s="245" t="s">
        <v>514</v>
      </c>
      <c r="BC109" s="544"/>
      <c r="BD109" s="557" t="s">
        <v>456</v>
      </c>
      <c r="BE109" s="245" t="s">
        <v>457</v>
      </c>
      <c r="BF109" s="544"/>
      <c r="BG109" s="557" t="s">
        <v>474</v>
      </c>
      <c r="BH109" s="245" t="s">
        <v>475</v>
      </c>
      <c r="BI109" s="245" t="s">
        <v>473</v>
      </c>
      <c r="BJ109" s="245" t="s">
        <v>469</v>
      </c>
      <c r="BK109" s="245" t="s">
        <v>478</v>
      </c>
      <c r="BL109" s="245" t="s">
        <v>777</v>
      </c>
      <c r="BM109" s="245" t="s">
        <v>776</v>
      </c>
      <c r="BN109" s="245" t="s">
        <v>491</v>
      </c>
      <c r="BO109" s="557" t="s">
        <v>476</v>
      </c>
      <c r="BP109" s="245" t="s">
        <v>477</v>
      </c>
      <c r="BQ109" s="245" t="s">
        <v>483</v>
      </c>
      <c r="BR109" s="245" t="s">
        <v>487</v>
      </c>
      <c r="BS109" s="557" t="s">
        <v>458</v>
      </c>
      <c r="BT109" s="245" t="s">
        <v>459</v>
      </c>
      <c r="BU109" s="245" t="s">
        <v>468</v>
      </c>
      <c r="BV109" s="245" t="s">
        <v>666</v>
      </c>
      <c r="BW109" s="245" t="s">
        <v>484</v>
      </c>
      <c r="BX109" s="245" t="s">
        <v>667</v>
      </c>
      <c r="BY109" s="557" t="s">
        <v>482</v>
      </c>
      <c r="BZ109" s="245" t="s">
        <v>223</v>
      </c>
      <c r="CA109" s="245" t="s">
        <v>47</v>
      </c>
      <c r="CB109" s="245" t="s">
        <v>485</v>
      </c>
      <c r="CC109" s="245"/>
      <c r="CE109" s="569" t="s">
        <v>664</v>
      </c>
      <c r="CF109" s="569" t="s">
        <v>665</v>
      </c>
      <c r="CG109" s="781" t="s">
        <v>828</v>
      </c>
      <c r="CI109" s="241" t="s">
        <v>25</v>
      </c>
      <c r="CJ109" s="444" t="s">
        <v>194</v>
      </c>
      <c r="CK109" s="260"/>
      <c r="CL109" s="527" t="s">
        <v>223</v>
      </c>
      <c r="CM109" s="242" t="s">
        <v>412</v>
      </c>
      <c r="CN109" s="243" t="s">
        <v>418</v>
      </c>
      <c r="CO109" s="527" t="s">
        <v>413</v>
      </c>
      <c r="CP109" s="527"/>
      <c r="CQ109" s="244" t="s">
        <v>48</v>
      </c>
      <c r="CR109" s="527" t="s">
        <v>402</v>
      </c>
      <c r="CS109" s="527" t="s">
        <v>656</v>
      </c>
      <c r="CT109" s="527" t="s">
        <v>403</v>
      </c>
      <c r="CU109" s="527" t="s">
        <v>433</v>
      </c>
      <c r="CV109" s="527" t="s">
        <v>654</v>
      </c>
      <c r="CW109" s="527" t="s">
        <v>657</v>
      </c>
      <c r="CX109" s="527" t="s">
        <v>655</v>
      </c>
      <c r="CY109" s="527" t="s">
        <v>414</v>
      </c>
      <c r="CZ109" s="527" t="s">
        <v>466</v>
      </c>
      <c r="DA109" s="527" t="s">
        <v>465</v>
      </c>
      <c r="DB109" s="546" t="s">
        <v>420</v>
      </c>
      <c r="DC109" s="542" t="s">
        <v>425</v>
      </c>
      <c r="DE109" s="245" t="s">
        <v>417</v>
      </c>
      <c r="DF109" s="245" t="s">
        <v>464</v>
      </c>
      <c r="DG109" s="245" t="s">
        <v>423</v>
      </c>
      <c r="DH109" s="544"/>
      <c r="DI109" s="245" t="s">
        <v>463</v>
      </c>
      <c r="DJ109" s="245" t="s">
        <v>681</v>
      </c>
      <c r="DK109" s="245" t="s">
        <v>427</v>
      </c>
      <c r="DL109" s="544"/>
      <c r="DM109" s="245" t="s">
        <v>429</v>
      </c>
      <c r="DN109" s="547" t="s">
        <v>430</v>
      </c>
      <c r="DO109" s="547" t="s">
        <v>431</v>
      </c>
      <c r="DQ109" s="543" t="s">
        <v>275</v>
      </c>
      <c r="DR109" s="543" t="s">
        <v>432</v>
      </c>
      <c r="DT109" s="245" t="s">
        <v>275</v>
      </c>
      <c r="DU109" s="245" t="s">
        <v>432</v>
      </c>
      <c r="DV109" s="548"/>
      <c r="DW109" s="245" t="s">
        <v>467</v>
      </c>
      <c r="DX109" s="245" t="s">
        <v>461</v>
      </c>
      <c r="DY109" s="245" t="s">
        <v>462</v>
      </c>
      <c r="DZ109" s="245" t="s">
        <v>653</v>
      </c>
      <c r="EA109" s="245" t="s">
        <v>48</v>
      </c>
      <c r="EB109" s="548" t="s">
        <v>651</v>
      </c>
      <c r="EC109" s="544" t="s">
        <v>650</v>
      </c>
      <c r="ED109" s="544" t="s">
        <v>652</v>
      </c>
      <c r="EE109" s="245" t="s">
        <v>481</v>
      </c>
      <c r="EF109" s="245" t="s">
        <v>514</v>
      </c>
      <c r="EG109" s="544"/>
      <c r="EH109" s="557" t="s">
        <v>456</v>
      </c>
      <c r="EI109" s="245" t="s">
        <v>457</v>
      </c>
      <c r="EJ109" s="544"/>
      <c r="EK109" s="557" t="s">
        <v>474</v>
      </c>
      <c r="EL109" s="245" t="s">
        <v>475</v>
      </c>
      <c r="EM109" s="245" t="s">
        <v>473</v>
      </c>
      <c r="EN109" s="245" t="s">
        <v>469</v>
      </c>
      <c r="EO109" s="245" t="s">
        <v>478</v>
      </c>
      <c r="EP109" s="245" t="s">
        <v>777</v>
      </c>
      <c r="EQ109" s="245" t="s">
        <v>776</v>
      </c>
      <c r="ER109" s="245" t="s">
        <v>491</v>
      </c>
      <c r="ES109" s="557" t="s">
        <v>476</v>
      </c>
      <c r="ET109" s="245" t="s">
        <v>477</v>
      </c>
      <c r="EU109" s="245" t="s">
        <v>483</v>
      </c>
      <c r="EV109" s="245" t="s">
        <v>487</v>
      </c>
      <c r="EW109" s="557" t="s">
        <v>458</v>
      </c>
      <c r="EX109" s="245" t="s">
        <v>459</v>
      </c>
      <c r="EY109" s="245" t="s">
        <v>468</v>
      </c>
      <c r="EZ109" s="245" t="s">
        <v>666</v>
      </c>
      <c r="FA109" s="245" t="s">
        <v>484</v>
      </c>
      <c r="FB109" s="245" t="s">
        <v>667</v>
      </c>
      <c r="FC109" s="557" t="s">
        <v>482</v>
      </c>
      <c r="FD109" s="245" t="s">
        <v>223</v>
      </c>
      <c r="FE109" s="245" t="s">
        <v>47</v>
      </c>
      <c r="FF109" s="245" t="s">
        <v>485</v>
      </c>
      <c r="FG109" s="245"/>
      <c r="FI109" s="569" t="s">
        <v>664</v>
      </c>
      <c r="FJ109" s="569" t="s">
        <v>665</v>
      </c>
      <c r="FL109" t="s">
        <v>825</v>
      </c>
    </row>
    <row r="110" spans="5:168">
      <c r="E110" s="170">
        <v>0.1</v>
      </c>
      <c r="F110" s="217">
        <v>1.0000000000000001E-9</v>
      </c>
      <c r="G110" s="217"/>
      <c r="H110" s="217">
        <f t="shared" ref="H110:H141" si="315">F110*Vout</f>
        <v>1.6399999999999998E-8</v>
      </c>
      <c r="I110" s="541">
        <f t="shared" ref="I110:I141" si="316">VIN_min-F110*(Rdcr_pri+RON/1000)/CG110/Nps</f>
        <v>9.9999880684824465</v>
      </c>
      <c r="J110" s="172">
        <f t="shared" ref="J110:J141" si="317">(T110+Vfwd1+F110/CG110*Rdcr_sec)*Nps</f>
        <v>16.800007158910528</v>
      </c>
      <c r="K110" s="172">
        <f t="shared" ref="K110:K141" si="318">(Vout+Vfwd1+F110/CG110*Rdcr_sec)*Nps++I110</f>
        <v>26.799995227392976</v>
      </c>
      <c r="L110" s="443"/>
      <c r="M110" s="217">
        <f t="shared" ref="M110:M141" si="319">(Vout+Vfwd1+F110/FL110*Rdcr_sec)*Nps/((Vout+Vfwd1+F110/FL110*Rdcr_sec)*Nps+I110)</f>
        <v>0.62686605160729891</v>
      </c>
      <c r="N110" s="172">
        <f>M110*I110*(Isw_max+VIN_min/Lmag*ILIM_delay)*0.5*Efficiency</f>
        <v>20.973868284989926</v>
      </c>
      <c r="O110" s="172">
        <f t="shared" si="284"/>
        <v>1.6399999999999998E-8</v>
      </c>
      <c r="P110" s="217">
        <f t="shared" ref="P110:P141" si="320">N110/Vout</f>
        <v>1.2788944076213371</v>
      </c>
      <c r="Q110" s="217">
        <f t="shared" ref="Q110:Q141" si="321">MIN(Vout,N110/F110)</f>
        <v>16.399999999999999</v>
      </c>
      <c r="R110" s="217"/>
      <c r="S110" s="172">
        <f t="shared" ref="S110:S141" si="322">(SQRT(Isw_max^2*Nps^2*I110^2+4*Isw_max*F110/Efficiency*(Nps^2*Vfwd1*I110-Nps*I110^2)+4*(F110/Efficiency)^2*Nps^2*Vfwd1^2+8*(F110/Efficiency)^2*Nps*Vfwd1*I110+4*(F110/Efficiency)^2*I110^2)-2*F110/Efficiency*I110-2*F110/Efficiency*Nps*Vfwd1+Isw_max*Nps*I110)/(4*F110/Efficiency*Nps)</f>
        <v>33333293551.608162</v>
      </c>
      <c r="T110" s="172">
        <f t="shared" ref="T110:T141" si="323">MIN(Vout, S110)</f>
        <v>16.399999999999999</v>
      </c>
      <c r="U110" s="217">
        <f t="shared" ref="U110:U141" si="324">MIN(2*(Vout+Vfwd1+F110/FL110*Rdcr_sec)*F110/(I110*M110), Isw_max)</f>
        <v>5.3600054581340845E-9</v>
      </c>
      <c r="V110" s="217">
        <f t="shared" ref="V110:V141" si="325">L*U110/I110*1000000</f>
        <v>6.4320142241299641E-9</v>
      </c>
      <c r="W110" s="217">
        <f t="shared" ref="W110:W141" si="326">L*U110/J110*1000000</f>
        <v>3.8285736957852671E-9</v>
      </c>
      <c r="X110" s="197">
        <f t="shared" ref="X110:X141" si="327">IF(1/((350000*L)*(1/I110+1/J110))&gt;Isw_min, 350, 0.001/((Isw_min*L)*(1/I110+1/J110)))</f>
        <v>350</v>
      </c>
      <c r="Y110" s="443">
        <f t="shared" ref="Y110:Y173" si="328">MIN(1/(V110+W110+0.2)*1000, 350)</f>
        <v>350</v>
      </c>
      <c r="AA110" s="217">
        <f t="shared" ref="AA110:AA141" si="329">1/((X110*1000*L)*(1/I110+1/J110))</f>
        <v>1.4925364344113579</v>
      </c>
      <c r="AB110" s="173">
        <f t="shared" ref="AB110:AB141" si="330">L*AA110/J110*1000000</f>
        <v>1.0660969988597182</v>
      </c>
      <c r="AC110" s="173">
        <f t="shared" ref="AC110:AC141" si="331">0.5*AB110*AA110*Nps*X110/1000</f>
        <v>0.27845800734757831</v>
      </c>
      <c r="AD110" s="173"/>
      <c r="AE110" s="173">
        <f t="shared" ref="AE110:AE141" si="332">L*Isw_min/J110*1000000</f>
        <v>0.95238054654719528</v>
      </c>
      <c r="AF110" s="545">
        <f t="shared" ref="AF110:AF141" si="333">MAX(12000,F110/(0.5*AE110/1000000*Isw_min*Nps))/1000</f>
        <v>12</v>
      </c>
      <c r="AG110" s="528">
        <f t="shared" ref="AG110:AG141" si="334">0.5*AE110/1000000*Isw_min*Nps*X110*1000</f>
        <v>0.22222212752767889</v>
      </c>
      <c r="AI110" s="173">
        <f t="shared" ref="AI110:AI141" si="335">SQRT(F110/(0.5*L/J110*Fsw_DCM*Nps))</f>
        <v>8.9442738156906925E-5</v>
      </c>
      <c r="AJ110" s="173">
        <f t="shared" ref="AJ110:AJ141" si="336">MAX(IF(F110&gt;AC110,U110,AI110),Isw_min)</f>
        <v>1.3333333333333335</v>
      </c>
      <c r="AK110" s="173">
        <f t="shared" ref="AK110:AK141" si="337">IF(F110&gt;AG110, (AJ110-Isw_min)/1.08*0.8+1.2, AF110*0.2/350+1)</f>
        <v>1.0068571428571429</v>
      </c>
      <c r="AM110" s="545">
        <f t="shared" ref="AM110:AM141" si="338">F110*1000</f>
        <v>1.0000000000000002E-6</v>
      </c>
      <c r="AN110" s="460">
        <f t="shared" ref="AN110:AN141" si="339">IF(F110&gt;AG110, Y110, AF110)</f>
        <v>12</v>
      </c>
      <c r="AP110" s="460">
        <f t="shared" ref="AP110:AP141" si="340">IF(H110&gt;N110, "",AM110)</f>
        <v>1.0000000000000002E-6</v>
      </c>
      <c r="AQ110" s="460">
        <f t="shared" ref="AQ110:AQ141" si="341">IF(H110&gt;N110, "",AN110)</f>
        <v>12</v>
      </c>
      <c r="AS110" s="5">
        <f t="shared" si="285"/>
        <v>83.333333333333329</v>
      </c>
      <c r="AT110" s="5">
        <f t="shared" ref="AT110:AT141" si="342">L*AJ110/I110*1000000</f>
        <v>1.6000019090450868</v>
      </c>
      <c r="AU110" s="5">
        <f t="shared" ref="AU110:AU169" si="343">AS110-AT110</f>
        <v>81.733331424288238</v>
      </c>
      <c r="AV110" s="5"/>
      <c r="AW110" s="173">
        <f t="shared" ref="AW110:AW169" si="344">AT110/AS110</f>
        <v>1.9200022908541042E-2</v>
      </c>
      <c r="AX110" s="173">
        <f t="shared" si="214"/>
        <v>0.12800000000000003</v>
      </c>
      <c r="AY110" s="173">
        <f t="shared" si="215"/>
        <v>0.653866651394306</v>
      </c>
      <c r="AZ110" s="173">
        <f t="shared" si="288"/>
        <v>0.19575856900952615</v>
      </c>
      <c r="BA110" s="460">
        <f t="shared" ref="BA110:BA116" si="345">F110*AT110/Vout_ripple*1000</f>
        <v>9.756109201494434E-9</v>
      </c>
      <c r="BB110" s="5">
        <f t="shared" ref="BB110:BB116" si="346">H110/Efficiency/I110*AU110/Vinripple1</f>
        <v>1.1170235289105233E-7</v>
      </c>
      <c r="BD110" s="173">
        <f t="shared" si="289"/>
        <v>0.10666673030148394</v>
      </c>
      <c r="BE110" s="173">
        <f t="shared" si="218"/>
        <v>0.76237444949275635</v>
      </c>
      <c r="BG110" s="528">
        <f t="shared" ref="BG110:BG169" si="347">Rdson*BD110^2</f>
        <v>2.2755582706419025E-4</v>
      </c>
      <c r="BH110" s="528">
        <f t="shared" ref="BH110:BH141" si="348">0.5*K110*AJ110*AN110*1000*Tfall</f>
        <v>8.0399985682178959E-3</v>
      </c>
      <c r="BI110" s="528">
        <f t="shared" ref="BI110:BI141" si="349">Qg*Vdd*AN110*1000*0+Qg*I110*AN110*1000</f>
        <v>2.999996420544734E-3</v>
      </c>
      <c r="BJ110" s="528">
        <f t="shared" ref="BJ110:BJ169" si="350">0.5*(Coss+Csw)*K110^2*AN110*1000</f>
        <v>8.6188769302594358E-4</v>
      </c>
      <c r="BK110">
        <f t="shared" ref="BK110:BK169" si="351">I110*IQ</f>
        <v>4.499994630817101E-3</v>
      </c>
      <c r="BL110" s="460">
        <f>(BK110+BI110)*1000</f>
        <v>7.4999910513618353</v>
      </c>
      <c r="BM110" s="528">
        <f t="shared" ref="BM110:BM141" si="352">(BH110+BI110*0+BJ110+BK110*0+BG110*(1+RdsonTC*(Ta-25)))/(1-BG110*RdsonTC*ThetaJA)</f>
        <v>9.1913791143411524E-3</v>
      </c>
      <c r="BN110" s="460">
        <f t="shared" ref="BN110:BN173" si="353">BM110*1000</f>
        <v>9.191379114341153</v>
      </c>
      <c r="BO110" s="528">
        <f t="shared" ref="BO110:BO169" si="354">Vfwd2*F110</f>
        <v>6.9999999999999996E-10</v>
      </c>
      <c r="BR110" s="460">
        <f t="shared" ref="BR110:BR169" si="355">SUM(BO110:BQ110)*1000</f>
        <v>6.9999999999999997E-7</v>
      </c>
      <c r="BS110" s="528">
        <f t="shared" ref="BS110:BS169" si="356">Rdcr_pri*BD110^2</f>
        <v>3.4133374059628534E-4</v>
      </c>
      <c r="BT110" s="528">
        <f t="shared" ref="BT110:BT169" si="357">Rdcr_sec*BE110^2</f>
        <v>1.74364440371815E-2</v>
      </c>
      <c r="BU110" s="528">
        <f t="shared" ref="BU110:BU169" si="358">AJ110^2.5*AN110^2.5*k_core</f>
        <v>5.1199999999999998E-5</v>
      </c>
      <c r="BV110" s="528"/>
      <c r="BW110" s="528">
        <f t="shared" ref="BW110:BW169" si="359">0.5*Lleak*0.000000001*AJ110^2*AN110*1000</f>
        <v>1.0666666666666668E-4</v>
      </c>
      <c r="BX110" s="460">
        <f t="shared" ref="BX110:BX169" si="360">SUM(BS110:BW110)*1000</f>
        <v>17.935644444444453</v>
      </c>
      <c r="BY110" s="173">
        <f t="shared" ref="BY110:BY169" si="361">SUM(BG110:BK110,BO110:BQ110,BS110:BW110)</f>
        <v>3.4565078284114314E-2</v>
      </c>
      <c r="BZ110" s="5">
        <f t="shared" ref="BZ110:BZ169" si="362">MIN(H110,O110)</f>
        <v>1.6399999999999998E-8</v>
      </c>
      <c r="CA110" s="173">
        <f t="shared" ref="CA110:CA169" si="363">BZ110/(BZ110+BY110)</f>
        <v>4.7446709317238569E-7</v>
      </c>
      <c r="CB110" s="5">
        <f t="shared" ref="CB110:CB169" si="364">CA110*100</f>
        <v>4.7446709317238571E-5</v>
      </c>
      <c r="CE110" s="562">
        <f t="shared" ref="CE110:CE141" si="365">IF(ABS(F110-Ioutmax_Vinmin)&lt;Iout/200, AN110, -50)</f>
        <v>-50</v>
      </c>
      <c r="CF110">
        <f t="shared" ref="CF110:CF141" si="366">IF(ABS(F110-Ioutmax_Vinmin)&lt;Iout/200, N110*CA110, -50)</f>
        <v>-50</v>
      </c>
      <c r="CG110" s="173">
        <f t="shared" ref="CG110:CG141" si="367">MIN(SQRT(2*DU110*1000*Ls1_*CL110)/CU110,1-EA110-0.00000005*DU110*1000)</f>
        <v>4.1905817746174687E-6</v>
      </c>
      <c r="CI110" s="170">
        <v>0.1</v>
      </c>
      <c r="CJ110" s="217">
        <v>1.0000000000000001E-9</v>
      </c>
      <c r="CK110" s="217"/>
      <c r="CL110" s="217">
        <f t="shared" ref="CL110:CL173" si="368">CJ110*Vout</f>
        <v>1.6399999999999998E-8</v>
      </c>
      <c r="CM110" s="541">
        <f t="shared" ref="CM110:CM173" si="369">VIN_min</f>
        <v>10</v>
      </c>
      <c r="CN110" s="443">
        <f t="shared" ref="CN110:CN173" si="370">(CX110+Vfwd1)*Nps</f>
        <v>16.799999999999997</v>
      </c>
      <c r="CO110" s="443">
        <f t="shared" ref="CO110:CO173" si="371">(Vout+Vfwd1)*Nps+CM110</f>
        <v>26.799999999999997</v>
      </c>
      <c r="CP110" s="443"/>
      <c r="CQ110" s="217">
        <f t="shared" ref="CQ110:CQ173" si="372">(Vout+Vfwd1)*Nps/((Vout+Vfwd1)*Nps+CM110)</f>
        <v>0.62686567164179097</v>
      </c>
      <c r="CR110" s="172">
        <f>CQ110*CM110*(Isw_max+VIN_min/Lmag*ILIM_delay)*0.5*Efficiency</f>
        <v>20.973880597014926</v>
      </c>
      <c r="CS110" s="172">
        <f t="shared" ref="CS110:CS173" si="373">CX110*CJ110</f>
        <v>1.6399999999999998E-8</v>
      </c>
      <c r="CT110" s="217">
        <f t="shared" ref="CT110:CT173" si="374">CR110/Vout</f>
        <v>1.2788951583545687</v>
      </c>
      <c r="CU110" s="217">
        <f t="shared" ref="CU110:CU173" si="375">MIN(Vout,CR110/CJ110)</f>
        <v>16.399999999999999</v>
      </c>
      <c r="CV110" s="217"/>
      <c r="CW110" s="172">
        <f t="shared" ref="CW110:CW173" si="376">(SQRT(Isw_max^2*Nps^2*CM110^2+4*Isw_max*CJ110/Efficiency*(Nps^2*Vfwd1*CM110-Nps*CM110^2)+4*(CJ110/Efficiency)^2*Nps^2*Vfwd1^2+8*(CJ110/Efficiency)^2*Nps*Vfwd1*CM110+4*(CJ110/Efficiency)^2*CM110^2)-2*CJ110/Efficiency*CM110-2*CJ110/Efficiency*Nps*Vfwd1+Isw_max*Nps*CM110)/(4*CJ110/Efficiency*Nps)</f>
        <v>33333333323.333332</v>
      </c>
      <c r="CX110" s="172">
        <f t="shared" ref="CX110:CX173" si="377">MIN(Vout, CW110)</f>
        <v>16.399999999999999</v>
      </c>
      <c r="CY110" s="217">
        <f t="shared" ref="CY110:CY173" si="378">MIN(2*Vout*CJ110/(Efficiency*CM110*CQ110), Isw_max)</f>
        <v>5.2323809523809525E-9</v>
      </c>
      <c r="CZ110" s="217">
        <f t="shared" ref="CZ110:CZ173" si="379">L*CY110/CM110*1000000</f>
        <v>6.2788571428571435E-9</v>
      </c>
      <c r="DA110" s="217">
        <f t="shared" ref="DA110:DA173" si="380">L*CY110/CN110*1000000</f>
        <v>3.7374149659863958E-9</v>
      </c>
      <c r="DB110" s="197">
        <f t="shared" ref="DB110:DB173" si="381">IF(1/((350000*L)*(1/CM110+1/CN110))&gt;Isw_min, 350, 0.001/((Isw_min*L)*(1/CM110+1/CN110)))</f>
        <v>350</v>
      </c>
      <c r="DC110" s="443">
        <f t="shared" ref="DC110:DC173" si="382">MIN(1/(CZ110+DA110)*1000, 350)</f>
        <v>350</v>
      </c>
      <c r="DE110" s="217">
        <f t="shared" ref="DE110:DE173" si="383">1/((DB110*1000*L)*(1/CM110+1/CN110))</f>
        <v>1.4925373134328355</v>
      </c>
      <c r="DF110" s="173">
        <f t="shared" ref="DF110:DF173" si="384">L*DE110/CN110*1000000</f>
        <v>1.0660980810234544</v>
      </c>
      <c r="DG110" s="173">
        <f t="shared" ref="DG110:DG173" si="385">0.5*DF110*DE110*Nps*DB110/1000</f>
        <v>0.27845845399866342</v>
      </c>
      <c r="DH110" s="173"/>
      <c r="DI110" s="173">
        <f t="shared" ref="DI110:DI173" si="386">L*Isw_min/CN110*1000000</f>
        <v>0.95238095238095266</v>
      </c>
      <c r="DJ110" s="545">
        <f t="shared" ref="DJ110:DJ173" si="387">MAX(12000,CJ110/(0.5*DI110/1000000*Isw_min*Nps))/1000</f>
        <v>12</v>
      </c>
      <c r="DK110" s="528">
        <f t="shared" ref="DK110:DK173" si="388">0.5*DI110/1000000*Isw_min*Nps*DB110*1000</f>
        <v>0.22222222222222232</v>
      </c>
      <c r="DM110" s="173">
        <f t="shared" ref="DM110:DM173" si="389">SQRT(CJ110/(0.5*L/CN110*Fsw_DCM*Nps))</f>
        <v>8.9442719099991577E-5</v>
      </c>
      <c r="DN110" s="173">
        <f t="shared" ref="DN110:DN173" si="390">MAX(IF(CJ110&gt;DG110,CY110,DM110),Isw_min)</f>
        <v>1.3333333333333335</v>
      </c>
      <c r="DO110" s="173">
        <f t="shared" ref="DO110:DO173" si="391">IF(CJ110&gt;DK110, (DN110-Isw_min)/1.08*0.8+1.2, DJ110*0.2/350+1)</f>
        <v>1.0068571428571429</v>
      </c>
      <c r="DQ110" s="545">
        <f t="shared" ref="DQ110:DQ173" si="392">CJ110*1000</f>
        <v>1.0000000000000002E-6</v>
      </c>
      <c r="DR110" s="460">
        <f t="shared" ref="DR110:DR173" si="393">IF(CJ110&gt;DK110, DC110, DJ110)</f>
        <v>12</v>
      </c>
      <c r="DT110" s="460">
        <f>IF(CL110&gt;CR110, "",DQ110)</f>
        <v>1.0000000000000002E-6</v>
      </c>
      <c r="DU110" s="460">
        <f>IF(CL110&gt;CR110, "",DR110)</f>
        <v>12</v>
      </c>
      <c r="DW110" s="5">
        <f t="shared" ref="DW110:DW173" si="394">1/DR110*1000</f>
        <v>83.333333333333329</v>
      </c>
      <c r="DX110" s="5">
        <f t="shared" ref="DX110:DX173" si="395">L*DN110/CM110*1000000</f>
        <v>1.6000000000000003</v>
      </c>
      <c r="DY110" s="5">
        <f t="shared" ref="DY110:DY173" si="396">DW110-DX110</f>
        <v>81.733333333333334</v>
      </c>
      <c r="DZ110" s="5"/>
      <c r="EA110" s="173">
        <f t="shared" ref="EA110:EA173" si="397">DX110/DW110</f>
        <v>1.9200000000000005E-2</v>
      </c>
      <c r="EB110" s="173">
        <f t="shared" ref="EB110:EB173" si="398">0.5*L*DN110^2*DR110*1000</f>
        <v>0.12800000000000003</v>
      </c>
      <c r="EC110" s="173">
        <f t="shared" ref="EC110:EC173" si="399">DN110*Nps/2*(1-EA110)</f>
        <v>0.65386666666666671</v>
      </c>
      <c r="ED110" s="173">
        <f t="shared" ref="ED110:ED173" si="400">EB110/EC110</f>
        <v>0.19575856443719417</v>
      </c>
      <c r="EE110" s="460">
        <f t="shared" ref="EE110:EE173" si="401">CJ110*DX110/Vout_ripple*1000</f>
        <v>9.7560975609756133E-9</v>
      </c>
      <c r="EF110" s="5">
        <f t="shared" ref="EF110:EF173" si="402">CL110/Efficiency/CM110*DY110/Vinripple1</f>
        <v>1.1170222222222218E-7</v>
      </c>
      <c r="EH110" s="173">
        <f t="shared" ref="EH110:EH173" si="403">DN110*SQRT(EA110/3)</f>
        <v>0.1066666666666667</v>
      </c>
      <c r="EI110" s="173">
        <f t="shared" ref="EI110:EI173" si="404">DN110*Nps*SQRT((1-EA110)/3)</f>
        <v>0.76237445839614471</v>
      </c>
      <c r="EK110" s="528">
        <f t="shared" ref="EK110:EK173" si="405">Rdson*EH110^2</f>
        <v>2.2755555555555571E-4</v>
      </c>
      <c r="EL110" s="528">
        <f t="shared" ref="EL110:EL173" si="406">0.5*CO110*DN110*DR110*1000*Trise</f>
        <v>8.5760000000000003E-3</v>
      </c>
      <c r="EM110" s="528">
        <f t="shared" ref="EM110:EM173" si="407">Qg*Vdd*DR110*1000</f>
        <v>1.5E-3</v>
      </c>
      <c r="EN110" s="528">
        <f t="shared" ref="EN110:EN173" si="408">0.5*(Coss+Csw)*CO110^2*DR110*1000</f>
        <v>8.6188799999999989E-4</v>
      </c>
      <c r="EO110">
        <f t="shared" ref="EO110:EO173" si="409">CM110*IQ</f>
        <v>4.4999999999999997E-3</v>
      </c>
      <c r="EP110" s="460">
        <f t="shared" ref="EP110:EP173" si="410">(EO110+EM110)*1000</f>
        <v>6</v>
      </c>
      <c r="EQ110" s="460"/>
      <c r="ER110" s="460">
        <f>SUM(EK110:EO110)*1000</f>
        <v>15.665443555555553</v>
      </c>
      <c r="ES110" s="528">
        <f t="shared" ref="ES110:ES173" si="411">Vfwd2*CJ110</f>
        <v>6.9999999999999996E-10</v>
      </c>
      <c r="EV110" s="460">
        <f t="shared" ref="EV110:EV169" si="412">SUM(ES110:EU110)*1000</f>
        <v>6.9999999999999997E-7</v>
      </c>
      <c r="EW110" s="528">
        <f t="shared" ref="EW110:EW173" si="413">Rdcr_pri*EH110^2</f>
        <v>3.4133333333333357E-4</v>
      </c>
      <c r="EX110" s="528">
        <f t="shared" ref="EX110:EX173" si="414">Rdcr_sec*EI110^2</f>
        <v>1.7436444444444449E-2</v>
      </c>
      <c r="EY110" s="528">
        <f t="shared" ref="EY110:EY173" si="415">DN110^2.5*DR110^2.5*k_core</f>
        <v>5.1199999999999998E-5</v>
      </c>
      <c r="EZ110" s="528"/>
      <c r="FA110" s="528">
        <f t="shared" ref="FA110:FA173" si="416">0.5*Lleak*0.000000001*DN110^2*DR110*1000</f>
        <v>1.0666666666666668E-4</v>
      </c>
      <c r="FB110" s="460">
        <f t="shared" ref="FB110:FB173" si="417">SUM(EW110:FA110)*1000</f>
        <v>17.935644444444449</v>
      </c>
      <c r="FC110" s="173">
        <f t="shared" ref="FC110:FC173" si="418">SUM(EK110:EO110,ES110:EU110,EW110:FA110)</f>
        <v>3.3601088699999997E-2</v>
      </c>
      <c r="FD110" s="5">
        <f t="shared" ref="FD110:FD173" si="419">MIN(CL110,CS110)</f>
        <v>1.6399999999999998E-8</v>
      </c>
      <c r="FE110" s="173">
        <f t="shared" ref="FE110:FE173" si="420">FD110/(FD110+FC110)</f>
        <v>4.8807918522894064E-7</v>
      </c>
      <c r="FF110" s="5">
        <f t="shared" ref="FF110:FF173" si="421">FE110*100</f>
        <v>4.8807918522894065E-5</v>
      </c>
      <c r="FI110" s="562">
        <f t="shared" ref="FI110:FI173" si="422">IF(ABS(CJ110-Ioutmax_Vinmin)&lt;Iout/200, DR110, -50)</f>
        <v>-50</v>
      </c>
      <c r="FJ110">
        <f t="shared" ref="FJ110:FJ173" si="423">IF(ABS(CJ110-Ioutmax_Vinmin)&lt;Iout/200, CR110*FE110, -50)</f>
        <v>-50</v>
      </c>
      <c r="FL110">
        <f t="shared" ref="FL110:FL141" si="424">MIN(SQRT(2*L*DR110*1000*CJ110*(CX110+Vfwd1))/(Nps*(CX110+Vfwd1)), 1-EA110)</f>
        <v>4.1403933560541265E-6</v>
      </c>
    </row>
    <row r="111" spans="5:168">
      <c r="E111" s="170">
        <v>1</v>
      </c>
      <c r="F111" s="217">
        <f t="shared" ref="F111:F142" si="425">IF(PLOT_TYPE=1, E111/100*Iout_max, min_I*EXP(N111*rr/100))</f>
        <v>0.01</v>
      </c>
      <c r="G111" s="217"/>
      <c r="H111" s="217">
        <f t="shared" si="315"/>
        <v>0.16399999999999998</v>
      </c>
      <c r="I111" s="541">
        <f t="shared" si="316"/>
        <v>9.9670658826646878</v>
      </c>
      <c r="J111" s="172">
        <f t="shared" si="317"/>
        <v>16.819760470401185</v>
      </c>
      <c r="K111" s="172">
        <f t="shared" si="318"/>
        <v>26.786826353065873</v>
      </c>
      <c r="L111" s="443"/>
      <c r="M111" s="217">
        <f t="shared" si="319"/>
        <v>0.62791498231559217</v>
      </c>
      <c r="N111" s="172">
        <f t="shared" ref="N111:N141" si="426">M111*I111*(Isw_max+VIN_min/Lmag*ILIM_delay)*0.5*Efficiency</f>
        <v>20.939797533140613</v>
      </c>
      <c r="O111" s="172">
        <f t="shared" si="284"/>
        <v>0.16399999999999998</v>
      </c>
      <c r="P111" s="217">
        <f t="shared" si="320"/>
        <v>1.2768169227524766</v>
      </c>
      <c r="Q111" s="217">
        <f t="shared" si="321"/>
        <v>16.399999999999999</v>
      </c>
      <c r="R111" s="217"/>
      <c r="S111" s="172">
        <f t="shared" si="322"/>
        <v>3312.3894318039647</v>
      </c>
      <c r="T111" s="172">
        <f t="shared" si="323"/>
        <v>16.399999999999999</v>
      </c>
      <c r="U111" s="217">
        <f t="shared" si="324"/>
        <v>5.3751156454688101E-2</v>
      </c>
      <c r="V111" s="217">
        <f t="shared" si="325"/>
        <v>6.4714519302827497E-2</v>
      </c>
      <c r="W111" s="217">
        <f t="shared" si="326"/>
        <v>3.8348576877258726E-2</v>
      </c>
      <c r="X111" s="197">
        <f t="shared" si="327"/>
        <v>350</v>
      </c>
      <c r="Y111" s="443">
        <f t="shared" si="328"/>
        <v>350</v>
      </c>
      <c r="AA111" s="217">
        <f t="shared" si="329"/>
        <v>1.4901040083186818</v>
      </c>
      <c r="AB111" s="173">
        <f t="shared" si="330"/>
        <v>1.0631095568388722</v>
      </c>
      <c r="AC111" s="173">
        <f t="shared" si="331"/>
        <v>0.27722516708731271</v>
      </c>
      <c r="AD111" s="173"/>
      <c r="AE111" s="173">
        <f t="shared" si="332"/>
        <v>0.95126206036977945</v>
      </c>
      <c r="AF111" s="545">
        <f t="shared" si="333"/>
        <v>15.768525441001108</v>
      </c>
      <c r="AG111" s="528">
        <f t="shared" si="334"/>
        <v>0.22196114741961523</v>
      </c>
      <c r="AI111" s="173">
        <f t="shared" si="335"/>
        <v>0.2830090060017541</v>
      </c>
      <c r="AJ111" s="173">
        <f t="shared" si="336"/>
        <v>1.3333333333333335</v>
      </c>
      <c r="AK111" s="173">
        <f t="shared" si="337"/>
        <v>1.0090105859662863</v>
      </c>
      <c r="AM111" s="545">
        <f t="shared" si="338"/>
        <v>10</v>
      </c>
      <c r="AN111" s="460">
        <f t="shared" si="339"/>
        <v>15.768525441001108</v>
      </c>
      <c r="AP111" s="460">
        <f t="shared" si="340"/>
        <v>10</v>
      </c>
      <c r="AQ111" s="460">
        <f t="shared" si="341"/>
        <v>15.768525441001108</v>
      </c>
      <c r="AS111" s="5">
        <f t="shared" si="285"/>
        <v>63.417470691318634</v>
      </c>
      <c r="AT111" s="5">
        <f t="shared" si="342"/>
        <v>1.6052868706153685</v>
      </c>
      <c r="AU111" s="5">
        <f t="shared" si="343"/>
        <v>61.812183820703268</v>
      </c>
      <c r="AV111" s="5"/>
      <c r="AW111" s="173">
        <f t="shared" si="344"/>
        <v>2.5313006859403492E-2</v>
      </c>
      <c r="AX111" s="173">
        <f t="shared" si="214"/>
        <v>0.16819760470401185</v>
      </c>
      <c r="AY111" s="173">
        <f t="shared" si="215"/>
        <v>0.64979132876039769</v>
      </c>
      <c r="AZ111" s="173">
        <f t="shared" si="288"/>
        <v>0.25884864457160611</v>
      </c>
      <c r="BA111" s="460">
        <f t="shared" si="345"/>
        <v>9.7883345769229801E-2</v>
      </c>
      <c r="BB111" s="5">
        <f t="shared" si="346"/>
        <v>0.84755786924770493</v>
      </c>
      <c r="BD111" s="173">
        <f t="shared" si="289"/>
        <v>0.12247571335219076</v>
      </c>
      <c r="BE111" s="173">
        <f t="shared" si="218"/>
        <v>0.7599949290827307</v>
      </c>
      <c r="BG111" s="528">
        <f t="shared" si="347"/>
        <v>3.0000600722255997E-4</v>
      </c>
      <c r="BH111" s="528">
        <f t="shared" si="348"/>
        <v>1.0559718820799955E-2</v>
      </c>
      <c r="BI111" s="528">
        <f t="shared" si="349"/>
        <v>3.9291482985733071E-3</v>
      </c>
      <c r="BJ111" s="528">
        <f t="shared" si="350"/>
        <v>1.1314454175598795E-3</v>
      </c>
      <c r="BK111">
        <f t="shared" si="351"/>
        <v>4.4851796471991091E-3</v>
      </c>
      <c r="BL111" s="460">
        <f t="shared" ref="BL111:BL174" si="427">(BK111+BI111)*1000</f>
        <v>8.4143279457724169</v>
      </c>
      <c r="BM111" s="528">
        <f t="shared" si="352"/>
        <v>1.2073032450517591E-2</v>
      </c>
      <c r="BN111" s="460">
        <f t="shared" si="353"/>
        <v>12.073032450517591</v>
      </c>
      <c r="BO111" s="528">
        <f t="shared" si="354"/>
        <v>6.9999999999999993E-3</v>
      </c>
      <c r="BR111" s="460">
        <f t="shared" si="355"/>
        <v>6.9999999999999991</v>
      </c>
      <c r="BS111" s="528">
        <f t="shared" si="356"/>
        <v>4.5000901083383992E-4</v>
      </c>
      <c r="BT111" s="528">
        <f t="shared" si="357"/>
        <v>1.7327768766943946E-2</v>
      </c>
      <c r="BU111" s="528">
        <f t="shared" si="358"/>
        <v>1.0134318606719074E-4</v>
      </c>
      <c r="BV111" s="528"/>
      <c r="BW111" s="528">
        <f t="shared" si="359"/>
        <v>1.4016467058667654E-4</v>
      </c>
      <c r="BX111" s="460">
        <f t="shared" si="360"/>
        <v>18.019285634431654</v>
      </c>
      <c r="BY111" s="173">
        <f t="shared" si="361"/>
        <v>4.5424783825786463E-2</v>
      </c>
      <c r="BZ111" s="5">
        <f t="shared" si="362"/>
        <v>0.16399999999999998</v>
      </c>
      <c r="CA111" s="173">
        <f t="shared" si="363"/>
        <v>0.78309738228702752</v>
      </c>
      <c r="CB111" s="5">
        <f t="shared" si="364"/>
        <v>78.309738228702756</v>
      </c>
      <c r="CE111" s="562">
        <f t="shared" si="365"/>
        <v>-50</v>
      </c>
      <c r="CF111">
        <f t="shared" si="366"/>
        <v>-50</v>
      </c>
      <c r="CG111" s="173">
        <f t="shared" si="367"/>
        <v>1.5181824820424215E-2</v>
      </c>
      <c r="CI111" s="170">
        <v>1</v>
      </c>
      <c r="CJ111" s="217">
        <f t="shared" ref="CJ111:CJ174" si="428">IF(PLOT_TYPE=1, CI111/100*Iout_max, min_I*EXP(CR111*rr/100))</f>
        <v>0.01</v>
      </c>
      <c r="CK111" s="217"/>
      <c r="CL111" s="217">
        <f t="shared" si="368"/>
        <v>0.16399999999999998</v>
      </c>
      <c r="CM111" s="541">
        <f t="shared" si="369"/>
        <v>10</v>
      </c>
      <c r="CN111" s="443">
        <f t="shared" si="370"/>
        <v>16.799999999999997</v>
      </c>
      <c r="CO111" s="443">
        <f t="shared" si="371"/>
        <v>26.799999999999997</v>
      </c>
      <c r="CP111" s="443"/>
      <c r="CQ111" s="217">
        <f t="shared" si="372"/>
        <v>0.62686567164179097</v>
      </c>
      <c r="CR111" s="172">
        <f t="shared" ref="CR111:CR174" si="429">CQ111*CM111*(Isw_max+VIN_min/Lmag*ILIM_delay)*0.5*Efficiency</f>
        <v>20.973880597014926</v>
      </c>
      <c r="CS111" s="172">
        <f t="shared" si="373"/>
        <v>0.16399999999999998</v>
      </c>
      <c r="CT111" s="217">
        <f t="shared" si="374"/>
        <v>1.2788951583545687</v>
      </c>
      <c r="CU111" s="217">
        <f t="shared" si="375"/>
        <v>16.399999999999999</v>
      </c>
      <c r="CV111" s="217"/>
      <c r="CW111" s="172">
        <f t="shared" si="376"/>
        <v>3323.3345367988795</v>
      </c>
      <c r="CX111" s="172">
        <f t="shared" si="377"/>
        <v>16.399999999999999</v>
      </c>
      <c r="CY111" s="217">
        <f t="shared" si="378"/>
        <v>5.2323809523809522E-2</v>
      </c>
      <c r="CZ111" s="217">
        <f t="shared" si="379"/>
        <v>6.278857142857143E-2</v>
      </c>
      <c r="DA111" s="217">
        <f t="shared" si="380"/>
        <v>3.7374149659863951E-2</v>
      </c>
      <c r="DB111" s="197">
        <f t="shared" si="381"/>
        <v>350</v>
      </c>
      <c r="DC111" s="443">
        <f t="shared" si="382"/>
        <v>350</v>
      </c>
      <c r="DE111" s="217">
        <f t="shared" si="383"/>
        <v>1.4925373134328355</v>
      </c>
      <c r="DF111" s="173">
        <f t="shared" si="384"/>
        <v>1.0660980810234544</v>
      </c>
      <c r="DG111" s="173">
        <f t="shared" si="385"/>
        <v>0.27845845399866342</v>
      </c>
      <c r="DH111" s="173"/>
      <c r="DI111" s="173">
        <f t="shared" si="386"/>
        <v>0.95238095238095266</v>
      </c>
      <c r="DJ111" s="545">
        <f t="shared" si="387"/>
        <v>15.749999999999995</v>
      </c>
      <c r="DK111" s="528">
        <f t="shared" si="388"/>
        <v>0.22222222222222232</v>
      </c>
      <c r="DM111" s="173">
        <f t="shared" si="389"/>
        <v>0.28284271247461901</v>
      </c>
      <c r="DN111" s="173">
        <f t="shared" si="390"/>
        <v>1.3333333333333335</v>
      </c>
      <c r="DO111" s="173">
        <f t="shared" si="391"/>
        <v>1.0089999999999999</v>
      </c>
      <c r="DQ111" s="545">
        <f t="shared" si="392"/>
        <v>10</v>
      </c>
      <c r="DR111" s="460">
        <f t="shared" si="393"/>
        <v>15.749999999999995</v>
      </c>
      <c r="DT111">
        <f t="shared" ref="DT111:DT174" si="430">IF(CL111&gt;CR111, " ",DQ111)</f>
        <v>10</v>
      </c>
      <c r="DU111">
        <f t="shared" ref="DU111:DU174" si="431">IF(CL111&gt;CR111, " ",DR111)</f>
        <v>15.749999999999995</v>
      </c>
      <c r="DW111" s="5">
        <f t="shared" si="394"/>
        <v>63.492063492063515</v>
      </c>
      <c r="DX111" s="5">
        <f t="shared" si="395"/>
        <v>1.6000000000000003</v>
      </c>
      <c r="DY111" s="5">
        <f t="shared" si="396"/>
        <v>61.892063492063514</v>
      </c>
      <c r="DZ111" s="5"/>
      <c r="EA111" s="173">
        <f t="shared" si="397"/>
        <v>2.5199999999999997E-2</v>
      </c>
      <c r="EB111" s="173">
        <f t="shared" si="398"/>
        <v>0.16799999999999998</v>
      </c>
      <c r="EC111" s="173">
        <f t="shared" si="399"/>
        <v>0.6498666666666667</v>
      </c>
      <c r="ED111" s="173">
        <f t="shared" si="400"/>
        <v>0.25851456709068521</v>
      </c>
      <c r="EE111" s="460">
        <f t="shared" si="401"/>
        <v>9.7560975609756143E-2</v>
      </c>
      <c r="EF111" s="5">
        <f t="shared" si="402"/>
        <v>0.8458582010582012</v>
      </c>
      <c r="EH111" s="173">
        <f t="shared" si="403"/>
        <v>0.12220201853215575</v>
      </c>
      <c r="EI111" s="173">
        <f t="shared" si="404"/>
        <v>0.76003898535486936</v>
      </c>
      <c r="EK111" s="528">
        <f t="shared" si="405"/>
        <v>2.9866666666666675E-4</v>
      </c>
      <c r="EL111" s="528">
        <f t="shared" si="406"/>
        <v>1.1255999999999999E-2</v>
      </c>
      <c r="EM111" s="528">
        <f t="shared" si="407"/>
        <v>1.9687499999999991E-3</v>
      </c>
      <c r="EN111" s="528">
        <f t="shared" si="408"/>
        <v>1.1312279999999995E-3</v>
      </c>
      <c r="EO111">
        <f t="shared" si="409"/>
        <v>4.4999999999999997E-3</v>
      </c>
      <c r="EP111" s="460">
        <f t="shared" si="410"/>
        <v>6.4687499999999991</v>
      </c>
      <c r="EQ111" s="460"/>
      <c r="ER111" s="460">
        <f t="shared" ref="ER111:ER174" si="432">SUM(EK111:EO111)*1000</f>
        <v>19.154644666666666</v>
      </c>
      <c r="ES111" s="528">
        <f t="shared" si="411"/>
        <v>6.9999999999999993E-3</v>
      </c>
      <c r="EV111" s="460">
        <f t="shared" si="412"/>
        <v>6.9999999999999991</v>
      </c>
      <c r="EW111" s="528">
        <f t="shared" si="413"/>
        <v>4.480000000000001E-4</v>
      </c>
      <c r="EX111" s="528">
        <f t="shared" si="414"/>
        <v>1.7329777777777777E-2</v>
      </c>
      <c r="EY111" s="528">
        <f t="shared" si="415"/>
        <v>1.0104579407377625E-4</v>
      </c>
      <c r="EZ111" s="528"/>
      <c r="FA111" s="528">
        <f t="shared" si="416"/>
        <v>1.3999999999999999E-4</v>
      </c>
      <c r="FB111" s="460">
        <f t="shared" si="417"/>
        <v>18.018823571851556</v>
      </c>
      <c r="FC111" s="173">
        <f t="shared" si="418"/>
        <v>4.4173468238518213E-2</v>
      </c>
      <c r="FD111" s="5">
        <f t="shared" si="419"/>
        <v>0.16399999999999998</v>
      </c>
      <c r="FE111" s="173">
        <f t="shared" si="420"/>
        <v>0.78780452373543719</v>
      </c>
      <c r="FF111" s="5">
        <f t="shared" si="421"/>
        <v>78.780452373543724</v>
      </c>
      <c r="FI111" s="562">
        <f t="shared" si="422"/>
        <v>-50</v>
      </c>
      <c r="FJ111">
        <f t="shared" si="423"/>
        <v>-50</v>
      </c>
      <c r="FL111">
        <f t="shared" si="424"/>
        <v>1.4999999999999999E-2</v>
      </c>
    </row>
    <row r="112" spans="5:168">
      <c r="E112" s="170">
        <v>2</v>
      </c>
      <c r="F112" s="217">
        <f t="shared" si="425"/>
        <v>0.02</v>
      </c>
      <c r="G112" s="217"/>
      <c r="H112" s="217">
        <f t="shared" si="315"/>
        <v>0.32799999999999996</v>
      </c>
      <c r="I112" s="541">
        <f t="shared" si="316"/>
        <v>9.9670658826646878</v>
      </c>
      <c r="J112" s="172">
        <f t="shared" si="317"/>
        <v>16.819760470401185</v>
      </c>
      <c r="K112" s="172">
        <f t="shared" si="318"/>
        <v>26.786826353065873</v>
      </c>
      <c r="L112" s="443"/>
      <c r="M112" s="217">
        <f t="shared" si="319"/>
        <v>0.62791498231559217</v>
      </c>
      <c r="N112" s="172">
        <f t="shared" si="426"/>
        <v>20.939797533140613</v>
      </c>
      <c r="O112" s="172">
        <f t="shared" si="284"/>
        <v>0.32799999999999996</v>
      </c>
      <c r="P112" s="217">
        <f t="shared" si="320"/>
        <v>1.2768169227524766</v>
      </c>
      <c r="Q112" s="217">
        <f t="shared" si="321"/>
        <v>16.399999999999999</v>
      </c>
      <c r="R112" s="217"/>
      <c r="S112" s="172">
        <f t="shared" si="322"/>
        <v>1651.2129951267507</v>
      </c>
      <c r="T112" s="172">
        <f t="shared" si="323"/>
        <v>16.399999999999999</v>
      </c>
      <c r="U112" s="217">
        <f t="shared" si="324"/>
        <v>0.1075023129093762</v>
      </c>
      <c r="V112" s="217">
        <f t="shared" si="325"/>
        <v>0.12942903860565499</v>
      </c>
      <c r="W112" s="217">
        <f t="shared" si="326"/>
        <v>7.6697153754517453E-2</v>
      </c>
      <c r="X112" s="197">
        <f t="shared" si="327"/>
        <v>350</v>
      </c>
      <c r="Y112" s="443">
        <f t="shared" si="328"/>
        <v>350</v>
      </c>
      <c r="AA112" s="217">
        <f t="shared" si="329"/>
        <v>1.4901040083186818</v>
      </c>
      <c r="AB112" s="173">
        <f t="shared" si="330"/>
        <v>1.0631095568388722</v>
      </c>
      <c r="AC112" s="173">
        <f t="shared" si="331"/>
        <v>0.27722516708731271</v>
      </c>
      <c r="AD112" s="173"/>
      <c r="AE112" s="173">
        <f t="shared" si="332"/>
        <v>0.95126206036977945</v>
      </c>
      <c r="AF112" s="545">
        <f t="shared" si="333"/>
        <v>31.537050882002216</v>
      </c>
      <c r="AG112" s="528">
        <f t="shared" si="334"/>
        <v>0.22196114741961523</v>
      </c>
      <c r="AI112" s="173">
        <f t="shared" si="335"/>
        <v>0.40023517456140933</v>
      </c>
      <c r="AJ112" s="173">
        <f t="shared" si="336"/>
        <v>1.3333333333333335</v>
      </c>
      <c r="AK112" s="173">
        <f t="shared" si="337"/>
        <v>1.0180211719325727</v>
      </c>
      <c r="AM112" s="545">
        <f t="shared" si="338"/>
        <v>20</v>
      </c>
      <c r="AN112" s="460">
        <f t="shared" si="339"/>
        <v>31.537050882002216</v>
      </c>
      <c r="AP112" s="460">
        <f t="shared" si="340"/>
        <v>20</v>
      </c>
      <c r="AQ112" s="460">
        <f t="shared" si="341"/>
        <v>31.537050882002216</v>
      </c>
      <c r="AS112" s="5">
        <f t="shared" si="285"/>
        <v>31.708735345659317</v>
      </c>
      <c r="AT112" s="5">
        <f t="shared" si="342"/>
        <v>1.6052868706153685</v>
      </c>
      <c r="AU112" s="5">
        <f t="shared" si="343"/>
        <v>30.103448475043947</v>
      </c>
      <c r="AV112" s="5"/>
      <c r="AW112" s="173">
        <f t="shared" si="344"/>
        <v>5.0626013718806984E-2</v>
      </c>
      <c r="AX112" s="173">
        <f t="shared" si="214"/>
        <v>0.3363952094080237</v>
      </c>
      <c r="AY112" s="173">
        <f t="shared" si="215"/>
        <v>0.63291599085412875</v>
      </c>
      <c r="AZ112" s="173">
        <f t="shared" si="288"/>
        <v>0.53150056922097</v>
      </c>
      <c r="BA112" s="460">
        <f t="shared" si="345"/>
        <v>0.1957666915384596</v>
      </c>
      <c r="BB112" s="5">
        <f t="shared" si="346"/>
        <v>0.82554645603608545</v>
      </c>
      <c r="BD112" s="173">
        <f t="shared" si="289"/>
        <v>0.17320681488398773</v>
      </c>
      <c r="BE112" s="173">
        <f t="shared" si="218"/>
        <v>0.75006132540635417</v>
      </c>
      <c r="BG112" s="528">
        <f t="shared" si="347"/>
        <v>6.0001201444511993E-4</v>
      </c>
      <c r="BH112" s="528">
        <f t="shared" si="348"/>
        <v>2.111943764159991E-2</v>
      </c>
      <c r="BI112" s="528">
        <f t="shared" si="349"/>
        <v>7.8582965971466141E-3</v>
      </c>
      <c r="BJ112" s="528">
        <f t="shared" si="350"/>
        <v>2.262890835119759E-3</v>
      </c>
      <c r="BK112">
        <f t="shared" si="351"/>
        <v>4.4851796471991091E-3</v>
      </c>
      <c r="BL112" s="460">
        <f t="shared" si="427"/>
        <v>12.343476244345723</v>
      </c>
      <c r="BM112" s="528">
        <f t="shared" si="352"/>
        <v>2.4147786312414717E-2</v>
      </c>
      <c r="BN112" s="460">
        <f t="shared" si="353"/>
        <v>24.147786312414716</v>
      </c>
      <c r="BO112" s="528">
        <f t="shared" si="354"/>
        <v>1.3999999999999999E-2</v>
      </c>
      <c r="BR112" s="460">
        <f t="shared" si="355"/>
        <v>13.999999999999998</v>
      </c>
      <c r="BS112" s="528">
        <f t="shared" si="356"/>
        <v>9.0001802166767974E-4</v>
      </c>
      <c r="BT112" s="528">
        <f t="shared" si="357"/>
        <v>1.6877759756110101E-2</v>
      </c>
      <c r="BU112" s="528">
        <f t="shared" si="358"/>
        <v>5.7328363276128451E-4</v>
      </c>
      <c r="BV112" s="528"/>
      <c r="BW112" s="528">
        <f t="shared" si="359"/>
        <v>2.8032934117335308E-4</v>
      </c>
      <c r="BX112" s="460">
        <f t="shared" si="360"/>
        <v>18.63139075171242</v>
      </c>
      <c r="BY112" s="173">
        <f>SUM(BG112:BK112,BO112:BQ112,BS112:BW112)</f>
        <v>6.8957207487222921E-2</v>
      </c>
      <c r="BZ112" s="5">
        <f t="shared" si="362"/>
        <v>0.32799999999999996</v>
      </c>
      <c r="CA112" s="173">
        <f t="shared" si="363"/>
        <v>0.82628553862586696</v>
      </c>
      <c r="CB112" s="5">
        <f t="shared" si="364"/>
        <v>82.628553862586699</v>
      </c>
      <c r="CE112" s="562">
        <f t="shared" si="365"/>
        <v>-50</v>
      </c>
      <c r="CF112">
        <f t="shared" si="366"/>
        <v>-50</v>
      </c>
      <c r="CG112" s="173">
        <f t="shared" si="367"/>
        <v>3.0363649640848429E-2</v>
      </c>
      <c r="CI112" s="170">
        <v>2</v>
      </c>
      <c r="CJ112" s="217">
        <f t="shared" si="428"/>
        <v>0.02</v>
      </c>
      <c r="CK112" s="217"/>
      <c r="CL112" s="217">
        <f t="shared" si="368"/>
        <v>0.32799999999999996</v>
      </c>
      <c r="CM112" s="541">
        <f t="shared" si="369"/>
        <v>10</v>
      </c>
      <c r="CN112" s="443">
        <f t="shared" si="370"/>
        <v>16.799999999999997</v>
      </c>
      <c r="CO112" s="443">
        <f t="shared" si="371"/>
        <v>26.799999999999997</v>
      </c>
      <c r="CP112" s="443"/>
      <c r="CQ112" s="217">
        <f t="shared" si="372"/>
        <v>0.62686567164179097</v>
      </c>
      <c r="CR112" s="172">
        <f t="shared" si="429"/>
        <v>20.973880597014926</v>
      </c>
      <c r="CS112" s="172">
        <f t="shared" si="373"/>
        <v>0.32799999999999996</v>
      </c>
      <c r="CT112" s="217">
        <f t="shared" si="374"/>
        <v>1.2788951583545687</v>
      </c>
      <c r="CU112" s="217">
        <f t="shared" si="375"/>
        <v>16.399999999999999</v>
      </c>
      <c r="CV112" s="217"/>
      <c r="CW112" s="172">
        <f t="shared" si="376"/>
        <v>1656.6690805672379</v>
      </c>
      <c r="CX112" s="172">
        <f t="shared" si="377"/>
        <v>16.399999999999999</v>
      </c>
      <c r="CY112" s="217">
        <f t="shared" si="378"/>
        <v>0.10464761904761904</v>
      </c>
      <c r="CZ112" s="217">
        <f t="shared" si="379"/>
        <v>0.12557714285714286</v>
      </c>
      <c r="DA112" s="217">
        <f t="shared" si="380"/>
        <v>7.4748299319727901E-2</v>
      </c>
      <c r="DB112" s="197">
        <f t="shared" si="381"/>
        <v>350</v>
      </c>
      <c r="DC112" s="443">
        <f t="shared" si="382"/>
        <v>350</v>
      </c>
      <c r="DE112" s="217">
        <f t="shared" si="383"/>
        <v>1.4925373134328355</v>
      </c>
      <c r="DF112" s="173">
        <f t="shared" si="384"/>
        <v>1.0660980810234544</v>
      </c>
      <c r="DG112" s="173">
        <f t="shared" si="385"/>
        <v>0.27845845399866342</v>
      </c>
      <c r="DH112" s="173"/>
      <c r="DI112" s="173">
        <f t="shared" si="386"/>
        <v>0.95238095238095266</v>
      </c>
      <c r="DJ112" s="545">
        <f t="shared" si="387"/>
        <v>31.499999999999989</v>
      </c>
      <c r="DK112" s="528">
        <f t="shared" si="388"/>
        <v>0.22222222222222232</v>
      </c>
      <c r="DM112" s="173">
        <f t="shared" si="389"/>
        <v>0.39999999999999997</v>
      </c>
      <c r="DN112" s="173">
        <f t="shared" si="390"/>
        <v>1.3333333333333335</v>
      </c>
      <c r="DO112" s="173">
        <f t="shared" si="391"/>
        <v>1.018</v>
      </c>
      <c r="DQ112" s="545">
        <f t="shared" si="392"/>
        <v>20</v>
      </c>
      <c r="DR112" s="460">
        <f t="shared" si="393"/>
        <v>31.499999999999989</v>
      </c>
      <c r="DT112">
        <f t="shared" si="430"/>
        <v>20</v>
      </c>
      <c r="DU112">
        <f t="shared" si="431"/>
        <v>31.499999999999989</v>
      </c>
      <c r="DW112" s="5">
        <f t="shared" si="394"/>
        <v>31.746031746031758</v>
      </c>
      <c r="DX112" s="5">
        <f t="shared" si="395"/>
        <v>1.6000000000000003</v>
      </c>
      <c r="DY112" s="5">
        <f t="shared" si="396"/>
        <v>30.146031746031756</v>
      </c>
      <c r="DZ112" s="5"/>
      <c r="EA112" s="173">
        <f t="shared" si="397"/>
        <v>5.0399999999999993E-2</v>
      </c>
      <c r="EB112" s="173">
        <f t="shared" si="398"/>
        <v>0.33599999999999997</v>
      </c>
      <c r="EC112" s="173">
        <f t="shared" si="399"/>
        <v>0.63306666666666678</v>
      </c>
      <c r="ED112" s="173">
        <f t="shared" si="400"/>
        <v>0.53074978938500406</v>
      </c>
      <c r="EE112" s="460">
        <f t="shared" si="401"/>
        <v>0.19512195121951229</v>
      </c>
      <c r="EF112" s="5">
        <f t="shared" si="402"/>
        <v>0.8239915343915345</v>
      </c>
      <c r="EH112" s="173">
        <f t="shared" si="403"/>
        <v>0.17281975195754293</v>
      </c>
      <c r="EI112" s="173">
        <f t="shared" si="404"/>
        <v>0.75015060216327634</v>
      </c>
      <c r="EK112" s="528">
        <f t="shared" si="405"/>
        <v>5.9733333333333329E-4</v>
      </c>
      <c r="EL112" s="528">
        <f t="shared" si="406"/>
        <v>2.2511999999999997E-2</v>
      </c>
      <c r="EM112" s="528">
        <f t="shared" si="407"/>
        <v>3.9374999999999983E-3</v>
      </c>
      <c r="EN112" s="528">
        <f t="shared" si="408"/>
        <v>2.2624559999999991E-3</v>
      </c>
      <c r="EO112">
        <f t="shared" si="409"/>
        <v>4.4999999999999997E-3</v>
      </c>
      <c r="EP112" s="460">
        <f t="shared" si="410"/>
        <v>8.4374999999999964</v>
      </c>
      <c r="EQ112" s="460"/>
      <c r="ER112" s="460">
        <f t="shared" si="432"/>
        <v>33.809289333333325</v>
      </c>
      <c r="ES112" s="528">
        <f t="shared" si="411"/>
        <v>1.3999999999999999E-2</v>
      </c>
      <c r="EV112" s="460">
        <f t="shared" si="412"/>
        <v>13.999999999999998</v>
      </c>
      <c r="EW112" s="528">
        <f t="shared" si="413"/>
        <v>8.9599999999999988E-4</v>
      </c>
      <c r="EX112" s="528">
        <f t="shared" si="414"/>
        <v>1.688177777777778E-2</v>
      </c>
      <c r="EY112" s="528">
        <f t="shared" si="415"/>
        <v>5.7160132959957271E-4</v>
      </c>
      <c r="EZ112" s="528"/>
      <c r="FA112" s="528">
        <f t="shared" si="416"/>
        <v>2.7999999999999998E-4</v>
      </c>
      <c r="FB112" s="460">
        <f t="shared" si="417"/>
        <v>18.62937910737735</v>
      </c>
      <c r="FC112" s="173">
        <f t="shared" si="418"/>
        <v>6.6438668440710683E-2</v>
      </c>
      <c r="FD112" s="5">
        <f t="shared" si="419"/>
        <v>0.32799999999999996</v>
      </c>
      <c r="FE112" s="173">
        <f t="shared" si="420"/>
        <v>0.83156147265339098</v>
      </c>
      <c r="FF112" s="5">
        <f t="shared" si="421"/>
        <v>83.156147265339101</v>
      </c>
      <c r="FI112" s="562">
        <f t="shared" si="422"/>
        <v>-50</v>
      </c>
      <c r="FJ112">
        <f t="shared" si="423"/>
        <v>-50</v>
      </c>
      <c r="FL112">
        <f t="shared" si="424"/>
        <v>0.03</v>
      </c>
    </row>
    <row r="113" spans="5:168">
      <c r="E113" s="170">
        <v>3</v>
      </c>
      <c r="F113" s="217">
        <f t="shared" si="425"/>
        <v>0.03</v>
      </c>
      <c r="G113" s="217"/>
      <c r="H113" s="217">
        <f t="shared" si="315"/>
        <v>0.49199999999999994</v>
      </c>
      <c r="I113" s="541">
        <f t="shared" si="316"/>
        <v>9.9670658826646878</v>
      </c>
      <c r="J113" s="172">
        <f t="shared" si="317"/>
        <v>16.819760470401185</v>
      </c>
      <c r="K113" s="172">
        <f t="shared" si="318"/>
        <v>26.786826353065873</v>
      </c>
      <c r="L113" s="443"/>
      <c r="M113" s="217">
        <f t="shared" si="319"/>
        <v>0.62791498231559217</v>
      </c>
      <c r="N113" s="172">
        <f t="shared" si="426"/>
        <v>20.939797533140613</v>
      </c>
      <c r="O113" s="172">
        <f t="shared" si="284"/>
        <v>0.49199999999999994</v>
      </c>
      <c r="P113" s="217">
        <f t="shared" si="320"/>
        <v>1.2768169227524766</v>
      </c>
      <c r="Q113" s="217">
        <f t="shared" si="321"/>
        <v>16.399999999999999</v>
      </c>
      <c r="R113" s="217"/>
      <c r="S113" s="172">
        <f t="shared" si="322"/>
        <v>1097.4883302165686</v>
      </c>
      <c r="T113" s="172">
        <f t="shared" si="323"/>
        <v>16.399999999999999</v>
      </c>
      <c r="U113" s="217">
        <f t="shared" si="324"/>
        <v>0.16125346936406432</v>
      </c>
      <c r="V113" s="217">
        <f t="shared" si="325"/>
        <v>0.19414355790848245</v>
      </c>
      <c r="W113" s="217">
        <f t="shared" si="326"/>
        <v>0.11504573063177619</v>
      </c>
      <c r="X113" s="197">
        <f t="shared" si="327"/>
        <v>350</v>
      </c>
      <c r="Y113" s="443">
        <f t="shared" si="328"/>
        <v>350</v>
      </c>
      <c r="AA113" s="217">
        <f t="shared" si="329"/>
        <v>1.4901040083186818</v>
      </c>
      <c r="AB113" s="173">
        <f t="shared" si="330"/>
        <v>1.0631095568388722</v>
      </c>
      <c r="AC113" s="173">
        <f t="shared" si="331"/>
        <v>0.27722516708731271</v>
      </c>
      <c r="AD113" s="173"/>
      <c r="AE113" s="173">
        <f t="shared" si="332"/>
        <v>0.95126206036977945</v>
      </c>
      <c r="AF113" s="545">
        <f t="shared" si="333"/>
        <v>47.305576323003322</v>
      </c>
      <c r="AG113" s="528">
        <f t="shared" si="334"/>
        <v>0.22196114741961523</v>
      </c>
      <c r="AI113" s="173">
        <f t="shared" si="335"/>
        <v>0.4901859773946034</v>
      </c>
      <c r="AJ113" s="173">
        <f t="shared" si="336"/>
        <v>1.3333333333333335</v>
      </c>
      <c r="AK113" s="173">
        <f t="shared" si="337"/>
        <v>1.027031757898859</v>
      </c>
      <c r="AM113" s="545">
        <f t="shared" si="338"/>
        <v>30</v>
      </c>
      <c r="AN113" s="460">
        <f t="shared" si="339"/>
        <v>47.305576323003322</v>
      </c>
      <c r="AP113" s="460">
        <f t="shared" si="340"/>
        <v>30</v>
      </c>
      <c r="AQ113" s="460">
        <f t="shared" si="341"/>
        <v>47.305576323003322</v>
      </c>
      <c r="AS113" s="5">
        <f t="shared" si="285"/>
        <v>21.139156897106211</v>
      </c>
      <c r="AT113" s="5">
        <f t="shared" si="342"/>
        <v>1.6052868706153685</v>
      </c>
      <c r="AU113" s="5">
        <f t="shared" si="343"/>
        <v>19.533870026490842</v>
      </c>
      <c r="AV113" s="5"/>
      <c r="AW113" s="173">
        <f t="shared" si="344"/>
        <v>7.5939020578210475E-2</v>
      </c>
      <c r="AX113" s="173">
        <f t="shared" si="214"/>
        <v>0.5045928141120356</v>
      </c>
      <c r="AY113" s="173">
        <f t="shared" si="215"/>
        <v>0.61604065294785981</v>
      </c>
      <c r="AZ113" s="173">
        <f t="shared" si="288"/>
        <v>0.81909012286360117</v>
      </c>
      <c r="BA113" s="460">
        <f t="shared" si="345"/>
        <v>0.2936500373076894</v>
      </c>
      <c r="BB113" s="5">
        <f t="shared" si="346"/>
        <v>0.80353504282446586</v>
      </c>
      <c r="BD113" s="173">
        <f t="shared" si="289"/>
        <v>0.21213415821923634</v>
      </c>
      <c r="BE113" s="173">
        <f t="shared" si="218"/>
        <v>0.7399943861335766</v>
      </c>
      <c r="BG113" s="528">
        <f t="shared" si="347"/>
        <v>9.0001802166767995E-4</v>
      </c>
      <c r="BH113" s="528">
        <f t="shared" si="348"/>
        <v>3.1679156462399868E-2</v>
      </c>
      <c r="BI113" s="528">
        <f t="shared" si="349"/>
        <v>1.1787444895719921E-2</v>
      </c>
      <c r="BJ113" s="528">
        <f t="shared" si="350"/>
        <v>3.3943362526796385E-3</v>
      </c>
      <c r="BK113">
        <f t="shared" si="351"/>
        <v>4.4851796471991091E-3</v>
      </c>
      <c r="BL113" s="460">
        <f t="shared" si="427"/>
        <v>16.272624542919029</v>
      </c>
      <c r="BM113" s="528">
        <f t="shared" si="352"/>
        <v>3.6224261953884097E-2</v>
      </c>
      <c r="BN113" s="460">
        <f t="shared" si="353"/>
        <v>36.224261953884096</v>
      </c>
      <c r="BO113" s="528">
        <f t="shared" si="354"/>
        <v>2.0999999999999998E-2</v>
      </c>
      <c r="BR113" s="460">
        <f t="shared" si="355"/>
        <v>20.999999999999996</v>
      </c>
      <c r="BS113" s="528">
        <f t="shared" si="356"/>
        <v>1.3500270325015199E-3</v>
      </c>
      <c r="BT113" s="528">
        <f t="shared" si="357"/>
        <v>1.6427750745276266E-2</v>
      </c>
      <c r="BU113" s="528">
        <f t="shared" si="358"/>
        <v>1.5797839254235255E-3</v>
      </c>
      <c r="BV113" s="528"/>
      <c r="BW113" s="528">
        <f t="shared" si="359"/>
        <v>4.2049401176002963E-4</v>
      </c>
      <c r="BX113" s="460">
        <f t="shared" si="360"/>
        <v>19.778055714961344</v>
      </c>
      <c r="BY113" s="173">
        <f t="shared" si="361"/>
        <v>9.3024190994627567E-2</v>
      </c>
      <c r="BZ113" s="5">
        <f t="shared" si="362"/>
        <v>0.49199999999999994</v>
      </c>
      <c r="CA113" s="173">
        <f t="shared" si="363"/>
        <v>0.84099086426413794</v>
      </c>
      <c r="CB113" s="5">
        <f t="shared" si="364"/>
        <v>84.099086426413791</v>
      </c>
      <c r="CE113" s="562">
        <f t="shared" si="365"/>
        <v>-50</v>
      </c>
      <c r="CF113">
        <f t="shared" si="366"/>
        <v>-50</v>
      </c>
      <c r="CG113" s="173">
        <f t="shared" si="367"/>
        <v>4.5545474461272641E-2</v>
      </c>
      <c r="CI113" s="170">
        <v>3</v>
      </c>
      <c r="CJ113" s="217">
        <f t="shared" si="428"/>
        <v>0.03</v>
      </c>
      <c r="CK113" s="217"/>
      <c r="CL113" s="217">
        <f t="shared" si="368"/>
        <v>0.49199999999999994</v>
      </c>
      <c r="CM113" s="541">
        <f t="shared" si="369"/>
        <v>10</v>
      </c>
      <c r="CN113" s="443">
        <f t="shared" si="370"/>
        <v>16.799999999999997</v>
      </c>
      <c r="CO113" s="443">
        <f t="shared" si="371"/>
        <v>26.799999999999997</v>
      </c>
      <c r="CP113" s="443"/>
      <c r="CQ113" s="217">
        <f t="shared" si="372"/>
        <v>0.62686567164179097</v>
      </c>
      <c r="CR113" s="172">
        <f t="shared" si="429"/>
        <v>20.973880597014926</v>
      </c>
      <c r="CS113" s="172">
        <f t="shared" si="373"/>
        <v>0.49199999999999994</v>
      </c>
      <c r="CT113" s="217">
        <f t="shared" si="374"/>
        <v>1.2788951583545687</v>
      </c>
      <c r="CU113" s="217">
        <f t="shared" si="375"/>
        <v>16.399999999999999</v>
      </c>
      <c r="CV113" s="217"/>
      <c r="CW113" s="172">
        <f t="shared" si="376"/>
        <v>1101.1147424742205</v>
      </c>
      <c r="CX113" s="172">
        <f t="shared" si="377"/>
        <v>16.399999999999999</v>
      </c>
      <c r="CY113" s="217">
        <f t="shared" si="378"/>
        <v>0.15697142857142857</v>
      </c>
      <c r="CZ113" s="217">
        <f t="shared" si="379"/>
        <v>0.1883657142857143</v>
      </c>
      <c r="DA113" s="217">
        <f t="shared" si="380"/>
        <v>0.11212244897959185</v>
      </c>
      <c r="DB113" s="197">
        <f t="shared" si="381"/>
        <v>350</v>
      </c>
      <c r="DC113" s="443">
        <f t="shared" si="382"/>
        <v>350</v>
      </c>
      <c r="DE113" s="217">
        <f t="shared" si="383"/>
        <v>1.4925373134328355</v>
      </c>
      <c r="DF113" s="173">
        <f t="shared" si="384"/>
        <v>1.0660980810234544</v>
      </c>
      <c r="DG113" s="173">
        <f t="shared" si="385"/>
        <v>0.27845845399866342</v>
      </c>
      <c r="DH113" s="173"/>
      <c r="DI113" s="173">
        <f t="shared" si="386"/>
        <v>0.95238095238095266</v>
      </c>
      <c r="DJ113" s="545">
        <f t="shared" si="387"/>
        <v>47.249999999999979</v>
      </c>
      <c r="DK113" s="528">
        <f t="shared" si="388"/>
        <v>0.22222222222222232</v>
      </c>
      <c r="DM113" s="173">
        <f t="shared" si="389"/>
        <v>0.48989794855663554</v>
      </c>
      <c r="DN113" s="173">
        <f t="shared" si="390"/>
        <v>1.3333333333333335</v>
      </c>
      <c r="DO113" s="173">
        <f t="shared" si="391"/>
        <v>1.0269999999999999</v>
      </c>
      <c r="DQ113" s="545">
        <f t="shared" si="392"/>
        <v>30</v>
      </c>
      <c r="DR113" s="460">
        <f t="shared" si="393"/>
        <v>47.249999999999979</v>
      </c>
      <c r="DT113">
        <f t="shared" si="430"/>
        <v>30</v>
      </c>
      <c r="DU113">
        <f t="shared" si="431"/>
        <v>47.249999999999979</v>
      </c>
      <c r="DW113" s="5">
        <f t="shared" si="394"/>
        <v>21.164021164021172</v>
      </c>
      <c r="DX113" s="5">
        <f t="shared" si="395"/>
        <v>1.6000000000000003</v>
      </c>
      <c r="DY113" s="5">
        <f t="shared" si="396"/>
        <v>19.56402116402117</v>
      </c>
      <c r="DZ113" s="5"/>
      <c r="EA113" s="173">
        <f t="shared" si="397"/>
        <v>7.5599999999999987E-2</v>
      </c>
      <c r="EB113" s="173">
        <f t="shared" si="398"/>
        <v>0.50399999999999989</v>
      </c>
      <c r="EC113" s="173">
        <f t="shared" si="399"/>
        <v>0.61626666666666674</v>
      </c>
      <c r="ED113" s="173">
        <f t="shared" si="400"/>
        <v>0.81782778018173918</v>
      </c>
      <c r="EE113" s="460">
        <f t="shared" si="401"/>
        <v>0.29268292682926839</v>
      </c>
      <c r="EF113" s="5">
        <f t="shared" si="402"/>
        <v>0.8021248677248678</v>
      </c>
      <c r="EH113" s="173">
        <f t="shared" si="403"/>
        <v>0.21166010488516729</v>
      </c>
      <c r="EI113" s="173">
        <f t="shared" si="404"/>
        <v>0.74013011869035072</v>
      </c>
      <c r="EK113" s="528">
        <f t="shared" si="405"/>
        <v>8.9600000000000042E-4</v>
      </c>
      <c r="EL113" s="528">
        <f t="shared" si="406"/>
        <v>3.3767999999999986E-2</v>
      </c>
      <c r="EM113" s="528">
        <f t="shared" si="407"/>
        <v>5.9062499999999974E-3</v>
      </c>
      <c r="EN113" s="528">
        <f t="shared" si="408"/>
        <v>3.3936839999999979E-3</v>
      </c>
      <c r="EO113">
        <f t="shared" si="409"/>
        <v>4.4999999999999997E-3</v>
      </c>
      <c r="EP113" s="460">
        <f t="shared" si="410"/>
        <v>10.406249999999996</v>
      </c>
      <c r="EQ113" s="460"/>
      <c r="ER113" s="460">
        <f t="shared" si="432"/>
        <v>48.463933999999981</v>
      </c>
      <c r="ES113" s="528">
        <f t="shared" si="411"/>
        <v>2.0999999999999998E-2</v>
      </c>
      <c r="EV113" s="460">
        <f t="shared" si="412"/>
        <v>20.999999999999996</v>
      </c>
      <c r="EW113" s="528">
        <f t="shared" si="413"/>
        <v>1.3440000000000006E-3</v>
      </c>
      <c r="EX113" s="528">
        <f t="shared" si="414"/>
        <v>1.6433777777777776E-2</v>
      </c>
      <c r="EY113" s="528">
        <f t="shared" si="415"/>
        <v>1.5751480430423028E-3</v>
      </c>
      <c r="EZ113" s="528"/>
      <c r="FA113" s="528">
        <f t="shared" si="416"/>
        <v>4.1999999999999991E-4</v>
      </c>
      <c r="FB113" s="460">
        <f t="shared" si="417"/>
        <v>19.772925820820081</v>
      </c>
      <c r="FC113" s="173">
        <f t="shared" si="418"/>
        <v>8.9236859820820066E-2</v>
      </c>
      <c r="FD113" s="5">
        <f t="shared" si="419"/>
        <v>0.49199999999999994</v>
      </c>
      <c r="FE113" s="173">
        <f t="shared" si="420"/>
        <v>0.84647074886419038</v>
      </c>
      <c r="FF113" s="5">
        <f t="shared" si="421"/>
        <v>84.647074886419034</v>
      </c>
      <c r="FI113" s="562">
        <f t="shared" si="422"/>
        <v>-50</v>
      </c>
      <c r="FJ113">
        <f t="shared" si="423"/>
        <v>-50</v>
      </c>
      <c r="FL113">
        <f t="shared" si="424"/>
        <v>4.4999999999999991E-2</v>
      </c>
    </row>
    <row r="114" spans="5:168">
      <c r="E114" s="170">
        <v>4</v>
      </c>
      <c r="F114" s="217">
        <f t="shared" si="425"/>
        <v>0.04</v>
      </c>
      <c r="G114" s="217"/>
      <c r="H114" s="217">
        <f t="shared" si="315"/>
        <v>0.65599999999999992</v>
      </c>
      <c r="I114" s="541">
        <f t="shared" si="316"/>
        <v>9.9670658826646878</v>
      </c>
      <c r="J114" s="172">
        <f t="shared" si="317"/>
        <v>16.819760470401185</v>
      </c>
      <c r="K114" s="172">
        <f t="shared" si="318"/>
        <v>26.786826353065873</v>
      </c>
      <c r="L114" s="443"/>
      <c r="M114" s="217">
        <f t="shared" si="319"/>
        <v>0.62791498231559217</v>
      </c>
      <c r="N114" s="172">
        <f t="shared" si="426"/>
        <v>20.939797533140613</v>
      </c>
      <c r="O114" s="172">
        <f t="shared" si="284"/>
        <v>0.65599999999999992</v>
      </c>
      <c r="P114" s="217">
        <f t="shared" si="320"/>
        <v>1.2768169227524766</v>
      </c>
      <c r="Q114" s="217">
        <f t="shared" si="321"/>
        <v>16.399999999999999</v>
      </c>
      <c r="R114" s="217"/>
      <c r="S114" s="172">
        <f t="shared" si="322"/>
        <v>820.6266135766482</v>
      </c>
      <c r="T114" s="172">
        <f t="shared" si="323"/>
        <v>16.399999999999999</v>
      </c>
      <c r="U114" s="217">
        <f t="shared" si="324"/>
        <v>0.2150046258187524</v>
      </c>
      <c r="V114" s="217">
        <f t="shared" si="325"/>
        <v>0.25885807721130999</v>
      </c>
      <c r="W114" s="217">
        <f t="shared" si="326"/>
        <v>0.15339430750903491</v>
      </c>
      <c r="X114" s="197">
        <f t="shared" si="327"/>
        <v>350</v>
      </c>
      <c r="Y114" s="443">
        <f t="shared" si="328"/>
        <v>350</v>
      </c>
      <c r="AA114" s="217">
        <f t="shared" si="329"/>
        <v>1.4901040083186818</v>
      </c>
      <c r="AB114" s="173">
        <f t="shared" si="330"/>
        <v>1.0631095568388722</v>
      </c>
      <c r="AC114" s="173">
        <f t="shared" si="331"/>
        <v>0.27722516708731271</v>
      </c>
      <c r="AD114" s="173"/>
      <c r="AE114" s="173">
        <f t="shared" si="332"/>
        <v>0.95126206036977945</v>
      </c>
      <c r="AF114" s="545">
        <f t="shared" si="333"/>
        <v>63.074101764004432</v>
      </c>
      <c r="AG114" s="528">
        <f t="shared" si="334"/>
        <v>0.22196114741961523</v>
      </c>
      <c r="AI114" s="173">
        <f t="shared" si="335"/>
        <v>0.56601801200350821</v>
      </c>
      <c r="AJ114" s="173">
        <f t="shared" si="336"/>
        <v>1.3333333333333335</v>
      </c>
      <c r="AK114" s="173">
        <f t="shared" si="337"/>
        <v>1.0360423438651454</v>
      </c>
      <c r="AM114" s="545">
        <f t="shared" si="338"/>
        <v>40</v>
      </c>
      <c r="AN114" s="460">
        <f t="shared" si="339"/>
        <v>63.074101764004432</v>
      </c>
      <c r="AP114" s="460">
        <f t="shared" si="340"/>
        <v>40</v>
      </c>
      <c r="AQ114" s="460">
        <f t="shared" si="341"/>
        <v>63.074101764004432</v>
      </c>
      <c r="AS114" s="5">
        <f t="shared" si="285"/>
        <v>15.854367672829659</v>
      </c>
      <c r="AT114" s="5">
        <f t="shared" si="342"/>
        <v>1.6052868706153685</v>
      </c>
      <c r="AU114" s="5">
        <f t="shared" si="343"/>
        <v>14.249080802214291</v>
      </c>
      <c r="AV114" s="5"/>
      <c r="AW114" s="173">
        <f t="shared" si="344"/>
        <v>0.10125202743761397</v>
      </c>
      <c r="AX114" s="173">
        <f t="shared" si="214"/>
        <v>0.6727904188160474</v>
      </c>
      <c r="AY114" s="173">
        <f t="shared" si="215"/>
        <v>0.59916531504159076</v>
      </c>
      <c r="AZ114" s="173">
        <f t="shared" si="288"/>
        <v>1.1228794490037295</v>
      </c>
      <c r="BA114" s="460">
        <f t="shared" si="345"/>
        <v>0.39153338307691921</v>
      </c>
      <c r="BB114" s="5">
        <f t="shared" si="346"/>
        <v>0.7815236296128466</v>
      </c>
      <c r="BD114" s="173">
        <f t="shared" si="289"/>
        <v>0.24495142670438153</v>
      </c>
      <c r="BE114" s="173">
        <f t="shared" si="218"/>
        <v>0.72978859346257308</v>
      </c>
      <c r="BG114" s="528">
        <f t="shared" si="347"/>
        <v>1.2000240288902399E-3</v>
      </c>
      <c r="BH114" s="528">
        <f t="shared" si="348"/>
        <v>4.223887528319982E-2</v>
      </c>
      <c r="BI114" s="528">
        <f t="shared" si="349"/>
        <v>1.5716593194293228E-2</v>
      </c>
      <c r="BJ114" s="528">
        <f t="shared" si="350"/>
        <v>4.525781670239518E-3</v>
      </c>
      <c r="BK114">
        <f t="shared" si="351"/>
        <v>4.4851796471991091E-3</v>
      </c>
      <c r="BL114" s="460">
        <f t="shared" si="427"/>
        <v>20.201772841492339</v>
      </c>
      <c r="BM114" s="528">
        <f t="shared" si="352"/>
        <v>4.8302459743223433E-2</v>
      </c>
      <c r="BN114" s="460">
        <f t="shared" si="353"/>
        <v>48.30245974322343</v>
      </c>
      <c r="BO114" s="528">
        <f t="shared" si="354"/>
        <v>2.7999999999999997E-2</v>
      </c>
      <c r="BR114" s="460">
        <f t="shared" si="355"/>
        <v>27.999999999999996</v>
      </c>
      <c r="BS114" s="528">
        <f t="shared" si="356"/>
        <v>1.8000360433353597E-3</v>
      </c>
      <c r="BT114" s="528">
        <f t="shared" si="357"/>
        <v>1.597774173444242E-2</v>
      </c>
      <c r="BU114" s="528">
        <f t="shared" si="358"/>
        <v>3.2429819541500995E-3</v>
      </c>
      <c r="BV114" s="528"/>
      <c r="BW114" s="528">
        <f t="shared" si="359"/>
        <v>5.6065868234670617E-4</v>
      </c>
      <c r="BX114" s="460">
        <f t="shared" si="360"/>
        <v>21.581418414274584</v>
      </c>
      <c r="BY114" s="173">
        <f t="shared" si="361"/>
        <v>0.1177478722380965</v>
      </c>
      <c r="BZ114" s="5">
        <f t="shared" si="362"/>
        <v>0.65599999999999992</v>
      </c>
      <c r="CA114" s="173">
        <f t="shared" si="363"/>
        <v>0.84782139445824123</v>
      </c>
      <c r="CB114" s="5">
        <f t="shared" si="364"/>
        <v>84.782139445824129</v>
      </c>
      <c r="CE114" s="562">
        <f t="shared" si="365"/>
        <v>-50</v>
      </c>
      <c r="CF114">
        <f t="shared" si="366"/>
        <v>-50</v>
      </c>
      <c r="CG114" s="173">
        <f t="shared" si="367"/>
        <v>6.0727299281696859E-2</v>
      </c>
      <c r="CI114" s="170">
        <v>4</v>
      </c>
      <c r="CJ114" s="217">
        <f t="shared" si="428"/>
        <v>0.04</v>
      </c>
      <c r="CK114" s="217"/>
      <c r="CL114" s="217">
        <f t="shared" si="368"/>
        <v>0.65599999999999992</v>
      </c>
      <c r="CM114" s="541">
        <f t="shared" si="369"/>
        <v>10</v>
      </c>
      <c r="CN114" s="443">
        <f t="shared" si="370"/>
        <v>16.799999999999997</v>
      </c>
      <c r="CO114" s="443">
        <f t="shared" si="371"/>
        <v>26.799999999999997</v>
      </c>
      <c r="CP114" s="443"/>
      <c r="CQ114" s="217">
        <f t="shared" si="372"/>
        <v>0.62686567164179097</v>
      </c>
      <c r="CR114" s="172">
        <f t="shared" si="429"/>
        <v>20.973880597014926</v>
      </c>
      <c r="CS114" s="172">
        <f t="shared" si="373"/>
        <v>0.65599999999999992</v>
      </c>
      <c r="CT114" s="217">
        <f t="shared" si="374"/>
        <v>1.2788951583545687</v>
      </c>
      <c r="CU114" s="217">
        <f t="shared" si="375"/>
        <v>16.399999999999999</v>
      </c>
      <c r="CV114" s="217"/>
      <c r="CW114" s="172">
        <f t="shared" si="376"/>
        <v>823.33818924514151</v>
      </c>
      <c r="CX114" s="172">
        <f t="shared" si="377"/>
        <v>16.399999999999999</v>
      </c>
      <c r="CY114" s="217">
        <f t="shared" si="378"/>
        <v>0.20929523809523809</v>
      </c>
      <c r="CZ114" s="217">
        <f t="shared" si="379"/>
        <v>0.25115428571428572</v>
      </c>
      <c r="DA114" s="217">
        <f t="shared" si="380"/>
        <v>0.1494965986394558</v>
      </c>
      <c r="DB114" s="197">
        <f t="shared" si="381"/>
        <v>350</v>
      </c>
      <c r="DC114" s="443">
        <f t="shared" si="382"/>
        <v>350</v>
      </c>
      <c r="DE114" s="217">
        <f t="shared" si="383"/>
        <v>1.4925373134328355</v>
      </c>
      <c r="DF114" s="173">
        <f t="shared" si="384"/>
        <v>1.0660980810234544</v>
      </c>
      <c r="DG114" s="173">
        <f t="shared" si="385"/>
        <v>0.27845845399866342</v>
      </c>
      <c r="DH114" s="173"/>
      <c r="DI114" s="173">
        <f t="shared" si="386"/>
        <v>0.95238095238095266</v>
      </c>
      <c r="DJ114" s="545">
        <f t="shared" si="387"/>
        <v>62.999999999999979</v>
      </c>
      <c r="DK114" s="528">
        <f t="shared" si="388"/>
        <v>0.22222222222222232</v>
      </c>
      <c r="DM114" s="173">
        <f t="shared" si="389"/>
        <v>0.56568542494923801</v>
      </c>
      <c r="DN114" s="173">
        <f t="shared" si="390"/>
        <v>1.3333333333333335</v>
      </c>
      <c r="DO114" s="173">
        <f t="shared" si="391"/>
        <v>1.036</v>
      </c>
      <c r="DQ114" s="545">
        <f t="shared" si="392"/>
        <v>40</v>
      </c>
      <c r="DR114" s="460">
        <f t="shared" si="393"/>
        <v>62.999999999999979</v>
      </c>
      <c r="DT114">
        <f t="shared" si="430"/>
        <v>40</v>
      </c>
      <c r="DU114">
        <f t="shared" si="431"/>
        <v>62.999999999999979</v>
      </c>
      <c r="DW114" s="5">
        <f t="shared" si="394"/>
        <v>15.873015873015879</v>
      </c>
      <c r="DX114" s="5">
        <f t="shared" si="395"/>
        <v>1.6000000000000003</v>
      </c>
      <c r="DY114" s="5">
        <f t="shared" si="396"/>
        <v>14.273015873015879</v>
      </c>
      <c r="DZ114" s="5"/>
      <c r="EA114" s="173">
        <f t="shared" si="397"/>
        <v>0.10079999999999999</v>
      </c>
      <c r="EB114" s="173">
        <f t="shared" si="398"/>
        <v>0.67199999999999993</v>
      </c>
      <c r="EC114" s="173">
        <f t="shared" si="399"/>
        <v>0.5994666666666667</v>
      </c>
      <c r="ED114" s="173">
        <f t="shared" si="400"/>
        <v>1.1209964412811386</v>
      </c>
      <c r="EE114" s="460">
        <f t="shared" si="401"/>
        <v>0.39024390243902457</v>
      </c>
      <c r="EF114" s="5">
        <f t="shared" si="402"/>
        <v>0.7802582010582011</v>
      </c>
      <c r="EH114" s="173">
        <f t="shared" si="403"/>
        <v>0.24440403706431149</v>
      </c>
      <c r="EI114" s="173">
        <f t="shared" si="404"/>
        <v>0.72997209484969994</v>
      </c>
      <c r="EK114" s="528">
        <f t="shared" si="405"/>
        <v>1.194666666666667E-3</v>
      </c>
      <c r="EL114" s="528">
        <f t="shared" si="406"/>
        <v>4.5023999999999995E-2</v>
      </c>
      <c r="EM114" s="528">
        <f t="shared" si="407"/>
        <v>7.8749999999999966E-3</v>
      </c>
      <c r="EN114" s="528">
        <f t="shared" si="408"/>
        <v>4.5249119999999981E-3</v>
      </c>
      <c r="EO114">
        <f t="shared" si="409"/>
        <v>4.4999999999999997E-3</v>
      </c>
      <c r="EP114" s="460">
        <f t="shared" si="410"/>
        <v>12.374999999999996</v>
      </c>
      <c r="EQ114" s="460"/>
      <c r="ER114" s="460">
        <f t="shared" si="432"/>
        <v>63.118578666666664</v>
      </c>
      <c r="ES114" s="528">
        <f t="shared" si="411"/>
        <v>2.7999999999999997E-2</v>
      </c>
      <c r="EV114" s="460">
        <f t="shared" si="412"/>
        <v>27.999999999999996</v>
      </c>
      <c r="EW114" s="528">
        <f t="shared" si="413"/>
        <v>1.7920000000000004E-3</v>
      </c>
      <c r="EX114" s="528">
        <f t="shared" si="414"/>
        <v>1.5985777777777779E-2</v>
      </c>
      <c r="EY114" s="528">
        <f t="shared" si="415"/>
        <v>3.2334654103608417E-3</v>
      </c>
      <c r="EZ114" s="528"/>
      <c r="FA114" s="528">
        <f t="shared" si="416"/>
        <v>5.5999999999999995E-4</v>
      </c>
      <c r="FB114" s="460">
        <f t="shared" si="417"/>
        <v>21.571243188138624</v>
      </c>
      <c r="FC114" s="173">
        <f t="shared" si="418"/>
        <v>0.11268982185480529</v>
      </c>
      <c r="FD114" s="5">
        <f t="shared" si="419"/>
        <v>0.65599999999999992</v>
      </c>
      <c r="FE114" s="173">
        <f t="shared" si="420"/>
        <v>0.85340013793484204</v>
      </c>
      <c r="FF114" s="5">
        <f t="shared" si="421"/>
        <v>85.340013793484204</v>
      </c>
      <c r="FI114" s="562">
        <f t="shared" si="422"/>
        <v>-50</v>
      </c>
      <c r="FJ114">
        <f t="shared" si="423"/>
        <v>-50</v>
      </c>
      <c r="FL114">
        <f t="shared" si="424"/>
        <v>0.06</v>
      </c>
    </row>
    <row r="115" spans="5:168">
      <c r="E115" s="170">
        <v>5</v>
      </c>
      <c r="F115" s="217">
        <f t="shared" si="425"/>
        <v>0.05</v>
      </c>
      <c r="G115" s="217"/>
      <c r="H115" s="217">
        <f t="shared" si="315"/>
        <v>0.82</v>
      </c>
      <c r="I115" s="541">
        <f t="shared" si="316"/>
        <v>9.9670658826646878</v>
      </c>
      <c r="J115" s="172">
        <f t="shared" si="317"/>
        <v>16.819760470401185</v>
      </c>
      <c r="K115" s="172">
        <f t="shared" si="318"/>
        <v>26.786826353065873</v>
      </c>
      <c r="L115" s="443"/>
      <c r="M115" s="217">
        <f t="shared" si="319"/>
        <v>0.62791498231559217</v>
      </c>
      <c r="N115" s="172">
        <f t="shared" si="426"/>
        <v>20.939797533140613</v>
      </c>
      <c r="O115" s="172">
        <f t="shared" si="284"/>
        <v>0.82</v>
      </c>
      <c r="P115" s="217">
        <f t="shared" si="320"/>
        <v>1.2768169227524766</v>
      </c>
      <c r="Q115" s="217">
        <f t="shared" si="321"/>
        <v>16.399999999999999</v>
      </c>
      <c r="R115" s="217"/>
      <c r="S115" s="172">
        <f t="shared" si="322"/>
        <v>654.51008055515331</v>
      </c>
      <c r="T115" s="172">
        <f t="shared" si="323"/>
        <v>16.399999999999999</v>
      </c>
      <c r="U115" s="217">
        <f t="shared" si="324"/>
        <v>0.26875578227344055</v>
      </c>
      <c r="V115" s="217">
        <f t="shared" si="325"/>
        <v>0.3235725965141375</v>
      </c>
      <c r="W115" s="217">
        <f t="shared" si="326"/>
        <v>0.19174288438629367</v>
      </c>
      <c r="X115" s="197">
        <f t="shared" si="327"/>
        <v>350</v>
      </c>
      <c r="Y115" s="443">
        <f t="shared" si="328"/>
        <v>350</v>
      </c>
      <c r="AA115" s="217">
        <f t="shared" si="329"/>
        <v>1.4901040083186818</v>
      </c>
      <c r="AB115" s="173">
        <f t="shared" si="330"/>
        <v>1.0631095568388722</v>
      </c>
      <c r="AC115" s="173">
        <f t="shared" si="331"/>
        <v>0.27722516708731271</v>
      </c>
      <c r="AD115" s="173"/>
      <c r="AE115" s="173">
        <f t="shared" si="332"/>
        <v>0.95126206036977945</v>
      </c>
      <c r="AF115" s="545">
        <f t="shared" si="333"/>
        <v>78.842627205005542</v>
      </c>
      <c r="AG115" s="528">
        <f t="shared" si="334"/>
        <v>0.22196114741961523</v>
      </c>
      <c r="AI115" s="173">
        <f t="shared" si="335"/>
        <v>0.63282737566456815</v>
      </c>
      <c r="AJ115" s="173">
        <f t="shared" si="336"/>
        <v>1.3333333333333335</v>
      </c>
      <c r="AK115" s="173">
        <f t="shared" si="337"/>
        <v>1.0450529298314317</v>
      </c>
      <c r="AM115" s="545">
        <f t="shared" si="338"/>
        <v>50</v>
      </c>
      <c r="AN115" s="460">
        <f t="shared" si="339"/>
        <v>78.842627205005542</v>
      </c>
      <c r="AP115" s="460">
        <f t="shared" si="340"/>
        <v>50</v>
      </c>
      <c r="AQ115" s="460">
        <f t="shared" si="341"/>
        <v>78.842627205005542</v>
      </c>
      <c r="AS115" s="5">
        <f t="shared" si="285"/>
        <v>12.683494138263727</v>
      </c>
      <c r="AT115" s="5">
        <f t="shared" si="342"/>
        <v>1.6052868706153685</v>
      </c>
      <c r="AU115" s="5">
        <f t="shared" si="343"/>
        <v>11.078207267648359</v>
      </c>
      <c r="AV115" s="5"/>
      <c r="AW115" s="173">
        <f t="shared" si="344"/>
        <v>0.12656503429701746</v>
      </c>
      <c r="AX115" s="173">
        <f t="shared" si="214"/>
        <v>0.8409880235200593</v>
      </c>
      <c r="AY115" s="173">
        <f t="shared" si="215"/>
        <v>0.58228997713532171</v>
      </c>
      <c r="AZ115" s="173">
        <f t="shared" si="288"/>
        <v>1.4442770038004917</v>
      </c>
      <c r="BA115" s="460">
        <f t="shared" si="345"/>
        <v>0.48941672884614901</v>
      </c>
      <c r="BB115" s="5">
        <f t="shared" si="346"/>
        <v>0.75951221640122712</v>
      </c>
      <c r="BD115" s="173">
        <f t="shared" si="289"/>
        <v>0.2738640206482772</v>
      </c>
      <c r="BE115" s="173">
        <f t="shared" si="218"/>
        <v>0.71943803818463248</v>
      </c>
      <c r="BG115" s="528">
        <f t="shared" si="347"/>
        <v>1.5000300361127999E-3</v>
      </c>
      <c r="BH115" s="528">
        <f t="shared" si="348"/>
        <v>5.2798594103999778E-2</v>
      </c>
      <c r="BI115" s="528">
        <f t="shared" si="349"/>
        <v>1.9645741492866537E-2</v>
      </c>
      <c r="BJ115" s="528">
        <f t="shared" si="350"/>
        <v>5.6572270877993979E-3</v>
      </c>
      <c r="BK115">
        <f t="shared" si="351"/>
        <v>4.4851796471991091E-3</v>
      </c>
      <c r="BL115" s="460">
        <f t="shared" si="427"/>
        <v>24.130921140065645</v>
      </c>
      <c r="BM115" s="528">
        <f t="shared" si="352"/>
        <v>6.0382380048835546E-2</v>
      </c>
      <c r="BN115" s="460">
        <f t="shared" si="353"/>
        <v>60.382380048835543</v>
      </c>
      <c r="BO115" s="528">
        <f t="shared" si="354"/>
        <v>3.4999999999999996E-2</v>
      </c>
      <c r="BR115" s="460">
        <f t="shared" si="355"/>
        <v>34.999999999999993</v>
      </c>
      <c r="BS115" s="528">
        <f t="shared" si="356"/>
        <v>2.2500450541691999E-3</v>
      </c>
      <c r="BT115" s="528">
        <f t="shared" si="357"/>
        <v>1.5527732723608578E-2</v>
      </c>
      <c r="BU115" s="528">
        <f t="shared" si="358"/>
        <v>5.6652563275661908E-3</v>
      </c>
      <c r="BV115" s="528"/>
      <c r="BW115" s="528">
        <f t="shared" si="359"/>
        <v>7.0082335293338266E-4</v>
      </c>
      <c r="BX115" s="460">
        <f t="shared" si="360"/>
        <v>24.143857458277353</v>
      </c>
      <c r="BY115" s="173">
        <f t="shared" si="361"/>
        <v>0.14323062982625498</v>
      </c>
      <c r="BZ115" s="5">
        <f t="shared" si="362"/>
        <v>0.82</v>
      </c>
      <c r="CA115" s="173">
        <f t="shared" si="363"/>
        <v>0.8513018321976632</v>
      </c>
      <c r="CB115" s="5">
        <f t="shared" si="364"/>
        <v>85.130183219766323</v>
      </c>
      <c r="CE115" s="562">
        <f t="shared" si="365"/>
        <v>-50</v>
      </c>
      <c r="CF115">
        <f t="shared" si="366"/>
        <v>-50</v>
      </c>
      <c r="CG115" s="173">
        <f t="shared" si="367"/>
        <v>7.590912410212107E-2</v>
      </c>
      <c r="CI115" s="170">
        <v>5</v>
      </c>
      <c r="CJ115" s="217">
        <f t="shared" si="428"/>
        <v>0.05</v>
      </c>
      <c r="CK115" s="217"/>
      <c r="CL115" s="217">
        <f t="shared" si="368"/>
        <v>0.82</v>
      </c>
      <c r="CM115" s="541">
        <f t="shared" si="369"/>
        <v>10</v>
      </c>
      <c r="CN115" s="443">
        <f t="shared" si="370"/>
        <v>16.799999999999997</v>
      </c>
      <c r="CO115" s="443">
        <f t="shared" si="371"/>
        <v>26.799999999999997</v>
      </c>
      <c r="CP115" s="443"/>
      <c r="CQ115" s="217">
        <f t="shared" si="372"/>
        <v>0.62686567164179097</v>
      </c>
      <c r="CR115" s="172">
        <f t="shared" si="429"/>
        <v>20.973880597014926</v>
      </c>
      <c r="CS115" s="172">
        <f t="shared" si="373"/>
        <v>0.82</v>
      </c>
      <c r="CT115" s="217">
        <f t="shared" si="374"/>
        <v>1.2788951583545687</v>
      </c>
      <c r="CU115" s="217">
        <f t="shared" si="375"/>
        <v>16.399999999999999</v>
      </c>
      <c r="CV115" s="217"/>
      <c r="CW115" s="172">
        <f t="shared" si="376"/>
        <v>656.67275427260358</v>
      </c>
      <c r="CX115" s="172">
        <f t="shared" si="377"/>
        <v>16.399999999999999</v>
      </c>
      <c r="CY115" s="217">
        <f t="shared" si="378"/>
        <v>0.26161904761904764</v>
      </c>
      <c r="CZ115" s="217">
        <f t="shared" si="379"/>
        <v>0.31394285714285719</v>
      </c>
      <c r="DA115" s="217">
        <f t="shared" si="380"/>
        <v>0.18687074829931979</v>
      </c>
      <c r="DB115" s="197">
        <f t="shared" si="381"/>
        <v>350</v>
      </c>
      <c r="DC115" s="443">
        <f t="shared" si="382"/>
        <v>350</v>
      </c>
      <c r="DE115" s="217">
        <f t="shared" si="383"/>
        <v>1.4925373134328355</v>
      </c>
      <c r="DF115" s="173">
        <f t="shared" si="384"/>
        <v>1.0660980810234544</v>
      </c>
      <c r="DG115" s="173">
        <f t="shared" si="385"/>
        <v>0.27845845399866342</v>
      </c>
      <c r="DH115" s="173"/>
      <c r="DI115" s="173">
        <f t="shared" si="386"/>
        <v>0.95238095238095266</v>
      </c>
      <c r="DJ115" s="545">
        <f t="shared" si="387"/>
        <v>78.749999999999972</v>
      </c>
      <c r="DK115" s="528">
        <f t="shared" si="388"/>
        <v>0.22222222222222232</v>
      </c>
      <c r="DM115" s="173">
        <f t="shared" si="389"/>
        <v>0.63245553203367577</v>
      </c>
      <c r="DN115" s="173">
        <f t="shared" si="390"/>
        <v>1.3333333333333335</v>
      </c>
      <c r="DO115" s="173">
        <f t="shared" si="391"/>
        <v>1.0449999999999999</v>
      </c>
      <c r="DQ115" s="545">
        <f t="shared" si="392"/>
        <v>50</v>
      </c>
      <c r="DR115" s="460">
        <f t="shared" si="393"/>
        <v>78.749999999999972</v>
      </c>
      <c r="DT115">
        <f t="shared" si="430"/>
        <v>50</v>
      </c>
      <c r="DU115">
        <f t="shared" si="431"/>
        <v>78.749999999999972</v>
      </c>
      <c r="DW115" s="5">
        <f t="shared" si="394"/>
        <v>12.698412698412703</v>
      </c>
      <c r="DX115" s="5">
        <f t="shared" si="395"/>
        <v>1.6000000000000003</v>
      </c>
      <c r="DY115" s="5">
        <f t="shared" si="396"/>
        <v>11.098412698412703</v>
      </c>
      <c r="DZ115" s="5"/>
      <c r="EA115" s="173">
        <f t="shared" si="397"/>
        <v>0.12599999999999997</v>
      </c>
      <c r="EB115" s="173">
        <f t="shared" si="398"/>
        <v>0.84</v>
      </c>
      <c r="EC115" s="173">
        <f t="shared" si="399"/>
        <v>0.58266666666666678</v>
      </c>
      <c r="ED115" s="173">
        <f t="shared" si="400"/>
        <v>1.4416475972540042</v>
      </c>
      <c r="EE115" s="460">
        <f t="shared" si="401"/>
        <v>0.48780487804878064</v>
      </c>
      <c r="EF115" s="5">
        <f t="shared" si="402"/>
        <v>0.75839153439153451</v>
      </c>
      <c r="EH115" s="173">
        <f t="shared" si="403"/>
        <v>0.27325202042558933</v>
      </c>
      <c r="EI115" s="173">
        <f t="shared" si="404"/>
        <v>0.71967070659151189</v>
      </c>
      <c r="EK115" s="528">
        <f t="shared" si="405"/>
        <v>1.4933333333333337E-3</v>
      </c>
      <c r="EL115" s="528">
        <f t="shared" si="406"/>
        <v>5.6279999999999983E-2</v>
      </c>
      <c r="EM115" s="528">
        <f t="shared" si="407"/>
        <v>9.8437499999999949E-3</v>
      </c>
      <c r="EN115" s="528">
        <f t="shared" si="408"/>
        <v>5.6561399999999979E-3</v>
      </c>
      <c r="EO115">
        <f t="shared" si="409"/>
        <v>4.4999999999999997E-3</v>
      </c>
      <c r="EP115" s="460">
        <f t="shared" si="410"/>
        <v>14.343749999999995</v>
      </c>
      <c r="EQ115" s="460"/>
      <c r="ER115" s="460">
        <f t="shared" si="432"/>
        <v>77.77322333333332</v>
      </c>
      <c r="ES115" s="528">
        <f t="shared" si="411"/>
        <v>3.4999999999999996E-2</v>
      </c>
      <c r="EV115" s="460">
        <f t="shared" si="412"/>
        <v>34.999999999999993</v>
      </c>
      <c r="EW115" s="528">
        <f t="shared" si="413"/>
        <v>2.2400000000000007E-3</v>
      </c>
      <c r="EX115" s="528">
        <f t="shared" si="414"/>
        <v>1.5537777777777781E-2</v>
      </c>
      <c r="EY115" s="528">
        <f t="shared" si="415"/>
        <v>5.648631609735227E-3</v>
      </c>
      <c r="EZ115" s="528"/>
      <c r="FA115" s="528">
        <f t="shared" si="416"/>
        <v>6.9999999999999988E-4</v>
      </c>
      <c r="FB115" s="460">
        <f t="shared" si="417"/>
        <v>24.126409387513011</v>
      </c>
      <c r="FC115" s="173">
        <f t="shared" si="418"/>
        <v>0.13689963272084632</v>
      </c>
      <c r="FD115" s="5">
        <f t="shared" si="419"/>
        <v>0.82</v>
      </c>
      <c r="FE115" s="173">
        <f t="shared" si="420"/>
        <v>0.85693417779711523</v>
      </c>
      <c r="FF115" s="5">
        <f t="shared" si="421"/>
        <v>85.693417779711524</v>
      </c>
      <c r="FI115" s="562">
        <f t="shared" si="422"/>
        <v>-50</v>
      </c>
      <c r="FJ115">
        <f t="shared" si="423"/>
        <v>-50</v>
      </c>
      <c r="FL115">
        <f t="shared" si="424"/>
        <v>7.4999999999999997E-2</v>
      </c>
    </row>
    <row r="116" spans="5:168">
      <c r="E116" s="170">
        <v>6</v>
      </c>
      <c r="F116" s="217">
        <f t="shared" si="425"/>
        <v>0.06</v>
      </c>
      <c r="G116" s="217"/>
      <c r="H116" s="217">
        <f t="shared" si="315"/>
        <v>0.98399999999999987</v>
      </c>
      <c r="I116" s="541">
        <f t="shared" si="316"/>
        <v>9.9670658826646878</v>
      </c>
      <c r="J116" s="172">
        <f t="shared" si="317"/>
        <v>16.819760470401185</v>
      </c>
      <c r="K116" s="172">
        <f t="shared" si="318"/>
        <v>26.786826353065873</v>
      </c>
      <c r="L116" s="443"/>
      <c r="M116" s="217">
        <f t="shared" si="319"/>
        <v>0.62791498231559217</v>
      </c>
      <c r="N116" s="172">
        <f t="shared" si="426"/>
        <v>20.939797533140613</v>
      </c>
      <c r="O116" s="172">
        <f t="shared" si="284"/>
        <v>0.98399999999999987</v>
      </c>
      <c r="P116" s="217">
        <f t="shared" si="320"/>
        <v>1.2768169227524766</v>
      </c>
      <c r="Q116" s="217">
        <f t="shared" si="321"/>
        <v>16.399999999999999</v>
      </c>
      <c r="R116" s="217"/>
      <c r="S116" s="172">
        <f t="shared" si="322"/>
        <v>543.7661429749279</v>
      </c>
      <c r="T116" s="172">
        <f t="shared" si="323"/>
        <v>16.399999999999999</v>
      </c>
      <c r="U116" s="217">
        <f t="shared" si="324"/>
        <v>0.32250693872812863</v>
      </c>
      <c r="V116" s="217">
        <f t="shared" si="325"/>
        <v>0.3882871158169649</v>
      </c>
      <c r="W116" s="217">
        <f t="shared" si="326"/>
        <v>0.23009146126355237</v>
      </c>
      <c r="X116" s="197">
        <f t="shared" si="327"/>
        <v>350</v>
      </c>
      <c r="Y116" s="443">
        <f t="shared" si="328"/>
        <v>350</v>
      </c>
      <c r="AA116" s="217">
        <f t="shared" si="329"/>
        <v>1.4901040083186818</v>
      </c>
      <c r="AB116" s="173">
        <f t="shared" si="330"/>
        <v>1.0631095568388722</v>
      </c>
      <c r="AC116" s="173">
        <f t="shared" si="331"/>
        <v>0.27722516708731271</v>
      </c>
      <c r="AD116" s="173"/>
      <c r="AE116" s="173">
        <f t="shared" si="332"/>
        <v>0.95126206036977945</v>
      </c>
      <c r="AF116" s="545">
        <f t="shared" si="333"/>
        <v>94.611152646006644</v>
      </c>
      <c r="AG116" s="528">
        <f t="shared" si="334"/>
        <v>0.22196114741961523</v>
      </c>
      <c r="AI116" s="173">
        <f t="shared" si="335"/>
        <v>0.69322765731655955</v>
      </c>
      <c r="AJ116" s="173">
        <f t="shared" si="336"/>
        <v>1.3333333333333335</v>
      </c>
      <c r="AK116" s="173">
        <f t="shared" si="337"/>
        <v>1.0540635157977181</v>
      </c>
      <c r="AM116" s="545">
        <f t="shared" si="338"/>
        <v>60</v>
      </c>
      <c r="AN116" s="460">
        <f t="shared" si="339"/>
        <v>94.611152646006644</v>
      </c>
      <c r="AP116" s="460">
        <f t="shared" si="340"/>
        <v>60</v>
      </c>
      <c r="AQ116" s="460">
        <f t="shared" si="341"/>
        <v>94.611152646006644</v>
      </c>
      <c r="AS116" s="5">
        <f t="shared" si="285"/>
        <v>10.569578448553106</v>
      </c>
      <c r="AT116" s="5">
        <f t="shared" si="342"/>
        <v>1.6052868706153685</v>
      </c>
      <c r="AU116" s="5">
        <f t="shared" si="343"/>
        <v>8.9642915779377379</v>
      </c>
      <c r="AV116" s="5"/>
      <c r="AW116" s="173">
        <f t="shared" si="344"/>
        <v>0.15187804115642095</v>
      </c>
      <c r="AX116" s="173">
        <f t="shared" si="214"/>
        <v>1.0091856282240712</v>
      </c>
      <c r="AY116" s="173">
        <f t="shared" si="215"/>
        <v>0.56541463922905277</v>
      </c>
      <c r="AZ116" s="173">
        <f t="shared" si="288"/>
        <v>1.7848593902699506</v>
      </c>
      <c r="BA116" s="460">
        <f t="shared" si="345"/>
        <v>0.58730007461537881</v>
      </c>
      <c r="BB116" s="5">
        <f t="shared" si="346"/>
        <v>0.73750080318960765</v>
      </c>
      <c r="BD116" s="173">
        <f t="shared" si="289"/>
        <v>0.30000300359624399</v>
      </c>
      <c r="BE116" s="173">
        <f t="shared" si="218"/>
        <v>0.70893637967438583</v>
      </c>
      <c r="BG116" s="528">
        <f t="shared" si="347"/>
        <v>1.8000360433353597E-3</v>
      </c>
      <c r="BH116" s="528">
        <f t="shared" si="348"/>
        <v>6.3358312924799737E-2</v>
      </c>
      <c r="BI116" s="528">
        <f t="shared" si="349"/>
        <v>2.3574889791439842E-2</v>
      </c>
      <c r="BJ116" s="528">
        <f t="shared" si="350"/>
        <v>6.7886725053592769E-3</v>
      </c>
      <c r="BK116">
        <f t="shared" si="351"/>
        <v>4.4851796471991091E-3</v>
      </c>
      <c r="BL116" s="460">
        <f t="shared" si="427"/>
        <v>28.060069438638951</v>
      </c>
      <c r="BM116" s="528">
        <f t="shared" si="352"/>
        <v>7.2464023239228278E-2</v>
      </c>
      <c r="BN116" s="460">
        <f t="shared" si="353"/>
        <v>72.464023239228283</v>
      </c>
      <c r="BO116" s="528">
        <f t="shared" si="354"/>
        <v>4.1999999999999996E-2</v>
      </c>
      <c r="BR116" s="460">
        <f t="shared" si="355"/>
        <v>41.999999999999993</v>
      </c>
      <c r="BS116" s="528">
        <f t="shared" si="356"/>
        <v>2.7000540650030393E-3</v>
      </c>
      <c r="BT116" s="528">
        <f t="shared" si="357"/>
        <v>1.5077723712774747E-2</v>
      </c>
      <c r="BU116" s="528">
        <f t="shared" si="358"/>
        <v>8.9366074118118356E-3</v>
      </c>
      <c r="BV116" s="528"/>
      <c r="BW116" s="528">
        <f t="shared" si="359"/>
        <v>8.4098802352005925E-4</v>
      </c>
      <c r="BX116" s="460">
        <f t="shared" si="360"/>
        <v>27.555373213109679</v>
      </c>
      <c r="BY116" s="173">
        <f t="shared" si="361"/>
        <v>0.16956246412524301</v>
      </c>
      <c r="BZ116" s="5">
        <f t="shared" si="362"/>
        <v>0.98399999999999987</v>
      </c>
      <c r="CA116" s="173">
        <f t="shared" si="363"/>
        <v>0.85300972474531422</v>
      </c>
      <c r="CB116" s="5">
        <f t="shared" si="364"/>
        <v>85.30097247453142</v>
      </c>
      <c r="CE116" s="562">
        <f t="shared" si="365"/>
        <v>-50</v>
      </c>
      <c r="CF116">
        <f t="shared" si="366"/>
        <v>-50</v>
      </c>
      <c r="CG116" s="173">
        <f t="shared" si="367"/>
        <v>9.1090948922545281E-2</v>
      </c>
      <c r="CI116" s="170">
        <v>6</v>
      </c>
      <c r="CJ116" s="217">
        <f t="shared" si="428"/>
        <v>0.06</v>
      </c>
      <c r="CK116" s="217"/>
      <c r="CL116" s="217">
        <f t="shared" si="368"/>
        <v>0.98399999999999987</v>
      </c>
      <c r="CM116" s="541">
        <f t="shared" si="369"/>
        <v>10</v>
      </c>
      <c r="CN116" s="443">
        <f t="shared" si="370"/>
        <v>16.799999999999997</v>
      </c>
      <c r="CO116" s="443">
        <f t="shared" si="371"/>
        <v>26.799999999999997</v>
      </c>
      <c r="CP116" s="443"/>
      <c r="CQ116" s="217">
        <f t="shared" si="372"/>
        <v>0.62686567164179097</v>
      </c>
      <c r="CR116" s="172">
        <f t="shared" si="429"/>
        <v>20.973880597014926</v>
      </c>
      <c r="CS116" s="172">
        <f t="shared" si="373"/>
        <v>0.98399999999999987</v>
      </c>
      <c r="CT116" s="217">
        <f t="shared" si="374"/>
        <v>1.2788951583545687</v>
      </c>
      <c r="CU116" s="217">
        <f t="shared" si="375"/>
        <v>16.399999999999999</v>
      </c>
      <c r="CV116" s="217"/>
      <c r="CW116" s="172">
        <f t="shared" si="376"/>
        <v>545.56288206094894</v>
      </c>
      <c r="CX116" s="172">
        <f t="shared" si="377"/>
        <v>16.399999999999999</v>
      </c>
      <c r="CY116" s="217">
        <f t="shared" si="378"/>
        <v>0.31394285714285713</v>
      </c>
      <c r="CZ116" s="217">
        <f t="shared" si="379"/>
        <v>0.37673142857142861</v>
      </c>
      <c r="DA116" s="217">
        <f t="shared" si="380"/>
        <v>0.2242448979591837</v>
      </c>
      <c r="DB116" s="197">
        <f t="shared" si="381"/>
        <v>350</v>
      </c>
      <c r="DC116" s="443">
        <f t="shared" si="382"/>
        <v>350</v>
      </c>
      <c r="DE116" s="217">
        <f t="shared" si="383"/>
        <v>1.4925373134328355</v>
      </c>
      <c r="DF116" s="173">
        <f t="shared" si="384"/>
        <v>1.0660980810234544</v>
      </c>
      <c r="DG116" s="173">
        <f t="shared" si="385"/>
        <v>0.27845845399866342</v>
      </c>
      <c r="DH116" s="173"/>
      <c r="DI116" s="173">
        <f t="shared" si="386"/>
        <v>0.95238095238095266</v>
      </c>
      <c r="DJ116" s="545">
        <f t="shared" si="387"/>
        <v>94.499999999999957</v>
      </c>
      <c r="DK116" s="528">
        <f t="shared" si="388"/>
        <v>0.22222222222222232</v>
      </c>
      <c r="DM116" s="173">
        <f t="shared" si="389"/>
        <v>0.69282032302755081</v>
      </c>
      <c r="DN116" s="173">
        <f t="shared" si="390"/>
        <v>1.3333333333333335</v>
      </c>
      <c r="DO116" s="173">
        <f t="shared" si="391"/>
        <v>1.054</v>
      </c>
      <c r="DQ116" s="545">
        <f t="shared" si="392"/>
        <v>60</v>
      </c>
      <c r="DR116" s="460">
        <f t="shared" si="393"/>
        <v>94.499999999999957</v>
      </c>
      <c r="DT116">
        <f t="shared" si="430"/>
        <v>60</v>
      </c>
      <c r="DU116">
        <f t="shared" si="431"/>
        <v>94.499999999999957</v>
      </c>
      <c r="DW116" s="5">
        <f t="shared" si="394"/>
        <v>10.582010582010586</v>
      </c>
      <c r="DX116" s="5">
        <f t="shared" si="395"/>
        <v>1.6000000000000003</v>
      </c>
      <c r="DY116" s="5">
        <f t="shared" si="396"/>
        <v>8.9820105820105862</v>
      </c>
      <c r="DZ116" s="5"/>
      <c r="EA116" s="173">
        <f t="shared" si="397"/>
        <v>0.15119999999999997</v>
      </c>
      <c r="EB116" s="173">
        <f t="shared" si="398"/>
        <v>1.0079999999999998</v>
      </c>
      <c r="EC116" s="173">
        <f t="shared" si="399"/>
        <v>0.56586666666666674</v>
      </c>
      <c r="ED116" s="173">
        <f t="shared" si="400"/>
        <v>1.7813383600376997</v>
      </c>
      <c r="EE116" s="460">
        <f t="shared" si="401"/>
        <v>0.58536585365853677</v>
      </c>
      <c r="EF116" s="5">
        <f t="shared" si="402"/>
        <v>0.7365248677248678</v>
      </c>
      <c r="EH116" s="173">
        <f t="shared" si="403"/>
        <v>0.29933259094191533</v>
      </c>
      <c r="EI116" s="173">
        <f t="shared" si="404"/>
        <v>0.70921970685577584</v>
      </c>
      <c r="EK116" s="528">
        <f t="shared" si="405"/>
        <v>1.7920000000000002E-3</v>
      </c>
      <c r="EL116" s="528">
        <f t="shared" si="406"/>
        <v>6.7535999999999971E-2</v>
      </c>
      <c r="EM116" s="528">
        <f t="shared" si="407"/>
        <v>1.1812499999999995E-2</v>
      </c>
      <c r="EN116" s="528">
        <f t="shared" si="408"/>
        <v>6.7873679999999959E-3</v>
      </c>
      <c r="EO116">
        <f t="shared" si="409"/>
        <v>4.4999999999999997E-3</v>
      </c>
      <c r="EP116" s="460">
        <f t="shared" si="410"/>
        <v>16.312499999999993</v>
      </c>
      <c r="EQ116" s="460"/>
      <c r="ER116" s="460">
        <f t="shared" si="432"/>
        <v>92.427867999999975</v>
      </c>
      <c r="ES116" s="528">
        <f t="shared" si="411"/>
        <v>4.1999999999999996E-2</v>
      </c>
      <c r="EV116" s="460">
        <f t="shared" si="412"/>
        <v>41.999999999999993</v>
      </c>
      <c r="EW116" s="528">
        <f t="shared" si="413"/>
        <v>2.6880000000000003E-3</v>
      </c>
      <c r="EX116" s="528">
        <f t="shared" si="414"/>
        <v>1.5089777777777778E-2</v>
      </c>
      <c r="EY116" s="528">
        <f t="shared" si="415"/>
        <v>8.9103829008634512E-3</v>
      </c>
      <c r="EZ116" s="528"/>
      <c r="FA116" s="528">
        <f t="shared" si="416"/>
        <v>8.3999999999999982E-4</v>
      </c>
      <c r="FB116" s="460">
        <f t="shared" si="417"/>
        <v>27.528160678641228</v>
      </c>
      <c r="FC116" s="173">
        <f t="shared" si="418"/>
        <v>0.1619560286786412</v>
      </c>
      <c r="FD116" s="5">
        <f t="shared" si="419"/>
        <v>0.98399999999999987</v>
      </c>
      <c r="FE116" s="173">
        <f t="shared" si="420"/>
        <v>0.85867169016477307</v>
      </c>
      <c r="FF116" s="5">
        <f t="shared" si="421"/>
        <v>85.867169016477305</v>
      </c>
      <c r="FI116" s="562">
        <f t="shared" si="422"/>
        <v>-50</v>
      </c>
      <c r="FJ116">
        <f t="shared" si="423"/>
        <v>-50</v>
      </c>
      <c r="FL116">
        <f t="shared" si="424"/>
        <v>8.9999999999999983E-2</v>
      </c>
    </row>
    <row r="117" spans="5:168">
      <c r="E117" s="170">
        <v>7</v>
      </c>
      <c r="F117" s="217">
        <f t="shared" si="425"/>
        <v>7.0000000000000007E-2</v>
      </c>
      <c r="G117" s="217"/>
      <c r="H117" s="217">
        <f t="shared" si="315"/>
        <v>1.1479999999999999</v>
      </c>
      <c r="I117" s="541">
        <f t="shared" si="316"/>
        <v>9.9670658826646878</v>
      </c>
      <c r="J117" s="172">
        <f t="shared" si="317"/>
        <v>16.819760470401185</v>
      </c>
      <c r="K117" s="172">
        <f t="shared" si="318"/>
        <v>26.786826353065873</v>
      </c>
      <c r="L117" s="443"/>
      <c r="M117" s="217">
        <f t="shared" si="319"/>
        <v>0.62791498231559217</v>
      </c>
      <c r="N117" s="172">
        <f t="shared" si="426"/>
        <v>20.939797533140613</v>
      </c>
      <c r="O117" s="172">
        <f t="shared" si="284"/>
        <v>1.1479999999999999</v>
      </c>
      <c r="P117" s="217">
        <f t="shared" si="320"/>
        <v>1.2768169227524766</v>
      </c>
      <c r="Q117" s="217">
        <f t="shared" si="321"/>
        <v>16.399999999999999</v>
      </c>
      <c r="R117" s="217"/>
      <c r="S117" s="172">
        <f t="shared" si="322"/>
        <v>464.66369165203764</v>
      </c>
      <c r="T117" s="172">
        <f t="shared" si="323"/>
        <v>16.399999999999999</v>
      </c>
      <c r="U117" s="217">
        <f t="shared" si="324"/>
        <v>0.37625809518281672</v>
      </c>
      <c r="V117" s="217">
        <f t="shared" si="325"/>
        <v>0.45300163511979241</v>
      </c>
      <c r="W117" s="217">
        <f t="shared" si="326"/>
        <v>0.26844003814081108</v>
      </c>
      <c r="X117" s="197">
        <f t="shared" si="327"/>
        <v>350</v>
      </c>
      <c r="Y117" s="443">
        <f t="shared" si="328"/>
        <v>350</v>
      </c>
      <c r="AA117" s="217">
        <f t="shared" si="329"/>
        <v>1.4901040083186818</v>
      </c>
      <c r="AB117" s="173">
        <f t="shared" si="330"/>
        <v>1.0631095568388722</v>
      </c>
      <c r="AC117" s="173">
        <f t="shared" si="331"/>
        <v>0.27722516708731271</v>
      </c>
      <c r="AD117" s="173"/>
      <c r="AE117" s="173">
        <f t="shared" si="332"/>
        <v>0.95126206036977945</v>
      </c>
      <c r="AF117" s="545">
        <f t="shared" si="333"/>
        <v>110.37967808700776</v>
      </c>
      <c r="AG117" s="528">
        <f t="shared" si="334"/>
        <v>0.22196114741961523</v>
      </c>
      <c r="AI117" s="173">
        <f t="shared" si="335"/>
        <v>0.74877144867222756</v>
      </c>
      <c r="AJ117" s="173">
        <f t="shared" si="336"/>
        <v>1.3333333333333335</v>
      </c>
      <c r="AK117" s="173">
        <f t="shared" si="337"/>
        <v>1.0630741017640044</v>
      </c>
      <c r="AM117" s="545">
        <f t="shared" si="338"/>
        <v>70</v>
      </c>
      <c r="AN117" s="460">
        <f t="shared" si="339"/>
        <v>110.37967808700776</v>
      </c>
      <c r="AP117" s="460">
        <f t="shared" si="340"/>
        <v>70</v>
      </c>
      <c r="AQ117" s="460">
        <f t="shared" si="341"/>
        <v>110.37967808700776</v>
      </c>
      <c r="AS117" s="5">
        <f t="shared" si="285"/>
        <v>9.0596386701883755</v>
      </c>
      <c r="AT117" s="5">
        <f t="shared" si="342"/>
        <v>1.6052868706153685</v>
      </c>
      <c r="AU117" s="5">
        <f t="shared" si="343"/>
        <v>7.4543517995730069</v>
      </c>
      <c r="AV117" s="5"/>
      <c r="AW117" s="173">
        <f t="shared" si="344"/>
        <v>0.17719104801582444</v>
      </c>
      <c r="AX117" s="173">
        <f t="shared" si="214"/>
        <v>1.1773832329280831</v>
      </c>
      <c r="AY117" s="173">
        <f t="shared" si="215"/>
        <v>0.54853930132278383</v>
      </c>
      <c r="AZ117" s="173">
        <f t="shared" si="288"/>
        <v>2.1463972227493335</v>
      </c>
      <c r="BA117" s="460">
        <f t="shared" ref="BA117:BA180" si="433">F117*AT117/Vout_ripple*1000</f>
        <v>0.68518342038460878</v>
      </c>
      <c r="BB117" s="5">
        <f t="shared" ref="BB117:BB180" si="434">H117/Efficiency/I117*AU117/Vinripple1</f>
        <v>0.71548938997798817</v>
      </c>
      <c r="BD117" s="173">
        <f t="shared" si="289"/>
        <v>0.32404027917512968</v>
      </c>
      <c r="BE117" s="173">
        <f t="shared" si="218"/>
        <v>0.69827680046289431</v>
      </c>
      <c r="BG117" s="528">
        <f t="shared" si="347"/>
        <v>2.1000420505579197E-3</v>
      </c>
      <c r="BH117" s="528">
        <f t="shared" si="348"/>
        <v>7.3918031745599688E-2</v>
      </c>
      <c r="BI117" s="528">
        <f t="shared" si="349"/>
        <v>2.7504038090013155E-2</v>
      </c>
      <c r="BJ117" s="528">
        <f t="shared" si="350"/>
        <v>7.9201179229191569E-3</v>
      </c>
      <c r="BK117">
        <f t="shared" si="351"/>
        <v>4.4851796471991091E-3</v>
      </c>
      <c r="BL117" s="460">
        <f t="shared" si="427"/>
        <v>31.989217737212265</v>
      </c>
      <c r="BM117" s="528">
        <f t="shared" si="352"/>
        <v>8.454738968301459E-2</v>
      </c>
      <c r="BN117" s="460">
        <f t="shared" si="353"/>
        <v>84.547389683014586</v>
      </c>
      <c r="BO117" s="528">
        <f t="shared" si="354"/>
        <v>4.9000000000000002E-2</v>
      </c>
      <c r="BR117" s="460">
        <f t="shared" si="355"/>
        <v>49</v>
      </c>
      <c r="BS117" s="528">
        <f t="shared" si="356"/>
        <v>3.1500630758368791E-3</v>
      </c>
      <c r="BT117" s="528">
        <f t="shared" si="357"/>
        <v>1.4627714701940901E-2</v>
      </c>
      <c r="BU117" s="528">
        <f t="shared" si="358"/>
        <v>1.3138314502831894E-2</v>
      </c>
      <c r="BV117" s="528"/>
      <c r="BW117" s="528">
        <f t="shared" si="359"/>
        <v>9.8115269410673574E-4</v>
      </c>
      <c r="BX117" s="460">
        <f t="shared" si="360"/>
        <v>31.897244974716411</v>
      </c>
      <c r="BY117" s="173">
        <f t="shared" si="361"/>
        <v>0.19682465443100544</v>
      </c>
      <c r="BZ117" s="5">
        <f t="shared" si="362"/>
        <v>1.1479999999999999</v>
      </c>
      <c r="CA117" s="173">
        <f t="shared" si="363"/>
        <v>0.85364288661536925</v>
      </c>
      <c r="CB117" s="5">
        <f t="shared" si="364"/>
        <v>85.364288661536918</v>
      </c>
      <c r="CE117" s="562">
        <f t="shared" si="365"/>
        <v>-50</v>
      </c>
      <c r="CF117">
        <f t="shared" si="366"/>
        <v>-50</v>
      </c>
      <c r="CG117" s="173">
        <f t="shared" si="367"/>
        <v>0.10627277374296951</v>
      </c>
      <c r="CI117" s="170">
        <v>7</v>
      </c>
      <c r="CJ117" s="217">
        <f t="shared" si="428"/>
        <v>7.0000000000000007E-2</v>
      </c>
      <c r="CK117" s="217"/>
      <c r="CL117" s="217">
        <f t="shared" si="368"/>
        <v>1.1479999999999999</v>
      </c>
      <c r="CM117" s="541">
        <f t="shared" si="369"/>
        <v>10</v>
      </c>
      <c r="CN117" s="443">
        <f t="shared" si="370"/>
        <v>16.799999999999997</v>
      </c>
      <c r="CO117" s="443">
        <f t="shared" si="371"/>
        <v>26.799999999999997</v>
      </c>
      <c r="CP117" s="443"/>
      <c r="CQ117" s="217">
        <f t="shared" si="372"/>
        <v>0.62686567164179097</v>
      </c>
      <c r="CR117" s="172">
        <f t="shared" si="429"/>
        <v>20.973880597014926</v>
      </c>
      <c r="CS117" s="172">
        <f t="shared" si="373"/>
        <v>1.1479999999999999</v>
      </c>
      <c r="CT117" s="217">
        <f t="shared" si="374"/>
        <v>1.2788951583545687</v>
      </c>
      <c r="CU117" s="217">
        <f t="shared" si="375"/>
        <v>16.399999999999999</v>
      </c>
      <c r="CV117" s="217"/>
      <c r="CW117" s="172">
        <f t="shared" si="376"/>
        <v>466.19904886118729</v>
      </c>
      <c r="CX117" s="172">
        <f t="shared" si="377"/>
        <v>16.399999999999999</v>
      </c>
      <c r="CY117" s="217">
        <f t="shared" si="378"/>
        <v>0.36626666666666668</v>
      </c>
      <c r="CZ117" s="217">
        <f t="shared" si="379"/>
        <v>0.43952000000000008</v>
      </c>
      <c r="DA117" s="217">
        <f t="shared" si="380"/>
        <v>0.2616190476190477</v>
      </c>
      <c r="DB117" s="197">
        <f t="shared" si="381"/>
        <v>350</v>
      </c>
      <c r="DC117" s="443">
        <f t="shared" si="382"/>
        <v>350</v>
      </c>
      <c r="DE117" s="217">
        <f t="shared" si="383"/>
        <v>1.4925373134328355</v>
      </c>
      <c r="DF117" s="173">
        <f t="shared" si="384"/>
        <v>1.0660980810234544</v>
      </c>
      <c r="DG117" s="173">
        <f t="shared" si="385"/>
        <v>0.27845845399866342</v>
      </c>
      <c r="DH117" s="173"/>
      <c r="DI117" s="173">
        <f t="shared" si="386"/>
        <v>0.95238095238095266</v>
      </c>
      <c r="DJ117" s="545">
        <f t="shared" si="387"/>
        <v>110.24999999999997</v>
      </c>
      <c r="DK117" s="528">
        <f t="shared" si="388"/>
        <v>0.22222222222222232</v>
      </c>
      <c r="DM117" s="173">
        <f t="shared" si="389"/>
        <v>0.74833147735478822</v>
      </c>
      <c r="DN117" s="173">
        <f t="shared" si="390"/>
        <v>1.3333333333333335</v>
      </c>
      <c r="DO117" s="173">
        <f t="shared" si="391"/>
        <v>1.0629999999999999</v>
      </c>
      <c r="DQ117" s="545">
        <f t="shared" si="392"/>
        <v>70</v>
      </c>
      <c r="DR117" s="460">
        <f t="shared" si="393"/>
        <v>110.24999999999997</v>
      </c>
      <c r="DT117">
        <f t="shared" si="430"/>
        <v>70</v>
      </c>
      <c r="DU117">
        <f t="shared" si="431"/>
        <v>110.24999999999997</v>
      </c>
      <c r="DW117" s="5">
        <f t="shared" si="394"/>
        <v>9.0702947845805006</v>
      </c>
      <c r="DX117" s="5">
        <f t="shared" si="395"/>
        <v>1.6000000000000003</v>
      </c>
      <c r="DY117" s="5">
        <f t="shared" si="396"/>
        <v>7.4702947845805001</v>
      </c>
      <c r="DZ117" s="5"/>
      <c r="EA117" s="173">
        <f t="shared" si="397"/>
        <v>0.1764</v>
      </c>
      <c r="EB117" s="173">
        <f t="shared" si="398"/>
        <v>1.1759999999999999</v>
      </c>
      <c r="EC117" s="173">
        <f t="shared" si="399"/>
        <v>0.5490666666666667</v>
      </c>
      <c r="ED117" s="173">
        <f t="shared" si="400"/>
        <v>2.1418164157357937</v>
      </c>
      <c r="EE117" s="460">
        <f t="shared" si="401"/>
        <v>0.68292682926829296</v>
      </c>
      <c r="EF117" s="5">
        <f t="shared" si="402"/>
        <v>0.71465820105820099</v>
      </c>
      <c r="EH117" s="173">
        <f t="shared" si="403"/>
        <v>0.32331615074619047</v>
      </c>
      <c r="EI117" s="173">
        <f t="shared" si="404"/>
        <v>0.69861238126679326</v>
      </c>
      <c r="EK117" s="528">
        <f t="shared" si="405"/>
        <v>2.0906666666666673E-3</v>
      </c>
      <c r="EL117" s="528">
        <f t="shared" si="406"/>
        <v>7.8791999999999987E-2</v>
      </c>
      <c r="EM117" s="528">
        <f t="shared" si="407"/>
        <v>1.3781249999999997E-2</v>
      </c>
      <c r="EN117" s="528">
        <f t="shared" si="408"/>
        <v>7.9185959999999982E-3</v>
      </c>
      <c r="EO117">
        <f t="shared" si="409"/>
        <v>4.4999999999999997E-3</v>
      </c>
      <c r="EP117" s="460">
        <f t="shared" si="410"/>
        <v>18.281249999999996</v>
      </c>
      <c r="EQ117" s="460"/>
      <c r="ER117" s="460">
        <f t="shared" si="432"/>
        <v>107.08251266666666</v>
      </c>
      <c r="ES117" s="528">
        <f t="shared" si="411"/>
        <v>4.9000000000000002E-2</v>
      </c>
      <c r="EV117" s="460">
        <f t="shared" si="412"/>
        <v>49</v>
      </c>
      <c r="EW117" s="528">
        <f t="shared" si="413"/>
        <v>3.1360000000000003E-3</v>
      </c>
      <c r="EX117" s="528">
        <f t="shared" si="414"/>
        <v>1.4641777777777778E-2</v>
      </c>
      <c r="EY117" s="528">
        <f t="shared" si="415"/>
        <v>1.3099760065264546E-2</v>
      </c>
      <c r="EZ117" s="528"/>
      <c r="FA117" s="528">
        <f t="shared" si="416"/>
        <v>9.7999999999999997E-4</v>
      </c>
      <c r="FB117" s="460">
        <f t="shared" si="417"/>
        <v>31.857537843042323</v>
      </c>
      <c r="FC117" s="173">
        <f t="shared" si="418"/>
        <v>0.18794005050970899</v>
      </c>
      <c r="FD117" s="5">
        <f t="shared" si="419"/>
        <v>1.1479999999999999</v>
      </c>
      <c r="FE117" s="173">
        <f t="shared" si="420"/>
        <v>0.85931999685314975</v>
      </c>
      <c r="FF117" s="5">
        <f t="shared" si="421"/>
        <v>85.931999685314977</v>
      </c>
      <c r="FI117" s="562">
        <f t="shared" si="422"/>
        <v>-50</v>
      </c>
      <c r="FJ117">
        <f t="shared" si="423"/>
        <v>-50</v>
      </c>
      <c r="FL117">
        <f t="shared" si="424"/>
        <v>0.10500000000000001</v>
      </c>
    </row>
    <row r="118" spans="5:168">
      <c r="E118" s="170">
        <v>8</v>
      </c>
      <c r="F118" s="217">
        <f t="shared" si="425"/>
        <v>0.08</v>
      </c>
      <c r="G118" s="217"/>
      <c r="H118" s="217">
        <f t="shared" si="315"/>
        <v>1.3119999999999998</v>
      </c>
      <c r="I118" s="541">
        <f t="shared" si="316"/>
        <v>9.9670658826646878</v>
      </c>
      <c r="J118" s="172">
        <f t="shared" si="317"/>
        <v>16.819760470401185</v>
      </c>
      <c r="K118" s="172">
        <f t="shared" si="318"/>
        <v>26.786826353065873</v>
      </c>
      <c r="L118" s="443"/>
      <c r="M118" s="217">
        <f t="shared" si="319"/>
        <v>0.62791498231559217</v>
      </c>
      <c r="N118" s="172">
        <f t="shared" si="426"/>
        <v>20.939797533140613</v>
      </c>
      <c r="O118" s="172">
        <f t="shared" si="284"/>
        <v>1.3119999999999998</v>
      </c>
      <c r="P118" s="217">
        <f t="shared" si="320"/>
        <v>1.2768169227524766</v>
      </c>
      <c r="Q118" s="217">
        <f t="shared" si="321"/>
        <v>16.399999999999999</v>
      </c>
      <c r="R118" s="217"/>
      <c r="S118" s="172">
        <f t="shared" si="322"/>
        <v>405.33717202541249</v>
      </c>
      <c r="T118" s="172">
        <f t="shared" si="323"/>
        <v>16.399999999999999</v>
      </c>
      <c r="U118" s="217">
        <f t="shared" si="324"/>
        <v>0.43000925163750481</v>
      </c>
      <c r="V118" s="217">
        <f t="shared" si="325"/>
        <v>0.51771615442261998</v>
      </c>
      <c r="W118" s="217">
        <f t="shared" si="326"/>
        <v>0.30678861501806981</v>
      </c>
      <c r="X118" s="197">
        <f t="shared" si="327"/>
        <v>350</v>
      </c>
      <c r="Y118" s="443">
        <f t="shared" si="328"/>
        <v>350</v>
      </c>
      <c r="AA118" s="217">
        <f t="shared" si="329"/>
        <v>1.4901040083186818</v>
      </c>
      <c r="AB118" s="173">
        <f t="shared" si="330"/>
        <v>1.0631095568388722</v>
      </c>
      <c r="AC118" s="173">
        <f t="shared" si="331"/>
        <v>0.27722516708731271</v>
      </c>
      <c r="AD118" s="173"/>
      <c r="AE118" s="173">
        <f t="shared" si="332"/>
        <v>0.95126206036977945</v>
      </c>
      <c r="AF118" s="545">
        <f t="shared" si="333"/>
        <v>126.14820352800886</v>
      </c>
      <c r="AG118" s="528">
        <f t="shared" si="334"/>
        <v>0.22196114741961523</v>
      </c>
      <c r="AI118" s="173">
        <f t="shared" si="335"/>
        <v>0.80047034912281867</v>
      </c>
      <c r="AJ118" s="173">
        <f t="shared" si="336"/>
        <v>1.3333333333333335</v>
      </c>
      <c r="AK118" s="173">
        <f t="shared" si="337"/>
        <v>1.0720846877302908</v>
      </c>
      <c r="AM118" s="545">
        <f t="shared" si="338"/>
        <v>80</v>
      </c>
      <c r="AN118" s="460">
        <f t="shared" si="339"/>
        <v>126.14820352800886</v>
      </c>
      <c r="AP118" s="460">
        <f t="shared" si="340"/>
        <v>80</v>
      </c>
      <c r="AQ118" s="460">
        <f t="shared" si="341"/>
        <v>126.14820352800886</v>
      </c>
      <c r="AS118" s="5">
        <f t="shared" si="285"/>
        <v>7.9271838364148293</v>
      </c>
      <c r="AT118" s="5">
        <f t="shared" si="342"/>
        <v>1.6052868706153685</v>
      </c>
      <c r="AU118" s="5">
        <f t="shared" si="343"/>
        <v>6.3218969657994606</v>
      </c>
      <c r="AV118" s="5"/>
      <c r="AW118" s="173">
        <f t="shared" si="344"/>
        <v>0.20250405487522793</v>
      </c>
      <c r="AX118" s="173">
        <f t="shared" si="214"/>
        <v>1.3455808376320948</v>
      </c>
      <c r="AY118" s="173">
        <f t="shared" si="215"/>
        <v>0.53166396341651478</v>
      </c>
      <c r="AZ118" s="173">
        <f t="shared" si="288"/>
        <v>2.5308859170843285</v>
      </c>
      <c r="BA118" s="460">
        <f t="shared" si="433"/>
        <v>0.78306676615383841</v>
      </c>
      <c r="BB118" s="5">
        <f t="shared" si="434"/>
        <v>0.69347797676636869</v>
      </c>
      <c r="BD118" s="173">
        <f t="shared" si="289"/>
        <v>0.34641362976797546</v>
      </c>
      <c r="BE118" s="173">
        <f t="shared" si="218"/>
        <v>0.68745195446923313</v>
      </c>
      <c r="BG118" s="528">
        <f t="shared" si="347"/>
        <v>2.4000480577804797E-3</v>
      </c>
      <c r="BH118" s="528">
        <f t="shared" si="348"/>
        <v>8.447775056639964E-2</v>
      </c>
      <c r="BI118" s="528">
        <f t="shared" si="349"/>
        <v>3.1433186388586457E-2</v>
      </c>
      <c r="BJ118" s="528">
        <f t="shared" si="350"/>
        <v>9.0515633404790359E-3</v>
      </c>
      <c r="BK118">
        <f t="shared" si="351"/>
        <v>4.4851796471991091E-3</v>
      </c>
      <c r="BL118" s="460">
        <f t="shared" si="427"/>
        <v>35.91836603578556</v>
      </c>
      <c r="BM118" s="528">
        <f t="shared" si="352"/>
        <v>9.6632479748912634E-2</v>
      </c>
      <c r="BN118" s="460">
        <f t="shared" si="353"/>
        <v>96.63247974891263</v>
      </c>
      <c r="BO118" s="528">
        <f t="shared" si="354"/>
        <v>5.5999999999999994E-2</v>
      </c>
      <c r="BR118" s="460">
        <f t="shared" si="355"/>
        <v>55.999999999999993</v>
      </c>
      <c r="BS118" s="528">
        <f t="shared" si="356"/>
        <v>3.6000720866707189E-3</v>
      </c>
      <c r="BT118" s="528">
        <f t="shared" si="357"/>
        <v>1.4177705691107058E-2</v>
      </c>
      <c r="BU118" s="528">
        <f t="shared" si="358"/>
        <v>1.8345076248361115E-2</v>
      </c>
      <c r="BV118" s="528"/>
      <c r="BW118" s="528">
        <f t="shared" si="359"/>
        <v>1.1213173646934123E-3</v>
      </c>
      <c r="BX118" s="460">
        <f t="shared" si="360"/>
        <v>37.244171390832307</v>
      </c>
      <c r="BY118" s="173">
        <f t="shared" si="361"/>
        <v>0.22509189939127702</v>
      </c>
      <c r="BZ118" s="5">
        <f t="shared" si="362"/>
        <v>1.3119999999999998</v>
      </c>
      <c r="CA118" s="173">
        <f t="shared" si="363"/>
        <v>0.8535598948375055</v>
      </c>
      <c r="CB118" s="5">
        <f t="shared" si="364"/>
        <v>85.355989483750548</v>
      </c>
      <c r="CE118" s="562">
        <f t="shared" si="365"/>
        <v>-50</v>
      </c>
      <c r="CF118">
        <f t="shared" si="366"/>
        <v>-50</v>
      </c>
      <c r="CG118" s="173">
        <f t="shared" si="367"/>
        <v>0.12145459856339372</v>
      </c>
      <c r="CI118" s="170">
        <v>8</v>
      </c>
      <c r="CJ118" s="217">
        <f t="shared" si="428"/>
        <v>0.08</v>
      </c>
      <c r="CK118" s="217"/>
      <c r="CL118" s="217">
        <f t="shared" si="368"/>
        <v>1.3119999999999998</v>
      </c>
      <c r="CM118" s="541">
        <f t="shared" si="369"/>
        <v>10</v>
      </c>
      <c r="CN118" s="443">
        <f t="shared" si="370"/>
        <v>16.799999999999997</v>
      </c>
      <c r="CO118" s="443">
        <f t="shared" si="371"/>
        <v>26.799999999999997</v>
      </c>
      <c r="CP118" s="443"/>
      <c r="CQ118" s="217">
        <f t="shared" si="372"/>
        <v>0.62686567164179097</v>
      </c>
      <c r="CR118" s="172">
        <f t="shared" si="429"/>
        <v>20.973880597014926</v>
      </c>
      <c r="CS118" s="172">
        <f t="shared" si="373"/>
        <v>1.3119999999999998</v>
      </c>
      <c r="CT118" s="217">
        <f t="shared" si="374"/>
        <v>1.2788951583545687</v>
      </c>
      <c r="CU118" s="217">
        <f t="shared" si="375"/>
        <v>16.399999999999999</v>
      </c>
      <c r="CV118" s="217"/>
      <c r="CW118" s="172">
        <f t="shared" si="376"/>
        <v>406.67649282973542</v>
      </c>
      <c r="CX118" s="172">
        <f t="shared" si="377"/>
        <v>16.399999999999999</v>
      </c>
      <c r="CY118" s="217">
        <f t="shared" si="378"/>
        <v>0.41859047619047618</v>
      </c>
      <c r="CZ118" s="217">
        <f t="shared" si="379"/>
        <v>0.50230857142857144</v>
      </c>
      <c r="DA118" s="217">
        <f t="shared" si="380"/>
        <v>0.2989931972789116</v>
      </c>
      <c r="DB118" s="197">
        <f t="shared" si="381"/>
        <v>350</v>
      </c>
      <c r="DC118" s="443">
        <f t="shared" si="382"/>
        <v>350</v>
      </c>
      <c r="DE118" s="217">
        <f t="shared" si="383"/>
        <v>1.4925373134328355</v>
      </c>
      <c r="DF118" s="173">
        <f t="shared" si="384"/>
        <v>1.0660980810234544</v>
      </c>
      <c r="DG118" s="173">
        <f t="shared" si="385"/>
        <v>0.27845845399866342</v>
      </c>
      <c r="DH118" s="173"/>
      <c r="DI118" s="173">
        <f t="shared" si="386"/>
        <v>0.95238095238095266</v>
      </c>
      <c r="DJ118" s="545">
        <f t="shared" si="387"/>
        <v>125.99999999999996</v>
      </c>
      <c r="DK118" s="528">
        <f t="shared" si="388"/>
        <v>0.22222222222222232</v>
      </c>
      <c r="DM118" s="173">
        <f t="shared" si="389"/>
        <v>0.79999999999999993</v>
      </c>
      <c r="DN118" s="173">
        <f t="shared" si="390"/>
        <v>1.3333333333333335</v>
      </c>
      <c r="DO118" s="173">
        <f t="shared" si="391"/>
        <v>1.0720000000000001</v>
      </c>
      <c r="DQ118" s="545">
        <f t="shared" si="392"/>
        <v>80</v>
      </c>
      <c r="DR118" s="460">
        <f t="shared" si="393"/>
        <v>125.99999999999996</v>
      </c>
      <c r="DT118">
        <f t="shared" si="430"/>
        <v>80</v>
      </c>
      <c r="DU118">
        <f t="shared" si="431"/>
        <v>125.99999999999996</v>
      </c>
      <c r="DW118" s="5">
        <f t="shared" si="394"/>
        <v>7.9365079365079394</v>
      </c>
      <c r="DX118" s="5">
        <f t="shared" si="395"/>
        <v>1.6000000000000003</v>
      </c>
      <c r="DY118" s="5">
        <f t="shared" si="396"/>
        <v>6.3365079365079389</v>
      </c>
      <c r="DZ118" s="5"/>
      <c r="EA118" s="173">
        <f t="shared" si="397"/>
        <v>0.20159999999999997</v>
      </c>
      <c r="EB118" s="173">
        <f t="shared" si="398"/>
        <v>1.3439999999999999</v>
      </c>
      <c r="EC118" s="173">
        <f t="shared" si="399"/>
        <v>0.53226666666666678</v>
      </c>
      <c r="ED118" s="173">
        <f t="shared" si="400"/>
        <v>2.5250501002004002</v>
      </c>
      <c r="EE118" s="460">
        <f t="shared" si="401"/>
        <v>0.78048780487804914</v>
      </c>
      <c r="EF118" s="5">
        <f t="shared" si="402"/>
        <v>0.6927915343915344</v>
      </c>
      <c r="EH118" s="173">
        <f t="shared" si="403"/>
        <v>0.34563950391508586</v>
      </c>
      <c r="EI118" s="173">
        <f t="shared" si="404"/>
        <v>0.68784149767655489</v>
      </c>
      <c r="EK118" s="528">
        <f t="shared" si="405"/>
        <v>2.3893333333333332E-3</v>
      </c>
      <c r="EL118" s="528">
        <f t="shared" si="406"/>
        <v>9.0047999999999989E-2</v>
      </c>
      <c r="EM118" s="528">
        <f t="shared" si="407"/>
        <v>1.5749999999999993E-2</v>
      </c>
      <c r="EN118" s="528">
        <f t="shared" si="408"/>
        <v>9.0498239999999962E-3</v>
      </c>
      <c r="EO118">
        <f t="shared" si="409"/>
        <v>4.4999999999999997E-3</v>
      </c>
      <c r="EP118" s="460">
        <f t="shared" si="410"/>
        <v>20.249999999999993</v>
      </c>
      <c r="EQ118" s="460"/>
      <c r="ER118" s="460">
        <f t="shared" si="432"/>
        <v>121.7371573333333</v>
      </c>
      <c r="ES118" s="528">
        <f t="shared" si="411"/>
        <v>5.5999999999999994E-2</v>
      </c>
      <c r="EV118" s="460">
        <f t="shared" si="412"/>
        <v>55.999999999999993</v>
      </c>
      <c r="EW118" s="528">
        <f t="shared" si="413"/>
        <v>3.5839999999999995E-3</v>
      </c>
      <c r="EX118" s="528">
        <f t="shared" si="414"/>
        <v>1.4193777777777781E-2</v>
      </c>
      <c r="EY118" s="528">
        <f t="shared" si="415"/>
        <v>1.8291242547186337E-2</v>
      </c>
      <c r="EZ118" s="528"/>
      <c r="FA118" s="528">
        <f t="shared" si="416"/>
        <v>1.1199999999999999E-3</v>
      </c>
      <c r="FB118" s="460">
        <f t="shared" si="417"/>
        <v>37.189020324964119</v>
      </c>
      <c r="FC118" s="173">
        <f t="shared" si="418"/>
        <v>0.21492617765829741</v>
      </c>
      <c r="FD118" s="5">
        <f t="shared" si="419"/>
        <v>1.3119999999999998</v>
      </c>
      <c r="FE118" s="173">
        <f t="shared" si="420"/>
        <v>0.85924258762273009</v>
      </c>
      <c r="FF118" s="5">
        <f t="shared" si="421"/>
        <v>85.924258762273013</v>
      </c>
      <c r="FI118" s="562">
        <f t="shared" si="422"/>
        <v>-50</v>
      </c>
      <c r="FJ118">
        <f t="shared" si="423"/>
        <v>-50</v>
      </c>
      <c r="FL118">
        <f t="shared" si="424"/>
        <v>0.12</v>
      </c>
    </row>
    <row r="119" spans="5:168">
      <c r="E119" s="170">
        <v>9</v>
      </c>
      <c r="F119" s="217">
        <f t="shared" si="425"/>
        <v>0.09</v>
      </c>
      <c r="G119" s="217"/>
      <c r="H119" s="217">
        <f t="shared" si="315"/>
        <v>1.4759999999999998</v>
      </c>
      <c r="I119" s="541">
        <f t="shared" si="316"/>
        <v>9.9670658826646878</v>
      </c>
      <c r="J119" s="172">
        <f t="shared" si="317"/>
        <v>16.819760470401185</v>
      </c>
      <c r="K119" s="172">
        <f t="shared" si="318"/>
        <v>26.786826353065873</v>
      </c>
      <c r="L119" s="443"/>
      <c r="M119" s="217">
        <f t="shared" si="319"/>
        <v>0.62791498231559217</v>
      </c>
      <c r="N119" s="172">
        <f t="shared" si="426"/>
        <v>20.939797533140613</v>
      </c>
      <c r="O119" s="172">
        <f t="shared" si="284"/>
        <v>1.4759999999999998</v>
      </c>
      <c r="P119" s="217">
        <f t="shared" si="320"/>
        <v>1.2768169227524766</v>
      </c>
      <c r="Q119" s="217">
        <f t="shared" si="321"/>
        <v>16.399999999999999</v>
      </c>
      <c r="R119" s="217"/>
      <c r="S119" s="172">
        <f t="shared" si="322"/>
        <v>359.1946093667313</v>
      </c>
      <c r="T119" s="172">
        <f t="shared" si="323"/>
        <v>16.399999999999999</v>
      </c>
      <c r="U119" s="217">
        <f t="shared" si="324"/>
        <v>0.4837604080921929</v>
      </c>
      <c r="V119" s="217">
        <f t="shared" si="325"/>
        <v>0.58243067372544743</v>
      </c>
      <c r="W119" s="217">
        <f t="shared" si="326"/>
        <v>0.34513719189532854</v>
      </c>
      <c r="X119" s="197">
        <f t="shared" si="327"/>
        <v>350</v>
      </c>
      <c r="Y119" s="443">
        <f t="shared" si="328"/>
        <v>350</v>
      </c>
      <c r="AA119" s="217">
        <f t="shared" si="329"/>
        <v>1.4901040083186818</v>
      </c>
      <c r="AB119" s="173">
        <f t="shared" si="330"/>
        <v>1.0631095568388722</v>
      </c>
      <c r="AC119" s="173">
        <f t="shared" si="331"/>
        <v>0.27722516708731271</v>
      </c>
      <c r="AD119" s="173"/>
      <c r="AE119" s="173">
        <f t="shared" si="332"/>
        <v>0.95126206036977945</v>
      </c>
      <c r="AF119" s="545">
        <f t="shared" si="333"/>
        <v>141.91672896900997</v>
      </c>
      <c r="AG119" s="528">
        <f t="shared" si="334"/>
        <v>0.22196114741961523</v>
      </c>
      <c r="AI119" s="173">
        <f t="shared" si="335"/>
        <v>0.84902701800526226</v>
      </c>
      <c r="AJ119" s="173">
        <f t="shared" si="336"/>
        <v>1.3333333333333335</v>
      </c>
      <c r="AK119" s="173">
        <f t="shared" si="337"/>
        <v>1.0810952736965771</v>
      </c>
      <c r="AM119" s="545">
        <f t="shared" si="338"/>
        <v>90</v>
      </c>
      <c r="AN119" s="460">
        <f t="shared" si="339"/>
        <v>141.91672896900997</v>
      </c>
      <c r="AP119" s="460">
        <f t="shared" si="340"/>
        <v>90</v>
      </c>
      <c r="AQ119" s="460">
        <f t="shared" si="341"/>
        <v>141.91672896900997</v>
      </c>
      <c r="AS119" s="5">
        <f t="shared" si="285"/>
        <v>7.0463856323687377</v>
      </c>
      <c r="AT119" s="5">
        <f t="shared" si="342"/>
        <v>1.6052868706153685</v>
      </c>
      <c r="AU119" s="5">
        <f t="shared" si="343"/>
        <v>5.441098761753369</v>
      </c>
      <c r="AV119" s="5"/>
      <c r="AW119" s="173">
        <f t="shared" si="344"/>
        <v>0.2278170617346314</v>
      </c>
      <c r="AX119" s="173">
        <f t="shared" si="214"/>
        <v>1.5137784423361067</v>
      </c>
      <c r="AY119" s="173">
        <f t="shared" si="215"/>
        <v>0.51478862551024585</v>
      </c>
      <c r="AZ119" s="173">
        <f t="shared" si="288"/>
        <v>2.9405825368338059</v>
      </c>
      <c r="BA119" s="460">
        <f t="shared" si="433"/>
        <v>0.88095011192306805</v>
      </c>
      <c r="BB119" s="5">
        <f t="shared" si="434"/>
        <v>0.67146656355474921</v>
      </c>
      <c r="BD119" s="173">
        <f t="shared" si="289"/>
        <v>0.36742714005657223</v>
      </c>
      <c r="BE119" s="173">
        <f t="shared" si="218"/>
        <v>0.6764539077737971</v>
      </c>
      <c r="BG119" s="528">
        <f t="shared" si="347"/>
        <v>2.7000540650030393E-3</v>
      </c>
      <c r="BH119" s="528">
        <f t="shared" si="348"/>
        <v>9.5037469387199591E-2</v>
      </c>
      <c r="BI119" s="528">
        <f t="shared" si="349"/>
        <v>3.5362334687159769E-2</v>
      </c>
      <c r="BJ119" s="528">
        <f t="shared" si="350"/>
        <v>1.0183008758038915E-2</v>
      </c>
      <c r="BK119">
        <f t="shared" si="351"/>
        <v>4.4851796471991091E-3</v>
      </c>
      <c r="BL119" s="460">
        <f t="shared" si="427"/>
        <v>39.847514334358877</v>
      </c>
      <c r="BM119" s="528">
        <f t="shared" si="352"/>
        <v>0.1087192938057458</v>
      </c>
      <c r="BN119" s="460">
        <f t="shared" si="353"/>
        <v>108.71929380574579</v>
      </c>
      <c r="BO119" s="528">
        <f t="shared" si="354"/>
        <v>6.3E-2</v>
      </c>
      <c r="BR119" s="460">
        <f t="shared" si="355"/>
        <v>63</v>
      </c>
      <c r="BS119" s="528">
        <f t="shared" si="356"/>
        <v>4.0500810975045588E-3</v>
      </c>
      <c r="BT119" s="528">
        <f t="shared" si="357"/>
        <v>1.3727696680273222E-2</v>
      </c>
      <c r="BU119" s="528">
        <f t="shared" si="358"/>
        <v>2.4626394214327368E-2</v>
      </c>
      <c r="BV119" s="528"/>
      <c r="BW119" s="528">
        <f t="shared" si="359"/>
        <v>1.2614820352800889E-3</v>
      </c>
      <c r="BX119" s="460">
        <f t="shared" si="360"/>
        <v>43.665654027385237</v>
      </c>
      <c r="BY119" s="173">
        <f t="shared" si="361"/>
        <v>0.25443370057198567</v>
      </c>
      <c r="BZ119" s="5">
        <f t="shared" si="362"/>
        <v>1.4759999999999998</v>
      </c>
      <c r="CA119" s="173">
        <f t="shared" si="363"/>
        <v>0.85296535747779068</v>
      </c>
      <c r="CB119" s="5">
        <f t="shared" si="364"/>
        <v>85.296535747779075</v>
      </c>
      <c r="CE119" s="562">
        <f t="shared" si="365"/>
        <v>-50</v>
      </c>
      <c r="CF119">
        <f t="shared" si="366"/>
        <v>-50</v>
      </c>
      <c r="CG119" s="173">
        <f t="shared" si="367"/>
        <v>0.1366364233838179</v>
      </c>
      <c r="CI119" s="170">
        <v>9</v>
      </c>
      <c r="CJ119" s="217">
        <f t="shared" si="428"/>
        <v>0.09</v>
      </c>
      <c r="CK119" s="217"/>
      <c r="CL119" s="217">
        <f t="shared" si="368"/>
        <v>1.4759999999999998</v>
      </c>
      <c r="CM119" s="541">
        <f t="shared" si="369"/>
        <v>10</v>
      </c>
      <c r="CN119" s="443">
        <f t="shared" si="370"/>
        <v>16.799999999999997</v>
      </c>
      <c r="CO119" s="443">
        <f t="shared" si="371"/>
        <v>26.799999999999997</v>
      </c>
      <c r="CP119" s="443"/>
      <c r="CQ119" s="217">
        <f t="shared" si="372"/>
        <v>0.62686567164179097</v>
      </c>
      <c r="CR119" s="172">
        <f t="shared" si="429"/>
        <v>20.973880597014926</v>
      </c>
      <c r="CS119" s="172">
        <f t="shared" si="373"/>
        <v>1.4759999999999998</v>
      </c>
      <c r="CT119" s="217">
        <f t="shared" si="374"/>
        <v>1.2788951583545687</v>
      </c>
      <c r="CU119" s="217">
        <f t="shared" si="375"/>
        <v>16.399999999999999</v>
      </c>
      <c r="CV119" s="217"/>
      <c r="CW119" s="172">
        <f t="shared" si="376"/>
        <v>360.38145741466775</v>
      </c>
      <c r="CX119" s="172">
        <f t="shared" si="377"/>
        <v>16.399999999999999</v>
      </c>
      <c r="CY119" s="217">
        <f t="shared" si="378"/>
        <v>0.47091428571428567</v>
      </c>
      <c r="CZ119" s="217">
        <f t="shared" si="379"/>
        <v>0.56509714285714285</v>
      </c>
      <c r="DA119" s="217">
        <f t="shared" si="380"/>
        <v>0.33636734693877557</v>
      </c>
      <c r="DB119" s="197">
        <f t="shared" si="381"/>
        <v>350</v>
      </c>
      <c r="DC119" s="443">
        <f t="shared" si="382"/>
        <v>350</v>
      </c>
      <c r="DE119" s="217">
        <f t="shared" si="383"/>
        <v>1.4925373134328355</v>
      </c>
      <c r="DF119" s="173">
        <f t="shared" si="384"/>
        <v>1.0660980810234544</v>
      </c>
      <c r="DG119" s="173">
        <f t="shared" si="385"/>
        <v>0.27845845399866342</v>
      </c>
      <c r="DH119" s="173"/>
      <c r="DI119" s="173">
        <f t="shared" si="386"/>
        <v>0.95238095238095266</v>
      </c>
      <c r="DJ119" s="545">
        <f t="shared" si="387"/>
        <v>141.74999999999994</v>
      </c>
      <c r="DK119" s="528">
        <f t="shared" si="388"/>
        <v>0.22222222222222232</v>
      </c>
      <c r="DM119" s="173">
        <f t="shared" si="389"/>
        <v>0.84852813742385691</v>
      </c>
      <c r="DN119" s="173">
        <f t="shared" si="390"/>
        <v>1.3333333333333335</v>
      </c>
      <c r="DO119" s="173">
        <f t="shared" si="391"/>
        <v>1.081</v>
      </c>
      <c r="DQ119" s="545">
        <f t="shared" si="392"/>
        <v>90</v>
      </c>
      <c r="DR119" s="460">
        <f t="shared" si="393"/>
        <v>141.74999999999994</v>
      </c>
      <c r="DT119">
        <f t="shared" si="430"/>
        <v>90</v>
      </c>
      <c r="DU119">
        <f t="shared" si="431"/>
        <v>141.74999999999994</v>
      </c>
      <c r="DW119" s="5">
        <f t="shared" si="394"/>
        <v>7.0546737213403912</v>
      </c>
      <c r="DX119" s="5">
        <f t="shared" si="395"/>
        <v>1.6000000000000003</v>
      </c>
      <c r="DY119" s="5">
        <f t="shared" si="396"/>
        <v>5.4546737213403906</v>
      </c>
      <c r="DZ119" s="5"/>
      <c r="EA119" s="173">
        <f t="shared" si="397"/>
        <v>0.22679999999999995</v>
      </c>
      <c r="EB119" s="173">
        <f t="shared" si="398"/>
        <v>1.5119999999999996</v>
      </c>
      <c r="EC119" s="173">
        <f t="shared" si="399"/>
        <v>0.51546666666666685</v>
      </c>
      <c r="ED119" s="173">
        <f t="shared" si="400"/>
        <v>2.9332643559234333</v>
      </c>
      <c r="EE119" s="460">
        <f t="shared" si="401"/>
        <v>0.8780487804878051</v>
      </c>
      <c r="EF119" s="5">
        <f t="shared" si="402"/>
        <v>0.67092486772486781</v>
      </c>
      <c r="EH119" s="173">
        <f t="shared" si="403"/>
        <v>0.36660605559646725</v>
      </c>
      <c r="EI119" s="173">
        <f t="shared" si="404"/>
        <v>0.67689924847985528</v>
      </c>
      <c r="EK119" s="528">
        <f t="shared" si="405"/>
        <v>2.6880000000000012E-3</v>
      </c>
      <c r="EL119" s="528">
        <f t="shared" si="406"/>
        <v>0.10130399999999996</v>
      </c>
      <c r="EM119" s="528">
        <f t="shared" si="407"/>
        <v>1.7718749999999995E-2</v>
      </c>
      <c r="EN119" s="528">
        <f t="shared" si="408"/>
        <v>1.0181051999999994E-2</v>
      </c>
      <c r="EO119">
        <f t="shared" si="409"/>
        <v>4.4999999999999997E-3</v>
      </c>
      <c r="EP119" s="460">
        <f t="shared" si="410"/>
        <v>22.218749999999996</v>
      </c>
      <c r="EQ119" s="460"/>
      <c r="ER119" s="460">
        <f t="shared" si="432"/>
        <v>136.39180199999996</v>
      </c>
      <c r="ES119" s="528">
        <f t="shared" si="411"/>
        <v>6.3E-2</v>
      </c>
      <c r="EV119" s="460">
        <f t="shared" si="412"/>
        <v>63</v>
      </c>
      <c r="EW119" s="528">
        <f t="shared" si="413"/>
        <v>4.0320000000000009E-3</v>
      </c>
      <c r="EX119" s="528">
        <f t="shared" si="414"/>
        <v>1.3745777777777786E-2</v>
      </c>
      <c r="EY119" s="528">
        <f t="shared" si="415"/>
        <v>2.4554127959927601E-2</v>
      </c>
      <c r="EZ119" s="528"/>
      <c r="FA119" s="528">
        <f t="shared" si="416"/>
        <v>1.2599999999999996E-3</v>
      </c>
      <c r="FB119" s="460">
        <f t="shared" si="417"/>
        <v>43.591905737705382</v>
      </c>
      <c r="FC119" s="173">
        <f t="shared" si="418"/>
        <v>0.24298370773770533</v>
      </c>
      <c r="FD119" s="5">
        <f t="shared" si="419"/>
        <v>1.4759999999999998</v>
      </c>
      <c r="FE119" s="173">
        <f t="shared" si="420"/>
        <v>0.85864688150099588</v>
      </c>
      <c r="FF119" s="5">
        <f t="shared" si="421"/>
        <v>85.864688150099582</v>
      </c>
      <c r="FI119" s="562">
        <f t="shared" si="422"/>
        <v>-50</v>
      </c>
      <c r="FJ119">
        <f t="shared" si="423"/>
        <v>-50</v>
      </c>
      <c r="FL119">
        <f t="shared" si="424"/>
        <v>0.13499999999999998</v>
      </c>
    </row>
    <row r="120" spans="5:168">
      <c r="E120" s="170">
        <v>10</v>
      </c>
      <c r="F120" s="217">
        <f t="shared" si="425"/>
        <v>0.1</v>
      </c>
      <c r="G120" s="217"/>
      <c r="H120" s="217">
        <f t="shared" si="315"/>
        <v>1.64</v>
      </c>
      <c r="I120" s="541">
        <f t="shared" si="316"/>
        <v>9.9670658826646878</v>
      </c>
      <c r="J120" s="172">
        <f t="shared" si="317"/>
        <v>16.819760470401185</v>
      </c>
      <c r="K120" s="172">
        <f t="shared" si="318"/>
        <v>26.786826353065873</v>
      </c>
      <c r="L120" s="443"/>
      <c r="M120" s="217">
        <f t="shared" si="319"/>
        <v>0.62791498231559217</v>
      </c>
      <c r="N120" s="172">
        <f t="shared" si="426"/>
        <v>20.939797533140613</v>
      </c>
      <c r="O120" s="172">
        <f t="shared" si="284"/>
        <v>1.64</v>
      </c>
      <c r="P120" s="217">
        <f t="shared" si="320"/>
        <v>1.2768169227524766</v>
      </c>
      <c r="Q120" s="217">
        <f t="shared" si="321"/>
        <v>16.399999999999999</v>
      </c>
      <c r="R120" s="217"/>
      <c r="S120" s="172">
        <f t="shared" si="322"/>
        <v>322.2808188643823</v>
      </c>
      <c r="T120" s="172">
        <f t="shared" si="323"/>
        <v>16.399999999999999</v>
      </c>
      <c r="U120" s="217">
        <f t="shared" si="324"/>
        <v>0.53751156454688109</v>
      </c>
      <c r="V120" s="217">
        <f t="shared" si="325"/>
        <v>0.647145193028275</v>
      </c>
      <c r="W120" s="217">
        <f t="shared" si="326"/>
        <v>0.38348576877258733</v>
      </c>
      <c r="X120" s="197">
        <f t="shared" si="327"/>
        <v>350</v>
      </c>
      <c r="Y120" s="443">
        <f t="shared" si="328"/>
        <v>350</v>
      </c>
      <c r="AA120" s="217">
        <f t="shared" si="329"/>
        <v>1.4901040083186818</v>
      </c>
      <c r="AB120" s="173">
        <f t="shared" si="330"/>
        <v>1.0631095568388722</v>
      </c>
      <c r="AC120" s="173">
        <f t="shared" si="331"/>
        <v>0.27722516708731271</v>
      </c>
      <c r="AD120" s="173"/>
      <c r="AE120" s="173">
        <f t="shared" si="332"/>
        <v>0.95126206036977945</v>
      </c>
      <c r="AF120" s="545">
        <f t="shared" si="333"/>
        <v>157.68525441001108</v>
      </c>
      <c r="AG120" s="528">
        <f t="shared" si="334"/>
        <v>0.22196114741961523</v>
      </c>
      <c r="AI120" s="173">
        <f t="shared" si="335"/>
        <v>0.89495305730580577</v>
      </c>
      <c r="AJ120" s="173">
        <f t="shared" si="336"/>
        <v>1.3333333333333335</v>
      </c>
      <c r="AK120" s="173">
        <f t="shared" si="337"/>
        <v>1.0901058596628634</v>
      </c>
      <c r="AM120" s="545">
        <f t="shared" si="338"/>
        <v>100</v>
      </c>
      <c r="AN120" s="460">
        <f t="shared" si="339"/>
        <v>157.68525441001108</v>
      </c>
      <c r="AP120" s="460">
        <f t="shared" si="340"/>
        <v>100</v>
      </c>
      <c r="AQ120" s="460">
        <f t="shared" si="341"/>
        <v>157.68525441001108</v>
      </c>
      <c r="AS120" s="5">
        <f t="shared" si="285"/>
        <v>6.3417470691318636</v>
      </c>
      <c r="AT120" s="5">
        <f t="shared" si="342"/>
        <v>1.6052868706153685</v>
      </c>
      <c r="AU120" s="5">
        <f t="shared" si="343"/>
        <v>4.7364601985164949</v>
      </c>
      <c r="AV120" s="5"/>
      <c r="AW120" s="173">
        <f t="shared" si="344"/>
        <v>0.25313006859403492</v>
      </c>
      <c r="AX120" s="173">
        <f t="shared" si="214"/>
        <v>1.6819760470401186</v>
      </c>
      <c r="AY120" s="173">
        <f t="shared" si="215"/>
        <v>0.49791328760397674</v>
      </c>
      <c r="AZ120" s="173">
        <f t="shared" si="288"/>
        <v>3.3780501322509493</v>
      </c>
      <c r="BA120" s="460">
        <f t="shared" si="433"/>
        <v>0.97883345769229801</v>
      </c>
      <c r="BB120" s="5">
        <f t="shared" si="434"/>
        <v>0.64945515034312984</v>
      </c>
      <c r="BD120" s="173">
        <f t="shared" si="289"/>
        <v>0.38730221224681893</v>
      </c>
      <c r="BE120" s="173">
        <f t="shared" si="218"/>
        <v>0.66527407057641497</v>
      </c>
      <c r="BG120" s="528">
        <f t="shared" si="347"/>
        <v>3.0000600722255998E-3</v>
      </c>
      <c r="BH120" s="528">
        <f t="shared" si="348"/>
        <v>0.10559718820799956</v>
      </c>
      <c r="BI120" s="528">
        <f t="shared" si="349"/>
        <v>3.9291482985733074E-2</v>
      </c>
      <c r="BJ120" s="528">
        <f t="shared" si="350"/>
        <v>1.1314454175598796E-2</v>
      </c>
      <c r="BK120">
        <f t="shared" si="351"/>
        <v>4.4851796471991091E-3</v>
      </c>
      <c r="BL120" s="460">
        <f t="shared" si="427"/>
        <v>43.776662632932187</v>
      </c>
      <c r="BM120" s="528">
        <f t="shared" si="352"/>
        <v>0.12080783222244265</v>
      </c>
      <c r="BN120" s="460">
        <f t="shared" si="353"/>
        <v>120.80783222244266</v>
      </c>
      <c r="BO120" s="528">
        <f t="shared" si="354"/>
        <v>6.9999999999999993E-2</v>
      </c>
      <c r="BR120" s="460">
        <f t="shared" si="355"/>
        <v>69.999999999999986</v>
      </c>
      <c r="BS120" s="528">
        <f t="shared" si="356"/>
        <v>4.5000901083383999E-3</v>
      </c>
      <c r="BT120" s="528">
        <f t="shared" si="357"/>
        <v>1.3277687669439384E-2</v>
      </c>
      <c r="BU120" s="528">
        <f t="shared" si="358"/>
        <v>3.2047529331056437E-2</v>
      </c>
      <c r="BV120" s="528"/>
      <c r="BW120" s="528">
        <f t="shared" si="359"/>
        <v>1.4016467058667653E-3</v>
      </c>
      <c r="BX120" s="460">
        <f t="shared" si="360"/>
        <v>51.226953814700984</v>
      </c>
      <c r="BY120" s="173">
        <f t="shared" si="361"/>
        <v>0.28491531890345712</v>
      </c>
      <c r="BZ120" s="5">
        <f t="shared" si="362"/>
        <v>1.64</v>
      </c>
      <c r="CA120" s="173">
        <f t="shared" si="363"/>
        <v>0.85198553094493468</v>
      </c>
      <c r="CB120" s="5">
        <f t="shared" si="364"/>
        <v>85.198553094493462</v>
      </c>
      <c r="CE120" s="562">
        <f t="shared" si="365"/>
        <v>-50</v>
      </c>
      <c r="CF120">
        <f t="shared" si="366"/>
        <v>-50</v>
      </c>
      <c r="CG120" s="173">
        <f t="shared" si="367"/>
        <v>0.15181824820424214</v>
      </c>
      <c r="CI120" s="170">
        <v>10</v>
      </c>
      <c r="CJ120" s="217">
        <f t="shared" si="428"/>
        <v>0.1</v>
      </c>
      <c r="CK120" s="217"/>
      <c r="CL120" s="217">
        <f t="shared" si="368"/>
        <v>1.64</v>
      </c>
      <c r="CM120" s="541">
        <f t="shared" si="369"/>
        <v>10</v>
      </c>
      <c r="CN120" s="443">
        <f t="shared" si="370"/>
        <v>16.799999999999997</v>
      </c>
      <c r="CO120" s="443">
        <f t="shared" si="371"/>
        <v>26.799999999999997</v>
      </c>
      <c r="CP120" s="443"/>
      <c r="CQ120" s="217">
        <f t="shared" si="372"/>
        <v>0.62686567164179097</v>
      </c>
      <c r="CR120" s="172">
        <f t="shared" si="429"/>
        <v>20.973880597014926</v>
      </c>
      <c r="CS120" s="172">
        <f t="shared" si="373"/>
        <v>1.64</v>
      </c>
      <c r="CT120" s="217">
        <f t="shared" si="374"/>
        <v>1.2788951583545687</v>
      </c>
      <c r="CU120" s="217">
        <f t="shared" si="375"/>
        <v>16.399999999999999</v>
      </c>
      <c r="CV120" s="217"/>
      <c r="CW120" s="172">
        <f t="shared" si="376"/>
        <v>323.34568871022168</v>
      </c>
      <c r="CX120" s="172">
        <f t="shared" si="377"/>
        <v>16.399999999999999</v>
      </c>
      <c r="CY120" s="217">
        <f t="shared" si="378"/>
        <v>0.52323809523809528</v>
      </c>
      <c r="CZ120" s="217">
        <f t="shared" si="379"/>
        <v>0.62788571428571438</v>
      </c>
      <c r="DA120" s="217">
        <f t="shared" si="380"/>
        <v>0.37374149659863959</v>
      </c>
      <c r="DB120" s="197">
        <f t="shared" si="381"/>
        <v>350</v>
      </c>
      <c r="DC120" s="443">
        <f t="shared" si="382"/>
        <v>350</v>
      </c>
      <c r="DE120" s="217">
        <f t="shared" si="383"/>
        <v>1.4925373134328355</v>
      </c>
      <c r="DF120" s="173">
        <f t="shared" si="384"/>
        <v>1.0660980810234544</v>
      </c>
      <c r="DG120" s="173">
        <f t="shared" si="385"/>
        <v>0.27845845399866342</v>
      </c>
      <c r="DH120" s="173"/>
      <c r="DI120" s="173">
        <f t="shared" si="386"/>
        <v>0.95238095238095266</v>
      </c>
      <c r="DJ120" s="545">
        <f t="shared" si="387"/>
        <v>157.49999999999994</v>
      </c>
      <c r="DK120" s="528">
        <f t="shared" si="388"/>
        <v>0.22222222222222232</v>
      </c>
      <c r="DM120" s="173">
        <f t="shared" si="389"/>
        <v>0.89442719099991574</v>
      </c>
      <c r="DN120" s="173">
        <f t="shared" si="390"/>
        <v>1.3333333333333335</v>
      </c>
      <c r="DO120" s="173">
        <f t="shared" si="391"/>
        <v>1.0899999999999999</v>
      </c>
      <c r="DQ120" s="545">
        <f t="shared" si="392"/>
        <v>100</v>
      </c>
      <c r="DR120" s="460">
        <f t="shared" si="393"/>
        <v>157.49999999999994</v>
      </c>
      <c r="DT120">
        <f t="shared" si="430"/>
        <v>100</v>
      </c>
      <c r="DU120">
        <f t="shared" si="431"/>
        <v>157.49999999999994</v>
      </c>
      <c r="DW120" s="5">
        <f t="shared" si="394"/>
        <v>6.3492063492063515</v>
      </c>
      <c r="DX120" s="5">
        <f t="shared" si="395"/>
        <v>1.6000000000000003</v>
      </c>
      <c r="DY120" s="5">
        <f t="shared" si="396"/>
        <v>4.749206349206351</v>
      </c>
      <c r="DZ120" s="5"/>
      <c r="EA120" s="173">
        <f t="shared" si="397"/>
        <v>0.25199999999999995</v>
      </c>
      <c r="EB120" s="173">
        <f t="shared" si="398"/>
        <v>1.68</v>
      </c>
      <c r="EC120" s="173">
        <f t="shared" si="399"/>
        <v>0.4986666666666667</v>
      </c>
      <c r="ED120" s="173">
        <f t="shared" si="400"/>
        <v>3.368983957219251</v>
      </c>
      <c r="EE120" s="460">
        <f t="shared" si="401"/>
        <v>0.97560975609756129</v>
      </c>
      <c r="EF120" s="5">
        <f t="shared" si="402"/>
        <v>0.64905820105820111</v>
      </c>
      <c r="EH120" s="173">
        <f t="shared" si="403"/>
        <v>0.3864367132317183</v>
      </c>
      <c r="EI120" s="173">
        <f t="shared" si="404"/>
        <v>0.66577718439374245</v>
      </c>
      <c r="EK120" s="528">
        <f t="shared" si="405"/>
        <v>2.9866666666666657E-3</v>
      </c>
      <c r="EL120" s="528">
        <f t="shared" si="406"/>
        <v>0.11255999999999997</v>
      </c>
      <c r="EM120" s="528">
        <f t="shared" si="407"/>
        <v>1.968749999999999E-2</v>
      </c>
      <c r="EN120" s="528">
        <f t="shared" si="408"/>
        <v>1.1312279999999996E-2</v>
      </c>
      <c r="EO120">
        <f t="shared" si="409"/>
        <v>4.4999999999999997E-3</v>
      </c>
      <c r="EP120" s="460">
        <f t="shared" si="410"/>
        <v>24.187499999999989</v>
      </c>
      <c r="EQ120" s="460"/>
      <c r="ER120" s="460">
        <f t="shared" si="432"/>
        <v>151.04644666666664</v>
      </c>
      <c r="ES120" s="528">
        <f t="shared" si="411"/>
        <v>6.9999999999999993E-2</v>
      </c>
      <c r="EV120" s="460">
        <f t="shared" si="412"/>
        <v>69.999999999999986</v>
      </c>
      <c r="EW120" s="528">
        <f t="shared" si="413"/>
        <v>4.4799999999999987E-3</v>
      </c>
      <c r="EX120" s="528">
        <f t="shared" si="414"/>
        <v>1.329777777777778E-2</v>
      </c>
      <c r="EY120" s="528">
        <f t="shared" si="415"/>
        <v>3.1953485725347681E-2</v>
      </c>
      <c r="EZ120" s="528"/>
      <c r="FA120" s="528">
        <f t="shared" si="416"/>
        <v>1.3999999999999998E-3</v>
      </c>
      <c r="FB120" s="460">
        <f t="shared" si="417"/>
        <v>51.131263503125453</v>
      </c>
      <c r="FC120" s="173">
        <f t="shared" si="418"/>
        <v>0.27217771016979209</v>
      </c>
      <c r="FD120" s="5">
        <f t="shared" si="419"/>
        <v>1.64</v>
      </c>
      <c r="FE120" s="173">
        <f t="shared" si="420"/>
        <v>0.85766087078505682</v>
      </c>
      <c r="FF120" s="5">
        <f t="shared" si="421"/>
        <v>85.766087078505677</v>
      </c>
      <c r="FI120" s="562">
        <f t="shared" si="422"/>
        <v>-50</v>
      </c>
      <c r="FJ120">
        <f t="shared" si="423"/>
        <v>-50</v>
      </c>
      <c r="FL120">
        <f t="shared" si="424"/>
        <v>0.15</v>
      </c>
    </row>
    <row r="121" spans="5:168">
      <c r="E121" s="170">
        <v>11</v>
      </c>
      <c r="F121" s="217">
        <f t="shared" si="425"/>
        <v>0.11</v>
      </c>
      <c r="G121" s="217"/>
      <c r="H121" s="217">
        <f t="shared" si="315"/>
        <v>1.8039999999999998</v>
      </c>
      <c r="I121" s="541">
        <f t="shared" si="316"/>
        <v>9.9670658826646878</v>
      </c>
      <c r="J121" s="172">
        <f t="shared" si="317"/>
        <v>16.819760470401185</v>
      </c>
      <c r="K121" s="172">
        <f t="shared" si="318"/>
        <v>26.786826353065873</v>
      </c>
      <c r="L121" s="443"/>
      <c r="M121" s="217">
        <f t="shared" si="319"/>
        <v>0.62791498231559217</v>
      </c>
      <c r="N121" s="172">
        <f t="shared" si="426"/>
        <v>20.939797533140613</v>
      </c>
      <c r="O121" s="172">
        <f t="shared" si="284"/>
        <v>1.8039999999999998</v>
      </c>
      <c r="P121" s="217">
        <f t="shared" si="320"/>
        <v>1.2768169227524766</v>
      </c>
      <c r="Q121" s="217">
        <f t="shared" si="321"/>
        <v>16.399999999999999</v>
      </c>
      <c r="R121" s="217"/>
      <c r="S121" s="172">
        <f t="shared" si="322"/>
        <v>292.07886475253912</v>
      </c>
      <c r="T121" s="172">
        <f t="shared" si="323"/>
        <v>16.399999999999999</v>
      </c>
      <c r="U121" s="217">
        <f t="shared" si="324"/>
        <v>0.59126272100156918</v>
      </c>
      <c r="V121" s="217">
        <f t="shared" si="325"/>
        <v>0.71185971233110246</v>
      </c>
      <c r="W121" s="217">
        <f t="shared" si="326"/>
        <v>0.42183434564984607</v>
      </c>
      <c r="X121" s="197">
        <f t="shared" si="327"/>
        <v>350</v>
      </c>
      <c r="Y121" s="443">
        <f t="shared" si="328"/>
        <v>350</v>
      </c>
      <c r="AA121" s="217">
        <f t="shared" si="329"/>
        <v>1.4901040083186818</v>
      </c>
      <c r="AB121" s="173">
        <f t="shared" si="330"/>
        <v>1.0631095568388722</v>
      </c>
      <c r="AC121" s="173">
        <f t="shared" si="331"/>
        <v>0.27722516708731271</v>
      </c>
      <c r="AD121" s="173"/>
      <c r="AE121" s="173">
        <f t="shared" si="332"/>
        <v>0.95126206036977945</v>
      </c>
      <c r="AF121" s="545">
        <f t="shared" si="333"/>
        <v>173.4537798510122</v>
      </c>
      <c r="AG121" s="528">
        <f t="shared" si="334"/>
        <v>0.22196114741961523</v>
      </c>
      <c r="AI121" s="173">
        <f t="shared" si="335"/>
        <v>0.93863468519925786</v>
      </c>
      <c r="AJ121" s="173">
        <f t="shared" si="336"/>
        <v>1.3333333333333335</v>
      </c>
      <c r="AK121" s="173">
        <f t="shared" si="337"/>
        <v>1.0991164456291498</v>
      </c>
      <c r="AM121" s="545">
        <f t="shared" si="338"/>
        <v>110</v>
      </c>
      <c r="AN121" s="460">
        <f t="shared" si="339"/>
        <v>173.4537798510122</v>
      </c>
      <c r="AP121" s="460">
        <f t="shared" si="340"/>
        <v>110</v>
      </c>
      <c r="AQ121" s="460">
        <f t="shared" si="341"/>
        <v>173.4537798510122</v>
      </c>
      <c r="AS121" s="5">
        <f t="shared" si="285"/>
        <v>5.7652246083016943</v>
      </c>
      <c r="AT121" s="5">
        <f t="shared" si="342"/>
        <v>1.6052868706153685</v>
      </c>
      <c r="AU121" s="5">
        <f t="shared" si="343"/>
        <v>4.1599377376863256</v>
      </c>
      <c r="AV121" s="5"/>
      <c r="AW121" s="173">
        <f t="shared" si="344"/>
        <v>0.27844307545343838</v>
      </c>
      <c r="AX121" s="173">
        <f t="shared" si="214"/>
        <v>1.8501736517441305</v>
      </c>
      <c r="AY121" s="173">
        <f t="shared" si="215"/>
        <v>0.4810379496977078</v>
      </c>
      <c r="AZ121" s="173">
        <f t="shared" si="288"/>
        <v>3.846211412024374</v>
      </c>
      <c r="BA121" s="460">
        <f t="shared" si="433"/>
        <v>1.0767168034615278</v>
      </c>
      <c r="BB121" s="5">
        <f t="shared" si="434"/>
        <v>0.62744373713151036</v>
      </c>
      <c r="BD121" s="173">
        <f t="shared" si="289"/>
        <v>0.40620598712033773</v>
      </c>
      <c r="BE121" s="173">
        <f t="shared" si="218"/>
        <v>0.65390311868057693</v>
      </c>
      <c r="BG121" s="528">
        <f t="shared" si="347"/>
        <v>3.3000660794481598E-3</v>
      </c>
      <c r="BH121" s="528">
        <f t="shared" si="348"/>
        <v>0.11615690702879952</v>
      </c>
      <c r="BI121" s="528">
        <f t="shared" si="349"/>
        <v>4.3220631284306386E-2</v>
      </c>
      <c r="BJ121" s="528">
        <f t="shared" si="350"/>
        <v>1.2445899593158675E-2</v>
      </c>
      <c r="BK121">
        <f t="shared" si="351"/>
        <v>4.4851796471991091E-3</v>
      </c>
      <c r="BL121" s="460">
        <f t="shared" si="427"/>
        <v>47.705810931505496</v>
      </c>
      <c r="BM121" s="528">
        <f t="shared" si="352"/>
        <v>0.13289809536803701</v>
      </c>
      <c r="BN121" s="460">
        <f t="shared" si="353"/>
        <v>132.89809536803702</v>
      </c>
      <c r="BO121" s="528">
        <f t="shared" si="354"/>
        <v>7.6999999999999999E-2</v>
      </c>
      <c r="BR121" s="460">
        <f t="shared" si="355"/>
        <v>77</v>
      </c>
      <c r="BS121" s="528">
        <f t="shared" si="356"/>
        <v>4.9500991191722393E-3</v>
      </c>
      <c r="BT121" s="528">
        <f t="shared" si="357"/>
        <v>1.282767865860554E-2</v>
      </c>
      <c r="BU121" s="528">
        <f t="shared" si="358"/>
        <v>4.0670196112529394E-2</v>
      </c>
      <c r="BV121" s="528"/>
      <c r="BW121" s="528">
        <f t="shared" si="359"/>
        <v>1.5418113764534419E-3</v>
      </c>
      <c r="BX121" s="460">
        <f t="shared" si="360"/>
        <v>59.98978526676062</v>
      </c>
      <c r="BY121" s="173">
        <f t="shared" si="361"/>
        <v>0.31659846889967241</v>
      </c>
      <c r="BZ121" s="5">
        <f t="shared" si="362"/>
        <v>1.8039999999999998</v>
      </c>
      <c r="CA121" s="173">
        <f t="shared" si="363"/>
        <v>0.85070324554938126</v>
      </c>
      <c r="CB121" s="5">
        <f t="shared" si="364"/>
        <v>85.070324554938125</v>
      </c>
      <c r="CE121" s="562">
        <f t="shared" si="365"/>
        <v>-50</v>
      </c>
      <c r="CF121">
        <f t="shared" si="366"/>
        <v>-50</v>
      </c>
      <c r="CG121" s="173">
        <f t="shared" si="367"/>
        <v>0.16700007302466635</v>
      </c>
      <c r="CI121" s="170">
        <v>11</v>
      </c>
      <c r="CJ121" s="217">
        <f t="shared" si="428"/>
        <v>0.11</v>
      </c>
      <c r="CK121" s="217"/>
      <c r="CL121" s="217">
        <f t="shared" si="368"/>
        <v>1.8039999999999998</v>
      </c>
      <c r="CM121" s="541">
        <f t="shared" si="369"/>
        <v>10</v>
      </c>
      <c r="CN121" s="443">
        <f t="shared" si="370"/>
        <v>16.799999999999997</v>
      </c>
      <c r="CO121" s="443">
        <f t="shared" si="371"/>
        <v>26.799999999999997</v>
      </c>
      <c r="CP121" s="443"/>
      <c r="CQ121" s="217">
        <f t="shared" si="372"/>
        <v>0.62686567164179097</v>
      </c>
      <c r="CR121" s="172">
        <f t="shared" si="429"/>
        <v>20.973880597014926</v>
      </c>
      <c r="CS121" s="172">
        <f t="shared" si="373"/>
        <v>1.8039999999999998</v>
      </c>
      <c r="CT121" s="217">
        <f t="shared" si="374"/>
        <v>1.2788951583545687</v>
      </c>
      <c r="CU121" s="217">
        <f t="shared" si="375"/>
        <v>16.399999999999999</v>
      </c>
      <c r="CV121" s="217"/>
      <c r="CW121" s="172">
        <f t="shared" si="376"/>
        <v>293.0439342543055</v>
      </c>
      <c r="CX121" s="172">
        <f t="shared" si="377"/>
        <v>16.399999999999999</v>
      </c>
      <c r="CY121" s="217">
        <f t="shared" si="378"/>
        <v>0.57556190476190472</v>
      </c>
      <c r="CZ121" s="217">
        <f t="shared" si="379"/>
        <v>0.69067428571428569</v>
      </c>
      <c r="DA121" s="217">
        <f t="shared" si="380"/>
        <v>0.41111564625850344</v>
      </c>
      <c r="DB121" s="197">
        <f t="shared" si="381"/>
        <v>350</v>
      </c>
      <c r="DC121" s="443">
        <f t="shared" si="382"/>
        <v>350</v>
      </c>
      <c r="DE121" s="217">
        <f t="shared" si="383"/>
        <v>1.4925373134328355</v>
      </c>
      <c r="DF121" s="173">
        <f t="shared" si="384"/>
        <v>1.0660980810234544</v>
      </c>
      <c r="DG121" s="173">
        <f t="shared" si="385"/>
        <v>0.27845845399866342</v>
      </c>
      <c r="DH121" s="173"/>
      <c r="DI121" s="173">
        <f t="shared" si="386"/>
        <v>0.95238095238095266</v>
      </c>
      <c r="DJ121" s="545">
        <f t="shared" si="387"/>
        <v>173.24999999999994</v>
      </c>
      <c r="DK121" s="528">
        <f t="shared" si="388"/>
        <v>0.22222222222222232</v>
      </c>
      <c r="DM121" s="173">
        <f t="shared" si="389"/>
        <v>0.93808315196468584</v>
      </c>
      <c r="DN121" s="173">
        <f t="shared" si="390"/>
        <v>1.3333333333333335</v>
      </c>
      <c r="DO121" s="173">
        <f t="shared" si="391"/>
        <v>1.099</v>
      </c>
      <c r="DQ121" s="545">
        <f t="shared" si="392"/>
        <v>110</v>
      </c>
      <c r="DR121" s="460">
        <f t="shared" si="393"/>
        <v>173.24999999999994</v>
      </c>
      <c r="DT121">
        <f t="shared" si="430"/>
        <v>110</v>
      </c>
      <c r="DU121">
        <f t="shared" si="431"/>
        <v>173.24999999999994</v>
      </c>
      <c r="DW121" s="5">
        <f t="shared" si="394"/>
        <v>5.772005772005774</v>
      </c>
      <c r="DX121" s="5">
        <f t="shared" si="395"/>
        <v>1.6000000000000003</v>
      </c>
      <c r="DY121" s="5">
        <f t="shared" si="396"/>
        <v>4.1720057720057735</v>
      </c>
      <c r="DZ121" s="5"/>
      <c r="EA121" s="173">
        <f t="shared" si="397"/>
        <v>0.27719999999999995</v>
      </c>
      <c r="EB121" s="173">
        <f t="shared" si="398"/>
        <v>1.8479999999999999</v>
      </c>
      <c r="EC121" s="173">
        <f t="shared" si="399"/>
        <v>0.48186666666666678</v>
      </c>
      <c r="ED121" s="173">
        <f t="shared" si="400"/>
        <v>3.8350857775318197</v>
      </c>
      <c r="EE121" s="460">
        <f t="shared" si="401"/>
        <v>1.0731707317073176</v>
      </c>
      <c r="EF121" s="5">
        <f t="shared" si="402"/>
        <v>0.62719153439153441</v>
      </c>
      <c r="EH121" s="173">
        <f t="shared" si="403"/>
        <v>0.4052982440952177</v>
      </c>
      <c r="EI121" s="173">
        <f t="shared" si="404"/>
        <v>0.65446613810488785</v>
      </c>
      <c r="EK121" s="528">
        <f t="shared" si="405"/>
        <v>3.2853333333333337E-3</v>
      </c>
      <c r="EL121" s="528">
        <f t="shared" si="406"/>
        <v>0.12381599999999997</v>
      </c>
      <c r="EM121" s="528">
        <f t="shared" si="407"/>
        <v>2.1656249999999991E-2</v>
      </c>
      <c r="EN121" s="528">
        <f t="shared" si="408"/>
        <v>1.2443507999999995E-2</v>
      </c>
      <c r="EO121">
        <f t="shared" si="409"/>
        <v>4.4999999999999997E-3</v>
      </c>
      <c r="EP121" s="460">
        <f t="shared" si="410"/>
        <v>26.156249999999993</v>
      </c>
      <c r="EQ121" s="460"/>
      <c r="ER121" s="460">
        <f t="shared" si="432"/>
        <v>165.70109133333327</v>
      </c>
      <c r="ES121" s="528">
        <f t="shared" si="411"/>
        <v>7.6999999999999999E-2</v>
      </c>
      <c r="EV121" s="460">
        <f t="shared" si="412"/>
        <v>77</v>
      </c>
      <c r="EW121" s="528">
        <f t="shared" si="413"/>
        <v>4.9280000000000001E-3</v>
      </c>
      <c r="EX121" s="528">
        <f t="shared" si="414"/>
        <v>1.2849777777777785E-2</v>
      </c>
      <c r="EY121" s="528">
        <f t="shared" si="415"/>
        <v>4.0550849255934177E-2</v>
      </c>
      <c r="EZ121" s="528"/>
      <c r="FA121" s="528">
        <f t="shared" si="416"/>
        <v>1.5399999999999997E-3</v>
      </c>
      <c r="FB121" s="460">
        <f t="shared" si="417"/>
        <v>59.868627033711959</v>
      </c>
      <c r="FC121" s="173">
        <f t="shared" si="418"/>
        <v>0.30256971836704522</v>
      </c>
      <c r="FD121" s="5">
        <f t="shared" si="419"/>
        <v>1.8039999999999998</v>
      </c>
      <c r="FE121" s="173">
        <f t="shared" si="420"/>
        <v>0.85636852380011008</v>
      </c>
      <c r="FF121" s="5">
        <f t="shared" si="421"/>
        <v>85.636852380011007</v>
      </c>
      <c r="FI121" s="562">
        <f t="shared" si="422"/>
        <v>-50</v>
      </c>
      <c r="FJ121">
        <f t="shared" si="423"/>
        <v>-50</v>
      </c>
      <c r="FL121">
        <f t="shared" si="424"/>
        <v>0.16499999999999998</v>
      </c>
    </row>
    <row r="122" spans="5:168">
      <c r="E122" s="170">
        <v>12</v>
      </c>
      <c r="F122" s="217">
        <f t="shared" si="425"/>
        <v>0.12</v>
      </c>
      <c r="G122" s="217"/>
      <c r="H122" s="217">
        <f t="shared" si="315"/>
        <v>1.9679999999999997</v>
      </c>
      <c r="I122" s="541">
        <f t="shared" si="316"/>
        <v>9.9670658826646878</v>
      </c>
      <c r="J122" s="172">
        <f t="shared" si="317"/>
        <v>16.819760470401185</v>
      </c>
      <c r="K122" s="172">
        <f t="shared" si="318"/>
        <v>26.786826353065873</v>
      </c>
      <c r="L122" s="443"/>
      <c r="M122" s="217">
        <f t="shared" si="319"/>
        <v>0.62791498231559217</v>
      </c>
      <c r="N122" s="172">
        <f t="shared" si="426"/>
        <v>20.939797533140613</v>
      </c>
      <c r="O122" s="172">
        <f t="shared" si="284"/>
        <v>1.9679999999999997</v>
      </c>
      <c r="P122" s="217">
        <f t="shared" si="320"/>
        <v>1.2768169227524766</v>
      </c>
      <c r="Q122" s="217">
        <f t="shared" si="321"/>
        <v>16.399999999999999</v>
      </c>
      <c r="R122" s="217"/>
      <c r="S122" s="172">
        <f t="shared" si="322"/>
        <v>266.91078987570415</v>
      </c>
      <c r="T122" s="172">
        <f t="shared" si="323"/>
        <v>16.399999999999999</v>
      </c>
      <c r="U122" s="217">
        <f t="shared" si="324"/>
        <v>0.64501387745625727</v>
      </c>
      <c r="V122" s="217">
        <f t="shared" si="325"/>
        <v>0.7765742316339298</v>
      </c>
      <c r="W122" s="217">
        <f t="shared" si="326"/>
        <v>0.46018292252710474</v>
      </c>
      <c r="X122" s="197">
        <f t="shared" si="327"/>
        <v>350</v>
      </c>
      <c r="Y122" s="443">
        <f t="shared" si="328"/>
        <v>350</v>
      </c>
      <c r="AA122" s="217">
        <f t="shared" si="329"/>
        <v>1.4901040083186818</v>
      </c>
      <c r="AB122" s="173">
        <f t="shared" si="330"/>
        <v>1.0631095568388722</v>
      </c>
      <c r="AC122" s="173">
        <f t="shared" si="331"/>
        <v>0.27722516708731271</v>
      </c>
      <c r="AD122" s="173"/>
      <c r="AE122" s="173">
        <f t="shared" si="332"/>
        <v>0.95126206036977945</v>
      </c>
      <c r="AF122" s="545">
        <f t="shared" si="333"/>
        <v>189.22230529201329</v>
      </c>
      <c r="AG122" s="528">
        <f t="shared" si="334"/>
        <v>0.22196114741961523</v>
      </c>
      <c r="AI122" s="173">
        <f t="shared" si="335"/>
        <v>0.9803719547892068</v>
      </c>
      <c r="AJ122" s="173">
        <f t="shared" si="336"/>
        <v>1.3333333333333335</v>
      </c>
      <c r="AK122" s="173">
        <f t="shared" si="337"/>
        <v>1.1081270315954361</v>
      </c>
      <c r="AM122" s="545">
        <f t="shared" si="338"/>
        <v>120</v>
      </c>
      <c r="AN122" s="460">
        <f t="shared" si="339"/>
        <v>189.22230529201329</v>
      </c>
      <c r="AP122" s="460">
        <f t="shared" si="340"/>
        <v>120</v>
      </c>
      <c r="AQ122" s="460">
        <f t="shared" si="341"/>
        <v>189.22230529201329</v>
      </c>
      <c r="AS122" s="5">
        <f t="shared" si="285"/>
        <v>5.2847892242765528</v>
      </c>
      <c r="AT122" s="5">
        <f t="shared" si="342"/>
        <v>1.6052868706153685</v>
      </c>
      <c r="AU122" s="5">
        <f t="shared" si="343"/>
        <v>3.6795023536611842</v>
      </c>
      <c r="AV122" s="5"/>
      <c r="AW122" s="173">
        <f t="shared" si="344"/>
        <v>0.3037560823128419</v>
      </c>
      <c r="AX122" s="173">
        <f t="shared" si="214"/>
        <v>2.0183712564481424</v>
      </c>
      <c r="AY122" s="173">
        <f t="shared" si="215"/>
        <v>0.46416261179143881</v>
      </c>
      <c r="AZ122" s="173">
        <f t="shared" si="288"/>
        <v>4.3484141229260684</v>
      </c>
      <c r="BA122" s="460">
        <f t="shared" si="433"/>
        <v>1.1746001492307576</v>
      </c>
      <c r="BB122" s="5">
        <f t="shared" si="434"/>
        <v>0.60543232391989088</v>
      </c>
      <c r="BD122" s="173">
        <f t="shared" si="289"/>
        <v>0.42426831643847268</v>
      </c>
      <c r="BE122" s="173">
        <f t="shared" si="218"/>
        <v>0.6423309024630971</v>
      </c>
      <c r="BG122" s="528">
        <f t="shared" si="347"/>
        <v>3.6000720866707198E-3</v>
      </c>
      <c r="BH122" s="528">
        <f t="shared" si="348"/>
        <v>0.12671662584959947</v>
      </c>
      <c r="BI122" s="528">
        <f t="shared" si="349"/>
        <v>4.7149779582879685E-2</v>
      </c>
      <c r="BJ122" s="528">
        <f t="shared" si="350"/>
        <v>1.3577345010718554E-2</v>
      </c>
      <c r="BK122">
        <f t="shared" si="351"/>
        <v>4.4851796471991091E-3</v>
      </c>
      <c r="BL122" s="460">
        <f t="shared" si="427"/>
        <v>51.634959230078799</v>
      </c>
      <c r="BM122" s="528">
        <f t="shared" si="352"/>
        <v>0.14499008361166807</v>
      </c>
      <c r="BN122" s="460">
        <f t="shared" si="353"/>
        <v>144.99008361166807</v>
      </c>
      <c r="BO122" s="528">
        <f t="shared" si="354"/>
        <v>8.3999999999999991E-2</v>
      </c>
      <c r="BR122" s="460">
        <f t="shared" si="355"/>
        <v>83.999999999999986</v>
      </c>
      <c r="BS122" s="528">
        <f t="shared" si="356"/>
        <v>5.4001081300060795E-3</v>
      </c>
      <c r="BT122" s="528">
        <f t="shared" si="357"/>
        <v>1.2377669647771702E-2</v>
      </c>
      <c r="BU122" s="528">
        <f t="shared" si="358"/>
        <v>5.0553085613552838E-2</v>
      </c>
      <c r="BV122" s="528"/>
      <c r="BW122" s="528">
        <f t="shared" si="359"/>
        <v>1.6819760470401185E-3</v>
      </c>
      <c r="BX122" s="460">
        <f t="shared" si="360"/>
        <v>70.012839438370747</v>
      </c>
      <c r="BY122" s="173">
        <f t="shared" si="361"/>
        <v>0.34954184161543828</v>
      </c>
      <c r="BZ122" s="5">
        <f t="shared" si="362"/>
        <v>1.9679999999999997</v>
      </c>
      <c r="CA122" s="173">
        <f t="shared" si="363"/>
        <v>0.8491756069561226</v>
      </c>
      <c r="CB122" s="5">
        <f t="shared" si="364"/>
        <v>84.917560695612266</v>
      </c>
      <c r="CE122" s="562">
        <f t="shared" si="365"/>
        <v>-50</v>
      </c>
      <c r="CF122">
        <f t="shared" si="366"/>
        <v>-50</v>
      </c>
      <c r="CG122" s="173">
        <f t="shared" si="367"/>
        <v>0.18218189784509056</v>
      </c>
      <c r="CI122" s="170">
        <v>12</v>
      </c>
      <c r="CJ122" s="217">
        <f t="shared" si="428"/>
        <v>0.12</v>
      </c>
      <c r="CK122" s="217"/>
      <c r="CL122" s="217">
        <f t="shared" si="368"/>
        <v>1.9679999999999997</v>
      </c>
      <c r="CM122" s="541">
        <f t="shared" si="369"/>
        <v>10</v>
      </c>
      <c r="CN122" s="443">
        <f t="shared" si="370"/>
        <v>16.799999999999997</v>
      </c>
      <c r="CO122" s="443">
        <f t="shared" si="371"/>
        <v>26.799999999999997</v>
      </c>
      <c r="CP122" s="443"/>
      <c r="CQ122" s="217">
        <f t="shared" si="372"/>
        <v>0.62686567164179097</v>
      </c>
      <c r="CR122" s="172">
        <f t="shared" si="429"/>
        <v>20.973880597014926</v>
      </c>
      <c r="CS122" s="172">
        <f t="shared" si="373"/>
        <v>1.9679999999999997</v>
      </c>
      <c r="CT122" s="217">
        <f t="shared" si="374"/>
        <v>1.2788951583545687</v>
      </c>
      <c r="CU122" s="217">
        <f t="shared" si="375"/>
        <v>16.399999999999999</v>
      </c>
      <c r="CV122" s="217"/>
      <c r="CW122" s="172">
        <f t="shared" si="376"/>
        <v>267.79269242725536</v>
      </c>
      <c r="CX122" s="172">
        <f t="shared" si="377"/>
        <v>16.399999999999999</v>
      </c>
      <c r="CY122" s="217">
        <f t="shared" si="378"/>
        <v>0.62788571428571427</v>
      </c>
      <c r="CZ122" s="217">
        <f t="shared" si="379"/>
        <v>0.75346285714285721</v>
      </c>
      <c r="DA122" s="217">
        <f t="shared" si="380"/>
        <v>0.44848979591836741</v>
      </c>
      <c r="DB122" s="197">
        <f t="shared" si="381"/>
        <v>350</v>
      </c>
      <c r="DC122" s="443">
        <f t="shared" si="382"/>
        <v>350</v>
      </c>
      <c r="DE122" s="217">
        <f t="shared" si="383"/>
        <v>1.4925373134328355</v>
      </c>
      <c r="DF122" s="173">
        <f t="shared" si="384"/>
        <v>1.0660980810234544</v>
      </c>
      <c r="DG122" s="173">
        <f t="shared" si="385"/>
        <v>0.27845845399866342</v>
      </c>
      <c r="DH122" s="173"/>
      <c r="DI122" s="173">
        <f t="shared" si="386"/>
        <v>0.95238095238095266</v>
      </c>
      <c r="DJ122" s="545">
        <f t="shared" si="387"/>
        <v>188.99999999999991</v>
      </c>
      <c r="DK122" s="528">
        <f t="shared" si="388"/>
        <v>0.22222222222222232</v>
      </c>
      <c r="DM122" s="173">
        <f t="shared" si="389"/>
        <v>0.97979589711327109</v>
      </c>
      <c r="DN122" s="173">
        <f t="shared" si="390"/>
        <v>1.3333333333333335</v>
      </c>
      <c r="DO122" s="173">
        <f t="shared" si="391"/>
        <v>1.1079999999999999</v>
      </c>
      <c r="DQ122" s="545">
        <f t="shared" si="392"/>
        <v>120</v>
      </c>
      <c r="DR122" s="460">
        <f t="shared" si="393"/>
        <v>188.99999999999991</v>
      </c>
      <c r="DT122">
        <f t="shared" si="430"/>
        <v>120</v>
      </c>
      <c r="DU122">
        <f t="shared" si="431"/>
        <v>188.99999999999991</v>
      </c>
      <c r="DW122" s="5">
        <f t="shared" si="394"/>
        <v>5.2910052910052929</v>
      </c>
      <c r="DX122" s="5">
        <f t="shared" si="395"/>
        <v>1.6000000000000003</v>
      </c>
      <c r="DY122" s="5">
        <f t="shared" si="396"/>
        <v>3.6910052910052924</v>
      </c>
      <c r="DZ122" s="5"/>
      <c r="EA122" s="173">
        <f t="shared" si="397"/>
        <v>0.30239999999999995</v>
      </c>
      <c r="EB122" s="173">
        <f t="shared" si="398"/>
        <v>2.0159999999999996</v>
      </c>
      <c r="EC122" s="173">
        <f t="shared" si="399"/>
        <v>0.46506666666666674</v>
      </c>
      <c r="ED122" s="173">
        <f t="shared" si="400"/>
        <v>4.3348623853210997</v>
      </c>
      <c r="EE122" s="460">
        <f t="shared" si="401"/>
        <v>1.1707317073170735</v>
      </c>
      <c r="EF122" s="5">
        <f t="shared" si="402"/>
        <v>0.60532486772486771</v>
      </c>
      <c r="EH122" s="173">
        <f t="shared" si="403"/>
        <v>0.42332020977033458</v>
      </c>
      <c r="EI122" s="173">
        <f t="shared" si="404"/>
        <v>0.64295613582311562</v>
      </c>
      <c r="EK122" s="528">
        <f t="shared" si="405"/>
        <v>3.5840000000000017E-3</v>
      </c>
      <c r="EL122" s="528">
        <f t="shared" si="406"/>
        <v>0.13507199999999994</v>
      </c>
      <c r="EM122" s="528">
        <f t="shared" si="407"/>
        <v>2.362499999999999E-2</v>
      </c>
      <c r="EN122" s="528">
        <f t="shared" si="408"/>
        <v>1.3574735999999992E-2</v>
      </c>
      <c r="EO122">
        <f t="shared" si="409"/>
        <v>4.4999999999999997E-3</v>
      </c>
      <c r="EP122" s="460">
        <f t="shared" si="410"/>
        <v>28.124999999999989</v>
      </c>
      <c r="EQ122" s="460"/>
      <c r="ER122" s="460">
        <f t="shared" si="432"/>
        <v>180.35573599999992</v>
      </c>
      <c r="ES122" s="528">
        <f t="shared" si="411"/>
        <v>8.3999999999999991E-2</v>
      </c>
      <c r="EV122" s="460">
        <f t="shared" si="412"/>
        <v>83.999999999999986</v>
      </c>
      <c r="EW122" s="528">
        <f t="shared" si="413"/>
        <v>5.3760000000000023E-3</v>
      </c>
      <c r="EX122" s="528">
        <f t="shared" si="414"/>
        <v>1.2401777777777781E-2</v>
      </c>
      <c r="EY122" s="528">
        <f t="shared" si="415"/>
        <v>5.0404737377353619E-2</v>
      </c>
      <c r="EZ122" s="528"/>
      <c r="FA122" s="528">
        <f t="shared" si="416"/>
        <v>1.6799999999999996E-3</v>
      </c>
      <c r="FB122" s="460">
        <f t="shared" si="417"/>
        <v>69.862515155131405</v>
      </c>
      <c r="FC122" s="173">
        <f t="shared" si="418"/>
        <v>0.33421825115513137</v>
      </c>
      <c r="FD122" s="5">
        <f t="shared" si="419"/>
        <v>1.9679999999999997</v>
      </c>
      <c r="FE122" s="173">
        <f t="shared" si="420"/>
        <v>0.85482772930523054</v>
      </c>
      <c r="FF122" s="5">
        <f t="shared" si="421"/>
        <v>85.482772930523055</v>
      </c>
      <c r="FI122" s="562">
        <f t="shared" si="422"/>
        <v>-50</v>
      </c>
      <c r="FJ122">
        <f t="shared" si="423"/>
        <v>-50</v>
      </c>
      <c r="FL122">
        <f t="shared" si="424"/>
        <v>0.17999999999999997</v>
      </c>
    </row>
    <row r="123" spans="5:168">
      <c r="E123" s="170">
        <v>13</v>
      </c>
      <c r="F123" s="217">
        <f t="shared" si="425"/>
        <v>0.13</v>
      </c>
      <c r="G123" s="217"/>
      <c r="H123" s="217">
        <f t="shared" si="315"/>
        <v>2.1319999999999997</v>
      </c>
      <c r="I123" s="541">
        <f t="shared" si="316"/>
        <v>9.9670658826646878</v>
      </c>
      <c r="J123" s="172">
        <f t="shared" si="317"/>
        <v>16.819760470401185</v>
      </c>
      <c r="K123" s="172">
        <f t="shared" si="318"/>
        <v>26.786826353065873</v>
      </c>
      <c r="L123" s="443"/>
      <c r="M123" s="217">
        <f t="shared" si="319"/>
        <v>0.62791498231559217</v>
      </c>
      <c r="N123" s="172">
        <f t="shared" si="426"/>
        <v>20.939797533140613</v>
      </c>
      <c r="O123" s="172">
        <f t="shared" si="284"/>
        <v>2.1319999999999997</v>
      </c>
      <c r="P123" s="217">
        <f t="shared" si="320"/>
        <v>1.2768169227524766</v>
      </c>
      <c r="Q123" s="217">
        <f t="shared" si="321"/>
        <v>16.399999999999999</v>
      </c>
      <c r="R123" s="217"/>
      <c r="S123" s="172">
        <f t="shared" si="322"/>
        <v>245.61493160808118</v>
      </c>
      <c r="T123" s="172">
        <f t="shared" si="323"/>
        <v>16.399999999999999</v>
      </c>
      <c r="U123" s="217">
        <f t="shared" si="324"/>
        <v>0.69876503391094535</v>
      </c>
      <c r="V123" s="217">
        <f t="shared" si="325"/>
        <v>0.84128875093675726</v>
      </c>
      <c r="W123" s="217">
        <f t="shared" si="326"/>
        <v>0.49853149940436348</v>
      </c>
      <c r="X123" s="197">
        <f t="shared" si="327"/>
        <v>350</v>
      </c>
      <c r="Y123" s="443">
        <f t="shared" si="328"/>
        <v>350</v>
      </c>
      <c r="AA123" s="217">
        <f t="shared" si="329"/>
        <v>1.4901040083186818</v>
      </c>
      <c r="AB123" s="173">
        <f t="shared" si="330"/>
        <v>1.0631095568388722</v>
      </c>
      <c r="AC123" s="173">
        <f t="shared" si="331"/>
        <v>0.27722516708731271</v>
      </c>
      <c r="AD123" s="173"/>
      <c r="AE123" s="173">
        <f t="shared" si="332"/>
        <v>0.95126206036977945</v>
      </c>
      <c r="AF123" s="545">
        <f t="shared" si="333"/>
        <v>204.99083073301438</v>
      </c>
      <c r="AG123" s="528">
        <f t="shared" si="334"/>
        <v>0.22196114741961523</v>
      </c>
      <c r="AI123" s="173">
        <f t="shared" si="335"/>
        <v>1.0204034825574204</v>
      </c>
      <c r="AJ123" s="173">
        <f t="shared" si="336"/>
        <v>1.3333333333333335</v>
      </c>
      <c r="AK123" s="173">
        <f t="shared" si="337"/>
        <v>1.1171376175617225</v>
      </c>
      <c r="AM123" s="545">
        <f t="shared" si="338"/>
        <v>130</v>
      </c>
      <c r="AN123" s="460">
        <f t="shared" si="339"/>
        <v>204.99083073301438</v>
      </c>
      <c r="AP123" s="460">
        <f t="shared" si="340"/>
        <v>130</v>
      </c>
      <c r="AQ123" s="460">
        <f t="shared" si="341"/>
        <v>204.99083073301438</v>
      </c>
      <c r="AS123" s="5">
        <f t="shared" si="285"/>
        <v>4.8782669762552802</v>
      </c>
      <c r="AT123" s="5">
        <f t="shared" si="342"/>
        <v>1.6052868706153685</v>
      </c>
      <c r="AU123" s="5">
        <f t="shared" si="343"/>
        <v>3.2729801056399115</v>
      </c>
      <c r="AV123" s="5"/>
      <c r="AW123" s="173">
        <f t="shared" si="344"/>
        <v>0.32906908917224537</v>
      </c>
      <c r="AX123" s="173">
        <f t="shared" si="214"/>
        <v>2.1865688611521539</v>
      </c>
      <c r="AY123" s="173">
        <f t="shared" si="215"/>
        <v>0.44728727388516976</v>
      </c>
      <c r="AZ123" s="173">
        <f t="shared" si="288"/>
        <v>4.8885112293928197</v>
      </c>
      <c r="BA123" s="460">
        <f t="shared" si="433"/>
        <v>1.2724834949999875</v>
      </c>
      <c r="BB123" s="5">
        <f t="shared" si="434"/>
        <v>0.58342091070827151</v>
      </c>
      <c r="BD123" s="173">
        <f t="shared" si="289"/>
        <v>0.44159246449035333</v>
      </c>
      <c r="BE123" s="173">
        <f t="shared" si="218"/>
        <v>0.63054634080131555</v>
      </c>
      <c r="BG123" s="528">
        <f t="shared" si="347"/>
        <v>3.9000780938932794E-3</v>
      </c>
      <c r="BH123" s="528">
        <f t="shared" si="348"/>
        <v>0.1372763446703994</v>
      </c>
      <c r="BI123" s="528">
        <f t="shared" si="349"/>
        <v>5.107892788145299E-2</v>
      </c>
      <c r="BJ123" s="528">
        <f t="shared" si="350"/>
        <v>1.4708790428278431E-2</v>
      </c>
      <c r="BK123">
        <f t="shared" si="351"/>
        <v>4.4851796471991091E-3</v>
      </c>
      <c r="BL123" s="460">
        <f t="shared" si="427"/>
        <v>55.564107528652094</v>
      </c>
      <c r="BM123" s="528">
        <f t="shared" si="352"/>
        <v>0.15708379732258029</v>
      </c>
      <c r="BN123" s="460">
        <f t="shared" si="353"/>
        <v>157.0837973225803</v>
      </c>
      <c r="BO123" s="528">
        <f t="shared" si="354"/>
        <v>9.0999999999999998E-2</v>
      </c>
      <c r="BR123" s="460">
        <f t="shared" si="355"/>
        <v>91</v>
      </c>
      <c r="BS123" s="528">
        <f t="shared" si="356"/>
        <v>5.8501171408399189E-3</v>
      </c>
      <c r="BT123" s="528">
        <f t="shared" si="357"/>
        <v>1.1927660636937863E-2</v>
      </c>
      <c r="BU123" s="528">
        <f t="shared" si="358"/>
        <v>6.1752271089520375E-2</v>
      </c>
      <c r="BV123" s="528"/>
      <c r="BW123" s="528">
        <f t="shared" si="359"/>
        <v>1.8221407176267947E-3</v>
      </c>
      <c r="BX123" s="460">
        <f t="shared" si="360"/>
        <v>81.352189584924943</v>
      </c>
      <c r="BY123" s="173">
        <f t="shared" si="361"/>
        <v>0.38380151030614817</v>
      </c>
      <c r="BZ123" s="5">
        <f t="shared" si="362"/>
        <v>2.1319999999999997</v>
      </c>
      <c r="CA123" s="173">
        <f t="shared" si="363"/>
        <v>0.84744364420886154</v>
      </c>
      <c r="CB123" s="5">
        <f t="shared" si="364"/>
        <v>84.744364420886157</v>
      </c>
      <c r="CE123" s="562">
        <f t="shared" si="365"/>
        <v>-50</v>
      </c>
      <c r="CF123">
        <f t="shared" si="366"/>
        <v>-50</v>
      </c>
      <c r="CG123" s="173">
        <f t="shared" si="367"/>
        <v>0.19736372266551475</v>
      </c>
      <c r="CI123" s="170">
        <v>13</v>
      </c>
      <c r="CJ123" s="217">
        <f t="shared" si="428"/>
        <v>0.13</v>
      </c>
      <c r="CK123" s="217"/>
      <c r="CL123" s="217">
        <f t="shared" si="368"/>
        <v>2.1319999999999997</v>
      </c>
      <c r="CM123" s="541">
        <f t="shared" si="369"/>
        <v>10</v>
      </c>
      <c r="CN123" s="443">
        <f t="shared" si="370"/>
        <v>16.799999999999997</v>
      </c>
      <c r="CO123" s="443">
        <f t="shared" si="371"/>
        <v>26.799999999999997</v>
      </c>
      <c r="CP123" s="443"/>
      <c r="CQ123" s="217">
        <f t="shared" si="372"/>
        <v>0.62686567164179097</v>
      </c>
      <c r="CR123" s="172">
        <f t="shared" si="429"/>
        <v>20.973880597014926</v>
      </c>
      <c r="CS123" s="172">
        <f t="shared" si="373"/>
        <v>2.1319999999999997</v>
      </c>
      <c r="CT123" s="217">
        <f t="shared" si="374"/>
        <v>1.2788951583545687</v>
      </c>
      <c r="CU123" s="217">
        <f t="shared" si="375"/>
        <v>16.399999999999999</v>
      </c>
      <c r="CV123" s="217"/>
      <c r="CW123" s="172">
        <f t="shared" si="376"/>
        <v>246.42646212809362</v>
      </c>
      <c r="CX123" s="172">
        <f t="shared" si="377"/>
        <v>16.399999999999999</v>
      </c>
      <c r="CY123" s="217">
        <f t="shared" si="378"/>
        <v>0.68020952380952382</v>
      </c>
      <c r="CZ123" s="217">
        <f t="shared" si="379"/>
        <v>0.81625142857142863</v>
      </c>
      <c r="DA123" s="217">
        <f t="shared" si="380"/>
        <v>0.48586394557823143</v>
      </c>
      <c r="DB123" s="197">
        <f t="shared" si="381"/>
        <v>350</v>
      </c>
      <c r="DC123" s="443">
        <f t="shared" si="382"/>
        <v>350</v>
      </c>
      <c r="DE123" s="217">
        <f t="shared" si="383"/>
        <v>1.4925373134328355</v>
      </c>
      <c r="DF123" s="173">
        <f t="shared" si="384"/>
        <v>1.0660980810234544</v>
      </c>
      <c r="DG123" s="173">
        <f t="shared" si="385"/>
        <v>0.27845845399866342</v>
      </c>
      <c r="DH123" s="173"/>
      <c r="DI123" s="173">
        <f t="shared" si="386"/>
        <v>0.95238095238095266</v>
      </c>
      <c r="DJ123" s="545">
        <f t="shared" si="387"/>
        <v>204.74999999999991</v>
      </c>
      <c r="DK123" s="528">
        <f t="shared" si="388"/>
        <v>0.22222222222222232</v>
      </c>
      <c r="DM123" s="173">
        <f t="shared" si="389"/>
        <v>1.0198039027185568</v>
      </c>
      <c r="DN123" s="173">
        <f t="shared" si="390"/>
        <v>1.3333333333333335</v>
      </c>
      <c r="DO123" s="173">
        <f t="shared" si="391"/>
        <v>1.117</v>
      </c>
      <c r="DQ123" s="545">
        <f t="shared" si="392"/>
        <v>130</v>
      </c>
      <c r="DR123" s="460">
        <f t="shared" si="393"/>
        <v>204.74999999999991</v>
      </c>
      <c r="DT123">
        <f t="shared" si="430"/>
        <v>130</v>
      </c>
      <c r="DU123">
        <f t="shared" si="431"/>
        <v>204.74999999999991</v>
      </c>
      <c r="DW123" s="5">
        <f t="shared" si="394"/>
        <v>4.8840048840048853</v>
      </c>
      <c r="DX123" s="5">
        <f t="shared" si="395"/>
        <v>1.6000000000000003</v>
      </c>
      <c r="DY123" s="5">
        <f t="shared" si="396"/>
        <v>3.2840048840048848</v>
      </c>
      <c r="DZ123" s="5"/>
      <c r="EA123" s="173">
        <f t="shared" si="397"/>
        <v>0.3276</v>
      </c>
      <c r="EB123" s="173">
        <f t="shared" si="398"/>
        <v>2.1839999999999997</v>
      </c>
      <c r="EC123" s="173">
        <f t="shared" si="399"/>
        <v>0.4482666666666667</v>
      </c>
      <c r="ED123" s="173">
        <f t="shared" si="400"/>
        <v>4.8720999405115997</v>
      </c>
      <c r="EE123" s="460">
        <f t="shared" si="401"/>
        <v>1.2682926829268297</v>
      </c>
      <c r="EF123" s="5">
        <f t="shared" si="402"/>
        <v>0.58345820105820101</v>
      </c>
      <c r="EH123" s="173">
        <f t="shared" si="403"/>
        <v>0.44060564378288825</v>
      </c>
      <c r="EI123" s="173">
        <f t="shared" si="404"/>
        <v>0.63123629431399086</v>
      </c>
      <c r="EK123" s="528">
        <f t="shared" si="405"/>
        <v>3.8826666666666684E-3</v>
      </c>
      <c r="EL123" s="528">
        <f t="shared" si="406"/>
        <v>0.14632799999999996</v>
      </c>
      <c r="EM123" s="528">
        <f t="shared" si="407"/>
        <v>2.5593749999999988E-2</v>
      </c>
      <c r="EN123" s="528">
        <f t="shared" si="408"/>
        <v>1.4705963999999993E-2</v>
      </c>
      <c r="EO123">
        <f t="shared" si="409"/>
        <v>4.4999999999999997E-3</v>
      </c>
      <c r="EP123" s="460">
        <f t="shared" si="410"/>
        <v>30.093749999999989</v>
      </c>
      <c r="EQ123" s="460"/>
      <c r="ER123" s="460">
        <f t="shared" si="432"/>
        <v>195.01038066666663</v>
      </c>
      <c r="ES123" s="528">
        <f t="shared" si="411"/>
        <v>9.0999999999999998E-2</v>
      </c>
      <c r="EV123" s="460">
        <f t="shared" si="412"/>
        <v>91</v>
      </c>
      <c r="EW123" s="528">
        <f t="shared" si="413"/>
        <v>5.8240000000000019E-3</v>
      </c>
      <c r="EX123" s="528">
        <f t="shared" si="414"/>
        <v>1.1953777777777778E-2</v>
      </c>
      <c r="EY123" s="528">
        <f t="shared" si="415"/>
        <v>6.1571058797802808E-2</v>
      </c>
      <c r="EZ123" s="528"/>
      <c r="FA123" s="528">
        <f t="shared" si="416"/>
        <v>1.8199999999999996E-3</v>
      </c>
      <c r="FB123" s="460">
        <f t="shared" si="417"/>
        <v>81.168836575580585</v>
      </c>
      <c r="FC123" s="173">
        <f t="shared" si="418"/>
        <v>0.36717921724224717</v>
      </c>
      <c r="FD123" s="5">
        <f t="shared" si="419"/>
        <v>2.1319999999999997</v>
      </c>
      <c r="FE123" s="173">
        <f t="shared" si="420"/>
        <v>0.85308007736739433</v>
      </c>
      <c r="FF123" s="5">
        <f t="shared" si="421"/>
        <v>85.308007736739427</v>
      </c>
      <c r="FI123" s="562">
        <f t="shared" si="422"/>
        <v>-50</v>
      </c>
      <c r="FJ123">
        <f t="shared" si="423"/>
        <v>-50</v>
      </c>
      <c r="FL123">
        <f t="shared" si="424"/>
        <v>0.19499999999999998</v>
      </c>
    </row>
    <row r="124" spans="5:168">
      <c r="E124" s="170">
        <v>14</v>
      </c>
      <c r="F124" s="217">
        <f t="shared" si="425"/>
        <v>0.14000000000000001</v>
      </c>
      <c r="G124" s="217"/>
      <c r="H124" s="217">
        <f t="shared" si="315"/>
        <v>2.2959999999999998</v>
      </c>
      <c r="I124" s="541">
        <f t="shared" si="316"/>
        <v>9.9670658826646878</v>
      </c>
      <c r="J124" s="172">
        <f t="shared" si="317"/>
        <v>16.819760470401185</v>
      </c>
      <c r="K124" s="172">
        <f t="shared" si="318"/>
        <v>26.786826353065873</v>
      </c>
      <c r="L124" s="443"/>
      <c r="M124" s="217">
        <f t="shared" si="319"/>
        <v>0.62791498231559217</v>
      </c>
      <c r="N124" s="172">
        <f t="shared" si="426"/>
        <v>20.939797533140613</v>
      </c>
      <c r="O124" s="172">
        <f t="shared" si="284"/>
        <v>2.2959999999999998</v>
      </c>
      <c r="P124" s="217">
        <f t="shared" si="320"/>
        <v>1.2768169227524766</v>
      </c>
      <c r="Q124" s="217">
        <f t="shared" si="321"/>
        <v>16.399999999999999</v>
      </c>
      <c r="R124" s="217"/>
      <c r="S124" s="172">
        <f t="shared" si="322"/>
        <v>227.36153095036414</v>
      </c>
      <c r="T124" s="172">
        <f t="shared" si="323"/>
        <v>16.399999999999999</v>
      </c>
      <c r="U124" s="217">
        <f t="shared" si="324"/>
        <v>0.75251619036563344</v>
      </c>
      <c r="V124" s="217">
        <f t="shared" si="325"/>
        <v>0.90600327023958482</v>
      </c>
      <c r="W124" s="217">
        <f t="shared" si="326"/>
        <v>0.53688007628162215</v>
      </c>
      <c r="X124" s="197">
        <f t="shared" si="327"/>
        <v>350</v>
      </c>
      <c r="Y124" s="443">
        <f t="shared" si="328"/>
        <v>350</v>
      </c>
      <c r="AA124" s="217">
        <f t="shared" si="329"/>
        <v>1.4901040083186818</v>
      </c>
      <c r="AB124" s="173">
        <f t="shared" si="330"/>
        <v>1.0631095568388722</v>
      </c>
      <c r="AC124" s="173">
        <f t="shared" si="331"/>
        <v>0.27722516708731271</v>
      </c>
      <c r="AD124" s="173"/>
      <c r="AE124" s="173">
        <f t="shared" si="332"/>
        <v>0.95126206036977945</v>
      </c>
      <c r="AF124" s="545">
        <f t="shared" si="333"/>
        <v>220.75935617401552</v>
      </c>
      <c r="AG124" s="528">
        <f t="shared" si="334"/>
        <v>0.22196114741961523</v>
      </c>
      <c r="AI124" s="173">
        <f t="shared" si="335"/>
        <v>1.0589227378300139</v>
      </c>
      <c r="AJ124" s="173">
        <f t="shared" si="336"/>
        <v>1.3333333333333335</v>
      </c>
      <c r="AK124" s="173">
        <f t="shared" si="337"/>
        <v>1.1261482035280088</v>
      </c>
      <c r="AM124" s="545">
        <f t="shared" si="338"/>
        <v>140</v>
      </c>
      <c r="AN124" s="460">
        <f t="shared" si="339"/>
        <v>220.75935617401552</v>
      </c>
      <c r="AP124" s="460">
        <f t="shared" si="340"/>
        <v>140</v>
      </c>
      <c r="AQ124" s="460">
        <f t="shared" si="341"/>
        <v>220.75935617401552</v>
      </c>
      <c r="AS124" s="5">
        <f t="shared" si="285"/>
        <v>4.5298193350941878</v>
      </c>
      <c r="AT124" s="5">
        <f t="shared" si="342"/>
        <v>1.6052868706153685</v>
      </c>
      <c r="AU124" s="5">
        <f t="shared" si="343"/>
        <v>2.9245324644788191</v>
      </c>
      <c r="AV124" s="5"/>
      <c r="AW124" s="173">
        <f t="shared" si="344"/>
        <v>0.35438209603164889</v>
      </c>
      <c r="AX124" s="173">
        <f t="shared" si="214"/>
        <v>2.3547664658561662</v>
      </c>
      <c r="AY124" s="173">
        <f t="shared" si="215"/>
        <v>0.43041193597890082</v>
      </c>
      <c r="AZ124" s="173">
        <f t="shared" si="288"/>
        <v>5.470959954910728</v>
      </c>
      <c r="BA124" s="460">
        <f t="shared" si="433"/>
        <v>1.3703668407692176</v>
      </c>
      <c r="BB124" s="5">
        <f t="shared" si="434"/>
        <v>0.56140949749665192</v>
      </c>
      <c r="BD124" s="173">
        <f t="shared" si="289"/>
        <v>0.4582621575646324</v>
      </c>
      <c r="BE124" s="173">
        <f t="shared" si="218"/>
        <v>0.61853729680335423</v>
      </c>
      <c r="BG124" s="528">
        <f t="shared" si="347"/>
        <v>4.2000841011158394E-3</v>
      </c>
      <c r="BH124" s="528">
        <f t="shared" si="348"/>
        <v>0.14783606349119938</v>
      </c>
      <c r="BI124" s="528">
        <f t="shared" si="349"/>
        <v>5.5008076180026309E-2</v>
      </c>
      <c r="BJ124" s="528">
        <f t="shared" si="350"/>
        <v>1.5840235845838314E-2</v>
      </c>
      <c r="BK124">
        <f t="shared" si="351"/>
        <v>4.4851796471991091E-3</v>
      </c>
      <c r="BL124" s="460">
        <f t="shared" si="427"/>
        <v>59.493255827225425</v>
      </c>
      <c r="BM124" s="528">
        <f t="shared" si="352"/>
        <v>0.16917923687012368</v>
      </c>
      <c r="BN124" s="460">
        <f t="shared" si="353"/>
        <v>169.17923687012367</v>
      </c>
      <c r="BO124" s="528">
        <f t="shared" si="354"/>
        <v>9.8000000000000004E-2</v>
      </c>
      <c r="BR124" s="460">
        <f t="shared" si="355"/>
        <v>98</v>
      </c>
      <c r="BS124" s="528">
        <f t="shared" si="356"/>
        <v>6.3001261516737591E-3</v>
      </c>
      <c r="BT124" s="528">
        <f t="shared" si="357"/>
        <v>1.1477651626104021E-2</v>
      </c>
      <c r="BU124" s="528">
        <f t="shared" si="358"/>
        <v>7.4321530226511917E-2</v>
      </c>
      <c r="BV124" s="528"/>
      <c r="BW124" s="528">
        <f t="shared" si="359"/>
        <v>1.9623053882134715E-3</v>
      </c>
      <c r="BX124" s="460">
        <f t="shared" si="360"/>
        <v>94.061613392503176</v>
      </c>
      <c r="BY124" s="173">
        <f t="shared" si="361"/>
        <v>0.41943125265788211</v>
      </c>
      <c r="BZ124" s="5">
        <f t="shared" si="362"/>
        <v>2.2959999999999998</v>
      </c>
      <c r="CA124" s="173">
        <f t="shared" si="363"/>
        <v>0.84553788564989818</v>
      </c>
      <c r="CB124" s="5">
        <f t="shared" si="364"/>
        <v>84.553788564989816</v>
      </c>
      <c r="CE124" s="562">
        <f t="shared" si="365"/>
        <v>-50</v>
      </c>
      <c r="CF124">
        <f t="shared" si="366"/>
        <v>-50</v>
      </c>
      <c r="CG124" s="173">
        <f t="shared" si="367"/>
        <v>0.21254554748593901</v>
      </c>
      <c r="CI124" s="170">
        <v>14</v>
      </c>
      <c r="CJ124" s="217">
        <f t="shared" si="428"/>
        <v>0.14000000000000001</v>
      </c>
      <c r="CK124" s="217"/>
      <c r="CL124" s="217">
        <f t="shared" si="368"/>
        <v>2.2959999999999998</v>
      </c>
      <c r="CM124" s="541">
        <f t="shared" si="369"/>
        <v>10</v>
      </c>
      <c r="CN124" s="443">
        <f t="shared" si="370"/>
        <v>16.799999999999997</v>
      </c>
      <c r="CO124" s="443">
        <f t="shared" si="371"/>
        <v>26.799999999999997</v>
      </c>
      <c r="CP124" s="443"/>
      <c r="CQ124" s="217">
        <f t="shared" si="372"/>
        <v>0.62686567164179097</v>
      </c>
      <c r="CR124" s="172">
        <f t="shared" si="429"/>
        <v>20.973880597014926</v>
      </c>
      <c r="CS124" s="172">
        <f t="shared" si="373"/>
        <v>2.2959999999999998</v>
      </c>
      <c r="CT124" s="217">
        <f t="shared" si="374"/>
        <v>1.2788951583545687</v>
      </c>
      <c r="CU124" s="217">
        <f t="shared" si="375"/>
        <v>16.399999999999999</v>
      </c>
      <c r="CV124" s="217"/>
      <c r="CW124" s="172">
        <f t="shared" si="376"/>
        <v>228.1127425895375</v>
      </c>
      <c r="CX124" s="172">
        <f t="shared" si="377"/>
        <v>16.399999999999999</v>
      </c>
      <c r="CY124" s="217">
        <f t="shared" si="378"/>
        <v>0.73253333333333337</v>
      </c>
      <c r="CZ124" s="217">
        <f t="shared" si="379"/>
        <v>0.87904000000000015</v>
      </c>
      <c r="DA124" s="217">
        <f t="shared" si="380"/>
        <v>0.52323809523809539</v>
      </c>
      <c r="DB124" s="197">
        <f t="shared" si="381"/>
        <v>350</v>
      </c>
      <c r="DC124" s="443">
        <f t="shared" si="382"/>
        <v>350</v>
      </c>
      <c r="DE124" s="217">
        <f t="shared" si="383"/>
        <v>1.4925373134328355</v>
      </c>
      <c r="DF124" s="173">
        <f t="shared" si="384"/>
        <v>1.0660980810234544</v>
      </c>
      <c r="DG124" s="173">
        <f t="shared" si="385"/>
        <v>0.27845845399866342</v>
      </c>
      <c r="DH124" s="173"/>
      <c r="DI124" s="173">
        <f t="shared" si="386"/>
        <v>0.95238095238095266</v>
      </c>
      <c r="DJ124" s="545">
        <f t="shared" si="387"/>
        <v>220.49999999999994</v>
      </c>
      <c r="DK124" s="528">
        <f t="shared" si="388"/>
        <v>0.22222222222222232</v>
      </c>
      <c r="DM124" s="173">
        <f t="shared" si="389"/>
        <v>1.0583005244258361</v>
      </c>
      <c r="DN124" s="173">
        <f t="shared" si="390"/>
        <v>1.3333333333333335</v>
      </c>
      <c r="DO124" s="173">
        <f t="shared" si="391"/>
        <v>1.1259999999999999</v>
      </c>
      <c r="DQ124" s="545">
        <f t="shared" si="392"/>
        <v>140</v>
      </c>
      <c r="DR124" s="460">
        <f t="shared" si="393"/>
        <v>220.49999999999994</v>
      </c>
      <c r="DT124">
        <f t="shared" si="430"/>
        <v>140</v>
      </c>
      <c r="DU124">
        <f t="shared" si="431"/>
        <v>220.49999999999994</v>
      </c>
      <c r="DW124" s="5">
        <f t="shared" si="394"/>
        <v>4.5351473922902503</v>
      </c>
      <c r="DX124" s="5">
        <f t="shared" si="395"/>
        <v>1.6000000000000003</v>
      </c>
      <c r="DY124" s="5">
        <f t="shared" si="396"/>
        <v>2.9351473922902498</v>
      </c>
      <c r="DZ124" s="5"/>
      <c r="EA124" s="173">
        <f t="shared" si="397"/>
        <v>0.3528</v>
      </c>
      <c r="EB124" s="173">
        <f t="shared" si="398"/>
        <v>2.3519999999999999</v>
      </c>
      <c r="EC124" s="173">
        <f t="shared" si="399"/>
        <v>0.43146666666666672</v>
      </c>
      <c r="ED124" s="173">
        <f t="shared" si="400"/>
        <v>5.4511742892459818</v>
      </c>
      <c r="EE124" s="460">
        <f t="shared" si="401"/>
        <v>1.3658536585365859</v>
      </c>
      <c r="EF124" s="5">
        <f t="shared" si="402"/>
        <v>0.56159153439153431</v>
      </c>
      <c r="EH124" s="173">
        <f t="shared" si="403"/>
        <v>0.45723808531952664</v>
      </c>
      <c r="EI124" s="173">
        <f t="shared" si="404"/>
        <v>0.61929470038579049</v>
      </c>
      <c r="EK124" s="528">
        <f t="shared" si="405"/>
        <v>4.1813333333333346E-3</v>
      </c>
      <c r="EL124" s="528">
        <f t="shared" si="406"/>
        <v>0.15758399999999997</v>
      </c>
      <c r="EM124" s="528">
        <f t="shared" si="407"/>
        <v>2.7562499999999993E-2</v>
      </c>
      <c r="EN124" s="528">
        <f t="shared" si="408"/>
        <v>1.5837191999999996E-2</v>
      </c>
      <c r="EO124">
        <f t="shared" si="409"/>
        <v>4.4999999999999997E-3</v>
      </c>
      <c r="EP124" s="460">
        <f t="shared" si="410"/>
        <v>32.062499999999993</v>
      </c>
      <c r="EQ124" s="460"/>
      <c r="ER124" s="460">
        <f t="shared" si="432"/>
        <v>209.66502533333332</v>
      </c>
      <c r="ES124" s="528">
        <f t="shared" si="411"/>
        <v>9.8000000000000004E-2</v>
      </c>
      <c r="EV124" s="460">
        <f t="shared" si="412"/>
        <v>98</v>
      </c>
      <c r="EW124" s="528">
        <f t="shared" si="413"/>
        <v>6.2720000000000015E-3</v>
      </c>
      <c r="EX124" s="528">
        <f t="shared" si="414"/>
        <v>1.150577777777778E-2</v>
      </c>
      <c r="EY124" s="528">
        <f t="shared" si="415"/>
        <v>7.41034333925224E-2</v>
      </c>
      <c r="EZ124" s="528"/>
      <c r="FA124" s="528">
        <f t="shared" si="416"/>
        <v>1.9599999999999999E-3</v>
      </c>
      <c r="FB124" s="460">
        <f t="shared" si="417"/>
        <v>93.841211170300184</v>
      </c>
      <c r="FC124" s="173">
        <f t="shared" si="418"/>
        <v>0.40150623650363348</v>
      </c>
      <c r="FD124" s="5">
        <f t="shared" si="419"/>
        <v>2.2959999999999998</v>
      </c>
      <c r="FE124" s="173">
        <f t="shared" si="420"/>
        <v>0.85115651223700417</v>
      </c>
      <c r="FF124" s="5">
        <f t="shared" si="421"/>
        <v>85.115651223700411</v>
      </c>
      <c r="FI124" s="562">
        <f t="shared" si="422"/>
        <v>-50</v>
      </c>
      <c r="FJ124">
        <f t="shared" si="423"/>
        <v>-50</v>
      </c>
      <c r="FL124">
        <f t="shared" si="424"/>
        <v>0.21000000000000002</v>
      </c>
    </row>
    <row r="125" spans="5:168">
      <c r="E125" s="170">
        <v>15</v>
      </c>
      <c r="F125" s="217">
        <f t="shared" si="425"/>
        <v>0.15</v>
      </c>
      <c r="G125" s="217"/>
      <c r="H125" s="217">
        <f t="shared" si="315"/>
        <v>2.4599999999999995</v>
      </c>
      <c r="I125" s="541">
        <f t="shared" si="316"/>
        <v>9.9670658826646878</v>
      </c>
      <c r="J125" s="172">
        <f t="shared" si="317"/>
        <v>16.819760470401185</v>
      </c>
      <c r="K125" s="172">
        <f t="shared" si="318"/>
        <v>26.786826353065873</v>
      </c>
      <c r="L125" s="443"/>
      <c r="M125" s="217">
        <f t="shared" si="319"/>
        <v>0.62791498231559217</v>
      </c>
      <c r="N125" s="172">
        <f t="shared" si="426"/>
        <v>20.939797533140613</v>
      </c>
      <c r="O125" s="172">
        <f t="shared" si="284"/>
        <v>2.4599999999999995</v>
      </c>
      <c r="P125" s="217">
        <f t="shared" si="320"/>
        <v>1.2768169227524766</v>
      </c>
      <c r="Q125" s="217">
        <f t="shared" si="321"/>
        <v>16.399999999999999</v>
      </c>
      <c r="R125" s="217"/>
      <c r="S125" s="172">
        <f t="shared" si="322"/>
        <v>211.54209798781366</v>
      </c>
      <c r="T125" s="172">
        <f t="shared" si="323"/>
        <v>16.399999999999999</v>
      </c>
      <c r="U125" s="217">
        <f t="shared" si="324"/>
        <v>0.80626734682032153</v>
      </c>
      <c r="V125" s="217">
        <f t="shared" si="325"/>
        <v>0.97071778954241228</v>
      </c>
      <c r="W125" s="217">
        <f t="shared" si="326"/>
        <v>0.57522865315888083</v>
      </c>
      <c r="X125" s="197">
        <f t="shared" si="327"/>
        <v>350</v>
      </c>
      <c r="Y125" s="443">
        <f t="shared" si="328"/>
        <v>350</v>
      </c>
      <c r="AA125" s="217">
        <f t="shared" si="329"/>
        <v>1.4901040083186818</v>
      </c>
      <c r="AB125" s="173">
        <f t="shared" si="330"/>
        <v>1.0631095568388722</v>
      </c>
      <c r="AC125" s="173">
        <f t="shared" si="331"/>
        <v>0.27722516708731271</v>
      </c>
      <c r="AD125" s="173"/>
      <c r="AE125" s="173">
        <f t="shared" si="332"/>
        <v>0.95126206036977945</v>
      </c>
      <c r="AF125" s="545">
        <f t="shared" si="333"/>
        <v>236.52788161501661</v>
      </c>
      <c r="AG125" s="528">
        <f t="shared" si="334"/>
        <v>0.22196114741961523</v>
      </c>
      <c r="AI125" s="173">
        <f t="shared" si="335"/>
        <v>1.0960891670715085</v>
      </c>
      <c r="AJ125" s="173">
        <f t="shared" si="336"/>
        <v>1.3333333333333335</v>
      </c>
      <c r="AK125" s="173">
        <f t="shared" si="337"/>
        <v>1.1351587894942952</v>
      </c>
      <c r="AM125" s="545">
        <f t="shared" si="338"/>
        <v>150</v>
      </c>
      <c r="AN125" s="460">
        <f t="shared" si="339"/>
        <v>236.52788161501661</v>
      </c>
      <c r="AP125" s="460">
        <f t="shared" si="340"/>
        <v>150</v>
      </c>
      <c r="AQ125" s="460">
        <f t="shared" si="341"/>
        <v>236.52788161501661</v>
      </c>
      <c r="AS125" s="5">
        <f t="shared" si="285"/>
        <v>4.2278313794212421</v>
      </c>
      <c r="AT125" s="5">
        <f t="shared" si="342"/>
        <v>1.6052868706153685</v>
      </c>
      <c r="AU125" s="5">
        <f t="shared" si="343"/>
        <v>2.6225445088058734</v>
      </c>
      <c r="AV125" s="5"/>
      <c r="AW125" s="173">
        <f t="shared" si="344"/>
        <v>0.37969510289105241</v>
      </c>
      <c r="AX125" s="173">
        <f t="shared" si="214"/>
        <v>2.5229640705601777</v>
      </c>
      <c r="AY125" s="173">
        <f t="shared" si="215"/>
        <v>0.41353659807263171</v>
      </c>
      <c r="AZ125" s="173">
        <f t="shared" si="288"/>
        <v>6.1009450731058523</v>
      </c>
      <c r="BA125" s="460">
        <f t="shared" si="433"/>
        <v>1.468250186538447</v>
      </c>
      <c r="BB125" s="5">
        <f t="shared" si="434"/>
        <v>0.53939808428503244</v>
      </c>
      <c r="BD125" s="173">
        <f t="shared" si="289"/>
        <v>0.47434639812790819</v>
      </c>
      <c r="BE125" s="173">
        <f t="shared" si="218"/>
        <v>0.6062904313740014</v>
      </c>
      <c r="BG125" s="528">
        <f t="shared" si="347"/>
        <v>4.5000901083383999E-3</v>
      </c>
      <c r="BH125" s="528">
        <f t="shared" si="348"/>
        <v>0.1583957823119993</v>
      </c>
      <c r="BI125" s="528">
        <f t="shared" si="349"/>
        <v>5.8937224478599608E-2</v>
      </c>
      <c r="BJ125" s="528">
        <f t="shared" si="350"/>
        <v>1.6971681263398191E-2</v>
      </c>
      <c r="BK125">
        <f t="shared" si="351"/>
        <v>4.4851796471991091E-3</v>
      </c>
      <c r="BL125" s="460">
        <f t="shared" si="427"/>
        <v>63.422404125798721</v>
      </c>
      <c r="BM125" s="528">
        <f t="shared" si="352"/>
        <v>0.18127640262375341</v>
      </c>
      <c r="BN125" s="460">
        <f t="shared" si="353"/>
        <v>181.27640262375343</v>
      </c>
      <c r="BO125" s="528">
        <f t="shared" si="354"/>
        <v>0.105</v>
      </c>
      <c r="BR125" s="460">
        <f t="shared" si="355"/>
        <v>105</v>
      </c>
      <c r="BS125" s="528">
        <f t="shared" si="356"/>
        <v>6.7501351625075994E-3</v>
      </c>
      <c r="BT125" s="528">
        <f t="shared" si="357"/>
        <v>1.1027642615270181E-2</v>
      </c>
      <c r="BU125" s="528">
        <f t="shared" si="358"/>
        <v>8.8312606175211528E-2</v>
      </c>
      <c r="BV125" s="528"/>
      <c r="BW125" s="528">
        <f t="shared" si="359"/>
        <v>2.1024700588001479E-3</v>
      </c>
      <c r="BX125" s="460">
        <f t="shared" si="360"/>
        <v>108.19285401178946</v>
      </c>
      <c r="BY125" s="173">
        <f t="shared" si="361"/>
        <v>0.45648281182132405</v>
      </c>
      <c r="BZ125" s="5">
        <f t="shared" si="362"/>
        <v>2.4599999999999995</v>
      </c>
      <c r="CA125" s="173">
        <f t="shared" si="363"/>
        <v>0.8434817410988773</v>
      </c>
      <c r="CB125" s="5">
        <f t="shared" si="364"/>
        <v>84.348174109887736</v>
      </c>
      <c r="CE125" s="562">
        <f t="shared" si="365"/>
        <v>-50</v>
      </c>
      <c r="CF125">
        <f t="shared" si="366"/>
        <v>-50</v>
      </c>
      <c r="CG125" s="173">
        <f t="shared" si="367"/>
        <v>0.2277273723063632</v>
      </c>
      <c r="CI125" s="170">
        <v>15</v>
      </c>
      <c r="CJ125" s="217">
        <f t="shared" si="428"/>
        <v>0.15</v>
      </c>
      <c r="CK125" s="217"/>
      <c r="CL125" s="217">
        <f t="shared" si="368"/>
        <v>2.4599999999999995</v>
      </c>
      <c r="CM125" s="541">
        <f t="shared" si="369"/>
        <v>10</v>
      </c>
      <c r="CN125" s="443">
        <f t="shared" si="370"/>
        <v>16.799999999999997</v>
      </c>
      <c r="CO125" s="443">
        <f t="shared" si="371"/>
        <v>26.799999999999997</v>
      </c>
      <c r="CP125" s="443"/>
      <c r="CQ125" s="217">
        <f t="shared" si="372"/>
        <v>0.62686567164179097</v>
      </c>
      <c r="CR125" s="172">
        <f t="shared" si="429"/>
        <v>20.973880597014926</v>
      </c>
      <c r="CS125" s="172">
        <f t="shared" si="373"/>
        <v>2.4599999999999995</v>
      </c>
      <c r="CT125" s="217">
        <f t="shared" si="374"/>
        <v>1.2788951583545687</v>
      </c>
      <c r="CU125" s="217">
        <f t="shared" si="375"/>
        <v>16.399999999999999</v>
      </c>
      <c r="CV125" s="217"/>
      <c r="CW125" s="172">
        <f t="shared" si="376"/>
        <v>212.24103326700768</v>
      </c>
      <c r="CX125" s="172">
        <f t="shared" si="377"/>
        <v>16.399999999999999</v>
      </c>
      <c r="CY125" s="217">
        <f t="shared" si="378"/>
        <v>0.78485714285714281</v>
      </c>
      <c r="CZ125" s="217">
        <f t="shared" si="379"/>
        <v>0.94182857142857135</v>
      </c>
      <c r="DA125" s="217">
        <f t="shared" si="380"/>
        <v>0.56061224489795924</v>
      </c>
      <c r="DB125" s="197">
        <f t="shared" si="381"/>
        <v>350</v>
      </c>
      <c r="DC125" s="443">
        <f t="shared" si="382"/>
        <v>350</v>
      </c>
      <c r="DE125" s="217">
        <f t="shared" si="383"/>
        <v>1.4925373134328355</v>
      </c>
      <c r="DF125" s="173">
        <f t="shared" si="384"/>
        <v>1.0660980810234544</v>
      </c>
      <c r="DG125" s="173">
        <f t="shared" si="385"/>
        <v>0.27845845399866342</v>
      </c>
      <c r="DH125" s="173"/>
      <c r="DI125" s="173">
        <f t="shared" si="386"/>
        <v>0.95238095238095266</v>
      </c>
      <c r="DJ125" s="545">
        <f t="shared" si="387"/>
        <v>236.24999999999989</v>
      </c>
      <c r="DK125" s="528">
        <f t="shared" si="388"/>
        <v>0.22222222222222232</v>
      </c>
      <c r="DM125" s="173">
        <f t="shared" si="389"/>
        <v>1.0954451150103321</v>
      </c>
      <c r="DN125" s="173">
        <f t="shared" si="390"/>
        <v>1.3333333333333335</v>
      </c>
      <c r="DO125" s="173">
        <f t="shared" si="391"/>
        <v>1.135</v>
      </c>
      <c r="DQ125" s="545">
        <f t="shared" si="392"/>
        <v>150</v>
      </c>
      <c r="DR125" s="460">
        <f t="shared" si="393"/>
        <v>236.24999999999989</v>
      </c>
      <c r="DT125">
        <f t="shared" si="430"/>
        <v>150</v>
      </c>
      <c r="DU125">
        <f t="shared" si="431"/>
        <v>236.24999999999989</v>
      </c>
      <c r="DW125" s="5">
        <f t="shared" si="394"/>
        <v>4.2328042328042352</v>
      </c>
      <c r="DX125" s="5">
        <f t="shared" si="395"/>
        <v>1.6000000000000003</v>
      </c>
      <c r="DY125" s="5">
        <f t="shared" si="396"/>
        <v>2.6328042328042347</v>
      </c>
      <c r="DZ125" s="5"/>
      <c r="EA125" s="173">
        <f t="shared" si="397"/>
        <v>0.37799999999999984</v>
      </c>
      <c r="EB125" s="173">
        <f t="shared" si="398"/>
        <v>2.5199999999999991</v>
      </c>
      <c r="EC125" s="173">
        <f t="shared" si="399"/>
        <v>0.41466666666666679</v>
      </c>
      <c r="ED125" s="173">
        <f t="shared" si="400"/>
        <v>6.0771704180064265</v>
      </c>
      <c r="EE125" s="460">
        <f t="shared" si="401"/>
        <v>1.4634146341463419</v>
      </c>
      <c r="EF125" s="5">
        <f t="shared" si="402"/>
        <v>0.53972486772486794</v>
      </c>
      <c r="EH125" s="173">
        <f t="shared" si="403"/>
        <v>0.47328638264796924</v>
      </c>
      <c r="EI125" s="173">
        <f t="shared" si="404"/>
        <v>0.60711826903214894</v>
      </c>
      <c r="EK125" s="528">
        <f t="shared" si="405"/>
        <v>4.4799999999999987E-3</v>
      </c>
      <c r="EL125" s="528">
        <f t="shared" si="406"/>
        <v>0.16883999999999993</v>
      </c>
      <c r="EM125" s="528">
        <f t="shared" si="407"/>
        <v>2.9531249999999985E-2</v>
      </c>
      <c r="EN125" s="528">
        <f t="shared" si="408"/>
        <v>1.6968419999999991E-2</v>
      </c>
      <c r="EO125">
        <f t="shared" si="409"/>
        <v>4.4999999999999997E-3</v>
      </c>
      <c r="EP125" s="460">
        <f t="shared" si="410"/>
        <v>34.031249999999986</v>
      </c>
      <c r="EQ125" s="460"/>
      <c r="ER125" s="460">
        <f t="shared" si="432"/>
        <v>224.31966999999992</v>
      </c>
      <c r="ES125" s="528">
        <f t="shared" si="411"/>
        <v>0.105</v>
      </c>
      <c r="EV125" s="460">
        <f t="shared" si="412"/>
        <v>105</v>
      </c>
      <c r="EW125" s="528">
        <f t="shared" si="413"/>
        <v>6.7199999999999985E-3</v>
      </c>
      <c r="EX125" s="528">
        <f t="shared" si="414"/>
        <v>1.1057777777777783E-2</v>
      </c>
      <c r="EY125" s="528">
        <f t="shared" si="415"/>
        <v>8.8053452471708829E-2</v>
      </c>
      <c r="EZ125" s="528"/>
      <c r="FA125" s="528">
        <f t="shared" si="416"/>
        <v>2.0999999999999994E-3</v>
      </c>
      <c r="FB125" s="460">
        <f t="shared" si="417"/>
        <v>107.93123024948662</v>
      </c>
      <c r="FC125" s="173">
        <f t="shared" si="418"/>
        <v>0.43725090024948648</v>
      </c>
      <c r="FD125" s="5">
        <f t="shared" si="419"/>
        <v>2.4599999999999995</v>
      </c>
      <c r="FE125" s="173">
        <f t="shared" si="420"/>
        <v>0.8490807612789647</v>
      </c>
      <c r="FF125" s="5">
        <f t="shared" si="421"/>
        <v>84.908076127896464</v>
      </c>
      <c r="FI125" s="562">
        <f t="shared" si="422"/>
        <v>-50</v>
      </c>
      <c r="FJ125">
        <f t="shared" si="423"/>
        <v>-50</v>
      </c>
      <c r="FL125">
        <f t="shared" si="424"/>
        <v>0.22499999999999998</v>
      </c>
    </row>
    <row r="126" spans="5:168">
      <c r="E126" s="170">
        <v>16</v>
      </c>
      <c r="F126" s="217">
        <f t="shared" si="425"/>
        <v>0.16</v>
      </c>
      <c r="G126" s="217"/>
      <c r="H126" s="217">
        <f t="shared" si="315"/>
        <v>2.6239999999999997</v>
      </c>
      <c r="I126" s="541">
        <f t="shared" si="316"/>
        <v>9.9670658826646878</v>
      </c>
      <c r="J126" s="172">
        <f t="shared" si="317"/>
        <v>16.819760470401185</v>
      </c>
      <c r="K126" s="172">
        <f t="shared" si="318"/>
        <v>26.786826353065873</v>
      </c>
      <c r="L126" s="443"/>
      <c r="M126" s="217">
        <f t="shared" si="319"/>
        <v>0.62791498231559217</v>
      </c>
      <c r="N126" s="172">
        <f t="shared" si="426"/>
        <v>20.939797533140613</v>
      </c>
      <c r="O126" s="172">
        <f t="shared" si="284"/>
        <v>2.6239999999999997</v>
      </c>
      <c r="P126" s="217">
        <f t="shared" si="320"/>
        <v>1.2768169227524766</v>
      </c>
      <c r="Q126" s="217">
        <f t="shared" si="321"/>
        <v>16.399999999999999</v>
      </c>
      <c r="R126" s="217"/>
      <c r="S126" s="172">
        <f t="shared" si="322"/>
        <v>197.70026530155801</v>
      </c>
      <c r="T126" s="172">
        <f t="shared" si="323"/>
        <v>16.399999999999999</v>
      </c>
      <c r="U126" s="217">
        <f t="shared" si="324"/>
        <v>0.86001850327500962</v>
      </c>
      <c r="V126" s="217">
        <f t="shared" si="325"/>
        <v>1.03543230884524</v>
      </c>
      <c r="W126" s="217">
        <f t="shared" si="326"/>
        <v>0.61357723003613962</v>
      </c>
      <c r="X126" s="197">
        <f t="shared" si="327"/>
        <v>350</v>
      </c>
      <c r="Y126" s="443">
        <f t="shared" si="328"/>
        <v>350</v>
      </c>
      <c r="AA126" s="217">
        <f t="shared" si="329"/>
        <v>1.4901040083186818</v>
      </c>
      <c r="AB126" s="173">
        <f t="shared" si="330"/>
        <v>1.0631095568388722</v>
      </c>
      <c r="AC126" s="173">
        <f t="shared" si="331"/>
        <v>0.27722516708731271</v>
      </c>
      <c r="AD126" s="173"/>
      <c r="AE126" s="173">
        <f t="shared" si="332"/>
        <v>0.95126206036977945</v>
      </c>
      <c r="AF126" s="545">
        <f t="shared" si="333"/>
        <v>252.29640705601773</v>
      </c>
      <c r="AG126" s="528">
        <f t="shared" si="334"/>
        <v>0.22196114741961523</v>
      </c>
      <c r="AI126" s="173">
        <f t="shared" si="335"/>
        <v>1.1320360240070164</v>
      </c>
      <c r="AJ126" s="173">
        <f t="shared" si="336"/>
        <v>1.3333333333333335</v>
      </c>
      <c r="AK126" s="173">
        <f t="shared" si="337"/>
        <v>1.1441693754605815</v>
      </c>
      <c r="AM126" s="545">
        <f t="shared" si="338"/>
        <v>160</v>
      </c>
      <c r="AN126" s="460">
        <f t="shared" si="339"/>
        <v>252.29640705601773</v>
      </c>
      <c r="AP126" s="460">
        <f t="shared" si="340"/>
        <v>160</v>
      </c>
      <c r="AQ126" s="460">
        <f t="shared" si="341"/>
        <v>252.29640705601773</v>
      </c>
      <c r="AS126" s="5">
        <f t="shared" si="285"/>
        <v>3.9635919182074146</v>
      </c>
      <c r="AT126" s="5">
        <f t="shared" si="342"/>
        <v>1.6052868706153685</v>
      </c>
      <c r="AU126" s="5">
        <f t="shared" si="343"/>
        <v>2.3583050475920464</v>
      </c>
      <c r="AV126" s="5"/>
      <c r="AW126" s="173">
        <f t="shared" si="344"/>
        <v>0.40500810975045587</v>
      </c>
      <c r="AX126" s="173">
        <f t="shared" si="214"/>
        <v>2.6911616752641896</v>
      </c>
      <c r="AY126" s="173">
        <f t="shared" si="215"/>
        <v>0.39666126016636277</v>
      </c>
      <c r="AZ126" s="173">
        <f t="shared" si="288"/>
        <v>6.7845336702038805</v>
      </c>
      <c r="BA126" s="460">
        <f t="shared" si="433"/>
        <v>1.5661335323076768</v>
      </c>
      <c r="BB126" s="5">
        <f t="shared" si="434"/>
        <v>0.51738667107341318</v>
      </c>
      <c r="BD126" s="173">
        <f t="shared" si="289"/>
        <v>0.48990285340876305</v>
      </c>
      <c r="BE126" s="173">
        <f t="shared" si="218"/>
        <v>0.59379102958409935</v>
      </c>
      <c r="BG126" s="528">
        <f t="shared" si="347"/>
        <v>4.8000961155609595E-3</v>
      </c>
      <c r="BH126" s="528">
        <f t="shared" si="348"/>
        <v>0.16895550113279928</v>
      </c>
      <c r="BI126" s="528">
        <f t="shared" si="349"/>
        <v>6.2866372777172913E-2</v>
      </c>
      <c r="BJ126" s="528">
        <f t="shared" si="350"/>
        <v>1.8103126680958072E-2</v>
      </c>
      <c r="BK126">
        <f t="shared" si="351"/>
        <v>4.4851796471991091E-3</v>
      </c>
      <c r="BL126" s="460">
        <f t="shared" si="427"/>
        <v>67.351552424372017</v>
      </c>
      <c r="BM126" s="528">
        <f t="shared" si="352"/>
        <v>0.19337529495303046</v>
      </c>
      <c r="BN126" s="460">
        <f t="shared" si="353"/>
        <v>193.37529495303048</v>
      </c>
      <c r="BO126" s="528">
        <f t="shared" si="354"/>
        <v>0.11199999999999999</v>
      </c>
      <c r="BR126" s="460">
        <f t="shared" si="355"/>
        <v>111.99999999999999</v>
      </c>
      <c r="BS126" s="528">
        <f t="shared" si="356"/>
        <v>7.2001441733414388E-3</v>
      </c>
      <c r="BT126" s="528">
        <f t="shared" si="357"/>
        <v>1.0577633604436341E-2</v>
      </c>
      <c r="BU126" s="528">
        <f t="shared" si="358"/>
        <v>0.10377542253280322</v>
      </c>
      <c r="BV126" s="528"/>
      <c r="BW126" s="528">
        <f t="shared" si="359"/>
        <v>2.2426347293868247E-3</v>
      </c>
      <c r="BX126" s="460">
        <f t="shared" si="360"/>
        <v>123.79583503996783</v>
      </c>
      <c r="BY126" s="173">
        <f t="shared" si="361"/>
        <v>0.49500611139365819</v>
      </c>
      <c r="BZ126" s="5">
        <f t="shared" si="362"/>
        <v>2.6239999999999997</v>
      </c>
      <c r="CA126" s="173">
        <f t="shared" si="363"/>
        <v>0.84129363851343142</v>
      </c>
      <c r="CB126" s="5">
        <f t="shared" si="364"/>
        <v>84.129363851343143</v>
      </c>
      <c r="CE126" s="562">
        <f t="shared" si="365"/>
        <v>-50</v>
      </c>
      <c r="CF126">
        <f t="shared" si="366"/>
        <v>-50</v>
      </c>
      <c r="CG126" s="173">
        <f t="shared" si="367"/>
        <v>0.24290919712678744</v>
      </c>
      <c r="CI126" s="170">
        <v>16</v>
      </c>
      <c r="CJ126" s="217">
        <f t="shared" si="428"/>
        <v>0.16</v>
      </c>
      <c r="CK126" s="217"/>
      <c r="CL126" s="217">
        <f t="shared" si="368"/>
        <v>2.6239999999999997</v>
      </c>
      <c r="CM126" s="541">
        <f t="shared" si="369"/>
        <v>10</v>
      </c>
      <c r="CN126" s="443">
        <f t="shared" si="370"/>
        <v>16.799999999999997</v>
      </c>
      <c r="CO126" s="443">
        <f t="shared" si="371"/>
        <v>26.799999999999997</v>
      </c>
      <c r="CP126" s="443"/>
      <c r="CQ126" s="217">
        <f t="shared" si="372"/>
        <v>0.62686567164179097</v>
      </c>
      <c r="CR126" s="172">
        <f t="shared" si="429"/>
        <v>20.973880597014926</v>
      </c>
      <c r="CS126" s="172">
        <f t="shared" si="373"/>
        <v>2.6239999999999997</v>
      </c>
      <c r="CT126" s="217">
        <f t="shared" si="374"/>
        <v>1.2788951583545687</v>
      </c>
      <c r="CU126" s="217">
        <f t="shared" si="375"/>
        <v>16.399999999999999</v>
      </c>
      <c r="CV126" s="217"/>
      <c r="CW126" s="172">
        <f t="shared" si="376"/>
        <v>198.35345876926169</v>
      </c>
      <c r="CX126" s="172">
        <f t="shared" si="377"/>
        <v>16.399999999999999</v>
      </c>
      <c r="CY126" s="217">
        <f t="shared" si="378"/>
        <v>0.83718095238095236</v>
      </c>
      <c r="CZ126" s="217">
        <f t="shared" si="379"/>
        <v>1.0046171428571429</v>
      </c>
      <c r="DA126" s="217">
        <f t="shared" si="380"/>
        <v>0.59798639455782321</v>
      </c>
      <c r="DB126" s="197">
        <f t="shared" si="381"/>
        <v>350</v>
      </c>
      <c r="DC126" s="443">
        <f t="shared" si="382"/>
        <v>350</v>
      </c>
      <c r="DE126" s="217">
        <f t="shared" si="383"/>
        <v>1.4925373134328355</v>
      </c>
      <c r="DF126" s="173">
        <f t="shared" si="384"/>
        <v>1.0660980810234544</v>
      </c>
      <c r="DG126" s="173">
        <f t="shared" si="385"/>
        <v>0.27845845399866342</v>
      </c>
      <c r="DH126" s="173"/>
      <c r="DI126" s="173">
        <f t="shared" si="386"/>
        <v>0.95238095238095266</v>
      </c>
      <c r="DJ126" s="545">
        <f t="shared" si="387"/>
        <v>251.99999999999991</v>
      </c>
      <c r="DK126" s="528">
        <f t="shared" si="388"/>
        <v>0.22222222222222232</v>
      </c>
      <c r="DM126" s="173">
        <f t="shared" si="389"/>
        <v>1.131370849898476</v>
      </c>
      <c r="DN126" s="173">
        <f t="shared" si="390"/>
        <v>1.3333333333333335</v>
      </c>
      <c r="DO126" s="173">
        <f t="shared" si="391"/>
        <v>1.1439999999999999</v>
      </c>
      <c r="DQ126" s="545">
        <f t="shared" si="392"/>
        <v>160</v>
      </c>
      <c r="DR126" s="460">
        <f t="shared" si="393"/>
        <v>251.99999999999991</v>
      </c>
      <c r="DT126">
        <f t="shared" si="430"/>
        <v>160</v>
      </c>
      <c r="DU126">
        <f t="shared" si="431"/>
        <v>251.99999999999991</v>
      </c>
      <c r="DW126" s="5">
        <f t="shared" si="394"/>
        <v>3.9682539682539697</v>
      </c>
      <c r="DX126" s="5">
        <f t="shared" si="395"/>
        <v>1.6000000000000003</v>
      </c>
      <c r="DY126" s="5">
        <f t="shared" si="396"/>
        <v>2.3682539682539696</v>
      </c>
      <c r="DZ126" s="5"/>
      <c r="EA126" s="173">
        <f t="shared" si="397"/>
        <v>0.40319999999999995</v>
      </c>
      <c r="EB126" s="173">
        <f t="shared" si="398"/>
        <v>2.6879999999999997</v>
      </c>
      <c r="EC126" s="173">
        <f t="shared" si="399"/>
        <v>0.3978666666666667</v>
      </c>
      <c r="ED126" s="173">
        <f t="shared" si="400"/>
        <v>6.7560321715817677</v>
      </c>
      <c r="EE126" s="460">
        <f t="shared" si="401"/>
        <v>1.5609756097560983</v>
      </c>
      <c r="EF126" s="5">
        <f t="shared" si="402"/>
        <v>0.51785820105820124</v>
      </c>
      <c r="EH126" s="173">
        <f t="shared" si="403"/>
        <v>0.48880807412862298</v>
      </c>
      <c r="EI126" s="173">
        <f t="shared" si="404"/>
        <v>0.5946925754196527</v>
      </c>
      <c r="EK126" s="528">
        <f t="shared" si="405"/>
        <v>4.778666666666668E-3</v>
      </c>
      <c r="EL126" s="528">
        <f t="shared" si="406"/>
        <v>0.18009599999999998</v>
      </c>
      <c r="EM126" s="528">
        <f t="shared" si="407"/>
        <v>3.1499999999999986E-2</v>
      </c>
      <c r="EN126" s="528">
        <f t="shared" si="408"/>
        <v>1.8099647999999992E-2</v>
      </c>
      <c r="EO126">
        <f t="shared" si="409"/>
        <v>4.4999999999999997E-3</v>
      </c>
      <c r="EP126" s="460">
        <f t="shared" si="410"/>
        <v>35.999999999999986</v>
      </c>
      <c r="EQ126" s="460"/>
      <c r="ER126" s="460">
        <f t="shared" si="432"/>
        <v>238.97431466666666</v>
      </c>
      <c r="ES126" s="528">
        <f t="shared" si="411"/>
        <v>0.11199999999999999</v>
      </c>
      <c r="EV126" s="460">
        <f t="shared" si="412"/>
        <v>111.99999999999999</v>
      </c>
      <c r="EW126" s="528">
        <f t="shared" si="413"/>
        <v>7.1680000000000016E-3</v>
      </c>
      <c r="EX126" s="528">
        <f t="shared" si="414"/>
        <v>1.060977777777778E-2</v>
      </c>
      <c r="EY126" s="528">
        <f t="shared" si="415"/>
        <v>0.10347089313154698</v>
      </c>
      <c r="EZ126" s="528"/>
      <c r="FA126" s="528">
        <f t="shared" si="416"/>
        <v>2.2399999999999998E-3</v>
      </c>
      <c r="FB126" s="460">
        <f t="shared" si="417"/>
        <v>123.48867090932477</v>
      </c>
      <c r="FC126" s="173">
        <f t="shared" si="418"/>
        <v>0.47446298557599142</v>
      </c>
      <c r="FD126" s="5">
        <f t="shared" si="419"/>
        <v>2.6239999999999997</v>
      </c>
      <c r="FE126" s="173">
        <f t="shared" si="420"/>
        <v>0.84687150119762011</v>
      </c>
      <c r="FF126" s="5">
        <f t="shared" si="421"/>
        <v>84.687150119762009</v>
      </c>
      <c r="FI126" s="562">
        <f t="shared" si="422"/>
        <v>-50</v>
      </c>
      <c r="FJ126">
        <f t="shared" si="423"/>
        <v>-50</v>
      </c>
      <c r="FL126">
        <f t="shared" si="424"/>
        <v>0.24</v>
      </c>
    </row>
    <row r="127" spans="5:168">
      <c r="E127" s="170">
        <v>17</v>
      </c>
      <c r="F127" s="217">
        <f t="shared" si="425"/>
        <v>0.17</v>
      </c>
      <c r="G127" s="217"/>
      <c r="H127" s="217">
        <f t="shared" si="315"/>
        <v>2.7879999999999998</v>
      </c>
      <c r="I127" s="541">
        <f t="shared" si="316"/>
        <v>9.9670658826646878</v>
      </c>
      <c r="J127" s="172">
        <f t="shared" si="317"/>
        <v>16.819760470401185</v>
      </c>
      <c r="K127" s="172">
        <f t="shared" si="318"/>
        <v>26.786826353065873</v>
      </c>
      <c r="L127" s="443"/>
      <c r="M127" s="217">
        <f t="shared" si="319"/>
        <v>0.62791498231559217</v>
      </c>
      <c r="N127" s="172">
        <f t="shared" si="426"/>
        <v>20.939797533140613</v>
      </c>
      <c r="O127" s="172">
        <f t="shared" si="284"/>
        <v>2.7879999999999998</v>
      </c>
      <c r="P127" s="217">
        <f t="shared" si="320"/>
        <v>1.2768169227524766</v>
      </c>
      <c r="Q127" s="217">
        <f t="shared" si="321"/>
        <v>16.399999999999999</v>
      </c>
      <c r="R127" s="217"/>
      <c r="S127" s="172">
        <f t="shared" si="322"/>
        <v>185.48704605826225</v>
      </c>
      <c r="T127" s="172">
        <f t="shared" si="323"/>
        <v>16.399999999999999</v>
      </c>
      <c r="U127" s="217">
        <f t="shared" si="324"/>
        <v>0.91376965972969781</v>
      </c>
      <c r="V127" s="217">
        <f t="shared" si="325"/>
        <v>1.1001468281480673</v>
      </c>
      <c r="W127" s="217">
        <f t="shared" si="326"/>
        <v>0.65192580691339841</v>
      </c>
      <c r="X127" s="197">
        <f t="shared" si="327"/>
        <v>350</v>
      </c>
      <c r="Y127" s="443">
        <f t="shared" si="328"/>
        <v>350</v>
      </c>
      <c r="AA127" s="217">
        <f t="shared" si="329"/>
        <v>1.4901040083186818</v>
      </c>
      <c r="AB127" s="173">
        <f t="shared" si="330"/>
        <v>1.0631095568388722</v>
      </c>
      <c r="AC127" s="173">
        <f t="shared" si="331"/>
        <v>0.27722516708731271</v>
      </c>
      <c r="AD127" s="173"/>
      <c r="AE127" s="173">
        <f t="shared" si="332"/>
        <v>0.95126206036977945</v>
      </c>
      <c r="AF127" s="545">
        <f t="shared" si="333"/>
        <v>268.06493249701884</v>
      </c>
      <c r="AG127" s="528">
        <f t="shared" si="334"/>
        <v>0.22196114741961523</v>
      </c>
      <c r="AI127" s="173">
        <f t="shared" si="335"/>
        <v>1.1668760247462946</v>
      </c>
      <c r="AJ127" s="173">
        <f t="shared" si="336"/>
        <v>1.3333333333333335</v>
      </c>
      <c r="AK127" s="173">
        <f t="shared" si="337"/>
        <v>1.1531799614268678</v>
      </c>
      <c r="AM127" s="545">
        <f t="shared" si="338"/>
        <v>170</v>
      </c>
      <c r="AN127" s="460">
        <f t="shared" si="339"/>
        <v>268.06493249701884</v>
      </c>
      <c r="AP127" s="460">
        <f t="shared" si="340"/>
        <v>170</v>
      </c>
      <c r="AQ127" s="460">
        <f t="shared" si="341"/>
        <v>268.06493249701884</v>
      </c>
      <c r="AS127" s="5">
        <f t="shared" si="285"/>
        <v>3.7304394524305078</v>
      </c>
      <c r="AT127" s="5">
        <f t="shared" si="342"/>
        <v>1.6052868706153685</v>
      </c>
      <c r="AU127" s="5">
        <f t="shared" si="343"/>
        <v>2.1251525818151391</v>
      </c>
      <c r="AV127" s="5"/>
      <c r="AW127" s="173">
        <f t="shared" si="344"/>
        <v>0.43032111660985939</v>
      </c>
      <c r="AX127" s="173">
        <f t="shared" si="214"/>
        <v>2.8593592799682015</v>
      </c>
      <c r="AY127" s="173">
        <f t="shared" si="215"/>
        <v>0.37978592226009378</v>
      </c>
      <c r="AZ127" s="173">
        <f t="shared" si="288"/>
        <v>7.5288711676100224</v>
      </c>
      <c r="BA127" s="460">
        <f t="shared" si="433"/>
        <v>1.6640168780769067</v>
      </c>
      <c r="BB127" s="5">
        <f t="shared" si="434"/>
        <v>0.49537525786179365</v>
      </c>
      <c r="BD127" s="173">
        <f t="shared" si="289"/>
        <v>0.50498030272395378</v>
      </c>
      <c r="BE127" s="173">
        <f t="shared" si="218"/>
        <v>0.58102279340264851</v>
      </c>
      <c r="BG127" s="528">
        <f t="shared" si="347"/>
        <v>5.1001021227835199E-3</v>
      </c>
      <c r="BH127" s="528">
        <f t="shared" si="348"/>
        <v>0.17951521995359923</v>
      </c>
      <c r="BI127" s="528">
        <f t="shared" si="349"/>
        <v>6.6795521075746225E-2</v>
      </c>
      <c r="BJ127" s="528">
        <f t="shared" si="350"/>
        <v>1.9234572098517953E-2</v>
      </c>
      <c r="BK127">
        <f t="shared" si="351"/>
        <v>4.4851796471991091E-3</v>
      </c>
      <c r="BL127" s="460">
        <f t="shared" si="427"/>
        <v>71.280700722945326</v>
      </c>
      <c r="BM127" s="528">
        <f t="shared" si="352"/>
        <v>0.20547591422762101</v>
      </c>
      <c r="BN127" s="460">
        <f t="shared" si="353"/>
        <v>205.47591422762102</v>
      </c>
      <c r="BO127" s="528">
        <f t="shared" si="354"/>
        <v>0.11899999999999999</v>
      </c>
      <c r="BR127" s="460">
        <f t="shared" si="355"/>
        <v>119</v>
      </c>
      <c r="BS127" s="528">
        <f t="shared" si="356"/>
        <v>7.650153184175279E-3</v>
      </c>
      <c r="BT127" s="528">
        <f t="shared" si="357"/>
        <v>1.0127624593602504E-2</v>
      </c>
      <c r="BU127" s="528">
        <f t="shared" si="358"/>
        <v>0.12075826291098704</v>
      </c>
      <c r="BV127" s="528"/>
      <c r="BW127" s="528">
        <f t="shared" si="359"/>
        <v>2.382799399973501E-3</v>
      </c>
      <c r="BX127" s="460">
        <f t="shared" si="360"/>
        <v>140.91884008873831</v>
      </c>
      <c r="BY127" s="173">
        <f t="shared" si="361"/>
        <v>0.53504943498658442</v>
      </c>
      <c r="BZ127" s="5">
        <f t="shared" si="362"/>
        <v>2.7879999999999998</v>
      </c>
      <c r="CA127" s="173">
        <f t="shared" si="363"/>
        <v>0.83898842149221753</v>
      </c>
      <c r="CB127" s="5">
        <f t="shared" si="364"/>
        <v>83.89884214922175</v>
      </c>
      <c r="CE127" s="562">
        <f t="shared" si="365"/>
        <v>-50</v>
      </c>
      <c r="CF127">
        <f t="shared" si="366"/>
        <v>-50</v>
      </c>
      <c r="CG127" s="173">
        <f t="shared" si="367"/>
        <v>0.25809102194721162</v>
      </c>
      <c r="CI127" s="170">
        <v>17</v>
      </c>
      <c r="CJ127" s="217">
        <f t="shared" si="428"/>
        <v>0.17</v>
      </c>
      <c r="CK127" s="217"/>
      <c r="CL127" s="217">
        <f t="shared" si="368"/>
        <v>2.7879999999999998</v>
      </c>
      <c r="CM127" s="541">
        <f t="shared" si="369"/>
        <v>10</v>
      </c>
      <c r="CN127" s="443">
        <f t="shared" si="370"/>
        <v>16.799999999999997</v>
      </c>
      <c r="CO127" s="443">
        <f t="shared" si="371"/>
        <v>26.799999999999997</v>
      </c>
      <c r="CP127" s="443"/>
      <c r="CQ127" s="217">
        <f t="shared" si="372"/>
        <v>0.62686567164179097</v>
      </c>
      <c r="CR127" s="172">
        <f t="shared" si="429"/>
        <v>20.973880597014926</v>
      </c>
      <c r="CS127" s="172">
        <f t="shared" si="373"/>
        <v>2.7879999999999998</v>
      </c>
      <c r="CT127" s="217">
        <f t="shared" si="374"/>
        <v>1.2788951583545687</v>
      </c>
      <c r="CU127" s="217">
        <f t="shared" si="375"/>
        <v>16.399999999999999</v>
      </c>
      <c r="CV127" s="217"/>
      <c r="CW127" s="172">
        <f t="shared" si="376"/>
        <v>186.09987910763144</v>
      </c>
      <c r="CX127" s="172">
        <f t="shared" si="377"/>
        <v>16.399999999999999</v>
      </c>
      <c r="CY127" s="217">
        <f t="shared" si="378"/>
        <v>0.88950476190476191</v>
      </c>
      <c r="CZ127" s="217">
        <f t="shared" si="379"/>
        <v>1.0674057142857143</v>
      </c>
      <c r="DA127" s="217">
        <f t="shared" si="380"/>
        <v>0.63536054421768728</v>
      </c>
      <c r="DB127" s="197">
        <f t="shared" si="381"/>
        <v>350</v>
      </c>
      <c r="DC127" s="443">
        <f t="shared" si="382"/>
        <v>350</v>
      </c>
      <c r="DE127" s="217">
        <f t="shared" si="383"/>
        <v>1.4925373134328355</v>
      </c>
      <c r="DF127" s="173">
        <f t="shared" si="384"/>
        <v>1.0660980810234544</v>
      </c>
      <c r="DG127" s="173">
        <f t="shared" si="385"/>
        <v>0.27845845399866342</v>
      </c>
      <c r="DH127" s="173"/>
      <c r="DI127" s="173">
        <f t="shared" si="386"/>
        <v>0.95238095238095266</v>
      </c>
      <c r="DJ127" s="545">
        <f t="shared" si="387"/>
        <v>267.74999999999989</v>
      </c>
      <c r="DK127" s="528">
        <f t="shared" si="388"/>
        <v>0.22222222222222232</v>
      </c>
      <c r="DM127" s="173">
        <f t="shared" si="389"/>
        <v>1.16619037896906</v>
      </c>
      <c r="DN127" s="173">
        <f t="shared" si="390"/>
        <v>1.3333333333333335</v>
      </c>
      <c r="DO127" s="173">
        <f t="shared" si="391"/>
        <v>1.153</v>
      </c>
      <c r="DQ127" s="545">
        <f t="shared" si="392"/>
        <v>170</v>
      </c>
      <c r="DR127" s="460">
        <f t="shared" si="393"/>
        <v>267.74999999999989</v>
      </c>
      <c r="DT127">
        <f t="shared" si="430"/>
        <v>170</v>
      </c>
      <c r="DU127">
        <f t="shared" si="431"/>
        <v>267.74999999999989</v>
      </c>
      <c r="DW127" s="5">
        <f t="shared" si="394"/>
        <v>3.7348272642390303</v>
      </c>
      <c r="DX127" s="5">
        <f t="shared" si="395"/>
        <v>1.6000000000000003</v>
      </c>
      <c r="DY127" s="5">
        <f t="shared" si="396"/>
        <v>2.1348272642390302</v>
      </c>
      <c r="DZ127" s="5"/>
      <c r="EA127" s="173">
        <f t="shared" si="397"/>
        <v>0.42839999999999995</v>
      </c>
      <c r="EB127" s="173">
        <f t="shared" si="398"/>
        <v>2.8559999999999994</v>
      </c>
      <c r="EC127" s="173">
        <f t="shared" si="399"/>
        <v>0.38106666666666678</v>
      </c>
      <c r="ED127" s="173">
        <f t="shared" si="400"/>
        <v>7.4947515745276378</v>
      </c>
      <c r="EE127" s="460">
        <f t="shared" si="401"/>
        <v>1.6585365853658545</v>
      </c>
      <c r="EF127" s="5">
        <f t="shared" si="402"/>
        <v>0.49599153439153465</v>
      </c>
      <c r="EH127" s="173">
        <f t="shared" si="403"/>
        <v>0.50385183007176493</v>
      </c>
      <c r="EI127" s="173">
        <f t="shared" si="404"/>
        <v>0.58200165457318598</v>
      </c>
      <c r="EK127" s="528">
        <f t="shared" si="405"/>
        <v>5.0773333333333339E-3</v>
      </c>
      <c r="EL127" s="528">
        <f t="shared" si="406"/>
        <v>0.19135199999999994</v>
      </c>
      <c r="EM127" s="528">
        <f t="shared" si="407"/>
        <v>3.3468749999999985E-2</v>
      </c>
      <c r="EN127" s="528">
        <f t="shared" si="408"/>
        <v>1.9230875999999991E-2</v>
      </c>
      <c r="EO127">
        <f t="shared" si="409"/>
        <v>4.4999999999999997E-3</v>
      </c>
      <c r="EP127" s="460">
        <f t="shared" si="410"/>
        <v>37.968749999999979</v>
      </c>
      <c r="EQ127" s="460"/>
      <c r="ER127" s="460">
        <f t="shared" si="432"/>
        <v>253.62895933333323</v>
      </c>
      <c r="ES127" s="528">
        <f t="shared" si="411"/>
        <v>0.11899999999999999</v>
      </c>
      <c r="EV127" s="460">
        <f t="shared" si="412"/>
        <v>119</v>
      </c>
      <c r="EW127" s="528">
        <f t="shared" si="413"/>
        <v>7.6160000000000004E-3</v>
      </c>
      <c r="EX127" s="528">
        <f t="shared" si="414"/>
        <v>1.0161777777777782E-2</v>
      </c>
      <c r="EY127" s="528">
        <f t="shared" si="415"/>
        <v>0.12040389729528063</v>
      </c>
      <c r="EZ127" s="528"/>
      <c r="FA127" s="528">
        <f t="shared" si="416"/>
        <v>2.3799999999999993E-3</v>
      </c>
      <c r="FB127" s="460">
        <f t="shared" si="417"/>
        <v>140.56167507305838</v>
      </c>
      <c r="FC127" s="173">
        <f t="shared" si="418"/>
        <v>0.51319063440639168</v>
      </c>
      <c r="FD127" s="5">
        <f t="shared" si="419"/>
        <v>2.7879999999999998</v>
      </c>
      <c r="FE127" s="173">
        <f t="shared" si="420"/>
        <v>0.84454377488603538</v>
      </c>
      <c r="FF127" s="5">
        <f t="shared" si="421"/>
        <v>84.454377488603541</v>
      </c>
      <c r="FI127" s="562">
        <f t="shared" si="422"/>
        <v>-50</v>
      </c>
      <c r="FJ127">
        <f t="shared" si="423"/>
        <v>-50</v>
      </c>
      <c r="FL127">
        <f t="shared" si="424"/>
        <v>0.255</v>
      </c>
    </row>
    <row r="128" spans="5:168">
      <c r="E128" s="170">
        <v>18</v>
      </c>
      <c r="F128" s="217">
        <f t="shared" si="425"/>
        <v>0.18</v>
      </c>
      <c r="G128" s="217"/>
      <c r="H128" s="217">
        <f t="shared" si="315"/>
        <v>2.9519999999999995</v>
      </c>
      <c r="I128" s="541">
        <f t="shared" si="316"/>
        <v>9.9670658826646878</v>
      </c>
      <c r="J128" s="172">
        <f t="shared" si="317"/>
        <v>16.819760470401185</v>
      </c>
      <c r="K128" s="172">
        <f t="shared" si="318"/>
        <v>26.786826353065873</v>
      </c>
      <c r="L128" s="443"/>
      <c r="M128" s="217">
        <f t="shared" si="319"/>
        <v>0.62791498231559217</v>
      </c>
      <c r="N128" s="172">
        <f t="shared" si="426"/>
        <v>20.939797533140613</v>
      </c>
      <c r="O128" s="172">
        <f t="shared" si="284"/>
        <v>2.9519999999999995</v>
      </c>
      <c r="P128" s="217">
        <f t="shared" si="320"/>
        <v>1.2768169227524766</v>
      </c>
      <c r="Q128" s="217">
        <f t="shared" si="321"/>
        <v>16.399999999999999</v>
      </c>
      <c r="R128" s="217"/>
      <c r="S128" s="172">
        <f t="shared" si="322"/>
        <v>174.63100606991034</v>
      </c>
      <c r="T128" s="172">
        <f t="shared" si="323"/>
        <v>16.399999999999999</v>
      </c>
      <c r="U128" s="217">
        <f t="shared" si="324"/>
        <v>0.96752081618438579</v>
      </c>
      <c r="V128" s="217">
        <f t="shared" si="325"/>
        <v>1.1648613474508949</v>
      </c>
      <c r="W128" s="217">
        <f t="shared" si="326"/>
        <v>0.69027438379065709</v>
      </c>
      <c r="X128" s="197">
        <f t="shared" si="327"/>
        <v>350</v>
      </c>
      <c r="Y128" s="443">
        <f t="shared" si="328"/>
        <v>350</v>
      </c>
      <c r="AA128" s="217">
        <f t="shared" si="329"/>
        <v>1.4901040083186818</v>
      </c>
      <c r="AB128" s="173">
        <f t="shared" si="330"/>
        <v>1.0631095568388722</v>
      </c>
      <c r="AC128" s="173">
        <f t="shared" si="331"/>
        <v>0.27722516708731271</v>
      </c>
      <c r="AD128" s="173"/>
      <c r="AE128" s="173">
        <f t="shared" si="332"/>
        <v>0.95126206036977945</v>
      </c>
      <c r="AF128" s="545">
        <f t="shared" si="333"/>
        <v>283.83345793801993</v>
      </c>
      <c r="AG128" s="528">
        <f t="shared" si="334"/>
        <v>0.22196114741961523</v>
      </c>
      <c r="AI128" s="173">
        <f t="shared" si="335"/>
        <v>1.2007055236842279</v>
      </c>
      <c r="AJ128" s="173">
        <f t="shared" si="336"/>
        <v>1.3333333333333335</v>
      </c>
      <c r="AK128" s="173">
        <f t="shared" si="337"/>
        <v>1.1621905473931542</v>
      </c>
      <c r="AM128" s="545">
        <f t="shared" si="338"/>
        <v>180</v>
      </c>
      <c r="AN128" s="460">
        <f t="shared" si="339"/>
        <v>283.83345793801993</v>
      </c>
      <c r="AP128" s="460">
        <f t="shared" si="340"/>
        <v>180</v>
      </c>
      <c r="AQ128" s="460">
        <f t="shared" si="341"/>
        <v>283.83345793801993</v>
      </c>
      <c r="AS128" s="5">
        <f t="shared" si="285"/>
        <v>3.5231928161843689</v>
      </c>
      <c r="AT128" s="5">
        <f t="shared" si="342"/>
        <v>1.6052868706153685</v>
      </c>
      <c r="AU128" s="5">
        <f t="shared" si="343"/>
        <v>1.9179059455690004</v>
      </c>
      <c r="AV128" s="5"/>
      <c r="AW128" s="173">
        <f t="shared" si="344"/>
        <v>0.4556341234692628</v>
      </c>
      <c r="AX128" s="173">
        <f t="shared" si="214"/>
        <v>3.0275568846722134</v>
      </c>
      <c r="AY128" s="173">
        <f t="shared" si="215"/>
        <v>0.36291058435382484</v>
      </c>
      <c r="AZ128" s="173">
        <f t="shared" si="288"/>
        <v>8.3424320347748626</v>
      </c>
      <c r="BA128" s="460">
        <f t="shared" si="433"/>
        <v>1.7619002238461361</v>
      </c>
      <c r="BB128" s="5">
        <f t="shared" si="434"/>
        <v>0.47336384465017423</v>
      </c>
      <c r="BD128" s="173">
        <f t="shared" si="289"/>
        <v>0.51962044465196322</v>
      </c>
      <c r="BE128" s="173">
        <f t="shared" si="218"/>
        <v>0.56796759246658501</v>
      </c>
      <c r="BG128" s="528">
        <f t="shared" si="347"/>
        <v>5.4001081300060795E-3</v>
      </c>
      <c r="BH128" s="528">
        <f t="shared" si="348"/>
        <v>0.19007493877439918</v>
      </c>
      <c r="BI128" s="528">
        <f t="shared" si="349"/>
        <v>7.0724669374319538E-2</v>
      </c>
      <c r="BJ128" s="528">
        <f t="shared" si="350"/>
        <v>2.036601751607783E-2</v>
      </c>
      <c r="BK128">
        <f t="shared" si="351"/>
        <v>4.4851796471991091E-3</v>
      </c>
      <c r="BL128" s="460">
        <f t="shared" si="427"/>
        <v>75.20984902151865</v>
      </c>
      <c r="BM128" s="528">
        <f t="shared" si="352"/>
        <v>0.21757826081729689</v>
      </c>
      <c r="BN128" s="460">
        <f t="shared" si="353"/>
        <v>217.57826081729689</v>
      </c>
      <c r="BO128" s="528">
        <f t="shared" si="354"/>
        <v>0.126</v>
      </c>
      <c r="BR128" s="460">
        <f t="shared" si="355"/>
        <v>126</v>
      </c>
      <c r="BS128" s="528">
        <f t="shared" si="356"/>
        <v>8.1001621950091193E-3</v>
      </c>
      <c r="BT128" s="528">
        <f t="shared" si="357"/>
        <v>9.6776155827686637E-3</v>
      </c>
      <c r="BU128" s="528">
        <f t="shared" si="358"/>
        <v>0.13930792276099199</v>
      </c>
      <c r="BV128" s="528"/>
      <c r="BW128" s="528">
        <f t="shared" si="359"/>
        <v>2.5229640705601779E-3</v>
      </c>
      <c r="BX128" s="460">
        <f t="shared" si="360"/>
        <v>159.60866460932996</v>
      </c>
      <c r="BY128" s="173">
        <f t="shared" si="361"/>
        <v>0.57665957805133172</v>
      </c>
      <c r="BZ128" s="5">
        <f t="shared" si="362"/>
        <v>2.9519999999999995</v>
      </c>
      <c r="CA128" s="173">
        <f t="shared" si="363"/>
        <v>0.83657829119073401</v>
      </c>
      <c r="CB128" s="5">
        <f t="shared" si="364"/>
        <v>83.657829119073398</v>
      </c>
      <c r="CE128" s="562">
        <f t="shared" si="365"/>
        <v>-50</v>
      </c>
      <c r="CF128">
        <f t="shared" si="366"/>
        <v>-50</v>
      </c>
      <c r="CG128" s="173">
        <f t="shared" si="367"/>
        <v>0.2732728467676358</v>
      </c>
      <c r="CI128" s="170">
        <v>18</v>
      </c>
      <c r="CJ128" s="217">
        <f t="shared" si="428"/>
        <v>0.18</v>
      </c>
      <c r="CK128" s="217"/>
      <c r="CL128" s="217">
        <f t="shared" si="368"/>
        <v>2.9519999999999995</v>
      </c>
      <c r="CM128" s="541">
        <f t="shared" si="369"/>
        <v>10</v>
      </c>
      <c r="CN128" s="443">
        <f t="shared" si="370"/>
        <v>16.799999999999997</v>
      </c>
      <c r="CO128" s="443">
        <f t="shared" si="371"/>
        <v>26.799999999999997</v>
      </c>
      <c r="CP128" s="443"/>
      <c r="CQ128" s="217">
        <f t="shared" si="372"/>
        <v>0.62686567164179097</v>
      </c>
      <c r="CR128" s="172">
        <f t="shared" si="429"/>
        <v>20.973880597014926</v>
      </c>
      <c r="CS128" s="172">
        <f t="shared" si="373"/>
        <v>2.9519999999999995</v>
      </c>
      <c r="CT128" s="217">
        <f t="shared" si="374"/>
        <v>1.2788951583545687</v>
      </c>
      <c r="CU128" s="217">
        <f t="shared" si="375"/>
        <v>16.399999999999999</v>
      </c>
      <c r="CV128" s="217"/>
      <c r="CW128" s="172">
        <f t="shared" si="376"/>
        <v>175.20796319551692</v>
      </c>
      <c r="CX128" s="172">
        <f t="shared" si="377"/>
        <v>16.399999999999999</v>
      </c>
      <c r="CY128" s="217">
        <f t="shared" si="378"/>
        <v>0.94182857142857135</v>
      </c>
      <c r="CZ128" s="217">
        <f t="shared" si="379"/>
        <v>1.1301942857142857</v>
      </c>
      <c r="DA128" s="217">
        <f t="shared" si="380"/>
        <v>0.67273469387755114</v>
      </c>
      <c r="DB128" s="197">
        <f t="shared" si="381"/>
        <v>350</v>
      </c>
      <c r="DC128" s="443">
        <f t="shared" si="382"/>
        <v>350</v>
      </c>
      <c r="DE128" s="217">
        <f t="shared" si="383"/>
        <v>1.4925373134328355</v>
      </c>
      <c r="DF128" s="173">
        <f t="shared" si="384"/>
        <v>1.0660980810234544</v>
      </c>
      <c r="DG128" s="173">
        <f t="shared" si="385"/>
        <v>0.27845845399866342</v>
      </c>
      <c r="DH128" s="173"/>
      <c r="DI128" s="173">
        <f t="shared" si="386"/>
        <v>0.95238095238095266</v>
      </c>
      <c r="DJ128" s="545">
        <f t="shared" si="387"/>
        <v>283.49999999999989</v>
      </c>
      <c r="DK128" s="528">
        <f t="shared" si="388"/>
        <v>0.22222222222222232</v>
      </c>
      <c r="DM128" s="173">
        <f t="shared" si="389"/>
        <v>1.2</v>
      </c>
      <c r="DN128" s="173">
        <f t="shared" si="390"/>
        <v>1.3333333333333335</v>
      </c>
      <c r="DO128" s="173">
        <f t="shared" si="391"/>
        <v>1.1619999999999999</v>
      </c>
      <c r="DQ128" s="545">
        <f t="shared" si="392"/>
        <v>180</v>
      </c>
      <c r="DR128" s="460">
        <f t="shared" si="393"/>
        <v>283.49999999999989</v>
      </c>
      <c r="DT128">
        <f t="shared" si="430"/>
        <v>180</v>
      </c>
      <c r="DU128">
        <f t="shared" si="431"/>
        <v>283.49999999999989</v>
      </c>
      <c r="DW128" s="5">
        <f t="shared" si="394"/>
        <v>3.5273368606701956</v>
      </c>
      <c r="DX128" s="5">
        <f t="shared" si="395"/>
        <v>1.6000000000000003</v>
      </c>
      <c r="DY128" s="5">
        <f t="shared" si="396"/>
        <v>1.9273368606701953</v>
      </c>
      <c r="DZ128" s="5"/>
      <c r="EA128" s="173">
        <f t="shared" si="397"/>
        <v>0.45359999999999989</v>
      </c>
      <c r="EB128" s="173">
        <f t="shared" si="398"/>
        <v>3.0239999999999991</v>
      </c>
      <c r="EC128" s="173">
        <f t="shared" si="399"/>
        <v>0.36426666666666679</v>
      </c>
      <c r="ED128" s="173">
        <f t="shared" si="400"/>
        <v>8.3016105417276673</v>
      </c>
      <c r="EE128" s="460">
        <f t="shared" si="401"/>
        <v>1.7560975609756102</v>
      </c>
      <c r="EF128" s="5">
        <f t="shared" si="402"/>
        <v>0.47412486772486795</v>
      </c>
      <c r="EH128" s="173">
        <f t="shared" si="403"/>
        <v>0.51845925587262887</v>
      </c>
      <c r="EI128" s="173">
        <f t="shared" si="404"/>
        <v>0.56902776082770579</v>
      </c>
      <c r="EK128" s="528">
        <f t="shared" si="405"/>
        <v>5.3760000000000006E-3</v>
      </c>
      <c r="EL128" s="528">
        <f t="shared" si="406"/>
        <v>0.20260799999999993</v>
      </c>
      <c r="EM128" s="528">
        <f t="shared" si="407"/>
        <v>3.543749999999999E-2</v>
      </c>
      <c r="EN128" s="528">
        <f t="shared" si="408"/>
        <v>2.0362103999999989E-2</v>
      </c>
      <c r="EO128">
        <f t="shared" si="409"/>
        <v>4.4999999999999997E-3</v>
      </c>
      <c r="EP128" s="460">
        <f t="shared" si="410"/>
        <v>39.937499999999986</v>
      </c>
      <c r="EQ128" s="460"/>
      <c r="ER128" s="460">
        <f t="shared" si="432"/>
        <v>268.28360399999991</v>
      </c>
      <c r="ES128" s="528">
        <f t="shared" si="411"/>
        <v>0.126</v>
      </c>
      <c r="EV128" s="460">
        <f t="shared" si="412"/>
        <v>126</v>
      </c>
      <c r="EW128" s="528">
        <f t="shared" si="413"/>
        <v>8.0640000000000017E-3</v>
      </c>
      <c r="EX128" s="528">
        <f t="shared" si="414"/>
        <v>9.7137777777777812E-3</v>
      </c>
      <c r="EY128" s="528">
        <f t="shared" si="415"/>
        <v>0.13889912309269603</v>
      </c>
      <c r="EZ128" s="528"/>
      <c r="FA128" s="528">
        <f t="shared" si="416"/>
        <v>2.5199999999999992E-3</v>
      </c>
      <c r="FB128" s="460">
        <f t="shared" si="417"/>
        <v>159.1969008704738</v>
      </c>
      <c r="FC128" s="173">
        <f t="shared" si="418"/>
        <v>0.55348050487047373</v>
      </c>
      <c r="FD128" s="5">
        <f t="shared" si="419"/>
        <v>2.9519999999999995</v>
      </c>
      <c r="FE128" s="173">
        <f t="shared" si="420"/>
        <v>0.84210994638210812</v>
      </c>
      <c r="FF128" s="5">
        <f t="shared" si="421"/>
        <v>84.210994638210806</v>
      </c>
      <c r="FI128" s="562">
        <f t="shared" si="422"/>
        <v>-50</v>
      </c>
      <c r="FJ128">
        <f t="shared" si="423"/>
        <v>-50</v>
      </c>
      <c r="FL128">
        <f t="shared" si="424"/>
        <v>0.26999999999999996</v>
      </c>
    </row>
    <row r="129" spans="5:168">
      <c r="E129" s="170">
        <v>19</v>
      </c>
      <c r="F129" s="217">
        <f t="shared" si="425"/>
        <v>0.19</v>
      </c>
      <c r="G129" s="217"/>
      <c r="H129" s="217">
        <f t="shared" si="315"/>
        <v>3.1159999999999997</v>
      </c>
      <c r="I129" s="541">
        <f t="shared" si="316"/>
        <v>9.9670658826646878</v>
      </c>
      <c r="J129" s="172">
        <f t="shared" si="317"/>
        <v>16.819760470401185</v>
      </c>
      <c r="K129" s="172">
        <f t="shared" si="318"/>
        <v>26.786826353065873</v>
      </c>
      <c r="L129" s="443"/>
      <c r="M129" s="217">
        <f t="shared" si="319"/>
        <v>0.62791498231559217</v>
      </c>
      <c r="N129" s="172">
        <f t="shared" si="426"/>
        <v>20.939797533140613</v>
      </c>
      <c r="O129" s="172">
        <f t="shared" si="284"/>
        <v>3.1159999999999997</v>
      </c>
      <c r="P129" s="217">
        <f t="shared" si="320"/>
        <v>1.2768169227524766</v>
      </c>
      <c r="Q129" s="217">
        <f t="shared" si="321"/>
        <v>16.399999999999999</v>
      </c>
      <c r="R129" s="217"/>
      <c r="S129" s="172">
        <f t="shared" si="322"/>
        <v>164.91785520313277</v>
      </c>
      <c r="T129" s="172">
        <f t="shared" si="323"/>
        <v>16.399999999999999</v>
      </c>
      <c r="U129" s="217">
        <f t="shared" si="324"/>
        <v>1.021271972639074</v>
      </c>
      <c r="V129" s="217">
        <f t="shared" si="325"/>
        <v>1.2295758667537224</v>
      </c>
      <c r="W129" s="217">
        <f t="shared" si="326"/>
        <v>0.72862296066791588</v>
      </c>
      <c r="X129" s="197">
        <f t="shared" si="327"/>
        <v>350</v>
      </c>
      <c r="Y129" s="443">
        <f t="shared" si="328"/>
        <v>350</v>
      </c>
      <c r="AA129" s="217">
        <f t="shared" si="329"/>
        <v>1.4901040083186818</v>
      </c>
      <c r="AB129" s="173">
        <f t="shared" si="330"/>
        <v>1.0631095568388722</v>
      </c>
      <c r="AC129" s="173">
        <f t="shared" si="331"/>
        <v>0.27722516708731271</v>
      </c>
      <c r="AD129" s="173"/>
      <c r="AE129" s="173">
        <f t="shared" si="332"/>
        <v>0.95126206036977945</v>
      </c>
      <c r="AF129" s="545">
        <f t="shared" si="333"/>
        <v>299.60198337902108</v>
      </c>
      <c r="AG129" s="528">
        <f t="shared" si="334"/>
        <v>0.22196114741961523</v>
      </c>
      <c r="AI129" s="173">
        <f t="shared" si="335"/>
        <v>1.2336076572735422</v>
      </c>
      <c r="AJ129" s="173">
        <f t="shared" si="336"/>
        <v>1.3333333333333335</v>
      </c>
      <c r="AK129" s="173">
        <f t="shared" si="337"/>
        <v>1.1712011333594405</v>
      </c>
      <c r="AM129" s="545">
        <f t="shared" si="338"/>
        <v>190</v>
      </c>
      <c r="AN129" s="460">
        <f t="shared" si="339"/>
        <v>299.60198337902108</v>
      </c>
      <c r="AP129" s="460">
        <f t="shared" si="340"/>
        <v>190</v>
      </c>
      <c r="AQ129" s="460">
        <f t="shared" si="341"/>
        <v>299.60198337902108</v>
      </c>
      <c r="AS129" s="5">
        <f t="shared" si="285"/>
        <v>3.3377616153325596</v>
      </c>
      <c r="AT129" s="5">
        <f t="shared" si="342"/>
        <v>1.6052868706153685</v>
      </c>
      <c r="AU129" s="5">
        <f t="shared" si="343"/>
        <v>1.7324747447171911</v>
      </c>
      <c r="AV129" s="5"/>
      <c r="AW129" s="173">
        <f t="shared" si="344"/>
        <v>0.48094713032866637</v>
      </c>
      <c r="AX129" s="173">
        <f t="shared" si="214"/>
        <v>3.1957544893762257</v>
      </c>
      <c r="AY129" s="173">
        <f t="shared" si="215"/>
        <v>0.34603524644755584</v>
      </c>
      <c r="AZ129" s="173">
        <f t="shared" si="288"/>
        <v>9.2353438621766681</v>
      </c>
      <c r="BA129" s="460">
        <f t="shared" si="433"/>
        <v>1.8597835696153664</v>
      </c>
      <c r="BB129" s="5">
        <f t="shared" si="434"/>
        <v>0.45135243143855475</v>
      </c>
      <c r="BD129" s="173">
        <f t="shared" si="289"/>
        <v>0.53385925754025465</v>
      </c>
      <c r="BE129" s="173">
        <f t="shared" si="218"/>
        <v>0.55460516201272492</v>
      </c>
      <c r="BG129" s="528">
        <f t="shared" si="347"/>
        <v>5.7001141372286391E-3</v>
      </c>
      <c r="BH129" s="528">
        <f t="shared" si="348"/>
        <v>0.20063465759519916</v>
      </c>
      <c r="BI129" s="528">
        <f t="shared" si="349"/>
        <v>7.465381767289285E-2</v>
      </c>
      <c r="BJ129" s="528">
        <f t="shared" si="350"/>
        <v>2.1497462933637714E-2</v>
      </c>
      <c r="BK129">
        <f t="shared" si="351"/>
        <v>4.4851796471991091E-3</v>
      </c>
      <c r="BL129" s="460">
        <f t="shared" si="427"/>
        <v>79.13899732009196</v>
      </c>
      <c r="BM129" s="528">
        <f t="shared" si="352"/>
        <v>0.22968233509193547</v>
      </c>
      <c r="BN129" s="460">
        <f t="shared" si="353"/>
        <v>229.68233509193547</v>
      </c>
      <c r="BO129" s="528">
        <f t="shared" si="354"/>
        <v>0.13299999999999998</v>
      </c>
      <c r="BR129" s="460">
        <f t="shared" si="355"/>
        <v>132.99999999999997</v>
      </c>
      <c r="BS129" s="528">
        <f t="shared" si="356"/>
        <v>8.5501712058429578E-3</v>
      </c>
      <c r="BT129" s="528">
        <f t="shared" si="357"/>
        <v>9.2276065719348252E-3</v>
      </c>
      <c r="BU129" s="528">
        <f t="shared" si="358"/>
        <v>0.1594698391126799</v>
      </c>
      <c r="BV129" s="528"/>
      <c r="BW129" s="528">
        <f t="shared" si="359"/>
        <v>2.6631287411468542E-3</v>
      </c>
      <c r="BX129" s="460">
        <f t="shared" si="360"/>
        <v>179.91074563160453</v>
      </c>
      <c r="BY129" s="173">
        <f t="shared" si="361"/>
        <v>0.61988197761776198</v>
      </c>
      <c r="BZ129" s="5">
        <f t="shared" si="362"/>
        <v>3.1159999999999997</v>
      </c>
      <c r="CA129" s="173">
        <f t="shared" si="363"/>
        <v>0.83407345806651023</v>
      </c>
      <c r="CB129" s="5">
        <f t="shared" si="364"/>
        <v>83.407345806651023</v>
      </c>
      <c r="CE129" s="562">
        <f t="shared" si="365"/>
        <v>-50</v>
      </c>
      <c r="CF129">
        <f t="shared" si="366"/>
        <v>-50</v>
      </c>
      <c r="CG129" s="173">
        <f t="shared" si="367"/>
        <v>0.2884546715880601</v>
      </c>
      <c r="CI129" s="170">
        <v>19</v>
      </c>
      <c r="CJ129" s="217">
        <f t="shared" si="428"/>
        <v>0.19</v>
      </c>
      <c r="CK129" s="217"/>
      <c r="CL129" s="217">
        <f t="shared" si="368"/>
        <v>3.1159999999999997</v>
      </c>
      <c r="CM129" s="541">
        <f t="shared" si="369"/>
        <v>10</v>
      </c>
      <c r="CN129" s="443">
        <f t="shared" si="370"/>
        <v>16.799999999999997</v>
      </c>
      <c r="CO129" s="443">
        <f t="shared" si="371"/>
        <v>26.799999999999997</v>
      </c>
      <c r="CP129" s="443"/>
      <c r="CQ129" s="217">
        <f t="shared" si="372"/>
        <v>0.62686567164179097</v>
      </c>
      <c r="CR129" s="172">
        <f t="shared" si="429"/>
        <v>20.973880597014926</v>
      </c>
      <c r="CS129" s="172">
        <f t="shared" si="373"/>
        <v>3.1159999999999997</v>
      </c>
      <c r="CT129" s="217">
        <f t="shared" si="374"/>
        <v>1.2788951583545687</v>
      </c>
      <c r="CU129" s="217">
        <f t="shared" si="375"/>
        <v>16.399999999999999</v>
      </c>
      <c r="CV129" s="217"/>
      <c r="CW129" s="172">
        <f t="shared" si="376"/>
        <v>165.46271282172788</v>
      </c>
      <c r="CX129" s="172">
        <f t="shared" si="377"/>
        <v>16.399999999999999</v>
      </c>
      <c r="CY129" s="217">
        <f t="shared" si="378"/>
        <v>0.9941523809523809</v>
      </c>
      <c r="CZ129" s="217">
        <f t="shared" si="379"/>
        <v>1.1929828571428569</v>
      </c>
      <c r="DA129" s="217">
        <f t="shared" si="380"/>
        <v>0.7101088435374151</v>
      </c>
      <c r="DB129" s="197">
        <f t="shared" si="381"/>
        <v>350</v>
      </c>
      <c r="DC129" s="443">
        <f t="shared" si="382"/>
        <v>350</v>
      </c>
      <c r="DE129" s="217">
        <f t="shared" si="383"/>
        <v>1.4925373134328355</v>
      </c>
      <c r="DF129" s="173">
        <f t="shared" si="384"/>
        <v>1.0660980810234544</v>
      </c>
      <c r="DG129" s="173">
        <f t="shared" si="385"/>
        <v>0.27845845399866342</v>
      </c>
      <c r="DH129" s="173"/>
      <c r="DI129" s="173">
        <f t="shared" si="386"/>
        <v>0.95238095238095266</v>
      </c>
      <c r="DJ129" s="545">
        <f t="shared" si="387"/>
        <v>299.24999999999989</v>
      </c>
      <c r="DK129" s="528">
        <f t="shared" si="388"/>
        <v>0.22222222222222232</v>
      </c>
      <c r="DM129" s="173">
        <f t="shared" si="389"/>
        <v>1.2328828005937951</v>
      </c>
      <c r="DN129" s="173">
        <f t="shared" si="390"/>
        <v>1.3333333333333335</v>
      </c>
      <c r="DO129" s="173">
        <f t="shared" si="391"/>
        <v>1.1709999999999998</v>
      </c>
      <c r="DQ129" s="545">
        <f t="shared" si="392"/>
        <v>190</v>
      </c>
      <c r="DR129" s="460">
        <f t="shared" si="393"/>
        <v>299.24999999999989</v>
      </c>
      <c r="DT129">
        <f t="shared" si="430"/>
        <v>190</v>
      </c>
      <c r="DU129">
        <f t="shared" si="431"/>
        <v>299.24999999999989</v>
      </c>
      <c r="DW129" s="5">
        <f t="shared" si="394"/>
        <v>3.3416875522138692</v>
      </c>
      <c r="DX129" s="5">
        <f t="shared" si="395"/>
        <v>1.6000000000000003</v>
      </c>
      <c r="DY129" s="5">
        <f t="shared" si="396"/>
        <v>1.7416875522138688</v>
      </c>
      <c r="DZ129" s="5"/>
      <c r="EA129" s="173">
        <f t="shared" si="397"/>
        <v>0.47879999999999995</v>
      </c>
      <c r="EB129" s="173">
        <f t="shared" si="398"/>
        <v>3.1919999999999997</v>
      </c>
      <c r="EC129" s="173">
        <f t="shared" si="399"/>
        <v>0.34746666666666676</v>
      </c>
      <c r="ED129" s="173">
        <f t="shared" si="400"/>
        <v>9.1864927091327679</v>
      </c>
      <c r="EE129" s="460">
        <f t="shared" si="401"/>
        <v>1.8536585365853664</v>
      </c>
      <c r="EF129" s="5">
        <f t="shared" si="402"/>
        <v>0.45225820105820125</v>
      </c>
      <c r="EH129" s="173">
        <f t="shared" si="403"/>
        <v>0.53266624947835151</v>
      </c>
      <c r="EI129" s="173">
        <f t="shared" si="404"/>
        <v>0.55575107670544321</v>
      </c>
      <c r="EK129" s="528">
        <f t="shared" si="405"/>
        <v>5.6746666666666681E-3</v>
      </c>
      <c r="EL129" s="528">
        <f t="shared" si="406"/>
        <v>0.21386399999999994</v>
      </c>
      <c r="EM129" s="528">
        <f t="shared" si="407"/>
        <v>3.7406249999999981E-2</v>
      </c>
      <c r="EN129" s="528">
        <f t="shared" si="408"/>
        <v>2.149333199999999E-2</v>
      </c>
      <c r="EO129">
        <f t="shared" si="409"/>
        <v>4.4999999999999997E-3</v>
      </c>
      <c r="EP129" s="460">
        <f t="shared" si="410"/>
        <v>41.906249999999979</v>
      </c>
      <c r="EQ129" s="460"/>
      <c r="ER129" s="460">
        <f t="shared" si="432"/>
        <v>282.93824866666654</v>
      </c>
      <c r="ES129" s="528">
        <f t="shared" si="411"/>
        <v>0.13299999999999998</v>
      </c>
      <c r="EV129" s="460">
        <f t="shared" si="412"/>
        <v>132.99999999999997</v>
      </c>
      <c r="EW129" s="528">
        <f t="shared" si="413"/>
        <v>8.5120000000000022E-3</v>
      </c>
      <c r="EX129" s="528">
        <f t="shared" si="414"/>
        <v>9.2657777777777825E-3</v>
      </c>
      <c r="EY129" s="528">
        <f t="shared" si="415"/>
        <v>0.15900187421850542</v>
      </c>
      <c r="EZ129" s="528"/>
      <c r="FA129" s="528">
        <f t="shared" si="416"/>
        <v>2.6599999999999996E-3</v>
      </c>
      <c r="FB129" s="460">
        <f t="shared" si="417"/>
        <v>179.4396519962832</v>
      </c>
      <c r="FC129" s="173">
        <f t="shared" si="418"/>
        <v>0.59537790066294971</v>
      </c>
      <c r="FD129" s="5">
        <f t="shared" si="419"/>
        <v>3.1159999999999997</v>
      </c>
      <c r="FE129" s="173">
        <f t="shared" si="420"/>
        <v>0.83958036163425998</v>
      </c>
      <c r="FF129" s="5">
        <f t="shared" si="421"/>
        <v>83.958036163426002</v>
      </c>
      <c r="FI129" s="562">
        <f t="shared" si="422"/>
        <v>-50</v>
      </c>
      <c r="FJ129">
        <f t="shared" si="423"/>
        <v>-50</v>
      </c>
      <c r="FL129">
        <f t="shared" si="424"/>
        <v>0.28499999999999998</v>
      </c>
    </row>
    <row r="130" spans="5:168">
      <c r="E130" s="170">
        <v>20</v>
      </c>
      <c r="F130" s="217">
        <f t="shared" si="425"/>
        <v>0.2</v>
      </c>
      <c r="G130" s="217"/>
      <c r="H130" s="217">
        <f t="shared" si="315"/>
        <v>3.28</v>
      </c>
      <c r="I130" s="541">
        <f t="shared" si="316"/>
        <v>9.9670658826646878</v>
      </c>
      <c r="J130" s="172">
        <f t="shared" si="317"/>
        <v>16.819760470401185</v>
      </c>
      <c r="K130" s="172">
        <f t="shared" si="318"/>
        <v>26.786826353065873</v>
      </c>
      <c r="L130" s="443"/>
      <c r="M130" s="217">
        <f t="shared" si="319"/>
        <v>0.62791498231559217</v>
      </c>
      <c r="N130" s="172">
        <f t="shared" si="426"/>
        <v>20.939797533140613</v>
      </c>
      <c r="O130" s="172">
        <f t="shared" si="284"/>
        <v>3.28</v>
      </c>
      <c r="P130" s="217">
        <f t="shared" si="320"/>
        <v>1.2768169227524766</v>
      </c>
      <c r="Q130" s="217">
        <f t="shared" si="321"/>
        <v>16.399999999999999</v>
      </c>
      <c r="R130" s="217"/>
      <c r="S130" s="172">
        <f t="shared" si="322"/>
        <v>156.17616136573901</v>
      </c>
      <c r="T130" s="172">
        <f t="shared" si="323"/>
        <v>16.399999999999999</v>
      </c>
      <c r="U130" s="217">
        <f t="shared" si="324"/>
        <v>1.0750231290937622</v>
      </c>
      <c r="V130" s="217">
        <f t="shared" si="325"/>
        <v>1.29429038605655</v>
      </c>
      <c r="W130" s="217">
        <f t="shared" si="326"/>
        <v>0.76697153754517466</v>
      </c>
      <c r="X130" s="197">
        <f t="shared" si="327"/>
        <v>350</v>
      </c>
      <c r="Y130" s="443">
        <f t="shared" si="328"/>
        <v>350</v>
      </c>
      <c r="AA130" s="217">
        <f t="shared" si="329"/>
        <v>1.4901040083186818</v>
      </c>
      <c r="AB130" s="173">
        <f t="shared" si="330"/>
        <v>1.0631095568388722</v>
      </c>
      <c r="AC130" s="173">
        <f t="shared" si="331"/>
        <v>0.27722516708731271</v>
      </c>
      <c r="AD130" s="173"/>
      <c r="AE130" s="173">
        <f t="shared" si="332"/>
        <v>0.95126206036977945</v>
      </c>
      <c r="AF130" s="545">
        <f t="shared" si="333"/>
        <v>315.37050882002217</v>
      </c>
      <c r="AG130" s="528">
        <f t="shared" si="334"/>
        <v>0.22196114741961523</v>
      </c>
      <c r="AI130" s="173">
        <f t="shared" si="335"/>
        <v>1.2656547513291363</v>
      </c>
      <c r="AJ130" s="173">
        <f t="shared" si="336"/>
        <v>1.3333333333333335</v>
      </c>
      <c r="AK130" s="173">
        <f t="shared" si="337"/>
        <v>1.1802117193257269</v>
      </c>
      <c r="AM130" s="545">
        <f t="shared" si="338"/>
        <v>200</v>
      </c>
      <c r="AN130" s="460">
        <f t="shared" si="339"/>
        <v>315.37050882002217</v>
      </c>
      <c r="AP130" s="460">
        <f t="shared" si="340"/>
        <v>200</v>
      </c>
      <c r="AQ130" s="460">
        <f t="shared" si="341"/>
        <v>315.37050882002217</v>
      </c>
      <c r="AS130" s="5">
        <f t="shared" si="285"/>
        <v>3.1708735345659318</v>
      </c>
      <c r="AT130" s="5">
        <f t="shared" si="342"/>
        <v>1.6052868706153685</v>
      </c>
      <c r="AU130" s="5">
        <f t="shared" si="343"/>
        <v>1.5655866639505633</v>
      </c>
      <c r="AV130" s="5"/>
      <c r="AW130" s="173">
        <f t="shared" si="344"/>
        <v>0.50626013718806984</v>
      </c>
      <c r="AX130" s="173">
        <f t="shared" si="214"/>
        <v>3.3639520940802372</v>
      </c>
      <c r="AY130" s="173">
        <f t="shared" si="215"/>
        <v>0.32915990854128679</v>
      </c>
      <c r="AZ130" s="173">
        <f t="shared" si="288"/>
        <v>10.219811121554903</v>
      </c>
      <c r="BA130" s="460">
        <f t="shared" si="433"/>
        <v>1.957666915384596</v>
      </c>
      <c r="BB130" s="5">
        <f t="shared" si="434"/>
        <v>0.42934101822693538</v>
      </c>
      <c r="BD130" s="173">
        <f t="shared" si="289"/>
        <v>0.54772804129655439</v>
      </c>
      <c r="BE130" s="173">
        <f t="shared" si="218"/>
        <v>0.54091273359945291</v>
      </c>
      <c r="BG130" s="528">
        <f t="shared" si="347"/>
        <v>6.0001201444511995E-3</v>
      </c>
      <c r="BH130" s="528">
        <f t="shared" si="348"/>
        <v>0.21119437641599911</v>
      </c>
      <c r="BI130" s="528">
        <f t="shared" si="349"/>
        <v>7.8582965971466148E-2</v>
      </c>
      <c r="BJ130" s="528">
        <f t="shared" si="350"/>
        <v>2.2628908351197592E-2</v>
      </c>
      <c r="BK130">
        <f t="shared" si="351"/>
        <v>4.4851796471991091E-3</v>
      </c>
      <c r="BL130" s="460">
        <f t="shared" si="427"/>
        <v>83.068145618665255</v>
      </c>
      <c r="BM130" s="528">
        <f t="shared" si="352"/>
        <v>0.24178813742151978</v>
      </c>
      <c r="BN130" s="460">
        <f t="shared" si="353"/>
        <v>241.78813742151976</v>
      </c>
      <c r="BO130" s="528">
        <f t="shared" si="354"/>
        <v>0.13999999999999999</v>
      </c>
      <c r="BR130" s="460">
        <f t="shared" si="355"/>
        <v>139.99999999999997</v>
      </c>
      <c r="BS130" s="528">
        <f t="shared" si="356"/>
        <v>9.0001802166767998E-3</v>
      </c>
      <c r="BT130" s="528">
        <f t="shared" si="357"/>
        <v>8.7775975611009815E-3</v>
      </c>
      <c r="BU130" s="528">
        <f t="shared" si="358"/>
        <v>0.18128820248211852</v>
      </c>
      <c r="BV130" s="528"/>
      <c r="BW130" s="528">
        <f t="shared" si="359"/>
        <v>2.8032934117335306E-3</v>
      </c>
      <c r="BX130" s="460">
        <f t="shared" si="360"/>
        <v>201.86927367162983</v>
      </c>
      <c r="BY130" s="173">
        <f t="shared" si="361"/>
        <v>0.66476082420194305</v>
      </c>
      <c r="BZ130" s="5">
        <f t="shared" si="362"/>
        <v>3.28</v>
      </c>
      <c r="CA130" s="173">
        <f t="shared" si="363"/>
        <v>0.83148260342591762</v>
      </c>
      <c r="CB130" s="5">
        <f t="shared" si="364"/>
        <v>83.148260342591769</v>
      </c>
      <c r="CE130" s="562">
        <f t="shared" si="365"/>
        <v>-50</v>
      </c>
      <c r="CF130">
        <f t="shared" si="366"/>
        <v>-50</v>
      </c>
      <c r="CG130" s="173">
        <f t="shared" si="367"/>
        <v>0.30363649640848428</v>
      </c>
      <c r="CI130" s="170">
        <v>20</v>
      </c>
      <c r="CJ130" s="217">
        <f t="shared" si="428"/>
        <v>0.2</v>
      </c>
      <c r="CK130" s="217"/>
      <c r="CL130" s="217">
        <f t="shared" si="368"/>
        <v>3.28</v>
      </c>
      <c r="CM130" s="541">
        <f t="shared" si="369"/>
        <v>10</v>
      </c>
      <c r="CN130" s="443">
        <f t="shared" si="370"/>
        <v>16.799999999999997</v>
      </c>
      <c r="CO130" s="443">
        <f t="shared" si="371"/>
        <v>26.799999999999997</v>
      </c>
      <c r="CP130" s="443"/>
      <c r="CQ130" s="217">
        <f t="shared" si="372"/>
        <v>0.62686567164179097</v>
      </c>
      <c r="CR130" s="172">
        <f t="shared" si="429"/>
        <v>20.973880597014926</v>
      </c>
      <c r="CS130" s="172">
        <f t="shared" si="373"/>
        <v>3.28</v>
      </c>
      <c r="CT130" s="217">
        <f t="shared" si="374"/>
        <v>1.2788951583545687</v>
      </c>
      <c r="CU130" s="217">
        <f t="shared" si="375"/>
        <v>16.399999999999999</v>
      </c>
      <c r="CV130" s="217"/>
      <c r="CW130" s="172">
        <f t="shared" si="376"/>
        <v>156.69212943182535</v>
      </c>
      <c r="CX130" s="172">
        <f t="shared" si="377"/>
        <v>16.399999999999999</v>
      </c>
      <c r="CY130" s="217">
        <f t="shared" si="378"/>
        <v>1.0464761904761906</v>
      </c>
      <c r="CZ130" s="217">
        <f t="shared" si="379"/>
        <v>1.2557714285714288</v>
      </c>
      <c r="DA130" s="217">
        <f t="shared" si="380"/>
        <v>0.74748299319727918</v>
      </c>
      <c r="DB130" s="197">
        <f t="shared" si="381"/>
        <v>350</v>
      </c>
      <c r="DC130" s="443">
        <f t="shared" si="382"/>
        <v>350</v>
      </c>
      <c r="DE130" s="217">
        <f t="shared" si="383"/>
        <v>1.4925373134328355</v>
      </c>
      <c r="DF130" s="173">
        <f t="shared" si="384"/>
        <v>1.0660980810234544</v>
      </c>
      <c r="DG130" s="173">
        <f t="shared" si="385"/>
        <v>0.27845845399866342</v>
      </c>
      <c r="DH130" s="173"/>
      <c r="DI130" s="173">
        <f t="shared" si="386"/>
        <v>0.95238095238095266</v>
      </c>
      <c r="DJ130" s="545">
        <f t="shared" si="387"/>
        <v>314.99999999999989</v>
      </c>
      <c r="DK130" s="528">
        <f t="shared" si="388"/>
        <v>0.22222222222222232</v>
      </c>
      <c r="DM130" s="173">
        <f t="shared" si="389"/>
        <v>1.2649110640673515</v>
      </c>
      <c r="DN130" s="173">
        <f t="shared" si="390"/>
        <v>1.3333333333333335</v>
      </c>
      <c r="DO130" s="173">
        <f t="shared" si="391"/>
        <v>1.18</v>
      </c>
      <c r="DQ130" s="545">
        <f t="shared" si="392"/>
        <v>200</v>
      </c>
      <c r="DR130" s="460">
        <f t="shared" si="393"/>
        <v>314.99999999999989</v>
      </c>
      <c r="DT130">
        <f t="shared" si="430"/>
        <v>200</v>
      </c>
      <c r="DU130">
        <f t="shared" si="431"/>
        <v>314.99999999999989</v>
      </c>
      <c r="DW130" s="5">
        <f t="shared" si="394"/>
        <v>3.1746031746031758</v>
      </c>
      <c r="DX130" s="5">
        <f t="shared" si="395"/>
        <v>1.6000000000000003</v>
      </c>
      <c r="DY130" s="5">
        <f t="shared" si="396"/>
        <v>1.5746031746031754</v>
      </c>
      <c r="DZ130" s="5"/>
      <c r="EA130" s="173">
        <f t="shared" si="397"/>
        <v>0.50399999999999989</v>
      </c>
      <c r="EB130" s="173">
        <f t="shared" si="398"/>
        <v>3.36</v>
      </c>
      <c r="EC130" s="173">
        <f t="shared" si="399"/>
        <v>0.33066666666666678</v>
      </c>
      <c r="ED130" s="173">
        <f t="shared" si="400"/>
        <v>10.161290322580641</v>
      </c>
      <c r="EE130" s="460">
        <f t="shared" si="401"/>
        <v>1.9512195121951226</v>
      </c>
      <c r="EF130" s="5">
        <f t="shared" si="402"/>
        <v>0.43039153439153455</v>
      </c>
      <c r="EH130" s="173">
        <f t="shared" si="403"/>
        <v>0.54650404085117865</v>
      </c>
      <c r="EI130" s="173">
        <f t="shared" si="404"/>
        <v>0.54214935758140126</v>
      </c>
      <c r="EK130" s="528">
        <f t="shared" si="405"/>
        <v>5.9733333333333348E-3</v>
      </c>
      <c r="EL130" s="528">
        <f t="shared" si="406"/>
        <v>0.22511999999999993</v>
      </c>
      <c r="EM130" s="528">
        <f t="shared" si="407"/>
        <v>3.9374999999999979E-2</v>
      </c>
      <c r="EN130" s="528">
        <f t="shared" si="408"/>
        <v>2.2624559999999991E-2</v>
      </c>
      <c r="EO130">
        <f t="shared" si="409"/>
        <v>4.4999999999999997E-3</v>
      </c>
      <c r="EP130" s="460">
        <f t="shared" si="410"/>
        <v>43.874999999999979</v>
      </c>
      <c r="EQ130" s="460"/>
      <c r="ER130" s="460">
        <f t="shared" si="432"/>
        <v>297.59289333333328</v>
      </c>
      <c r="ES130" s="528">
        <f t="shared" si="411"/>
        <v>0.13999999999999999</v>
      </c>
      <c r="EV130" s="460">
        <f t="shared" si="412"/>
        <v>139.99999999999997</v>
      </c>
      <c r="EW130" s="528">
        <f t="shared" si="413"/>
        <v>8.9600000000000027E-3</v>
      </c>
      <c r="EX130" s="528">
        <f t="shared" si="414"/>
        <v>8.817777777777782E-3</v>
      </c>
      <c r="EY130" s="528">
        <f t="shared" si="415"/>
        <v>0.18075621151152735</v>
      </c>
      <c r="EZ130" s="528"/>
      <c r="FA130" s="528">
        <f t="shared" si="416"/>
        <v>2.7999999999999995E-3</v>
      </c>
      <c r="FB130" s="460">
        <f t="shared" si="417"/>
        <v>201.33398928930512</v>
      </c>
      <c r="FC130" s="173">
        <f t="shared" si="418"/>
        <v>0.63892688262263841</v>
      </c>
      <c r="FD130" s="5">
        <f t="shared" si="419"/>
        <v>3.28</v>
      </c>
      <c r="FE130" s="173">
        <f t="shared" si="420"/>
        <v>0.83696381643256046</v>
      </c>
      <c r="FF130" s="5">
        <f t="shared" si="421"/>
        <v>83.696381643256046</v>
      </c>
      <c r="FI130" s="562">
        <f t="shared" si="422"/>
        <v>-50</v>
      </c>
      <c r="FJ130">
        <f t="shared" si="423"/>
        <v>-50</v>
      </c>
      <c r="FL130">
        <f t="shared" si="424"/>
        <v>0.3</v>
      </c>
    </row>
    <row r="131" spans="5:168">
      <c r="E131" s="170">
        <v>21</v>
      </c>
      <c r="F131" s="217">
        <f t="shared" si="425"/>
        <v>0.21</v>
      </c>
      <c r="G131" s="217"/>
      <c r="H131" s="217">
        <f t="shared" si="315"/>
        <v>3.4439999999999995</v>
      </c>
      <c r="I131" s="541">
        <f t="shared" si="316"/>
        <v>9.9670658826646878</v>
      </c>
      <c r="J131" s="172">
        <f t="shared" si="317"/>
        <v>16.819760470401185</v>
      </c>
      <c r="K131" s="172">
        <f t="shared" si="318"/>
        <v>26.786826353065873</v>
      </c>
      <c r="L131" s="443"/>
      <c r="M131" s="217">
        <f t="shared" si="319"/>
        <v>0.62791498231559217</v>
      </c>
      <c r="N131" s="172">
        <f t="shared" si="426"/>
        <v>20.939797533140613</v>
      </c>
      <c r="O131" s="172">
        <f t="shared" si="284"/>
        <v>3.4439999999999995</v>
      </c>
      <c r="P131" s="217">
        <f t="shared" si="320"/>
        <v>1.2768169227524766</v>
      </c>
      <c r="Q131" s="217">
        <f t="shared" si="321"/>
        <v>16.399999999999999</v>
      </c>
      <c r="R131" s="217"/>
      <c r="S131" s="172">
        <f t="shared" si="322"/>
        <v>148.26714621138603</v>
      </c>
      <c r="T131" s="172">
        <f t="shared" si="323"/>
        <v>16.399999999999999</v>
      </c>
      <c r="U131" s="217">
        <f t="shared" si="324"/>
        <v>1.1287742855484502</v>
      </c>
      <c r="V131" s="217">
        <f t="shared" si="325"/>
        <v>1.3590049053593773</v>
      </c>
      <c r="W131" s="217">
        <f t="shared" si="326"/>
        <v>0.80532011442243323</v>
      </c>
      <c r="X131" s="197">
        <f t="shared" si="327"/>
        <v>350</v>
      </c>
      <c r="Y131" s="443">
        <f t="shared" si="328"/>
        <v>350</v>
      </c>
      <c r="AA131" s="217">
        <f t="shared" si="329"/>
        <v>1.4901040083186818</v>
      </c>
      <c r="AB131" s="173">
        <f t="shared" si="330"/>
        <v>1.0631095568388722</v>
      </c>
      <c r="AC131" s="173">
        <f t="shared" si="331"/>
        <v>0.27722516708731271</v>
      </c>
      <c r="AD131" s="173"/>
      <c r="AE131" s="173">
        <f t="shared" si="332"/>
        <v>0.95126206036977945</v>
      </c>
      <c r="AF131" s="545">
        <f t="shared" si="333"/>
        <v>331.1390342610232</v>
      </c>
      <c r="AG131" s="528">
        <f t="shared" si="334"/>
        <v>0.22196114741961523</v>
      </c>
      <c r="AI131" s="173">
        <f t="shared" si="335"/>
        <v>1.2969101923572497</v>
      </c>
      <c r="AJ131" s="173">
        <f t="shared" si="336"/>
        <v>1.3333333333333335</v>
      </c>
      <c r="AK131" s="173">
        <f t="shared" si="337"/>
        <v>1.1892223052920132</v>
      </c>
      <c r="AM131" s="545">
        <f t="shared" si="338"/>
        <v>210</v>
      </c>
      <c r="AN131" s="460">
        <f t="shared" si="339"/>
        <v>331.1390342610232</v>
      </c>
      <c r="AP131" s="460">
        <f t="shared" si="340"/>
        <v>210</v>
      </c>
      <c r="AQ131" s="460">
        <f t="shared" si="341"/>
        <v>331.1390342610232</v>
      </c>
      <c r="AS131" s="5">
        <f t="shared" si="285"/>
        <v>3.0198795567294594</v>
      </c>
      <c r="AT131" s="5">
        <f t="shared" si="342"/>
        <v>1.6052868706153685</v>
      </c>
      <c r="AU131" s="5">
        <f t="shared" si="343"/>
        <v>1.4145926861140909</v>
      </c>
      <c r="AV131" s="5"/>
      <c r="AW131" s="173">
        <f t="shared" si="344"/>
        <v>0.53157314404747324</v>
      </c>
      <c r="AX131" s="173">
        <f t="shared" si="214"/>
        <v>3.5321496987842482</v>
      </c>
      <c r="AY131" s="173">
        <f t="shared" si="215"/>
        <v>0.31228457063501786</v>
      </c>
      <c r="AZ131" s="173">
        <f t="shared" si="288"/>
        <v>11.310676321925758</v>
      </c>
      <c r="BA131" s="460">
        <f t="shared" si="433"/>
        <v>2.0555502611538259</v>
      </c>
      <c r="BB131" s="5">
        <f t="shared" si="434"/>
        <v>0.40732960501531607</v>
      </c>
      <c r="BD131" s="173">
        <f t="shared" si="289"/>
        <v>0.56125422723012786</v>
      </c>
      <c r="BE131" s="173">
        <f t="shared" si="218"/>
        <v>0.52686457938345488</v>
      </c>
      <c r="BG131" s="528">
        <f t="shared" si="347"/>
        <v>6.30012615167376E-3</v>
      </c>
      <c r="BH131" s="528">
        <f t="shared" si="348"/>
        <v>0.22175409523679901</v>
      </c>
      <c r="BI131" s="528">
        <f t="shared" si="349"/>
        <v>8.2512114270039447E-2</v>
      </c>
      <c r="BJ131" s="528">
        <f t="shared" si="350"/>
        <v>2.3760353768757465E-2</v>
      </c>
      <c r="BK131">
        <f t="shared" si="351"/>
        <v>4.4851796471991091E-3</v>
      </c>
      <c r="BL131" s="460">
        <f t="shared" si="427"/>
        <v>86.997293917238551</v>
      </c>
      <c r="BM131" s="528">
        <f t="shared" si="352"/>
        <v>0.25389566817613846</v>
      </c>
      <c r="BN131" s="460">
        <f t="shared" si="353"/>
        <v>253.89566817613846</v>
      </c>
      <c r="BO131" s="528">
        <f t="shared" si="354"/>
        <v>0.14699999999999999</v>
      </c>
      <c r="BR131" s="460">
        <f t="shared" si="355"/>
        <v>147</v>
      </c>
      <c r="BS131" s="528">
        <f t="shared" si="356"/>
        <v>9.4501892275106383E-3</v>
      </c>
      <c r="BT131" s="528">
        <f t="shared" si="357"/>
        <v>8.3275885502671447E-3</v>
      </c>
      <c r="BU131" s="528">
        <f t="shared" si="358"/>
        <v>0.2048060542025151</v>
      </c>
      <c r="BV131" s="528"/>
      <c r="BW131" s="528">
        <f t="shared" si="359"/>
        <v>2.9434580823202066E-3</v>
      </c>
      <c r="BX131" s="460">
        <f t="shared" si="360"/>
        <v>225.5272900626131</v>
      </c>
      <c r="BY131" s="173">
        <f t="shared" si="361"/>
        <v>0.7113391591370819</v>
      </c>
      <c r="BZ131" s="5">
        <f t="shared" si="362"/>
        <v>3.4439999999999995</v>
      </c>
      <c r="CA131" s="173">
        <f t="shared" si="363"/>
        <v>0.82881321309887912</v>
      </c>
      <c r="CB131" s="5">
        <f t="shared" si="364"/>
        <v>82.881321309887909</v>
      </c>
      <c r="CE131" s="562">
        <f t="shared" si="365"/>
        <v>-50</v>
      </c>
      <c r="CF131">
        <f t="shared" si="366"/>
        <v>-50</v>
      </c>
      <c r="CG131" s="173">
        <f t="shared" si="367"/>
        <v>0.31881832122890846</v>
      </c>
      <c r="CI131" s="170">
        <v>21</v>
      </c>
      <c r="CJ131" s="217">
        <f t="shared" si="428"/>
        <v>0.21</v>
      </c>
      <c r="CK131" s="217"/>
      <c r="CL131" s="217">
        <f t="shared" si="368"/>
        <v>3.4439999999999995</v>
      </c>
      <c r="CM131" s="541">
        <f t="shared" si="369"/>
        <v>10</v>
      </c>
      <c r="CN131" s="443">
        <f t="shared" si="370"/>
        <v>16.799999999999997</v>
      </c>
      <c r="CO131" s="443">
        <f t="shared" si="371"/>
        <v>26.799999999999997</v>
      </c>
      <c r="CP131" s="443"/>
      <c r="CQ131" s="217">
        <f t="shared" si="372"/>
        <v>0.62686567164179097</v>
      </c>
      <c r="CR131" s="172">
        <f t="shared" si="429"/>
        <v>20.973880597014926</v>
      </c>
      <c r="CS131" s="172">
        <f t="shared" si="373"/>
        <v>3.4439999999999995</v>
      </c>
      <c r="CT131" s="217">
        <f t="shared" si="374"/>
        <v>1.2788951583545687</v>
      </c>
      <c r="CU131" s="217">
        <f t="shared" si="375"/>
        <v>16.399999999999999</v>
      </c>
      <c r="CV131" s="217"/>
      <c r="CW131" s="172">
        <f t="shared" si="376"/>
        <v>148.75697611479734</v>
      </c>
      <c r="CX131" s="172">
        <f t="shared" si="377"/>
        <v>16.399999999999999</v>
      </c>
      <c r="CY131" s="217">
        <f t="shared" si="378"/>
        <v>1.0988</v>
      </c>
      <c r="CZ131" s="217">
        <f t="shared" si="379"/>
        <v>1.31856</v>
      </c>
      <c r="DA131" s="217">
        <f t="shared" si="380"/>
        <v>0.78485714285714303</v>
      </c>
      <c r="DB131" s="197">
        <f t="shared" si="381"/>
        <v>350</v>
      </c>
      <c r="DC131" s="443">
        <f t="shared" si="382"/>
        <v>350</v>
      </c>
      <c r="DE131" s="217">
        <f t="shared" si="383"/>
        <v>1.4925373134328355</v>
      </c>
      <c r="DF131" s="173">
        <f t="shared" si="384"/>
        <v>1.0660980810234544</v>
      </c>
      <c r="DG131" s="173">
        <f t="shared" si="385"/>
        <v>0.27845845399866342</v>
      </c>
      <c r="DH131" s="173"/>
      <c r="DI131" s="173">
        <f t="shared" si="386"/>
        <v>0.95238095238095266</v>
      </c>
      <c r="DJ131" s="545">
        <f t="shared" si="387"/>
        <v>330.74999999999983</v>
      </c>
      <c r="DK131" s="528">
        <f t="shared" si="388"/>
        <v>0.22222222222222232</v>
      </c>
      <c r="DM131" s="173">
        <f t="shared" si="389"/>
        <v>1.2961481396815719</v>
      </c>
      <c r="DN131" s="173">
        <f t="shared" si="390"/>
        <v>1.3333333333333335</v>
      </c>
      <c r="DO131" s="173">
        <f t="shared" si="391"/>
        <v>1.1889999999999998</v>
      </c>
      <c r="DQ131" s="545">
        <f t="shared" si="392"/>
        <v>210</v>
      </c>
      <c r="DR131" s="460">
        <f t="shared" si="393"/>
        <v>330.74999999999983</v>
      </c>
      <c r="DT131">
        <f t="shared" si="430"/>
        <v>210</v>
      </c>
      <c r="DU131">
        <f t="shared" si="431"/>
        <v>330.74999999999983</v>
      </c>
      <c r="DW131" s="5">
        <f t="shared" si="394"/>
        <v>3.0234315948601678</v>
      </c>
      <c r="DX131" s="5">
        <f t="shared" si="395"/>
        <v>1.6000000000000003</v>
      </c>
      <c r="DY131" s="5">
        <f t="shared" si="396"/>
        <v>1.4234315948601675</v>
      </c>
      <c r="DZ131" s="5"/>
      <c r="EA131" s="173">
        <f t="shared" si="397"/>
        <v>0.52919999999999989</v>
      </c>
      <c r="EB131" s="173">
        <f t="shared" si="398"/>
        <v>3.5279999999999991</v>
      </c>
      <c r="EC131" s="173">
        <f t="shared" si="399"/>
        <v>0.31386666666666679</v>
      </c>
      <c r="ED131" s="173">
        <f t="shared" si="400"/>
        <v>11.240441801189457</v>
      </c>
      <c r="EE131" s="460">
        <f t="shared" si="401"/>
        <v>2.048780487804879</v>
      </c>
      <c r="EF131" s="5">
        <f t="shared" si="402"/>
        <v>0.40852486772486796</v>
      </c>
      <c r="EH131" s="173">
        <f t="shared" si="403"/>
        <v>0.56000000000000005</v>
      </c>
      <c r="EI131" s="173">
        <f t="shared" si="404"/>
        <v>0.52819749392873183</v>
      </c>
      <c r="EK131" s="528">
        <f t="shared" si="405"/>
        <v>6.2720000000000007E-3</v>
      </c>
      <c r="EL131" s="528">
        <f t="shared" si="406"/>
        <v>0.23637599999999989</v>
      </c>
      <c r="EM131" s="528">
        <f t="shared" si="407"/>
        <v>4.1343749999999978E-2</v>
      </c>
      <c r="EN131" s="528">
        <f t="shared" si="408"/>
        <v>2.3755787999999986E-2</v>
      </c>
      <c r="EO131">
        <f t="shared" si="409"/>
        <v>4.4999999999999997E-3</v>
      </c>
      <c r="EP131" s="460">
        <f t="shared" si="410"/>
        <v>45.843749999999972</v>
      </c>
      <c r="EQ131" s="460"/>
      <c r="ER131" s="460">
        <f t="shared" si="432"/>
        <v>312.24753799999991</v>
      </c>
      <c r="ES131" s="528">
        <f t="shared" si="411"/>
        <v>0.14699999999999999</v>
      </c>
      <c r="EV131" s="460">
        <f t="shared" si="412"/>
        <v>147</v>
      </c>
      <c r="EW131" s="528">
        <f t="shared" si="413"/>
        <v>9.4080000000000014E-3</v>
      </c>
      <c r="EX131" s="528">
        <f t="shared" si="414"/>
        <v>8.3697777777777798E-3</v>
      </c>
      <c r="EY131" s="528">
        <f t="shared" si="415"/>
        <v>0.20420504999999972</v>
      </c>
      <c r="EZ131" s="528"/>
      <c r="FA131" s="528">
        <f t="shared" si="416"/>
        <v>2.939999999999999E-3</v>
      </c>
      <c r="FB131" s="460">
        <f t="shared" si="417"/>
        <v>224.92282777777751</v>
      </c>
      <c r="FC131" s="173">
        <f t="shared" si="418"/>
        <v>0.68417036577777746</v>
      </c>
      <c r="FD131" s="5">
        <f t="shared" si="419"/>
        <v>3.4439999999999995</v>
      </c>
      <c r="FE131" s="173">
        <f t="shared" si="420"/>
        <v>0.83426789469506912</v>
      </c>
      <c r="FF131" s="5">
        <f t="shared" si="421"/>
        <v>83.426789469506915</v>
      </c>
      <c r="FI131" s="562">
        <f t="shared" si="422"/>
        <v>-50</v>
      </c>
      <c r="FJ131">
        <f t="shared" si="423"/>
        <v>-50</v>
      </c>
      <c r="FL131">
        <f t="shared" si="424"/>
        <v>0.31499999999999995</v>
      </c>
    </row>
    <row r="132" spans="5:168">
      <c r="E132" s="170">
        <v>22</v>
      </c>
      <c r="F132" s="217">
        <f t="shared" si="425"/>
        <v>0.22</v>
      </c>
      <c r="G132" s="217"/>
      <c r="H132" s="217">
        <f t="shared" si="315"/>
        <v>3.6079999999999997</v>
      </c>
      <c r="I132" s="541">
        <f t="shared" si="316"/>
        <v>9.9670658826646878</v>
      </c>
      <c r="J132" s="172">
        <f t="shared" si="317"/>
        <v>16.819760470401185</v>
      </c>
      <c r="K132" s="172">
        <f t="shared" si="318"/>
        <v>26.786826353065873</v>
      </c>
      <c r="L132" s="443"/>
      <c r="M132" s="217">
        <f t="shared" si="319"/>
        <v>0.62791498231559217</v>
      </c>
      <c r="N132" s="172">
        <f t="shared" si="426"/>
        <v>20.939797533140613</v>
      </c>
      <c r="O132" s="172">
        <f t="shared" si="284"/>
        <v>3.6079999999999997</v>
      </c>
      <c r="P132" s="217">
        <f t="shared" si="320"/>
        <v>1.2768169227524766</v>
      </c>
      <c r="Q132" s="217">
        <f t="shared" si="321"/>
        <v>16.399999999999999</v>
      </c>
      <c r="R132" s="217"/>
      <c r="S132" s="172">
        <f t="shared" si="322"/>
        <v>141.07726383388581</v>
      </c>
      <c r="T132" s="172">
        <f t="shared" si="323"/>
        <v>16.399999999999999</v>
      </c>
      <c r="U132" s="217">
        <f t="shared" si="324"/>
        <v>1.1825254420031384</v>
      </c>
      <c r="V132" s="217">
        <f t="shared" si="325"/>
        <v>1.4237194246622049</v>
      </c>
      <c r="W132" s="217">
        <f t="shared" si="326"/>
        <v>0.84366869129969213</v>
      </c>
      <c r="X132" s="197">
        <f t="shared" si="327"/>
        <v>350</v>
      </c>
      <c r="Y132" s="443">
        <f t="shared" si="328"/>
        <v>350</v>
      </c>
      <c r="AA132" s="217">
        <f t="shared" si="329"/>
        <v>1.4901040083186818</v>
      </c>
      <c r="AB132" s="173">
        <f t="shared" si="330"/>
        <v>1.0631095568388722</v>
      </c>
      <c r="AC132" s="173">
        <f t="shared" si="331"/>
        <v>0.27722516708731271</v>
      </c>
      <c r="AD132" s="173"/>
      <c r="AE132" s="173">
        <f t="shared" si="332"/>
        <v>0.95126206036977945</v>
      </c>
      <c r="AF132" s="545">
        <f t="shared" si="333"/>
        <v>346.9075597020244</v>
      </c>
      <c r="AG132" s="528">
        <f t="shared" si="334"/>
        <v>0.22196114741961523</v>
      </c>
      <c r="AI132" s="173">
        <f t="shared" si="335"/>
        <v>1.327429901922591</v>
      </c>
      <c r="AJ132" s="173">
        <f t="shared" si="336"/>
        <v>1.3333333333333335</v>
      </c>
      <c r="AK132" s="173">
        <f t="shared" si="337"/>
        <v>1.1982328912582996</v>
      </c>
      <c r="AM132" s="545">
        <f t="shared" si="338"/>
        <v>220</v>
      </c>
      <c r="AN132" s="460">
        <f t="shared" si="339"/>
        <v>346.9075597020244</v>
      </c>
      <c r="AP132" s="460">
        <f t="shared" si="340"/>
        <v>220</v>
      </c>
      <c r="AQ132" s="460">
        <f t="shared" si="341"/>
        <v>346.9075597020244</v>
      </c>
      <c r="AS132" s="5">
        <f t="shared" si="285"/>
        <v>2.8826123041508471</v>
      </c>
      <c r="AT132" s="5">
        <f t="shared" si="342"/>
        <v>1.6052868706153685</v>
      </c>
      <c r="AU132" s="5">
        <f t="shared" si="343"/>
        <v>1.2773254335354787</v>
      </c>
      <c r="AV132" s="5"/>
      <c r="AW132" s="173">
        <f t="shared" si="344"/>
        <v>0.55688615090687676</v>
      </c>
      <c r="AX132" s="173">
        <f t="shared" si="214"/>
        <v>3.700347303488261</v>
      </c>
      <c r="AY132" s="173">
        <f t="shared" si="215"/>
        <v>0.29540923272874886</v>
      </c>
      <c r="AZ132" s="173">
        <f t="shared" si="288"/>
        <v>12.526173502796373</v>
      </c>
      <c r="BA132" s="460">
        <f t="shared" si="433"/>
        <v>2.1534336069230555</v>
      </c>
      <c r="BB132" s="5">
        <f t="shared" si="434"/>
        <v>0.38531819180369653</v>
      </c>
      <c r="BD132" s="173">
        <f t="shared" si="289"/>
        <v>0.5744620161027324</v>
      </c>
      <c r="BE132" s="173">
        <f t="shared" si="218"/>
        <v>0.51243144385154271</v>
      </c>
      <c r="BG132" s="528">
        <f t="shared" si="347"/>
        <v>6.6001321588963196E-3</v>
      </c>
      <c r="BH132" s="528">
        <f t="shared" si="348"/>
        <v>0.23231381405759904</v>
      </c>
      <c r="BI132" s="528">
        <f t="shared" si="349"/>
        <v>8.6441262568612773E-2</v>
      </c>
      <c r="BJ132" s="528">
        <f t="shared" si="350"/>
        <v>2.489179918631735E-2</v>
      </c>
      <c r="BK132">
        <f t="shared" si="351"/>
        <v>4.4851796471991091E-3</v>
      </c>
      <c r="BL132" s="460">
        <f t="shared" si="427"/>
        <v>90.926442215811875</v>
      </c>
      <c r="BM132" s="528">
        <f t="shared" si="352"/>
        <v>0.26600492772598594</v>
      </c>
      <c r="BN132" s="460">
        <f t="shared" si="353"/>
        <v>266.00492772598597</v>
      </c>
      <c r="BO132" s="528">
        <f t="shared" si="354"/>
        <v>0.154</v>
      </c>
      <c r="BR132" s="460">
        <f t="shared" si="355"/>
        <v>154</v>
      </c>
      <c r="BS132" s="528">
        <f t="shared" si="356"/>
        <v>9.9001982383444785E-3</v>
      </c>
      <c r="BT132" s="528">
        <f t="shared" si="357"/>
        <v>7.8775795394333027E-3</v>
      </c>
      <c r="BU132" s="528">
        <f t="shared" si="358"/>
        <v>0.23006537170685026</v>
      </c>
      <c r="BV132" s="528"/>
      <c r="BW132" s="528">
        <f t="shared" si="359"/>
        <v>3.0836227529068838E-3</v>
      </c>
      <c r="BX132" s="460">
        <f t="shared" si="360"/>
        <v>250.92677223753489</v>
      </c>
      <c r="BY132" s="173">
        <f t="shared" si="361"/>
        <v>0.7596589598561595</v>
      </c>
      <c r="BZ132" s="5">
        <f t="shared" si="362"/>
        <v>3.6079999999999997</v>
      </c>
      <c r="CA132" s="173">
        <f t="shared" si="363"/>
        <v>0.82607182318072336</v>
      </c>
      <c r="CB132" s="5">
        <f t="shared" si="364"/>
        <v>82.607182318072333</v>
      </c>
      <c r="CE132" s="562">
        <f t="shared" si="365"/>
        <v>-50</v>
      </c>
      <c r="CF132">
        <f t="shared" si="366"/>
        <v>-50</v>
      </c>
      <c r="CG132" s="173">
        <f t="shared" si="367"/>
        <v>0.3340001460493327</v>
      </c>
      <c r="CI132" s="170">
        <v>22</v>
      </c>
      <c r="CJ132" s="217">
        <f t="shared" si="428"/>
        <v>0.22</v>
      </c>
      <c r="CK132" s="217"/>
      <c r="CL132" s="217">
        <f t="shared" si="368"/>
        <v>3.6079999999999997</v>
      </c>
      <c r="CM132" s="541">
        <f t="shared" si="369"/>
        <v>10</v>
      </c>
      <c r="CN132" s="443">
        <f t="shared" si="370"/>
        <v>16.799999999999997</v>
      </c>
      <c r="CO132" s="443">
        <f t="shared" si="371"/>
        <v>26.799999999999997</v>
      </c>
      <c r="CP132" s="443"/>
      <c r="CQ132" s="217">
        <f t="shared" si="372"/>
        <v>0.62686567164179097</v>
      </c>
      <c r="CR132" s="172">
        <f t="shared" si="429"/>
        <v>20.973880597014926</v>
      </c>
      <c r="CS132" s="172">
        <f t="shared" si="373"/>
        <v>3.6079999999999997</v>
      </c>
      <c r="CT132" s="217">
        <f t="shared" si="374"/>
        <v>1.2788951583545687</v>
      </c>
      <c r="CU132" s="217">
        <f t="shared" si="375"/>
        <v>16.399999999999999</v>
      </c>
      <c r="CV132" s="217"/>
      <c r="CW132" s="172">
        <f t="shared" si="376"/>
        <v>141.54333177518893</v>
      </c>
      <c r="CX132" s="172">
        <f t="shared" si="377"/>
        <v>16.399999999999999</v>
      </c>
      <c r="CY132" s="217">
        <f t="shared" si="378"/>
        <v>1.1511238095238094</v>
      </c>
      <c r="CZ132" s="217">
        <f t="shared" si="379"/>
        <v>1.3813485714285714</v>
      </c>
      <c r="DA132" s="217">
        <f t="shared" si="380"/>
        <v>0.82223129251700688</v>
      </c>
      <c r="DB132" s="197">
        <f t="shared" si="381"/>
        <v>350</v>
      </c>
      <c r="DC132" s="443">
        <f t="shared" si="382"/>
        <v>350</v>
      </c>
      <c r="DE132" s="217">
        <f t="shared" si="383"/>
        <v>1.4925373134328355</v>
      </c>
      <c r="DF132" s="173">
        <f t="shared" si="384"/>
        <v>1.0660980810234544</v>
      </c>
      <c r="DG132" s="173">
        <f t="shared" si="385"/>
        <v>0.27845845399866342</v>
      </c>
      <c r="DH132" s="173"/>
      <c r="DI132" s="173">
        <f t="shared" si="386"/>
        <v>0.95238095238095266</v>
      </c>
      <c r="DJ132" s="545">
        <f t="shared" si="387"/>
        <v>346.49999999999989</v>
      </c>
      <c r="DK132" s="528">
        <f t="shared" si="388"/>
        <v>0.22222222222222232</v>
      </c>
      <c r="DM132" s="173">
        <f t="shared" si="389"/>
        <v>1.3266499161421599</v>
      </c>
      <c r="DN132" s="173">
        <f t="shared" si="390"/>
        <v>1.3333333333333335</v>
      </c>
      <c r="DO132" s="173">
        <f t="shared" si="391"/>
        <v>1.198</v>
      </c>
      <c r="DQ132" s="545">
        <f t="shared" si="392"/>
        <v>220</v>
      </c>
      <c r="DR132" s="460">
        <f t="shared" si="393"/>
        <v>346.49999999999989</v>
      </c>
      <c r="DT132">
        <f t="shared" si="430"/>
        <v>220</v>
      </c>
      <c r="DU132">
        <f t="shared" si="431"/>
        <v>346.49999999999989</v>
      </c>
      <c r="DW132" s="5">
        <f t="shared" si="394"/>
        <v>2.886002886002887</v>
      </c>
      <c r="DX132" s="5">
        <f t="shared" si="395"/>
        <v>1.6000000000000003</v>
      </c>
      <c r="DY132" s="5">
        <f t="shared" si="396"/>
        <v>1.2860028860028867</v>
      </c>
      <c r="DZ132" s="5"/>
      <c r="EA132" s="173">
        <f t="shared" si="397"/>
        <v>0.55439999999999989</v>
      </c>
      <c r="EB132" s="173">
        <f t="shared" si="398"/>
        <v>3.6959999999999997</v>
      </c>
      <c r="EC132" s="173">
        <f t="shared" si="399"/>
        <v>0.29706666666666676</v>
      </c>
      <c r="ED132" s="173">
        <f t="shared" si="400"/>
        <v>12.441651705565524</v>
      </c>
      <c r="EE132" s="460">
        <f t="shared" si="401"/>
        <v>2.1463414634146352</v>
      </c>
      <c r="EF132" s="5">
        <f t="shared" si="402"/>
        <v>0.38665820105820115</v>
      </c>
      <c r="EH132" s="173">
        <f t="shared" si="403"/>
        <v>0.57317827360545814</v>
      </c>
      <c r="EI132" s="173">
        <f t="shared" si="404"/>
        <v>0.51386696649936492</v>
      </c>
      <c r="EK132" s="528">
        <f t="shared" si="405"/>
        <v>6.5706666666666691E-3</v>
      </c>
      <c r="EL132" s="528">
        <f t="shared" si="406"/>
        <v>0.24763199999999994</v>
      </c>
      <c r="EM132" s="528">
        <f t="shared" si="407"/>
        <v>4.3312499999999983E-2</v>
      </c>
      <c r="EN132" s="528">
        <f t="shared" si="408"/>
        <v>2.4887015999999991E-2</v>
      </c>
      <c r="EO132">
        <f t="shared" si="409"/>
        <v>4.4999999999999997E-3</v>
      </c>
      <c r="EP132" s="460">
        <f t="shared" si="410"/>
        <v>47.812499999999979</v>
      </c>
      <c r="EQ132" s="460"/>
      <c r="ER132" s="460">
        <f t="shared" si="432"/>
        <v>326.90218266666653</v>
      </c>
      <c r="ES132" s="528">
        <f t="shared" si="411"/>
        <v>0.154</v>
      </c>
      <c r="EV132" s="460">
        <f t="shared" si="412"/>
        <v>154</v>
      </c>
      <c r="EW132" s="528">
        <f t="shared" si="413"/>
        <v>9.8560000000000036E-3</v>
      </c>
      <c r="EX132" s="528">
        <f t="shared" si="414"/>
        <v>7.9217777777777828E-3</v>
      </c>
      <c r="EY132" s="528">
        <f t="shared" si="415"/>
        <v>0.22939024393395646</v>
      </c>
      <c r="EZ132" s="528"/>
      <c r="FA132" s="528">
        <f t="shared" si="416"/>
        <v>3.0799999999999994E-3</v>
      </c>
      <c r="FB132" s="460">
        <f t="shared" si="417"/>
        <v>250.24802171173422</v>
      </c>
      <c r="FC132" s="173">
        <f t="shared" si="418"/>
        <v>0.73115020437840073</v>
      </c>
      <c r="FD132" s="5">
        <f t="shared" si="419"/>
        <v>3.6079999999999997</v>
      </c>
      <c r="FE132" s="173">
        <f t="shared" si="420"/>
        <v>0.83149921760241507</v>
      </c>
      <c r="FF132" s="5">
        <f t="shared" si="421"/>
        <v>83.149921760241511</v>
      </c>
      <c r="FI132" s="562">
        <f t="shared" si="422"/>
        <v>-50</v>
      </c>
      <c r="FJ132">
        <f t="shared" si="423"/>
        <v>-50</v>
      </c>
      <c r="FL132">
        <f t="shared" si="424"/>
        <v>0.32999999999999996</v>
      </c>
    </row>
    <row r="133" spans="5:168">
      <c r="E133" s="170">
        <v>23</v>
      </c>
      <c r="F133" s="217">
        <f t="shared" si="425"/>
        <v>0.23</v>
      </c>
      <c r="G133" s="217"/>
      <c r="H133" s="217">
        <f t="shared" si="315"/>
        <v>3.7719999999999998</v>
      </c>
      <c r="I133" s="541">
        <f t="shared" si="316"/>
        <v>9.9664944922793417</v>
      </c>
      <c r="J133" s="172">
        <f t="shared" si="317"/>
        <v>16.82010330463239</v>
      </c>
      <c r="K133" s="172">
        <f t="shared" si="318"/>
        <v>26.786597796911732</v>
      </c>
      <c r="L133" s="443"/>
      <c r="M133" s="217">
        <f t="shared" si="319"/>
        <v>0.62793319627133171</v>
      </c>
      <c r="N133" s="172">
        <f t="shared" si="426"/>
        <v>20.93920446646894</v>
      </c>
      <c r="O133" s="172">
        <f t="shared" si="284"/>
        <v>3.7719999999999998</v>
      </c>
      <c r="P133" s="217">
        <f t="shared" si="320"/>
        <v>1.2767807601505452</v>
      </c>
      <c r="Q133" s="217">
        <f t="shared" si="321"/>
        <v>16.399999999999999</v>
      </c>
      <c r="R133" s="217"/>
      <c r="S133" s="172">
        <f t="shared" si="322"/>
        <v>134.50500581921909</v>
      </c>
      <c r="T133" s="172">
        <f t="shared" si="323"/>
        <v>16.399999999999999</v>
      </c>
      <c r="U133" s="217">
        <f t="shared" si="324"/>
        <v>1.2363371184693421</v>
      </c>
      <c r="V133" s="217">
        <f t="shared" si="325"/>
        <v>1.4885921457263653</v>
      </c>
      <c r="W133" s="217">
        <f t="shared" si="326"/>
        <v>0.88204246745298764</v>
      </c>
      <c r="X133" s="197">
        <f t="shared" si="327"/>
        <v>350</v>
      </c>
      <c r="Y133" s="443">
        <f t="shared" si="328"/>
        <v>350</v>
      </c>
      <c r="AA133" s="217">
        <f t="shared" si="329"/>
        <v>1.490061668473587</v>
      </c>
      <c r="AB133" s="173">
        <f t="shared" si="330"/>
        <v>1.0630576815041646</v>
      </c>
      <c r="AC133" s="173">
        <f t="shared" si="331"/>
        <v>0.27720376295250776</v>
      </c>
      <c r="AD133" s="173"/>
      <c r="AE133" s="173">
        <f t="shared" si="332"/>
        <v>0.95124267135704665</v>
      </c>
      <c r="AF133" s="545">
        <f t="shared" si="333"/>
        <v>362.68347750613583</v>
      </c>
      <c r="AG133" s="528">
        <f t="shared" si="334"/>
        <v>0.22195662331664426</v>
      </c>
      <c r="AI133" s="173">
        <f t="shared" si="335"/>
        <v>1.35727734472633</v>
      </c>
      <c r="AJ133" s="173">
        <f t="shared" si="336"/>
        <v>1.35727734472633</v>
      </c>
      <c r="AK133" s="173">
        <f t="shared" si="337"/>
        <v>1.2177363047355529</v>
      </c>
      <c r="AM133" s="545">
        <f t="shared" si="338"/>
        <v>230</v>
      </c>
      <c r="AN133" s="460">
        <f t="shared" si="339"/>
        <v>350</v>
      </c>
      <c r="AP133" s="460">
        <f t="shared" si="340"/>
        <v>230</v>
      </c>
      <c r="AQ133" s="460">
        <f t="shared" si="341"/>
        <v>350</v>
      </c>
      <c r="AS133" s="5">
        <f t="shared" si="285"/>
        <v>2.8571428571428572</v>
      </c>
      <c r="AT133" s="5">
        <f t="shared" si="342"/>
        <v>1.6342083115917161</v>
      </c>
      <c r="AU133" s="5">
        <f t="shared" si="343"/>
        <v>1.2229345455511411</v>
      </c>
      <c r="AV133" s="5"/>
      <c r="AW133" s="173">
        <f t="shared" si="344"/>
        <v>0.57197290905710063</v>
      </c>
      <c r="AX133" s="173">
        <f t="shared" ref="AX133:AX196" si="435">0.5*L*AJ133^2*AN133*1000</f>
        <v>3.8686237600654496</v>
      </c>
      <c r="AY133" s="173">
        <f t="shared" ref="AY133:AY196" si="436">AJ133*Nps/2*(1-AW133)</f>
        <v>0.2904757367329569</v>
      </c>
      <c r="AZ133" s="173">
        <f t="shared" si="288"/>
        <v>13.318233748459315</v>
      </c>
      <c r="BA133" s="460">
        <f t="shared" si="433"/>
        <v>2.2918775101591145</v>
      </c>
      <c r="BB133" s="5">
        <f t="shared" si="434"/>
        <v>0.38570140428950439</v>
      </c>
      <c r="BD133" s="173">
        <f t="shared" si="289"/>
        <v>0.59264647055578656</v>
      </c>
      <c r="BE133" s="173">
        <f t="shared" ref="BE133:BE196" si="437">AJ133*Nps*SQRT((1-AW133)/3)</f>
        <v>0.51267672508143125</v>
      </c>
      <c r="BG133" s="528">
        <f t="shared" si="347"/>
        <v>7.0245967812446151E-3</v>
      </c>
      <c r="BH133" s="528">
        <f t="shared" si="348"/>
        <v>0.23859177780404209</v>
      </c>
      <c r="BI133" s="528">
        <f t="shared" si="349"/>
        <v>8.7206826807444224E-2</v>
      </c>
      <c r="BJ133" s="528">
        <f t="shared" si="350"/>
        <v>2.5113263753673079E-2</v>
      </c>
      <c r="BK133">
        <f t="shared" si="351"/>
        <v>4.4849225215257034E-3</v>
      </c>
      <c r="BL133" s="460">
        <f t="shared" si="427"/>
        <v>91.691749328969919</v>
      </c>
      <c r="BM133" s="528">
        <f t="shared" si="352"/>
        <v>0.27308206550614855</v>
      </c>
      <c r="BN133" s="460">
        <f t="shared" si="353"/>
        <v>273.08206550614852</v>
      </c>
      <c r="BO133" s="528">
        <f t="shared" si="354"/>
        <v>0.161</v>
      </c>
      <c r="BR133" s="460">
        <f t="shared" si="355"/>
        <v>161</v>
      </c>
      <c r="BS133" s="528">
        <f t="shared" si="356"/>
        <v>1.0536895171866923E-2</v>
      </c>
      <c r="BT133" s="528">
        <f t="shared" si="357"/>
        <v>7.8851227332066426E-3</v>
      </c>
      <c r="BU133" s="528">
        <f t="shared" si="358"/>
        <v>0.24593005975302606</v>
      </c>
      <c r="BV133" s="528"/>
      <c r="BW133" s="528">
        <f t="shared" si="359"/>
        <v>3.223853133387875E-3</v>
      </c>
      <c r="BX133" s="460">
        <f t="shared" si="360"/>
        <v>267.57593079148751</v>
      </c>
      <c r="BY133" s="173">
        <f t="shared" si="361"/>
        <v>0.79099731845941723</v>
      </c>
      <c r="BZ133" s="5">
        <f t="shared" si="362"/>
        <v>3.7719999999999998</v>
      </c>
      <c r="CA133" s="173">
        <f t="shared" si="363"/>
        <v>0.82664962013905408</v>
      </c>
      <c r="CB133" s="5">
        <f t="shared" si="364"/>
        <v>82.664962013905409</v>
      </c>
      <c r="CE133" s="562">
        <f t="shared" si="365"/>
        <v>-50</v>
      </c>
      <c r="CF133">
        <f t="shared" si="366"/>
        <v>-50</v>
      </c>
      <c r="CG133" s="173">
        <f t="shared" si="367"/>
        <v>0.34322715226039519</v>
      </c>
      <c r="CI133" s="170">
        <v>23</v>
      </c>
      <c r="CJ133" s="217">
        <f t="shared" si="428"/>
        <v>0.23</v>
      </c>
      <c r="CK133" s="217"/>
      <c r="CL133" s="217">
        <f t="shared" si="368"/>
        <v>3.7719999999999998</v>
      </c>
      <c r="CM133" s="541">
        <f t="shared" si="369"/>
        <v>10</v>
      </c>
      <c r="CN133" s="443">
        <f t="shared" si="370"/>
        <v>16.799999999999997</v>
      </c>
      <c r="CO133" s="443">
        <f t="shared" si="371"/>
        <v>26.799999999999997</v>
      </c>
      <c r="CP133" s="443"/>
      <c r="CQ133" s="217">
        <f t="shared" si="372"/>
        <v>0.62686567164179097</v>
      </c>
      <c r="CR133" s="172">
        <f t="shared" si="429"/>
        <v>20.973880597014926</v>
      </c>
      <c r="CS133" s="172">
        <f t="shared" si="373"/>
        <v>3.7719999999999998</v>
      </c>
      <c r="CT133" s="217">
        <f t="shared" si="374"/>
        <v>1.2788951583545687</v>
      </c>
      <c r="CU133" s="217">
        <f t="shared" si="375"/>
        <v>16.399999999999999</v>
      </c>
      <c r="CV133" s="217"/>
      <c r="CW133" s="172">
        <f t="shared" si="376"/>
        <v>134.9570876951145</v>
      </c>
      <c r="CX133" s="172">
        <f t="shared" si="377"/>
        <v>16.399999999999999</v>
      </c>
      <c r="CY133" s="217">
        <f t="shared" si="378"/>
        <v>1.2034476190476191</v>
      </c>
      <c r="CZ133" s="217">
        <f t="shared" si="379"/>
        <v>1.444137142857143</v>
      </c>
      <c r="DA133" s="217">
        <f t="shared" si="380"/>
        <v>0.85960544217687096</v>
      </c>
      <c r="DB133" s="197">
        <f t="shared" si="381"/>
        <v>350</v>
      </c>
      <c r="DC133" s="443">
        <f t="shared" si="382"/>
        <v>350</v>
      </c>
      <c r="DE133" s="217">
        <f t="shared" si="383"/>
        <v>1.4925373134328355</v>
      </c>
      <c r="DF133" s="173">
        <f t="shared" si="384"/>
        <v>1.0660980810234544</v>
      </c>
      <c r="DG133" s="173">
        <f t="shared" si="385"/>
        <v>0.27845845399866342</v>
      </c>
      <c r="DH133" s="173"/>
      <c r="DI133" s="173">
        <f t="shared" si="386"/>
        <v>0.95238095238095266</v>
      </c>
      <c r="DJ133" s="545">
        <f t="shared" si="387"/>
        <v>362.24999999999989</v>
      </c>
      <c r="DK133" s="528">
        <f t="shared" si="388"/>
        <v>0.22222222222222232</v>
      </c>
      <c r="DM133" s="173">
        <f t="shared" si="389"/>
        <v>1.3564659966250534</v>
      </c>
      <c r="DN133" s="173">
        <f t="shared" si="390"/>
        <v>1.3564659966250534</v>
      </c>
      <c r="DO133" s="173">
        <f t="shared" si="391"/>
        <v>1.2171353061420147</v>
      </c>
      <c r="DQ133" s="545">
        <f t="shared" si="392"/>
        <v>230</v>
      </c>
      <c r="DR133" s="460">
        <f t="shared" si="393"/>
        <v>350</v>
      </c>
      <c r="DT133">
        <f t="shared" si="430"/>
        <v>230</v>
      </c>
      <c r="DU133">
        <f t="shared" si="431"/>
        <v>350</v>
      </c>
      <c r="DW133" s="5">
        <f t="shared" si="394"/>
        <v>2.8571428571428572</v>
      </c>
      <c r="DX133" s="5">
        <f t="shared" si="395"/>
        <v>1.6277591959500641</v>
      </c>
      <c r="DY133" s="5">
        <f t="shared" si="396"/>
        <v>1.2293836611927931</v>
      </c>
      <c r="DZ133" s="5"/>
      <c r="EA133" s="173">
        <f t="shared" si="397"/>
        <v>0.56971571858252246</v>
      </c>
      <c r="EB133" s="173">
        <f t="shared" si="398"/>
        <v>3.8639999999999985</v>
      </c>
      <c r="EC133" s="173">
        <f t="shared" si="399"/>
        <v>0.29183299831252679</v>
      </c>
      <c r="ED133" s="173">
        <f t="shared" si="400"/>
        <v>13.240449237553333</v>
      </c>
      <c r="EE133" s="460">
        <f t="shared" si="401"/>
        <v>2.2828330187104564</v>
      </c>
      <c r="EF133" s="5">
        <f t="shared" si="402"/>
        <v>0.38643626416826787</v>
      </c>
      <c r="EH133" s="173">
        <f t="shared" si="403"/>
        <v>0.59112235681846248</v>
      </c>
      <c r="EI133" s="173">
        <f t="shared" si="404"/>
        <v>0.51371946877913777</v>
      </c>
      <c r="EK133" s="528">
        <f t="shared" si="405"/>
        <v>6.9885128146122731E-3</v>
      </c>
      <c r="EL133" s="528">
        <f t="shared" si="406"/>
        <v>0.25447302096685998</v>
      </c>
      <c r="EM133" s="528">
        <f t="shared" si="407"/>
        <v>4.3749999999999997E-2</v>
      </c>
      <c r="EN133" s="528">
        <f t="shared" si="408"/>
        <v>2.5138399999999998E-2</v>
      </c>
      <c r="EO133">
        <f t="shared" si="409"/>
        <v>4.4999999999999997E-3</v>
      </c>
      <c r="EP133" s="460">
        <f t="shared" si="410"/>
        <v>48.249999999999993</v>
      </c>
      <c r="EQ133" s="460"/>
      <c r="ER133" s="460">
        <f t="shared" si="432"/>
        <v>334.84993378147226</v>
      </c>
      <c r="ES133" s="528">
        <f t="shared" si="411"/>
        <v>0.161</v>
      </c>
      <c r="EV133" s="460">
        <f t="shared" si="412"/>
        <v>161</v>
      </c>
      <c r="EW133" s="528">
        <f t="shared" si="413"/>
        <v>1.048276922191841E-2</v>
      </c>
      <c r="EX133" s="528">
        <f t="shared" si="414"/>
        <v>7.9172307780815843E-3</v>
      </c>
      <c r="EY133" s="528">
        <f t="shared" si="415"/>
        <v>0.24556269666616337</v>
      </c>
      <c r="EZ133" s="528"/>
      <c r="FA133" s="528">
        <f t="shared" si="416"/>
        <v>3.2199999999999993E-3</v>
      </c>
      <c r="FB133" s="460">
        <f t="shared" si="417"/>
        <v>267.18269666616334</v>
      </c>
      <c r="FC133" s="173">
        <f t="shared" si="418"/>
        <v>0.76303263044763558</v>
      </c>
      <c r="FD133" s="5">
        <f t="shared" si="419"/>
        <v>3.7719999999999998</v>
      </c>
      <c r="FE133" s="173">
        <f t="shared" si="420"/>
        <v>0.83174704734763516</v>
      </c>
      <c r="FF133" s="5">
        <f t="shared" si="421"/>
        <v>83.174704734763509</v>
      </c>
      <c r="FI133" s="562">
        <f t="shared" si="422"/>
        <v>-50</v>
      </c>
      <c r="FJ133">
        <f t="shared" si="423"/>
        <v>-50</v>
      </c>
      <c r="FL133">
        <f t="shared" si="424"/>
        <v>0.33911649915626346</v>
      </c>
    </row>
    <row r="134" spans="5:168">
      <c r="E134" s="170">
        <v>24</v>
      </c>
      <c r="F134" s="217">
        <f t="shared" si="425"/>
        <v>0.24</v>
      </c>
      <c r="G134" s="217"/>
      <c r="H134" s="217">
        <f t="shared" si="315"/>
        <v>3.9359999999999995</v>
      </c>
      <c r="I134" s="541">
        <f t="shared" si="316"/>
        <v>9.965773861283683</v>
      </c>
      <c r="J134" s="172">
        <f t="shared" si="317"/>
        <v>16.820535683229789</v>
      </c>
      <c r="K134" s="172">
        <f t="shared" si="318"/>
        <v>26.786309544513472</v>
      </c>
      <c r="L134" s="443"/>
      <c r="M134" s="217">
        <f t="shared" si="319"/>
        <v>0.62795616793839193</v>
      </c>
      <c r="N134" s="172">
        <f t="shared" si="426"/>
        <v>20.938456412796885</v>
      </c>
      <c r="O134" s="172">
        <f t="shared" ref="O134:O197" si="438">T134*F134</f>
        <v>3.9359999999999995</v>
      </c>
      <c r="P134" s="217">
        <f t="shared" si="320"/>
        <v>1.2767351471217614</v>
      </c>
      <c r="Q134" s="217">
        <f t="shared" si="321"/>
        <v>16.399999999999999</v>
      </c>
      <c r="R134" s="217"/>
      <c r="S134" s="172">
        <f t="shared" si="322"/>
        <v>128.47868270286318</v>
      </c>
      <c r="T134" s="172">
        <f t="shared" si="323"/>
        <v>16.399999999999999</v>
      </c>
      <c r="U134" s="217">
        <f t="shared" si="324"/>
        <v>1.2901705622699722</v>
      </c>
      <c r="V134" s="217">
        <f t="shared" si="325"/>
        <v>1.5535217799177954</v>
      </c>
      <c r="W134" s="217">
        <f t="shared" si="326"/>
        <v>0.92042530861103278</v>
      </c>
      <c r="X134" s="197">
        <f t="shared" si="327"/>
        <v>350</v>
      </c>
      <c r="Y134" s="443">
        <f t="shared" si="328"/>
        <v>350</v>
      </c>
      <c r="AA134" s="217">
        <f t="shared" si="329"/>
        <v>1.4900082639510668</v>
      </c>
      <c r="AB134" s="173">
        <f t="shared" si="330"/>
        <v>1.0629922556651634</v>
      </c>
      <c r="AC134" s="173">
        <f t="shared" si="331"/>
        <v>0.27717676795498875</v>
      </c>
      <c r="AD134" s="173"/>
      <c r="AE134" s="173">
        <f t="shared" si="332"/>
        <v>0.95121821928371364</v>
      </c>
      <c r="AF134" s="545">
        <f t="shared" si="333"/>
        <v>378.4620528726702</v>
      </c>
      <c r="AG134" s="528">
        <f t="shared" si="334"/>
        <v>0.22195091783286652</v>
      </c>
      <c r="AI134" s="173">
        <f t="shared" si="335"/>
        <v>1.3864872647183824</v>
      </c>
      <c r="AJ134" s="173">
        <f t="shared" si="336"/>
        <v>1.3864872647183824</v>
      </c>
      <c r="AK134" s="173">
        <f t="shared" si="337"/>
        <v>1.2393732825074435</v>
      </c>
      <c r="AM134" s="545">
        <f t="shared" si="338"/>
        <v>240</v>
      </c>
      <c r="AN134" s="460">
        <f t="shared" si="339"/>
        <v>350</v>
      </c>
      <c r="AP134" s="460">
        <f t="shared" si="340"/>
        <v>240</v>
      </c>
      <c r="AQ134" s="460">
        <f t="shared" si="341"/>
        <v>350</v>
      </c>
      <c r="AS134" s="5">
        <f t="shared" ref="AS134:AS197" si="439">1/AN134*1000</f>
        <v>2.8571428571428572</v>
      </c>
      <c r="AT134" s="5">
        <f t="shared" si="342"/>
        <v>1.6694987673016979</v>
      </c>
      <c r="AU134" s="5">
        <f t="shared" si="343"/>
        <v>1.1876440898411593</v>
      </c>
      <c r="AV134" s="5"/>
      <c r="AW134" s="173">
        <f t="shared" si="344"/>
        <v>0.58432456855559423</v>
      </c>
      <c r="AX134" s="173">
        <f t="shared" si="435"/>
        <v>4.0369285639751489</v>
      </c>
      <c r="AY134" s="173">
        <f t="shared" si="436"/>
        <v>0.28816434597699381</v>
      </c>
      <c r="AZ134" s="173">
        <f t="shared" ref="AZ134:AZ197" si="440">AX134/AY134</f>
        <v>14.009118825190974</v>
      </c>
      <c r="BA134" s="460">
        <f t="shared" si="433"/>
        <v>2.4431689277585824</v>
      </c>
      <c r="BB134" s="5">
        <f t="shared" si="434"/>
        <v>0.39088511026851946</v>
      </c>
      <c r="BD134" s="173">
        <f t="shared" ref="BD134:BD197" si="441">AJ134*SQRT(AW134/3)</f>
        <v>0.61190264572622288</v>
      </c>
      <c r="BE134" s="173">
        <f t="shared" si="437"/>
        <v>0.51609830836317983</v>
      </c>
      <c r="BG134" s="528">
        <f t="shared" si="347"/>
        <v>7.4884969569350293E-3</v>
      </c>
      <c r="BH134" s="528">
        <f t="shared" si="348"/>
        <v>0.24372388065553749</v>
      </c>
      <c r="BI134" s="528">
        <f t="shared" si="349"/>
        <v>8.7200521286232235E-2</v>
      </c>
      <c r="BJ134" s="528">
        <f t="shared" si="350"/>
        <v>2.5112723265507276E-2</v>
      </c>
      <c r="BK134">
        <f t="shared" si="351"/>
        <v>4.4845982375776574E-3</v>
      </c>
      <c r="BL134" s="460">
        <f t="shared" si="427"/>
        <v>91.685119523809888</v>
      </c>
      <c r="BM134" s="528">
        <f t="shared" si="352"/>
        <v>0.27884313140392919</v>
      </c>
      <c r="BN134" s="460">
        <f t="shared" si="353"/>
        <v>278.84313140392919</v>
      </c>
      <c r="BO134" s="528">
        <f t="shared" si="354"/>
        <v>0.16799999999999998</v>
      </c>
      <c r="BR134" s="460">
        <f t="shared" si="355"/>
        <v>167.99999999999997</v>
      </c>
      <c r="BS134" s="528">
        <f t="shared" si="356"/>
        <v>1.1232745435402543E-2</v>
      </c>
      <c r="BT134" s="528">
        <f t="shared" si="357"/>
        <v>7.9907239168600756E-3</v>
      </c>
      <c r="BU134" s="528">
        <f t="shared" si="358"/>
        <v>0.25937602317493613</v>
      </c>
      <c r="BV134" s="528"/>
      <c r="BW134" s="528">
        <f t="shared" si="359"/>
        <v>3.3641071366459579E-3</v>
      </c>
      <c r="BX134" s="460">
        <f t="shared" si="360"/>
        <v>281.96359966384472</v>
      </c>
      <c r="BY134" s="173">
        <f t="shared" si="361"/>
        <v>0.81797382006563424</v>
      </c>
      <c r="BZ134" s="5">
        <f t="shared" si="362"/>
        <v>3.9359999999999995</v>
      </c>
      <c r="CA134" s="173">
        <f t="shared" si="363"/>
        <v>0.82793893045579692</v>
      </c>
      <c r="CB134" s="5">
        <f t="shared" si="364"/>
        <v>82.793893045579694</v>
      </c>
      <c r="CE134" s="562">
        <f t="shared" si="365"/>
        <v>-50</v>
      </c>
      <c r="CF134">
        <f t="shared" si="366"/>
        <v>-50</v>
      </c>
      <c r="CG134" s="173">
        <f t="shared" si="367"/>
        <v>0.35060922587446652</v>
      </c>
      <c r="CI134" s="170">
        <v>24</v>
      </c>
      <c r="CJ134" s="217">
        <f t="shared" si="428"/>
        <v>0.24</v>
      </c>
      <c r="CK134" s="217"/>
      <c r="CL134" s="217">
        <f t="shared" si="368"/>
        <v>3.9359999999999995</v>
      </c>
      <c r="CM134" s="541">
        <f t="shared" si="369"/>
        <v>10</v>
      </c>
      <c r="CN134" s="443">
        <f t="shared" si="370"/>
        <v>16.799999999999997</v>
      </c>
      <c r="CO134" s="443">
        <f t="shared" si="371"/>
        <v>26.799999999999997</v>
      </c>
      <c r="CP134" s="443"/>
      <c r="CQ134" s="217">
        <f t="shared" si="372"/>
        <v>0.62686567164179097</v>
      </c>
      <c r="CR134" s="172">
        <f t="shared" si="429"/>
        <v>20.973880597014926</v>
      </c>
      <c r="CS134" s="172">
        <f t="shared" si="373"/>
        <v>3.9359999999999995</v>
      </c>
      <c r="CT134" s="217">
        <f t="shared" si="374"/>
        <v>1.2788951583545687</v>
      </c>
      <c r="CU134" s="217">
        <f t="shared" si="375"/>
        <v>16.399999999999999</v>
      </c>
      <c r="CV134" s="217"/>
      <c r="CW134" s="172">
        <f t="shared" si="376"/>
        <v>128.91981995576921</v>
      </c>
      <c r="CX134" s="172">
        <f t="shared" si="377"/>
        <v>16.399999999999999</v>
      </c>
      <c r="CY134" s="217">
        <f t="shared" si="378"/>
        <v>1.2557714285714285</v>
      </c>
      <c r="CZ134" s="217">
        <f t="shared" si="379"/>
        <v>1.5069257142857144</v>
      </c>
      <c r="DA134" s="217">
        <f t="shared" si="380"/>
        <v>0.89697959183673481</v>
      </c>
      <c r="DB134" s="197">
        <f t="shared" si="381"/>
        <v>350</v>
      </c>
      <c r="DC134" s="443">
        <f t="shared" si="382"/>
        <v>350</v>
      </c>
      <c r="DE134" s="217">
        <f t="shared" si="383"/>
        <v>1.4925373134328355</v>
      </c>
      <c r="DF134" s="173">
        <f t="shared" si="384"/>
        <v>1.0660980810234544</v>
      </c>
      <c r="DG134" s="173">
        <f t="shared" si="385"/>
        <v>0.27845845399866342</v>
      </c>
      <c r="DH134" s="173"/>
      <c r="DI134" s="173">
        <f t="shared" si="386"/>
        <v>0.95238095238095266</v>
      </c>
      <c r="DJ134" s="545">
        <f t="shared" si="387"/>
        <v>377.99999999999983</v>
      </c>
      <c r="DK134" s="528">
        <f t="shared" si="388"/>
        <v>0.22222222222222232</v>
      </c>
      <c r="DM134" s="173">
        <f t="shared" si="389"/>
        <v>1.3856406460551016</v>
      </c>
      <c r="DN134" s="173">
        <f t="shared" si="390"/>
        <v>1.3856406460551016</v>
      </c>
      <c r="DO134" s="173">
        <f t="shared" si="391"/>
        <v>1.2387461575716801</v>
      </c>
      <c r="DQ134" s="545">
        <f t="shared" si="392"/>
        <v>240</v>
      </c>
      <c r="DR134" s="460">
        <f t="shared" si="393"/>
        <v>350</v>
      </c>
      <c r="DT134">
        <f t="shared" si="430"/>
        <v>240</v>
      </c>
      <c r="DU134">
        <f t="shared" si="431"/>
        <v>350</v>
      </c>
      <c r="DW134" s="5">
        <f t="shared" si="394"/>
        <v>2.8571428571428572</v>
      </c>
      <c r="DX134" s="5">
        <f t="shared" si="395"/>
        <v>1.662768775266122</v>
      </c>
      <c r="DY134" s="5">
        <f t="shared" si="396"/>
        <v>1.1943740818767352</v>
      </c>
      <c r="DZ134" s="5"/>
      <c r="EA134" s="173">
        <f t="shared" si="397"/>
        <v>0.58196907134314269</v>
      </c>
      <c r="EB134" s="173">
        <f t="shared" si="398"/>
        <v>4.0319999999999991</v>
      </c>
      <c r="EC134" s="173">
        <f t="shared" si="399"/>
        <v>0.28962032302755092</v>
      </c>
      <c r="ED134" s="173">
        <f t="shared" si="400"/>
        <v>13.921674963453597</v>
      </c>
      <c r="EE134" s="460">
        <f t="shared" si="401"/>
        <v>2.4333201589260325</v>
      </c>
      <c r="EF134" s="5">
        <f t="shared" si="402"/>
        <v>0.39175469885556902</v>
      </c>
      <c r="EH134" s="173">
        <f t="shared" si="403"/>
        <v>0.61029517912204678</v>
      </c>
      <c r="EI134" s="173">
        <f t="shared" si="404"/>
        <v>0.51724249084968699</v>
      </c>
      <c r="EK134" s="528">
        <f t="shared" si="405"/>
        <v>7.4492041131922239E-3</v>
      </c>
      <c r="EL134" s="528">
        <f t="shared" si="406"/>
        <v>0.25994618519993706</v>
      </c>
      <c r="EM134" s="528">
        <f t="shared" si="407"/>
        <v>4.3749999999999997E-2</v>
      </c>
      <c r="EN134" s="528">
        <f t="shared" si="408"/>
        <v>2.5138399999999998E-2</v>
      </c>
      <c r="EO134">
        <f t="shared" si="409"/>
        <v>4.4999999999999997E-3</v>
      </c>
      <c r="EP134" s="460">
        <f t="shared" si="410"/>
        <v>48.249999999999993</v>
      </c>
      <c r="EQ134" s="460"/>
      <c r="ER134" s="460">
        <f t="shared" si="432"/>
        <v>340.78378931312932</v>
      </c>
      <c r="ES134" s="528">
        <f t="shared" si="411"/>
        <v>0.16799999999999998</v>
      </c>
      <c r="EV134" s="460">
        <f t="shared" si="412"/>
        <v>167.99999999999997</v>
      </c>
      <c r="EW134" s="528">
        <f t="shared" si="413"/>
        <v>1.1173806169788336E-2</v>
      </c>
      <c r="EX134" s="528">
        <f t="shared" si="414"/>
        <v>8.0261938302116555E-3</v>
      </c>
      <c r="EY134" s="528">
        <f t="shared" si="415"/>
        <v>0.25898025317416434</v>
      </c>
      <c r="EZ134" s="528"/>
      <c r="FA134" s="528">
        <f t="shared" si="416"/>
        <v>3.3599999999999997E-3</v>
      </c>
      <c r="FB134" s="460">
        <f t="shared" si="417"/>
        <v>281.54025317416432</v>
      </c>
      <c r="FC134" s="173">
        <f t="shared" si="418"/>
        <v>0.79032404248729371</v>
      </c>
      <c r="FD134" s="5">
        <f t="shared" si="419"/>
        <v>3.9359999999999995</v>
      </c>
      <c r="FE134" s="173">
        <f t="shared" si="420"/>
        <v>0.83278251017436056</v>
      </c>
      <c r="FF134" s="5">
        <f t="shared" si="421"/>
        <v>83.278251017436062</v>
      </c>
      <c r="FI134" s="562">
        <f t="shared" si="422"/>
        <v>-50</v>
      </c>
      <c r="FJ134">
        <f t="shared" si="423"/>
        <v>-50</v>
      </c>
      <c r="FL134">
        <f t="shared" si="424"/>
        <v>0.34641016151377552</v>
      </c>
    </row>
    <row r="135" spans="5:168">
      <c r="E135" s="170">
        <v>25</v>
      </c>
      <c r="F135" s="217">
        <f t="shared" si="425"/>
        <v>0.25</v>
      </c>
      <c r="G135" s="217"/>
      <c r="H135" s="217">
        <f t="shared" si="315"/>
        <v>4.0999999999999996</v>
      </c>
      <c r="I135" s="541">
        <f t="shared" si="316"/>
        <v>9.9650680934497107</v>
      </c>
      <c r="J135" s="172">
        <f t="shared" si="317"/>
        <v>16.820959143930171</v>
      </c>
      <c r="K135" s="172">
        <f t="shared" si="318"/>
        <v>26.786027237379884</v>
      </c>
      <c r="L135" s="443"/>
      <c r="M135" s="217">
        <f t="shared" si="319"/>
        <v>0.6279786662806216</v>
      </c>
      <c r="N135" s="172">
        <f t="shared" si="426"/>
        <v>20.937723696201093</v>
      </c>
      <c r="O135" s="172">
        <f t="shared" si="438"/>
        <v>4.0999999999999996</v>
      </c>
      <c r="P135" s="217">
        <f t="shared" si="320"/>
        <v>1.2766904692805545</v>
      </c>
      <c r="Q135" s="217">
        <f t="shared" si="321"/>
        <v>16.399999999999999</v>
      </c>
      <c r="R135" s="217"/>
      <c r="S135" s="172">
        <f t="shared" si="322"/>
        <v>122.93482523469864</v>
      </c>
      <c r="T135" s="172">
        <f t="shared" si="323"/>
        <v>16.399999999999999</v>
      </c>
      <c r="U135" s="217">
        <f t="shared" si="324"/>
        <v>1.3440089443288701</v>
      </c>
      <c r="V135" s="217">
        <f t="shared" si="325"/>
        <v>1.6184643376945762</v>
      </c>
      <c r="W135" s="217">
        <f t="shared" si="326"/>
        <v>0.95881020778569903</v>
      </c>
      <c r="X135" s="197">
        <f t="shared" si="327"/>
        <v>350</v>
      </c>
      <c r="Y135" s="443">
        <f t="shared" si="328"/>
        <v>350</v>
      </c>
      <c r="AA135" s="217">
        <f t="shared" si="329"/>
        <v>1.4899559544246201</v>
      </c>
      <c r="AB135" s="173">
        <f t="shared" si="330"/>
        <v>1.062928177882605</v>
      </c>
      <c r="AC135" s="173">
        <f t="shared" si="331"/>
        <v>0.27715032935833234</v>
      </c>
      <c r="AD135" s="173"/>
      <c r="AE135" s="173">
        <f t="shared" si="332"/>
        <v>0.95119427275784019</v>
      </c>
      <c r="AF135" s="545">
        <f t="shared" si="333"/>
        <v>394.24122993586337</v>
      </c>
      <c r="AG135" s="528">
        <f t="shared" si="334"/>
        <v>0.22194533031016273</v>
      </c>
      <c r="AI135" s="173">
        <f t="shared" si="335"/>
        <v>1.4150954512619152</v>
      </c>
      <c r="AJ135" s="173">
        <f t="shared" si="336"/>
        <v>1.4150954512619152</v>
      </c>
      <c r="AK135" s="173">
        <f t="shared" si="337"/>
        <v>1.2605645317989493</v>
      </c>
      <c r="AM135" s="545">
        <f t="shared" si="338"/>
        <v>250</v>
      </c>
      <c r="AN135" s="460">
        <f t="shared" si="339"/>
        <v>350</v>
      </c>
      <c r="AP135" s="460">
        <f t="shared" si="340"/>
        <v>250</v>
      </c>
      <c r="AQ135" s="460">
        <f t="shared" si="341"/>
        <v>350</v>
      </c>
      <c r="AS135" s="5">
        <f t="shared" si="439"/>
        <v>2.8571428571428572</v>
      </c>
      <c r="AT135" s="5">
        <f t="shared" si="342"/>
        <v>1.7040671730386985</v>
      </c>
      <c r="AU135" s="5">
        <f t="shared" si="343"/>
        <v>1.1530756841041587</v>
      </c>
      <c r="AV135" s="5"/>
      <c r="AW135" s="173">
        <f t="shared" si="344"/>
        <v>0.59642351056354448</v>
      </c>
      <c r="AX135" s="173">
        <f t="shared" si="435"/>
        <v>4.2052397859825437</v>
      </c>
      <c r="AY135" s="173">
        <f t="shared" si="436"/>
        <v>0.28554962721889027</v>
      </c>
      <c r="AZ135" s="173">
        <f t="shared" si="440"/>
        <v>14.726826390702954</v>
      </c>
      <c r="BA135" s="460">
        <f t="shared" si="433"/>
        <v>2.5976633735346017</v>
      </c>
      <c r="BB135" s="5">
        <f t="shared" si="434"/>
        <v>0.39534855327403018</v>
      </c>
      <c r="BD135" s="173">
        <f t="shared" si="441"/>
        <v>0.63096095468425217</v>
      </c>
      <c r="BE135" s="173">
        <f t="shared" si="437"/>
        <v>0.51902471269808026</v>
      </c>
      <c r="BG135" s="528">
        <f t="shared" si="347"/>
        <v>7.9622345267212589E-3</v>
      </c>
      <c r="BH135" s="528">
        <f t="shared" si="348"/>
        <v>0.24875015353777336</v>
      </c>
      <c r="BI135" s="528">
        <f t="shared" si="349"/>
        <v>8.7194345817684968E-2</v>
      </c>
      <c r="BJ135" s="528">
        <f t="shared" si="350"/>
        <v>2.5112193930658E-2</v>
      </c>
      <c r="BK135">
        <f t="shared" si="351"/>
        <v>4.4842806420523698E-3</v>
      </c>
      <c r="BL135" s="460">
        <f t="shared" si="427"/>
        <v>91.678626459737345</v>
      </c>
      <c r="BM135" s="528">
        <f t="shared" si="352"/>
        <v>0.28451263397841753</v>
      </c>
      <c r="BN135" s="460">
        <f t="shared" si="353"/>
        <v>284.51263397841751</v>
      </c>
      <c r="BO135" s="528">
        <f t="shared" si="354"/>
        <v>0.17499999999999999</v>
      </c>
      <c r="BR135" s="460">
        <f t="shared" si="355"/>
        <v>175</v>
      </c>
      <c r="BS135" s="528">
        <f t="shared" si="356"/>
        <v>1.1943351790081887E-2</v>
      </c>
      <c r="BT135" s="528">
        <f t="shared" si="357"/>
        <v>8.0815995717397424E-3</v>
      </c>
      <c r="BU135" s="528">
        <f t="shared" si="358"/>
        <v>0.27296342109052218</v>
      </c>
      <c r="BV135" s="528"/>
      <c r="BW135" s="528">
        <f t="shared" si="359"/>
        <v>3.5043664883187861E-3</v>
      </c>
      <c r="BX135" s="460">
        <f t="shared" si="360"/>
        <v>296.49273894066266</v>
      </c>
      <c r="BY135" s="173">
        <f t="shared" si="361"/>
        <v>0.8449959473955525</v>
      </c>
      <c r="BZ135" s="5">
        <f t="shared" si="362"/>
        <v>4.0999999999999996</v>
      </c>
      <c r="CA135" s="173">
        <f t="shared" si="363"/>
        <v>0.82912100305348124</v>
      </c>
      <c r="CB135" s="5">
        <f t="shared" si="364"/>
        <v>82.912100305348119</v>
      </c>
      <c r="CE135" s="562">
        <f t="shared" si="365"/>
        <v>-50</v>
      </c>
      <c r="CF135">
        <f t="shared" si="366"/>
        <v>-50</v>
      </c>
      <c r="CG135" s="173">
        <f t="shared" si="367"/>
        <v>0.35783904271027339</v>
      </c>
      <c r="CI135" s="170">
        <v>25</v>
      </c>
      <c r="CJ135" s="217">
        <f t="shared" si="428"/>
        <v>0.25</v>
      </c>
      <c r="CK135" s="217"/>
      <c r="CL135" s="217">
        <f t="shared" si="368"/>
        <v>4.0999999999999996</v>
      </c>
      <c r="CM135" s="541">
        <f t="shared" si="369"/>
        <v>10</v>
      </c>
      <c r="CN135" s="443">
        <f t="shared" si="370"/>
        <v>16.799999999999997</v>
      </c>
      <c r="CO135" s="443">
        <f t="shared" si="371"/>
        <v>26.799999999999997</v>
      </c>
      <c r="CP135" s="443"/>
      <c r="CQ135" s="217">
        <f t="shared" si="372"/>
        <v>0.62686567164179097</v>
      </c>
      <c r="CR135" s="172">
        <f t="shared" si="429"/>
        <v>20.973880597014926</v>
      </c>
      <c r="CS135" s="172">
        <f t="shared" si="373"/>
        <v>4.0999999999999996</v>
      </c>
      <c r="CT135" s="217">
        <f t="shared" si="374"/>
        <v>1.2788951583545687</v>
      </c>
      <c r="CU135" s="217">
        <f t="shared" si="375"/>
        <v>16.399999999999999</v>
      </c>
      <c r="CV135" s="217"/>
      <c r="CW135" s="172">
        <f t="shared" si="376"/>
        <v>123.36565247778029</v>
      </c>
      <c r="CX135" s="172">
        <f t="shared" si="377"/>
        <v>16.399999999999999</v>
      </c>
      <c r="CY135" s="217">
        <f t="shared" si="378"/>
        <v>1.3080952380952382</v>
      </c>
      <c r="CZ135" s="217">
        <f t="shared" si="379"/>
        <v>1.5697142857142861</v>
      </c>
      <c r="DA135" s="217">
        <f t="shared" si="380"/>
        <v>0.93435374149659889</v>
      </c>
      <c r="DB135" s="197">
        <f t="shared" si="381"/>
        <v>350</v>
      </c>
      <c r="DC135" s="443">
        <f t="shared" si="382"/>
        <v>350</v>
      </c>
      <c r="DE135" s="217">
        <f t="shared" si="383"/>
        <v>1.4925373134328355</v>
      </c>
      <c r="DF135" s="173">
        <f t="shared" si="384"/>
        <v>1.0660980810234544</v>
      </c>
      <c r="DG135" s="173">
        <f t="shared" si="385"/>
        <v>0.27845845399866342</v>
      </c>
      <c r="DH135" s="173"/>
      <c r="DI135" s="173">
        <f t="shared" si="386"/>
        <v>0.95238095238095266</v>
      </c>
      <c r="DJ135" s="545">
        <f t="shared" si="387"/>
        <v>393.74999999999983</v>
      </c>
      <c r="DK135" s="528">
        <f t="shared" si="388"/>
        <v>0.22222222222222232</v>
      </c>
      <c r="DM135" s="173">
        <f t="shared" si="389"/>
        <v>1.4142135623730949</v>
      </c>
      <c r="DN135" s="173">
        <f t="shared" si="390"/>
        <v>1.4142135623730949</v>
      </c>
      <c r="DO135" s="173">
        <f t="shared" si="391"/>
        <v>1.2599112807701935</v>
      </c>
      <c r="DQ135" s="545">
        <f t="shared" si="392"/>
        <v>250</v>
      </c>
      <c r="DR135" s="460">
        <f t="shared" si="393"/>
        <v>350</v>
      </c>
      <c r="DT135">
        <f t="shared" si="430"/>
        <v>250</v>
      </c>
      <c r="DU135">
        <f t="shared" si="431"/>
        <v>350</v>
      </c>
      <c r="DW135" s="5">
        <f t="shared" si="394"/>
        <v>2.8571428571428572</v>
      </c>
      <c r="DX135" s="5">
        <f t="shared" si="395"/>
        <v>1.697056274847714</v>
      </c>
      <c r="DY135" s="5">
        <f t="shared" si="396"/>
        <v>1.1600865822951432</v>
      </c>
      <c r="DZ135" s="5"/>
      <c r="EA135" s="173">
        <f t="shared" si="397"/>
        <v>0.59396969619669993</v>
      </c>
      <c r="EB135" s="173">
        <f t="shared" si="398"/>
        <v>4.1999999999999993</v>
      </c>
      <c r="EC135" s="173">
        <f t="shared" si="399"/>
        <v>0.28710678118654748</v>
      </c>
      <c r="ED135" s="173">
        <f t="shared" si="400"/>
        <v>14.62870358771168</v>
      </c>
      <c r="EE135" s="460">
        <f t="shared" si="401"/>
        <v>2.5869760287312715</v>
      </c>
      <c r="EF135" s="5">
        <f t="shared" si="402"/>
        <v>0.39636291561750719</v>
      </c>
      <c r="EH135" s="173">
        <f t="shared" si="403"/>
        <v>0.62926925672915768</v>
      </c>
      <c r="EI135" s="173">
        <f t="shared" si="404"/>
        <v>0.52027576265111564</v>
      </c>
      <c r="EK135" s="528">
        <f t="shared" si="405"/>
        <v>7.9195959492893309E-3</v>
      </c>
      <c r="EL135" s="528">
        <f t="shared" si="406"/>
        <v>0.26530646430119259</v>
      </c>
      <c r="EM135" s="528">
        <f t="shared" si="407"/>
        <v>4.3749999999999997E-2</v>
      </c>
      <c r="EN135" s="528">
        <f t="shared" si="408"/>
        <v>2.5138399999999998E-2</v>
      </c>
      <c r="EO135">
        <f t="shared" si="409"/>
        <v>4.4999999999999997E-3</v>
      </c>
      <c r="EP135" s="460">
        <f t="shared" si="410"/>
        <v>48.249999999999993</v>
      </c>
      <c r="EQ135" s="460"/>
      <c r="ER135" s="460">
        <f t="shared" si="432"/>
        <v>346.6144602504819</v>
      </c>
      <c r="ES135" s="528">
        <f t="shared" si="411"/>
        <v>0.17499999999999999</v>
      </c>
      <c r="EV135" s="460">
        <f t="shared" si="412"/>
        <v>175</v>
      </c>
      <c r="EW135" s="528">
        <f t="shared" si="413"/>
        <v>1.1879393923933996E-2</v>
      </c>
      <c r="EX135" s="528">
        <f t="shared" si="414"/>
        <v>8.1206060760660014E-3</v>
      </c>
      <c r="EY135" s="528">
        <f t="shared" si="415"/>
        <v>0.27253834215806072</v>
      </c>
      <c r="EZ135" s="528"/>
      <c r="FA135" s="528">
        <f t="shared" si="416"/>
        <v>3.4999999999999996E-3</v>
      </c>
      <c r="FB135" s="460">
        <f t="shared" si="417"/>
        <v>296.03834215806074</v>
      </c>
      <c r="FC135" s="173">
        <f t="shared" si="418"/>
        <v>0.81765280240854266</v>
      </c>
      <c r="FD135" s="5">
        <f t="shared" si="419"/>
        <v>4.0999999999999996</v>
      </c>
      <c r="FE135" s="173">
        <f t="shared" si="420"/>
        <v>0.83373108365680526</v>
      </c>
      <c r="FF135" s="5">
        <f t="shared" si="421"/>
        <v>83.373108365680523</v>
      </c>
      <c r="FI135" s="562">
        <f t="shared" si="422"/>
        <v>-50</v>
      </c>
      <c r="FJ135">
        <f t="shared" si="423"/>
        <v>-50</v>
      </c>
      <c r="FL135">
        <f t="shared" si="424"/>
        <v>0.35355339059327379</v>
      </c>
    </row>
    <row r="136" spans="5:168">
      <c r="E136" s="170">
        <v>26</v>
      </c>
      <c r="F136" s="217">
        <f t="shared" si="425"/>
        <v>0.26</v>
      </c>
      <c r="G136" s="217"/>
      <c r="H136" s="217">
        <f t="shared" si="315"/>
        <v>4.2639999999999993</v>
      </c>
      <c r="I136" s="541">
        <f t="shared" si="316"/>
        <v>9.9643763053706156</v>
      </c>
      <c r="J136" s="172">
        <f t="shared" si="317"/>
        <v>16.821374216777627</v>
      </c>
      <c r="K136" s="172">
        <f t="shared" si="318"/>
        <v>26.785750522148241</v>
      </c>
      <c r="L136" s="443"/>
      <c r="M136" s="217">
        <f t="shared" si="319"/>
        <v>0.62800071943056723</v>
      </c>
      <c r="N136" s="172">
        <f t="shared" si="426"/>
        <v>20.937005405104436</v>
      </c>
      <c r="O136" s="172">
        <f t="shared" si="438"/>
        <v>4.2639999999999993</v>
      </c>
      <c r="P136" s="217">
        <f t="shared" si="320"/>
        <v>1.2766466710429536</v>
      </c>
      <c r="Q136" s="217">
        <f t="shared" si="321"/>
        <v>16.399999999999999</v>
      </c>
      <c r="R136" s="217"/>
      <c r="S136" s="172">
        <f t="shared" si="322"/>
        <v>117.81775319572014</v>
      </c>
      <c r="T136" s="172">
        <f t="shared" si="323"/>
        <v>16.399999999999999</v>
      </c>
      <c r="U136" s="217">
        <f t="shared" si="324"/>
        <v>1.3978521657461733</v>
      </c>
      <c r="V136" s="217">
        <f t="shared" si="325"/>
        <v>1.6834195613340177</v>
      </c>
      <c r="W136" s="217">
        <f t="shared" si="326"/>
        <v>0.99719712389630322</v>
      </c>
      <c r="X136" s="197">
        <f t="shared" si="327"/>
        <v>350</v>
      </c>
      <c r="Y136" s="443">
        <f t="shared" si="328"/>
        <v>347.14788855013677</v>
      </c>
      <c r="AA136" s="217">
        <f t="shared" si="329"/>
        <v>1.4899046748118692</v>
      </c>
      <c r="AB136" s="173">
        <f t="shared" si="330"/>
        <v>1.0628653680333722</v>
      </c>
      <c r="AC136" s="173">
        <f t="shared" si="331"/>
        <v>0.27712441409249783</v>
      </c>
      <c r="AD136" s="173"/>
      <c r="AE136" s="173">
        <f t="shared" si="332"/>
        <v>0.9511708017316215</v>
      </c>
      <c r="AF136" s="545">
        <f t="shared" si="333"/>
        <v>410.02099653395459</v>
      </c>
      <c r="AG136" s="528">
        <f t="shared" si="334"/>
        <v>0.22193985373737837</v>
      </c>
      <c r="AI136" s="173">
        <f t="shared" si="335"/>
        <v>1.4431376689703028</v>
      </c>
      <c r="AJ136" s="173">
        <f t="shared" si="336"/>
        <v>1.4431376689703028</v>
      </c>
      <c r="AK136" s="173">
        <f t="shared" si="337"/>
        <v>1.2813365449162735</v>
      </c>
      <c r="AM136" s="545">
        <f t="shared" si="338"/>
        <v>260</v>
      </c>
      <c r="AN136" s="460">
        <f t="shared" si="339"/>
        <v>347.14788855013677</v>
      </c>
      <c r="AP136" s="460">
        <f t="shared" si="340"/>
        <v>260</v>
      </c>
      <c r="AQ136" s="460">
        <f t="shared" si="341"/>
        <v>347.14788855013677</v>
      </c>
      <c r="AS136" s="5">
        <f t="shared" si="439"/>
        <v>2.8806166852303212</v>
      </c>
      <c r="AT136" s="5">
        <f t="shared" si="342"/>
        <v>1.7379564457345653</v>
      </c>
      <c r="AU136" s="5">
        <f t="shared" si="343"/>
        <v>1.1426602394957559</v>
      </c>
      <c r="AV136" s="5"/>
      <c r="AW136" s="173">
        <f t="shared" si="344"/>
        <v>0.60332791052885471</v>
      </c>
      <c r="AX136" s="173">
        <f t="shared" si="435"/>
        <v>4.337917659671934</v>
      </c>
      <c r="AY136" s="173">
        <f t="shared" si="436"/>
        <v>0.28622621727248398</v>
      </c>
      <c r="AZ136" s="173">
        <f t="shared" si="440"/>
        <v>15.155556681735717</v>
      </c>
      <c r="BA136" s="460">
        <f t="shared" si="433"/>
        <v>2.7552968042133359</v>
      </c>
      <c r="BB136" s="5">
        <f t="shared" si="434"/>
        <v>0.40747685487214252</v>
      </c>
      <c r="BD136" s="173">
        <f t="shared" si="441"/>
        <v>0.64717814642117399</v>
      </c>
      <c r="BE136" s="173">
        <f t="shared" si="437"/>
        <v>0.52476269938122189</v>
      </c>
      <c r="BG136" s="528">
        <f t="shared" si="347"/>
        <v>8.376791064102931E-3</v>
      </c>
      <c r="BH136" s="528">
        <f t="shared" si="348"/>
        <v>0.25160970154639617</v>
      </c>
      <c r="BI136" s="528">
        <f t="shared" si="349"/>
        <v>8.6477804878210537E-2</v>
      </c>
      <c r="BJ136" s="528">
        <f t="shared" si="350"/>
        <v>2.4907042811820646E-2</v>
      </c>
      <c r="BK136">
        <f t="shared" si="351"/>
        <v>4.4839693374167768E-3</v>
      </c>
      <c r="BL136" s="460">
        <f t="shared" si="427"/>
        <v>90.961774215627315</v>
      </c>
      <c r="BM136" s="528">
        <f t="shared" si="352"/>
        <v>0.28772794128458062</v>
      </c>
      <c r="BN136" s="460">
        <f t="shared" si="353"/>
        <v>287.72794128458065</v>
      </c>
      <c r="BO136" s="528">
        <f t="shared" si="354"/>
        <v>0.182</v>
      </c>
      <c r="BR136" s="460">
        <f t="shared" si="355"/>
        <v>182</v>
      </c>
      <c r="BS136" s="528">
        <f t="shared" si="356"/>
        <v>1.2565186596154396E-2</v>
      </c>
      <c r="BT136" s="528">
        <f t="shared" si="357"/>
        <v>8.2612767198559992E-3</v>
      </c>
      <c r="BU136" s="528">
        <f t="shared" si="358"/>
        <v>0.28088317895770071</v>
      </c>
      <c r="BV136" s="528"/>
      <c r="BW136" s="528">
        <f t="shared" si="359"/>
        <v>3.6149313830599445E-3</v>
      </c>
      <c r="BX136" s="460">
        <f t="shared" si="360"/>
        <v>305.32457365677107</v>
      </c>
      <c r="BY136" s="173">
        <f t="shared" si="361"/>
        <v>0.86317988329471806</v>
      </c>
      <c r="BZ136" s="5">
        <f t="shared" si="362"/>
        <v>4.2639999999999993</v>
      </c>
      <c r="CA136" s="173">
        <f t="shared" si="363"/>
        <v>0.83164626501459127</v>
      </c>
      <c r="CB136" s="5">
        <f t="shared" si="364"/>
        <v>83.164626501459125</v>
      </c>
      <c r="CE136" s="562">
        <f t="shared" si="365"/>
        <v>-50</v>
      </c>
      <c r="CF136">
        <f t="shared" si="366"/>
        <v>-50</v>
      </c>
      <c r="CG136" s="173">
        <f t="shared" si="367"/>
        <v>0.36492565230100926</v>
      </c>
      <c r="CI136" s="170">
        <v>26</v>
      </c>
      <c r="CJ136" s="217">
        <f t="shared" si="428"/>
        <v>0.26</v>
      </c>
      <c r="CK136" s="217"/>
      <c r="CL136" s="217">
        <f t="shared" si="368"/>
        <v>4.2639999999999993</v>
      </c>
      <c r="CM136" s="541">
        <f t="shared" si="369"/>
        <v>10</v>
      </c>
      <c r="CN136" s="443">
        <f t="shared" si="370"/>
        <v>16.799999999999997</v>
      </c>
      <c r="CO136" s="443">
        <f t="shared" si="371"/>
        <v>26.799999999999997</v>
      </c>
      <c r="CP136" s="443"/>
      <c r="CQ136" s="217">
        <f t="shared" si="372"/>
        <v>0.62686567164179097</v>
      </c>
      <c r="CR136" s="172">
        <f t="shared" si="429"/>
        <v>20.973880597014926</v>
      </c>
      <c r="CS136" s="172">
        <f t="shared" si="373"/>
        <v>4.2639999999999993</v>
      </c>
      <c r="CT136" s="217">
        <f t="shared" si="374"/>
        <v>1.2788951583545687</v>
      </c>
      <c r="CU136" s="217">
        <f t="shared" si="375"/>
        <v>16.399999999999999</v>
      </c>
      <c r="CV136" s="217"/>
      <c r="CW136" s="172">
        <f t="shared" si="376"/>
        <v>118.23884397532598</v>
      </c>
      <c r="CX136" s="172">
        <f t="shared" si="377"/>
        <v>16.399999999999999</v>
      </c>
      <c r="CY136" s="217">
        <f t="shared" si="378"/>
        <v>1.3604190476190476</v>
      </c>
      <c r="CZ136" s="217">
        <f t="shared" si="379"/>
        <v>1.6325028571428573</v>
      </c>
      <c r="DA136" s="217">
        <f t="shared" si="380"/>
        <v>0.97172789115646285</v>
      </c>
      <c r="DB136" s="197">
        <f t="shared" si="381"/>
        <v>350</v>
      </c>
      <c r="DC136" s="443">
        <f t="shared" si="382"/>
        <v>350</v>
      </c>
      <c r="DE136" s="217">
        <f t="shared" si="383"/>
        <v>1.4925373134328355</v>
      </c>
      <c r="DF136" s="173">
        <f t="shared" si="384"/>
        <v>1.0660980810234544</v>
      </c>
      <c r="DG136" s="173">
        <f t="shared" si="385"/>
        <v>0.27845845399866342</v>
      </c>
      <c r="DH136" s="173"/>
      <c r="DI136" s="173">
        <f t="shared" si="386"/>
        <v>0.95238095238095266</v>
      </c>
      <c r="DJ136" s="545">
        <f t="shared" si="387"/>
        <v>409.49999999999983</v>
      </c>
      <c r="DK136" s="528">
        <f t="shared" si="388"/>
        <v>0.22222222222222232</v>
      </c>
      <c r="DM136" s="173">
        <f t="shared" si="389"/>
        <v>1.4422205101855956</v>
      </c>
      <c r="DN136" s="173">
        <f t="shared" si="390"/>
        <v>1.4422205101855956</v>
      </c>
      <c r="DO136" s="173">
        <f t="shared" si="391"/>
        <v>1.2806571680387127</v>
      </c>
      <c r="DQ136" s="545">
        <f t="shared" si="392"/>
        <v>260</v>
      </c>
      <c r="DR136" s="460">
        <f t="shared" si="393"/>
        <v>350</v>
      </c>
      <c r="DT136">
        <f t="shared" si="430"/>
        <v>260</v>
      </c>
      <c r="DU136">
        <f t="shared" si="431"/>
        <v>350</v>
      </c>
      <c r="DW136" s="5">
        <f t="shared" si="394"/>
        <v>2.8571428571428572</v>
      </c>
      <c r="DX136" s="5">
        <f t="shared" si="395"/>
        <v>1.7306646122227145</v>
      </c>
      <c r="DY136" s="5">
        <f t="shared" si="396"/>
        <v>1.1264782449201427</v>
      </c>
      <c r="DZ136" s="5"/>
      <c r="EA136" s="173">
        <f t="shared" si="397"/>
        <v>0.60573261427795011</v>
      </c>
      <c r="EB136" s="173">
        <f t="shared" si="398"/>
        <v>4.3679999999999994</v>
      </c>
      <c r="EC136" s="173">
        <f t="shared" si="399"/>
        <v>0.28431025509279789</v>
      </c>
      <c r="ED136" s="173">
        <f t="shared" si="400"/>
        <v>15.36349787514453</v>
      </c>
      <c r="EE136" s="460">
        <f t="shared" si="401"/>
        <v>2.7437365803530849</v>
      </c>
      <c r="EF136" s="5">
        <f t="shared" si="402"/>
        <v>0.40027526969495725</v>
      </c>
      <c r="EH136" s="173">
        <f t="shared" si="403"/>
        <v>0.64805448271425869</v>
      </c>
      <c r="EI136" s="173">
        <f t="shared" si="404"/>
        <v>0.52283718380322564</v>
      </c>
      <c r="EK136" s="528">
        <f t="shared" si="405"/>
        <v>8.3994922513209083E-3</v>
      </c>
      <c r="EL136" s="528">
        <f t="shared" si="406"/>
        <v>0.27056056771081771</v>
      </c>
      <c r="EM136" s="528">
        <f t="shared" si="407"/>
        <v>4.3749999999999997E-2</v>
      </c>
      <c r="EN136" s="528">
        <f t="shared" si="408"/>
        <v>2.5138399999999998E-2</v>
      </c>
      <c r="EO136">
        <f t="shared" si="409"/>
        <v>4.4999999999999997E-3</v>
      </c>
      <c r="EP136" s="460">
        <f t="shared" si="410"/>
        <v>48.249999999999993</v>
      </c>
      <c r="EQ136" s="460"/>
      <c r="ER136" s="460">
        <f t="shared" si="432"/>
        <v>352.34845996213863</v>
      </c>
      <c r="ES136" s="528">
        <f t="shared" si="411"/>
        <v>0.182</v>
      </c>
      <c r="EV136" s="460">
        <f t="shared" si="412"/>
        <v>182</v>
      </c>
      <c r="EW136" s="528">
        <f t="shared" si="413"/>
        <v>1.2599238376981362E-2</v>
      </c>
      <c r="EX136" s="528">
        <f t="shared" si="414"/>
        <v>8.2007616230186375E-3</v>
      </c>
      <c r="EY136" s="528">
        <f t="shared" si="415"/>
        <v>0.28623272417326706</v>
      </c>
      <c r="EZ136" s="528"/>
      <c r="FA136" s="528">
        <f t="shared" si="416"/>
        <v>3.6399999999999996E-3</v>
      </c>
      <c r="FB136" s="460">
        <f t="shared" si="417"/>
        <v>310.672724173267</v>
      </c>
      <c r="FC136" s="173">
        <f t="shared" si="418"/>
        <v>0.84502118413540572</v>
      </c>
      <c r="FD136" s="5">
        <f t="shared" si="419"/>
        <v>4.2639999999999993</v>
      </c>
      <c r="FE136" s="173">
        <f t="shared" si="420"/>
        <v>0.83460213734102817</v>
      </c>
      <c r="FF136" s="5">
        <f t="shared" si="421"/>
        <v>83.460213734102823</v>
      </c>
      <c r="FI136" s="562">
        <f t="shared" si="422"/>
        <v>-50</v>
      </c>
      <c r="FJ136">
        <f t="shared" si="423"/>
        <v>-50</v>
      </c>
      <c r="FL136">
        <f t="shared" si="424"/>
        <v>0.36055512754639896</v>
      </c>
    </row>
    <row r="137" spans="5:168">
      <c r="E137" s="170">
        <v>27</v>
      </c>
      <c r="F137" s="217">
        <f t="shared" si="425"/>
        <v>0.27</v>
      </c>
      <c r="G137" s="217"/>
      <c r="H137" s="217">
        <f t="shared" si="315"/>
        <v>4.4279999999999999</v>
      </c>
      <c r="I137" s="541">
        <f t="shared" si="316"/>
        <v>9.9630368471659914</v>
      </c>
      <c r="J137" s="172">
        <f t="shared" si="317"/>
        <v>16.822177891700402</v>
      </c>
      <c r="K137" s="172">
        <f t="shared" si="318"/>
        <v>26.785214738866394</v>
      </c>
      <c r="L137" s="443"/>
      <c r="M137" s="217">
        <f t="shared" si="319"/>
        <v>0.62803784762088644</v>
      </c>
      <c r="N137" s="172">
        <f t="shared" si="426"/>
        <v>20.935428610254814</v>
      </c>
      <c r="O137" s="172">
        <f t="shared" si="438"/>
        <v>4.4279999999999999</v>
      </c>
      <c r="P137" s="217">
        <f t="shared" si="320"/>
        <v>1.2765505250155376</v>
      </c>
      <c r="Q137" s="217">
        <f t="shared" si="321"/>
        <v>16.399999999999999</v>
      </c>
      <c r="R137" s="217"/>
      <c r="S137" s="172">
        <f t="shared" si="322"/>
        <v>113.07253857768914</v>
      </c>
      <c r="T137" s="172">
        <f t="shared" si="323"/>
        <v>16.399999999999999</v>
      </c>
      <c r="U137" s="217">
        <f t="shared" si="324"/>
        <v>1.4517606066802677</v>
      </c>
      <c r="V137" s="217">
        <f t="shared" si="325"/>
        <v>1.7485760162694464</v>
      </c>
      <c r="W137" s="217">
        <f t="shared" si="326"/>
        <v>1.0356047470380345</v>
      </c>
      <c r="X137" s="197">
        <f t="shared" si="327"/>
        <v>350</v>
      </c>
      <c r="Y137" s="443">
        <f t="shared" si="328"/>
        <v>335.1003438852216</v>
      </c>
      <c r="AA137" s="217">
        <f t="shared" si="329"/>
        <v>1.4898053683592027</v>
      </c>
      <c r="AB137" s="173">
        <f t="shared" si="330"/>
        <v>1.0627437502685533</v>
      </c>
      <c r="AC137" s="173">
        <f t="shared" si="331"/>
        <v>0.2770742352595495</v>
      </c>
      <c r="AD137" s="173"/>
      <c r="AE137" s="173">
        <f t="shared" si="332"/>
        <v>0.95112535980813528</v>
      </c>
      <c r="AF137" s="545">
        <f t="shared" si="333"/>
        <v>425.8113778836663</v>
      </c>
      <c r="AG137" s="528">
        <f t="shared" si="334"/>
        <v>0.22192925062189825</v>
      </c>
      <c r="AI137" s="173">
        <f t="shared" si="335"/>
        <v>1.470663606409917</v>
      </c>
      <c r="AJ137" s="173">
        <f t="shared" si="336"/>
        <v>1.470663606409917</v>
      </c>
      <c r="AK137" s="173">
        <f t="shared" si="337"/>
        <v>1.3017261282048767</v>
      </c>
      <c r="AM137" s="545">
        <f t="shared" si="338"/>
        <v>270</v>
      </c>
      <c r="AN137" s="460">
        <f t="shared" si="339"/>
        <v>335.1003438852216</v>
      </c>
      <c r="AP137" s="460">
        <f t="shared" si="340"/>
        <v>270</v>
      </c>
      <c r="AQ137" s="460">
        <f t="shared" si="341"/>
        <v>335.1003438852216</v>
      </c>
      <c r="AS137" s="5">
        <f t="shared" si="439"/>
        <v>2.9841807633074811</v>
      </c>
      <c r="AT137" s="5">
        <f t="shared" si="342"/>
        <v>1.7713437727512777</v>
      </c>
      <c r="AU137" s="5">
        <f t="shared" si="343"/>
        <v>1.2128369905562033</v>
      </c>
      <c r="AV137" s="5"/>
      <c r="AW137" s="173">
        <f t="shared" si="344"/>
        <v>0.59357790738789895</v>
      </c>
      <c r="AX137" s="173">
        <f t="shared" si="435"/>
        <v>4.3486335743712514</v>
      </c>
      <c r="AY137" s="173">
        <f t="shared" si="436"/>
        <v>0.29885509022278889</v>
      </c>
      <c r="AZ137" s="173">
        <f t="shared" si="440"/>
        <v>14.550977101074155</v>
      </c>
      <c r="BA137" s="460">
        <f t="shared" si="433"/>
        <v>2.9162366990417388</v>
      </c>
      <c r="BB137" s="5">
        <f t="shared" si="434"/>
        <v>0.44919722407986662</v>
      </c>
      <c r="BD137" s="173">
        <f t="shared" si="441"/>
        <v>0.65417144380165038</v>
      </c>
      <c r="BE137" s="173">
        <f t="shared" si="437"/>
        <v>0.54130416882501331</v>
      </c>
      <c r="BG137" s="528">
        <f t="shared" si="347"/>
        <v>8.5588055577107153E-3</v>
      </c>
      <c r="BH137" s="528">
        <f t="shared" si="348"/>
        <v>0.24750536850019111</v>
      </c>
      <c r="BI137" s="528">
        <f t="shared" si="349"/>
        <v>8.3465426840661439E-2</v>
      </c>
      <c r="BJ137" s="528">
        <f t="shared" si="350"/>
        <v>2.4041698057593899E-2</v>
      </c>
      <c r="BK137">
        <f t="shared" si="351"/>
        <v>4.4833665812246959E-3</v>
      </c>
      <c r="BL137" s="460">
        <f t="shared" si="427"/>
        <v>87.948793421886137</v>
      </c>
      <c r="BM137" s="528">
        <f t="shared" si="352"/>
        <v>0.28299223475764151</v>
      </c>
      <c r="BN137" s="460">
        <f t="shared" si="353"/>
        <v>282.99223475764154</v>
      </c>
      <c r="BO137" s="528">
        <f t="shared" si="354"/>
        <v>0.189</v>
      </c>
      <c r="BR137" s="460">
        <f t="shared" si="355"/>
        <v>189</v>
      </c>
      <c r="BS137" s="528">
        <f t="shared" si="356"/>
        <v>1.2838208336566074E-2</v>
      </c>
      <c r="BT137" s="528">
        <f t="shared" si="357"/>
        <v>8.7903060956201554E-3</v>
      </c>
      <c r="BU137" s="528">
        <f t="shared" si="358"/>
        <v>0.26958178926118492</v>
      </c>
      <c r="BV137" s="528"/>
      <c r="BW137" s="528">
        <f t="shared" si="359"/>
        <v>3.623861311976043E-3</v>
      </c>
      <c r="BX137" s="460">
        <f t="shared" si="360"/>
        <v>294.83416500534719</v>
      </c>
      <c r="BY137" s="173">
        <f t="shared" si="361"/>
        <v>0.85188883054272901</v>
      </c>
      <c r="BZ137" s="5">
        <f t="shared" si="362"/>
        <v>4.4279999999999999</v>
      </c>
      <c r="CA137" s="173">
        <f t="shared" si="363"/>
        <v>0.8386540213470437</v>
      </c>
      <c r="CB137" s="5">
        <f t="shared" si="364"/>
        <v>83.865402134704368</v>
      </c>
      <c r="CE137" s="562">
        <f t="shared" si="365"/>
        <v>-50</v>
      </c>
      <c r="CF137">
        <f t="shared" si="366"/>
        <v>-50</v>
      </c>
      <c r="CG137" s="173">
        <f t="shared" si="367"/>
        <v>0.36522858481863923</v>
      </c>
      <c r="CI137" s="170">
        <v>27</v>
      </c>
      <c r="CJ137" s="217">
        <f t="shared" si="428"/>
        <v>0.27</v>
      </c>
      <c r="CK137" s="217"/>
      <c r="CL137" s="217">
        <f t="shared" si="368"/>
        <v>4.4279999999999999</v>
      </c>
      <c r="CM137" s="541">
        <f t="shared" si="369"/>
        <v>10</v>
      </c>
      <c r="CN137" s="443">
        <f t="shared" si="370"/>
        <v>16.799999999999997</v>
      </c>
      <c r="CO137" s="443">
        <f t="shared" si="371"/>
        <v>26.799999999999997</v>
      </c>
      <c r="CP137" s="443"/>
      <c r="CQ137" s="217">
        <f t="shared" si="372"/>
        <v>0.62686567164179097</v>
      </c>
      <c r="CR137" s="172">
        <f t="shared" si="429"/>
        <v>20.973880597014926</v>
      </c>
      <c r="CS137" s="172">
        <f t="shared" si="373"/>
        <v>4.4279999999999999</v>
      </c>
      <c r="CT137" s="217">
        <f t="shared" si="374"/>
        <v>1.2788951583545687</v>
      </c>
      <c r="CU137" s="217">
        <f t="shared" si="375"/>
        <v>16.399999999999999</v>
      </c>
      <c r="CV137" s="217"/>
      <c r="CW137" s="172">
        <f t="shared" si="376"/>
        <v>113.49191114267465</v>
      </c>
      <c r="CX137" s="172">
        <f t="shared" si="377"/>
        <v>16.399999999999999</v>
      </c>
      <c r="CY137" s="217">
        <f t="shared" si="378"/>
        <v>1.4127428571428573</v>
      </c>
      <c r="CZ137" s="217">
        <f t="shared" si="379"/>
        <v>1.6952914285714289</v>
      </c>
      <c r="DA137" s="217">
        <f t="shared" si="380"/>
        <v>1.0091020408163269</v>
      </c>
      <c r="DB137" s="197">
        <f t="shared" si="381"/>
        <v>350</v>
      </c>
      <c r="DC137" s="443">
        <f t="shared" si="382"/>
        <v>350</v>
      </c>
      <c r="DE137" s="217">
        <f t="shared" si="383"/>
        <v>1.4925373134328355</v>
      </c>
      <c r="DF137" s="173">
        <f t="shared" si="384"/>
        <v>1.0660980810234544</v>
      </c>
      <c r="DG137" s="173">
        <f t="shared" si="385"/>
        <v>0.27845845399866342</v>
      </c>
      <c r="DH137" s="173"/>
      <c r="DI137" s="173">
        <f t="shared" si="386"/>
        <v>0.95238095238095266</v>
      </c>
      <c r="DJ137" s="545">
        <f t="shared" si="387"/>
        <v>425.24999999999983</v>
      </c>
      <c r="DK137" s="528">
        <f t="shared" si="388"/>
        <v>0.22222222222222232</v>
      </c>
      <c r="DM137" s="173">
        <f t="shared" si="389"/>
        <v>1.4696938456699067</v>
      </c>
      <c r="DN137" s="173">
        <f t="shared" si="390"/>
        <v>1.4696938456699067</v>
      </c>
      <c r="DO137" s="173">
        <f t="shared" si="391"/>
        <v>1.3010077869159802</v>
      </c>
      <c r="DQ137" s="545">
        <f t="shared" si="392"/>
        <v>270</v>
      </c>
      <c r="DR137" s="460">
        <f t="shared" si="393"/>
        <v>350</v>
      </c>
      <c r="DT137">
        <f t="shared" si="430"/>
        <v>270</v>
      </c>
      <c r="DU137">
        <f t="shared" si="431"/>
        <v>350</v>
      </c>
      <c r="DW137" s="5">
        <f t="shared" si="394"/>
        <v>2.8571428571428572</v>
      </c>
      <c r="DX137" s="5">
        <f t="shared" si="395"/>
        <v>1.7636326148038879</v>
      </c>
      <c r="DY137" s="5">
        <f t="shared" si="396"/>
        <v>1.0935102423389693</v>
      </c>
      <c r="DZ137" s="5"/>
      <c r="EA137" s="173">
        <f t="shared" si="397"/>
        <v>0.61727141518136075</v>
      </c>
      <c r="EB137" s="173">
        <f t="shared" si="398"/>
        <v>4.5359999999999996</v>
      </c>
      <c r="EC137" s="173">
        <f t="shared" si="399"/>
        <v>0.28124692283495351</v>
      </c>
      <c r="ED137" s="173">
        <f t="shared" si="400"/>
        <v>16.128176458883068</v>
      </c>
      <c r="EE137" s="460">
        <f t="shared" si="401"/>
        <v>2.9035414999820115</v>
      </c>
      <c r="EF137" s="5">
        <f t="shared" si="402"/>
        <v>0.40350527942307957</v>
      </c>
      <c r="EH137" s="173">
        <f t="shared" si="403"/>
        <v>0.6666598974969018</v>
      </c>
      <c r="EI137" s="173">
        <f t="shared" si="404"/>
        <v>0.52494245500761338</v>
      </c>
      <c r="EK137" s="528">
        <f t="shared" si="405"/>
        <v>8.8887083786115938E-3</v>
      </c>
      <c r="EL137" s="528">
        <f t="shared" si="406"/>
        <v>0.27571456544767448</v>
      </c>
      <c r="EM137" s="528">
        <f t="shared" si="407"/>
        <v>4.3749999999999997E-2</v>
      </c>
      <c r="EN137" s="528">
        <f t="shared" si="408"/>
        <v>2.5138399999999998E-2</v>
      </c>
      <c r="EO137">
        <f t="shared" si="409"/>
        <v>4.4999999999999997E-3</v>
      </c>
      <c r="EP137" s="460">
        <f t="shared" si="410"/>
        <v>48.249999999999993</v>
      </c>
      <c r="EQ137" s="460"/>
      <c r="ER137" s="460">
        <f t="shared" si="432"/>
        <v>357.9916738262861</v>
      </c>
      <c r="ES137" s="528">
        <f t="shared" si="411"/>
        <v>0.189</v>
      </c>
      <c r="EV137" s="460">
        <f t="shared" si="412"/>
        <v>189</v>
      </c>
      <c r="EW137" s="528">
        <f t="shared" si="413"/>
        <v>1.3333062567917388E-2</v>
      </c>
      <c r="EX137" s="528">
        <f t="shared" si="414"/>
        <v>8.266937432082606E-3</v>
      </c>
      <c r="EY137" s="528">
        <f t="shared" si="415"/>
        <v>0.30005944673000112</v>
      </c>
      <c r="EZ137" s="528"/>
      <c r="FA137" s="528">
        <f t="shared" si="416"/>
        <v>3.7799999999999999E-3</v>
      </c>
      <c r="FB137" s="460">
        <f t="shared" si="417"/>
        <v>325.43944673000112</v>
      </c>
      <c r="FC137" s="173">
        <f t="shared" si="418"/>
        <v>0.87243112055628724</v>
      </c>
      <c r="FD137" s="5">
        <f t="shared" si="419"/>
        <v>4.4279999999999999</v>
      </c>
      <c r="FE137" s="173">
        <f t="shared" si="420"/>
        <v>0.83540374344781132</v>
      </c>
      <c r="FF137" s="5">
        <f t="shared" si="421"/>
        <v>83.540374344781128</v>
      </c>
      <c r="FI137" s="562">
        <f t="shared" si="422"/>
        <v>-50</v>
      </c>
      <c r="FJ137">
        <f t="shared" si="423"/>
        <v>-50</v>
      </c>
      <c r="FL137">
        <f t="shared" si="424"/>
        <v>0.36742346141747678</v>
      </c>
    </row>
    <row r="138" spans="5:168">
      <c r="E138" s="170">
        <v>28</v>
      </c>
      <c r="F138" s="217">
        <f t="shared" si="425"/>
        <v>0.28000000000000003</v>
      </c>
      <c r="G138" s="217"/>
      <c r="H138" s="217">
        <f t="shared" si="315"/>
        <v>4.5919999999999996</v>
      </c>
      <c r="I138" s="541">
        <f t="shared" si="316"/>
        <v>9.9618707308836179</v>
      </c>
      <c r="J138" s="172">
        <f t="shared" si="317"/>
        <v>16.822877561469827</v>
      </c>
      <c r="K138" s="172">
        <f t="shared" si="318"/>
        <v>26.784748292353445</v>
      </c>
      <c r="L138" s="443"/>
      <c r="M138" s="217">
        <f t="shared" si="319"/>
        <v>0.62807080860162057</v>
      </c>
      <c r="N138" s="172">
        <f t="shared" si="426"/>
        <v>20.934076853000441</v>
      </c>
      <c r="O138" s="172">
        <f t="shared" si="438"/>
        <v>4.5919999999999996</v>
      </c>
      <c r="P138" s="217">
        <f t="shared" si="320"/>
        <v>1.2764681007927099</v>
      </c>
      <c r="Q138" s="217">
        <f t="shared" si="321"/>
        <v>16.399999999999999</v>
      </c>
      <c r="R138" s="217"/>
      <c r="S138" s="172">
        <f t="shared" si="322"/>
        <v>108.66836285635485</v>
      </c>
      <c r="T138" s="172">
        <f t="shared" si="323"/>
        <v>16.399999999999999</v>
      </c>
      <c r="U138" s="217">
        <f t="shared" si="324"/>
        <v>1.5056629405573461</v>
      </c>
      <c r="V138" s="217">
        <f t="shared" si="325"/>
        <v>1.813711076442118</v>
      </c>
      <c r="W138" s="217">
        <f t="shared" si="326"/>
        <v>1.0740109841891723</v>
      </c>
      <c r="X138" s="197">
        <f t="shared" si="327"/>
        <v>350</v>
      </c>
      <c r="Y138" s="443">
        <f t="shared" si="328"/>
        <v>323.86334662373991</v>
      </c>
      <c r="AA138" s="217">
        <f t="shared" si="329"/>
        <v>1.4897188945315902</v>
      </c>
      <c r="AB138" s="173">
        <f t="shared" si="330"/>
        <v>1.0626378673362458</v>
      </c>
      <c r="AC138" s="173">
        <f t="shared" si="331"/>
        <v>0.27703054907772279</v>
      </c>
      <c r="AD138" s="173"/>
      <c r="AE138" s="173">
        <f t="shared" si="332"/>
        <v>0.95108580214870631</v>
      </c>
      <c r="AF138" s="545">
        <f t="shared" si="333"/>
        <v>441.60053598858286</v>
      </c>
      <c r="AG138" s="528">
        <f t="shared" si="334"/>
        <v>0.22192002050136483</v>
      </c>
      <c r="AI138" s="173">
        <f t="shared" si="335"/>
        <v>1.4976816556028556</v>
      </c>
      <c r="AJ138" s="173">
        <f t="shared" si="336"/>
        <v>1.5056629405573461</v>
      </c>
      <c r="AK138" s="173">
        <f t="shared" si="337"/>
        <v>1.3276515609066759</v>
      </c>
      <c r="AM138" s="545">
        <f t="shared" si="338"/>
        <v>280</v>
      </c>
      <c r="AN138" s="460">
        <f t="shared" si="339"/>
        <v>323.86334662373991</v>
      </c>
      <c r="AP138" s="460">
        <f t="shared" si="340"/>
        <v>280</v>
      </c>
      <c r="AQ138" s="460">
        <f t="shared" si="341"/>
        <v>323.86334662373991</v>
      </c>
      <c r="AS138" s="5">
        <f t="shared" si="439"/>
        <v>3.0877220606312901</v>
      </c>
      <c r="AT138" s="5">
        <f t="shared" si="342"/>
        <v>1.813711076442118</v>
      </c>
      <c r="AU138" s="5">
        <f t="shared" si="343"/>
        <v>1.274010984189172</v>
      </c>
      <c r="AV138" s="5"/>
      <c r="AW138" s="173">
        <f t="shared" si="344"/>
        <v>0.58739453902509009</v>
      </c>
      <c r="AX138" s="173">
        <f t="shared" si="435"/>
        <v>4.4052298349113022</v>
      </c>
      <c r="AY138" s="173">
        <f t="shared" si="436"/>
        <v>0.31062237583075109</v>
      </c>
      <c r="AZ138" s="173">
        <f t="shared" si="440"/>
        <v>14.181946239802059</v>
      </c>
      <c r="BA138" s="460">
        <f t="shared" si="433"/>
        <v>3.0965798866084948</v>
      </c>
      <c r="BB138" s="5">
        <f t="shared" si="434"/>
        <v>0.48938753552079728</v>
      </c>
      <c r="BD138" s="173">
        <f t="shared" si="441"/>
        <v>0.66624212089783064</v>
      </c>
      <c r="BE138" s="173">
        <f t="shared" si="437"/>
        <v>0.55838612673563548</v>
      </c>
      <c r="BG138" s="528">
        <f t="shared" si="347"/>
        <v>8.8775712731687922E-3</v>
      </c>
      <c r="BH138" s="528">
        <f t="shared" si="348"/>
        <v>0.24489414496378734</v>
      </c>
      <c r="BI138" s="528">
        <f t="shared" si="349"/>
        <v>8.0657119838426258E-2</v>
      </c>
      <c r="BJ138" s="528">
        <f t="shared" si="350"/>
        <v>2.3234692987167776E-2</v>
      </c>
      <c r="BK138">
        <f t="shared" si="351"/>
        <v>4.482841828897628E-3</v>
      </c>
      <c r="BL138" s="460">
        <f t="shared" si="427"/>
        <v>85.139961667323888</v>
      </c>
      <c r="BM138" s="528">
        <f t="shared" si="352"/>
        <v>0.27999394776349223</v>
      </c>
      <c r="BN138" s="460">
        <f t="shared" si="353"/>
        <v>279.99394776349226</v>
      </c>
      <c r="BO138" s="528">
        <f t="shared" si="354"/>
        <v>0.19600000000000001</v>
      </c>
      <c r="BR138" s="460">
        <f t="shared" si="355"/>
        <v>196</v>
      </c>
      <c r="BS138" s="528">
        <f t="shared" si="356"/>
        <v>1.3316356909753187E-2</v>
      </c>
      <c r="BT138" s="528">
        <f t="shared" si="357"/>
        <v>9.353851995924754E-3</v>
      </c>
      <c r="BU138" s="528">
        <f t="shared" si="358"/>
        <v>0.26253904754302287</v>
      </c>
      <c r="BV138" s="528"/>
      <c r="BW138" s="528">
        <f t="shared" si="359"/>
        <v>3.6710248624260856E-3</v>
      </c>
      <c r="BX138" s="460">
        <f t="shared" si="360"/>
        <v>288.88028131112691</v>
      </c>
      <c r="BY138" s="173">
        <f t="shared" si="361"/>
        <v>0.84702665220257467</v>
      </c>
      <c r="BZ138" s="5">
        <f t="shared" si="362"/>
        <v>4.5919999999999996</v>
      </c>
      <c r="CA138" s="173">
        <f t="shared" si="363"/>
        <v>0.84426870718503189</v>
      </c>
      <c r="CB138" s="5">
        <f t="shared" si="364"/>
        <v>84.426870718503181</v>
      </c>
      <c r="CE138" s="562">
        <f t="shared" si="365"/>
        <v>-50</v>
      </c>
      <c r="CF138">
        <f t="shared" si="366"/>
        <v>-50</v>
      </c>
      <c r="CG138" s="173">
        <f t="shared" si="367"/>
        <v>0.36717199999999989</v>
      </c>
      <c r="CI138" s="170">
        <v>28</v>
      </c>
      <c r="CJ138" s="217">
        <f t="shared" si="428"/>
        <v>0.28000000000000003</v>
      </c>
      <c r="CK138" s="217"/>
      <c r="CL138" s="217">
        <f t="shared" si="368"/>
        <v>4.5919999999999996</v>
      </c>
      <c r="CM138" s="541">
        <f t="shared" si="369"/>
        <v>10</v>
      </c>
      <c r="CN138" s="443">
        <f t="shared" si="370"/>
        <v>16.799999999999997</v>
      </c>
      <c r="CO138" s="443">
        <f t="shared" si="371"/>
        <v>26.799999999999997</v>
      </c>
      <c r="CP138" s="443"/>
      <c r="CQ138" s="217">
        <f t="shared" si="372"/>
        <v>0.62686567164179097</v>
      </c>
      <c r="CR138" s="172">
        <f t="shared" si="429"/>
        <v>20.973880597014926</v>
      </c>
      <c r="CS138" s="172">
        <f t="shared" si="373"/>
        <v>4.5919999999999996</v>
      </c>
      <c r="CT138" s="217">
        <f t="shared" si="374"/>
        <v>1.2788951583545687</v>
      </c>
      <c r="CU138" s="217">
        <f t="shared" si="375"/>
        <v>16.399999999999999</v>
      </c>
      <c r="CV138" s="217"/>
      <c r="CW138" s="172">
        <f t="shared" si="376"/>
        <v>109.08415401503954</v>
      </c>
      <c r="CX138" s="172">
        <f t="shared" si="377"/>
        <v>16.399999999999999</v>
      </c>
      <c r="CY138" s="217">
        <f t="shared" si="378"/>
        <v>1.4650666666666667</v>
      </c>
      <c r="CZ138" s="217">
        <f t="shared" si="379"/>
        <v>1.7580800000000003</v>
      </c>
      <c r="DA138" s="217">
        <f t="shared" si="380"/>
        <v>1.0464761904761908</v>
      </c>
      <c r="DB138" s="197">
        <f t="shared" si="381"/>
        <v>350</v>
      </c>
      <c r="DC138" s="443">
        <f t="shared" si="382"/>
        <v>350</v>
      </c>
      <c r="DE138" s="217">
        <f t="shared" si="383"/>
        <v>1.4925373134328355</v>
      </c>
      <c r="DF138" s="173">
        <f t="shared" si="384"/>
        <v>1.0660980810234544</v>
      </c>
      <c r="DG138" s="173">
        <f t="shared" si="385"/>
        <v>0.27845845399866342</v>
      </c>
      <c r="DH138" s="173"/>
      <c r="DI138" s="173">
        <f t="shared" si="386"/>
        <v>0.95238095238095266</v>
      </c>
      <c r="DJ138" s="545">
        <f t="shared" si="387"/>
        <v>440.99999999999989</v>
      </c>
      <c r="DK138" s="528">
        <f t="shared" si="388"/>
        <v>0.22222222222222232</v>
      </c>
      <c r="DM138" s="173">
        <f t="shared" si="389"/>
        <v>1.4966629547095764</v>
      </c>
      <c r="DN138" s="173">
        <f t="shared" si="390"/>
        <v>1.4650666666666667</v>
      </c>
      <c r="DO138" s="173">
        <f t="shared" si="391"/>
        <v>1.2975802469135802</v>
      </c>
      <c r="DQ138" s="545">
        <f t="shared" si="392"/>
        <v>280</v>
      </c>
      <c r="DR138" s="460">
        <f t="shared" si="393"/>
        <v>350</v>
      </c>
      <c r="DT138">
        <f t="shared" si="430"/>
        <v>280</v>
      </c>
      <c r="DU138">
        <f t="shared" si="431"/>
        <v>350</v>
      </c>
      <c r="DW138" s="5">
        <f t="shared" si="394"/>
        <v>2.8571428571428572</v>
      </c>
      <c r="DX138" s="5">
        <f t="shared" si="395"/>
        <v>1.7580800000000003</v>
      </c>
      <c r="DY138" s="5">
        <f t="shared" si="396"/>
        <v>1.0990628571428569</v>
      </c>
      <c r="DZ138" s="5"/>
      <c r="EA138" s="173">
        <f t="shared" si="397"/>
        <v>0.6153280000000001</v>
      </c>
      <c r="EB138" s="173">
        <f t="shared" si="398"/>
        <v>4.5074827093333347</v>
      </c>
      <c r="EC138" s="173">
        <f t="shared" si="399"/>
        <v>0.28178506239999995</v>
      </c>
      <c r="ED138" s="173">
        <f t="shared" si="400"/>
        <v>15.996173363280933</v>
      </c>
      <c r="EE138" s="460">
        <f t="shared" si="401"/>
        <v>3.0016000000000016</v>
      </c>
      <c r="EF138" s="5">
        <f t="shared" si="402"/>
        <v>0.42057471999999979</v>
      </c>
      <c r="EH138" s="173">
        <f t="shared" si="403"/>
        <v>0.66351401231225571</v>
      </c>
      <c r="EI138" s="173">
        <f t="shared" si="404"/>
        <v>0.52461662325093916</v>
      </c>
      <c r="EK138" s="528">
        <f t="shared" si="405"/>
        <v>8.8050168906941648E-3</v>
      </c>
      <c r="EL138" s="528">
        <f t="shared" si="406"/>
        <v>0.2748465066666666</v>
      </c>
      <c r="EM138" s="528">
        <f t="shared" si="407"/>
        <v>4.3749999999999997E-2</v>
      </c>
      <c r="EN138" s="528">
        <f t="shared" si="408"/>
        <v>2.5138399999999998E-2</v>
      </c>
      <c r="EO138">
        <f t="shared" si="409"/>
        <v>4.4999999999999997E-3</v>
      </c>
      <c r="EP138" s="460">
        <f t="shared" si="410"/>
        <v>48.249999999999993</v>
      </c>
      <c r="EQ138" s="460"/>
      <c r="ER138" s="460">
        <f t="shared" si="432"/>
        <v>357.03992355736079</v>
      </c>
      <c r="ES138" s="528">
        <f t="shared" si="411"/>
        <v>0.19600000000000001</v>
      </c>
      <c r="EV138" s="460">
        <f t="shared" si="412"/>
        <v>196</v>
      </c>
      <c r="EW138" s="528">
        <f t="shared" si="413"/>
        <v>1.3207525336041245E-2</v>
      </c>
      <c r="EX138" s="528">
        <f t="shared" si="414"/>
        <v>8.2566780417365343E-3</v>
      </c>
      <c r="EY138" s="528">
        <f t="shared" si="415"/>
        <v>0.29770325533088804</v>
      </c>
      <c r="EZ138" s="528"/>
      <c r="FA138" s="528">
        <f t="shared" si="416"/>
        <v>3.756235591111112E-3</v>
      </c>
      <c r="FB138" s="460">
        <f t="shared" si="417"/>
        <v>322.92369429977691</v>
      </c>
      <c r="FC138" s="173">
        <f t="shared" si="418"/>
        <v>0.87596361785713783</v>
      </c>
      <c r="FD138" s="5">
        <f t="shared" si="419"/>
        <v>4.5919999999999996</v>
      </c>
      <c r="FE138" s="173">
        <f t="shared" si="420"/>
        <v>0.8398007596472592</v>
      </c>
      <c r="FF138" s="5">
        <f t="shared" si="421"/>
        <v>83.980075964725927</v>
      </c>
      <c r="FI138" s="562">
        <f t="shared" si="422"/>
        <v>-50</v>
      </c>
      <c r="FJ138">
        <f t="shared" si="423"/>
        <v>-50</v>
      </c>
      <c r="FL138">
        <f t="shared" si="424"/>
        <v>0.37416573867739417</v>
      </c>
    </row>
    <row r="139" spans="5:168">
      <c r="E139" s="170">
        <v>29</v>
      </c>
      <c r="F139" s="217">
        <f t="shared" si="425"/>
        <v>0.28999999999999998</v>
      </c>
      <c r="G139" s="217"/>
      <c r="H139" s="217">
        <f t="shared" si="315"/>
        <v>4.7559999999999993</v>
      </c>
      <c r="I139" s="541">
        <f t="shared" si="316"/>
        <v>9.9592606177291145</v>
      </c>
      <c r="J139" s="172">
        <f t="shared" si="317"/>
        <v>16.824443629362527</v>
      </c>
      <c r="K139" s="172">
        <f t="shared" si="318"/>
        <v>26.783704247091642</v>
      </c>
      <c r="L139" s="443"/>
      <c r="M139" s="217">
        <f t="shared" si="319"/>
        <v>0.62814404454512274</v>
      </c>
      <c r="N139" s="172">
        <f t="shared" si="426"/>
        <v>20.931032278394824</v>
      </c>
      <c r="O139" s="172">
        <f t="shared" si="438"/>
        <v>4.7559999999999993</v>
      </c>
      <c r="P139" s="217">
        <f t="shared" si="320"/>
        <v>1.2762824559996844</v>
      </c>
      <c r="Q139" s="217">
        <f t="shared" si="321"/>
        <v>16.399999999999999</v>
      </c>
      <c r="R139" s="217"/>
      <c r="S139" s="172">
        <f t="shared" si="322"/>
        <v>104.55295640267451</v>
      </c>
      <c r="T139" s="172">
        <f t="shared" si="323"/>
        <v>16.399999999999999</v>
      </c>
      <c r="U139" s="217">
        <f t="shared" si="324"/>
        <v>1.559743743489352</v>
      </c>
      <c r="V139" s="217">
        <f t="shared" si="325"/>
        <v>1.8793488432819032</v>
      </c>
      <c r="W139" s="217">
        <f t="shared" si="326"/>
        <v>1.1124840341945621</v>
      </c>
      <c r="X139" s="197">
        <f t="shared" si="327"/>
        <v>350</v>
      </c>
      <c r="Y139" s="443">
        <f t="shared" si="328"/>
        <v>313.29961134764125</v>
      </c>
      <c r="AA139" s="217">
        <f t="shared" si="329"/>
        <v>1.4895252770411196</v>
      </c>
      <c r="AB139" s="173">
        <f t="shared" si="330"/>
        <v>1.0624008566499434</v>
      </c>
      <c r="AC139" s="173">
        <f t="shared" si="331"/>
        <v>0.27693276280779022</v>
      </c>
      <c r="AD139" s="173"/>
      <c r="AE139" s="173">
        <f t="shared" si="332"/>
        <v>0.95099727233038001</v>
      </c>
      <c r="AF139" s="545">
        <f t="shared" si="333"/>
        <v>457.41456117329352</v>
      </c>
      <c r="AG139" s="528">
        <f t="shared" si="334"/>
        <v>0.22189936354375539</v>
      </c>
      <c r="AI139" s="173">
        <f t="shared" si="335"/>
        <v>1.5242622965935784</v>
      </c>
      <c r="AJ139" s="173">
        <f t="shared" si="336"/>
        <v>1.559743743489352</v>
      </c>
      <c r="AK139" s="173">
        <f t="shared" si="337"/>
        <v>1.367711414930384</v>
      </c>
      <c r="AM139" s="545">
        <f t="shared" si="338"/>
        <v>290</v>
      </c>
      <c r="AN139" s="460">
        <f t="shared" si="339"/>
        <v>313.29961134764125</v>
      </c>
      <c r="AP139" s="460">
        <f t="shared" si="340"/>
        <v>290</v>
      </c>
      <c r="AQ139" s="460">
        <f t="shared" si="341"/>
        <v>313.29961134764125</v>
      </c>
      <c r="AS139" s="5">
        <f t="shared" si="439"/>
        <v>3.191832877476465</v>
      </c>
      <c r="AT139" s="5">
        <f t="shared" si="342"/>
        <v>1.8793488432819032</v>
      </c>
      <c r="AU139" s="5">
        <f t="shared" si="343"/>
        <v>1.3124840341945618</v>
      </c>
      <c r="AV139" s="5"/>
      <c r="AW139" s="173">
        <f t="shared" si="344"/>
        <v>0.58879926218685941</v>
      </c>
      <c r="AX139" s="173">
        <f t="shared" si="435"/>
        <v>4.57317279207476</v>
      </c>
      <c r="AY139" s="173">
        <f t="shared" si="436"/>
        <v>0.32068388906112572</v>
      </c>
      <c r="AZ139" s="173">
        <f t="shared" si="440"/>
        <v>14.260687699228523</v>
      </c>
      <c r="BA139" s="460">
        <f t="shared" si="433"/>
        <v>3.3232388082423903</v>
      </c>
      <c r="BB139" s="5">
        <f t="shared" si="434"/>
        <v>0.52230902693027581</v>
      </c>
      <c r="BD139" s="173">
        <f t="shared" si="441"/>
        <v>0.69099714571343174</v>
      </c>
      <c r="BE139" s="173">
        <f t="shared" si="437"/>
        <v>0.57745688993547351</v>
      </c>
      <c r="BG139" s="528">
        <f t="shared" si="347"/>
        <v>9.549541107682193E-3</v>
      </c>
      <c r="BH139" s="528">
        <f t="shared" si="348"/>
        <v>0.24540591211909249</v>
      </c>
      <c r="BI139" s="528">
        <f t="shared" si="349"/>
        <v>7.8005812021110024E-2</v>
      </c>
      <c r="BJ139" s="528">
        <f t="shared" si="350"/>
        <v>2.247507437679009E-2</v>
      </c>
      <c r="BK139">
        <f t="shared" si="351"/>
        <v>4.4816672779781014E-3</v>
      </c>
      <c r="BL139" s="460">
        <f t="shared" si="427"/>
        <v>82.487479299088136</v>
      </c>
      <c r="BM139" s="528">
        <f t="shared" si="352"/>
        <v>0.28064568060399542</v>
      </c>
      <c r="BN139" s="460">
        <f t="shared" si="353"/>
        <v>280.6456806039954</v>
      </c>
      <c r="BO139" s="528">
        <f t="shared" si="354"/>
        <v>0.20299999999999999</v>
      </c>
      <c r="BR139" s="460">
        <f t="shared" si="355"/>
        <v>203</v>
      </c>
      <c r="BS139" s="528">
        <f t="shared" si="356"/>
        <v>1.4324311661523289E-2</v>
      </c>
      <c r="BT139" s="528">
        <f t="shared" si="357"/>
        <v>1.0003693792018487E-2</v>
      </c>
      <c r="BU139" s="528">
        <f t="shared" si="358"/>
        <v>0.26393851888488823</v>
      </c>
      <c r="BV139" s="528"/>
      <c r="BW139" s="528">
        <f t="shared" si="359"/>
        <v>3.8109773267289669E-3</v>
      </c>
      <c r="BX139" s="460">
        <f t="shared" si="360"/>
        <v>292.07750166515899</v>
      </c>
      <c r="BY139" s="173">
        <f t="shared" si="361"/>
        <v>0.85499550856781181</v>
      </c>
      <c r="BZ139" s="5">
        <f t="shared" si="362"/>
        <v>4.7559999999999993</v>
      </c>
      <c r="CA139" s="173">
        <f t="shared" si="363"/>
        <v>0.84762142346001512</v>
      </c>
      <c r="CB139" s="5">
        <f t="shared" si="364"/>
        <v>84.762142346001511</v>
      </c>
      <c r="CE139" s="562">
        <f t="shared" si="365"/>
        <v>-50</v>
      </c>
      <c r="CF139">
        <f t="shared" si="366"/>
        <v>-50</v>
      </c>
      <c r="CG139" s="173">
        <f t="shared" si="367"/>
        <v>0.3559209588301166</v>
      </c>
      <c r="CI139" s="170">
        <v>29</v>
      </c>
      <c r="CJ139" s="217">
        <f t="shared" si="428"/>
        <v>0.28999999999999998</v>
      </c>
      <c r="CK139" s="217"/>
      <c r="CL139" s="217">
        <f t="shared" si="368"/>
        <v>4.7559999999999993</v>
      </c>
      <c r="CM139" s="541">
        <f t="shared" si="369"/>
        <v>10</v>
      </c>
      <c r="CN139" s="443">
        <f t="shared" si="370"/>
        <v>16.799999999999997</v>
      </c>
      <c r="CO139" s="443">
        <f t="shared" si="371"/>
        <v>26.799999999999997</v>
      </c>
      <c r="CP139" s="443"/>
      <c r="CQ139" s="217">
        <f t="shared" si="372"/>
        <v>0.62686567164179097</v>
      </c>
      <c r="CR139" s="172">
        <f t="shared" si="429"/>
        <v>20.973880597014926</v>
      </c>
      <c r="CS139" s="172">
        <f t="shared" si="373"/>
        <v>4.7559999999999993</v>
      </c>
      <c r="CT139" s="217">
        <f t="shared" si="374"/>
        <v>1.2788951583545687</v>
      </c>
      <c r="CU139" s="217">
        <f t="shared" si="375"/>
        <v>16.399999999999999</v>
      </c>
      <c r="CV139" s="217"/>
      <c r="CW139" s="172">
        <f t="shared" si="376"/>
        <v>104.98048642718987</v>
      </c>
      <c r="CX139" s="172">
        <f t="shared" si="377"/>
        <v>16.399999999999999</v>
      </c>
      <c r="CY139" s="217">
        <f t="shared" si="378"/>
        <v>1.5173904761904762</v>
      </c>
      <c r="CZ139" s="217">
        <f t="shared" si="379"/>
        <v>1.8208685714285713</v>
      </c>
      <c r="DA139" s="217">
        <f t="shared" si="380"/>
        <v>1.0838503401360544</v>
      </c>
      <c r="DB139" s="197">
        <f t="shared" si="381"/>
        <v>350</v>
      </c>
      <c r="DC139" s="443">
        <f t="shared" si="382"/>
        <v>344.2673905618463</v>
      </c>
      <c r="DE139" s="217">
        <f t="shared" si="383"/>
        <v>1.4925373134328355</v>
      </c>
      <c r="DF139" s="173">
        <f t="shared" si="384"/>
        <v>1.0660980810234544</v>
      </c>
      <c r="DG139" s="173">
        <f t="shared" si="385"/>
        <v>0.27845845399866342</v>
      </c>
      <c r="DH139" s="173"/>
      <c r="DI139" s="173">
        <f t="shared" si="386"/>
        <v>0.95238095238095266</v>
      </c>
      <c r="DJ139" s="545">
        <f t="shared" si="387"/>
        <v>456.74999999999977</v>
      </c>
      <c r="DK139" s="528">
        <f t="shared" si="388"/>
        <v>0.22222222222222232</v>
      </c>
      <c r="DM139" s="173">
        <f t="shared" si="389"/>
        <v>1.5231546211727816</v>
      </c>
      <c r="DN139" s="173">
        <f t="shared" si="390"/>
        <v>1.5173904761904762</v>
      </c>
      <c r="DO139" s="173">
        <f t="shared" si="391"/>
        <v>1.3363386243386242</v>
      </c>
      <c r="DQ139" s="545">
        <f t="shared" si="392"/>
        <v>290</v>
      </c>
      <c r="DR139" s="460">
        <f t="shared" si="393"/>
        <v>344.2673905618463</v>
      </c>
      <c r="DT139">
        <f t="shared" si="430"/>
        <v>290</v>
      </c>
      <c r="DU139">
        <f t="shared" si="431"/>
        <v>344.2673905618463</v>
      </c>
      <c r="DW139" s="5">
        <f t="shared" si="394"/>
        <v>2.9047189115646255</v>
      </c>
      <c r="DX139" s="5">
        <f t="shared" si="395"/>
        <v>1.8208685714285713</v>
      </c>
      <c r="DY139" s="5">
        <f t="shared" si="396"/>
        <v>1.0838503401360542</v>
      </c>
      <c r="DZ139" s="5"/>
      <c r="EA139" s="173">
        <f t="shared" si="397"/>
        <v>0.62686567164179108</v>
      </c>
      <c r="EB139" s="173">
        <f t="shared" si="398"/>
        <v>4.7560000000000011</v>
      </c>
      <c r="EC139" s="173">
        <f t="shared" si="399"/>
        <v>0.28309523809523807</v>
      </c>
      <c r="ED139" s="173">
        <f t="shared" si="400"/>
        <v>16.800000000000004</v>
      </c>
      <c r="EE139" s="460">
        <f t="shared" si="401"/>
        <v>3.2198285714285717</v>
      </c>
      <c r="EF139" s="5">
        <f t="shared" si="402"/>
        <v>0.42956601814058937</v>
      </c>
      <c r="EH139" s="173">
        <f t="shared" si="403"/>
        <v>0.69362377433120059</v>
      </c>
      <c r="EI139" s="173">
        <f t="shared" si="404"/>
        <v>0.53514235996327153</v>
      </c>
      <c r="EK139" s="528">
        <f t="shared" si="405"/>
        <v>9.6222788063492059E-3</v>
      </c>
      <c r="EL139" s="528">
        <f t="shared" si="406"/>
        <v>0.28000000000000003</v>
      </c>
      <c r="EM139" s="528">
        <f t="shared" si="407"/>
        <v>4.3033423820230787E-2</v>
      </c>
      <c r="EN139" s="528">
        <f t="shared" si="408"/>
        <v>2.4726661059714047E-2</v>
      </c>
      <c r="EO139">
        <f t="shared" si="409"/>
        <v>4.4999999999999997E-3</v>
      </c>
      <c r="EP139" s="460">
        <f t="shared" si="410"/>
        <v>47.533423820230787</v>
      </c>
      <c r="EQ139" s="460"/>
      <c r="ER139" s="460">
        <f t="shared" si="432"/>
        <v>361.88236368629407</v>
      </c>
      <c r="ES139" s="528">
        <f t="shared" si="411"/>
        <v>0.20299999999999999</v>
      </c>
      <c r="EV139" s="460">
        <f t="shared" si="412"/>
        <v>203</v>
      </c>
      <c r="EW139" s="528">
        <f t="shared" si="413"/>
        <v>1.4433418209523808E-2</v>
      </c>
      <c r="EX139" s="528">
        <f t="shared" si="414"/>
        <v>8.5913203628117905E-3</v>
      </c>
      <c r="EY139" s="528">
        <f t="shared" si="415"/>
        <v>0.31185528502698301</v>
      </c>
      <c r="EZ139" s="528"/>
      <c r="FA139" s="528">
        <f t="shared" si="416"/>
        <v>3.9633333333333343E-3</v>
      </c>
      <c r="FB139" s="460">
        <f t="shared" si="417"/>
        <v>338.84335693265194</v>
      </c>
      <c r="FC139" s="173">
        <f t="shared" si="418"/>
        <v>0.90372572061894596</v>
      </c>
      <c r="FD139" s="5">
        <f t="shared" si="419"/>
        <v>4.7559999999999993</v>
      </c>
      <c r="FE139" s="173">
        <f t="shared" si="420"/>
        <v>0.84032340695829422</v>
      </c>
      <c r="FF139" s="5">
        <f t="shared" si="421"/>
        <v>84.032340695829419</v>
      </c>
      <c r="FI139" s="562">
        <f t="shared" si="422"/>
        <v>-50</v>
      </c>
      <c r="FJ139">
        <f t="shared" si="423"/>
        <v>-50</v>
      </c>
      <c r="FL139">
        <f t="shared" si="424"/>
        <v>0.37313432835820892</v>
      </c>
    </row>
    <row r="140" spans="5:168">
      <c r="E140" s="170">
        <v>30</v>
      </c>
      <c r="F140" s="217">
        <f t="shared" si="425"/>
        <v>0.3</v>
      </c>
      <c r="G140" s="217"/>
      <c r="H140" s="217">
        <f t="shared" si="315"/>
        <v>4.919999999999999</v>
      </c>
      <c r="I140" s="541">
        <f t="shared" si="316"/>
        <v>9.9579236425985904</v>
      </c>
      <c r="J140" s="172">
        <f t="shared" si="317"/>
        <v>16.825245814440844</v>
      </c>
      <c r="K140" s="172">
        <f t="shared" si="318"/>
        <v>26.783169457039435</v>
      </c>
      <c r="L140" s="443"/>
      <c r="M140" s="217">
        <f t="shared" si="319"/>
        <v>0.62818656501776948</v>
      </c>
      <c r="N140" s="172">
        <f t="shared" si="426"/>
        <v>20.929639082274395</v>
      </c>
      <c r="O140" s="172">
        <f t="shared" si="438"/>
        <v>4.919999999999999</v>
      </c>
      <c r="P140" s="217">
        <f t="shared" si="320"/>
        <v>1.2761975050167316</v>
      </c>
      <c r="Q140" s="217">
        <f t="shared" si="321"/>
        <v>16.399999999999999</v>
      </c>
      <c r="R140" s="217"/>
      <c r="S140" s="172">
        <f t="shared" si="322"/>
        <v>100.72506093566275</v>
      </c>
      <c r="T140" s="172">
        <f t="shared" si="323"/>
        <v>16.399999999999999</v>
      </c>
      <c r="U140" s="217">
        <f t="shared" si="324"/>
        <v>1.6137125330844346</v>
      </c>
      <c r="V140" s="217">
        <f t="shared" si="325"/>
        <v>1.9446373653815145</v>
      </c>
      <c r="W140" s="217">
        <f t="shared" si="326"/>
        <v>1.1509222872924048</v>
      </c>
      <c r="X140" s="197">
        <f t="shared" si="327"/>
        <v>350</v>
      </c>
      <c r="Y140" s="443">
        <f t="shared" si="328"/>
        <v>303.43859780800199</v>
      </c>
      <c r="AA140" s="217">
        <f t="shared" si="329"/>
        <v>1.4894260665923509</v>
      </c>
      <c r="AB140" s="173">
        <f t="shared" si="330"/>
        <v>1.0622794457937725</v>
      </c>
      <c r="AC140" s="173">
        <f t="shared" si="331"/>
        <v>0.27688267189984117</v>
      </c>
      <c r="AD140" s="173"/>
      <c r="AE140" s="173">
        <f t="shared" si="332"/>
        <v>0.9509519311906548</v>
      </c>
      <c r="AF140" s="545">
        <f t="shared" si="333"/>
        <v>473.2100385311486</v>
      </c>
      <c r="AG140" s="528">
        <f t="shared" si="334"/>
        <v>0.22188878394448616</v>
      </c>
      <c r="AI140" s="173">
        <f t="shared" si="335"/>
        <v>1.5503569088826354</v>
      </c>
      <c r="AJ140" s="173">
        <f t="shared" si="336"/>
        <v>1.6137125330844346</v>
      </c>
      <c r="AK140" s="173">
        <f t="shared" si="337"/>
        <v>1.4076882961119268</v>
      </c>
      <c r="AM140" s="545">
        <f t="shared" si="338"/>
        <v>300</v>
      </c>
      <c r="AN140" s="460">
        <f t="shared" si="339"/>
        <v>303.43859780800199</v>
      </c>
      <c r="AP140" s="460">
        <f t="shared" si="340"/>
        <v>300</v>
      </c>
      <c r="AQ140" s="460">
        <f t="shared" si="341"/>
        <v>303.43859780800199</v>
      </c>
      <c r="AS140" s="5">
        <f t="shared" si="439"/>
        <v>3.2955596526739188</v>
      </c>
      <c r="AT140" s="5">
        <f t="shared" si="342"/>
        <v>1.9446373653815145</v>
      </c>
      <c r="AU140" s="5">
        <f t="shared" si="343"/>
        <v>1.3509222872924043</v>
      </c>
      <c r="AV140" s="5"/>
      <c r="AW140" s="173">
        <f t="shared" si="344"/>
        <v>0.59007803539641401</v>
      </c>
      <c r="AX140" s="173">
        <f t="shared" si="435"/>
        <v>4.7410487089576776</v>
      </c>
      <c r="AY140" s="173">
        <f t="shared" si="436"/>
        <v>0.33074810593370035</v>
      </c>
      <c r="AZ140" s="173">
        <f t="shared" si="440"/>
        <v>14.334318546054011</v>
      </c>
      <c r="BA140" s="460">
        <f t="shared" si="433"/>
        <v>3.5572634732588684</v>
      </c>
      <c r="BB140" s="5">
        <f t="shared" si="434"/>
        <v>0.55621850264092521</v>
      </c>
      <c r="BD140" s="173">
        <f t="shared" si="441"/>
        <v>0.71568228792658206</v>
      </c>
      <c r="BE140" s="173">
        <f t="shared" si="437"/>
        <v>0.59650781712628631</v>
      </c>
      <c r="BG140" s="528">
        <f t="shared" si="347"/>
        <v>1.0244022745036543E-2</v>
      </c>
      <c r="BH140" s="528">
        <f t="shared" si="348"/>
        <v>0.245900966662148</v>
      </c>
      <c r="BI140" s="528">
        <f t="shared" si="349"/>
        <v>7.5540459679731692E-2</v>
      </c>
      <c r="BJ140" s="528">
        <f t="shared" si="350"/>
        <v>2.1766808729511641E-2</v>
      </c>
      <c r="BK140">
        <f t="shared" si="351"/>
        <v>4.4810656391693652E-3</v>
      </c>
      <c r="BL140" s="460">
        <f t="shared" si="427"/>
        <v>80.021525318901055</v>
      </c>
      <c r="BM140" s="528">
        <f t="shared" si="352"/>
        <v>0.28136251495692594</v>
      </c>
      <c r="BN140" s="460">
        <f t="shared" si="353"/>
        <v>281.36251495692596</v>
      </c>
      <c r="BO140" s="528">
        <f t="shared" si="354"/>
        <v>0.21</v>
      </c>
      <c r="BR140" s="460">
        <f t="shared" si="355"/>
        <v>210</v>
      </c>
      <c r="BS140" s="528">
        <f t="shared" si="356"/>
        <v>1.5366034117554814E-2</v>
      </c>
      <c r="BT140" s="528">
        <f t="shared" si="357"/>
        <v>1.067464727678301E-2</v>
      </c>
      <c r="BU140" s="528">
        <f t="shared" si="358"/>
        <v>0.26528487602474277</v>
      </c>
      <c r="BV140" s="528"/>
      <c r="BW140" s="528">
        <f t="shared" si="359"/>
        <v>3.9508739241313979E-3</v>
      </c>
      <c r="BX140" s="460">
        <f t="shared" si="360"/>
        <v>295.27643134321204</v>
      </c>
      <c r="BY140" s="173">
        <f t="shared" si="361"/>
        <v>0.86320975479880913</v>
      </c>
      <c r="BZ140" s="5">
        <f t="shared" si="362"/>
        <v>4.919999999999999</v>
      </c>
      <c r="CA140" s="173">
        <f t="shared" si="363"/>
        <v>0.85073863971775676</v>
      </c>
      <c r="CB140" s="5">
        <f t="shared" si="364"/>
        <v>85.07386397177568</v>
      </c>
      <c r="CE140" s="562">
        <f t="shared" si="365"/>
        <v>-50</v>
      </c>
      <c r="CF140">
        <f t="shared" si="366"/>
        <v>-50</v>
      </c>
      <c r="CG140" s="173">
        <f t="shared" si="367"/>
        <v>0.35649473781438645</v>
      </c>
      <c r="CI140" s="170">
        <v>30</v>
      </c>
      <c r="CJ140" s="217">
        <f t="shared" si="428"/>
        <v>0.3</v>
      </c>
      <c r="CK140" s="217"/>
      <c r="CL140" s="217">
        <f t="shared" si="368"/>
        <v>4.919999999999999</v>
      </c>
      <c r="CM140" s="541">
        <f t="shared" si="369"/>
        <v>10</v>
      </c>
      <c r="CN140" s="443">
        <f t="shared" si="370"/>
        <v>16.799999999999997</v>
      </c>
      <c r="CO140" s="443">
        <f t="shared" si="371"/>
        <v>26.799999999999997</v>
      </c>
      <c r="CP140" s="443"/>
      <c r="CQ140" s="217">
        <f t="shared" si="372"/>
        <v>0.62686567164179097</v>
      </c>
      <c r="CR140" s="172">
        <f t="shared" si="429"/>
        <v>20.973880597014926</v>
      </c>
      <c r="CS140" s="172">
        <f t="shared" si="373"/>
        <v>4.919999999999999</v>
      </c>
      <c r="CT140" s="217">
        <f t="shared" si="374"/>
        <v>1.2788951583545687</v>
      </c>
      <c r="CU140" s="217">
        <f t="shared" si="375"/>
        <v>16.399999999999999</v>
      </c>
      <c r="CV140" s="217"/>
      <c r="CW140" s="172">
        <f t="shared" si="376"/>
        <v>101.1505003803419</v>
      </c>
      <c r="CX140" s="172">
        <f t="shared" si="377"/>
        <v>16.399999999999999</v>
      </c>
      <c r="CY140" s="217">
        <f t="shared" si="378"/>
        <v>1.5697142857142856</v>
      </c>
      <c r="CZ140" s="217">
        <f t="shared" si="379"/>
        <v>1.8836571428571427</v>
      </c>
      <c r="DA140" s="217">
        <f t="shared" si="380"/>
        <v>1.1212244897959185</v>
      </c>
      <c r="DB140" s="197">
        <f t="shared" si="381"/>
        <v>350</v>
      </c>
      <c r="DC140" s="443">
        <f t="shared" si="382"/>
        <v>332.79181087645139</v>
      </c>
      <c r="DE140" s="217">
        <f t="shared" si="383"/>
        <v>1.4925373134328355</v>
      </c>
      <c r="DF140" s="173">
        <f t="shared" si="384"/>
        <v>1.0660980810234544</v>
      </c>
      <c r="DG140" s="173">
        <f t="shared" si="385"/>
        <v>0.27845845399866342</v>
      </c>
      <c r="DH140" s="173"/>
      <c r="DI140" s="173">
        <f t="shared" si="386"/>
        <v>0.95238095238095266</v>
      </c>
      <c r="DJ140" s="545">
        <f t="shared" si="387"/>
        <v>472.49999999999977</v>
      </c>
      <c r="DK140" s="528">
        <f t="shared" si="388"/>
        <v>0.22222222222222232</v>
      </c>
      <c r="DM140" s="173">
        <f t="shared" si="389"/>
        <v>1.5491933384829666</v>
      </c>
      <c r="DN140" s="173">
        <f t="shared" si="390"/>
        <v>1.5697142857142856</v>
      </c>
      <c r="DO140" s="173">
        <f t="shared" si="391"/>
        <v>1.3750970017636681</v>
      </c>
      <c r="DQ140" s="545">
        <f t="shared" si="392"/>
        <v>300</v>
      </c>
      <c r="DR140" s="460">
        <f t="shared" si="393"/>
        <v>332.79181087645139</v>
      </c>
      <c r="DT140">
        <f t="shared" si="430"/>
        <v>300</v>
      </c>
      <c r="DU140">
        <f t="shared" si="431"/>
        <v>332.79181087645139</v>
      </c>
      <c r="DW140" s="5">
        <f t="shared" si="394"/>
        <v>3.0048816326530612</v>
      </c>
      <c r="DX140" s="5">
        <f t="shared" si="395"/>
        <v>1.8836571428571427</v>
      </c>
      <c r="DY140" s="5">
        <f t="shared" si="396"/>
        <v>1.1212244897959185</v>
      </c>
      <c r="DZ140" s="5"/>
      <c r="EA140" s="173">
        <f t="shared" si="397"/>
        <v>0.62686567164179097</v>
      </c>
      <c r="EB140" s="173">
        <f t="shared" si="398"/>
        <v>4.92</v>
      </c>
      <c r="EC140" s="173">
        <f t="shared" si="399"/>
        <v>0.29285714285714293</v>
      </c>
      <c r="ED140" s="173">
        <f t="shared" si="400"/>
        <v>16.799999999999997</v>
      </c>
      <c r="EE140" s="460">
        <f t="shared" si="401"/>
        <v>3.4457142857142853</v>
      </c>
      <c r="EF140" s="5">
        <f t="shared" si="402"/>
        <v>0.45970204081632643</v>
      </c>
      <c r="EH140" s="173">
        <f t="shared" si="403"/>
        <v>0.71754183551503503</v>
      </c>
      <c r="EI140" s="173">
        <f t="shared" si="404"/>
        <v>0.55359554478959128</v>
      </c>
      <c r="EK140" s="528">
        <f t="shared" si="405"/>
        <v>1.0297325714285712E-2</v>
      </c>
      <c r="EL140" s="528">
        <f t="shared" si="406"/>
        <v>0.27999999999999997</v>
      </c>
      <c r="EM140" s="528">
        <f t="shared" si="407"/>
        <v>4.1598976359556422E-2</v>
      </c>
      <c r="EN140" s="528">
        <f t="shared" si="408"/>
        <v>2.3902439024390244E-2</v>
      </c>
      <c r="EO140">
        <f t="shared" si="409"/>
        <v>4.4999999999999997E-3</v>
      </c>
      <c r="EP140" s="460">
        <f t="shared" si="410"/>
        <v>46.098976359556417</v>
      </c>
      <c r="EQ140" s="460"/>
      <c r="ER140" s="460">
        <f t="shared" si="432"/>
        <v>360.29874109823243</v>
      </c>
      <c r="ES140" s="528">
        <f t="shared" si="411"/>
        <v>0.21</v>
      </c>
      <c r="EV140" s="460">
        <f t="shared" si="412"/>
        <v>210</v>
      </c>
      <c r="EW140" s="528">
        <f t="shared" si="413"/>
        <v>1.5445988571428568E-2</v>
      </c>
      <c r="EX140" s="528">
        <f t="shared" si="414"/>
        <v>9.1940408163265295E-3</v>
      </c>
      <c r="EY140" s="528">
        <f t="shared" si="415"/>
        <v>0.31185528502698334</v>
      </c>
      <c r="EZ140" s="528"/>
      <c r="FA140" s="528">
        <f t="shared" si="416"/>
        <v>4.0999999999999995E-3</v>
      </c>
      <c r="FB140" s="460">
        <f t="shared" si="417"/>
        <v>340.59531441473843</v>
      </c>
      <c r="FC140" s="173">
        <f t="shared" si="418"/>
        <v>0.91089405551297087</v>
      </c>
      <c r="FD140" s="5">
        <f t="shared" si="419"/>
        <v>4.919999999999999</v>
      </c>
      <c r="FE140" s="173">
        <f t="shared" si="420"/>
        <v>0.84378140867578577</v>
      </c>
      <c r="FF140" s="5">
        <f t="shared" si="421"/>
        <v>84.37814086757858</v>
      </c>
      <c r="FI140" s="562">
        <f t="shared" si="422"/>
        <v>-50</v>
      </c>
      <c r="FJ140">
        <f t="shared" si="423"/>
        <v>-50</v>
      </c>
      <c r="FL140">
        <f t="shared" si="424"/>
        <v>0.37313432835820903</v>
      </c>
    </row>
    <row r="141" spans="5:168">
      <c r="E141" s="170">
        <v>31</v>
      </c>
      <c r="F141" s="217">
        <f t="shared" si="425"/>
        <v>0.31</v>
      </c>
      <c r="G141" s="217"/>
      <c r="H141" s="217">
        <f t="shared" si="315"/>
        <v>5.0839999999999996</v>
      </c>
      <c r="I141" s="541">
        <f t="shared" si="316"/>
        <v>9.956586463513414</v>
      </c>
      <c r="J141" s="172">
        <f t="shared" si="317"/>
        <v>16.826048121891947</v>
      </c>
      <c r="K141" s="172">
        <f t="shared" si="318"/>
        <v>26.782634585405361</v>
      </c>
      <c r="L141" s="443"/>
      <c r="M141" s="217">
        <f t="shared" si="319"/>
        <v>0.62822909196708432</v>
      </c>
      <c r="N141" s="172">
        <f t="shared" si="426"/>
        <v>20.928245292795964</v>
      </c>
      <c r="O141" s="172">
        <f t="shared" si="438"/>
        <v>5.0839999999999996</v>
      </c>
      <c r="P141" s="217">
        <f t="shared" si="320"/>
        <v>1.2761125178534125</v>
      </c>
      <c r="Q141" s="217">
        <f t="shared" si="321"/>
        <v>16.399999999999999</v>
      </c>
      <c r="R141" s="217"/>
      <c r="S141" s="172">
        <f t="shared" si="322"/>
        <v>97.144312014796185</v>
      </c>
      <c r="T141" s="172">
        <f t="shared" si="323"/>
        <v>16.399999999999999</v>
      </c>
      <c r="U141" s="217">
        <f t="shared" si="324"/>
        <v>1.6676936968535112</v>
      </c>
      <c r="V141" s="217">
        <f t="shared" si="325"/>
        <v>2.0099583763550544</v>
      </c>
      <c r="W141" s="217">
        <f t="shared" si="326"/>
        <v>1.1893656916507094</v>
      </c>
      <c r="X141" s="197">
        <f t="shared" si="327"/>
        <v>350</v>
      </c>
      <c r="Y141" s="443">
        <f t="shared" si="328"/>
        <v>294.1761303112994</v>
      </c>
      <c r="AA141" s="217">
        <f t="shared" si="329"/>
        <v>1.4893268179729118</v>
      </c>
      <c r="AB141" s="173">
        <f t="shared" si="330"/>
        <v>1.0621580115667346</v>
      </c>
      <c r="AC141" s="173">
        <f t="shared" si="331"/>
        <v>0.27683257202144601</v>
      </c>
      <c r="AD141" s="173"/>
      <c r="AE141" s="173">
        <f t="shared" si="332"/>
        <v>0.95090658745845413</v>
      </c>
      <c r="AF141" s="545">
        <f t="shared" si="333"/>
        <v>489.0070235424846</v>
      </c>
      <c r="AG141" s="528">
        <f t="shared" si="334"/>
        <v>0.22187820374030598</v>
      </c>
      <c r="AI141" s="173">
        <f t="shared" si="335"/>
        <v>1.5760219538274058</v>
      </c>
      <c r="AJ141" s="173">
        <f t="shared" si="336"/>
        <v>1.6676936968535112</v>
      </c>
      <c r="AK141" s="173">
        <f t="shared" si="337"/>
        <v>1.4476743433482797</v>
      </c>
      <c r="AM141" s="545">
        <f t="shared" si="338"/>
        <v>310</v>
      </c>
      <c r="AN141" s="460">
        <f t="shared" si="339"/>
        <v>294.1761303112994</v>
      </c>
      <c r="AP141" s="460">
        <f t="shared" si="340"/>
        <v>310</v>
      </c>
      <c r="AQ141" s="460">
        <f t="shared" si="341"/>
        <v>294.1761303112994</v>
      </c>
      <c r="AS141" s="5">
        <f t="shared" si="439"/>
        <v>3.3993240680057637</v>
      </c>
      <c r="AT141" s="5">
        <f t="shared" si="342"/>
        <v>2.0099583763550544</v>
      </c>
      <c r="AU141" s="5">
        <f t="shared" si="343"/>
        <v>1.3893656916507093</v>
      </c>
      <c r="AV141" s="5"/>
      <c r="AW141" s="173">
        <f t="shared" si="344"/>
        <v>0.59128177724291231</v>
      </c>
      <c r="AX141" s="173">
        <f t="shared" si="435"/>
        <v>4.9089799222759165</v>
      </c>
      <c r="AY141" s="173">
        <f t="shared" si="436"/>
        <v>0.34080840194058221</v>
      </c>
      <c r="AZ141" s="173">
        <f t="shared" si="440"/>
        <v>14.403928701064611</v>
      </c>
      <c r="BA141" s="460">
        <f t="shared" si="433"/>
        <v>3.7993115650613842</v>
      </c>
      <c r="BB141" s="5">
        <f t="shared" si="434"/>
        <v>0.59119451583105376</v>
      </c>
      <c r="BD141" s="173">
        <f t="shared" si="441"/>
        <v>0.74037698033341481</v>
      </c>
      <c r="BE141" s="173">
        <f t="shared" si="437"/>
        <v>0.61555612998925713</v>
      </c>
      <c r="BG141" s="528">
        <f t="shared" si="347"/>
        <v>1.0963161460152516E-2</v>
      </c>
      <c r="BH141" s="528">
        <f t="shared" si="348"/>
        <v>0.24636458963782243</v>
      </c>
      <c r="BI141" s="528">
        <f t="shared" si="349"/>
        <v>7.3224751923656045E-2</v>
      </c>
      <c r="BJ141" s="528">
        <f t="shared" si="350"/>
        <v>2.110153374568274E-2</v>
      </c>
      <c r="BK141">
        <f t="shared" si="351"/>
        <v>4.4804639085810364E-3</v>
      </c>
      <c r="BL141" s="460">
        <f t="shared" si="427"/>
        <v>77.705215832237073</v>
      </c>
      <c r="BM141" s="528">
        <f t="shared" si="352"/>
        <v>0.28212422893523526</v>
      </c>
      <c r="BN141" s="460">
        <f t="shared" si="353"/>
        <v>282.12422893523524</v>
      </c>
      <c r="BO141" s="528">
        <f t="shared" si="354"/>
        <v>0.217</v>
      </c>
      <c r="BR141" s="460">
        <f t="shared" si="355"/>
        <v>217</v>
      </c>
      <c r="BS141" s="528">
        <f t="shared" si="356"/>
        <v>1.6444742190228772E-2</v>
      </c>
      <c r="BT141" s="528">
        <f t="shared" si="357"/>
        <v>1.1367280475020535E-2</v>
      </c>
      <c r="BU141" s="528">
        <f t="shared" si="358"/>
        <v>0.26655037611797366</v>
      </c>
      <c r="BV141" s="528"/>
      <c r="BW141" s="528">
        <f t="shared" si="359"/>
        <v>4.0908166018965965E-3</v>
      </c>
      <c r="BX141" s="460">
        <f t="shared" si="360"/>
        <v>298.45321538511956</v>
      </c>
      <c r="BY141" s="173">
        <f t="shared" si="361"/>
        <v>0.87158771606101426</v>
      </c>
      <c r="BZ141" s="5">
        <f t="shared" si="362"/>
        <v>5.0839999999999996</v>
      </c>
      <c r="CA141" s="173">
        <f t="shared" si="363"/>
        <v>0.85365210662408375</v>
      </c>
      <c r="CB141" s="5">
        <f t="shared" si="364"/>
        <v>85.365210662408373</v>
      </c>
      <c r="CE141" s="562">
        <f t="shared" si="365"/>
        <v>-50</v>
      </c>
      <c r="CF141">
        <f t="shared" si="366"/>
        <v>-50</v>
      </c>
      <c r="CG141" s="173">
        <f t="shared" si="367"/>
        <v>0.35703149879967094</v>
      </c>
      <c r="CI141" s="170">
        <v>31</v>
      </c>
      <c r="CJ141" s="217">
        <f t="shared" si="428"/>
        <v>0.31</v>
      </c>
      <c r="CK141" s="217"/>
      <c r="CL141" s="217">
        <f t="shared" si="368"/>
        <v>5.0839999999999996</v>
      </c>
      <c r="CM141" s="541">
        <f t="shared" si="369"/>
        <v>10</v>
      </c>
      <c r="CN141" s="443">
        <f t="shared" si="370"/>
        <v>16.799999999999997</v>
      </c>
      <c r="CO141" s="443">
        <f t="shared" si="371"/>
        <v>26.799999999999997</v>
      </c>
      <c r="CP141" s="443"/>
      <c r="CQ141" s="217">
        <f t="shared" si="372"/>
        <v>0.62686567164179097</v>
      </c>
      <c r="CR141" s="172">
        <f t="shared" si="429"/>
        <v>20.973880597014926</v>
      </c>
      <c r="CS141" s="172">
        <f t="shared" si="373"/>
        <v>5.0839999999999996</v>
      </c>
      <c r="CT141" s="217">
        <f t="shared" si="374"/>
        <v>1.2788951583545687</v>
      </c>
      <c r="CU141" s="217">
        <f t="shared" si="375"/>
        <v>16.399999999999999</v>
      </c>
      <c r="CV141" s="217"/>
      <c r="CW141" s="172">
        <f t="shared" si="376"/>
        <v>97.56771149933158</v>
      </c>
      <c r="CX141" s="172">
        <f t="shared" si="377"/>
        <v>16.399999999999999</v>
      </c>
      <c r="CY141" s="217">
        <f t="shared" si="378"/>
        <v>1.6220380952380953</v>
      </c>
      <c r="CZ141" s="217">
        <f t="shared" si="379"/>
        <v>1.9464457142857146</v>
      </c>
      <c r="DA141" s="217">
        <f t="shared" si="380"/>
        <v>1.1585986394557826</v>
      </c>
      <c r="DB141" s="197">
        <f t="shared" si="381"/>
        <v>350</v>
      </c>
      <c r="DC141" s="443">
        <f t="shared" si="382"/>
        <v>322.05659117075936</v>
      </c>
      <c r="DE141" s="217">
        <f t="shared" si="383"/>
        <v>1.4925373134328355</v>
      </c>
      <c r="DF141" s="173">
        <f t="shared" si="384"/>
        <v>1.0660980810234544</v>
      </c>
      <c r="DG141" s="173">
        <f t="shared" si="385"/>
        <v>0.27845845399866342</v>
      </c>
      <c r="DH141" s="173"/>
      <c r="DI141" s="173">
        <f t="shared" si="386"/>
        <v>0.95238095238095266</v>
      </c>
      <c r="DJ141" s="545">
        <f t="shared" si="387"/>
        <v>488.24999999999983</v>
      </c>
      <c r="DK141" s="528">
        <f t="shared" si="388"/>
        <v>0.22222222222222232</v>
      </c>
      <c r="DM141" s="173">
        <f t="shared" si="389"/>
        <v>1.574801574802362</v>
      </c>
      <c r="DN141" s="173">
        <f t="shared" si="390"/>
        <v>1.6220380952380953</v>
      </c>
      <c r="DO141" s="173">
        <f t="shared" si="391"/>
        <v>1.4138553791887123</v>
      </c>
      <c r="DQ141" s="545">
        <f t="shared" si="392"/>
        <v>310</v>
      </c>
      <c r="DR141" s="460">
        <f t="shared" si="393"/>
        <v>322.05659117075936</v>
      </c>
      <c r="DT141">
        <f t="shared" si="430"/>
        <v>310</v>
      </c>
      <c r="DU141">
        <f t="shared" si="431"/>
        <v>322.05659117075936</v>
      </c>
      <c r="DW141" s="5">
        <f t="shared" si="394"/>
        <v>3.1050443537414969</v>
      </c>
      <c r="DX141" s="5">
        <f t="shared" si="395"/>
        <v>1.9464457142857146</v>
      </c>
      <c r="DY141" s="5">
        <f t="shared" si="396"/>
        <v>1.1585986394557823</v>
      </c>
      <c r="DZ141" s="5"/>
      <c r="EA141" s="173">
        <f t="shared" si="397"/>
        <v>0.62686567164179108</v>
      </c>
      <c r="EB141" s="173">
        <f t="shared" si="398"/>
        <v>5.0839999999999996</v>
      </c>
      <c r="EC141" s="173">
        <f t="shared" si="399"/>
        <v>0.30261904761904762</v>
      </c>
      <c r="ED141" s="173">
        <f t="shared" si="400"/>
        <v>16.799999999999997</v>
      </c>
      <c r="EE141" s="460">
        <f t="shared" si="401"/>
        <v>3.6792571428571441</v>
      </c>
      <c r="EF141" s="5">
        <f t="shared" si="402"/>
        <v>0.49085962358276636</v>
      </c>
      <c r="EH141" s="173">
        <f t="shared" si="403"/>
        <v>0.74145989669886969</v>
      </c>
      <c r="EI141" s="173">
        <f t="shared" si="404"/>
        <v>0.57204872961591091</v>
      </c>
      <c r="EK141" s="528">
        <f t="shared" si="405"/>
        <v>1.0995255568253971E-2</v>
      </c>
      <c r="EL141" s="528">
        <f t="shared" si="406"/>
        <v>0.27999999999999992</v>
      </c>
      <c r="EM141" s="528">
        <f t="shared" si="407"/>
        <v>4.0257073896344919E-2</v>
      </c>
      <c r="EN141" s="528">
        <f t="shared" si="408"/>
        <v>2.3131392604248621E-2</v>
      </c>
      <c r="EO141">
        <f t="shared" si="409"/>
        <v>4.4999999999999997E-3</v>
      </c>
      <c r="EP141" s="460">
        <f t="shared" si="410"/>
        <v>44.757073896344913</v>
      </c>
      <c r="EQ141" s="460"/>
      <c r="ER141" s="460">
        <f t="shared" si="432"/>
        <v>358.88372206884742</v>
      </c>
      <c r="ES141" s="528">
        <f t="shared" si="411"/>
        <v>0.217</v>
      </c>
      <c r="EV141" s="460">
        <f t="shared" si="412"/>
        <v>217</v>
      </c>
      <c r="EW141" s="528">
        <f t="shared" si="413"/>
        <v>1.6492883352380954E-2</v>
      </c>
      <c r="EX141" s="528">
        <f t="shared" si="414"/>
        <v>9.8171924716553265E-3</v>
      </c>
      <c r="EY141" s="528">
        <f t="shared" si="415"/>
        <v>0.31185528502698301</v>
      </c>
      <c r="EZ141" s="528"/>
      <c r="FA141" s="528">
        <f t="shared" si="416"/>
        <v>4.2366666666666664E-3</v>
      </c>
      <c r="FB141" s="460">
        <f t="shared" si="417"/>
        <v>342.40202751768595</v>
      </c>
      <c r="FC141" s="173">
        <f t="shared" si="418"/>
        <v>0.91828574958653342</v>
      </c>
      <c r="FD141" s="5">
        <f t="shared" si="419"/>
        <v>5.0839999999999996</v>
      </c>
      <c r="FE141" s="173">
        <f t="shared" si="420"/>
        <v>0.847010657623258</v>
      </c>
      <c r="FF141" s="5">
        <f t="shared" si="421"/>
        <v>84.701065762325797</v>
      </c>
      <c r="FI141" s="562">
        <f t="shared" si="422"/>
        <v>-50</v>
      </c>
      <c r="FJ141">
        <f t="shared" si="423"/>
        <v>-50</v>
      </c>
      <c r="FL141">
        <f t="shared" si="424"/>
        <v>0.37313432835820892</v>
      </c>
    </row>
    <row r="142" spans="5:168">
      <c r="E142" s="170">
        <v>32</v>
      </c>
      <c r="F142" s="217">
        <f t="shared" si="425"/>
        <v>0.32</v>
      </c>
      <c r="G142" s="217"/>
      <c r="H142" s="217">
        <f t="shared" ref="H142:H173" si="442">F142*Vout</f>
        <v>5.2479999999999993</v>
      </c>
      <c r="I142" s="541">
        <f t="shared" ref="I142:I173" si="443">VIN_min-F142*(Rdcr_pri+RON/1000)/CG142/Nps</f>
        <v>9.9552491004285937</v>
      </c>
      <c r="J142" s="172">
        <f t="shared" ref="J142:J173" si="444">(T142+Vfwd1+F142/CG142*Rdcr_sec)*Nps</f>
        <v>16.826850539742843</v>
      </c>
      <c r="K142" s="172">
        <f t="shared" ref="K142:K173" si="445">(Vout+Vfwd1+F142/CG142*Rdcr_sec)*Nps++I142</f>
        <v>26.782099640171438</v>
      </c>
      <c r="L142" s="443"/>
      <c r="M142" s="217">
        <f t="shared" ref="M142:M173" si="446">(Vout+Vfwd1+F142/FL142*Rdcr_sec)*Nps/((Vout+Vfwd1+F142/FL142*Rdcr_sec)*Nps+I142)</f>
        <v>0.62827162492628863</v>
      </c>
      <c r="N142" s="172">
        <f t="shared" ref="N142:N173" si="447">M142*I142*(Isw_max+VIN_min/Lmag*ILIM_delay)*0.5*Efficiency</f>
        <v>20.926850936185058</v>
      </c>
      <c r="O142" s="172">
        <f t="shared" si="438"/>
        <v>5.2479999999999993</v>
      </c>
      <c r="P142" s="217">
        <f t="shared" ref="P142:P172" si="448">N142/Vout</f>
        <v>1.2760274961088451</v>
      </c>
      <c r="Q142" s="217">
        <f t="shared" ref="Q142:Q173" si="449">MIN(Vout,N142/F142)</f>
        <v>16.399999999999999</v>
      </c>
      <c r="R142" s="217"/>
      <c r="S142" s="172">
        <f t="shared" ref="S142:S173" si="450">(SQRT(Isw_max^2*Nps^2*I142^2+4*Isw_max*F142/Efficiency*(Nps^2*Vfwd1*I142-Nps*I142^2)+4*(F142/Efficiency)^2*Nps^2*Vfwd1^2+8*(F142/Efficiency)^2*Nps*Vfwd1*I142+4*(F142/Efficiency)^2*I142^2)-2*F142/Efficiency*I142-2*F142/Efficiency*Nps*Vfwd1+Isw_max*Nps*I142)/(4*F142/Efficiency*Nps)</f>
        <v>93.787540774221171</v>
      </c>
      <c r="T142" s="172">
        <f t="shared" ref="T142:T173" si="451">MIN(Vout, S142)</f>
        <v>16.399999999999999</v>
      </c>
      <c r="U142" s="217">
        <f t="shared" ref="U142:U173" si="452">MIN(2*(Vout+Vfwd1+F142/FL142*Rdcr_sec)*F142/(I142*M142), Isw_max)</f>
        <v>1.7216872397031628</v>
      </c>
      <c r="V142" s="217">
        <f t="shared" ref="V142:V173" si="453">L*U142/I142*1000000</f>
        <v>2.075311895063328</v>
      </c>
      <c r="W142" s="217">
        <f t="shared" ref="W142:W173" si="454">L*U142/J142*1000000</f>
        <v>1.2278142500666496</v>
      </c>
      <c r="X142" s="197">
        <f t="shared" ref="X142:X173" si="455">IF(1/((350000*L)*(1/I142+1/J142))&gt;Isw_min, 350, 0.001/((Isw_min*L)*(1/I142+1/J142)))</f>
        <v>350</v>
      </c>
      <c r="Y142" s="443">
        <f t="shared" si="328"/>
        <v>285.45931792670194</v>
      </c>
      <c r="AA142" s="217">
        <f t="shared" ref="AA142:AA173" si="456">1/((X142*1000*L)*(1/I142+1/J142))</f>
        <v>1.489227532652504</v>
      </c>
      <c r="AB142" s="173">
        <f t="shared" ref="AB142:AB173" si="457">L*AA142/J142*1000000</f>
        <v>1.0620365557786169</v>
      </c>
      <c r="AC142" s="173">
        <f t="shared" ref="AC142:AC173" si="458">0.5*AB142*AA142*Nps*X142/1000</f>
        <v>0.27678246392106676</v>
      </c>
      <c r="AD142" s="173"/>
      <c r="AE142" s="173">
        <f t="shared" ref="AE142:AE173" si="459">L*Isw_min/J142*1000000</f>
        <v>0.95086124181171483</v>
      </c>
      <c r="AF142" s="545">
        <f t="shared" ref="AF142:AF173" si="460">MAX(12000,F142/(0.5*AE142/1000000*Isw_min*Nps))/1000</f>
        <v>504.80551619228515</v>
      </c>
      <c r="AG142" s="528">
        <f t="shared" ref="AG142:AG173" si="461">0.5*AE142/1000000*Isw_min*Nps*X142*1000</f>
        <v>0.22186762308940014</v>
      </c>
      <c r="AI142" s="173">
        <f t="shared" ref="AI142:AI173" si="462">SQRT(F142/(0.5*L/J142*Fsw_DCM*Nps))</f>
        <v>1.6012780866601395</v>
      </c>
      <c r="AJ142" s="173">
        <f t="shared" ref="AJ142:AJ173" si="463">MAX(IF(F142&gt;AC142,U142,AI142),Isw_min)</f>
        <v>1.7216872397031628</v>
      </c>
      <c r="AK142" s="173">
        <f t="shared" ref="AK142:AK173" si="464">IF(F142&gt;AG142, (AJ142-Isw_min)/1.08*0.8+1.2, AF142*0.2/350+1)</f>
        <v>1.4876695602739476</v>
      </c>
      <c r="AM142" s="545">
        <f t="shared" ref="AM142:AM173" si="465">F142*1000</f>
        <v>320</v>
      </c>
      <c r="AN142" s="460">
        <f t="shared" ref="AN142:AN173" si="466">IF(F142&gt;AG142, Y142, AF142)</f>
        <v>285.45931792670194</v>
      </c>
      <c r="AP142" s="460">
        <f t="shared" ref="AP142:AP173" si="467">IF(H142&gt;N142, "",AM142)</f>
        <v>320</v>
      </c>
      <c r="AQ142" s="460">
        <f t="shared" ref="AQ142:AQ173" si="468">IF(H142&gt;N142, "",AN142)</f>
        <v>285.45931792670194</v>
      </c>
      <c r="AS142" s="5">
        <f t="shared" si="439"/>
        <v>3.5031261451299773</v>
      </c>
      <c r="AT142" s="5">
        <f t="shared" ref="AT142:AT173" si="469">L*AJ142/I142*1000000</f>
        <v>2.075311895063328</v>
      </c>
      <c r="AU142" s="5">
        <f t="shared" si="343"/>
        <v>1.4278142500666493</v>
      </c>
      <c r="AV142" s="5"/>
      <c r="AW142" s="173">
        <f t="shared" si="344"/>
        <v>0.5924171180499489</v>
      </c>
      <c r="AX142" s="173">
        <f t="shared" si="435"/>
        <v>5.0769629671672263</v>
      </c>
      <c r="AY142" s="173">
        <f t="shared" si="436"/>
        <v>0.35086512348742177</v>
      </c>
      <c r="AZ142" s="173">
        <f t="shared" si="440"/>
        <v>14.469842190938738</v>
      </c>
      <c r="BA142" s="460">
        <f t="shared" si="433"/>
        <v>4.0493890635382019</v>
      </c>
      <c r="BB142" s="5">
        <f t="shared" si="434"/>
        <v>0.6272377105416661</v>
      </c>
      <c r="BD142" s="173">
        <f t="shared" si="441"/>
        <v>0.76508102826353386</v>
      </c>
      <c r="BE142" s="173">
        <f t="shared" si="437"/>
        <v>0.63460224075934291</v>
      </c>
      <c r="BG142" s="528">
        <f t="shared" si="347"/>
        <v>1.1706979596175726E-2</v>
      </c>
      <c r="BH142" s="528">
        <f t="shared" ref="BH142:BH173" si="470">0.5*K142*AJ142*AN142*1000*Tfall</f>
        <v>0.24679955823374469</v>
      </c>
      <c r="BI142" s="528">
        <f t="shared" ref="BI142:BI173" si="471">Qg*Vdd*AN142*1000*0+Qg*I142*AN142*1000</f>
        <v>7.1045465449968995E-2</v>
      </c>
      <c r="BJ142" s="528">
        <f t="shared" si="350"/>
        <v>2.0475450538178022E-2</v>
      </c>
      <c r="BK142">
        <f t="shared" si="351"/>
        <v>4.4798620951928669E-3</v>
      </c>
      <c r="BL142" s="460">
        <f t="shared" si="427"/>
        <v>75.525327545161858</v>
      </c>
      <c r="BM142" s="528">
        <f t="shared" ref="BM142:BM173" si="472">(BH142+BI142*0+BJ142+BK142*0+BG142*(1+RdsonTC*(Ta-25)))/(1-BG142*RdsonTC*ThetaJA)</f>
        <v>0.28292986444515539</v>
      </c>
      <c r="BN142" s="460">
        <f t="shared" si="353"/>
        <v>282.92986444515537</v>
      </c>
      <c r="BO142" s="528">
        <f t="shared" si="354"/>
        <v>0.22399999999999998</v>
      </c>
      <c r="BR142" s="460">
        <f t="shared" si="355"/>
        <v>223.99999999999997</v>
      </c>
      <c r="BS142" s="528">
        <f t="shared" si="356"/>
        <v>1.7560469394263589E-2</v>
      </c>
      <c r="BT142" s="528">
        <f t="shared" si="357"/>
        <v>1.2081600119303371E-2</v>
      </c>
      <c r="BU142" s="528">
        <f t="shared" si="358"/>
        <v>0.26774182263218943</v>
      </c>
      <c r="BV142" s="528"/>
      <c r="BW142" s="528">
        <f t="shared" si="359"/>
        <v>4.2308024726393553E-3</v>
      </c>
      <c r="BX142" s="460">
        <f t="shared" si="360"/>
        <v>301.61469461839573</v>
      </c>
      <c r="BY142" s="173">
        <f t="shared" si="361"/>
        <v>0.88012201053165606</v>
      </c>
      <c r="BZ142" s="5">
        <f t="shared" si="362"/>
        <v>5.2479999999999993</v>
      </c>
      <c r="CA142" s="173">
        <f t="shared" si="363"/>
        <v>0.85637981603187774</v>
      </c>
      <c r="CB142" s="5">
        <f t="shared" si="364"/>
        <v>85.637981603187768</v>
      </c>
      <c r="CE142" s="562">
        <f t="shared" ref="CE142:CE173" si="473">IF(ABS(F142-Ioutmax_Vinmin)&lt;Iout/200, AN142, -50)</f>
        <v>-50</v>
      </c>
      <c r="CF142">
        <f t="shared" ref="CF142:CF173" si="474">IF(ABS(F142-Ioutmax_Vinmin)&lt;Iout/200, N142*CA142, -50)</f>
        <v>-50</v>
      </c>
      <c r="CG142" s="173">
        <f t="shared" ref="CG142:CG173" si="475">MIN(SQRT(2*DU142*1000*Ls1_*CL142)/CU142,1-EA142-0.00000005*DU142*1000)</f>
        <v>0.35753471222337535</v>
      </c>
      <c r="CI142" s="170">
        <v>32</v>
      </c>
      <c r="CJ142" s="217">
        <f t="shared" si="428"/>
        <v>0.32</v>
      </c>
      <c r="CK142" s="217"/>
      <c r="CL142" s="217">
        <f t="shared" si="368"/>
        <v>5.2479999999999993</v>
      </c>
      <c r="CM142" s="541">
        <f t="shared" si="369"/>
        <v>10</v>
      </c>
      <c r="CN142" s="443">
        <f t="shared" si="370"/>
        <v>16.799999999999997</v>
      </c>
      <c r="CO142" s="443">
        <f t="shared" si="371"/>
        <v>26.799999999999997</v>
      </c>
      <c r="CP142" s="443"/>
      <c r="CQ142" s="217">
        <f t="shared" si="372"/>
        <v>0.62686567164179097</v>
      </c>
      <c r="CR142" s="172">
        <f t="shared" si="429"/>
        <v>20.973880597014926</v>
      </c>
      <c r="CS142" s="172">
        <f t="shared" si="373"/>
        <v>5.2479999999999993</v>
      </c>
      <c r="CT142" s="217">
        <f t="shared" si="374"/>
        <v>1.2788951583545687</v>
      </c>
      <c r="CU142" s="217">
        <f t="shared" si="375"/>
        <v>16.399999999999999</v>
      </c>
      <c r="CV142" s="217"/>
      <c r="CW142" s="172">
        <f t="shared" si="376"/>
        <v>94.208945966569388</v>
      </c>
      <c r="CX142" s="172">
        <f t="shared" si="377"/>
        <v>16.399999999999999</v>
      </c>
      <c r="CY142" s="217">
        <f t="shared" si="378"/>
        <v>1.6743619047619047</v>
      </c>
      <c r="CZ142" s="217">
        <f t="shared" si="379"/>
        <v>2.0092342857142858</v>
      </c>
      <c r="DA142" s="217">
        <f t="shared" si="380"/>
        <v>1.1959727891156464</v>
      </c>
      <c r="DB142" s="197">
        <f t="shared" si="381"/>
        <v>350</v>
      </c>
      <c r="DC142" s="443">
        <f t="shared" si="382"/>
        <v>311.99232269667317</v>
      </c>
      <c r="DE142" s="217">
        <f t="shared" si="383"/>
        <v>1.4925373134328355</v>
      </c>
      <c r="DF142" s="173">
        <f t="shared" si="384"/>
        <v>1.0660980810234544</v>
      </c>
      <c r="DG142" s="173">
        <f t="shared" si="385"/>
        <v>0.27845845399866342</v>
      </c>
      <c r="DH142" s="173"/>
      <c r="DI142" s="173">
        <f t="shared" si="386"/>
        <v>0.95238095238095266</v>
      </c>
      <c r="DJ142" s="545">
        <f t="shared" si="387"/>
        <v>503.99999999999983</v>
      </c>
      <c r="DK142" s="528">
        <f t="shared" si="388"/>
        <v>0.22222222222222232</v>
      </c>
      <c r="DM142" s="173">
        <f t="shared" si="389"/>
        <v>1.5999999999999999</v>
      </c>
      <c r="DN142" s="173">
        <f t="shared" si="390"/>
        <v>1.6743619047619047</v>
      </c>
      <c r="DO142" s="173">
        <f t="shared" si="391"/>
        <v>1.4526137566137565</v>
      </c>
      <c r="DQ142" s="545">
        <f t="shared" si="392"/>
        <v>320</v>
      </c>
      <c r="DR142" s="460">
        <f t="shared" si="393"/>
        <v>311.99232269667317</v>
      </c>
      <c r="DT142">
        <f t="shared" si="430"/>
        <v>320</v>
      </c>
      <c r="DU142">
        <f t="shared" si="431"/>
        <v>311.99232269667317</v>
      </c>
      <c r="DW142" s="5">
        <f t="shared" si="394"/>
        <v>3.2052070748299322</v>
      </c>
      <c r="DX142" s="5">
        <f t="shared" si="395"/>
        <v>2.0092342857142858</v>
      </c>
      <c r="DY142" s="5">
        <f t="shared" si="396"/>
        <v>1.1959727891156464</v>
      </c>
      <c r="DZ142" s="5"/>
      <c r="EA142" s="173">
        <f t="shared" si="397"/>
        <v>0.62686567164179097</v>
      </c>
      <c r="EB142" s="173">
        <f t="shared" si="398"/>
        <v>5.2480000000000002</v>
      </c>
      <c r="EC142" s="173">
        <f t="shared" si="399"/>
        <v>0.31238095238095243</v>
      </c>
      <c r="ED142" s="173">
        <f t="shared" si="400"/>
        <v>16.799999999999997</v>
      </c>
      <c r="EE142" s="460">
        <f t="shared" si="401"/>
        <v>3.9204571428571442</v>
      </c>
      <c r="EF142" s="5">
        <f t="shared" si="402"/>
        <v>0.52303876643990921</v>
      </c>
      <c r="EH142" s="173">
        <f t="shared" si="403"/>
        <v>0.76537795788270402</v>
      </c>
      <c r="EI142" s="173">
        <f t="shared" si="404"/>
        <v>0.59050191444223077</v>
      </c>
      <c r="EK142" s="528">
        <f t="shared" si="405"/>
        <v>1.1716068368253965E-2</v>
      </c>
      <c r="EL142" s="528">
        <f t="shared" si="406"/>
        <v>0.27999999999999997</v>
      </c>
      <c r="EM142" s="528">
        <f t="shared" si="407"/>
        <v>3.8999040337084144E-2</v>
      </c>
      <c r="EN142" s="528">
        <f t="shared" si="408"/>
        <v>2.2408536585365853E-2</v>
      </c>
      <c r="EO142">
        <f t="shared" si="409"/>
        <v>4.4999999999999997E-3</v>
      </c>
      <c r="EP142" s="460">
        <f t="shared" si="410"/>
        <v>43.499040337084139</v>
      </c>
      <c r="EQ142" s="460"/>
      <c r="ER142" s="460">
        <f t="shared" si="432"/>
        <v>357.62364529070391</v>
      </c>
      <c r="ES142" s="528">
        <f t="shared" si="411"/>
        <v>0.22399999999999998</v>
      </c>
      <c r="EV142" s="460">
        <f t="shared" si="412"/>
        <v>223.99999999999997</v>
      </c>
      <c r="EW142" s="528">
        <f t="shared" si="413"/>
        <v>1.7574102552380948E-2</v>
      </c>
      <c r="EX142" s="528">
        <f t="shared" si="414"/>
        <v>1.0460775328798189E-2</v>
      </c>
      <c r="EY142" s="528">
        <f t="shared" si="415"/>
        <v>0.3118552850269834</v>
      </c>
      <c r="EZ142" s="528"/>
      <c r="FA142" s="528">
        <f t="shared" si="416"/>
        <v>4.3733333333333332E-3</v>
      </c>
      <c r="FB142" s="460">
        <f t="shared" si="417"/>
        <v>344.26349624149589</v>
      </c>
      <c r="FC142" s="173">
        <f t="shared" si="418"/>
        <v>0.92588714153219964</v>
      </c>
      <c r="FD142" s="5">
        <f t="shared" si="419"/>
        <v>5.2479999999999993</v>
      </c>
      <c r="FE142" s="173">
        <f t="shared" si="420"/>
        <v>0.85003173522501119</v>
      </c>
      <c r="FF142" s="5">
        <f t="shared" si="421"/>
        <v>85.003173522501115</v>
      </c>
      <c r="FI142" s="562">
        <f t="shared" si="422"/>
        <v>-50</v>
      </c>
      <c r="FJ142">
        <f t="shared" si="423"/>
        <v>-50</v>
      </c>
      <c r="FL142">
        <f t="shared" ref="FL142:FL173" si="476">MIN(SQRT(2*L*DR142*1000*CJ142*(CX142+Vfwd1))/(Nps*(CX142+Vfwd1)), 1-EA142)</f>
        <v>0.37313432835820903</v>
      </c>
    </row>
    <row r="143" spans="5:168">
      <c r="E143" s="170">
        <v>33</v>
      </c>
      <c r="F143" s="217">
        <f t="shared" ref="F143:F174" si="477">IF(PLOT_TYPE=1, E143/100*Iout_max, min_I*EXP(N143*rr/100))</f>
        <v>0.33</v>
      </c>
      <c r="G143" s="217"/>
      <c r="H143" s="217">
        <f t="shared" si="442"/>
        <v>5.4119999999999999</v>
      </c>
      <c r="I143" s="541">
        <f t="shared" si="443"/>
        <v>9.9539115707781463</v>
      </c>
      <c r="J143" s="172">
        <f t="shared" si="444"/>
        <v>16.827653057533109</v>
      </c>
      <c r="K143" s="172">
        <f t="shared" si="445"/>
        <v>26.781564628311255</v>
      </c>
      <c r="L143" s="443"/>
      <c r="M143" s="217">
        <f t="shared" si="446"/>
        <v>0.62831416348758706</v>
      </c>
      <c r="N143" s="172">
        <f t="shared" si="447"/>
        <v>20.925456035351573</v>
      </c>
      <c r="O143" s="172">
        <f t="shared" si="438"/>
        <v>5.4119999999999999</v>
      </c>
      <c r="P143" s="217">
        <f t="shared" si="448"/>
        <v>1.275942441179974</v>
      </c>
      <c r="Q143" s="217">
        <f t="shared" si="449"/>
        <v>16.399999999999999</v>
      </c>
      <c r="R143" s="217"/>
      <c r="S143" s="172">
        <f t="shared" si="450"/>
        <v>90.634386680547962</v>
      </c>
      <c r="T143" s="172">
        <f t="shared" si="451"/>
        <v>16.399999999999999</v>
      </c>
      <c r="U143" s="217">
        <f t="shared" si="452"/>
        <v>1.7756931665540028</v>
      </c>
      <c r="V143" s="217">
        <f t="shared" si="453"/>
        <v>2.1406979404160262</v>
      </c>
      <c r="W143" s="217">
        <f t="shared" si="454"/>
        <v>1.2662679653422675</v>
      </c>
      <c r="X143" s="197">
        <f t="shared" si="455"/>
        <v>350</v>
      </c>
      <c r="Y143" s="443">
        <f t="shared" si="328"/>
        <v>277.24132307532017</v>
      </c>
      <c r="AA143" s="217">
        <f t="shared" si="456"/>
        <v>1.4891282119149805</v>
      </c>
      <c r="AB143" s="173">
        <f t="shared" si="457"/>
        <v>1.0619150800105333</v>
      </c>
      <c r="AC143" s="173">
        <f t="shared" si="458"/>
        <v>0.27673234825278675</v>
      </c>
      <c r="AD143" s="173"/>
      <c r="AE143" s="173">
        <f t="shared" si="459"/>
        <v>0.95081589484265028</v>
      </c>
      <c r="AF143" s="545">
        <f t="shared" si="460"/>
        <v>520.60551646743045</v>
      </c>
      <c r="AG143" s="528">
        <f t="shared" si="461"/>
        <v>0.2218570421299518</v>
      </c>
      <c r="AI143" s="173">
        <f t="shared" si="462"/>
        <v>1.6261443602797043</v>
      </c>
      <c r="AJ143" s="173">
        <f t="shared" si="463"/>
        <v>1.7756931665540028</v>
      </c>
      <c r="AK143" s="173">
        <f t="shared" si="464"/>
        <v>1.527673950533829</v>
      </c>
      <c r="AM143" s="545">
        <f t="shared" si="465"/>
        <v>330</v>
      </c>
      <c r="AN143" s="460">
        <f t="shared" si="466"/>
        <v>277.24132307532017</v>
      </c>
      <c r="AP143" s="460">
        <f t="shared" si="467"/>
        <v>330</v>
      </c>
      <c r="AQ143" s="460">
        <f t="shared" si="468"/>
        <v>277.24132307532017</v>
      </c>
      <c r="AS143" s="5">
        <f t="shared" si="439"/>
        <v>3.6069659057582939</v>
      </c>
      <c r="AT143" s="5">
        <f t="shared" si="469"/>
        <v>2.1406979404160262</v>
      </c>
      <c r="AU143" s="5">
        <f t="shared" si="343"/>
        <v>1.4662679653422677</v>
      </c>
      <c r="AV143" s="5"/>
      <c r="AW143" s="173">
        <f t="shared" si="344"/>
        <v>0.593489929305552</v>
      </c>
      <c r="AX143" s="173">
        <f t="shared" si="435"/>
        <v>5.244994775325508</v>
      </c>
      <c r="AY143" s="173">
        <f t="shared" si="436"/>
        <v>0.36091857733375793</v>
      </c>
      <c r="AZ143" s="173">
        <f t="shared" si="440"/>
        <v>14.532349135564782</v>
      </c>
      <c r="BA143" s="460">
        <f t="shared" si="433"/>
        <v>4.3075019532761516</v>
      </c>
      <c r="BB143" s="5">
        <f t="shared" si="434"/>
        <v>0.66434873131755834</v>
      </c>
      <c r="BD143" s="173">
        <f t="shared" si="441"/>
        <v>0.7897942598843255</v>
      </c>
      <c r="BE143" s="173">
        <f t="shared" si="437"/>
        <v>0.65364651581413957</v>
      </c>
      <c r="BG143" s="528">
        <f t="shared" si="347"/>
        <v>1.247549945892459E-2</v>
      </c>
      <c r="BH143" s="528">
        <f t="shared" si="470"/>
        <v>0.24720833178758073</v>
      </c>
      <c r="BI143" s="528">
        <f t="shared" si="471"/>
        <v>6.8990890341431799E-2</v>
      </c>
      <c r="BJ143" s="528">
        <f t="shared" si="350"/>
        <v>1.9885194999912936E-2</v>
      </c>
      <c r="BK143">
        <f t="shared" si="351"/>
        <v>4.479260206850166E-3</v>
      </c>
      <c r="BL143" s="460">
        <f t="shared" si="427"/>
        <v>73.470150548281964</v>
      </c>
      <c r="BM143" s="528">
        <f t="shared" si="472"/>
        <v>0.28377858151907837</v>
      </c>
      <c r="BN143" s="460">
        <f t="shared" si="353"/>
        <v>283.77858151907839</v>
      </c>
      <c r="BO143" s="528">
        <f t="shared" si="354"/>
        <v>0.23099999999999998</v>
      </c>
      <c r="BR143" s="460">
        <f t="shared" si="355"/>
        <v>230.99999999999997</v>
      </c>
      <c r="BS143" s="528">
        <f t="shared" si="356"/>
        <v>1.8713249188386884E-2</v>
      </c>
      <c r="BT143" s="528">
        <f t="shared" si="357"/>
        <v>1.2817613029078927E-2</v>
      </c>
      <c r="BU143" s="528">
        <f t="shared" si="358"/>
        <v>0.26886527789997322</v>
      </c>
      <c r="BV143" s="528"/>
      <c r="BW143" s="528">
        <f t="shared" si="359"/>
        <v>4.3708289794379233E-3</v>
      </c>
      <c r="BX143" s="460">
        <f t="shared" si="360"/>
        <v>304.76696909687695</v>
      </c>
      <c r="BY143" s="173">
        <f t="shared" si="361"/>
        <v>0.88880614589157725</v>
      </c>
      <c r="BZ143" s="5">
        <f t="shared" si="362"/>
        <v>5.4119999999999999</v>
      </c>
      <c r="CA143" s="173">
        <f t="shared" si="363"/>
        <v>0.85893770966575111</v>
      </c>
      <c r="CB143" s="5">
        <f t="shared" si="364"/>
        <v>85.893770966575119</v>
      </c>
      <c r="CE143" s="562">
        <f t="shared" si="473"/>
        <v>-50</v>
      </c>
      <c r="CF143">
        <f t="shared" si="474"/>
        <v>-50</v>
      </c>
      <c r="CG143" s="173">
        <f t="shared" si="475"/>
        <v>0.35800742786382478</v>
      </c>
      <c r="CI143" s="170">
        <v>33</v>
      </c>
      <c r="CJ143" s="217">
        <f t="shared" si="428"/>
        <v>0.33</v>
      </c>
      <c r="CK143" s="217"/>
      <c r="CL143" s="217">
        <f t="shared" si="368"/>
        <v>5.4119999999999999</v>
      </c>
      <c r="CM143" s="541">
        <f t="shared" si="369"/>
        <v>10</v>
      </c>
      <c r="CN143" s="443">
        <f t="shared" si="370"/>
        <v>16.799999999999997</v>
      </c>
      <c r="CO143" s="443">
        <f t="shared" si="371"/>
        <v>26.799999999999997</v>
      </c>
      <c r="CP143" s="443"/>
      <c r="CQ143" s="217">
        <f t="shared" si="372"/>
        <v>0.62686567164179097</v>
      </c>
      <c r="CR143" s="172">
        <f t="shared" si="429"/>
        <v>20.973880597014926</v>
      </c>
      <c r="CS143" s="172">
        <f t="shared" si="373"/>
        <v>5.4119999999999999</v>
      </c>
      <c r="CT143" s="217">
        <f t="shared" si="374"/>
        <v>1.2788951583545687</v>
      </c>
      <c r="CU143" s="217">
        <f t="shared" si="375"/>
        <v>16.399999999999999</v>
      </c>
      <c r="CV143" s="217"/>
      <c r="CW143" s="172">
        <f t="shared" si="376"/>
        <v>91.053838922550895</v>
      </c>
      <c r="CX143" s="172">
        <f t="shared" si="377"/>
        <v>16.399999999999999</v>
      </c>
      <c r="CY143" s="217">
        <f t="shared" si="378"/>
        <v>1.7266857142857144</v>
      </c>
      <c r="CZ143" s="217">
        <f t="shared" si="379"/>
        <v>2.0720228571428572</v>
      </c>
      <c r="DA143" s="217">
        <f t="shared" si="380"/>
        <v>1.2333469387755105</v>
      </c>
      <c r="DB143" s="197">
        <f t="shared" si="381"/>
        <v>350</v>
      </c>
      <c r="DC143" s="443">
        <f t="shared" si="382"/>
        <v>302.53800988768307</v>
      </c>
      <c r="DE143" s="217">
        <f t="shared" si="383"/>
        <v>1.4925373134328355</v>
      </c>
      <c r="DF143" s="173">
        <f t="shared" si="384"/>
        <v>1.0660980810234544</v>
      </c>
      <c r="DG143" s="173">
        <f t="shared" si="385"/>
        <v>0.27845845399866342</v>
      </c>
      <c r="DH143" s="173"/>
      <c r="DI143" s="173">
        <f t="shared" si="386"/>
        <v>0.95238095238095266</v>
      </c>
      <c r="DJ143" s="545">
        <f t="shared" si="387"/>
        <v>519.74999999999977</v>
      </c>
      <c r="DK143" s="528">
        <f t="shared" si="388"/>
        <v>0.22222222222222232</v>
      </c>
      <c r="DM143" s="173">
        <f t="shared" si="389"/>
        <v>1.6248076809271921</v>
      </c>
      <c r="DN143" s="173">
        <f t="shared" si="390"/>
        <v>1.7266857142857144</v>
      </c>
      <c r="DO143" s="173">
        <f t="shared" si="391"/>
        <v>1.4913721340388006</v>
      </c>
      <c r="DQ143" s="545">
        <f t="shared" si="392"/>
        <v>330</v>
      </c>
      <c r="DR143" s="460">
        <f t="shared" si="393"/>
        <v>302.53800988768307</v>
      </c>
      <c r="DT143">
        <f t="shared" si="430"/>
        <v>330</v>
      </c>
      <c r="DU143">
        <f t="shared" si="431"/>
        <v>302.53800988768307</v>
      </c>
      <c r="DW143" s="5">
        <f t="shared" si="394"/>
        <v>3.3053697959183674</v>
      </c>
      <c r="DX143" s="5">
        <f t="shared" si="395"/>
        <v>2.0720228571428572</v>
      </c>
      <c r="DY143" s="5">
        <f t="shared" si="396"/>
        <v>1.2333469387755103</v>
      </c>
      <c r="DZ143" s="5"/>
      <c r="EA143" s="173">
        <f t="shared" si="397"/>
        <v>0.62686567164179108</v>
      </c>
      <c r="EB143" s="173">
        <f t="shared" si="398"/>
        <v>5.4120000000000008</v>
      </c>
      <c r="EC143" s="173">
        <f t="shared" si="399"/>
        <v>0.32214285714285712</v>
      </c>
      <c r="ED143" s="173">
        <f t="shared" si="400"/>
        <v>16.800000000000004</v>
      </c>
      <c r="EE143" s="460">
        <f t="shared" si="401"/>
        <v>4.1693142857142869</v>
      </c>
      <c r="EF143" s="5">
        <f t="shared" si="402"/>
        <v>0.55623946938775515</v>
      </c>
      <c r="EH143" s="173">
        <f t="shared" si="403"/>
        <v>0.78929601906653868</v>
      </c>
      <c r="EI143" s="173">
        <f t="shared" si="404"/>
        <v>0.6089550992685504</v>
      </c>
      <c r="EK143" s="528">
        <f t="shared" si="405"/>
        <v>1.2459764114285716E-2</v>
      </c>
      <c r="EL143" s="528">
        <f t="shared" si="406"/>
        <v>0.27999999999999997</v>
      </c>
      <c r="EM143" s="528">
        <f t="shared" si="407"/>
        <v>3.7817251235960379E-2</v>
      </c>
      <c r="EN143" s="528">
        <f t="shared" si="408"/>
        <v>2.1729490022172945E-2</v>
      </c>
      <c r="EO143">
        <f t="shared" si="409"/>
        <v>4.4999999999999997E-3</v>
      </c>
      <c r="EP143" s="460">
        <f t="shared" si="410"/>
        <v>42.317251235960377</v>
      </c>
      <c r="EQ143" s="460"/>
      <c r="ER143" s="460">
        <f t="shared" si="432"/>
        <v>356.50650537241904</v>
      </c>
      <c r="ES143" s="528">
        <f t="shared" si="411"/>
        <v>0.23099999999999998</v>
      </c>
      <c r="EV143" s="460">
        <f t="shared" si="412"/>
        <v>230.99999999999997</v>
      </c>
      <c r="EW143" s="528">
        <f t="shared" si="413"/>
        <v>1.8689646171428573E-2</v>
      </c>
      <c r="EX143" s="528">
        <f t="shared" si="414"/>
        <v>1.1124789387755102E-2</v>
      </c>
      <c r="EY143" s="528">
        <f t="shared" si="415"/>
        <v>0.31185528502698334</v>
      </c>
      <c r="EZ143" s="528"/>
      <c r="FA143" s="528">
        <f t="shared" si="416"/>
        <v>4.510000000000001E-3</v>
      </c>
      <c r="FB143" s="460">
        <f t="shared" si="417"/>
        <v>346.17972058616704</v>
      </c>
      <c r="FC143" s="173">
        <f t="shared" si="418"/>
        <v>0.93368622595858597</v>
      </c>
      <c r="FD143" s="5">
        <f t="shared" si="419"/>
        <v>5.4119999999999999</v>
      </c>
      <c r="FE143" s="173">
        <f t="shared" si="420"/>
        <v>0.85286284371592258</v>
      </c>
      <c r="FF143" s="5">
        <f t="shared" si="421"/>
        <v>85.286284371592259</v>
      </c>
      <c r="FI143" s="562">
        <f t="shared" si="422"/>
        <v>-50</v>
      </c>
      <c r="FJ143">
        <f t="shared" si="423"/>
        <v>-50</v>
      </c>
      <c r="FL143">
        <f t="shared" si="476"/>
        <v>0.37313432835820892</v>
      </c>
    </row>
    <row r="144" spans="5:168">
      <c r="E144" s="170">
        <v>34</v>
      </c>
      <c r="F144" s="217">
        <f t="shared" si="477"/>
        <v>0.34</v>
      </c>
      <c r="G144" s="217"/>
      <c r="H144" s="217">
        <f t="shared" si="442"/>
        <v>5.5759999999999996</v>
      </c>
      <c r="I144" s="541">
        <f t="shared" si="443"/>
        <v>9.9525738898610161</v>
      </c>
      <c r="J144" s="172">
        <f t="shared" si="444"/>
        <v>16.828455666083386</v>
      </c>
      <c r="K144" s="172">
        <f t="shared" si="445"/>
        <v>26.7810295559444</v>
      </c>
      <c r="L144" s="443"/>
      <c r="M144" s="217">
        <f t="shared" si="446"/>
        <v>0.62835670729313764</v>
      </c>
      <c r="N144" s="172">
        <f t="shared" si="447"/>
        <v>20.924060610397305</v>
      </c>
      <c r="O144" s="172">
        <f t="shared" si="438"/>
        <v>5.5759999999999996</v>
      </c>
      <c r="P144" s="217">
        <f t="shared" si="448"/>
        <v>1.2758573542925187</v>
      </c>
      <c r="Q144" s="217">
        <f t="shared" si="449"/>
        <v>16.399999999999999</v>
      </c>
      <c r="R144" s="217"/>
      <c r="S144" s="172">
        <f t="shared" si="450"/>
        <v>87.666884546689943</v>
      </c>
      <c r="T144" s="172">
        <f t="shared" si="451"/>
        <v>16.399999999999999</v>
      </c>
      <c r="U144" s="217">
        <f t="shared" si="452"/>
        <v>1.8297114823389455</v>
      </c>
      <c r="V144" s="217">
        <f t="shared" si="453"/>
        <v>2.206116531366336</v>
      </c>
      <c r="W144" s="217">
        <f t="shared" si="454"/>
        <v>1.3047268402839405</v>
      </c>
      <c r="X144" s="197">
        <f t="shared" si="455"/>
        <v>350</v>
      </c>
      <c r="Y144" s="443">
        <f t="shared" si="328"/>
        <v>269.48051961440848</v>
      </c>
      <c r="AA144" s="217">
        <f t="shared" si="456"/>
        <v>1.4890288568867935</v>
      </c>
      <c r="AB144" s="173">
        <f t="shared" si="457"/>
        <v>1.0617935856499279</v>
      </c>
      <c r="AC144" s="173">
        <f t="shared" si="458"/>
        <v>0.27668222559075728</v>
      </c>
      <c r="AD144" s="173"/>
      <c r="AE144" s="173">
        <f t="shared" si="459"/>
        <v>0.95077054707087116</v>
      </c>
      <c r="AF144" s="545">
        <f t="shared" si="460"/>
        <v>536.40702435640776</v>
      </c>
      <c r="AG144" s="528">
        <f t="shared" si="461"/>
        <v>0.22184646098320332</v>
      </c>
      <c r="AI144" s="173">
        <f t="shared" si="462"/>
        <v>1.6506383940288292</v>
      </c>
      <c r="AJ144" s="173">
        <f t="shared" si="463"/>
        <v>1.8297114823389455</v>
      </c>
      <c r="AK144" s="173">
        <f t="shared" si="464"/>
        <v>1.5676875177819349</v>
      </c>
      <c r="AM144" s="545">
        <f t="shared" si="465"/>
        <v>340</v>
      </c>
      <c r="AN144" s="460">
        <f t="shared" si="466"/>
        <v>269.48051961440848</v>
      </c>
      <c r="AP144" s="460">
        <f t="shared" si="467"/>
        <v>340</v>
      </c>
      <c r="AQ144" s="460">
        <f t="shared" si="468"/>
        <v>269.48051961440848</v>
      </c>
      <c r="AS144" s="5">
        <f t="shared" si="439"/>
        <v>3.710843371650276</v>
      </c>
      <c r="AT144" s="5">
        <f t="shared" si="469"/>
        <v>2.206116531366336</v>
      </c>
      <c r="AU144" s="5">
        <f t="shared" si="343"/>
        <v>1.50472684028394</v>
      </c>
      <c r="AV144" s="5"/>
      <c r="AW144" s="173">
        <f t="shared" si="344"/>
        <v>0.59450542920253679</v>
      </c>
      <c r="AX144" s="173">
        <f t="shared" si="435"/>
        <v>5.413072619846206</v>
      </c>
      <c r="AY144" s="173">
        <f t="shared" si="436"/>
        <v>0.37096903610711046</v>
      </c>
      <c r="AZ144" s="173">
        <f t="shared" si="440"/>
        <v>14.591710070064396</v>
      </c>
      <c r="BA144" s="460">
        <f t="shared" si="433"/>
        <v>4.5736562235643561</v>
      </c>
      <c r="BB144" s="5">
        <f t="shared" si="434"/>
        <v>0.7025282232075627</v>
      </c>
      <c r="BD144" s="173">
        <f t="shared" si="441"/>
        <v>0.8145165229934872</v>
      </c>
      <c r="BE144" s="173">
        <f t="shared" si="437"/>
        <v>0.67268928189141963</v>
      </c>
      <c r="BG144" s="528">
        <f t="shared" si="347"/>
        <v>1.3268743324588E-2</v>
      </c>
      <c r="BH144" s="528">
        <f t="shared" si="470"/>
        <v>0.24759309599466953</v>
      </c>
      <c r="BI144" s="528">
        <f t="shared" si="471"/>
        <v>6.7050619583513521E-2</v>
      </c>
      <c r="BJ144" s="528">
        <f t="shared" si="350"/>
        <v>1.9327777333738711E-2</v>
      </c>
      <c r="BK144">
        <f t="shared" si="351"/>
        <v>4.4786582504374572E-3</v>
      </c>
      <c r="BL144" s="460">
        <f t="shared" si="427"/>
        <v>71.529277833950985</v>
      </c>
      <c r="BM144" s="528">
        <f t="shared" si="472"/>
        <v>0.28466964206954554</v>
      </c>
      <c r="BN144" s="460">
        <f t="shared" si="353"/>
        <v>284.66964206954555</v>
      </c>
      <c r="BO144" s="528">
        <f t="shared" si="354"/>
        <v>0.23799999999999999</v>
      </c>
      <c r="BR144" s="460">
        <f t="shared" si="355"/>
        <v>238</v>
      </c>
      <c r="BS144" s="528">
        <f t="shared" si="356"/>
        <v>1.9903114986881999E-2</v>
      </c>
      <c r="BT144" s="528">
        <f t="shared" si="357"/>
        <v>1.3575326099147815E-2</v>
      </c>
      <c r="BU144" s="528">
        <f t="shared" si="358"/>
        <v>0.2699261611752376</v>
      </c>
      <c r="BV144" s="528"/>
      <c r="BW144" s="528">
        <f t="shared" si="359"/>
        <v>4.5108938498718389E-3</v>
      </c>
      <c r="BX144" s="460">
        <f t="shared" si="360"/>
        <v>307.91549611113925</v>
      </c>
      <c r="BY144" s="173">
        <f t="shared" si="361"/>
        <v>0.89763439059808647</v>
      </c>
      <c r="BZ144" s="5">
        <f t="shared" si="362"/>
        <v>5.5759999999999996</v>
      </c>
      <c r="CA144" s="173">
        <f t="shared" si="363"/>
        <v>0.86133996200005425</v>
      </c>
      <c r="CB144" s="5">
        <f t="shared" si="364"/>
        <v>86.133996200005427</v>
      </c>
      <c r="CE144" s="562">
        <f t="shared" si="473"/>
        <v>-50</v>
      </c>
      <c r="CF144">
        <f t="shared" si="474"/>
        <v>-50</v>
      </c>
      <c r="CG144" s="173">
        <f t="shared" si="475"/>
        <v>0.35845233670189502</v>
      </c>
      <c r="CI144" s="170">
        <v>34</v>
      </c>
      <c r="CJ144" s="217">
        <f t="shared" si="428"/>
        <v>0.34</v>
      </c>
      <c r="CK144" s="217"/>
      <c r="CL144" s="217">
        <f t="shared" si="368"/>
        <v>5.5759999999999996</v>
      </c>
      <c r="CM144" s="541">
        <f t="shared" si="369"/>
        <v>10</v>
      </c>
      <c r="CN144" s="443">
        <f t="shared" si="370"/>
        <v>16.799999999999997</v>
      </c>
      <c r="CO144" s="443">
        <f t="shared" si="371"/>
        <v>26.799999999999997</v>
      </c>
      <c r="CP144" s="443"/>
      <c r="CQ144" s="217">
        <f t="shared" si="372"/>
        <v>0.62686567164179097</v>
      </c>
      <c r="CR144" s="172">
        <f t="shared" si="429"/>
        <v>20.973880597014926</v>
      </c>
      <c r="CS144" s="172">
        <f t="shared" si="373"/>
        <v>5.5759999999999996</v>
      </c>
      <c r="CT144" s="217">
        <f t="shared" si="374"/>
        <v>1.2788951583545687</v>
      </c>
      <c r="CU144" s="217">
        <f t="shared" si="375"/>
        <v>16.399999999999999</v>
      </c>
      <c r="CV144" s="217"/>
      <c r="CW144" s="172">
        <f t="shared" si="376"/>
        <v>88.084421383926582</v>
      </c>
      <c r="CX144" s="172">
        <f t="shared" si="377"/>
        <v>16.399999999999999</v>
      </c>
      <c r="CY144" s="217">
        <f t="shared" si="378"/>
        <v>1.7790095238095238</v>
      </c>
      <c r="CZ144" s="217">
        <f t="shared" si="379"/>
        <v>2.1348114285714286</v>
      </c>
      <c r="DA144" s="217">
        <f t="shared" si="380"/>
        <v>1.2707210884353746</v>
      </c>
      <c r="DB144" s="197">
        <f t="shared" si="381"/>
        <v>350</v>
      </c>
      <c r="DC144" s="443">
        <f t="shared" si="382"/>
        <v>293.63983312628062</v>
      </c>
      <c r="DE144" s="217">
        <f t="shared" si="383"/>
        <v>1.4925373134328355</v>
      </c>
      <c r="DF144" s="173">
        <f t="shared" si="384"/>
        <v>1.0660980810234544</v>
      </c>
      <c r="DG144" s="173">
        <f t="shared" si="385"/>
        <v>0.27845845399866342</v>
      </c>
      <c r="DH144" s="173"/>
      <c r="DI144" s="173">
        <f t="shared" si="386"/>
        <v>0.95238095238095266</v>
      </c>
      <c r="DJ144" s="545">
        <f t="shared" si="387"/>
        <v>535.49999999999977</v>
      </c>
      <c r="DK144" s="528">
        <f t="shared" si="388"/>
        <v>0.22222222222222232</v>
      </c>
      <c r="DM144" s="173">
        <f t="shared" si="389"/>
        <v>1.6492422502470641</v>
      </c>
      <c r="DN144" s="173">
        <f t="shared" si="390"/>
        <v>1.7790095238095238</v>
      </c>
      <c r="DO144" s="173">
        <f t="shared" si="391"/>
        <v>1.5301305114638446</v>
      </c>
      <c r="DQ144" s="545">
        <f t="shared" si="392"/>
        <v>340</v>
      </c>
      <c r="DR144" s="460">
        <f t="shared" si="393"/>
        <v>293.63983312628062</v>
      </c>
      <c r="DT144">
        <f t="shared" si="430"/>
        <v>340</v>
      </c>
      <c r="DU144">
        <f t="shared" si="431"/>
        <v>293.63983312628062</v>
      </c>
      <c r="DW144" s="5">
        <f t="shared" si="394"/>
        <v>3.4055325170068032</v>
      </c>
      <c r="DX144" s="5">
        <f t="shared" si="395"/>
        <v>2.1348114285714286</v>
      </c>
      <c r="DY144" s="5">
        <f t="shared" si="396"/>
        <v>1.2707210884353746</v>
      </c>
      <c r="DZ144" s="5"/>
      <c r="EA144" s="173">
        <f t="shared" si="397"/>
        <v>0.62686567164179097</v>
      </c>
      <c r="EB144" s="173">
        <f t="shared" si="398"/>
        <v>5.5760000000000005</v>
      </c>
      <c r="EC144" s="173">
        <f t="shared" si="399"/>
        <v>0.33190476190476198</v>
      </c>
      <c r="ED144" s="173">
        <f t="shared" si="400"/>
        <v>16.799999999999997</v>
      </c>
      <c r="EE144" s="460">
        <f t="shared" si="401"/>
        <v>4.425828571428573</v>
      </c>
      <c r="EF144" s="5">
        <f t="shared" si="402"/>
        <v>0.59046173242630395</v>
      </c>
      <c r="EH144" s="173">
        <f t="shared" si="403"/>
        <v>0.81321408025037301</v>
      </c>
      <c r="EI144" s="173">
        <f t="shared" si="404"/>
        <v>0.62740828409487015</v>
      </c>
      <c r="EK144" s="528">
        <f t="shared" si="405"/>
        <v>1.3226342806349203E-2</v>
      </c>
      <c r="EL144" s="528">
        <f t="shared" si="406"/>
        <v>0.27999999999999997</v>
      </c>
      <c r="EM144" s="528">
        <f t="shared" si="407"/>
        <v>3.670497914078507E-2</v>
      </c>
      <c r="EN144" s="528">
        <f t="shared" si="408"/>
        <v>2.1090387374461977E-2</v>
      </c>
      <c r="EO144">
        <f t="shared" si="409"/>
        <v>4.4999999999999997E-3</v>
      </c>
      <c r="EP144" s="460">
        <f t="shared" si="410"/>
        <v>41.204979140785063</v>
      </c>
      <c r="EQ144" s="460"/>
      <c r="ER144" s="460">
        <f t="shared" si="432"/>
        <v>355.52170932159629</v>
      </c>
      <c r="ES144" s="528">
        <f t="shared" si="411"/>
        <v>0.23799999999999999</v>
      </c>
      <c r="EV144" s="460">
        <f t="shared" si="412"/>
        <v>238</v>
      </c>
      <c r="EW144" s="528">
        <f t="shared" si="413"/>
        <v>1.9839514209523804E-2</v>
      </c>
      <c r="EX144" s="528">
        <f t="shared" si="414"/>
        <v>1.1809234648526078E-2</v>
      </c>
      <c r="EY144" s="528">
        <f t="shared" si="415"/>
        <v>0.31185528502698323</v>
      </c>
      <c r="EZ144" s="528"/>
      <c r="FA144" s="528">
        <f t="shared" si="416"/>
        <v>4.6466666666666661E-3</v>
      </c>
      <c r="FB144" s="460">
        <f t="shared" si="417"/>
        <v>348.15070055169986</v>
      </c>
      <c r="FC144" s="173">
        <f t="shared" si="418"/>
        <v>0.94167240987329615</v>
      </c>
      <c r="FD144" s="5">
        <f t="shared" si="419"/>
        <v>5.5759999999999996</v>
      </c>
      <c r="FE144" s="173">
        <f t="shared" si="420"/>
        <v>0.85552013807156013</v>
      </c>
      <c r="FF144" s="5">
        <f t="shared" si="421"/>
        <v>85.552013807156015</v>
      </c>
      <c r="FI144" s="562">
        <f t="shared" si="422"/>
        <v>-50</v>
      </c>
      <c r="FJ144">
        <f t="shared" si="423"/>
        <v>-50</v>
      </c>
      <c r="FL144">
        <f t="shared" si="476"/>
        <v>0.37313432835820903</v>
      </c>
    </row>
    <row r="145" spans="5:168">
      <c r="E145" s="170">
        <v>35</v>
      </c>
      <c r="F145" s="217">
        <f t="shared" si="477"/>
        <v>0.35</v>
      </c>
      <c r="G145" s="217"/>
      <c r="H145" s="217">
        <f t="shared" si="442"/>
        <v>5.7399999999999993</v>
      </c>
      <c r="I145" s="541">
        <f t="shared" si="443"/>
        <v>9.9512360711582133</v>
      </c>
      <c r="J145" s="172">
        <f t="shared" si="444"/>
        <v>16.829258357305068</v>
      </c>
      <c r="K145" s="172">
        <f t="shared" si="445"/>
        <v>26.780494428463282</v>
      </c>
      <c r="L145" s="443"/>
      <c r="M145" s="217">
        <f t="shared" si="446"/>
        <v>0.62839925602763225</v>
      </c>
      <c r="N145" s="172">
        <f t="shared" si="447"/>
        <v>20.92266467903309</v>
      </c>
      <c r="O145" s="172">
        <f t="shared" si="438"/>
        <v>5.7399999999999993</v>
      </c>
      <c r="P145" s="217">
        <f t="shared" si="448"/>
        <v>1.2757722365264081</v>
      </c>
      <c r="Q145" s="217">
        <f t="shared" si="449"/>
        <v>16.399999999999999</v>
      </c>
      <c r="R145" s="217"/>
      <c r="S145" s="172">
        <f t="shared" si="450"/>
        <v>84.86912234268037</v>
      </c>
      <c r="T145" s="172">
        <f t="shared" si="451"/>
        <v>16.399999999999999</v>
      </c>
      <c r="U145" s="217">
        <f t="shared" si="452"/>
        <v>1.8837421920017794</v>
      </c>
      <c r="V145" s="217">
        <f t="shared" si="453"/>
        <v>2.2715676869064962</v>
      </c>
      <c r="W145" s="217">
        <f t="shared" si="454"/>
        <v>1.343190877701943</v>
      </c>
      <c r="X145" s="197">
        <f t="shared" si="455"/>
        <v>350</v>
      </c>
      <c r="Y145" s="443">
        <f t="shared" si="328"/>
        <v>262.1397876336228</v>
      </c>
      <c r="AA145" s="217">
        <f t="shared" si="456"/>
        <v>1.4889294685603764</v>
      </c>
      <c r="AB145" s="173">
        <f t="shared" si="457"/>
        <v>1.0616720739193435</v>
      </c>
      <c r="AC145" s="173">
        <f t="shared" si="458"/>
        <v>0.27663209644107117</v>
      </c>
      <c r="AD145" s="173"/>
      <c r="AE145" s="173">
        <f t="shared" si="459"/>
        <v>0.95072519895417074</v>
      </c>
      <c r="AF145" s="545">
        <f t="shared" si="460"/>
        <v>552.21003984907247</v>
      </c>
      <c r="AG145" s="528">
        <f t="shared" si="461"/>
        <v>0.22183587975597319</v>
      </c>
      <c r="AI145" s="173">
        <f t="shared" si="462"/>
        <v>1.6747765202808935</v>
      </c>
      <c r="AJ145" s="173">
        <f t="shared" si="463"/>
        <v>1.8837421920017794</v>
      </c>
      <c r="AK145" s="173">
        <f t="shared" si="464"/>
        <v>1.6077102656803302</v>
      </c>
      <c r="AM145" s="545">
        <f t="shared" si="465"/>
        <v>350</v>
      </c>
      <c r="AN145" s="460">
        <f t="shared" si="466"/>
        <v>262.1397876336228</v>
      </c>
      <c r="AP145" s="460">
        <f t="shared" si="467"/>
        <v>350</v>
      </c>
      <c r="AQ145" s="460">
        <f t="shared" si="468"/>
        <v>262.1397876336228</v>
      </c>
      <c r="AS145" s="5">
        <f t="shared" si="439"/>
        <v>3.814758564608439</v>
      </c>
      <c r="AT145" s="5">
        <f t="shared" si="469"/>
        <v>2.2715676869064962</v>
      </c>
      <c r="AU145" s="5">
        <f t="shared" si="343"/>
        <v>1.5431908777019427</v>
      </c>
      <c r="AV145" s="5"/>
      <c r="AW145" s="173">
        <f t="shared" si="344"/>
        <v>0.5954682710410687</v>
      </c>
      <c r="AX145" s="173">
        <f t="shared" si="435"/>
        <v>5.5811940690279016</v>
      </c>
      <c r="AY145" s="173">
        <f t="shared" si="436"/>
        <v>0.38101674292168347</v>
      </c>
      <c r="AZ145" s="173">
        <f t="shared" si="440"/>
        <v>14.648159622148402</v>
      </c>
      <c r="BA145" s="460">
        <f t="shared" si="433"/>
        <v>4.8478578683980116</v>
      </c>
      <c r="BB145" s="5">
        <f t="shared" si="434"/>
        <v>0.741776831764829</v>
      </c>
      <c r="BD145" s="173">
        <f t="shared" si="441"/>
        <v>0.83924768233744684</v>
      </c>
      <c r="BE145" s="173">
        <f t="shared" si="437"/>
        <v>0.69173083132129287</v>
      </c>
      <c r="BG145" s="528">
        <f t="shared" si="347"/>
        <v>1.4086733446175521E-2</v>
      </c>
      <c r="BH145" s="528">
        <f t="shared" si="470"/>
        <v>0.24795579993708747</v>
      </c>
      <c r="BI145" s="528">
        <f t="shared" si="471"/>
        <v>6.5215372759636528E-2</v>
      </c>
      <c r="BJ145" s="528">
        <f t="shared" si="350"/>
        <v>1.8800531401561148E-2</v>
      </c>
      <c r="BK145">
        <f t="shared" si="351"/>
        <v>4.4780562320211959E-3</v>
      </c>
      <c r="BL145" s="460">
        <f t="shared" si="427"/>
        <v>69.693428991657726</v>
      </c>
      <c r="BM145" s="528">
        <f t="shared" si="472"/>
        <v>0.28560239628242901</v>
      </c>
      <c r="BN145" s="460">
        <f t="shared" si="353"/>
        <v>285.60239628242903</v>
      </c>
      <c r="BO145" s="528">
        <f t="shared" si="354"/>
        <v>0.24499999999999997</v>
      </c>
      <c r="BR145" s="460">
        <f t="shared" si="355"/>
        <v>244.99999999999997</v>
      </c>
      <c r="BS145" s="528">
        <f t="shared" si="356"/>
        <v>2.1130100169263279E-2</v>
      </c>
      <c r="BT145" s="528">
        <f t="shared" si="357"/>
        <v>1.4354746290013407E-2</v>
      </c>
      <c r="BU145" s="528">
        <f t="shared" si="358"/>
        <v>0.27092933155266052</v>
      </c>
      <c r="BV145" s="528"/>
      <c r="BW145" s="528">
        <f t="shared" si="359"/>
        <v>4.6509950575232516E-3</v>
      </c>
      <c r="BX145" s="460">
        <f t="shared" si="360"/>
        <v>311.06517306946046</v>
      </c>
      <c r="BY145" s="173">
        <f t="shared" si="361"/>
        <v>0.90660166684594223</v>
      </c>
      <c r="BZ145" s="5">
        <f t="shared" si="362"/>
        <v>5.7399999999999993</v>
      </c>
      <c r="CA145" s="173">
        <f t="shared" si="363"/>
        <v>0.8635992177223164</v>
      </c>
      <c r="CB145" s="5">
        <f t="shared" si="364"/>
        <v>86.359921772231644</v>
      </c>
      <c r="CE145" s="562">
        <f t="shared" si="473"/>
        <v>-50</v>
      </c>
      <c r="CF145">
        <f t="shared" si="474"/>
        <v>-50</v>
      </c>
      <c r="CG145" s="173">
        <f t="shared" si="475"/>
        <v>0.35887182217778979</v>
      </c>
      <c r="CI145" s="170">
        <v>35</v>
      </c>
      <c r="CJ145" s="217">
        <f t="shared" si="428"/>
        <v>0.35</v>
      </c>
      <c r="CK145" s="217"/>
      <c r="CL145" s="217">
        <f t="shared" si="368"/>
        <v>5.7399999999999993</v>
      </c>
      <c r="CM145" s="541">
        <f t="shared" si="369"/>
        <v>10</v>
      </c>
      <c r="CN145" s="443">
        <f t="shared" si="370"/>
        <v>16.799999999999997</v>
      </c>
      <c r="CO145" s="443">
        <f t="shared" si="371"/>
        <v>26.799999999999997</v>
      </c>
      <c r="CP145" s="443"/>
      <c r="CQ145" s="217">
        <f t="shared" si="372"/>
        <v>0.62686567164179097</v>
      </c>
      <c r="CR145" s="172">
        <f t="shared" si="429"/>
        <v>20.973880597014926</v>
      </c>
      <c r="CS145" s="172">
        <f t="shared" si="373"/>
        <v>5.7399999999999993</v>
      </c>
      <c r="CT145" s="217">
        <f t="shared" si="374"/>
        <v>1.2788951583545687</v>
      </c>
      <c r="CU145" s="217">
        <f t="shared" si="375"/>
        <v>16.399999999999999</v>
      </c>
      <c r="CV145" s="217"/>
      <c r="CW145" s="172">
        <f t="shared" si="376"/>
        <v>85.284777975618809</v>
      </c>
      <c r="CX145" s="172">
        <f t="shared" si="377"/>
        <v>16.399999999999999</v>
      </c>
      <c r="CY145" s="217">
        <f t="shared" si="378"/>
        <v>1.8313333333333333</v>
      </c>
      <c r="CZ145" s="217">
        <f t="shared" si="379"/>
        <v>2.1976</v>
      </c>
      <c r="DA145" s="217">
        <f t="shared" si="380"/>
        <v>1.3080952380952384</v>
      </c>
      <c r="DB145" s="197">
        <f t="shared" si="381"/>
        <v>350</v>
      </c>
      <c r="DC145" s="443">
        <f t="shared" si="382"/>
        <v>285.25012360838684</v>
      </c>
      <c r="DE145" s="217">
        <f t="shared" si="383"/>
        <v>1.4925373134328355</v>
      </c>
      <c r="DF145" s="173">
        <f t="shared" si="384"/>
        <v>1.0660980810234544</v>
      </c>
      <c r="DG145" s="173">
        <f t="shared" si="385"/>
        <v>0.27845845399866342</v>
      </c>
      <c r="DH145" s="173"/>
      <c r="DI145" s="173">
        <f t="shared" si="386"/>
        <v>0.95238095238095266</v>
      </c>
      <c r="DJ145" s="545">
        <f t="shared" si="387"/>
        <v>551.24999999999977</v>
      </c>
      <c r="DK145" s="528">
        <f t="shared" si="388"/>
        <v>0.22222222222222232</v>
      </c>
      <c r="DM145" s="173">
        <f t="shared" si="389"/>
        <v>1.6733200530681509</v>
      </c>
      <c r="DN145" s="173">
        <f t="shared" si="390"/>
        <v>1.8313333333333333</v>
      </c>
      <c r="DO145" s="173">
        <f t="shared" si="391"/>
        <v>1.5688888888888886</v>
      </c>
      <c r="DQ145" s="545">
        <f t="shared" si="392"/>
        <v>350</v>
      </c>
      <c r="DR145" s="460">
        <f t="shared" si="393"/>
        <v>285.25012360838684</v>
      </c>
      <c r="DT145">
        <f t="shared" si="430"/>
        <v>350</v>
      </c>
      <c r="DU145">
        <f t="shared" si="431"/>
        <v>285.25012360838684</v>
      </c>
      <c r="DW145" s="5">
        <f t="shared" si="394"/>
        <v>3.5056952380952389</v>
      </c>
      <c r="DX145" s="5">
        <f t="shared" si="395"/>
        <v>2.1976</v>
      </c>
      <c r="DY145" s="5">
        <f t="shared" si="396"/>
        <v>1.3080952380952389</v>
      </c>
      <c r="DZ145" s="5"/>
      <c r="EA145" s="173">
        <f t="shared" si="397"/>
        <v>0.62686567164179086</v>
      </c>
      <c r="EB145" s="173">
        <f t="shared" si="398"/>
        <v>5.7399999999999984</v>
      </c>
      <c r="EC145" s="173">
        <f t="shared" si="399"/>
        <v>0.34166666666666684</v>
      </c>
      <c r="ED145" s="173">
        <f t="shared" si="400"/>
        <v>16.799999999999986</v>
      </c>
      <c r="EE145" s="460">
        <f t="shared" si="401"/>
        <v>4.6900000000000004</v>
      </c>
      <c r="EF145" s="5">
        <f t="shared" si="402"/>
        <v>0.62570555555555574</v>
      </c>
      <c r="EH145" s="173">
        <f t="shared" si="403"/>
        <v>0.83713214143420756</v>
      </c>
      <c r="EI145" s="173">
        <f t="shared" si="404"/>
        <v>0.64586146892119001</v>
      </c>
      <c r="EK145" s="528">
        <f t="shared" si="405"/>
        <v>1.4015804444444443E-2</v>
      </c>
      <c r="EL145" s="528">
        <f t="shared" si="406"/>
        <v>0.27999999999999992</v>
      </c>
      <c r="EM145" s="528">
        <f t="shared" si="407"/>
        <v>3.5656265451048358E-2</v>
      </c>
      <c r="EN145" s="528">
        <f t="shared" si="408"/>
        <v>2.0487804878048774E-2</v>
      </c>
      <c r="EO145">
        <f t="shared" si="409"/>
        <v>4.4999999999999997E-3</v>
      </c>
      <c r="EP145" s="460">
        <f t="shared" si="410"/>
        <v>40.156265451048355</v>
      </c>
      <c r="EQ145" s="460"/>
      <c r="ER145" s="460">
        <f t="shared" si="432"/>
        <v>354.6598747735415</v>
      </c>
      <c r="ES145" s="528">
        <f t="shared" si="411"/>
        <v>0.24499999999999997</v>
      </c>
      <c r="EV145" s="460">
        <f t="shared" si="412"/>
        <v>244.99999999999997</v>
      </c>
      <c r="EW145" s="528">
        <f t="shared" si="413"/>
        <v>2.1023706666666662E-2</v>
      </c>
      <c r="EX145" s="528">
        <f t="shared" si="414"/>
        <v>1.2514111111111118E-2</v>
      </c>
      <c r="EY145" s="528">
        <f t="shared" si="415"/>
        <v>0.31185528502698306</v>
      </c>
      <c r="EZ145" s="528"/>
      <c r="FA145" s="528">
        <f t="shared" si="416"/>
        <v>4.7833333333333321E-3</v>
      </c>
      <c r="FB145" s="460">
        <f t="shared" si="417"/>
        <v>350.17643613809418</v>
      </c>
      <c r="FC145" s="173">
        <f t="shared" si="418"/>
        <v>0.94983631091163567</v>
      </c>
      <c r="FD145" s="5">
        <f t="shared" si="419"/>
        <v>5.7399999999999993</v>
      </c>
      <c r="FE145" s="173">
        <f t="shared" si="420"/>
        <v>0.85801800421299101</v>
      </c>
      <c r="FF145" s="5">
        <f t="shared" si="421"/>
        <v>85.801800421299106</v>
      </c>
      <c r="FI145" s="562">
        <f t="shared" si="422"/>
        <v>-50</v>
      </c>
      <c r="FJ145">
        <f t="shared" si="423"/>
        <v>-50</v>
      </c>
      <c r="FL145">
        <f t="shared" si="476"/>
        <v>0.37313432835820914</v>
      </c>
    </row>
    <row r="146" spans="5:168">
      <c r="E146" s="170">
        <v>36</v>
      </c>
      <c r="F146" s="217">
        <f t="shared" si="477"/>
        <v>0.36</v>
      </c>
      <c r="G146" s="217"/>
      <c r="H146" s="217">
        <f t="shared" si="442"/>
        <v>5.903999999999999</v>
      </c>
      <c r="I146" s="541">
        <f t="shared" si="443"/>
        <v>9.9498981265950412</v>
      </c>
      <c r="J146" s="172">
        <f t="shared" si="444"/>
        <v>16.830061124042974</v>
      </c>
      <c r="K146" s="172">
        <f t="shared" si="445"/>
        <v>26.779959250638015</v>
      </c>
      <c r="L146" s="443"/>
      <c r="M146" s="217">
        <f t="shared" si="446"/>
        <v>0.62844180941216132</v>
      </c>
      <c r="N146" s="172">
        <f t="shared" si="447"/>
        <v>20.921268256923678</v>
      </c>
      <c r="O146" s="172">
        <f t="shared" si="438"/>
        <v>5.903999999999999</v>
      </c>
      <c r="P146" s="217">
        <f t="shared" si="448"/>
        <v>1.2756870888368097</v>
      </c>
      <c r="Q146" s="217">
        <f t="shared" si="449"/>
        <v>16.399999999999999</v>
      </c>
      <c r="R146" s="217"/>
      <c r="S146" s="172">
        <f t="shared" si="450"/>
        <v>82.226956037515038</v>
      </c>
      <c r="T146" s="172">
        <f t="shared" si="451"/>
        <v>16.399999999999999</v>
      </c>
      <c r="U146" s="217">
        <f t="shared" si="452"/>
        <v>1.9377853004959866</v>
      </c>
      <c r="V146" s="217">
        <f t="shared" si="453"/>
        <v>2.3370514260641384</v>
      </c>
      <c r="W146" s="217">
        <f t="shared" si="454"/>
        <v>1.3816600804100836</v>
      </c>
      <c r="X146" s="197">
        <f t="shared" si="455"/>
        <v>350</v>
      </c>
      <c r="Y146" s="443">
        <f t="shared" si="328"/>
        <v>255.18591974629152</v>
      </c>
      <c r="AA146" s="217">
        <f t="shared" si="456"/>
        <v>1.4888300478134742</v>
      </c>
      <c r="AB146" s="173">
        <f t="shared" si="457"/>
        <v>1.0615505459002081</v>
      </c>
      <c r="AC146" s="173">
        <f t="shared" si="458"/>
        <v>0.27658196125157963</v>
      </c>
      <c r="AD146" s="173"/>
      <c r="AE146" s="173">
        <f t="shared" si="459"/>
        <v>0.95067985089744156</v>
      </c>
      <c r="AF146" s="545">
        <f t="shared" si="460"/>
        <v>568.01456293645015</v>
      </c>
      <c r="AG146" s="528">
        <f t="shared" si="461"/>
        <v>0.22182529854273642</v>
      </c>
      <c r="AI146" s="173">
        <f t="shared" si="462"/>
        <v>1.6985739123012056</v>
      </c>
      <c r="AJ146" s="173">
        <f t="shared" si="463"/>
        <v>1.9377853004959866</v>
      </c>
      <c r="AK146" s="173">
        <f t="shared" si="464"/>
        <v>1.6477421978982616</v>
      </c>
      <c r="AM146" s="545">
        <f t="shared" si="465"/>
        <v>360</v>
      </c>
      <c r="AN146" s="460">
        <f t="shared" si="466"/>
        <v>255.18591974629152</v>
      </c>
      <c r="AP146" s="460">
        <f t="shared" si="467"/>
        <v>360</v>
      </c>
      <c r="AQ146" s="460">
        <f t="shared" si="468"/>
        <v>255.18591974629152</v>
      </c>
      <c r="AS146" s="5">
        <f t="shared" si="439"/>
        <v>3.9187115064742222</v>
      </c>
      <c r="AT146" s="5">
        <f t="shared" si="469"/>
        <v>2.3370514260641384</v>
      </c>
      <c r="AU146" s="5">
        <f t="shared" si="343"/>
        <v>1.5816600804100838</v>
      </c>
      <c r="AV146" s="5"/>
      <c r="AW146" s="173">
        <f t="shared" si="344"/>
        <v>0.59638261765455935</v>
      </c>
      <c r="AX146" s="173">
        <f t="shared" si="435"/>
        <v>5.7493569474780966</v>
      </c>
      <c r="AY146" s="173">
        <f t="shared" si="436"/>
        <v>0.39106191526683159</v>
      </c>
      <c r="AZ146" s="173">
        <f t="shared" si="440"/>
        <v>14.701909654268334</v>
      </c>
      <c r="BA146" s="460">
        <f t="shared" si="433"/>
        <v>5.1301128864822561</v>
      </c>
      <c r="BB146" s="5">
        <f t="shared" si="434"/>
        <v>0.78209520304713021</v>
      </c>
      <c r="BD146" s="173">
        <f t="shared" si="441"/>
        <v>0.86398761735775165</v>
      </c>
      <c r="BE146" s="173">
        <f t="shared" si="437"/>
        <v>0.7107714264505729</v>
      </c>
      <c r="BG146" s="528">
        <f t="shared" si="347"/>
        <v>1.4929492058950493E-2</v>
      </c>
      <c r="BH146" s="528">
        <f t="shared" si="470"/>
        <v>0.24829818725826325</v>
      </c>
      <c r="BI146" s="528">
        <f t="shared" si="471"/>
        <v>6.3476847620426463E-2</v>
      </c>
      <c r="BJ146" s="528">
        <f t="shared" si="350"/>
        <v>1.8301072081498743E-2</v>
      </c>
      <c r="BK146">
        <f t="shared" si="351"/>
        <v>4.4774541569677683E-3</v>
      </c>
      <c r="BL146" s="460">
        <f t="shared" si="427"/>
        <v>67.954301777394221</v>
      </c>
      <c r="BM146" s="528">
        <f t="shared" si="472"/>
        <v>0.2865762711625392</v>
      </c>
      <c r="BN146" s="460">
        <f t="shared" si="353"/>
        <v>286.57627116253917</v>
      </c>
      <c r="BO146" s="528">
        <f t="shared" si="354"/>
        <v>0.252</v>
      </c>
      <c r="BR146" s="460">
        <f t="shared" si="355"/>
        <v>252</v>
      </c>
      <c r="BS146" s="528">
        <f t="shared" si="356"/>
        <v>2.2394238088425739E-2</v>
      </c>
      <c r="BT146" s="528">
        <f t="shared" si="357"/>
        <v>1.5155880619757464E-2</v>
      </c>
      <c r="BU146" s="528">
        <f t="shared" si="358"/>
        <v>0.271879158402554</v>
      </c>
      <c r="BV146" s="528"/>
      <c r="BW146" s="528">
        <f t="shared" si="359"/>
        <v>4.7911307895650802E-3</v>
      </c>
      <c r="BX146" s="460">
        <f t="shared" si="360"/>
        <v>314.22040790030223</v>
      </c>
      <c r="BY146" s="173">
        <f t="shared" si="361"/>
        <v>0.91570346107640888</v>
      </c>
      <c r="BZ146" s="5">
        <f t="shared" si="362"/>
        <v>5.903999999999999</v>
      </c>
      <c r="CA146" s="173">
        <f t="shared" si="363"/>
        <v>0.86572679203680858</v>
      </c>
      <c r="CB146" s="5">
        <f t="shared" si="364"/>
        <v>86.572679203680863</v>
      </c>
      <c r="CE146" s="562">
        <f t="shared" si="473"/>
        <v>-50</v>
      </c>
      <c r="CF146">
        <f t="shared" si="474"/>
        <v>-50</v>
      </c>
      <c r="CG146" s="173">
        <f t="shared" si="475"/>
        <v>0.35926800290502359</v>
      </c>
      <c r="CI146" s="170">
        <v>36</v>
      </c>
      <c r="CJ146" s="217">
        <f t="shared" si="428"/>
        <v>0.36</v>
      </c>
      <c r="CK146" s="217"/>
      <c r="CL146" s="217">
        <f t="shared" si="368"/>
        <v>5.903999999999999</v>
      </c>
      <c r="CM146" s="541">
        <f t="shared" si="369"/>
        <v>10</v>
      </c>
      <c r="CN146" s="443">
        <f t="shared" si="370"/>
        <v>16.799999999999997</v>
      </c>
      <c r="CO146" s="443">
        <f t="shared" si="371"/>
        <v>26.799999999999997</v>
      </c>
      <c r="CP146" s="443"/>
      <c r="CQ146" s="217">
        <f t="shared" si="372"/>
        <v>0.62686567164179097</v>
      </c>
      <c r="CR146" s="172">
        <f t="shared" si="429"/>
        <v>20.973880597014926</v>
      </c>
      <c r="CS146" s="172">
        <f t="shared" si="373"/>
        <v>5.903999999999999</v>
      </c>
      <c r="CT146" s="217">
        <f t="shared" si="374"/>
        <v>1.2788951583545687</v>
      </c>
      <c r="CU146" s="217">
        <f t="shared" si="375"/>
        <v>16.399999999999999</v>
      </c>
      <c r="CV146" s="217"/>
      <c r="CW146" s="172">
        <f t="shared" si="376"/>
        <v>82.640761707588027</v>
      </c>
      <c r="CX146" s="172">
        <f t="shared" si="377"/>
        <v>16.399999999999999</v>
      </c>
      <c r="CY146" s="217">
        <f t="shared" si="378"/>
        <v>1.8836571428571427</v>
      </c>
      <c r="CZ146" s="217">
        <f t="shared" si="379"/>
        <v>2.2603885714285714</v>
      </c>
      <c r="DA146" s="217">
        <f t="shared" si="380"/>
        <v>1.3454693877551023</v>
      </c>
      <c r="DB146" s="197">
        <f t="shared" si="381"/>
        <v>350</v>
      </c>
      <c r="DC146" s="443">
        <f t="shared" si="382"/>
        <v>277.32650906370947</v>
      </c>
      <c r="DE146" s="217">
        <f t="shared" si="383"/>
        <v>1.4925373134328355</v>
      </c>
      <c r="DF146" s="173">
        <f t="shared" si="384"/>
        <v>1.0660980810234544</v>
      </c>
      <c r="DG146" s="173">
        <f t="shared" si="385"/>
        <v>0.27845845399866342</v>
      </c>
      <c r="DH146" s="173"/>
      <c r="DI146" s="173">
        <f t="shared" si="386"/>
        <v>0.95238095238095266</v>
      </c>
      <c r="DJ146" s="545">
        <f t="shared" si="387"/>
        <v>566.99999999999977</v>
      </c>
      <c r="DK146" s="528">
        <f t="shared" si="388"/>
        <v>0.22222222222222232</v>
      </c>
      <c r="DM146" s="173">
        <f t="shared" si="389"/>
        <v>1.6970562748477138</v>
      </c>
      <c r="DN146" s="173">
        <f t="shared" si="390"/>
        <v>1.8836571428571427</v>
      </c>
      <c r="DO146" s="173">
        <f t="shared" si="391"/>
        <v>1.6076472663139327</v>
      </c>
      <c r="DQ146" s="545">
        <f t="shared" si="392"/>
        <v>360</v>
      </c>
      <c r="DR146" s="460">
        <f t="shared" si="393"/>
        <v>277.32650906370947</v>
      </c>
      <c r="DT146">
        <f t="shared" si="430"/>
        <v>360</v>
      </c>
      <c r="DU146">
        <f t="shared" si="431"/>
        <v>277.32650906370947</v>
      </c>
      <c r="DW146" s="5">
        <f t="shared" si="394"/>
        <v>3.6058579591836737</v>
      </c>
      <c r="DX146" s="5">
        <f t="shared" si="395"/>
        <v>2.2603885714285714</v>
      </c>
      <c r="DY146" s="5">
        <f t="shared" si="396"/>
        <v>1.3454693877551023</v>
      </c>
      <c r="DZ146" s="5"/>
      <c r="EA146" s="173">
        <f t="shared" si="397"/>
        <v>0.62686567164179097</v>
      </c>
      <c r="EB146" s="173">
        <f t="shared" si="398"/>
        <v>5.903999999999999</v>
      </c>
      <c r="EC146" s="173">
        <f t="shared" si="399"/>
        <v>0.35142857142857148</v>
      </c>
      <c r="ED146" s="173">
        <f t="shared" si="400"/>
        <v>16.799999999999994</v>
      </c>
      <c r="EE146" s="460">
        <f t="shared" si="401"/>
        <v>4.9618285714285717</v>
      </c>
      <c r="EF146" s="5">
        <f t="shared" si="402"/>
        <v>0.66197093877551016</v>
      </c>
      <c r="EH146" s="173">
        <f t="shared" si="403"/>
        <v>0.86105020261804199</v>
      </c>
      <c r="EI146" s="173">
        <f t="shared" si="404"/>
        <v>0.66431465374750953</v>
      </c>
      <c r="EK146" s="528">
        <f t="shared" si="405"/>
        <v>1.4828149028571422E-2</v>
      </c>
      <c r="EL146" s="528">
        <f t="shared" si="406"/>
        <v>0.27999999999999992</v>
      </c>
      <c r="EM146" s="528">
        <f t="shared" si="407"/>
        <v>3.4665813632963685E-2</v>
      </c>
      <c r="EN146" s="528">
        <f t="shared" si="408"/>
        <v>1.9918699186991868E-2</v>
      </c>
      <c r="EO146">
        <f t="shared" si="409"/>
        <v>4.4999999999999997E-3</v>
      </c>
      <c r="EP146" s="460">
        <f t="shared" si="410"/>
        <v>39.165813632963683</v>
      </c>
      <c r="EQ146" s="460"/>
      <c r="ER146" s="460">
        <f t="shared" si="432"/>
        <v>353.91266184852685</v>
      </c>
      <c r="ES146" s="528">
        <f t="shared" si="411"/>
        <v>0.252</v>
      </c>
      <c r="EV146" s="460">
        <f t="shared" si="412"/>
        <v>252</v>
      </c>
      <c r="EW146" s="528">
        <f t="shared" si="413"/>
        <v>2.2242223542857133E-2</v>
      </c>
      <c r="EX146" s="528">
        <f t="shared" si="414"/>
        <v>1.3239418775510204E-2</v>
      </c>
      <c r="EY146" s="528">
        <f t="shared" si="415"/>
        <v>0.31185528502698306</v>
      </c>
      <c r="EZ146" s="528"/>
      <c r="FA146" s="528">
        <f t="shared" si="416"/>
        <v>4.9199999999999999E-3</v>
      </c>
      <c r="FB146" s="460">
        <f t="shared" si="417"/>
        <v>352.25692734535033</v>
      </c>
      <c r="FC146" s="173">
        <f t="shared" si="418"/>
        <v>0.95816958919387729</v>
      </c>
      <c r="FD146" s="5">
        <f t="shared" si="419"/>
        <v>5.903999999999999</v>
      </c>
      <c r="FE146" s="173">
        <f t="shared" si="420"/>
        <v>0.86036929330590373</v>
      </c>
      <c r="FF146" s="5">
        <f t="shared" si="421"/>
        <v>86.036929330590368</v>
      </c>
      <c r="FI146" s="562">
        <f t="shared" si="422"/>
        <v>-50</v>
      </c>
      <c r="FJ146">
        <f t="shared" si="423"/>
        <v>-50</v>
      </c>
      <c r="FL146">
        <f t="shared" si="476"/>
        <v>0.37313432835820903</v>
      </c>
    </row>
    <row r="147" spans="5:168">
      <c r="E147" s="170">
        <v>37</v>
      </c>
      <c r="F147" s="217">
        <f t="shared" si="477"/>
        <v>0.37</v>
      </c>
      <c r="G147" s="217"/>
      <c r="H147" s="217">
        <f t="shared" si="442"/>
        <v>6.0679999999999996</v>
      </c>
      <c r="I147" s="541">
        <f t="shared" si="443"/>
        <v>9.9485600667592173</v>
      </c>
      <c r="J147" s="172">
        <f t="shared" si="444"/>
        <v>16.830863959944466</v>
      </c>
      <c r="K147" s="172">
        <f t="shared" si="445"/>
        <v>26.779424026703683</v>
      </c>
      <c r="L147" s="443"/>
      <c r="M147" s="217">
        <f t="shared" si="446"/>
        <v>0.62848436719911038</v>
      </c>
      <c r="N147" s="172">
        <f t="shared" si="447"/>
        <v>20.9198713579746</v>
      </c>
      <c r="O147" s="172">
        <f t="shared" si="438"/>
        <v>6.0679999999999996</v>
      </c>
      <c r="P147" s="217">
        <f t="shared" si="448"/>
        <v>1.275601912071622</v>
      </c>
      <c r="Q147" s="217">
        <f t="shared" si="449"/>
        <v>16.399999999999999</v>
      </c>
      <c r="R147" s="217"/>
      <c r="S147" s="172">
        <f t="shared" si="450"/>
        <v>79.72777068246468</v>
      </c>
      <c r="T147" s="172">
        <f t="shared" si="451"/>
        <v>16.399999999999999</v>
      </c>
      <c r="U147" s="217">
        <f t="shared" si="452"/>
        <v>1.9918408127837681</v>
      </c>
      <c r="V147" s="217">
        <f t="shared" si="453"/>
        <v>2.4025677678992414</v>
      </c>
      <c r="W147" s="217">
        <f t="shared" si="454"/>
        <v>1.4201344512254073</v>
      </c>
      <c r="X147" s="197">
        <f t="shared" si="455"/>
        <v>350</v>
      </c>
      <c r="Y147" s="443">
        <f t="shared" si="328"/>
        <v>248.5891188380339</v>
      </c>
      <c r="AA147" s="217">
        <f t="shared" si="456"/>
        <v>1.4887305954252246</v>
      </c>
      <c r="AB147" s="173">
        <f t="shared" si="457"/>
        <v>1.0614290025526201</v>
      </c>
      <c r="AC147" s="173">
        <f t="shared" si="458"/>
        <v>0.27653182042005875</v>
      </c>
      <c r="AD147" s="173"/>
      <c r="AE147" s="173">
        <f t="shared" si="459"/>
        <v>0.95063450326009269</v>
      </c>
      <c r="AF147" s="545">
        <f t="shared" si="460"/>
        <v>583.8205936105735</v>
      </c>
      <c r="AG147" s="528">
        <f t="shared" si="461"/>
        <v>0.22181471742735498</v>
      </c>
      <c r="AI147" s="173">
        <f t="shared" si="462"/>
        <v>1.7220446962258962</v>
      </c>
      <c r="AJ147" s="173">
        <f t="shared" si="463"/>
        <v>1.9918408127837681</v>
      </c>
      <c r="AK147" s="173">
        <f t="shared" si="464"/>
        <v>1.687783318111433</v>
      </c>
      <c r="AM147" s="545">
        <f t="shared" si="465"/>
        <v>370</v>
      </c>
      <c r="AN147" s="460">
        <f t="shared" si="466"/>
        <v>248.5891188380339</v>
      </c>
      <c r="AP147" s="460">
        <f t="shared" si="467"/>
        <v>370</v>
      </c>
      <c r="AQ147" s="460">
        <f t="shared" si="468"/>
        <v>248.5891188380339</v>
      </c>
      <c r="AS147" s="5">
        <f t="shared" si="439"/>
        <v>4.0227022191246489</v>
      </c>
      <c r="AT147" s="5">
        <f t="shared" si="469"/>
        <v>2.4025677678992414</v>
      </c>
      <c r="AU147" s="5">
        <f t="shared" si="343"/>
        <v>1.6201344512254074</v>
      </c>
      <c r="AV147" s="5"/>
      <c r="AW147" s="173">
        <f t="shared" si="344"/>
        <v>0.59725220437073434</v>
      </c>
      <c r="AX147" s="173">
        <f t="shared" si="435"/>
        <v>5.9175593032105054</v>
      </c>
      <c r="AY147" s="173">
        <f t="shared" si="436"/>
        <v>0.4011047482965337</v>
      </c>
      <c r="AZ147" s="173">
        <f t="shared" si="440"/>
        <v>14.75315195928745</v>
      </c>
      <c r="BA147" s="460">
        <f t="shared" si="433"/>
        <v>5.420427281236095</v>
      </c>
      <c r="BB147" s="5">
        <f t="shared" si="434"/>
        <v>0.82348398361719299</v>
      </c>
      <c r="BD147" s="173">
        <f t="shared" si="441"/>
        <v>0.8887362202877952</v>
      </c>
      <c r="BE147" s="173">
        <f t="shared" si="437"/>
        <v>0.72981130340127254</v>
      </c>
      <c r="BG147" s="528">
        <f t="shared" si="347"/>
        <v>1.5797041385028729E-2</v>
      </c>
      <c r="BH147" s="528">
        <f t="shared" si="470"/>
        <v>0.24862182253530207</v>
      </c>
      <c r="BI147" s="528">
        <f t="shared" si="471"/>
        <v>6.1827594517573144E-2</v>
      </c>
      <c r="BJ147" s="528">
        <f t="shared" si="350"/>
        <v>1.7827259193896924E-2</v>
      </c>
      <c r="BK147">
        <f t="shared" si="351"/>
        <v>4.4768520300416479E-3</v>
      </c>
      <c r="BL147" s="460">
        <f t="shared" si="427"/>
        <v>66.304446547614788</v>
      </c>
      <c r="BM147" s="528">
        <f t="shared" si="472"/>
        <v>0.28759076084486745</v>
      </c>
      <c r="BN147" s="460">
        <f t="shared" si="353"/>
        <v>287.59076084486748</v>
      </c>
      <c r="BO147" s="528">
        <f t="shared" si="354"/>
        <v>0.25900000000000001</v>
      </c>
      <c r="BR147" s="460">
        <f t="shared" si="355"/>
        <v>259</v>
      </c>
      <c r="BS147" s="528">
        <f t="shared" si="356"/>
        <v>2.3695562077543093E-2</v>
      </c>
      <c r="BT147" s="528">
        <f t="shared" si="357"/>
        <v>1.5978736157167928E-2</v>
      </c>
      <c r="BU147" s="528">
        <f t="shared" si="358"/>
        <v>0.27277958145640224</v>
      </c>
      <c r="BV147" s="528"/>
      <c r="BW147" s="528">
        <f t="shared" si="359"/>
        <v>4.9312994193420881E-3</v>
      </c>
      <c r="BX147" s="460">
        <f t="shared" si="360"/>
        <v>317.38517911045534</v>
      </c>
      <c r="BY147" s="173">
        <f t="shared" si="361"/>
        <v>0.92493574877229801</v>
      </c>
      <c r="BZ147" s="5">
        <f t="shared" si="362"/>
        <v>6.0679999999999996</v>
      </c>
      <c r="CA147" s="173">
        <f t="shared" si="363"/>
        <v>0.86773284039758514</v>
      </c>
      <c r="CB147" s="5">
        <f t="shared" si="364"/>
        <v>86.773284039758508</v>
      </c>
      <c r="CE147" s="562">
        <f t="shared" si="473"/>
        <v>-50</v>
      </c>
      <c r="CF147">
        <f t="shared" si="474"/>
        <v>-50</v>
      </c>
      <c r="CG147" s="173">
        <f t="shared" si="475"/>
        <v>0.35964276845781235</v>
      </c>
      <c r="CI147" s="170">
        <v>37</v>
      </c>
      <c r="CJ147" s="217">
        <f t="shared" si="428"/>
        <v>0.37</v>
      </c>
      <c r="CK147" s="217"/>
      <c r="CL147" s="217">
        <f t="shared" si="368"/>
        <v>6.0679999999999996</v>
      </c>
      <c r="CM147" s="541">
        <f t="shared" si="369"/>
        <v>10</v>
      </c>
      <c r="CN147" s="443">
        <f t="shared" si="370"/>
        <v>16.799999999999997</v>
      </c>
      <c r="CO147" s="443">
        <f t="shared" si="371"/>
        <v>26.799999999999997</v>
      </c>
      <c r="CP147" s="443"/>
      <c r="CQ147" s="217">
        <f t="shared" si="372"/>
        <v>0.62686567164179097</v>
      </c>
      <c r="CR147" s="172">
        <f t="shared" si="429"/>
        <v>20.973880597014926</v>
      </c>
      <c r="CS147" s="172">
        <f t="shared" si="373"/>
        <v>6.0679999999999996</v>
      </c>
      <c r="CT147" s="217">
        <f t="shared" si="374"/>
        <v>1.2788951583545687</v>
      </c>
      <c r="CU147" s="217">
        <f t="shared" si="375"/>
        <v>16.399999999999999</v>
      </c>
      <c r="CV147" s="217"/>
      <c r="CW147" s="172">
        <f t="shared" si="376"/>
        <v>80.139755004017402</v>
      </c>
      <c r="CX147" s="172">
        <f t="shared" si="377"/>
        <v>16.399999999999999</v>
      </c>
      <c r="CY147" s="217">
        <f t="shared" si="378"/>
        <v>1.9359809523809524</v>
      </c>
      <c r="CZ147" s="217">
        <f t="shared" si="379"/>
        <v>2.3231771428571428</v>
      </c>
      <c r="DA147" s="217">
        <f t="shared" si="380"/>
        <v>1.3828435374149664</v>
      </c>
      <c r="DB147" s="197">
        <f t="shared" si="381"/>
        <v>350</v>
      </c>
      <c r="DC147" s="443">
        <f t="shared" si="382"/>
        <v>269.83119800793355</v>
      </c>
      <c r="DE147" s="217">
        <f t="shared" si="383"/>
        <v>1.4925373134328355</v>
      </c>
      <c r="DF147" s="173">
        <f t="shared" si="384"/>
        <v>1.0660980810234544</v>
      </c>
      <c r="DG147" s="173">
        <f t="shared" si="385"/>
        <v>0.27845845399866342</v>
      </c>
      <c r="DH147" s="173"/>
      <c r="DI147" s="173">
        <f t="shared" si="386"/>
        <v>0.95238095238095266</v>
      </c>
      <c r="DJ147" s="545">
        <f t="shared" si="387"/>
        <v>582.74999999999977</v>
      </c>
      <c r="DK147" s="528">
        <f t="shared" si="388"/>
        <v>0.22222222222222232</v>
      </c>
      <c r="DM147" s="173">
        <f t="shared" si="389"/>
        <v>1.7204650534085253</v>
      </c>
      <c r="DN147" s="173">
        <f t="shared" si="390"/>
        <v>1.9359809523809524</v>
      </c>
      <c r="DO147" s="173">
        <f t="shared" si="391"/>
        <v>1.6464056437389769</v>
      </c>
      <c r="DQ147" s="545">
        <f t="shared" si="392"/>
        <v>370</v>
      </c>
      <c r="DR147" s="460">
        <f t="shared" si="393"/>
        <v>269.83119800793355</v>
      </c>
      <c r="DT147">
        <f t="shared" si="430"/>
        <v>370</v>
      </c>
      <c r="DU147">
        <f t="shared" si="431"/>
        <v>269.83119800793355</v>
      </c>
      <c r="DW147" s="5">
        <f t="shared" si="394"/>
        <v>3.706020680272109</v>
      </c>
      <c r="DX147" s="5">
        <f t="shared" si="395"/>
        <v>2.3231771428571428</v>
      </c>
      <c r="DY147" s="5">
        <f t="shared" si="396"/>
        <v>1.3828435374149661</v>
      </c>
      <c r="DZ147" s="5"/>
      <c r="EA147" s="173">
        <f t="shared" si="397"/>
        <v>0.62686567164179097</v>
      </c>
      <c r="EB147" s="173">
        <f t="shared" si="398"/>
        <v>6.0679999999999996</v>
      </c>
      <c r="EC147" s="173">
        <f t="shared" si="399"/>
        <v>0.36119047619047628</v>
      </c>
      <c r="ED147" s="173">
        <f t="shared" si="400"/>
        <v>16.799999999999994</v>
      </c>
      <c r="EE147" s="460">
        <f t="shared" si="401"/>
        <v>5.2413142857142869</v>
      </c>
      <c r="EF147" s="5">
        <f t="shared" si="402"/>
        <v>0.69925788208616779</v>
      </c>
      <c r="EH147" s="173">
        <f t="shared" si="403"/>
        <v>0.88496826380187654</v>
      </c>
      <c r="EI147" s="173">
        <f t="shared" si="404"/>
        <v>0.68276783857382928</v>
      </c>
      <c r="EK147" s="528">
        <f t="shared" si="405"/>
        <v>1.5663376558730156E-2</v>
      </c>
      <c r="EL147" s="528">
        <f t="shared" si="406"/>
        <v>0.28000000000000003</v>
      </c>
      <c r="EM147" s="528">
        <f t="shared" si="407"/>
        <v>3.3728899750991692E-2</v>
      </c>
      <c r="EN147" s="528">
        <f t="shared" si="408"/>
        <v>1.9380355965721817E-2</v>
      </c>
      <c r="EO147">
        <f t="shared" si="409"/>
        <v>4.4999999999999997E-3</v>
      </c>
      <c r="EP147" s="460">
        <f t="shared" si="410"/>
        <v>38.228899750991687</v>
      </c>
      <c r="EQ147" s="460"/>
      <c r="ER147" s="460">
        <f t="shared" si="432"/>
        <v>353.2726322754437</v>
      </c>
      <c r="ES147" s="528">
        <f t="shared" si="411"/>
        <v>0.25900000000000001</v>
      </c>
      <c r="EV147" s="460">
        <f t="shared" si="412"/>
        <v>259</v>
      </c>
      <c r="EW147" s="528">
        <f t="shared" si="413"/>
        <v>2.3495064838095232E-2</v>
      </c>
      <c r="EX147" s="528">
        <f t="shared" si="414"/>
        <v>1.3985157641723358E-2</v>
      </c>
      <c r="EY147" s="528">
        <f t="shared" si="415"/>
        <v>0.31185528502698251</v>
      </c>
      <c r="EZ147" s="528"/>
      <c r="FA147" s="528">
        <f t="shared" si="416"/>
        <v>5.0566666666666668E-3</v>
      </c>
      <c r="FB147" s="460">
        <f t="shared" si="417"/>
        <v>354.39217417346777</v>
      </c>
      <c r="FC147" s="173">
        <f t="shared" si="418"/>
        <v>0.96666480644891162</v>
      </c>
      <c r="FD147" s="5">
        <f t="shared" si="419"/>
        <v>6.0679999999999996</v>
      </c>
      <c r="FE147" s="173">
        <f t="shared" si="420"/>
        <v>0.86258551998629163</v>
      </c>
      <c r="FF147" s="5">
        <f t="shared" si="421"/>
        <v>86.258551998629159</v>
      </c>
      <c r="FI147" s="562">
        <f t="shared" si="422"/>
        <v>-50</v>
      </c>
      <c r="FJ147">
        <f t="shared" si="423"/>
        <v>-50</v>
      </c>
      <c r="FL147">
        <f t="shared" si="476"/>
        <v>0.37313432835820903</v>
      </c>
    </row>
    <row r="148" spans="5:168">
      <c r="E148" s="170">
        <v>38</v>
      </c>
      <c r="F148" s="217">
        <f t="shared" si="477"/>
        <v>0.38</v>
      </c>
      <c r="G148" s="217"/>
      <c r="H148" s="217">
        <f t="shared" si="442"/>
        <v>6.2319999999999993</v>
      </c>
      <c r="I148" s="541">
        <f t="shared" si="443"/>
        <v>9.9472219010832976</v>
      </c>
      <c r="J148" s="172">
        <f t="shared" si="444"/>
        <v>16.831666859350019</v>
      </c>
      <c r="K148" s="172">
        <f t="shared" si="445"/>
        <v>26.778888760433318</v>
      </c>
      <c r="L148" s="443"/>
      <c r="M148" s="217">
        <f t="shared" si="446"/>
        <v>0.62852692916789166</v>
      </c>
      <c r="N148" s="172">
        <f t="shared" si="447"/>
        <v>20.918473994572103</v>
      </c>
      <c r="O148" s="172">
        <f t="shared" si="438"/>
        <v>6.2319999999999993</v>
      </c>
      <c r="P148" s="217">
        <f t="shared" si="448"/>
        <v>1.275516706986104</v>
      </c>
      <c r="Q148" s="217">
        <f t="shared" si="449"/>
        <v>16.399999999999999</v>
      </c>
      <c r="R148" s="217"/>
      <c r="S148" s="172">
        <f t="shared" si="450"/>
        <v>77.360279217764869</v>
      </c>
      <c r="T148" s="172">
        <f t="shared" si="451"/>
        <v>16.399999999999999</v>
      </c>
      <c r="U148" s="217">
        <f t="shared" si="452"/>
        <v>2.0459087338352204</v>
      </c>
      <c r="V148" s="217">
        <f t="shared" si="453"/>
        <v>2.4681167315015804</v>
      </c>
      <c r="W148" s="217">
        <f t="shared" si="454"/>
        <v>1.458613992967938</v>
      </c>
      <c r="X148" s="197">
        <f t="shared" si="455"/>
        <v>350</v>
      </c>
      <c r="Y148" s="443">
        <f t="shared" si="328"/>
        <v>242.32257124761821</v>
      </c>
      <c r="AA148" s="217">
        <f t="shared" si="456"/>
        <v>1.4886311120896067</v>
      </c>
      <c r="AB148" s="173">
        <f t="shared" si="457"/>
        <v>1.0613074447318946</v>
      </c>
      <c r="AC148" s="173">
        <f t="shared" si="458"/>
        <v>0.27648167430103837</v>
      </c>
      <c r="AD148" s="173"/>
      <c r="AE148" s="173">
        <f t="shared" si="459"/>
        <v>0.9505891563622515</v>
      </c>
      <c r="AF148" s="545">
        <f t="shared" si="460"/>
        <v>599.62813186434437</v>
      </c>
      <c r="AG148" s="528">
        <f t="shared" si="461"/>
        <v>0.22180413648452538</v>
      </c>
      <c r="AI148" s="173">
        <f t="shared" si="462"/>
        <v>1.7452020495050622</v>
      </c>
      <c r="AJ148" s="173">
        <f t="shared" si="463"/>
        <v>2.0459087338352204</v>
      </c>
      <c r="AK148" s="173">
        <f t="shared" si="464"/>
        <v>1.7278336300013977</v>
      </c>
      <c r="AM148" s="545">
        <f t="shared" si="465"/>
        <v>380</v>
      </c>
      <c r="AN148" s="460">
        <f t="shared" si="466"/>
        <v>242.32257124761821</v>
      </c>
      <c r="AP148" s="460">
        <f t="shared" si="467"/>
        <v>380</v>
      </c>
      <c r="AQ148" s="460">
        <f t="shared" si="468"/>
        <v>242.32257124761821</v>
      </c>
      <c r="AS148" s="5">
        <f t="shared" si="439"/>
        <v>4.1267307244695184</v>
      </c>
      <c r="AT148" s="5">
        <f t="shared" si="469"/>
        <v>2.4681167315015804</v>
      </c>
      <c r="AU148" s="5">
        <f t="shared" si="343"/>
        <v>1.658613992967938</v>
      </c>
      <c r="AV148" s="5"/>
      <c r="AW148" s="173">
        <f t="shared" si="344"/>
        <v>0.59808039251673029</v>
      </c>
      <c r="AX148" s="173">
        <f t="shared" si="435"/>
        <v>6.0857993796839791</v>
      </c>
      <c r="AY148" s="173">
        <f t="shared" si="436"/>
        <v>0.41114541762482254</v>
      </c>
      <c r="AZ148" s="173">
        <f t="shared" si="440"/>
        <v>14.802060581974864</v>
      </c>
      <c r="BA148" s="460">
        <f t="shared" si="433"/>
        <v>5.7188070607963457</v>
      </c>
      <c r="BB148" s="5">
        <f t="shared" si="434"/>
        <v>0.86594382054304164</v>
      </c>
      <c r="BD148" s="173">
        <f t="shared" si="441"/>
        <v>0.91349339453793676</v>
      </c>
      <c r="BE148" s="173">
        <f t="shared" si="437"/>
        <v>0.74885067527732285</v>
      </c>
      <c r="BG148" s="528">
        <f t="shared" si="347"/>
        <v>1.6689403637288852E-2</v>
      </c>
      <c r="BH148" s="528">
        <f t="shared" si="470"/>
        <v>0.24892811369047665</v>
      </c>
      <c r="BI148" s="528">
        <f t="shared" si="471"/>
        <v>6.0260909696028146E-2</v>
      </c>
      <c r="BJ148" s="528">
        <f t="shared" si="350"/>
        <v>1.7377166845211216E-2</v>
      </c>
      <c r="BK148">
        <f t="shared" si="351"/>
        <v>4.4762498554874837E-3</v>
      </c>
      <c r="BL148" s="460">
        <f t="shared" si="427"/>
        <v>64.737159551515632</v>
      </c>
      <c r="BM148" s="528">
        <f t="shared" si="472"/>
        <v>0.28864541836212038</v>
      </c>
      <c r="BN148" s="460">
        <f t="shared" si="353"/>
        <v>288.64541836212038</v>
      </c>
      <c r="BO148" s="528">
        <f t="shared" si="354"/>
        <v>0.26599999999999996</v>
      </c>
      <c r="BR148" s="460">
        <f t="shared" si="355"/>
        <v>265.99999999999994</v>
      </c>
      <c r="BS148" s="528">
        <f t="shared" si="356"/>
        <v>2.5034105455933275E-2</v>
      </c>
      <c r="BT148" s="528">
        <f t="shared" si="357"/>
        <v>1.6823320015899073E-2</v>
      </c>
      <c r="BU148" s="528">
        <f t="shared" si="358"/>
        <v>0.27363416227172982</v>
      </c>
      <c r="BV148" s="528"/>
      <c r="BW148" s="528">
        <f t="shared" si="359"/>
        <v>5.0714994830699826E-3</v>
      </c>
      <c r="BX148" s="460">
        <f t="shared" si="360"/>
        <v>320.56308722663221</v>
      </c>
      <c r="BY148" s="173">
        <f t="shared" si="361"/>
        <v>0.93429493095112448</v>
      </c>
      <c r="BZ148" s="5">
        <f t="shared" si="362"/>
        <v>6.2319999999999993</v>
      </c>
      <c r="CA148" s="173">
        <f t="shared" si="363"/>
        <v>0.86962650296237209</v>
      </c>
      <c r="CB148" s="5">
        <f t="shared" si="364"/>
        <v>86.962650296237214</v>
      </c>
      <c r="CE148" s="562">
        <f t="shared" si="473"/>
        <v>-50</v>
      </c>
      <c r="CF148">
        <f t="shared" si="474"/>
        <v>-50</v>
      </c>
      <c r="CG148" s="173">
        <f t="shared" si="475"/>
        <v>0.35999780950782279</v>
      </c>
      <c r="CI148" s="170">
        <v>38</v>
      </c>
      <c r="CJ148" s="217">
        <f t="shared" si="428"/>
        <v>0.38</v>
      </c>
      <c r="CK148" s="217"/>
      <c r="CL148" s="217">
        <f t="shared" si="368"/>
        <v>6.2319999999999993</v>
      </c>
      <c r="CM148" s="541">
        <f t="shared" si="369"/>
        <v>10</v>
      </c>
      <c r="CN148" s="443">
        <f t="shared" si="370"/>
        <v>16.799999999999997</v>
      </c>
      <c r="CO148" s="443">
        <f t="shared" si="371"/>
        <v>26.799999999999997</v>
      </c>
      <c r="CP148" s="443"/>
      <c r="CQ148" s="217">
        <f t="shared" si="372"/>
        <v>0.62686567164179097</v>
      </c>
      <c r="CR148" s="172">
        <f t="shared" si="429"/>
        <v>20.973880597014926</v>
      </c>
      <c r="CS148" s="172">
        <f t="shared" si="373"/>
        <v>6.2319999999999993</v>
      </c>
      <c r="CT148" s="217">
        <f t="shared" si="374"/>
        <v>1.2788951583545687</v>
      </c>
      <c r="CU148" s="217">
        <f t="shared" si="375"/>
        <v>16.399999999999999</v>
      </c>
      <c r="CV148" s="217"/>
      <c r="CW148" s="172">
        <f t="shared" si="376"/>
        <v>77.770468464733355</v>
      </c>
      <c r="CX148" s="172">
        <f t="shared" si="377"/>
        <v>16.399999999999999</v>
      </c>
      <c r="CY148" s="217">
        <f t="shared" si="378"/>
        <v>1.9883047619047618</v>
      </c>
      <c r="CZ148" s="217">
        <f t="shared" si="379"/>
        <v>2.3859657142857138</v>
      </c>
      <c r="DA148" s="217">
        <f t="shared" si="380"/>
        <v>1.4202176870748302</v>
      </c>
      <c r="DB148" s="197">
        <f t="shared" si="381"/>
        <v>350</v>
      </c>
      <c r="DC148" s="443">
        <f t="shared" si="382"/>
        <v>262.73037700772477</v>
      </c>
      <c r="DE148" s="217">
        <f t="shared" si="383"/>
        <v>1.4925373134328355</v>
      </c>
      <c r="DF148" s="173">
        <f t="shared" si="384"/>
        <v>1.0660980810234544</v>
      </c>
      <c r="DG148" s="173">
        <f t="shared" si="385"/>
        <v>0.27845845399866342</v>
      </c>
      <c r="DH148" s="173"/>
      <c r="DI148" s="173">
        <f t="shared" si="386"/>
        <v>0.95238095238095266</v>
      </c>
      <c r="DJ148" s="545">
        <f t="shared" si="387"/>
        <v>598.49999999999977</v>
      </c>
      <c r="DK148" s="528">
        <f t="shared" si="388"/>
        <v>0.22222222222222232</v>
      </c>
      <c r="DM148" s="173">
        <f t="shared" si="389"/>
        <v>1.7435595774162691</v>
      </c>
      <c r="DN148" s="173">
        <f t="shared" si="390"/>
        <v>1.9883047619047618</v>
      </c>
      <c r="DO148" s="173">
        <f t="shared" si="391"/>
        <v>1.6851640211640209</v>
      </c>
      <c r="DQ148" s="545">
        <f t="shared" si="392"/>
        <v>380</v>
      </c>
      <c r="DR148" s="460">
        <f t="shared" si="393"/>
        <v>262.73037700772477</v>
      </c>
      <c r="DT148">
        <f t="shared" si="430"/>
        <v>380</v>
      </c>
      <c r="DU148">
        <f t="shared" si="431"/>
        <v>262.73037700772477</v>
      </c>
      <c r="DW148" s="5">
        <f t="shared" si="394"/>
        <v>3.8061834013605442</v>
      </c>
      <c r="DX148" s="5">
        <f t="shared" si="395"/>
        <v>2.3859657142857138</v>
      </c>
      <c r="DY148" s="5">
        <f t="shared" si="396"/>
        <v>1.4202176870748304</v>
      </c>
      <c r="DZ148" s="5"/>
      <c r="EA148" s="173">
        <f t="shared" si="397"/>
        <v>0.62686567164179097</v>
      </c>
      <c r="EB148" s="173">
        <f t="shared" si="398"/>
        <v>6.2319999999999993</v>
      </c>
      <c r="EC148" s="173">
        <f t="shared" si="399"/>
        <v>0.37095238095238103</v>
      </c>
      <c r="ED148" s="173">
        <f t="shared" si="400"/>
        <v>16.799999999999994</v>
      </c>
      <c r="EE148" s="460">
        <f t="shared" si="401"/>
        <v>5.5284571428571425</v>
      </c>
      <c r="EF148" s="5">
        <f t="shared" si="402"/>
        <v>0.7375663854875284</v>
      </c>
      <c r="EH148" s="173">
        <f t="shared" si="403"/>
        <v>0.90888632498571098</v>
      </c>
      <c r="EI148" s="173">
        <f t="shared" si="404"/>
        <v>0.70122102340014902</v>
      </c>
      <c r="EK148" s="528">
        <f t="shared" si="405"/>
        <v>1.6521487034920627E-2</v>
      </c>
      <c r="EL148" s="528">
        <f t="shared" si="406"/>
        <v>0.27999999999999992</v>
      </c>
      <c r="EM148" s="528">
        <f t="shared" si="407"/>
        <v>3.2841297125965598E-2</v>
      </c>
      <c r="EN148" s="528">
        <f t="shared" si="408"/>
        <v>1.8870346598202824E-2</v>
      </c>
      <c r="EO148">
        <f t="shared" si="409"/>
        <v>4.4999999999999997E-3</v>
      </c>
      <c r="EP148" s="460">
        <f t="shared" si="410"/>
        <v>37.341297125965596</v>
      </c>
      <c r="EQ148" s="460"/>
      <c r="ER148" s="460">
        <f t="shared" si="432"/>
        <v>352.73313075908897</v>
      </c>
      <c r="ES148" s="528">
        <f t="shared" si="411"/>
        <v>0.26599999999999996</v>
      </c>
      <c r="EV148" s="460">
        <f t="shared" si="412"/>
        <v>265.99999999999994</v>
      </c>
      <c r="EW148" s="528">
        <f t="shared" si="413"/>
        <v>2.4782230552380942E-2</v>
      </c>
      <c r="EX148" s="528">
        <f t="shared" si="414"/>
        <v>1.4751327709750569E-2</v>
      </c>
      <c r="EY148" s="528">
        <f t="shared" si="415"/>
        <v>0.31185528502698295</v>
      </c>
      <c r="EZ148" s="528"/>
      <c r="FA148" s="528">
        <f t="shared" si="416"/>
        <v>5.1933333333333337E-3</v>
      </c>
      <c r="FB148" s="460">
        <f t="shared" si="417"/>
        <v>356.58217662244778</v>
      </c>
      <c r="FC148" s="173">
        <f t="shared" si="418"/>
        <v>0.9753153073815366</v>
      </c>
      <c r="FD148" s="5">
        <f t="shared" si="419"/>
        <v>6.2319999999999993</v>
      </c>
      <c r="FE148" s="173">
        <f t="shared" si="420"/>
        <v>0.86467703079638469</v>
      </c>
      <c r="FF148" s="5">
        <f t="shared" si="421"/>
        <v>86.467703079638468</v>
      </c>
      <c r="FI148" s="562">
        <f t="shared" si="422"/>
        <v>-50</v>
      </c>
      <c r="FJ148">
        <f t="shared" si="423"/>
        <v>-50</v>
      </c>
      <c r="FL148">
        <f t="shared" si="476"/>
        <v>0.37313432835820903</v>
      </c>
    </row>
    <row r="149" spans="5:168">
      <c r="E149" s="170">
        <v>39</v>
      </c>
      <c r="F149" s="217">
        <f t="shared" si="477"/>
        <v>0.39</v>
      </c>
      <c r="G149" s="217"/>
      <c r="H149" s="217">
        <f t="shared" si="442"/>
        <v>6.3959999999999999</v>
      </c>
      <c r="I149" s="541">
        <f t="shared" si="443"/>
        <v>9.945883637998028</v>
      </c>
      <c r="J149" s="172">
        <f t="shared" si="444"/>
        <v>16.832469817201179</v>
      </c>
      <c r="K149" s="172">
        <f t="shared" si="445"/>
        <v>26.778353455199209</v>
      </c>
      <c r="L149" s="443"/>
      <c r="M149" s="217">
        <f t="shared" si="446"/>
        <v>0.62856949512135663</v>
      </c>
      <c r="N149" s="172">
        <f t="shared" si="447"/>
        <v>20.917076177784843</v>
      </c>
      <c r="O149" s="172">
        <f t="shared" si="438"/>
        <v>6.3959999999999999</v>
      </c>
      <c r="P149" s="217">
        <f t="shared" si="448"/>
        <v>1.2754314742551733</v>
      </c>
      <c r="Q149" s="217">
        <f t="shared" si="449"/>
        <v>16.399999999999999</v>
      </c>
      <c r="R149" s="217"/>
      <c r="S149" s="172">
        <f t="shared" si="450"/>
        <v>75.114352231877305</v>
      </c>
      <c r="T149" s="172">
        <f t="shared" si="451"/>
        <v>16.399999999999999</v>
      </c>
      <c r="U149" s="217">
        <f t="shared" si="452"/>
        <v>2.0999890686276497</v>
      </c>
      <c r="V149" s="217">
        <f t="shared" si="453"/>
        <v>2.533698335988595</v>
      </c>
      <c r="W149" s="217">
        <f t="shared" si="454"/>
        <v>1.4970987084604741</v>
      </c>
      <c r="X149" s="197">
        <f t="shared" si="455"/>
        <v>350</v>
      </c>
      <c r="Y149" s="443">
        <f t="shared" si="328"/>
        <v>236.36208248562281</v>
      </c>
      <c r="AA149" s="217">
        <f t="shared" si="456"/>
        <v>1.4885315984267444</v>
      </c>
      <c r="AB149" s="173">
        <f t="shared" si="457"/>
        <v>1.0611858732024748</v>
      </c>
      <c r="AC149" s="173">
        <f t="shared" si="458"/>
        <v>0.27643152321154302</v>
      </c>
      <c r="AD149" s="173"/>
      <c r="AE149" s="173">
        <f t="shared" si="459"/>
        <v>0.95054381048998093</v>
      </c>
      <c r="AF149" s="545">
        <f t="shared" si="460"/>
        <v>615.43717769141801</v>
      </c>
      <c r="AG149" s="528">
        <f t="shared" si="461"/>
        <v>0.22179355578099558</v>
      </c>
      <c r="AI149" s="173">
        <f t="shared" si="462"/>
        <v>1.7680582877577284</v>
      </c>
      <c r="AJ149" s="173">
        <f t="shared" si="463"/>
        <v>2.0999890686276497</v>
      </c>
      <c r="AK149" s="173">
        <f t="shared" si="464"/>
        <v>1.767893137255049</v>
      </c>
      <c r="AM149" s="545">
        <f t="shared" si="465"/>
        <v>390</v>
      </c>
      <c r="AN149" s="460">
        <f t="shared" si="466"/>
        <v>236.36208248562281</v>
      </c>
      <c r="AP149" s="460">
        <f t="shared" si="467"/>
        <v>390</v>
      </c>
      <c r="AQ149" s="460">
        <f t="shared" si="468"/>
        <v>236.36208248562281</v>
      </c>
      <c r="AS149" s="5">
        <f t="shared" si="439"/>
        <v>4.2307970444490692</v>
      </c>
      <c r="AT149" s="5">
        <f t="shared" si="469"/>
        <v>2.533698335988595</v>
      </c>
      <c r="AU149" s="5">
        <f t="shared" si="343"/>
        <v>1.6970987084604743</v>
      </c>
      <c r="AV149" s="5"/>
      <c r="AW149" s="173">
        <f t="shared" si="344"/>
        <v>0.59887021508462146</v>
      </c>
      <c r="AX149" s="173">
        <f t="shared" si="435"/>
        <v>6.254075591938328</v>
      </c>
      <c r="AY149" s="173">
        <f t="shared" si="436"/>
        <v>0.42118408171162763</v>
      </c>
      <c r="AZ149" s="173">
        <f t="shared" si="440"/>
        <v>14.848793825547068</v>
      </c>
      <c r="BA149" s="460">
        <f t="shared" si="433"/>
        <v>6.0252582380216602</v>
      </c>
      <c r="BB149" s="5">
        <f t="shared" si="434"/>
        <v>0.90947536139836349</v>
      </c>
      <c r="BD149" s="173">
        <f t="shared" si="441"/>
        <v>0.93825905331929138</v>
      </c>
      <c r="BE149" s="173">
        <f t="shared" si="437"/>
        <v>0.76788973491180912</v>
      </c>
      <c r="BG149" s="528">
        <f t="shared" si="347"/>
        <v>1.7606601022712259E-2</v>
      </c>
      <c r="BH149" s="528">
        <f t="shared" si="470"/>
        <v>0.24921833111895603</v>
      </c>
      <c r="BI149" s="528">
        <f t="shared" si="471"/>
        <v>5.8770744220922405E-2</v>
      </c>
      <c r="BJ149" s="528">
        <f t="shared" si="350"/>
        <v>1.6949057263628609E-2</v>
      </c>
      <c r="BK149">
        <f t="shared" si="351"/>
        <v>4.4756476370991123E-3</v>
      </c>
      <c r="BL149" s="460">
        <f t="shared" si="427"/>
        <v>63.246391858021511</v>
      </c>
      <c r="BM149" s="528">
        <f t="shared" si="472"/>
        <v>0.28973984861963958</v>
      </c>
      <c r="BN149" s="460">
        <f t="shared" si="353"/>
        <v>289.73984861963959</v>
      </c>
      <c r="BO149" s="528">
        <f t="shared" si="354"/>
        <v>0.27299999999999996</v>
      </c>
      <c r="BR149" s="460">
        <f t="shared" si="355"/>
        <v>272.99999999999994</v>
      </c>
      <c r="BS149" s="528">
        <f t="shared" si="356"/>
        <v>2.6409901534068386E-2</v>
      </c>
      <c r="BT149" s="528">
        <f t="shared" si="357"/>
        <v>1.7689639349487855E-2</v>
      </c>
      <c r="BU149" s="528">
        <f t="shared" si="358"/>
        <v>0.27444612848323158</v>
      </c>
      <c r="BV149" s="528"/>
      <c r="BW149" s="528">
        <f t="shared" si="359"/>
        <v>5.2117296599486062E-3</v>
      </c>
      <c r="BX149" s="460">
        <f t="shared" si="360"/>
        <v>323.75739902673638</v>
      </c>
      <c r="BY149" s="173">
        <f t="shared" si="361"/>
        <v>0.94377778029005488</v>
      </c>
      <c r="BZ149" s="5">
        <f t="shared" si="362"/>
        <v>6.3959999999999999</v>
      </c>
      <c r="CA149" s="173">
        <f t="shared" si="363"/>
        <v>0.87141602804046225</v>
      </c>
      <c r="CB149" s="5">
        <f t="shared" si="364"/>
        <v>87.141602804046229</v>
      </c>
      <c r="CE149" s="562">
        <f t="shared" si="473"/>
        <v>-50</v>
      </c>
      <c r="CF149">
        <f t="shared" si="474"/>
        <v>-50</v>
      </c>
      <c r="CG149" s="173">
        <f t="shared" si="475"/>
        <v>0.36033464332449927</v>
      </c>
      <c r="CI149" s="170">
        <v>39</v>
      </c>
      <c r="CJ149" s="217">
        <f t="shared" si="428"/>
        <v>0.39</v>
      </c>
      <c r="CK149" s="217"/>
      <c r="CL149" s="217">
        <f t="shared" si="368"/>
        <v>6.3959999999999999</v>
      </c>
      <c r="CM149" s="541">
        <f t="shared" si="369"/>
        <v>10</v>
      </c>
      <c r="CN149" s="443">
        <f t="shared" si="370"/>
        <v>16.799999999999997</v>
      </c>
      <c r="CO149" s="443">
        <f t="shared" si="371"/>
        <v>26.799999999999997</v>
      </c>
      <c r="CP149" s="443"/>
      <c r="CQ149" s="217">
        <f t="shared" si="372"/>
        <v>0.62686567164179097</v>
      </c>
      <c r="CR149" s="172">
        <f t="shared" si="429"/>
        <v>20.973880597014926</v>
      </c>
      <c r="CS149" s="172">
        <f t="shared" si="373"/>
        <v>6.3959999999999999</v>
      </c>
      <c r="CT149" s="217">
        <f t="shared" si="374"/>
        <v>1.2788951583545687</v>
      </c>
      <c r="CU149" s="217">
        <f t="shared" si="375"/>
        <v>16.399999999999999</v>
      </c>
      <c r="CV149" s="217"/>
      <c r="CW149" s="172">
        <f t="shared" si="376"/>
        <v>75.522770586409678</v>
      </c>
      <c r="CX149" s="172">
        <f t="shared" si="377"/>
        <v>16.399999999999999</v>
      </c>
      <c r="CY149" s="217">
        <f t="shared" si="378"/>
        <v>2.0406285714285715</v>
      </c>
      <c r="CZ149" s="217">
        <f t="shared" si="379"/>
        <v>2.4487542857142857</v>
      </c>
      <c r="DA149" s="217">
        <f t="shared" si="380"/>
        <v>1.4575918367346943</v>
      </c>
      <c r="DB149" s="197">
        <f t="shared" si="381"/>
        <v>350</v>
      </c>
      <c r="DC149" s="443">
        <f t="shared" si="382"/>
        <v>255.99370067419335</v>
      </c>
      <c r="DE149" s="217">
        <f t="shared" si="383"/>
        <v>1.4925373134328355</v>
      </c>
      <c r="DF149" s="173">
        <f t="shared" si="384"/>
        <v>1.0660980810234544</v>
      </c>
      <c r="DG149" s="173">
        <f t="shared" si="385"/>
        <v>0.27845845399866342</v>
      </c>
      <c r="DH149" s="173"/>
      <c r="DI149" s="173">
        <f t="shared" si="386"/>
        <v>0.95238095238095266</v>
      </c>
      <c r="DJ149" s="545">
        <f t="shared" si="387"/>
        <v>614.24999999999977</v>
      </c>
      <c r="DK149" s="528">
        <f t="shared" si="388"/>
        <v>0.22222222222222232</v>
      </c>
      <c r="DM149" s="173">
        <f t="shared" si="389"/>
        <v>1.7663521732655691</v>
      </c>
      <c r="DN149" s="173">
        <f t="shared" si="390"/>
        <v>2.0406285714285715</v>
      </c>
      <c r="DO149" s="173">
        <f t="shared" si="391"/>
        <v>1.7239223985890653</v>
      </c>
      <c r="DQ149" s="545">
        <f t="shared" si="392"/>
        <v>390</v>
      </c>
      <c r="DR149" s="460">
        <f t="shared" si="393"/>
        <v>255.99370067419335</v>
      </c>
      <c r="DT149">
        <f t="shared" si="430"/>
        <v>390</v>
      </c>
      <c r="DU149">
        <f t="shared" si="431"/>
        <v>255.99370067419335</v>
      </c>
      <c r="DW149" s="5">
        <f t="shared" si="394"/>
        <v>3.9063461224489795</v>
      </c>
      <c r="DX149" s="5">
        <f t="shared" si="395"/>
        <v>2.4487542857142857</v>
      </c>
      <c r="DY149" s="5">
        <f t="shared" si="396"/>
        <v>1.4575918367346938</v>
      </c>
      <c r="DZ149" s="5"/>
      <c r="EA149" s="173">
        <f t="shared" si="397"/>
        <v>0.62686567164179108</v>
      </c>
      <c r="EB149" s="173">
        <f t="shared" si="398"/>
        <v>6.3959999999999999</v>
      </c>
      <c r="EC149" s="173">
        <f t="shared" si="399"/>
        <v>0.38071428571428567</v>
      </c>
      <c r="ED149" s="173">
        <f t="shared" si="400"/>
        <v>16.8</v>
      </c>
      <c r="EE149" s="460">
        <f t="shared" si="401"/>
        <v>5.8232571428571447</v>
      </c>
      <c r="EF149" s="5">
        <f t="shared" si="402"/>
        <v>0.77689644897959165</v>
      </c>
      <c r="EH149" s="173">
        <f t="shared" si="403"/>
        <v>0.93280438616954564</v>
      </c>
      <c r="EI149" s="173">
        <f t="shared" si="404"/>
        <v>0.71967420822646866</v>
      </c>
      <c r="EK149" s="528">
        <f t="shared" si="405"/>
        <v>1.7402480457142856E-2</v>
      </c>
      <c r="EL149" s="528">
        <f t="shared" si="406"/>
        <v>0.27999999999999997</v>
      </c>
      <c r="EM149" s="528">
        <f t="shared" si="407"/>
        <v>3.199921258427417E-2</v>
      </c>
      <c r="EN149" s="528">
        <f t="shared" si="408"/>
        <v>1.8386491557223262E-2</v>
      </c>
      <c r="EO149">
        <f t="shared" si="409"/>
        <v>4.4999999999999997E-3</v>
      </c>
      <c r="EP149" s="460">
        <f t="shared" si="410"/>
        <v>36.499212584274169</v>
      </c>
      <c r="EQ149" s="460"/>
      <c r="ER149" s="460">
        <f t="shared" si="432"/>
        <v>352.28818459864033</v>
      </c>
      <c r="ES149" s="528">
        <f t="shared" si="411"/>
        <v>0.27299999999999996</v>
      </c>
      <c r="EV149" s="460">
        <f t="shared" si="412"/>
        <v>272.99999999999994</v>
      </c>
      <c r="EW149" s="528">
        <f t="shared" si="413"/>
        <v>2.6103720685714284E-2</v>
      </c>
      <c r="EX149" s="528">
        <f t="shared" si="414"/>
        <v>1.5537928979591836E-2</v>
      </c>
      <c r="EY149" s="528">
        <f t="shared" si="415"/>
        <v>0.3118552850269834</v>
      </c>
      <c r="EZ149" s="528"/>
      <c r="FA149" s="528">
        <f t="shared" si="416"/>
        <v>5.3299999999999997E-3</v>
      </c>
      <c r="FB149" s="460">
        <f t="shared" si="417"/>
        <v>358.82693469228951</v>
      </c>
      <c r="FC149" s="173">
        <f t="shared" si="418"/>
        <v>0.98411511929092976</v>
      </c>
      <c r="FD149" s="5">
        <f t="shared" si="419"/>
        <v>6.3959999999999999</v>
      </c>
      <c r="FE149" s="173">
        <f t="shared" si="420"/>
        <v>0.8666531479002888</v>
      </c>
      <c r="FF149" s="5">
        <f t="shared" si="421"/>
        <v>86.665314790028873</v>
      </c>
      <c r="FI149" s="562">
        <f t="shared" si="422"/>
        <v>-50</v>
      </c>
      <c r="FJ149">
        <f t="shared" si="423"/>
        <v>-50</v>
      </c>
      <c r="FL149">
        <f t="shared" si="476"/>
        <v>0.37313432835820892</v>
      </c>
    </row>
    <row r="150" spans="5:168">
      <c r="E150" s="170">
        <v>40</v>
      </c>
      <c r="F150" s="217">
        <f t="shared" si="477"/>
        <v>0.4</v>
      </c>
      <c r="G150" s="217"/>
      <c r="H150" s="217">
        <f t="shared" si="442"/>
        <v>6.56</v>
      </c>
      <c r="I150" s="541">
        <f t="shared" si="443"/>
        <v>9.944545285061908</v>
      </c>
      <c r="J150" s="172">
        <f t="shared" si="444"/>
        <v>16.833272828962851</v>
      </c>
      <c r="K150" s="172">
        <f t="shared" si="445"/>
        <v>26.777818114024761</v>
      </c>
      <c r="L150" s="443"/>
      <c r="M150" s="217">
        <f t="shared" si="446"/>
        <v>0.62861206488276444</v>
      </c>
      <c r="N150" s="172">
        <f t="shared" si="447"/>
        <v>20.915677917534293</v>
      </c>
      <c r="O150" s="172">
        <f t="shared" si="438"/>
        <v>6.56</v>
      </c>
      <c r="P150" s="217">
        <f t="shared" si="448"/>
        <v>1.2753462144837984</v>
      </c>
      <c r="Q150" s="217">
        <f t="shared" si="449"/>
        <v>16.399999999999999</v>
      </c>
      <c r="R150" s="217"/>
      <c r="S150" s="172">
        <f t="shared" si="450"/>
        <v>72.980873256666499</v>
      </c>
      <c r="T150" s="172">
        <f t="shared" si="451"/>
        <v>16.399999999999999</v>
      </c>
      <c r="U150" s="217">
        <f t="shared" si="452"/>
        <v>2.15408182214499</v>
      </c>
      <c r="V150" s="217">
        <f t="shared" si="453"/>
        <v>2.5993126005035796</v>
      </c>
      <c r="W150" s="217">
        <f t="shared" si="454"/>
        <v>1.5355886005284045</v>
      </c>
      <c r="X150" s="197">
        <f t="shared" si="455"/>
        <v>350</v>
      </c>
      <c r="Y150" s="443">
        <f t="shared" si="328"/>
        <v>230.68576505548404</v>
      </c>
      <c r="AA150" s="217">
        <f t="shared" si="456"/>
        <v>1.4884320549924603</v>
      </c>
      <c r="AB150" s="173">
        <f t="shared" si="457"/>
        <v>1.0610642886496842</v>
      </c>
      <c r="AC150" s="173">
        <f t="shared" si="458"/>
        <v>0.27638136743594344</v>
      </c>
      <c r="AD150" s="173"/>
      <c r="AE150" s="173">
        <f t="shared" si="459"/>
        <v>0.95049846589968268</v>
      </c>
      <c r="AF150" s="545">
        <f t="shared" si="460"/>
        <v>631.24773108610691</v>
      </c>
      <c r="AG150" s="528">
        <f t="shared" si="461"/>
        <v>0.22178297537659264</v>
      </c>
      <c r="AI150" s="173">
        <f t="shared" si="462"/>
        <v>1.7906249416634432</v>
      </c>
      <c r="AJ150" s="173">
        <f t="shared" si="463"/>
        <v>2.15408182214499</v>
      </c>
      <c r="AK150" s="173">
        <f t="shared" si="464"/>
        <v>1.80796184356419</v>
      </c>
      <c r="AM150" s="545">
        <f t="shared" si="465"/>
        <v>400</v>
      </c>
      <c r="AN150" s="460">
        <f t="shared" si="466"/>
        <v>230.68576505548404</v>
      </c>
      <c r="AP150" s="460">
        <f t="shared" si="467"/>
        <v>400</v>
      </c>
      <c r="AQ150" s="460">
        <f t="shared" si="468"/>
        <v>230.68576505548404</v>
      </c>
      <c r="AS150" s="5">
        <f t="shared" si="439"/>
        <v>4.3349012010319852</v>
      </c>
      <c r="AT150" s="5">
        <f t="shared" si="469"/>
        <v>2.5993126005035796</v>
      </c>
      <c r="AU150" s="5">
        <f t="shared" si="343"/>
        <v>1.7355886005284056</v>
      </c>
      <c r="AV150" s="5"/>
      <c r="AW150" s="173">
        <f t="shared" si="344"/>
        <v>0.59962441586552795</v>
      </c>
      <c r="AX150" s="173">
        <f t="shared" si="435"/>
        <v>6.4223865061434573</v>
      </c>
      <c r="AY150" s="173">
        <f t="shared" si="436"/>
        <v>0.43122088390737418</v>
      </c>
      <c r="AZ150" s="173">
        <f t="shared" si="440"/>
        <v>14.893495992005294</v>
      </c>
      <c r="BA150" s="460">
        <f t="shared" si="433"/>
        <v>6.3397868304965375</v>
      </c>
      <c r="BB150" s="5">
        <f t="shared" si="434"/>
        <v>0.95407925426287776</v>
      </c>
      <c r="BD150" s="173">
        <f t="shared" si="441"/>
        <v>0.96303311846601636</v>
      </c>
      <c r="BE150" s="173">
        <f t="shared" si="437"/>
        <v>0.78692865722976857</v>
      </c>
      <c r="BG150" s="528">
        <f t="shared" si="347"/>
        <v>1.8548655745247607E-2</v>
      </c>
      <c r="BH150" s="528">
        <f t="shared" si="470"/>
        <v>0.24949362408072434</v>
      </c>
      <c r="BI150" s="528">
        <f t="shared" si="471"/>
        <v>5.7351625930335312E-2</v>
      </c>
      <c r="BJ150" s="528">
        <f t="shared" si="350"/>
        <v>1.6541358376912684E-2</v>
      </c>
      <c r="BK150">
        <f t="shared" si="351"/>
        <v>4.4750453782778582E-3</v>
      </c>
      <c r="BL150" s="460">
        <f t="shared" si="427"/>
        <v>61.826671308613172</v>
      </c>
      <c r="BM150" s="528">
        <f t="shared" si="472"/>
        <v>0.29087370237626525</v>
      </c>
      <c r="BN150" s="460">
        <f t="shared" si="353"/>
        <v>290.87370237626527</v>
      </c>
      <c r="BO150" s="528">
        <f t="shared" si="354"/>
        <v>0.27999999999999997</v>
      </c>
      <c r="BR150" s="460">
        <f t="shared" si="355"/>
        <v>279.99999999999994</v>
      </c>
      <c r="BS150" s="528">
        <f t="shared" si="356"/>
        <v>2.7822983617871409E-2</v>
      </c>
      <c r="BT150" s="528">
        <f t="shared" si="357"/>
        <v>1.8577701347083399E-2</v>
      </c>
      <c r="BU150" s="528">
        <f t="shared" si="358"/>
        <v>0.2752184119911017</v>
      </c>
      <c r="BV150" s="528"/>
      <c r="BW150" s="528">
        <f t="shared" si="359"/>
        <v>5.351988755119547E-3</v>
      </c>
      <c r="BX150" s="460">
        <f t="shared" si="360"/>
        <v>326.97108571117604</v>
      </c>
      <c r="BY150" s="173">
        <f t="shared" si="361"/>
        <v>0.95338139522267384</v>
      </c>
      <c r="BZ150" s="5">
        <f t="shared" si="362"/>
        <v>6.56</v>
      </c>
      <c r="CA150" s="173">
        <f t="shared" si="363"/>
        <v>0.8731088780041335</v>
      </c>
      <c r="CB150" s="5">
        <f t="shared" si="364"/>
        <v>87.310887800413354</v>
      </c>
      <c r="CE150" s="562">
        <f t="shared" si="473"/>
        <v>-50</v>
      </c>
      <c r="CF150">
        <f t="shared" si="474"/>
        <v>-50</v>
      </c>
      <c r="CG150" s="173">
        <f t="shared" si="475"/>
        <v>0.3606546354503421</v>
      </c>
      <c r="CI150" s="170">
        <v>40</v>
      </c>
      <c r="CJ150" s="217">
        <f t="shared" si="428"/>
        <v>0.4</v>
      </c>
      <c r="CK150" s="217"/>
      <c r="CL150" s="217">
        <f t="shared" si="368"/>
        <v>6.56</v>
      </c>
      <c r="CM150" s="541">
        <f t="shared" si="369"/>
        <v>10</v>
      </c>
      <c r="CN150" s="443">
        <f t="shared" si="370"/>
        <v>16.799999999999997</v>
      </c>
      <c r="CO150" s="443">
        <f t="shared" si="371"/>
        <v>26.799999999999997</v>
      </c>
      <c r="CP150" s="443"/>
      <c r="CQ150" s="217">
        <f t="shared" si="372"/>
        <v>0.62686567164179097</v>
      </c>
      <c r="CR150" s="172">
        <f t="shared" si="429"/>
        <v>20.973880597014926</v>
      </c>
      <c r="CS150" s="172">
        <f t="shared" si="373"/>
        <v>6.56</v>
      </c>
      <c r="CT150" s="217">
        <f t="shared" si="374"/>
        <v>1.2788951583545687</v>
      </c>
      <c r="CU150" s="217">
        <f t="shared" si="375"/>
        <v>16.399999999999999</v>
      </c>
      <c r="CV150" s="217"/>
      <c r="CW150" s="172">
        <f t="shared" si="376"/>
        <v>73.387543025592805</v>
      </c>
      <c r="CX150" s="172">
        <f t="shared" si="377"/>
        <v>16.399999999999999</v>
      </c>
      <c r="CY150" s="217">
        <f t="shared" si="378"/>
        <v>2.0929523809523811</v>
      </c>
      <c r="CZ150" s="217">
        <f t="shared" si="379"/>
        <v>2.5115428571428575</v>
      </c>
      <c r="DA150" s="217">
        <f t="shared" si="380"/>
        <v>1.4949659863945584</v>
      </c>
      <c r="DB150" s="197">
        <f t="shared" si="381"/>
        <v>350</v>
      </c>
      <c r="DC150" s="443">
        <f t="shared" si="382"/>
        <v>249.59385815733847</v>
      </c>
      <c r="DE150" s="217">
        <f t="shared" si="383"/>
        <v>1.4925373134328355</v>
      </c>
      <c r="DF150" s="173">
        <f t="shared" si="384"/>
        <v>1.0660980810234544</v>
      </c>
      <c r="DG150" s="173">
        <f t="shared" si="385"/>
        <v>0.27845845399866342</v>
      </c>
      <c r="DH150" s="173"/>
      <c r="DI150" s="173">
        <f t="shared" si="386"/>
        <v>0.95238095238095266</v>
      </c>
      <c r="DJ150" s="545">
        <f t="shared" si="387"/>
        <v>629.99999999999977</v>
      </c>
      <c r="DK150" s="528">
        <f t="shared" si="388"/>
        <v>0.22222222222222232</v>
      </c>
      <c r="DM150" s="173">
        <f t="shared" si="389"/>
        <v>1.7888543819998315</v>
      </c>
      <c r="DN150" s="173">
        <f t="shared" si="390"/>
        <v>2.0929523809523811</v>
      </c>
      <c r="DO150" s="173">
        <f t="shared" si="391"/>
        <v>1.7626807760141094</v>
      </c>
      <c r="DQ150" s="545">
        <f t="shared" si="392"/>
        <v>400</v>
      </c>
      <c r="DR150" s="460">
        <f t="shared" si="393"/>
        <v>249.59385815733847</v>
      </c>
      <c r="DT150">
        <f t="shared" si="430"/>
        <v>400</v>
      </c>
      <c r="DU150">
        <f t="shared" si="431"/>
        <v>249.59385815733847</v>
      </c>
      <c r="DW150" s="5">
        <f t="shared" si="394"/>
        <v>4.0065088435374161</v>
      </c>
      <c r="DX150" s="5">
        <f t="shared" si="395"/>
        <v>2.5115428571428575</v>
      </c>
      <c r="DY150" s="5">
        <f t="shared" si="396"/>
        <v>1.4949659863945586</v>
      </c>
      <c r="DZ150" s="5"/>
      <c r="EA150" s="173">
        <f t="shared" si="397"/>
        <v>0.62686567164179097</v>
      </c>
      <c r="EB150" s="173">
        <f t="shared" si="398"/>
        <v>6.5599999999999987</v>
      </c>
      <c r="EC150" s="173">
        <f t="shared" si="399"/>
        <v>0.39047619047619059</v>
      </c>
      <c r="ED150" s="173">
        <f t="shared" si="400"/>
        <v>16.799999999999994</v>
      </c>
      <c r="EE150" s="460">
        <f t="shared" si="401"/>
        <v>6.1257142857142881</v>
      </c>
      <c r="EF150" s="5">
        <f t="shared" si="402"/>
        <v>0.81724807256235843</v>
      </c>
      <c r="EH150" s="173">
        <f t="shared" si="403"/>
        <v>0.95672244735338008</v>
      </c>
      <c r="EI150" s="173">
        <f t="shared" si="404"/>
        <v>0.73812739305278852</v>
      </c>
      <c r="EK150" s="528">
        <f t="shared" si="405"/>
        <v>1.8306356825396823E-2</v>
      </c>
      <c r="EL150" s="528">
        <f t="shared" si="406"/>
        <v>0.27999999999999992</v>
      </c>
      <c r="EM150" s="528">
        <f t="shared" si="407"/>
        <v>3.119923226966731E-2</v>
      </c>
      <c r="EN150" s="528">
        <f t="shared" si="408"/>
        <v>1.7926829268292678E-2</v>
      </c>
      <c r="EO150">
        <f t="shared" si="409"/>
        <v>4.4999999999999997E-3</v>
      </c>
      <c r="EP150" s="460">
        <f t="shared" si="410"/>
        <v>35.699232269667306</v>
      </c>
      <c r="EQ150" s="460"/>
      <c r="ER150" s="460">
        <f t="shared" si="432"/>
        <v>351.93241836335676</v>
      </c>
      <c r="ES150" s="528">
        <f t="shared" si="411"/>
        <v>0.27999999999999997</v>
      </c>
      <c r="EV150" s="460">
        <f t="shared" si="412"/>
        <v>279.99999999999994</v>
      </c>
      <c r="EW150" s="528">
        <f t="shared" si="413"/>
        <v>2.7459535238095235E-2</v>
      </c>
      <c r="EX150" s="528">
        <f t="shared" si="414"/>
        <v>1.634496145124717E-2</v>
      </c>
      <c r="EY150" s="528">
        <f t="shared" si="415"/>
        <v>0.31185528502698245</v>
      </c>
      <c r="EZ150" s="528"/>
      <c r="FA150" s="528">
        <f t="shared" si="416"/>
        <v>5.4666666666666665E-3</v>
      </c>
      <c r="FB150" s="460">
        <f t="shared" si="417"/>
        <v>361.1264483829915</v>
      </c>
      <c r="FC150" s="173">
        <f t="shared" si="418"/>
        <v>0.99305886674634825</v>
      </c>
      <c r="FD150" s="5">
        <f t="shared" si="419"/>
        <v>6.56</v>
      </c>
      <c r="FE150" s="173">
        <f t="shared" si="420"/>
        <v>0.86852229219098742</v>
      </c>
      <c r="FF150" s="5">
        <f t="shared" si="421"/>
        <v>86.852229219098746</v>
      </c>
      <c r="FI150" s="562">
        <f t="shared" si="422"/>
        <v>-50</v>
      </c>
      <c r="FJ150">
        <f t="shared" si="423"/>
        <v>-50</v>
      </c>
      <c r="FL150">
        <f t="shared" si="476"/>
        <v>0.37313432835820903</v>
      </c>
    </row>
    <row r="151" spans="5:168">
      <c r="E151" s="170">
        <v>41</v>
      </c>
      <c r="F151" s="217">
        <f t="shared" si="477"/>
        <v>0.41</v>
      </c>
      <c r="G151" s="217"/>
      <c r="H151" s="217">
        <f t="shared" si="442"/>
        <v>6.7239999999999993</v>
      </c>
      <c r="I151" s="541">
        <f t="shared" si="443"/>
        <v>9.9432068490711512</v>
      </c>
      <c r="J151" s="172">
        <f t="shared" si="444"/>
        <v>16.834075890557308</v>
      </c>
      <c r="K151" s="172">
        <f t="shared" si="445"/>
        <v>26.777282739628461</v>
      </c>
      <c r="L151" s="443"/>
      <c r="M151" s="217">
        <f t="shared" si="446"/>
        <v>0.62865463829320922</v>
      </c>
      <c r="N151" s="172">
        <f t="shared" si="447"/>
        <v>20.914279222739335</v>
      </c>
      <c r="O151" s="172">
        <f t="shared" si="438"/>
        <v>6.7239999999999993</v>
      </c>
      <c r="P151" s="217">
        <f t="shared" si="448"/>
        <v>1.2752609282158132</v>
      </c>
      <c r="Q151" s="217">
        <f t="shared" si="449"/>
        <v>16.399999999999999</v>
      </c>
      <c r="R151" s="217"/>
      <c r="S151" s="172">
        <f t="shared" si="450"/>
        <v>70.951615238735059</v>
      </c>
      <c r="T151" s="172">
        <f t="shared" si="451"/>
        <v>16.399999999999999</v>
      </c>
      <c r="U151" s="217">
        <f t="shared" si="452"/>
        <v>2.2081869993773102</v>
      </c>
      <c r="V151" s="217">
        <f t="shared" si="453"/>
        <v>2.6649595442141556</v>
      </c>
      <c r="W151" s="217">
        <f t="shared" si="454"/>
        <v>1.5740836719995608</v>
      </c>
      <c r="X151" s="197">
        <f t="shared" si="455"/>
        <v>350</v>
      </c>
      <c r="Y151" s="443">
        <f t="shared" si="328"/>
        <v>225.27376988524802</v>
      </c>
      <c r="AA151" s="217">
        <f t="shared" si="456"/>
        <v>1.4883324822863802</v>
      </c>
      <c r="AB151" s="173">
        <f t="shared" si="457"/>
        <v>1.0609426916897005</v>
      </c>
      <c r="AC151" s="173">
        <f t="shared" si="458"/>
        <v>0.27633120723007198</v>
      </c>
      <c r="AD151" s="173"/>
      <c r="AE151" s="173">
        <f t="shared" si="459"/>
        <v>0.9504531228218378</v>
      </c>
      <c r="AF151" s="545">
        <f t="shared" si="460"/>
        <v>647.05979204329628</v>
      </c>
      <c r="AG151" s="528">
        <f t="shared" si="461"/>
        <v>0.22177239532509552</v>
      </c>
      <c r="AI151" s="173">
        <f t="shared" si="462"/>
        <v>1.8129128252527618</v>
      </c>
      <c r="AJ151" s="173">
        <f t="shared" si="463"/>
        <v>2.2081869993773102</v>
      </c>
      <c r="AK151" s="173">
        <f t="shared" si="464"/>
        <v>1.848039752625168</v>
      </c>
      <c r="AM151" s="545">
        <f t="shared" si="465"/>
        <v>410</v>
      </c>
      <c r="AN151" s="460">
        <f t="shared" si="466"/>
        <v>225.27376988524802</v>
      </c>
      <c r="AP151" s="460">
        <f t="shared" si="467"/>
        <v>410</v>
      </c>
      <c r="AQ151" s="460">
        <f t="shared" si="468"/>
        <v>225.27376988524802</v>
      </c>
      <c r="AS151" s="5">
        <f t="shared" si="439"/>
        <v>4.4390432162137161</v>
      </c>
      <c r="AT151" s="5">
        <f t="shared" si="469"/>
        <v>2.6649595442141556</v>
      </c>
      <c r="AU151" s="5">
        <f t="shared" si="343"/>
        <v>1.7740836719995605</v>
      </c>
      <c r="AV151" s="5"/>
      <c r="AW151" s="173">
        <f t="shared" si="344"/>
        <v>0.60034548311679514</v>
      </c>
      <c r="AX151" s="173">
        <f t="shared" si="435"/>
        <v>6.5907308220054208</v>
      </c>
      <c r="AY151" s="173">
        <f t="shared" si="436"/>
        <v>0.44125595421195635</v>
      </c>
      <c r="AZ151" s="173">
        <f t="shared" si="440"/>
        <v>14.93629889658005</v>
      </c>
      <c r="BA151" s="460">
        <f t="shared" si="433"/>
        <v>6.6623988605353892</v>
      </c>
      <c r="BB151" s="5">
        <f t="shared" si="434"/>
        <v>0.99975614772271959</v>
      </c>
      <c r="BD151" s="173">
        <f t="shared" si="441"/>
        <v>0.98781551942347778</v>
      </c>
      <c r="BE151" s="173">
        <f t="shared" si="437"/>
        <v>0.80596760128790601</v>
      </c>
      <c r="BG151" s="528">
        <f t="shared" si="347"/>
        <v>1.9515590008277503E-2</v>
      </c>
      <c r="BH151" s="528">
        <f t="shared" si="470"/>
        <v>0.24975503480257419</v>
      </c>
      <c r="BI151" s="528">
        <f t="shared" si="471"/>
        <v>5.5998592290976916E-2</v>
      </c>
      <c r="BJ151" s="528">
        <f t="shared" si="350"/>
        <v>1.6152644522564239E-2</v>
      </c>
      <c r="BK151">
        <f t="shared" si="351"/>
        <v>4.4744430820820181E-3</v>
      </c>
      <c r="BL151" s="460">
        <f t="shared" si="427"/>
        <v>60.473035373058934</v>
      </c>
      <c r="BM151" s="528">
        <f t="shared" si="472"/>
        <v>0.2920466710672201</v>
      </c>
      <c r="BN151" s="460">
        <f t="shared" si="353"/>
        <v>292.04667106722007</v>
      </c>
      <c r="BO151" s="528">
        <f t="shared" si="354"/>
        <v>0.28699999999999998</v>
      </c>
      <c r="BR151" s="460">
        <f t="shared" si="355"/>
        <v>287</v>
      </c>
      <c r="BS151" s="528">
        <f t="shared" si="356"/>
        <v>2.9273385012416255E-2</v>
      </c>
      <c r="BT151" s="528">
        <f t="shared" si="357"/>
        <v>1.9487513229773431E-2</v>
      </c>
      <c r="BU151" s="528">
        <f t="shared" si="358"/>
        <v>0.27595368203264797</v>
      </c>
      <c r="BV151" s="528"/>
      <c r="BW151" s="528">
        <f t="shared" si="359"/>
        <v>5.492275685004518E-3</v>
      </c>
      <c r="BX151" s="460">
        <f t="shared" si="360"/>
        <v>330.20685595984224</v>
      </c>
      <c r="BY151" s="173">
        <f t="shared" si="361"/>
        <v>0.96310316066631707</v>
      </c>
      <c r="BZ151" s="5">
        <f t="shared" si="362"/>
        <v>6.7239999999999993</v>
      </c>
      <c r="CA151" s="173">
        <f t="shared" si="363"/>
        <v>0.87471182049509066</v>
      </c>
      <c r="CB151" s="5">
        <f t="shared" si="364"/>
        <v>87.471182049509068</v>
      </c>
      <c r="CE151" s="562">
        <f t="shared" si="473"/>
        <v>-50</v>
      </c>
      <c r="CF151">
        <f t="shared" si="474"/>
        <v>-50</v>
      </c>
      <c r="CG151" s="173">
        <f t="shared" si="475"/>
        <v>0.36095901820419252</v>
      </c>
      <c r="CI151" s="170">
        <v>41</v>
      </c>
      <c r="CJ151" s="217">
        <f t="shared" si="428"/>
        <v>0.41</v>
      </c>
      <c r="CK151" s="217"/>
      <c r="CL151" s="217">
        <f t="shared" si="368"/>
        <v>6.7239999999999993</v>
      </c>
      <c r="CM151" s="541">
        <f t="shared" si="369"/>
        <v>10</v>
      </c>
      <c r="CN151" s="443">
        <f t="shared" si="370"/>
        <v>16.799999999999997</v>
      </c>
      <c r="CO151" s="443">
        <f t="shared" si="371"/>
        <v>26.799999999999997</v>
      </c>
      <c r="CP151" s="443"/>
      <c r="CQ151" s="217">
        <f t="shared" si="372"/>
        <v>0.62686567164179097</v>
      </c>
      <c r="CR151" s="172">
        <f t="shared" si="429"/>
        <v>20.973880597014926</v>
      </c>
      <c r="CS151" s="172">
        <f t="shared" si="373"/>
        <v>6.7239999999999993</v>
      </c>
      <c r="CT151" s="217">
        <f t="shared" si="374"/>
        <v>1.2788951583545687</v>
      </c>
      <c r="CU151" s="217">
        <f t="shared" si="375"/>
        <v>16.399999999999999</v>
      </c>
      <c r="CV151" s="217"/>
      <c r="CW151" s="172">
        <f t="shared" si="376"/>
        <v>71.35655704275004</v>
      </c>
      <c r="CX151" s="172">
        <f t="shared" si="377"/>
        <v>16.399999999999999</v>
      </c>
      <c r="CY151" s="217">
        <f t="shared" si="378"/>
        <v>2.1452761904761903</v>
      </c>
      <c r="CZ151" s="217">
        <f t="shared" si="379"/>
        <v>2.5743314285714285</v>
      </c>
      <c r="DA151" s="217">
        <f t="shared" si="380"/>
        <v>1.5323401360544222</v>
      </c>
      <c r="DB151" s="197">
        <f t="shared" si="381"/>
        <v>350</v>
      </c>
      <c r="DC151" s="443">
        <f t="shared" si="382"/>
        <v>243.50620308033027</v>
      </c>
      <c r="DE151" s="217">
        <f t="shared" si="383"/>
        <v>1.4925373134328355</v>
      </c>
      <c r="DF151" s="173">
        <f t="shared" si="384"/>
        <v>1.0660980810234544</v>
      </c>
      <c r="DG151" s="173">
        <f t="shared" si="385"/>
        <v>0.27845845399866342</v>
      </c>
      <c r="DH151" s="173"/>
      <c r="DI151" s="173">
        <f t="shared" si="386"/>
        <v>0.95238095238095266</v>
      </c>
      <c r="DJ151" s="545">
        <f t="shared" si="387"/>
        <v>645.74999999999966</v>
      </c>
      <c r="DK151" s="528">
        <f t="shared" si="388"/>
        <v>0.22222222222222232</v>
      </c>
      <c r="DM151" s="173">
        <f t="shared" si="389"/>
        <v>1.811077027627483</v>
      </c>
      <c r="DN151" s="173">
        <f t="shared" si="390"/>
        <v>2.1452761904761903</v>
      </c>
      <c r="DO151" s="173">
        <f t="shared" si="391"/>
        <v>1.8014391534391532</v>
      </c>
      <c r="DQ151" s="545">
        <f t="shared" si="392"/>
        <v>410</v>
      </c>
      <c r="DR151" s="460">
        <f t="shared" si="393"/>
        <v>243.50620308033027</v>
      </c>
      <c r="DT151">
        <f t="shared" si="430"/>
        <v>410</v>
      </c>
      <c r="DU151">
        <f t="shared" si="431"/>
        <v>243.50620308033027</v>
      </c>
      <c r="DW151" s="5">
        <f t="shared" si="394"/>
        <v>4.1066715646258505</v>
      </c>
      <c r="DX151" s="5">
        <f t="shared" si="395"/>
        <v>2.5743314285714285</v>
      </c>
      <c r="DY151" s="5">
        <f t="shared" si="396"/>
        <v>1.532340136054422</v>
      </c>
      <c r="DZ151" s="5"/>
      <c r="EA151" s="173">
        <f t="shared" si="397"/>
        <v>0.62686567164179097</v>
      </c>
      <c r="EB151" s="173">
        <f t="shared" si="398"/>
        <v>6.7240000000000002</v>
      </c>
      <c r="EC151" s="173">
        <f t="shared" si="399"/>
        <v>0.40023809523809528</v>
      </c>
      <c r="ED151" s="173">
        <f t="shared" si="400"/>
        <v>16.799999999999997</v>
      </c>
      <c r="EE151" s="460">
        <f t="shared" si="401"/>
        <v>6.4358285714285719</v>
      </c>
      <c r="EF151" s="5">
        <f t="shared" si="402"/>
        <v>0.85862125623582763</v>
      </c>
      <c r="EH151" s="173">
        <f t="shared" si="403"/>
        <v>0.98064050853721452</v>
      </c>
      <c r="EI151" s="173">
        <f t="shared" si="404"/>
        <v>0.75658057787910815</v>
      </c>
      <c r="EK151" s="528">
        <f t="shared" si="405"/>
        <v>1.9233116139682534E-2</v>
      </c>
      <c r="EL151" s="528">
        <f t="shared" si="406"/>
        <v>0.27999999999999992</v>
      </c>
      <c r="EM151" s="528">
        <f t="shared" si="407"/>
        <v>3.0438275385041281E-2</v>
      </c>
      <c r="EN151" s="528">
        <f t="shared" si="408"/>
        <v>1.7489589530041639E-2</v>
      </c>
      <c r="EO151">
        <f t="shared" si="409"/>
        <v>4.4999999999999997E-3</v>
      </c>
      <c r="EP151" s="460">
        <f t="shared" si="410"/>
        <v>34.93827538504128</v>
      </c>
      <c r="EQ151" s="460"/>
      <c r="ER151" s="460">
        <f t="shared" si="432"/>
        <v>351.66098105476539</v>
      </c>
      <c r="ES151" s="528">
        <f t="shared" si="411"/>
        <v>0.28699999999999998</v>
      </c>
      <c r="EV151" s="460">
        <f t="shared" si="412"/>
        <v>287</v>
      </c>
      <c r="EW151" s="528">
        <f t="shared" si="413"/>
        <v>2.88496742095238E-2</v>
      </c>
      <c r="EX151" s="528">
        <f t="shared" si="414"/>
        <v>1.7172425124716558E-2</v>
      </c>
      <c r="EY151" s="528">
        <f t="shared" si="415"/>
        <v>0.31185528502698256</v>
      </c>
      <c r="EZ151" s="528"/>
      <c r="FA151" s="528">
        <f t="shared" si="416"/>
        <v>5.6033333333333326E-3</v>
      </c>
      <c r="FB151" s="460">
        <f t="shared" si="417"/>
        <v>363.48071769455623</v>
      </c>
      <c r="FC151" s="173">
        <f t="shared" si="418"/>
        <v>1.0021416987493217</v>
      </c>
      <c r="FD151" s="5">
        <f t="shared" si="419"/>
        <v>6.7239999999999993</v>
      </c>
      <c r="FE151" s="173">
        <f t="shared" si="420"/>
        <v>0.87029208914048983</v>
      </c>
      <c r="FF151" s="5">
        <f t="shared" si="421"/>
        <v>87.029208914048979</v>
      </c>
      <c r="FI151" s="562">
        <f t="shared" si="422"/>
        <v>-50</v>
      </c>
      <c r="FJ151">
        <f t="shared" si="423"/>
        <v>-50</v>
      </c>
      <c r="FL151">
        <f t="shared" si="476"/>
        <v>0.37313432835820903</v>
      </c>
    </row>
    <row r="152" spans="5:168">
      <c r="E152" s="170">
        <v>42</v>
      </c>
      <c r="F152" s="217">
        <f t="shared" si="477"/>
        <v>0.42</v>
      </c>
      <c r="G152" s="217"/>
      <c r="H152" s="217">
        <f t="shared" si="442"/>
        <v>6.887999999999999</v>
      </c>
      <c r="I152" s="541">
        <f t="shared" si="443"/>
        <v>9.9418683361534121</v>
      </c>
      <c r="J152" s="172">
        <f t="shared" si="444"/>
        <v>16.83487899830795</v>
      </c>
      <c r="K152" s="172">
        <f t="shared" si="445"/>
        <v>26.776747334461362</v>
      </c>
      <c r="L152" s="443"/>
      <c r="M152" s="217">
        <f t="shared" si="446"/>
        <v>0.62869721520942712</v>
      </c>
      <c r="N152" s="172">
        <f t="shared" si="447"/>
        <v>20.912880101439583</v>
      </c>
      <c r="O152" s="172">
        <f t="shared" si="438"/>
        <v>6.887999999999999</v>
      </c>
      <c r="P152" s="217">
        <f t="shared" si="448"/>
        <v>1.275175615941438</v>
      </c>
      <c r="Q152" s="217">
        <f t="shared" si="449"/>
        <v>16.399999999999999</v>
      </c>
      <c r="R152" s="217"/>
      <c r="S152" s="172">
        <f t="shared" si="450"/>
        <v>69.019134657584857</v>
      </c>
      <c r="T152" s="172">
        <f t="shared" si="451"/>
        <v>16.399999999999999</v>
      </c>
      <c r="U152" s="217">
        <f t="shared" si="452"/>
        <v>2.2623046053203937</v>
      </c>
      <c r="V152" s="217">
        <f t="shared" si="453"/>
        <v>2.7306391863109671</v>
      </c>
      <c r="W152" s="217">
        <f t="shared" si="454"/>
        <v>1.612583925704087</v>
      </c>
      <c r="X152" s="197">
        <f t="shared" si="455"/>
        <v>350</v>
      </c>
      <c r="Y152" s="443">
        <f t="shared" si="328"/>
        <v>220.10805442404748</v>
      </c>
      <c r="AA152" s="217">
        <f t="shared" si="456"/>
        <v>1.4882328807588434</v>
      </c>
      <c r="AB152" s="173">
        <f t="shared" si="457"/>
        <v>1.0608210828780584</v>
      </c>
      <c r="AC152" s="173">
        <f t="shared" si="458"/>
        <v>0.27628104282473254</v>
      </c>
      <c r="AD152" s="173"/>
      <c r="AE152" s="173">
        <f t="shared" si="459"/>
        <v>0.95040778146419358</v>
      </c>
      <c r="AF152" s="545">
        <f t="shared" si="460"/>
        <v>662.87336055837523</v>
      </c>
      <c r="AG152" s="528">
        <f t="shared" si="461"/>
        <v>0.22176181567497852</v>
      </c>
      <c r="AI152" s="173">
        <f t="shared" si="462"/>
        <v>1.8349320967440703</v>
      </c>
      <c r="AJ152" s="173">
        <f t="shared" si="463"/>
        <v>2.2623046053203937</v>
      </c>
      <c r="AK152" s="173">
        <f t="shared" si="464"/>
        <v>1.888126868138563</v>
      </c>
      <c r="AM152" s="545">
        <f t="shared" si="465"/>
        <v>420</v>
      </c>
      <c r="AN152" s="460">
        <f t="shared" si="466"/>
        <v>220.10805442404748</v>
      </c>
      <c r="AP152" s="460">
        <f t="shared" si="467"/>
        <v>420</v>
      </c>
      <c r="AQ152" s="460">
        <f t="shared" si="468"/>
        <v>220.10805442404748</v>
      </c>
      <c r="AS152" s="5">
        <f t="shared" si="439"/>
        <v>4.5432231120150544</v>
      </c>
      <c r="AT152" s="5">
        <f t="shared" si="469"/>
        <v>2.7306391863109671</v>
      </c>
      <c r="AU152" s="5">
        <f t="shared" si="343"/>
        <v>1.8125839257040872</v>
      </c>
      <c r="AV152" s="5"/>
      <c r="AW152" s="173">
        <f t="shared" si="344"/>
        <v>0.60103567863297114</v>
      </c>
      <c r="AX152" s="173">
        <f t="shared" si="435"/>
        <v>6.7591073575744351</v>
      </c>
      <c r="AY152" s="173">
        <f t="shared" si="436"/>
        <v>0.45128941079357748</v>
      </c>
      <c r="AZ152" s="173">
        <f t="shared" si="440"/>
        <v>14.977323189765896</v>
      </c>
      <c r="BA152" s="460">
        <f t="shared" si="433"/>
        <v>6.9931003551866233</v>
      </c>
      <c r="BB152" s="5">
        <f t="shared" si="434"/>
        <v>1.0465066908708367</v>
      </c>
      <c r="BD152" s="173">
        <f t="shared" si="441"/>
        <v>1.0126061923756586</v>
      </c>
      <c r="BE152" s="173">
        <f t="shared" si="437"/>
        <v>0.82500671204164044</v>
      </c>
      <c r="BG152" s="528">
        <f t="shared" si="347"/>
        <v>2.0507426016750589E-2</v>
      </c>
      <c r="BH152" s="528">
        <f t="shared" si="470"/>
        <v>0.25000351065489801</v>
      </c>
      <c r="BI152" s="528">
        <f t="shared" si="471"/>
        <v>5.4707132420269242E-2</v>
      </c>
      <c r="BJ152" s="528">
        <f t="shared" si="350"/>
        <v>1.5781619791407856E-2</v>
      </c>
      <c r="BK152">
        <f t="shared" si="351"/>
        <v>4.4738407512690355E-3</v>
      </c>
      <c r="BL152" s="460">
        <f t="shared" si="427"/>
        <v>59.180973171538277</v>
      </c>
      <c r="BM152" s="528">
        <f t="shared" si="472"/>
        <v>0.29325848233493079</v>
      </c>
      <c r="BN152" s="460">
        <f t="shared" si="353"/>
        <v>293.25848233493082</v>
      </c>
      <c r="BO152" s="528">
        <f t="shared" si="354"/>
        <v>0.29399999999999998</v>
      </c>
      <c r="BR152" s="460">
        <f t="shared" si="355"/>
        <v>294</v>
      </c>
      <c r="BS152" s="528">
        <f t="shared" si="356"/>
        <v>3.076113902512588E-2</v>
      </c>
      <c r="BT152" s="528">
        <f t="shared" si="357"/>
        <v>2.0419082247412745E-2</v>
      </c>
      <c r="BU152" s="528">
        <f t="shared" si="358"/>
        <v>0.27665437391846898</v>
      </c>
      <c r="BV152" s="528"/>
      <c r="BW152" s="528">
        <f t="shared" si="359"/>
        <v>5.6325894646453625E-3</v>
      </c>
      <c r="BX152" s="460">
        <f t="shared" si="360"/>
        <v>333.46718465565294</v>
      </c>
      <c r="BY152" s="173">
        <f t="shared" si="361"/>
        <v>0.97294071429024775</v>
      </c>
      <c r="BZ152" s="5">
        <f t="shared" si="362"/>
        <v>6.887999999999999</v>
      </c>
      <c r="CA152" s="173">
        <f t="shared" si="363"/>
        <v>0.87623100724808189</v>
      </c>
      <c r="CB152" s="5">
        <f t="shared" si="364"/>
        <v>87.623100724808182</v>
      </c>
      <c r="CE152" s="562">
        <f t="shared" si="473"/>
        <v>-50</v>
      </c>
      <c r="CF152">
        <f t="shared" si="474"/>
        <v>-50</v>
      </c>
      <c r="CG152" s="173">
        <f t="shared" si="475"/>
        <v>0.3612489065411929</v>
      </c>
      <c r="CI152" s="170">
        <v>42</v>
      </c>
      <c r="CJ152" s="217">
        <f t="shared" si="428"/>
        <v>0.42</v>
      </c>
      <c r="CK152" s="217"/>
      <c r="CL152" s="217">
        <f t="shared" si="368"/>
        <v>6.887999999999999</v>
      </c>
      <c r="CM152" s="541">
        <f t="shared" si="369"/>
        <v>10</v>
      </c>
      <c r="CN152" s="443">
        <f t="shared" si="370"/>
        <v>16.799999999999997</v>
      </c>
      <c r="CO152" s="443">
        <f t="shared" si="371"/>
        <v>26.799999999999997</v>
      </c>
      <c r="CP152" s="443"/>
      <c r="CQ152" s="217">
        <f t="shared" si="372"/>
        <v>0.62686567164179097</v>
      </c>
      <c r="CR152" s="172">
        <f t="shared" si="429"/>
        <v>20.973880597014926</v>
      </c>
      <c r="CS152" s="172">
        <f t="shared" si="373"/>
        <v>6.887999999999999</v>
      </c>
      <c r="CT152" s="217">
        <f t="shared" si="374"/>
        <v>1.2788951583545687</v>
      </c>
      <c r="CU152" s="217">
        <f t="shared" si="375"/>
        <v>16.399999999999999</v>
      </c>
      <c r="CV152" s="217"/>
      <c r="CW152" s="172">
        <f t="shared" si="376"/>
        <v>69.422367597169668</v>
      </c>
      <c r="CX152" s="172">
        <f t="shared" si="377"/>
        <v>16.399999999999999</v>
      </c>
      <c r="CY152" s="217">
        <f t="shared" si="378"/>
        <v>2.1976</v>
      </c>
      <c r="CZ152" s="217">
        <f t="shared" si="379"/>
        <v>2.6371199999999999</v>
      </c>
      <c r="DA152" s="217">
        <f t="shared" si="380"/>
        <v>1.5697142857142861</v>
      </c>
      <c r="DB152" s="197">
        <f t="shared" si="381"/>
        <v>350</v>
      </c>
      <c r="DC152" s="443">
        <f t="shared" si="382"/>
        <v>237.70843634032241</v>
      </c>
      <c r="DE152" s="217">
        <f t="shared" si="383"/>
        <v>1.4925373134328355</v>
      </c>
      <c r="DF152" s="173">
        <f t="shared" si="384"/>
        <v>1.0660980810234544</v>
      </c>
      <c r="DG152" s="173">
        <f t="shared" si="385"/>
        <v>0.27845845399866342</v>
      </c>
      <c r="DH152" s="173"/>
      <c r="DI152" s="173">
        <f t="shared" si="386"/>
        <v>0.95238095238095266</v>
      </c>
      <c r="DJ152" s="545">
        <f t="shared" si="387"/>
        <v>661.49999999999966</v>
      </c>
      <c r="DK152" s="528">
        <f t="shared" si="388"/>
        <v>0.22222222222222232</v>
      </c>
      <c r="DM152" s="173">
        <f t="shared" si="389"/>
        <v>1.8330302779823358</v>
      </c>
      <c r="DN152" s="173">
        <f t="shared" si="390"/>
        <v>2.1976</v>
      </c>
      <c r="DO152" s="173">
        <f t="shared" si="391"/>
        <v>1.8401975308641974</v>
      </c>
      <c r="DQ152" s="545">
        <f t="shared" si="392"/>
        <v>420</v>
      </c>
      <c r="DR152" s="460">
        <f t="shared" si="393"/>
        <v>237.70843634032241</v>
      </c>
      <c r="DT152">
        <f t="shared" si="430"/>
        <v>420</v>
      </c>
      <c r="DU152">
        <f t="shared" si="431"/>
        <v>237.70843634032241</v>
      </c>
      <c r="DW152" s="5">
        <f t="shared" si="394"/>
        <v>4.2068342857142857</v>
      </c>
      <c r="DX152" s="5">
        <f t="shared" si="395"/>
        <v>2.6371199999999999</v>
      </c>
      <c r="DY152" s="5">
        <f t="shared" si="396"/>
        <v>1.5697142857142858</v>
      </c>
      <c r="DZ152" s="5"/>
      <c r="EA152" s="173">
        <f t="shared" si="397"/>
        <v>0.62686567164179097</v>
      </c>
      <c r="EB152" s="173">
        <f t="shared" si="398"/>
        <v>6.887999999999999</v>
      </c>
      <c r="EC152" s="173">
        <f t="shared" si="399"/>
        <v>0.41000000000000009</v>
      </c>
      <c r="ED152" s="173">
        <f t="shared" si="400"/>
        <v>16.799999999999994</v>
      </c>
      <c r="EE152" s="460">
        <f t="shared" si="401"/>
        <v>6.7536000000000005</v>
      </c>
      <c r="EF152" s="5">
        <f t="shared" si="402"/>
        <v>0.90101599999999971</v>
      </c>
      <c r="EH152" s="173">
        <f t="shared" si="403"/>
        <v>1.0045585697210491</v>
      </c>
      <c r="EI152" s="173">
        <f t="shared" si="404"/>
        <v>0.7750337627054279</v>
      </c>
      <c r="EK152" s="528">
        <f t="shared" si="405"/>
        <v>2.0182758399999993E-2</v>
      </c>
      <c r="EL152" s="528">
        <f t="shared" si="406"/>
        <v>0.27999999999999997</v>
      </c>
      <c r="EM152" s="528">
        <f t="shared" si="407"/>
        <v>2.9713554542540301E-2</v>
      </c>
      <c r="EN152" s="528">
        <f t="shared" si="408"/>
        <v>1.7073170731707318E-2</v>
      </c>
      <c r="EO152">
        <f t="shared" si="409"/>
        <v>4.4999999999999997E-3</v>
      </c>
      <c r="EP152" s="460">
        <f t="shared" si="410"/>
        <v>34.213554542540301</v>
      </c>
      <c r="EQ152" s="460"/>
      <c r="ER152" s="460">
        <f t="shared" si="432"/>
        <v>351.46948367424761</v>
      </c>
      <c r="ES152" s="528">
        <f t="shared" si="411"/>
        <v>0.29399999999999998</v>
      </c>
      <c r="EV152" s="460">
        <f t="shared" si="412"/>
        <v>294</v>
      </c>
      <c r="EW152" s="528">
        <f t="shared" si="413"/>
        <v>3.027413759999999E-2</v>
      </c>
      <c r="EX152" s="528">
        <f t="shared" si="414"/>
        <v>1.8020320000000003E-2</v>
      </c>
      <c r="EY152" s="528">
        <f t="shared" si="415"/>
        <v>0.31185528502698345</v>
      </c>
      <c r="EZ152" s="528"/>
      <c r="FA152" s="528">
        <f t="shared" si="416"/>
        <v>5.7399999999999994E-3</v>
      </c>
      <c r="FB152" s="460">
        <f t="shared" si="417"/>
        <v>365.88974262698349</v>
      </c>
      <c r="FC152" s="173">
        <f t="shared" si="418"/>
        <v>1.011359226301231</v>
      </c>
      <c r="FD152" s="5">
        <f t="shared" si="419"/>
        <v>6.887999999999999</v>
      </c>
      <c r="FE152" s="173">
        <f t="shared" si="420"/>
        <v>0.87196946013875787</v>
      </c>
      <c r="FF152" s="5">
        <f t="shared" si="421"/>
        <v>87.196946013875788</v>
      </c>
      <c r="FI152" s="562">
        <f t="shared" si="422"/>
        <v>-50</v>
      </c>
      <c r="FJ152">
        <f t="shared" si="423"/>
        <v>-50</v>
      </c>
      <c r="FL152">
        <f t="shared" si="476"/>
        <v>0.37313432835820903</v>
      </c>
    </row>
    <row r="153" spans="5:168">
      <c r="E153" s="170">
        <v>43</v>
      </c>
      <c r="F153" s="217">
        <f t="shared" si="477"/>
        <v>0.43</v>
      </c>
      <c r="G153" s="217"/>
      <c r="H153" s="217">
        <f t="shared" si="442"/>
        <v>7.0519999999999996</v>
      </c>
      <c r="I153" s="541">
        <f t="shared" si="443"/>
        <v>9.9405297518480324</v>
      </c>
      <c r="J153" s="172">
        <f t="shared" si="444"/>
        <v>16.835682148891177</v>
      </c>
      <c r="K153" s="172">
        <f t="shared" si="445"/>
        <v>26.776211900739209</v>
      </c>
      <c r="L153" s="443"/>
      <c r="M153" s="217">
        <f t="shared" si="446"/>
        <v>0.62873979550191883</v>
      </c>
      <c r="N153" s="172">
        <f t="shared" si="447"/>
        <v>20.91148056090088</v>
      </c>
      <c r="O153" s="172">
        <f t="shared" si="438"/>
        <v>7.0519999999999996</v>
      </c>
      <c r="P153" s="217">
        <f t="shared" si="448"/>
        <v>1.2750902781037123</v>
      </c>
      <c r="Q153" s="217">
        <f t="shared" si="449"/>
        <v>16.399999999999999</v>
      </c>
      <c r="R153" s="217"/>
      <c r="S153" s="172">
        <f t="shared" si="450"/>
        <v>67.176680417885777</v>
      </c>
      <c r="T153" s="172">
        <f t="shared" si="451"/>
        <v>16.399999999999999</v>
      </c>
      <c r="U153" s="217">
        <f t="shared" si="452"/>
        <v>2.3164346449753803</v>
      </c>
      <c r="V153" s="217">
        <f t="shared" si="453"/>
        <v>2.7963515460065715</v>
      </c>
      <c r="W153" s="217">
        <f t="shared" si="454"/>
        <v>1.6510893644743305</v>
      </c>
      <c r="X153" s="197">
        <f t="shared" si="455"/>
        <v>350</v>
      </c>
      <c r="Y153" s="443">
        <f t="shared" si="328"/>
        <v>215.17218169354268</v>
      </c>
      <c r="AA153" s="217">
        <f t="shared" si="456"/>
        <v>1.488133250816819</v>
      </c>
      <c r="AB153" s="173">
        <f t="shared" si="457"/>
        <v>1.0606994627169268</v>
      </c>
      <c r="AC153" s="173">
        <f t="shared" si="458"/>
        <v>0.27623087442870387</v>
      </c>
      <c r="AD153" s="173"/>
      <c r="AE153" s="173">
        <f t="shared" si="459"/>
        <v>0.9503624420144916</v>
      </c>
      <c r="AF153" s="545">
        <f t="shared" si="460"/>
        <v>678.68843662717529</v>
      </c>
      <c r="AG153" s="528">
        <f t="shared" si="461"/>
        <v>0.2217512364700481</v>
      </c>
      <c r="AI153" s="173">
        <f t="shared" si="462"/>
        <v>1.8566923128975772</v>
      </c>
      <c r="AJ153" s="173">
        <f t="shared" si="463"/>
        <v>2.3164346449753803</v>
      </c>
      <c r="AK153" s="173">
        <f t="shared" si="464"/>
        <v>1.9282231938089236</v>
      </c>
      <c r="AM153" s="545">
        <f t="shared" si="465"/>
        <v>430</v>
      </c>
      <c r="AN153" s="460">
        <f t="shared" si="466"/>
        <v>215.17218169354268</v>
      </c>
      <c r="AP153" s="460">
        <f t="shared" si="467"/>
        <v>430</v>
      </c>
      <c r="AQ153" s="460">
        <f t="shared" si="468"/>
        <v>215.17218169354268</v>
      </c>
      <c r="AS153" s="5">
        <f t="shared" si="439"/>
        <v>4.6474409104809018</v>
      </c>
      <c r="AT153" s="5">
        <f t="shared" si="469"/>
        <v>2.7963515460065715</v>
      </c>
      <c r="AU153" s="5">
        <f t="shared" si="343"/>
        <v>1.8510893644743303</v>
      </c>
      <c r="AV153" s="5"/>
      <c r="AW153" s="173">
        <f t="shared" si="344"/>
        <v>0.60169706293634495</v>
      </c>
      <c r="AX153" s="173">
        <f t="shared" si="435"/>
        <v>6.9275150360807585</v>
      </c>
      <c r="AY153" s="173">
        <f t="shared" si="436"/>
        <v>0.46132136130484952</v>
      </c>
      <c r="AZ153" s="173">
        <f t="shared" si="440"/>
        <v>15.016679514874948</v>
      </c>
      <c r="BA153" s="460">
        <f t="shared" si="433"/>
        <v>7.3318973462367429</v>
      </c>
      <c r="BB153" s="5">
        <f t="shared" si="434"/>
        <v>1.0943315333073791</v>
      </c>
      <c r="BD153" s="173">
        <f t="shared" si="441"/>
        <v>1.0374050794899583</v>
      </c>
      <c r="BE153" s="173">
        <f t="shared" si="437"/>
        <v>0.84404612188108863</v>
      </c>
      <c r="BG153" s="528">
        <f t="shared" si="347"/>
        <v>2.1524185979031336E-2</v>
      </c>
      <c r="BH153" s="528">
        <f t="shared" si="470"/>
        <v>0.25023991470309059</v>
      </c>
      <c r="BI153" s="528">
        <f t="shared" si="471"/>
        <v>5.3473136847367791E-2</v>
      </c>
      <c r="BJ153" s="528">
        <f t="shared" si="350"/>
        <v>1.5427103594504847E-2</v>
      </c>
      <c r="BK153">
        <f t="shared" si="351"/>
        <v>4.4732383883316143E-3</v>
      </c>
      <c r="BL153" s="460">
        <f t="shared" si="427"/>
        <v>57.946375235699406</v>
      </c>
      <c r="BM153" s="528">
        <f t="shared" si="472"/>
        <v>0.29450889615756703</v>
      </c>
      <c r="BN153" s="460">
        <f t="shared" si="353"/>
        <v>294.50889615756705</v>
      </c>
      <c r="BO153" s="528">
        <f t="shared" si="354"/>
        <v>0.30099999999999999</v>
      </c>
      <c r="BR153" s="460">
        <f t="shared" si="355"/>
        <v>301</v>
      </c>
      <c r="BS153" s="528">
        <f t="shared" si="356"/>
        <v>3.2286278968547001E-2</v>
      </c>
      <c r="BT153" s="528">
        <f t="shared" si="357"/>
        <v>2.1372415675875164E-2</v>
      </c>
      <c r="BU153" s="528">
        <f t="shared" si="358"/>
        <v>0.27732271408124004</v>
      </c>
      <c r="BV153" s="528"/>
      <c r="BW153" s="528">
        <f t="shared" si="359"/>
        <v>5.7729291967339655E-3</v>
      </c>
      <c r="BX153" s="460">
        <f t="shared" si="360"/>
        <v>336.75433792239613</v>
      </c>
      <c r="BY153" s="173">
        <f t="shared" si="361"/>
        <v>0.98289191743472226</v>
      </c>
      <c r="BZ153" s="5">
        <f t="shared" si="362"/>
        <v>7.0519999999999996</v>
      </c>
      <c r="CA153" s="173">
        <f t="shared" si="363"/>
        <v>0.8776720424450305</v>
      </c>
      <c r="CB153" s="5">
        <f t="shared" si="364"/>
        <v>87.767204244503048</v>
      </c>
      <c r="CE153" s="562">
        <f t="shared" si="473"/>
        <v>-50</v>
      </c>
      <c r="CF153">
        <f t="shared" si="474"/>
        <v>-50</v>
      </c>
      <c r="CG153" s="173">
        <f t="shared" si="475"/>
        <v>0.36152531169972818</v>
      </c>
      <c r="CI153" s="170">
        <v>43</v>
      </c>
      <c r="CJ153" s="217">
        <f t="shared" si="428"/>
        <v>0.43</v>
      </c>
      <c r="CK153" s="217"/>
      <c r="CL153" s="217">
        <f t="shared" si="368"/>
        <v>7.0519999999999996</v>
      </c>
      <c r="CM153" s="541">
        <f t="shared" si="369"/>
        <v>10</v>
      </c>
      <c r="CN153" s="443">
        <f t="shared" si="370"/>
        <v>16.799999999999997</v>
      </c>
      <c r="CO153" s="443">
        <f t="shared" si="371"/>
        <v>26.799999999999997</v>
      </c>
      <c r="CP153" s="443"/>
      <c r="CQ153" s="217">
        <f t="shared" si="372"/>
        <v>0.62686567164179097</v>
      </c>
      <c r="CR153" s="172">
        <f t="shared" si="429"/>
        <v>20.973880597014926</v>
      </c>
      <c r="CS153" s="172">
        <f t="shared" si="373"/>
        <v>7.0519999999999996</v>
      </c>
      <c r="CT153" s="217">
        <f t="shared" si="374"/>
        <v>1.2788951583545687</v>
      </c>
      <c r="CU153" s="217">
        <f t="shared" si="375"/>
        <v>16.399999999999999</v>
      </c>
      <c r="CV153" s="217"/>
      <c r="CW153" s="172">
        <f t="shared" si="376"/>
        <v>67.578222219318945</v>
      </c>
      <c r="CX153" s="172">
        <f t="shared" si="377"/>
        <v>16.399999999999999</v>
      </c>
      <c r="CY153" s="217">
        <f t="shared" si="378"/>
        <v>2.2499238095238097</v>
      </c>
      <c r="CZ153" s="217">
        <f t="shared" si="379"/>
        <v>2.6999085714285718</v>
      </c>
      <c r="DA153" s="217">
        <f t="shared" si="380"/>
        <v>1.6070884353741501</v>
      </c>
      <c r="DB153" s="197">
        <f t="shared" si="381"/>
        <v>350</v>
      </c>
      <c r="DC153" s="443">
        <f t="shared" si="382"/>
        <v>232.1803331696172</v>
      </c>
      <c r="DE153" s="217">
        <f t="shared" si="383"/>
        <v>1.4925373134328355</v>
      </c>
      <c r="DF153" s="173">
        <f t="shared" si="384"/>
        <v>1.0660980810234544</v>
      </c>
      <c r="DG153" s="173">
        <f t="shared" si="385"/>
        <v>0.27845845399866342</v>
      </c>
      <c r="DH153" s="173"/>
      <c r="DI153" s="173">
        <f t="shared" si="386"/>
        <v>0.95238095238095266</v>
      </c>
      <c r="DJ153" s="545">
        <f t="shared" si="387"/>
        <v>677.24999999999977</v>
      </c>
      <c r="DK153" s="528">
        <f t="shared" si="388"/>
        <v>0.22222222222222232</v>
      </c>
      <c r="DM153" s="173">
        <f t="shared" si="389"/>
        <v>1.8547236990991405</v>
      </c>
      <c r="DN153" s="173">
        <f t="shared" si="390"/>
        <v>2.2499238095238097</v>
      </c>
      <c r="DO153" s="173">
        <f t="shared" si="391"/>
        <v>1.8789559082892415</v>
      </c>
      <c r="DQ153" s="545">
        <f t="shared" si="392"/>
        <v>430</v>
      </c>
      <c r="DR153" s="460">
        <f t="shared" si="393"/>
        <v>232.1803331696172</v>
      </c>
      <c r="DT153">
        <f t="shared" si="430"/>
        <v>430</v>
      </c>
      <c r="DU153">
        <f t="shared" si="431"/>
        <v>232.1803331696172</v>
      </c>
      <c r="DW153" s="5">
        <f t="shared" si="394"/>
        <v>4.3069970068027219</v>
      </c>
      <c r="DX153" s="5">
        <f t="shared" si="395"/>
        <v>2.6999085714285718</v>
      </c>
      <c r="DY153" s="5">
        <f t="shared" si="396"/>
        <v>1.6070884353741501</v>
      </c>
      <c r="DZ153" s="5"/>
      <c r="EA153" s="173">
        <f t="shared" si="397"/>
        <v>0.62686567164179097</v>
      </c>
      <c r="EB153" s="173">
        <f t="shared" si="398"/>
        <v>7.0520000000000005</v>
      </c>
      <c r="EC153" s="173">
        <f t="shared" si="399"/>
        <v>0.41976190476190489</v>
      </c>
      <c r="ED153" s="173">
        <f t="shared" si="400"/>
        <v>16.799999999999997</v>
      </c>
      <c r="EE153" s="460">
        <f t="shared" si="401"/>
        <v>7.079028571428573</v>
      </c>
      <c r="EF153" s="5">
        <f t="shared" si="402"/>
        <v>0.94443230385487542</v>
      </c>
      <c r="EH153" s="173">
        <f t="shared" si="403"/>
        <v>1.0284766309048836</v>
      </c>
      <c r="EI153" s="173">
        <f t="shared" si="404"/>
        <v>0.79348694753174764</v>
      </c>
      <c r="EK153" s="528">
        <f t="shared" si="405"/>
        <v>2.1155283606349204E-2</v>
      </c>
      <c r="EL153" s="528">
        <f t="shared" si="406"/>
        <v>0.27999999999999992</v>
      </c>
      <c r="EM153" s="528">
        <f t="shared" si="407"/>
        <v>2.9022541646202146E-2</v>
      </c>
      <c r="EN153" s="528">
        <f t="shared" si="408"/>
        <v>1.6676120249574586E-2</v>
      </c>
      <c r="EO153">
        <f t="shared" si="409"/>
        <v>4.4999999999999997E-3</v>
      </c>
      <c r="EP153" s="460">
        <f t="shared" si="410"/>
        <v>33.522541646202143</v>
      </c>
      <c r="EQ153" s="460"/>
      <c r="ER153" s="460">
        <f t="shared" si="432"/>
        <v>351.3539455021259</v>
      </c>
      <c r="ES153" s="528">
        <f t="shared" si="411"/>
        <v>0.30099999999999999</v>
      </c>
      <c r="EV153" s="460">
        <f t="shared" si="412"/>
        <v>301</v>
      </c>
      <c r="EW153" s="528">
        <f t="shared" si="413"/>
        <v>3.1732925409523806E-2</v>
      </c>
      <c r="EX153" s="528">
        <f t="shared" si="414"/>
        <v>1.8888646077097511E-2</v>
      </c>
      <c r="EY153" s="528">
        <f t="shared" si="415"/>
        <v>0.31185528502698284</v>
      </c>
      <c r="EZ153" s="528"/>
      <c r="FA153" s="528">
        <f t="shared" si="416"/>
        <v>5.8766666666666663E-3</v>
      </c>
      <c r="FB153" s="460">
        <f t="shared" si="417"/>
        <v>368.35352318027083</v>
      </c>
      <c r="FC153" s="173">
        <f t="shared" si="418"/>
        <v>1.0207074686823967</v>
      </c>
      <c r="FD153" s="5">
        <f t="shared" si="419"/>
        <v>7.0519999999999996</v>
      </c>
      <c r="FE153" s="173">
        <f t="shared" si="420"/>
        <v>0.87356070158095389</v>
      </c>
      <c r="FF153" s="5">
        <f t="shared" si="421"/>
        <v>87.356070158095392</v>
      </c>
      <c r="FI153" s="562">
        <f t="shared" si="422"/>
        <v>-50</v>
      </c>
      <c r="FJ153">
        <f t="shared" si="423"/>
        <v>-50</v>
      </c>
      <c r="FL153">
        <f t="shared" si="476"/>
        <v>0.37313432835820903</v>
      </c>
    </row>
    <row r="154" spans="5:168">
      <c r="E154" s="170">
        <v>44</v>
      </c>
      <c r="F154" s="217">
        <f t="shared" si="477"/>
        <v>0.44</v>
      </c>
      <c r="G154" s="217"/>
      <c r="H154" s="217">
        <f t="shared" si="442"/>
        <v>7.2159999999999993</v>
      </c>
      <c r="I154" s="541">
        <f t="shared" si="443"/>
        <v>9.9391911011749841</v>
      </c>
      <c r="J154" s="172">
        <f t="shared" si="444"/>
        <v>16.836485339295006</v>
      </c>
      <c r="K154" s="172">
        <f t="shared" si="445"/>
        <v>26.77567644046999</v>
      </c>
      <c r="L154" s="443"/>
      <c r="M154" s="217">
        <f t="shared" si="446"/>
        <v>0.62878237905333634</v>
      </c>
      <c r="N154" s="172">
        <f t="shared" si="447"/>
        <v>20.910080607705972</v>
      </c>
      <c r="O154" s="172">
        <f t="shared" si="438"/>
        <v>7.2159999999999993</v>
      </c>
      <c r="P154" s="217">
        <f t="shared" si="448"/>
        <v>1.2750049151040228</v>
      </c>
      <c r="Q154" s="217">
        <f t="shared" si="449"/>
        <v>16.399999999999999</v>
      </c>
      <c r="R154" s="217"/>
      <c r="S154" s="172">
        <f t="shared" si="450"/>
        <v>65.418115165442885</v>
      </c>
      <c r="T154" s="172">
        <f t="shared" si="451"/>
        <v>16.399999999999999</v>
      </c>
      <c r="U154" s="217">
        <f t="shared" si="452"/>
        <v>2.3705771233484576</v>
      </c>
      <c r="V154" s="217">
        <f t="shared" si="453"/>
        <v>2.8620966425344792</v>
      </c>
      <c r="W154" s="217">
        <f t="shared" si="454"/>
        <v>1.6895999911447463</v>
      </c>
      <c r="X154" s="197">
        <f t="shared" si="455"/>
        <v>350</v>
      </c>
      <c r="Y154" s="443">
        <f t="shared" si="328"/>
        <v>210.45114557864835</v>
      </c>
      <c r="AA154" s="217">
        <f t="shared" si="456"/>
        <v>1.4880335928289881</v>
      </c>
      <c r="AB154" s="173">
        <f t="shared" si="457"/>
        <v>1.060577831661365</v>
      </c>
      <c r="AC154" s="173">
        <f t="shared" si="458"/>
        <v>0.2761807022313218</v>
      </c>
      <c r="AD154" s="173"/>
      <c r="AE154" s="173">
        <f t="shared" si="459"/>
        <v>0.95031710464281327</v>
      </c>
      <c r="AF154" s="545">
        <f t="shared" si="460"/>
        <v>694.50502024591879</v>
      </c>
      <c r="AG154" s="528">
        <f t="shared" si="461"/>
        <v>0.22174065774998977</v>
      </c>
      <c r="AI154" s="173">
        <f t="shared" si="462"/>
        <v>1.8782024777112978</v>
      </c>
      <c r="AJ154" s="173">
        <f t="shared" si="463"/>
        <v>2.3705771233484576</v>
      </c>
      <c r="AK154" s="173">
        <f t="shared" si="464"/>
        <v>1.9683287333445363</v>
      </c>
      <c r="AM154" s="545">
        <f t="shared" si="465"/>
        <v>440</v>
      </c>
      <c r="AN154" s="460">
        <f t="shared" si="466"/>
        <v>210.45114557864835</v>
      </c>
      <c r="AP154" s="460">
        <f t="shared" si="467"/>
        <v>440</v>
      </c>
      <c r="AQ154" s="460">
        <f t="shared" si="468"/>
        <v>210.45114557864835</v>
      </c>
      <c r="AS154" s="5">
        <f t="shared" si="439"/>
        <v>4.7516966336792263</v>
      </c>
      <c r="AT154" s="5">
        <f t="shared" si="469"/>
        <v>2.8620966425344792</v>
      </c>
      <c r="AU154" s="5">
        <f t="shared" si="343"/>
        <v>1.8895999911447472</v>
      </c>
      <c r="AV154" s="5"/>
      <c r="AW154" s="173">
        <f t="shared" si="344"/>
        <v>0.60233151717818423</v>
      </c>
      <c r="AX154" s="173">
        <f t="shared" si="435"/>
        <v>7.0959528744895231</v>
      </c>
      <c r="AY154" s="173">
        <f t="shared" si="436"/>
        <v>0.4713519040270428</v>
      </c>
      <c r="AZ154" s="173">
        <f t="shared" si="440"/>
        <v>15.054469524498639</v>
      </c>
      <c r="BA154" s="460">
        <f t="shared" si="433"/>
        <v>7.678795870214457</v>
      </c>
      <c r="BB154" s="5">
        <f t="shared" si="434"/>
        <v>1.1432313251401112</v>
      </c>
      <c r="BD154" s="173">
        <f t="shared" si="441"/>
        <v>1.0622121282613559</v>
      </c>
      <c r="BE154" s="173">
        <f t="shared" si="437"/>
        <v>0.86308595197050353</v>
      </c>
      <c r="BG154" s="528">
        <f t="shared" si="347"/>
        <v>2.2565892108510385E-2</v>
      </c>
      <c r="BH154" s="528">
        <f t="shared" si="470"/>
        <v>0.25046503488117317</v>
      </c>
      <c r="BI154" s="528">
        <f t="shared" si="471"/>
        <v>5.2292853834184562E-2</v>
      </c>
      <c r="BJ154" s="528">
        <f t="shared" si="350"/>
        <v>1.5088018114692172E-2</v>
      </c>
      <c r="BK154">
        <f t="shared" si="351"/>
        <v>4.4726359955287428E-3</v>
      </c>
      <c r="BL154" s="460">
        <f t="shared" si="427"/>
        <v>56.76548982971331</v>
      </c>
      <c r="BM154" s="528">
        <f t="shared" si="472"/>
        <v>0.29579770148426465</v>
      </c>
      <c r="BN154" s="460">
        <f t="shared" si="353"/>
        <v>295.79770148426468</v>
      </c>
      <c r="BO154" s="528">
        <f t="shared" si="354"/>
        <v>0.308</v>
      </c>
      <c r="BR154" s="460">
        <f t="shared" si="355"/>
        <v>308</v>
      </c>
      <c r="BS154" s="528">
        <f t="shared" si="356"/>
        <v>3.3848838162765571E-2</v>
      </c>
      <c r="BT154" s="528">
        <f t="shared" si="357"/>
        <v>2.2347520814664908E-2</v>
      </c>
      <c r="BU154" s="528">
        <f t="shared" si="358"/>
        <v>0.27796074197691395</v>
      </c>
      <c r="BV154" s="528"/>
      <c r="BW154" s="528">
        <f t="shared" si="359"/>
        <v>5.9132940620746019E-3</v>
      </c>
      <c r="BX154" s="460">
        <f t="shared" si="360"/>
        <v>340.07039501641901</v>
      </c>
      <c r="BY154" s="173">
        <f t="shared" si="361"/>
        <v>0.9929548299505081</v>
      </c>
      <c r="BZ154" s="5">
        <f t="shared" si="362"/>
        <v>7.2159999999999993</v>
      </c>
      <c r="CA154" s="173">
        <f t="shared" si="363"/>
        <v>0.87904004218323928</v>
      </c>
      <c r="CB154" s="5">
        <f t="shared" si="364"/>
        <v>87.904004218323934</v>
      </c>
      <c r="CE154" s="562">
        <f t="shared" si="473"/>
        <v>-50</v>
      </c>
      <c r="CF154">
        <f t="shared" si="474"/>
        <v>-50</v>
      </c>
      <c r="CG154" s="173">
        <f t="shared" si="475"/>
        <v>0.36178915298742081</v>
      </c>
      <c r="CI154" s="170">
        <v>44</v>
      </c>
      <c r="CJ154" s="217">
        <f t="shared" si="428"/>
        <v>0.44</v>
      </c>
      <c r="CK154" s="217"/>
      <c r="CL154" s="217">
        <f t="shared" si="368"/>
        <v>7.2159999999999993</v>
      </c>
      <c r="CM154" s="541">
        <f t="shared" si="369"/>
        <v>10</v>
      </c>
      <c r="CN154" s="443">
        <f t="shared" si="370"/>
        <v>16.799999999999997</v>
      </c>
      <c r="CO154" s="443">
        <f t="shared" si="371"/>
        <v>26.799999999999997</v>
      </c>
      <c r="CP154" s="443"/>
      <c r="CQ154" s="217">
        <f t="shared" si="372"/>
        <v>0.62686567164179097</v>
      </c>
      <c r="CR154" s="172">
        <f t="shared" si="429"/>
        <v>20.973880597014926</v>
      </c>
      <c r="CS154" s="172">
        <f t="shared" si="373"/>
        <v>7.2159999999999993</v>
      </c>
      <c r="CT154" s="217">
        <f t="shared" si="374"/>
        <v>1.2788951583545687</v>
      </c>
      <c r="CU154" s="217">
        <f t="shared" si="375"/>
        <v>16.399999999999999</v>
      </c>
      <c r="CV154" s="217"/>
      <c r="CW154" s="172">
        <f t="shared" si="376"/>
        <v>65.81798230970071</v>
      </c>
      <c r="CX154" s="172">
        <f t="shared" si="377"/>
        <v>16.399999999999999</v>
      </c>
      <c r="CY154" s="217">
        <f t="shared" si="378"/>
        <v>2.3022476190476189</v>
      </c>
      <c r="CZ154" s="217">
        <f t="shared" si="379"/>
        <v>2.7626971428571427</v>
      </c>
      <c r="DA154" s="217">
        <f t="shared" si="380"/>
        <v>1.6444625850340138</v>
      </c>
      <c r="DB154" s="197">
        <f t="shared" si="381"/>
        <v>350</v>
      </c>
      <c r="DC154" s="443">
        <f t="shared" si="382"/>
        <v>226.90350741576231</v>
      </c>
      <c r="DE154" s="217">
        <f t="shared" si="383"/>
        <v>1.4925373134328355</v>
      </c>
      <c r="DF154" s="173">
        <f t="shared" si="384"/>
        <v>1.0660980810234544</v>
      </c>
      <c r="DG154" s="173">
        <f t="shared" si="385"/>
        <v>0.27845845399866342</v>
      </c>
      <c r="DH154" s="173"/>
      <c r="DI154" s="173">
        <f t="shared" si="386"/>
        <v>0.95238095238095266</v>
      </c>
      <c r="DJ154" s="545">
        <f t="shared" si="387"/>
        <v>692.99999999999977</v>
      </c>
      <c r="DK154" s="528">
        <f t="shared" si="388"/>
        <v>0.22222222222222232</v>
      </c>
      <c r="DM154" s="173">
        <f t="shared" si="389"/>
        <v>1.8761663039293717</v>
      </c>
      <c r="DN154" s="173">
        <f t="shared" si="390"/>
        <v>2.3022476190476189</v>
      </c>
      <c r="DO154" s="173">
        <f t="shared" si="391"/>
        <v>1.9177142857142855</v>
      </c>
      <c r="DQ154" s="545">
        <f t="shared" si="392"/>
        <v>440</v>
      </c>
      <c r="DR154" s="460">
        <f t="shared" si="393"/>
        <v>226.90350741576231</v>
      </c>
      <c r="DT154">
        <f t="shared" si="430"/>
        <v>440</v>
      </c>
      <c r="DU154">
        <f t="shared" si="431"/>
        <v>226.90350741576231</v>
      </c>
      <c r="DW154" s="5">
        <f t="shared" si="394"/>
        <v>4.4071597278911563</v>
      </c>
      <c r="DX154" s="5">
        <f t="shared" si="395"/>
        <v>2.7626971428571427</v>
      </c>
      <c r="DY154" s="5">
        <f t="shared" si="396"/>
        <v>1.6444625850340135</v>
      </c>
      <c r="DZ154" s="5"/>
      <c r="EA154" s="173">
        <f t="shared" si="397"/>
        <v>0.62686567164179108</v>
      </c>
      <c r="EB154" s="173">
        <f t="shared" si="398"/>
        <v>7.2159999999999993</v>
      </c>
      <c r="EC154" s="173">
        <f t="shared" si="399"/>
        <v>0.42952380952380947</v>
      </c>
      <c r="ED154" s="173">
        <f t="shared" si="400"/>
        <v>16.8</v>
      </c>
      <c r="EE154" s="460">
        <f t="shared" si="401"/>
        <v>7.4121142857142868</v>
      </c>
      <c r="EF154" s="5">
        <f t="shared" si="402"/>
        <v>0.98887016780045323</v>
      </c>
      <c r="EH154" s="173">
        <f t="shared" si="403"/>
        <v>1.0523946920887182</v>
      </c>
      <c r="EI154" s="173">
        <f t="shared" si="404"/>
        <v>0.81194013235806706</v>
      </c>
      <c r="EK154" s="528">
        <f t="shared" si="405"/>
        <v>2.2150691758730159E-2</v>
      </c>
      <c r="EL154" s="528">
        <f t="shared" si="406"/>
        <v>0.27999999999999997</v>
      </c>
      <c r="EM154" s="528">
        <f t="shared" si="407"/>
        <v>2.8362938426970286E-2</v>
      </c>
      <c r="EN154" s="528">
        <f t="shared" si="408"/>
        <v>1.6297117516629711E-2</v>
      </c>
      <c r="EO154">
        <f t="shared" si="409"/>
        <v>4.4999999999999997E-3</v>
      </c>
      <c r="EP154" s="460">
        <f t="shared" si="410"/>
        <v>32.862938426970288</v>
      </c>
      <c r="EQ154" s="460"/>
      <c r="ER154" s="460">
        <f t="shared" si="432"/>
        <v>351.3107477023301</v>
      </c>
      <c r="ES154" s="528">
        <f t="shared" si="411"/>
        <v>0.308</v>
      </c>
      <c r="EV154" s="460">
        <f t="shared" si="412"/>
        <v>308</v>
      </c>
      <c r="EW154" s="528">
        <f t="shared" si="413"/>
        <v>3.3226037638095236E-2</v>
      </c>
      <c r="EX154" s="528">
        <f t="shared" si="414"/>
        <v>1.9777403356009061E-2</v>
      </c>
      <c r="EY154" s="528">
        <f t="shared" si="415"/>
        <v>0.31185528502698295</v>
      </c>
      <c r="EZ154" s="528"/>
      <c r="FA154" s="528">
        <f t="shared" si="416"/>
        <v>6.0133333333333323E-3</v>
      </c>
      <c r="FB154" s="460">
        <f t="shared" si="417"/>
        <v>370.87205935442057</v>
      </c>
      <c r="FC154" s="173">
        <f t="shared" si="418"/>
        <v>1.0301828070567509</v>
      </c>
      <c r="FD154" s="5">
        <f t="shared" si="419"/>
        <v>7.2159999999999993</v>
      </c>
      <c r="FE154" s="173">
        <f t="shared" si="420"/>
        <v>0.87507155357080346</v>
      </c>
      <c r="FF154" s="5">
        <f t="shared" si="421"/>
        <v>87.50715535708035</v>
      </c>
      <c r="FI154" s="562">
        <f t="shared" si="422"/>
        <v>-50</v>
      </c>
      <c r="FJ154">
        <f t="shared" si="423"/>
        <v>-50</v>
      </c>
      <c r="FL154">
        <f t="shared" si="476"/>
        <v>0.37313432835820892</v>
      </c>
    </row>
    <row r="155" spans="5:168">
      <c r="E155" s="170">
        <v>45</v>
      </c>
      <c r="F155" s="217">
        <f t="shared" si="477"/>
        <v>0.45</v>
      </c>
      <c r="G155" s="217"/>
      <c r="H155" s="217">
        <f t="shared" si="442"/>
        <v>7.38</v>
      </c>
      <c r="I155" s="541">
        <f t="shared" si="443"/>
        <v>9.9378523886943473</v>
      </c>
      <c r="J155" s="172">
        <f t="shared" si="444"/>
        <v>16.837288566783389</v>
      </c>
      <c r="K155" s="172">
        <f t="shared" si="445"/>
        <v>26.775140955477738</v>
      </c>
      <c r="L155" s="443"/>
      <c r="M155" s="217">
        <f t="shared" si="446"/>
        <v>0.62882496575709224</v>
      </c>
      <c r="N155" s="172">
        <f t="shared" si="447"/>
        <v>20.908680247832784</v>
      </c>
      <c r="O155" s="172">
        <f t="shared" si="438"/>
        <v>7.38</v>
      </c>
      <c r="P155" s="217">
        <f t="shared" si="448"/>
        <v>1.2749195273068772</v>
      </c>
      <c r="Q155" s="217">
        <f t="shared" si="449"/>
        <v>16.399999999999999</v>
      </c>
      <c r="R155" s="217"/>
      <c r="S155" s="172">
        <f t="shared" si="450"/>
        <v>63.737847094299596</v>
      </c>
      <c r="T155" s="172">
        <f t="shared" si="451"/>
        <v>16.399999999999999</v>
      </c>
      <c r="U155" s="217">
        <f t="shared" si="452"/>
        <v>2.4247320454505932</v>
      </c>
      <c r="V155" s="217">
        <f t="shared" si="453"/>
        <v>2.9278744951483331</v>
      </c>
      <c r="W155" s="217">
        <f t="shared" si="454"/>
        <v>1.7281158085518158</v>
      </c>
      <c r="X155" s="197">
        <f t="shared" si="455"/>
        <v>350</v>
      </c>
      <c r="Y155" s="443">
        <f t="shared" si="328"/>
        <v>205.93121844539596</v>
      </c>
      <c r="AA155" s="217">
        <f t="shared" si="456"/>
        <v>1.4879339071301274</v>
      </c>
      <c r="AB155" s="173">
        <f t="shared" si="457"/>
        <v>1.0604561901247145</v>
      </c>
      <c r="AC155" s="173">
        <f t="shared" si="458"/>
        <v>0.27613052640470426</v>
      </c>
      <c r="AD155" s="173"/>
      <c r="AE155" s="173">
        <f t="shared" si="459"/>
        <v>0.95027176950360115</v>
      </c>
      <c r="AF155" s="545">
        <f t="shared" si="460"/>
        <v>710.32311141117407</v>
      </c>
      <c r="AG155" s="528">
        <f t="shared" si="461"/>
        <v>0.22173007955084029</v>
      </c>
      <c r="AI155" s="173">
        <f t="shared" si="462"/>
        <v>1.8994710861626374</v>
      </c>
      <c r="AJ155" s="173">
        <f t="shared" si="463"/>
        <v>2.4247320454505932</v>
      </c>
      <c r="AK155" s="173">
        <f t="shared" si="464"/>
        <v>2.0084434904572293</v>
      </c>
      <c r="AM155" s="545">
        <f t="shared" si="465"/>
        <v>450</v>
      </c>
      <c r="AN155" s="460">
        <f t="shared" si="466"/>
        <v>205.93121844539596</v>
      </c>
      <c r="AP155" s="460">
        <f t="shared" si="467"/>
        <v>450</v>
      </c>
      <c r="AQ155" s="460">
        <f t="shared" si="468"/>
        <v>205.93121844539596</v>
      </c>
      <c r="AS155" s="5">
        <f t="shared" si="439"/>
        <v>4.8559903037001488</v>
      </c>
      <c r="AT155" s="5">
        <f t="shared" si="469"/>
        <v>2.9278744951483331</v>
      </c>
      <c r="AU155" s="5">
        <f t="shared" si="343"/>
        <v>1.9281158085518157</v>
      </c>
      <c r="AV155" s="5"/>
      <c r="AW155" s="173">
        <f t="shared" si="344"/>
        <v>0.60294076224109483</v>
      </c>
      <c r="AX155" s="173">
        <f t="shared" si="435"/>
        <v>7.2644199735182076</v>
      </c>
      <c r="AY155" s="173">
        <f t="shared" si="436"/>
        <v>0.48138112886810175</v>
      </c>
      <c r="AZ155" s="173">
        <f t="shared" si="440"/>
        <v>15.090786775541956</v>
      </c>
      <c r="BA155" s="460">
        <f t="shared" si="433"/>
        <v>8.033801968394819</v>
      </c>
      <c r="BB155" s="5">
        <f t="shared" si="434"/>
        <v>1.1932067169848133</v>
      </c>
      <c r="BD155" s="173">
        <f t="shared" si="441"/>
        <v>1.0870272909410144</v>
      </c>
      <c r="BE155" s="173">
        <f t="shared" si="437"/>
        <v>0.88212631341989722</v>
      </c>
      <c r="BG155" s="528">
        <f t="shared" si="347"/>
        <v>2.3632566625011214E-2</v>
      </c>
      <c r="BH155" s="528">
        <f t="shared" si="470"/>
        <v>0.25067959199306133</v>
      </c>
      <c r="BI155" s="528">
        <f t="shared" si="471"/>
        <v>5.1162851278357881E-2</v>
      </c>
      <c r="BJ155" s="528">
        <f t="shared" si="350"/>
        <v>1.4763377361759443E-2</v>
      </c>
      <c r="BK155">
        <f t="shared" si="351"/>
        <v>4.4720335749124564E-3</v>
      </c>
      <c r="BL155" s="460">
        <f t="shared" si="427"/>
        <v>55.634884853270336</v>
      </c>
      <c r="BM155" s="528">
        <f t="shared" si="472"/>
        <v>0.29712471330151419</v>
      </c>
      <c r="BN155" s="460">
        <f t="shared" si="353"/>
        <v>297.12471330151419</v>
      </c>
      <c r="BO155" s="528">
        <f t="shared" si="354"/>
        <v>0.315</v>
      </c>
      <c r="BR155" s="460">
        <f t="shared" si="355"/>
        <v>315</v>
      </c>
      <c r="BS155" s="528">
        <f t="shared" si="356"/>
        <v>3.5448849937516819E-2</v>
      </c>
      <c r="BT155" s="528">
        <f t="shared" si="357"/>
        <v>2.334440498483336E-2</v>
      </c>
      <c r="BU155" s="528">
        <f t="shared" si="358"/>
        <v>0.27857032928977304</v>
      </c>
      <c r="BV155" s="528"/>
      <c r="BW155" s="528">
        <f t="shared" si="359"/>
        <v>6.0536833112651732E-3</v>
      </c>
      <c r="BX155" s="460">
        <f t="shared" si="360"/>
        <v>343.41726752338838</v>
      </c>
      <c r="BY155" s="173">
        <f t="shared" si="361"/>
        <v>1.0031276883564908</v>
      </c>
      <c r="BZ155" s="5">
        <f t="shared" si="362"/>
        <v>7.38</v>
      </c>
      <c r="CA155" s="173">
        <f t="shared" si="363"/>
        <v>0.88033968637388693</v>
      </c>
      <c r="CB155" s="5">
        <f t="shared" si="364"/>
        <v>88.033968637388696</v>
      </c>
      <c r="CE155" s="562">
        <f t="shared" si="473"/>
        <v>-50</v>
      </c>
      <c r="CF155">
        <f t="shared" si="474"/>
        <v>-50</v>
      </c>
      <c r="CG155" s="173">
        <f t="shared" si="475"/>
        <v>0.36204126799566044</v>
      </c>
      <c r="CI155" s="170">
        <v>45</v>
      </c>
      <c r="CJ155" s="217">
        <f t="shared" si="428"/>
        <v>0.45</v>
      </c>
      <c r="CK155" s="217"/>
      <c r="CL155" s="217">
        <f t="shared" si="368"/>
        <v>7.38</v>
      </c>
      <c r="CM155" s="541">
        <f t="shared" si="369"/>
        <v>10</v>
      </c>
      <c r="CN155" s="443">
        <f t="shared" si="370"/>
        <v>16.799999999999997</v>
      </c>
      <c r="CO155" s="443">
        <f t="shared" si="371"/>
        <v>26.799999999999997</v>
      </c>
      <c r="CP155" s="443"/>
      <c r="CQ155" s="217">
        <f t="shared" si="372"/>
        <v>0.62686567164179097</v>
      </c>
      <c r="CR155" s="172">
        <f t="shared" si="429"/>
        <v>20.973880597014926</v>
      </c>
      <c r="CS155" s="172">
        <f t="shared" si="373"/>
        <v>7.38</v>
      </c>
      <c r="CT155" s="217">
        <f t="shared" si="374"/>
        <v>1.2788951583545687</v>
      </c>
      <c r="CU155" s="217">
        <f t="shared" si="375"/>
        <v>16.399999999999999</v>
      </c>
      <c r="CV155" s="217"/>
      <c r="CW155" s="172">
        <f t="shared" si="376"/>
        <v>64.136054931197506</v>
      </c>
      <c r="CX155" s="172">
        <f t="shared" si="377"/>
        <v>16.399999999999999</v>
      </c>
      <c r="CY155" s="217">
        <f t="shared" si="378"/>
        <v>2.3545714285714285</v>
      </c>
      <c r="CZ155" s="217">
        <f t="shared" si="379"/>
        <v>2.8254857142857142</v>
      </c>
      <c r="DA155" s="217">
        <f t="shared" si="380"/>
        <v>1.6818367346938778</v>
      </c>
      <c r="DB155" s="197">
        <f t="shared" si="381"/>
        <v>350</v>
      </c>
      <c r="DC155" s="443">
        <f t="shared" si="382"/>
        <v>221.86120725096762</v>
      </c>
      <c r="DE155" s="217">
        <f t="shared" si="383"/>
        <v>1.4925373134328355</v>
      </c>
      <c r="DF155" s="173">
        <f t="shared" si="384"/>
        <v>1.0660980810234544</v>
      </c>
      <c r="DG155" s="173">
        <f t="shared" si="385"/>
        <v>0.27845845399866342</v>
      </c>
      <c r="DH155" s="173"/>
      <c r="DI155" s="173">
        <f t="shared" si="386"/>
        <v>0.95238095238095266</v>
      </c>
      <c r="DJ155" s="545">
        <f t="shared" si="387"/>
        <v>708.74999999999977</v>
      </c>
      <c r="DK155" s="528">
        <f t="shared" si="388"/>
        <v>0.22222222222222232</v>
      </c>
      <c r="DM155" s="173">
        <f t="shared" si="389"/>
        <v>1.8973665961010273</v>
      </c>
      <c r="DN155" s="173">
        <f t="shared" si="390"/>
        <v>2.3545714285714285</v>
      </c>
      <c r="DO155" s="173">
        <f t="shared" si="391"/>
        <v>1.9564726631393297</v>
      </c>
      <c r="DQ155" s="545">
        <f t="shared" si="392"/>
        <v>450</v>
      </c>
      <c r="DR155" s="460">
        <f t="shared" si="393"/>
        <v>221.86120725096762</v>
      </c>
      <c r="DT155">
        <f t="shared" si="430"/>
        <v>450</v>
      </c>
      <c r="DU155">
        <f t="shared" si="431"/>
        <v>221.86120725096762</v>
      </c>
      <c r="DW155" s="5">
        <f t="shared" si="394"/>
        <v>4.5073224489795907</v>
      </c>
      <c r="DX155" s="5">
        <f t="shared" si="395"/>
        <v>2.8254857142857142</v>
      </c>
      <c r="DY155" s="5">
        <f t="shared" si="396"/>
        <v>1.6818367346938765</v>
      </c>
      <c r="DZ155" s="5"/>
      <c r="EA155" s="173">
        <f t="shared" si="397"/>
        <v>0.62686567164179119</v>
      </c>
      <c r="EB155" s="173">
        <f t="shared" si="398"/>
        <v>7.3800000000000017</v>
      </c>
      <c r="EC155" s="173">
        <f t="shared" si="399"/>
        <v>0.43928571428571411</v>
      </c>
      <c r="ED155" s="173">
        <f t="shared" si="400"/>
        <v>16.800000000000011</v>
      </c>
      <c r="EE155" s="460">
        <f t="shared" si="401"/>
        <v>7.7528571428571436</v>
      </c>
      <c r="EF155" s="5">
        <f t="shared" si="402"/>
        <v>1.0343295918367339</v>
      </c>
      <c r="EH155" s="173">
        <f t="shared" si="403"/>
        <v>1.0763127532725527</v>
      </c>
      <c r="EI155" s="173">
        <f t="shared" si="404"/>
        <v>0.83039331718438669</v>
      </c>
      <c r="EK155" s="528">
        <f t="shared" si="405"/>
        <v>2.3168982857142858E-2</v>
      </c>
      <c r="EL155" s="528">
        <f t="shared" si="406"/>
        <v>0.28000000000000003</v>
      </c>
      <c r="EM155" s="528">
        <f t="shared" si="407"/>
        <v>2.7732650906370952E-2</v>
      </c>
      <c r="EN155" s="528">
        <f t="shared" si="408"/>
        <v>1.5934959349593495E-2</v>
      </c>
      <c r="EO155">
        <f t="shared" si="409"/>
        <v>4.4999999999999997E-3</v>
      </c>
      <c r="EP155" s="460">
        <f t="shared" si="410"/>
        <v>32.232650906370949</v>
      </c>
      <c r="EQ155" s="460"/>
      <c r="ER155" s="460">
        <f t="shared" si="432"/>
        <v>351.33659311310731</v>
      </c>
      <c r="ES155" s="528">
        <f t="shared" si="411"/>
        <v>0.315</v>
      </c>
      <c r="EV155" s="460">
        <f t="shared" si="412"/>
        <v>315</v>
      </c>
      <c r="EW155" s="528">
        <f t="shared" si="413"/>
        <v>3.4753474285714285E-2</v>
      </c>
      <c r="EX155" s="528">
        <f t="shared" si="414"/>
        <v>2.0686591836734682E-2</v>
      </c>
      <c r="EY155" s="528">
        <f t="shared" si="415"/>
        <v>0.31185528502698323</v>
      </c>
      <c r="EZ155" s="528"/>
      <c r="FA155" s="528">
        <f t="shared" si="416"/>
        <v>6.150000000000001E-3</v>
      </c>
      <c r="FB155" s="460">
        <f t="shared" si="417"/>
        <v>373.44535114943216</v>
      </c>
      <c r="FC155" s="173">
        <f t="shared" si="418"/>
        <v>1.0397819442625396</v>
      </c>
      <c r="FD155" s="5">
        <f t="shared" si="419"/>
        <v>7.38</v>
      </c>
      <c r="FE155" s="173">
        <f t="shared" si="420"/>
        <v>0.87650725979060851</v>
      </c>
      <c r="FF155" s="5">
        <f t="shared" si="421"/>
        <v>87.650725979060852</v>
      </c>
      <c r="FI155" s="562">
        <f t="shared" si="422"/>
        <v>-50</v>
      </c>
      <c r="FJ155">
        <f t="shared" si="423"/>
        <v>-50</v>
      </c>
      <c r="FL155">
        <f t="shared" si="476"/>
        <v>0.37313432835820881</v>
      </c>
    </row>
    <row r="156" spans="5:168" s="76" customFormat="1">
      <c r="E156" s="189">
        <v>46</v>
      </c>
      <c r="F156" s="329">
        <f t="shared" si="477"/>
        <v>0.46</v>
      </c>
      <c r="G156" s="329"/>
      <c r="H156" s="329">
        <f t="shared" si="442"/>
        <v>7.5439999999999996</v>
      </c>
      <c r="I156" s="541">
        <f t="shared" si="443"/>
        <v>9.9365136185577931</v>
      </c>
      <c r="J156" s="172">
        <f t="shared" si="444"/>
        <v>16.83809182886532</v>
      </c>
      <c r="K156" s="172">
        <f t="shared" si="445"/>
        <v>26.774605447423113</v>
      </c>
      <c r="L156" s="535"/>
      <c r="M156" s="217">
        <f t="shared" si="446"/>
        <v>0.62886755551615359</v>
      </c>
      <c r="N156" s="172">
        <f t="shared" si="447"/>
        <v>20.907279486722057</v>
      </c>
      <c r="O156" s="172">
        <f t="shared" si="438"/>
        <v>7.5439999999999996</v>
      </c>
      <c r="P156" s="329">
        <f t="shared" si="448"/>
        <v>1.2748341150440279</v>
      </c>
      <c r="Q156" s="329">
        <f t="shared" si="449"/>
        <v>16.399999999999999</v>
      </c>
      <c r="R156" s="329"/>
      <c r="S156" s="172">
        <f t="shared" si="450"/>
        <v>62.130770648511088</v>
      </c>
      <c r="T156" s="172">
        <f t="shared" si="451"/>
        <v>16.399999999999999</v>
      </c>
      <c r="U156" s="217">
        <f t="shared" si="452"/>
        <v>2.4788994162973084</v>
      </c>
      <c r="V156" s="329">
        <f t="shared" si="453"/>
        <v>2.9936851231212032</v>
      </c>
      <c r="W156" s="329">
        <f t="shared" si="454"/>
        <v>1.7666368195339788</v>
      </c>
      <c r="X156" s="537">
        <f t="shared" si="455"/>
        <v>350</v>
      </c>
      <c r="Y156" s="443">
        <f t="shared" si="328"/>
        <v>201.59981782648484</v>
      </c>
      <c r="AA156" s="329">
        <f t="shared" si="456"/>
        <v>1.4878341940249069</v>
      </c>
      <c r="AB156" s="538">
        <f t="shared" si="457"/>
        <v>1.0603345384832734</v>
      </c>
      <c r="AC156" s="538">
        <f t="shared" si="458"/>
        <v>0.27608034710568069</v>
      </c>
      <c r="AD156" s="538"/>
      <c r="AE156" s="538">
        <f t="shared" si="459"/>
        <v>0.9502264367374107</v>
      </c>
      <c r="AF156" s="545">
        <f t="shared" si="460"/>
        <v>726.14271011981668</v>
      </c>
      <c r="AG156" s="579">
        <f t="shared" si="461"/>
        <v>0.22171950190539585</v>
      </c>
      <c r="AI156" s="538">
        <f t="shared" si="462"/>
        <v>1.9205061635980547</v>
      </c>
      <c r="AJ156" s="538">
        <f t="shared" si="463"/>
        <v>2.4788994162973084</v>
      </c>
      <c r="AK156" s="538">
        <f t="shared" si="464"/>
        <v>2.0485674688622035</v>
      </c>
      <c r="AM156" s="563">
        <f t="shared" si="465"/>
        <v>460</v>
      </c>
      <c r="AN156" s="564">
        <f t="shared" si="466"/>
        <v>201.59981782648484</v>
      </c>
      <c r="AP156" s="76">
        <f t="shared" si="467"/>
        <v>460</v>
      </c>
      <c r="AQ156" s="76">
        <f t="shared" si="468"/>
        <v>201.59981782648484</v>
      </c>
      <c r="AS156" s="534">
        <f t="shared" si="439"/>
        <v>4.9603219426551819</v>
      </c>
      <c r="AT156" s="5">
        <f t="shared" si="469"/>
        <v>2.9936851231212032</v>
      </c>
      <c r="AU156" s="5">
        <f t="shared" si="343"/>
        <v>1.9666368195339787</v>
      </c>
      <c r="AV156" s="5"/>
      <c r="AW156" s="173">
        <f t="shared" si="344"/>
        <v>0.60352637545109233</v>
      </c>
      <c r="AX156" s="173">
        <f t="shared" si="435"/>
        <v>7.432915508903255</v>
      </c>
      <c r="AY156" s="173">
        <f t="shared" si="436"/>
        <v>0.4914091182357827</v>
      </c>
      <c r="AZ156" s="173">
        <f t="shared" si="440"/>
        <v>15.125717519423139</v>
      </c>
      <c r="BA156" s="460">
        <f t="shared" si="433"/>
        <v>8.3969216868033758</v>
      </c>
      <c r="BB156" s="5">
        <f t="shared" si="434"/>
        <v>1.2442583599657049</v>
      </c>
      <c r="BD156" s="173">
        <f t="shared" si="441"/>
        <v>1.1118505240369052</v>
      </c>
      <c r="BE156" s="173">
        <f t="shared" si="437"/>
        <v>0.90116730831289293</v>
      </c>
      <c r="BG156" s="528">
        <f t="shared" si="347"/>
        <v>2.4724231756022817E-2</v>
      </c>
      <c r="BH156" s="528">
        <f t="shared" si="470"/>
        <v>0.2508842467126246</v>
      </c>
      <c r="BI156" s="528">
        <f t="shared" si="471"/>
        <v>5.0079983383290907E-2</v>
      </c>
      <c r="BJ156" s="528">
        <f t="shared" si="350"/>
        <v>1.445227759715623E-2</v>
      </c>
      <c r="BK156">
        <f t="shared" si="351"/>
        <v>4.4714311283510066E-3</v>
      </c>
      <c r="BL156" s="460">
        <f t="shared" si="427"/>
        <v>54.551414511641916</v>
      </c>
      <c r="BM156" s="528">
        <f t="shared" si="472"/>
        <v>0.29848977006779503</v>
      </c>
      <c r="BN156" s="460">
        <f t="shared" si="353"/>
        <v>298.48977006779501</v>
      </c>
      <c r="BO156" s="528">
        <f t="shared" si="354"/>
        <v>0.32200000000000001</v>
      </c>
      <c r="BR156" s="460">
        <f t="shared" si="355"/>
        <v>322</v>
      </c>
      <c r="BS156" s="528">
        <f t="shared" si="356"/>
        <v>3.7086347634034227E-2</v>
      </c>
      <c r="BT156" s="528">
        <f t="shared" si="357"/>
        <v>2.4363075527157139E-2</v>
      </c>
      <c r="BU156" s="528">
        <f t="shared" si="358"/>
        <v>0.27915319682037121</v>
      </c>
      <c r="BV156" s="528"/>
      <c r="BW156" s="528">
        <f t="shared" si="359"/>
        <v>6.1940962574193797E-3</v>
      </c>
      <c r="BX156" s="460">
        <f t="shared" si="360"/>
        <v>346.79671623898201</v>
      </c>
      <c r="BY156" s="173">
        <f t="shared" si="361"/>
        <v>1.0134088868164275</v>
      </c>
      <c r="BZ156" s="5">
        <f t="shared" si="362"/>
        <v>7.5439999999999996</v>
      </c>
      <c r="CA156" s="173">
        <f t="shared" si="363"/>
        <v>0.88157526416931076</v>
      </c>
      <c r="CB156" s="5">
        <f t="shared" si="364"/>
        <v>88.157526416931077</v>
      </c>
      <c r="CE156" s="562">
        <f t="shared" si="473"/>
        <v>-50</v>
      </c>
      <c r="CF156">
        <f t="shared" si="474"/>
        <v>-50</v>
      </c>
      <c r="CG156" s="173">
        <f t="shared" si="475"/>
        <v>0.3622824214818029</v>
      </c>
      <c r="CH156"/>
      <c r="CI156" s="189">
        <v>46</v>
      </c>
      <c r="CJ156" s="329">
        <f t="shared" si="428"/>
        <v>0.46</v>
      </c>
      <c r="CK156" s="329"/>
      <c r="CL156" s="329">
        <f t="shared" si="368"/>
        <v>7.5439999999999996</v>
      </c>
      <c r="CM156" s="541">
        <f t="shared" si="369"/>
        <v>10</v>
      </c>
      <c r="CN156" s="443">
        <f t="shared" si="370"/>
        <v>16.799999999999997</v>
      </c>
      <c r="CO156" s="535">
        <f t="shared" si="371"/>
        <v>26.799999999999997</v>
      </c>
      <c r="CP156" s="535"/>
      <c r="CQ156" s="329">
        <f t="shared" si="372"/>
        <v>0.62686567164179097</v>
      </c>
      <c r="CR156" s="172">
        <f t="shared" si="429"/>
        <v>20.973880597014926</v>
      </c>
      <c r="CS156" s="172">
        <f t="shared" si="373"/>
        <v>7.5439999999999996</v>
      </c>
      <c r="CT156" s="329">
        <f t="shared" si="374"/>
        <v>1.2788951583545687</v>
      </c>
      <c r="CU156" s="329">
        <f t="shared" si="375"/>
        <v>16.399999999999999</v>
      </c>
      <c r="CV156" s="329"/>
      <c r="CW156" s="172">
        <f t="shared" si="376"/>
        <v>62.527333498068423</v>
      </c>
      <c r="CX156" s="172">
        <f t="shared" si="377"/>
        <v>16.399999999999999</v>
      </c>
      <c r="CY156" s="217">
        <f t="shared" si="378"/>
        <v>2.4068952380952382</v>
      </c>
      <c r="CZ156" s="329">
        <f t="shared" si="379"/>
        <v>2.888274285714286</v>
      </c>
      <c r="DA156" s="329">
        <f t="shared" si="380"/>
        <v>1.7192108843537419</v>
      </c>
      <c r="DB156" s="537">
        <f t="shared" si="381"/>
        <v>350</v>
      </c>
      <c r="DC156" s="535">
        <f t="shared" si="382"/>
        <v>217.03813752812042</v>
      </c>
      <c r="DE156" s="329">
        <f t="shared" si="383"/>
        <v>1.4925373134328355</v>
      </c>
      <c r="DF156" s="538">
        <f t="shared" si="384"/>
        <v>1.0660980810234544</v>
      </c>
      <c r="DG156" s="538">
        <f t="shared" si="385"/>
        <v>0.27845845399866342</v>
      </c>
      <c r="DH156" s="538"/>
      <c r="DI156" s="538">
        <f t="shared" si="386"/>
        <v>0.95238095238095266</v>
      </c>
      <c r="DJ156" s="545">
        <f t="shared" si="387"/>
        <v>724.49999999999977</v>
      </c>
      <c r="DK156" s="579">
        <f t="shared" si="388"/>
        <v>0.22222222222222232</v>
      </c>
      <c r="DM156" s="538">
        <f t="shared" si="389"/>
        <v>1.9183326093250876</v>
      </c>
      <c r="DN156" s="538">
        <f t="shared" si="390"/>
        <v>2.4068952380952382</v>
      </c>
      <c r="DO156" s="538">
        <f t="shared" si="391"/>
        <v>1.9952310405643738</v>
      </c>
      <c r="DQ156" s="563">
        <f t="shared" si="392"/>
        <v>460</v>
      </c>
      <c r="DR156" s="564">
        <f t="shared" si="393"/>
        <v>217.03813752812042</v>
      </c>
      <c r="DT156">
        <f t="shared" si="430"/>
        <v>460</v>
      </c>
      <c r="DU156">
        <f t="shared" si="431"/>
        <v>217.03813752812042</v>
      </c>
      <c r="DW156" s="534">
        <f t="shared" si="394"/>
        <v>4.6074851700680277</v>
      </c>
      <c r="DX156" s="5">
        <f t="shared" si="395"/>
        <v>2.888274285714286</v>
      </c>
      <c r="DY156" s="5">
        <f t="shared" si="396"/>
        <v>1.7192108843537417</v>
      </c>
      <c r="DZ156" s="5"/>
      <c r="EA156" s="173">
        <f t="shared" si="397"/>
        <v>0.62686567164179108</v>
      </c>
      <c r="EB156" s="173">
        <f t="shared" si="398"/>
        <v>7.5439999999999987</v>
      </c>
      <c r="EC156" s="173">
        <f t="shared" si="399"/>
        <v>0.44904761904761903</v>
      </c>
      <c r="ED156" s="173">
        <f t="shared" si="400"/>
        <v>16.799999999999997</v>
      </c>
      <c r="EE156" s="460">
        <f t="shared" si="401"/>
        <v>8.1012571428571452</v>
      </c>
      <c r="EF156" s="5">
        <f t="shared" si="402"/>
        <v>1.0808105759637188</v>
      </c>
      <c r="EH156" s="173">
        <f t="shared" si="403"/>
        <v>1.1002308144563873</v>
      </c>
      <c r="EI156" s="173">
        <f t="shared" si="404"/>
        <v>0.84884650201070655</v>
      </c>
      <c r="EK156" s="528">
        <f t="shared" si="405"/>
        <v>2.4210156901587305E-2</v>
      </c>
      <c r="EL156" s="528">
        <f t="shared" si="406"/>
        <v>0.27999999999999992</v>
      </c>
      <c r="EM156" s="528">
        <f t="shared" si="407"/>
        <v>2.712976719101505E-2</v>
      </c>
      <c r="EN156" s="528">
        <f t="shared" si="408"/>
        <v>1.5588547189819722E-2</v>
      </c>
      <c r="EO156">
        <f t="shared" si="409"/>
        <v>4.4999999999999997E-3</v>
      </c>
      <c r="EP156" s="460">
        <f t="shared" si="410"/>
        <v>31.629767191015048</v>
      </c>
      <c r="EQ156" s="460"/>
      <c r="ER156" s="460">
        <f t="shared" si="432"/>
        <v>351.42847128242198</v>
      </c>
      <c r="ES156" s="528">
        <f t="shared" si="411"/>
        <v>0.32200000000000001</v>
      </c>
      <c r="EV156" s="460">
        <f t="shared" si="412"/>
        <v>322</v>
      </c>
      <c r="EW156" s="528">
        <f t="shared" si="413"/>
        <v>3.6315235352380952E-2</v>
      </c>
      <c r="EX156" s="528">
        <f t="shared" si="414"/>
        <v>2.1616211519274373E-2</v>
      </c>
      <c r="EY156" s="528">
        <f t="shared" si="415"/>
        <v>0.31185528502698312</v>
      </c>
      <c r="EZ156" s="528"/>
      <c r="FA156" s="528">
        <f t="shared" si="416"/>
        <v>6.2866666666666661E-3</v>
      </c>
      <c r="FB156" s="460">
        <f t="shared" si="417"/>
        <v>376.07339856530507</v>
      </c>
      <c r="FC156" s="173">
        <f t="shared" si="418"/>
        <v>1.0495018698477272</v>
      </c>
      <c r="FD156" s="5">
        <f t="shared" si="419"/>
        <v>7.5439999999999996</v>
      </c>
      <c r="FE156" s="173">
        <f t="shared" si="420"/>
        <v>0.87787261983032261</v>
      </c>
      <c r="FF156" s="5">
        <f t="shared" si="421"/>
        <v>87.787261983032266</v>
      </c>
      <c r="FI156" s="562">
        <f t="shared" si="422"/>
        <v>-50</v>
      </c>
      <c r="FJ156">
        <f t="shared" si="423"/>
        <v>-50</v>
      </c>
      <c r="FL156">
        <f t="shared" si="476"/>
        <v>0.37313432835820892</v>
      </c>
    </row>
    <row r="157" spans="5:168">
      <c r="E157" s="170">
        <v>47</v>
      </c>
      <c r="F157" s="217">
        <f t="shared" si="477"/>
        <v>0.47</v>
      </c>
      <c r="G157" s="217"/>
      <c r="H157" s="217">
        <f t="shared" si="442"/>
        <v>7.7079999999999993</v>
      </c>
      <c r="I157" s="541">
        <f t="shared" si="443"/>
        <v>9.9351747945533102</v>
      </c>
      <c r="J157" s="172">
        <f t="shared" si="444"/>
        <v>16.83889512326801</v>
      </c>
      <c r="K157" s="172">
        <f t="shared" si="445"/>
        <v>26.774069917821322</v>
      </c>
      <c r="L157" s="443"/>
      <c r="M157" s="217">
        <f t="shared" si="446"/>
        <v>0.6289101482419972</v>
      </c>
      <c r="N157" s="172">
        <f t="shared" si="447"/>
        <v>20.905878329336247</v>
      </c>
      <c r="O157" s="172">
        <f t="shared" si="438"/>
        <v>7.7079999999999993</v>
      </c>
      <c r="P157" s="217">
        <f t="shared" si="448"/>
        <v>1.274748678618064</v>
      </c>
      <c r="Q157" s="217">
        <f t="shared" si="449"/>
        <v>16.399999999999999</v>
      </c>
      <c r="R157" s="217"/>
      <c r="S157" s="172">
        <f t="shared" si="450"/>
        <v>60.592214793857742</v>
      </c>
      <c r="T157" s="172">
        <f t="shared" si="451"/>
        <v>16.399999999999999</v>
      </c>
      <c r="U157" s="217">
        <f t="shared" si="452"/>
        <v>2.5330792409084744</v>
      </c>
      <c r="V157" s="217">
        <f t="shared" si="453"/>
        <v>3.0595285457449624</v>
      </c>
      <c r="W157" s="217">
        <f t="shared" si="454"/>
        <v>1.8051630269315675</v>
      </c>
      <c r="X157" s="197">
        <f t="shared" si="455"/>
        <v>350</v>
      </c>
      <c r="Y157" s="443">
        <f t="shared" si="328"/>
        <v>197.44538944777864</v>
      </c>
      <c r="AA157" s="217">
        <f t="shared" si="456"/>
        <v>1.4877344537911852</v>
      </c>
      <c r="AB157" s="173">
        <f t="shared" si="457"/>
        <v>1.0602128770803483</v>
      </c>
      <c r="AC157" s="173">
        <f t="shared" si="458"/>
        <v>0.27603016447746476</v>
      </c>
      <c r="AD157" s="173"/>
      <c r="AE157" s="173">
        <f t="shared" si="459"/>
        <v>0.95018110647242993</v>
      </c>
      <c r="AF157" s="545">
        <f t="shared" si="460"/>
        <v>741.9638163689965</v>
      </c>
      <c r="AG157" s="528">
        <f t="shared" si="461"/>
        <v>0.221708924843567</v>
      </c>
      <c r="AI157" s="173">
        <f t="shared" si="462"/>
        <v>1.9413153012885684</v>
      </c>
      <c r="AJ157" s="173">
        <f t="shared" si="463"/>
        <v>2.5330792409084744</v>
      </c>
      <c r="AK157" s="173">
        <f t="shared" si="464"/>
        <v>2.088700672277882</v>
      </c>
      <c r="AM157" s="545">
        <f t="shared" si="465"/>
        <v>470</v>
      </c>
      <c r="AN157" s="460">
        <f t="shared" si="466"/>
        <v>197.44538944777864</v>
      </c>
      <c r="AP157">
        <f t="shared" si="467"/>
        <v>470</v>
      </c>
      <c r="AQ157">
        <f t="shared" si="468"/>
        <v>197.44538944777864</v>
      </c>
      <c r="AS157" s="5">
        <f t="shared" si="439"/>
        <v>5.06469157267653</v>
      </c>
      <c r="AT157" s="5">
        <f t="shared" si="469"/>
        <v>3.0595285457449624</v>
      </c>
      <c r="AU157" s="5">
        <f t="shared" si="343"/>
        <v>2.0051630269315677</v>
      </c>
      <c r="AV157" s="5"/>
      <c r="AW157" s="173">
        <f t="shared" si="344"/>
        <v>0.60408980524120992</v>
      </c>
      <c r="AX157" s="173">
        <f t="shared" si="435"/>
        <v>7.6014387237371777</v>
      </c>
      <c r="AY157" s="173">
        <f t="shared" si="436"/>
        <v>0.50143594780376111</v>
      </c>
      <c r="AZ157" s="173">
        <f t="shared" si="440"/>
        <v>15.159341401490485</v>
      </c>
      <c r="BA157" s="460">
        <f t="shared" si="433"/>
        <v>8.7681610762203199</v>
      </c>
      <c r="BB157" s="5">
        <f t="shared" si="434"/>
        <v>1.296386905715853</v>
      </c>
      <c r="BD157" s="173">
        <f t="shared" si="441"/>
        <v>1.1366817878760833</v>
      </c>
      <c r="BE157" s="173">
        <f t="shared" si="437"/>
        <v>0.92020903061097037</v>
      </c>
      <c r="BG157" s="528">
        <f t="shared" si="347"/>
        <v>2.5840909737783385E-2</v>
      </c>
      <c r="BH157" s="528">
        <f t="shared" si="470"/>
        <v>0.25107960572571475</v>
      </c>
      <c r="BI157" s="528">
        <f t="shared" si="471"/>
        <v>4.9041361413558311E-2</v>
      </c>
      <c r="BJ157" s="528">
        <f t="shared" si="350"/>
        <v>1.4153888932382739E-2</v>
      </c>
      <c r="BK157">
        <f t="shared" si="351"/>
        <v>4.4708286575489897E-3</v>
      </c>
      <c r="BL157" s="460">
        <f t="shared" si="427"/>
        <v>53.512190071107298</v>
      </c>
      <c r="BM157" s="528">
        <f t="shared" si="472"/>
        <v>0.29989273146381662</v>
      </c>
      <c r="BN157" s="460">
        <f t="shared" si="353"/>
        <v>299.89273146381663</v>
      </c>
      <c r="BO157" s="528">
        <f t="shared" si="354"/>
        <v>0.32899999999999996</v>
      </c>
      <c r="BR157" s="460">
        <f t="shared" si="355"/>
        <v>328.99999999999994</v>
      </c>
      <c r="BS157" s="528">
        <f t="shared" si="356"/>
        <v>3.8761364606675078E-2</v>
      </c>
      <c r="BT157" s="528">
        <f t="shared" si="357"/>
        <v>2.5403539800539453E-2</v>
      </c>
      <c r="BU157" s="528">
        <f t="shared" si="358"/>
        <v>0.27971092937574404</v>
      </c>
      <c r="BV157" s="528"/>
      <c r="BW157" s="528">
        <f t="shared" si="359"/>
        <v>6.3345322697809809E-3</v>
      </c>
      <c r="BX157" s="460">
        <f t="shared" si="360"/>
        <v>350.21036605273957</v>
      </c>
      <c r="BY157" s="173">
        <f t="shared" si="361"/>
        <v>1.0237969605197277</v>
      </c>
      <c r="BZ157" s="5">
        <f t="shared" si="362"/>
        <v>7.7079999999999993</v>
      </c>
      <c r="CA157" s="173">
        <f t="shared" si="363"/>
        <v>0.88275071383945802</v>
      </c>
      <c r="CB157" s="5">
        <f t="shared" si="364"/>
        <v>88.2750713839458</v>
      </c>
      <c r="CE157" s="562">
        <f t="shared" si="473"/>
        <v>-50</v>
      </c>
      <c r="CF157">
        <f t="shared" si="474"/>
        <v>-50</v>
      </c>
      <c r="CG157" s="173">
        <f t="shared" si="475"/>
        <v>0.3625133131174712</v>
      </c>
      <c r="CI157" s="170">
        <v>47</v>
      </c>
      <c r="CJ157" s="217">
        <f t="shared" si="428"/>
        <v>0.47</v>
      </c>
      <c r="CK157" s="217"/>
      <c r="CL157" s="217">
        <f t="shared" si="368"/>
        <v>7.7079999999999993</v>
      </c>
      <c r="CM157" s="541">
        <f t="shared" si="369"/>
        <v>10</v>
      </c>
      <c r="CN157" s="443">
        <f t="shared" si="370"/>
        <v>16.799999999999997</v>
      </c>
      <c r="CO157" s="443">
        <f t="shared" si="371"/>
        <v>26.799999999999997</v>
      </c>
      <c r="CP157" s="443"/>
      <c r="CQ157" s="217">
        <f t="shared" si="372"/>
        <v>0.62686567164179097</v>
      </c>
      <c r="CR157" s="172">
        <f t="shared" si="429"/>
        <v>20.973880597014926</v>
      </c>
      <c r="CS157" s="172">
        <f t="shared" si="373"/>
        <v>7.7079999999999993</v>
      </c>
      <c r="CT157" s="217">
        <f t="shared" si="374"/>
        <v>1.2788951583545687</v>
      </c>
      <c r="CU157" s="217">
        <f t="shared" si="375"/>
        <v>16.399999999999999</v>
      </c>
      <c r="CV157" s="217"/>
      <c r="CW157" s="172">
        <f t="shared" si="376"/>
        <v>60.987146036565356</v>
      </c>
      <c r="CX157" s="172">
        <f t="shared" si="377"/>
        <v>16.399999999999999</v>
      </c>
      <c r="CY157" s="217">
        <f t="shared" si="378"/>
        <v>2.4592190476190474</v>
      </c>
      <c r="CZ157" s="217">
        <f t="shared" si="379"/>
        <v>2.951062857142857</v>
      </c>
      <c r="DA157" s="217">
        <f t="shared" si="380"/>
        <v>1.7565850340136056</v>
      </c>
      <c r="DB157" s="197">
        <f t="shared" si="381"/>
        <v>350</v>
      </c>
      <c r="DC157" s="443">
        <f t="shared" si="382"/>
        <v>212.42030481475621</v>
      </c>
      <c r="DE157" s="217">
        <f t="shared" si="383"/>
        <v>1.4925373134328355</v>
      </c>
      <c r="DF157" s="173">
        <f t="shared" si="384"/>
        <v>1.0660980810234544</v>
      </c>
      <c r="DG157" s="173">
        <f t="shared" si="385"/>
        <v>0.27845845399866342</v>
      </c>
      <c r="DH157" s="173"/>
      <c r="DI157" s="173">
        <f t="shared" si="386"/>
        <v>0.95238095238095266</v>
      </c>
      <c r="DJ157" s="545">
        <f t="shared" si="387"/>
        <v>740.24999999999966</v>
      </c>
      <c r="DK157" s="528">
        <f t="shared" si="388"/>
        <v>0.22222222222222232</v>
      </c>
      <c r="DM157" s="173">
        <f t="shared" si="389"/>
        <v>1.9390719429665313</v>
      </c>
      <c r="DN157" s="173">
        <f t="shared" si="390"/>
        <v>2.4592190476190474</v>
      </c>
      <c r="DO157" s="173">
        <f t="shared" si="391"/>
        <v>2.0339894179894178</v>
      </c>
      <c r="DQ157" s="545">
        <f t="shared" si="392"/>
        <v>470</v>
      </c>
      <c r="DR157" s="460">
        <f t="shared" si="393"/>
        <v>212.42030481475621</v>
      </c>
      <c r="DT157">
        <f t="shared" si="430"/>
        <v>470</v>
      </c>
      <c r="DU157">
        <f t="shared" si="431"/>
        <v>212.42030481475621</v>
      </c>
      <c r="DW157" s="5">
        <f t="shared" si="394"/>
        <v>4.707647891156463</v>
      </c>
      <c r="DX157" s="5">
        <f t="shared" si="395"/>
        <v>2.951062857142857</v>
      </c>
      <c r="DY157" s="5">
        <f t="shared" si="396"/>
        <v>1.756585034013606</v>
      </c>
      <c r="DZ157" s="5"/>
      <c r="EA157" s="173">
        <f t="shared" si="397"/>
        <v>0.62686567164179097</v>
      </c>
      <c r="EB157" s="173">
        <f t="shared" si="398"/>
        <v>7.7079999999999993</v>
      </c>
      <c r="EC157" s="173">
        <f t="shared" si="399"/>
        <v>0.45880952380952389</v>
      </c>
      <c r="ED157" s="173">
        <f t="shared" si="400"/>
        <v>16.799999999999997</v>
      </c>
      <c r="EE157" s="460">
        <f t="shared" si="401"/>
        <v>8.4573142857142862</v>
      </c>
      <c r="EF157" s="5">
        <f t="shared" si="402"/>
        <v>1.1283131201814061</v>
      </c>
      <c r="EH157" s="173">
        <f t="shared" si="403"/>
        <v>1.1241488756402214</v>
      </c>
      <c r="EI157" s="173">
        <f t="shared" si="404"/>
        <v>0.8672996868370263</v>
      </c>
      <c r="EK157" s="528">
        <f t="shared" si="405"/>
        <v>2.5274213892063479E-2</v>
      </c>
      <c r="EL157" s="528">
        <f t="shared" si="406"/>
        <v>0.27999999999999997</v>
      </c>
      <c r="EM157" s="528">
        <f t="shared" si="407"/>
        <v>2.6552538101844526E-2</v>
      </c>
      <c r="EN157" s="528">
        <f t="shared" si="408"/>
        <v>1.5256875973015048E-2</v>
      </c>
      <c r="EO157">
        <f t="shared" si="409"/>
        <v>4.4999999999999997E-3</v>
      </c>
      <c r="EP157" s="460">
        <f t="shared" si="410"/>
        <v>31.052538101844526</v>
      </c>
      <c r="EQ157" s="460"/>
      <c r="ER157" s="460">
        <f t="shared" si="432"/>
        <v>351.58362796692307</v>
      </c>
      <c r="ES157" s="528">
        <f t="shared" si="411"/>
        <v>0.32899999999999996</v>
      </c>
      <c r="EV157" s="460">
        <f t="shared" si="412"/>
        <v>328.99999999999994</v>
      </c>
      <c r="EW157" s="528">
        <f t="shared" si="413"/>
        <v>3.7911320838095217E-2</v>
      </c>
      <c r="EX157" s="528">
        <f t="shared" si="414"/>
        <v>2.2566262403628114E-2</v>
      </c>
      <c r="EY157" s="528">
        <f t="shared" si="415"/>
        <v>0.31185528502698345</v>
      </c>
      <c r="EZ157" s="528"/>
      <c r="FA157" s="528">
        <f t="shared" si="416"/>
        <v>6.4233333333333321E-3</v>
      </c>
      <c r="FB157" s="460">
        <f t="shared" si="417"/>
        <v>378.75620160204011</v>
      </c>
      <c r="FC157" s="173">
        <f t="shared" si="418"/>
        <v>1.0593398295689631</v>
      </c>
      <c r="FD157" s="5">
        <f t="shared" si="419"/>
        <v>7.7079999999999993</v>
      </c>
      <c r="FE157" s="173">
        <f t="shared" si="420"/>
        <v>0.87917203505717822</v>
      </c>
      <c r="FF157" s="5">
        <f t="shared" si="421"/>
        <v>87.917203505717822</v>
      </c>
      <c r="FI157" s="562">
        <f t="shared" si="422"/>
        <v>-50</v>
      </c>
      <c r="FJ157">
        <f t="shared" si="423"/>
        <v>-50</v>
      </c>
      <c r="FL157">
        <f t="shared" si="476"/>
        <v>0.37313432835820903</v>
      </c>
    </row>
    <row r="158" spans="5:168">
      <c r="E158" s="170">
        <v>48</v>
      </c>
      <c r="F158" s="217">
        <f t="shared" si="477"/>
        <v>0.48</v>
      </c>
      <c r="G158" s="217"/>
      <c r="H158" s="217">
        <f t="shared" si="442"/>
        <v>7.871999999999999</v>
      </c>
      <c r="I158" s="541">
        <f t="shared" si="443"/>
        <v>9.9338359201441708</v>
      </c>
      <c r="J158" s="172">
        <f t="shared" si="444"/>
        <v>16.839698447913495</v>
      </c>
      <c r="K158" s="172">
        <f t="shared" si="445"/>
        <v>26.773534368057668</v>
      </c>
      <c r="L158" s="443"/>
      <c r="M158" s="217">
        <f t="shared" si="446"/>
        <v>0.62895274385369693</v>
      </c>
      <c r="N158" s="172">
        <f t="shared" si="447"/>
        <v>20.904476780210725</v>
      </c>
      <c r="O158" s="172">
        <f t="shared" si="438"/>
        <v>7.871999999999999</v>
      </c>
      <c r="P158" s="217">
        <f t="shared" si="448"/>
        <v>1.2746632183055322</v>
      </c>
      <c r="Q158" s="217">
        <f t="shared" si="449"/>
        <v>16.399999999999999</v>
      </c>
      <c r="R158" s="217"/>
      <c r="S158" s="172">
        <f t="shared" si="450"/>
        <v>59.117897755556591</v>
      </c>
      <c r="T158" s="172">
        <f t="shared" si="451"/>
        <v>16.399999999999999</v>
      </c>
      <c r="U158" s="217">
        <f t="shared" si="452"/>
        <v>2.5872715243081434</v>
      </c>
      <c r="V158" s="217">
        <f t="shared" si="453"/>
        <v>3.1254047823297584</v>
      </c>
      <c r="W158" s="217">
        <f t="shared" si="454"/>
        <v>1.8436944335867607</v>
      </c>
      <c r="X158" s="197">
        <f t="shared" si="455"/>
        <v>350</v>
      </c>
      <c r="Y158" s="443">
        <f t="shared" si="328"/>
        <v>193.45730430571598</v>
      </c>
      <c r="AA158" s="217">
        <f t="shared" si="456"/>
        <v>1.4876346866828818</v>
      </c>
      <c r="AB158" s="173">
        <f t="shared" si="457"/>
        <v>1.0600912062297925</v>
      </c>
      <c r="AC158" s="173">
        <f t="shared" si="458"/>
        <v>0.27597997865111373</v>
      </c>
      <c r="AD158" s="173"/>
      <c r="AE158" s="173">
        <f t="shared" si="459"/>
        <v>0.95013577882580591</v>
      </c>
      <c r="AF158" s="545">
        <f t="shared" si="460"/>
        <v>757.78643015610703</v>
      </c>
      <c r="AG158" s="528">
        <f t="shared" si="461"/>
        <v>0.22169834839268807</v>
      </c>
      <c r="AI158" s="173">
        <f t="shared" si="462"/>
        <v>1.9619056885976083</v>
      </c>
      <c r="AJ158" s="173">
        <f t="shared" si="463"/>
        <v>2.5872715243081434</v>
      </c>
      <c r="AK158" s="173">
        <f t="shared" si="464"/>
        <v>2.1288431044257852</v>
      </c>
      <c r="AM158" s="545">
        <f t="shared" si="465"/>
        <v>480</v>
      </c>
      <c r="AN158" s="460">
        <f t="shared" si="466"/>
        <v>193.45730430571598</v>
      </c>
      <c r="AP158">
        <f t="shared" si="467"/>
        <v>480</v>
      </c>
      <c r="AQ158">
        <f t="shared" si="468"/>
        <v>193.45730430571598</v>
      </c>
      <c r="AS158" s="5">
        <f t="shared" si="439"/>
        <v>5.1690992159165194</v>
      </c>
      <c r="AT158" s="5">
        <f t="shared" si="469"/>
        <v>3.1254047823297584</v>
      </c>
      <c r="AU158" s="5">
        <f t="shared" si="343"/>
        <v>2.0436944335867611</v>
      </c>
      <c r="AV158" s="5"/>
      <c r="AW158" s="173">
        <f t="shared" si="344"/>
        <v>0.60463238405370812</v>
      </c>
      <c r="AX158" s="173">
        <f t="shared" si="435"/>
        <v>7.7699889217261546</v>
      </c>
      <c r="AY158" s="173">
        <f t="shared" si="436"/>
        <v>0.5114616871857196</v>
      </c>
      <c r="AZ158" s="173">
        <f t="shared" si="440"/>
        <v>15.191732081595298</v>
      </c>
      <c r="BA158" s="460">
        <f t="shared" si="433"/>
        <v>9.1475261921846602</v>
      </c>
      <c r="BB158" s="5">
        <f t="shared" si="434"/>
        <v>1.3495930063775985</v>
      </c>
      <c r="BD158" s="173">
        <f t="shared" si="441"/>
        <v>1.1615210462199068</v>
      </c>
      <c r="BE158" s="173">
        <f t="shared" si="437"/>
        <v>0.93925156695112355</v>
      </c>
      <c r="BG158" s="528">
        <f t="shared" si="347"/>
        <v>2.698262281623574E-2</v>
      </c>
      <c r="BH158" s="528">
        <f t="shared" si="470"/>
        <v>0.25126622713440777</v>
      </c>
      <c r="BI158" s="528">
        <f t="shared" si="471"/>
        <v>4.8044327963159571E-2</v>
      </c>
      <c r="BJ158" s="528">
        <f t="shared" si="350"/>
        <v>1.3867447936583422E-2</v>
      </c>
      <c r="BK158">
        <f t="shared" si="351"/>
        <v>4.470226164064877E-3</v>
      </c>
      <c r="BL158" s="460">
        <f t="shared" si="427"/>
        <v>52.514554127224443</v>
      </c>
      <c r="BM158" s="528">
        <f t="shared" si="472"/>
        <v>0.30133347641416142</v>
      </c>
      <c r="BN158" s="460">
        <f t="shared" si="353"/>
        <v>301.3334764141614</v>
      </c>
      <c r="BO158" s="528">
        <f t="shared" si="354"/>
        <v>0.33599999999999997</v>
      </c>
      <c r="BR158" s="460">
        <f t="shared" si="355"/>
        <v>335.99999999999994</v>
      </c>
      <c r="BS158" s="528">
        <f t="shared" si="356"/>
        <v>4.0473934224353608E-2</v>
      </c>
      <c r="BT158" s="528">
        <f t="shared" si="357"/>
        <v>2.6465805180604225E-2</v>
      </c>
      <c r="BU158" s="528">
        <f t="shared" si="358"/>
        <v>0.28024498893200162</v>
      </c>
      <c r="BV158" s="528"/>
      <c r="BW158" s="528">
        <f t="shared" si="359"/>
        <v>6.474990768105128E-3</v>
      </c>
      <c r="BX158" s="460">
        <f t="shared" si="360"/>
        <v>353.6597191050646</v>
      </c>
      <c r="BY158" s="173">
        <f t="shared" si="361"/>
        <v>1.0342905711195161</v>
      </c>
      <c r="BZ158" s="5">
        <f t="shared" si="362"/>
        <v>7.871999999999999</v>
      </c>
      <c r="CA158" s="173">
        <f t="shared" si="363"/>
        <v>0.88386965787154792</v>
      </c>
      <c r="CB158" s="5">
        <f t="shared" si="364"/>
        <v>88.386965787154793</v>
      </c>
      <c r="CE158" s="562">
        <f t="shared" si="473"/>
        <v>-50</v>
      </c>
      <c r="CF158">
        <f t="shared" si="474"/>
        <v>-50</v>
      </c>
      <c r="CG158" s="173">
        <f t="shared" si="475"/>
        <v>0.36273458426831984</v>
      </c>
      <c r="CI158" s="170">
        <v>48</v>
      </c>
      <c r="CJ158" s="217">
        <f t="shared" si="428"/>
        <v>0.48</v>
      </c>
      <c r="CK158" s="217"/>
      <c r="CL158" s="217">
        <f t="shared" si="368"/>
        <v>7.871999999999999</v>
      </c>
      <c r="CM158" s="541">
        <f t="shared" si="369"/>
        <v>10</v>
      </c>
      <c r="CN158" s="443">
        <f t="shared" si="370"/>
        <v>16.799999999999997</v>
      </c>
      <c r="CO158" s="443">
        <f t="shared" si="371"/>
        <v>26.799999999999997</v>
      </c>
      <c r="CP158" s="443"/>
      <c r="CQ158" s="217">
        <f t="shared" si="372"/>
        <v>0.62686567164179097</v>
      </c>
      <c r="CR158" s="172">
        <f t="shared" si="429"/>
        <v>20.973880597014926</v>
      </c>
      <c r="CS158" s="172">
        <f t="shared" si="373"/>
        <v>7.871999999999999</v>
      </c>
      <c r="CT158" s="217">
        <f t="shared" si="374"/>
        <v>1.2788951583545687</v>
      </c>
      <c r="CU158" s="217">
        <f t="shared" si="375"/>
        <v>16.399999999999999</v>
      </c>
      <c r="CV158" s="217"/>
      <c r="CW158" s="172">
        <f t="shared" si="376"/>
        <v>59.511209912973811</v>
      </c>
      <c r="CX158" s="172">
        <f t="shared" si="377"/>
        <v>16.399999999999999</v>
      </c>
      <c r="CY158" s="217">
        <f t="shared" si="378"/>
        <v>2.5115428571428571</v>
      </c>
      <c r="CZ158" s="217">
        <f t="shared" si="379"/>
        <v>3.0138514285714288</v>
      </c>
      <c r="DA158" s="217">
        <f t="shared" si="380"/>
        <v>1.7939591836734696</v>
      </c>
      <c r="DB158" s="197">
        <f t="shared" si="381"/>
        <v>350</v>
      </c>
      <c r="DC158" s="443">
        <f t="shared" si="382"/>
        <v>207.99488179778211</v>
      </c>
      <c r="DE158" s="217">
        <f t="shared" si="383"/>
        <v>1.4925373134328355</v>
      </c>
      <c r="DF158" s="173">
        <f t="shared" si="384"/>
        <v>1.0660980810234544</v>
      </c>
      <c r="DG158" s="173">
        <f t="shared" si="385"/>
        <v>0.27845845399866342</v>
      </c>
      <c r="DH158" s="173"/>
      <c r="DI158" s="173">
        <f t="shared" si="386"/>
        <v>0.95238095238095266</v>
      </c>
      <c r="DJ158" s="545">
        <f t="shared" si="387"/>
        <v>755.99999999999966</v>
      </c>
      <c r="DK158" s="528">
        <f t="shared" si="388"/>
        <v>0.22222222222222232</v>
      </c>
      <c r="DM158" s="173">
        <f t="shared" si="389"/>
        <v>1.9595917942265422</v>
      </c>
      <c r="DN158" s="173">
        <f t="shared" si="390"/>
        <v>2.5115428571428571</v>
      </c>
      <c r="DO158" s="173">
        <f t="shared" si="391"/>
        <v>2.072747795414462</v>
      </c>
      <c r="DQ158" s="545">
        <f t="shared" si="392"/>
        <v>480</v>
      </c>
      <c r="DR158" s="460">
        <f t="shared" si="393"/>
        <v>207.99488179778211</v>
      </c>
      <c r="DT158">
        <f t="shared" si="430"/>
        <v>480</v>
      </c>
      <c r="DU158">
        <f t="shared" si="431"/>
        <v>207.99488179778211</v>
      </c>
      <c r="DW158" s="5">
        <f t="shared" si="394"/>
        <v>4.8078106122448983</v>
      </c>
      <c r="DX158" s="5">
        <f t="shared" si="395"/>
        <v>3.0138514285714288</v>
      </c>
      <c r="DY158" s="5">
        <f t="shared" si="396"/>
        <v>1.7939591836734694</v>
      </c>
      <c r="DZ158" s="5"/>
      <c r="EA158" s="173">
        <f t="shared" si="397"/>
        <v>0.62686567164179108</v>
      </c>
      <c r="EB158" s="173">
        <f t="shared" si="398"/>
        <v>7.871999999999999</v>
      </c>
      <c r="EC158" s="173">
        <f t="shared" si="399"/>
        <v>0.46857142857142853</v>
      </c>
      <c r="ED158" s="173">
        <f t="shared" si="400"/>
        <v>16.8</v>
      </c>
      <c r="EE158" s="460">
        <f t="shared" si="401"/>
        <v>8.8210285714285721</v>
      </c>
      <c r="EF158" s="5">
        <f t="shared" si="402"/>
        <v>1.1768372244897958</v>
      </c>
      <c r="EH158" s="173">
        <f t="shared" si="403"/>
        <v>1.1480669368240561</v>
      </c>
      <c r="EI158" s="173">
        <f t="shared" si="404"/>
        <v>0.88575287166334593</v>
      </c>
      <c r="EK158" s="528">
        <f t="shared" si="405"/>
        <v>2.6361153828571428E-2</v>
      </c>
      <c r="EL158" s="528">
        <f t="shared" si="406"/>
        <v>0.27999999999999992</v>
      </c>
      <c r="EM158" s="528">
        <f t="shared" si="407"/>
        <v>2.599936022472276E-2</v>
      </c>
      <c r="EN158" s="528">
        <f t="shared" si="408"/>
        <v>1.49390243902439E-2</v>
      </c>
      <c r="EO158">
        <f t="shared" si="409"/>
        <v>4.4999999999999997E-3</v>
      </c>
      <c r="EP158" s="460">
        <f t="shared" si="410"/>
        <v>30.499360224722761</v>
      </c>
      <c r="EQ158" s="460"/>
      <c r="ER158" s="460">
        <f t="shared" si="432"/>
        <v>351.79953844353798</v>
      </c>
      <c r="ES158" s="528">
        <f t="shared" si="411"/>
        <v>0.33599999999999997</v>
      </c>
      <c r="EV158" s="460">
        <f t="shared" si="412"/>
        <v>335.99999999999994</v>
      </c>
      <c r="EW158" s="528">
        <f t="shared" si="413"/>
        <v>3.9541730742857141E-2</v>
      </c>
      <c r="EX158" s="528">
        <f t="shared" si="414"/>
        <v>2.3536744489795914E-2</v>
      </c>
      <c r="EY158" s="528">
        <f t="shared" si="415"/>
        <v>0.3118552850269834</v>
      </c>
      <c r="EZ158" s="528"/>
      <c r="FA158" s="528">
        <f t="shared" si="416"/>
        <v>6.559999999999999E-3</v>
      </c>
      <c r="FB158" s="460">
        <f t="shared" si="417"/>
        <v>381.49376025963642</v>
      </c>
      <c r="FC158" s="173">
        <f t="shared" si="418"/>
        <v>1.0692932987031745</v>
      </c>
      <c r="FD158" s="5">
        <f t="shared" si="419"/>
        <v>7.871999999999999</v>
      </c>
      <c r="FE158" s="173">
        <f t="shared" si="420"/>
        <v>0.88040954893423939</v>
      </c>
      <c r="FF158" s="5">
        <f t="shared" si="421"/>
        <v>88.040954893423944</v>
      </c>
      <c r="FI158" s="562">
        <f t="shared" si="422"/>
        <v>-50</v>
      </c>
      <c r="FJ158">
        <f t="shared" si="423"/>
        <v>-50</v>
      </c>
      <c r="FL158">
        <f t="shared" si="476"/>
        <v>0.37313432835820892</v>
      </c>
    </row>
    <row r="159" spans="5:168">
      <c r="E159" s="170">
        <v>49</v>
      </c>
      <c r="F159" s="217">
        <f t="shared" si="477"/>
        <v>0.49</v>
      </c>
      <c r="G159" s="217"/>
      <c r="H159" s="217">
        <f t="shared" si="442"/>
        <v>8.0359999999999996</v>
      </c>
      <c r="I159" s="541">
        <f t="shared" si="443"/>
        <v>9.9324969985029945</v>
      </c>
      <c r="J159" s="172">
        <f t="shared" si="444"/>
        <v>16.840501800898199</v>
      </c>
      <c r="K159" s="172">
        <f t="shared" si="445"/>
        <v>26.772998799401194</v>
      </c>
      <c r="L159" s="443"/>
      <c r="M159" s="217">
        <f t="shared" si="446"/>
        <v>0.6289953422771265</v>
      </c>
      <c r="N159" s="172">
        <f t="shared" si="447"/>
        <v>20.903074843498576</v>
      </c>
      <c r="O159" s="172">
        <f t="shared" si="438"/>
        <v>8.0359999999999996</v>
      </c>
      <c r="P159" s="217">
        <f t="shared" si="448"/>
        <v>1.2745777343596694</v>
      </c>
      <c r="Q159" s="217">
        <f t="shared" si="449"/>
        <v>16.399999999999999</v>
      </c>
      <c r="R159" s="217"/>
      <c r="S159" s="172">
        <f t="shared" si="450"/>
        <v>57.703887298262394</v>
      </c>
      <c r="T159" s="172">
        <f t="shared" si="451"/>
        <v>16.399999999999999</v>
      </c>
      <c r="U159" s="217">
        <f t="shared" si="452"/>
        <v>2.6414762715243949</v>
      </c>
      <c r="V159" s="217">
        <f t="shared" si="453"/>
        <v>3.1913138522035447</v>
      </c>
      <c r="W159" s="217">
        <f t="shared" si="454"/>
        <v>1.8822310423435316</v>
      </c>
      <c r="X159" s="197">
        <f t="shared" si="455"/>
        <v>350</v>
      </c>
      <c r="Y159" s="443">
        <f t="shared" si="328"/>
        <v>189.62576786518207</v>
      </c>
      <c r="AA159" s="217">
        <f t="shared" si="456"/>
        <v>1.487534892932491</v>
      </c>
      <c r="AB159" s="173">
        <f t="shared" si="457"/>
        <v>1.0599695262190956</v>
      </c>
      <c r="AC159" s="173">
        <f t="shared" si="458"/>
        <v>0.27592978974680443</v>
      </c>
      <c r="AD159" s="173"/>
      <c r="AE159" s="173">
        <f t="shared" si="459"/>
        <v>0.95009045390480185</v>
      </c>
      <c r="AF159" s="545">
        <f t="shared" si="460"/>
        <v>773.61055147876073</v>
      </c>
      <c r="AG159" s="528">
        <f t="shared" si="461"/>
        <v>0.22168777257778713</v>
      </c>
      <c r="AI159" s="173">
        <f t="shared" si="462"/>
        <v>1.9822841421475328</v>
      </c>
      <c r="AJ159" s="173">
        <f t="shared" si="463"/>
        <v>2.6414762715243949</v>
      </c>
      <c r="AK159" s="173">
        <f t="shared" si="464"/>
        <v>2.1689947690304159</v>
      </c>
      <c r="AM159" s="545">
        <f t="shared" si="465"/>
        <v>490</v>
      </c>
      <c r="AN159" s="460">
        <f t="shared" si="466"/>
        <v>189.62576786518207</v>
      </c>
      <c r="AP159">
        <f t="shared" si="467"/>
        <v>490</v>
      </c>
      <c r="AQ159">
        <f t="shared" si="468"/>
        <v>189.62576786518207</v>
      </c>
      <c r="AS159" s="5">
        <f t="shared" si="439"/>
        <v>5.2735448945470766</v>
      </c>
      <c r="AT159" s="5">
        <f t="shared" si="469"/>
        <v>3.1913138522035447</v>
      </c>
      <c r="AU159" s="5">
        <f t="shared" si="343"/>
        <v>2.082231042343532</v>
      </c>
      <c r="AV159" s="5"/>
      <c r="AW159" s="173">
        <f t="shared" si="344"/>
        <v>0.60515533972288926</v>
      </c>
      <c r="AX159" s="173">
        <f t="shared" si="435"/>
        <v>7.9385654612416232</v>
      </c>
      <c r="AY159" s="173">
        <f t="shared" si="436"/>
        <v>0.52148640053004947</v>
      </c>
      <c r="AZ159" s="173">
        <f t="shared" si="440"/>
        <v>15.222957785999219</v>
      </c>
      <c r="BA159" s="460">
        <f t="shared" si="433"/>
        <v>9.5350230949983956</v>
      </c>
      <c r="BB159" s="5">
        <f t="shared" si="434"/>
        <v>1.4038773146029773</v>
      </c>
      <c r="BD159" s="173">
        <f t="shared" si="441"/>
        <v>1.186368265924882</v>
      </c>
      <c r="BE159" s="173">
        <f t="shared" si="437"/>
        <v>0.95829499735129997</v>
      </c>
      <c r="BG159" s="528">
        <f t="shared" si="347"/>
        <v>2.8149393247872231E-2</v>
      </c>
      <c r="BH159" s="528">
        <f t="shared" si="470"/>
        <v>0.2514446252248243</v>
      </c>
      <c r="BI159" s="528">
        <f t="shared" si="471"/>
        <v>4.7086434253993663E-2</v>
      </c>
      <c r="BJ159" s="528">
        <f t="shared" si="350"/>
        <v>1.3592251114689719E-2</v>
      </c>
      <c r="BK159">
        <f t="shared" si="351"/>
        <v>4.4696236493263477E-3</v>
      </c>
      <c r="BL159" s="460">
        <f t="shared" si="427"/>
        <v>51.55605790332001</v>
      </c>
      <c r="BM159" s="528">
        <f t="shared" si="472"/>
        <v>0.30281190134306324</v>
      </c>
      <c r="BN159" s="460">
        <f t="shared" si="353"/>
        <v>302.81190134306325</v>
      </c>
      <c r="BO159" s="528">
        <f t="shared" si="354"/>
        <v>0.34299999999999997</v>
      </c>
      <c r="BR159" s="460">
        <f t="shared" si="355"/>
        <v>343</v>
      </c>
      <c r="BS159" s="528">
        <f t="shared" si="356"/>
        <v>4.2224089871808347E-2</v>
      </c>
      <c r="BT159" s="528">
        <f t="shared" si="357"/>
        <v>2.754987905845584E-2</v>
      </c>
      <c r="BU159" s="528">
        <f t="shared" si="358"/>
        <v>0.28075672629850024</v>
      </c>
      <c r="BV159" s="528"/>
      <c r="BW159" s="528">
        <f t="shared" si="359"/>
        <v>6.6154712177013521E-3</v>
      </c>
      <c r="BX159" s="460">
        <f t="shared" si="360"/>
        <v>357.14616644646577</v>
      </c>
      <c r="BY159" s="173">
        <f t="shared" si="361"/>
        <v>1.0448884939371719</v>
      </c>
      <c r="BZ159" s="5">
        <f t="shared" si="362"/>
        <v>8.0359999999999996</v>
      </c>
      <c r="CA159" s="173">
        <f t="shared" si="363"/>
        <v>0.88493543394627194</v>
      </c>
      <c r="CB159" s="5">
        <f t="shared" si="364"/>
        <v>88.493543394627196</v>
      </c>
      <c r="CE159" s="562">
        <f t="shared" si="473"/>
        <v>-50</v>
      </c>
      <c r="CF159">
        <f t="shared" si="474"/>
        <v>-50</v>
      </c>
      <c r="CG159" s="173">
        <f t="shared" si="475"/>
        <v>0.36294682394362365</v>
      </c>
      <c r="CI159" s="170">
        <v>49</v>
      </c>
      <c r="CJ159" s="217">
        <f t="shared" si="428"/>
        <v>0.49</v>
      </c>
      <c r="CK159" s="217"/>
      <c r="CL159" s="217">
        <f t="shared" si="368"/>
        <v>8.0359999999999996</v>
      </c>
      <c r="CM159" s="541">
        <f t="shared" si="369"/>
        <v>10</v>
      </c>
      <c r="CN159" s="443">
        <f t="shared" si="370"/>
        <v>16.799999999999997</v>
      </c>
      <c r="CO159" s="443">
        <f t="shared" si="371"/>
        <v>26.799999999999997</v>
      </c>
      <c r="CP159" s="443"/>
      <c r="CQ159" s="217">
        <f t="shared" si="372"/>
        <v>0.62686567164179097</v>
      </c>
      <c r="CR159" s="172">
        <f t="shared" si="429"/>
        <v>20.973880597014926</v>
      </c>
      <c r="CS159" s="172">
        <f t="shared" si="373"/>
        <v>8.0359999999999996</v>
      </c>
      <c r="CT159" s="217">
        <f t="shared" si="374"/>
        <v>1.2788951583545687</v>
      </c>
      <c r="CU159" s="217">
        <f t="shared" si="375"/>
        <v>16.399999999999999</v>
      </c>
      <c r="CV159" s="217"/>
      <c r="CW159" s="172">
        <f t="shared" si="376"/>
        <v>58.095592105161103</v>
      </c>
      <c r="CX159" s="172">
        <f t="shared" si="377"/>
        <v>16.399999999999999</v>
      </c>
      <c r="CY159" s="217">
        <f t="shared" si="378"/>
        <v>2.5638666666666667</v>
      </c>
      <c r="CZ159" s="217">
        <f t="shared" si="379"/>
        <v>3.0766400000000007</v>
      </c>
      <c r="DA159" s="217">
        <f t="shared" si="380"/>
        <v>1.8313333333333339</v>
      </c>
      <c r="DB159" s="197">
        <f t="shared" si="381"/>
        <v>350</v>
      </c>
      <c r="DC159" s="443">
        <f t="shared" si="382"/>
        <v>203.75008829170488</v>
      </c>
      <c r="DE159" s="217">
        <f t="shared" si="383"/>
        <v>1.4925373134328355</v>
      </c>
      <c r="DF159" s="173">
        <f t="shared" si="384"/>
        <v>1.0660980810234544</v>
      </c>
      <c r="DG159" s="173">
        <f t="shared" si="385"/>
        <v>0.27845845399866342</v>
      </c>
      <c r="DH159" s="173"/>
      <c r="DI159" s="173">
        <f t="shared" si="386"/>
        <v>0.95238095238095266</v>
      </c>
      <c r="DJ159" s="545">
        <f t="shared" si="387"/>
        <v>771.74999999999966</v>
      </c>
      <c r="DK159" s="528">
        <f t="shared" si="388"/>
        <v>0.22222222222222232</v>
      </c>
      <c r="DM159" s="173">
        <f t="shared" si="389"/>
        <v>1.9798989873223327</v>
      </c>
      <c r="DN159" s="173">
        <f t="shared" si="390"/>
        <v>2.5638666666666667</v>
      </c>
      <c r="DO159" s="173">
        <f t="shared" si="391"/>
        <v>2.1115061728395061</v>
      </c>
      <c r="DQ159" s="545">
        <f t="shared" si="392"/>
        <v>490</v>
      </c>
      <c r="DR159" s="460">
        <f t="shared" si="393"/>
        <v>203.75008829170488</v>
      </c>
      <c r="DT159">
        <f t="shared" si="430"/>
        <v>490</v>
      </c>
      <c r="DU159">
        <f t="shared" si="431"/>
        <v>203.75008829170488</v>
      </c>
      <c r="DW159" s="5">
        <f t="shared" si="394"/>
        <v>4.9079733333333344</v>
      </c>
      <c r="DX159" s="5">
        <f t="shared" si="395"/>
        <v>3.0766400000000007</v>
      </c>
      <c r="DY159" s="5">
        <f t="shared" si="396"/>
        <v>1.8313333333333337</v>
      </c>
      <c r="DZ159" s="5"/>
      <c r="EA159" s="173">
        <f t="shared" si="397"/>
        <v>0.62686567164179108</v>
      </c>
      <c r="EB159" s="173">
        <f t="shared" si="398"/>
        <v>8.0359999999999996</v>
      </c>
      <c r="EC159" s="173">
        <f t="shared" si="399"/>
        <v>0.47833333333333328</v>
      </c>
      <c r="ED159" s="173">
        <f t="shared" si="400"/>
        <v>16.8</v>
      </c>
      <c r="EE159" s="460">
        <f t="shared" si="401"/>
        <v>9.1924000000000028</v>
      </c>
      <c r="EF159" s="5">
        <f t="shared" si="402"/>
        <v>1.226382888888889</v>
      </c>
      <c r="EH159" s="173">
        <f t="shared" si="403"/>
        <v>1.1719849980078907</v>
      </c>
      <c r="EI159" s="173">
        <f t="shared" si="404"/>
        <v>0.90420605648966568</v>
      </c>
      <c r="EK159" s="528">
        <f t="shared" si="405"/>
        <v>2.7470976711111112E-2</v>
      </c>
      <c r="EL159" s="528">
        <f t="shared" si="406"/>
        <v>0.27999999999999992</v>
      </c>
      <c r="EM159" s="528">
        <f t="shared" si="407"/>
        <v>2.546876103646311E-2</v>
      </c>
      <c r="EN159" s="528">
        <f t="shared" si="408"/>
        <v>1.4634146341463412E-2</v>
      </c>
      <c r="EO159">
        <f t="shared" si="409"/>
        <v>4.4999999999999997E-3</v>
      </c>
      <c r="EP159" s="460">
        <f t="shared" si="410"/>
        <v>29.968761036463111</v>
      </c>
      <c r="EQ159" s="460"/>
      <c r="ER159" s="460">
        <f t="shared" si="432"/>
        <v>352.07388408903756</v>
      </c>
      <c r="ES159" s="528">
        <f t="shared" si="411"/>
        <v>0.34299999999999997</v>
      </c>
      <c r="EV159" s="460">
        <f t="shared" si="412"/>
        <v>343</v>
      </c>
      <c r="EW159" s="528">
        <f t="shared" si="413"/>
        <v>4.120646506666667E-2</v>
      </c>
      <c r="EX159" s="528">
        <f t="shared" si="414"/>
        <v>2.4527657777777771E-2</v>
      </c>
      <c r="EY159" s="528">
        <f t="shared" si="415"/>
        <v>0.31185528502698262</v>
      </c>
      <c r="EZ159" s="528"/>
      <c r="FA159" s="528">
        <f t="shared" si="416"/>
        <v>6.6966666666666667E-3</v>
      </c>
      <c r="FB159" s="460">
        <f t="shared" si="417"/>
        <v>384.28607453809371</v>
      </c>
      <c r="FC159" s="173">
        <f t="shared" si="418"/>
        <v>1.0793599586271312</v>
      </c>
      <c r="FD159" s="5">
        <f t="shared" si="419"/>
        <v>8.0359999999999996</v>
      </c>
      <c r="FE159" s="173">
        <f t="shared" si="420"/>
        <v>0.88158888255360845</v>
      </c>
      <c r="FF159" s="5">
        <f t="shared" si="421"/>
        <v>88.15888825536085</v>
      </c>
      <c r="FI159" s="562">
        <f t="shared" si="422"/>
        <v>-50</v>
      </c>
      <c r="FJ159">
        <f t="shared" si="423"/>
        <v>-50</v>
      </c>
      <c r="FL159">
        <f t="shared" si="476"/>
        <v>0.37313432835820892</v>
      </c>
    </row>
    <row r="160" spans="5:168">
      <c r="E160" s="170">
        <v>50</v>
      </c>
      <c r="F160" s="217">
        <f t="shared" si="477"/>
        <v>0.5</v>
      </c>
      <c r="G160" s="217"/>
      <c r="H160" s="217">
        <f t="shared" si="442"/>
        <v>8.1999999999999993</v>
      </c>
      <c r="I160" s="541">
        <f t="shared" si="443"/>
        <v>9.931158032541612</v>
      </c>
      <c r="J160" s="172">
        <f t="shared" si="444"/>
        <v>16.841305180475029</v>
      </c>
      <c r="K160" s="172">
        <f t="shared" si="445"/>
        <v>26.772463213016643</v>
      </c>
      <c r="L160" s="443"/>
      <c r="M160" s="217">
        <f t="shared" si="446"/>
        <v>0.629037943444262</v>
      </c>
      <c r="N160" s="172">
        <f t="shared" si="447"/>
        <v>20.901672523009925</v>
      </c>
      <c r="O160" s="172">
        <f t="shared" si="438"/>
        <v>8.1999999999999993</v>
      </c>
      <c r="P160" s="217">
        <f t="shared" si="448"/>
        <v>1.2744922270128003</v>
      </c>
      <c r="Q160" s="217">
        <f t="shared" si="449"/>
        <v>16.399999999999999</v>
      </c>
      <c r="R160" s="217"/>
      <c r="S160" s="172">
        <f t="shared" si="450"/>
        <v>56.346565772442432</v>
      </c>
      <c r="T160" s="172">
        <f t="shared" si="451"/>
        <v>16.399999999999999</v>
      </c>
      <c r="U160" s="217">
        <f t="shared" si="452"/>
        <v>2.6956934875892009</v>
      </c>
      <c r="V160" s="217">
        <f t="shared" si="453"/>
        <v>3.2572557747116755</v>
      </c>
      <c r="W160" s="217">
        <f t="shared" si="454"/>
        <v>1.9207728560476085</v>
      </c>
      <c r="X160" s="197">
        <f t="shared" si="455"/>
        <v>350</v>
      </c>
      <c r="Y160" s="443">
        <f t="shared" si="328"/>
        <v>185.94173974466503</v>
      </c>
      <c r="AA160" s="217">
        <f t="shared" si="456"/>
        <v>1.4874350727532797</v>
      </c>
      <c r="AB160" s="173">
        <f t="shared" si="457"/>
        <v>1.0598478373120899</v>
      </c>
      <c r="AC160" s="173">
        <f t="shared" si="458"/>
        <v>0.27587959787495003</v>
      </c>
      <c r="AD160" s="173"/>
      <c r="AE160" s="173">
        <f t="shared" si="459"/>
        <v>0.95004513180781303</v>
      </c>
      <c r="AF160" s="545">
        <f t="shared" si="460"/>
        <v>789.43618033476673</v>
      </c>
      <c r="AG160" s="528">
        <f t="shared" si="461"/>
        <v>0.22167719742182307</v>
      </c>
      <c r="AI160" s="173">
        <f t="shared" si="462"/>
        <v>2.0024571323201323</v>
      </c>
      <c r="AJ160" s="173">
        <f t="shared" si="463"/>
        <v>2.6956934875892009</v>
      </c>
      <c r="AK160" s="173">
        <f t="shared" si="464"/>
        <v>2.209155669819161</v>
      </c>
      <c r="AM160" s="545">
        <f t="shared" si="465"/>
        <v>500</v>
      </c>
      <c r="AN160" s="460">
        <f t="shared" si="466"/>
        <v>185.94173974466503</v>
      </c>
      <c r="AP160">
        <f t="shared" si="467"/>
        <v>500</v>
      </c>
      <c r="AQ160">
        <f t="shared" si="468"/>
        <v>185.94173974466503</v>
      </c>
      <c r="AS160" s="5">
        <f t="shared" si="439"/>
        <v>5.3780286307592844</v>
      </c>
      <c r="AT160" s="5">
        <f t="shared" si="469"/>
        <v>3.2572557747116755</v>
      </c>
      <c r="AU160" s="5">
        <f t="shared" si="343"/>
        <v>2.1207728560476089</v>
      </c>
      <c r="AV160" s="5"/>
      <c r="AW160" s="173">
        <f t="shared" si="344"/>
        <v>0.60565980554324561</v>
      </c>
      <c r="AX160" s="173">
        <f t="shared" si="435"/>
        <v>8.1071677500588777</v>
      </c>
      <c r="AY160" s="173">
        <f t="shared" si="436"/>
        <v>0.53151014704586597</v>
      </c>
      <c r="AZ160" s="173">
        <f t="shared" si="440"/>
        <v>15.253081799319403</v>
      </c>
      <c r="BA160" s="460">
        <f t="shared" si="433"/>
        <v>9.9306578497307214</v>
      </c>
      <c r="BB160" s="5">
        <f t="shared" si="434"/>
        <v>1.4592404835541455</v>
      </c>
      <c r="BD160" s="173">
        <f t="shared" si="441"/>
        <v>1.2112234166429399</v>
      </c>
      <c r="BE160" s="173">
        <f t="shared" si="437"/>
        <v>0.97733939583583063</v>
      </c>
      <c r="BG160" s="528">
        <f t="shared" si="347"/>
        <v>2.9341243300483932E-2</v>
      </c>
      <c r="BH160" s="528">
        <f t="shared" si="470"/>
        <v>0.2516152746842848</v>
      </c>
      <c r="BI160" s="528">
        <f t="shared" si="471"/>
        <v>4.6165420056249802E-2</v>
      </c>
      <c r="BJ160" s="528">
        <f t="shared" si="350"/>
        <v>1.3327649138809712E-2</v>
      </c>
      <c r="BK160">
        <f t="shared" si="351"/>
        <v>4.4690211146437252E-3</v>
      </c>
      <c r="BL160" s="460">
        <f t="shared" si="427"/>
        <v>50.634441170893524</v>
      </c>
      <c r="BM160" s="528">
        <f t="shared" si="472"/>
        <v>0.30432791863279651</v>
      </c>
      <c r="BN160" s="460">
        <f t="shared" si="353"/>
        <v>304.32791863279652</v>
      </c>
      <c r="BO160" s="528">
        <f t="shared" si="354"/>
        <v>0.35</v>
      </c>
      <c r="BR160" s="460">
        <f t="shared" si="355"/>
        <v>350</v>
      </c>
      <c r="BS160" s="528">
        <f t="shared" si="356"/>
        <v>4.4011864950725899E-2</v>
      </c>
      <c r="BT160" s="528">
        <f t="shared" si="357"/>
        <v>2.8655768839582391E-2</v>
      </c>
      <c r="BU160" s="528">
        <f t="shared" si="358"/>
        <v>0.28124739147871219</v>
      </c>
      <c r="BV160" s="528"/>
      <c r="BW160" s="528">
        <f t="shared" si="359"/>
        <v>6.755973125049065E-3</v>
      </c>
      <c r="BX160" s="460">
        <f t="shared" si="360"/>
        <v>360.6709983940695</v>
      </c>
      <c r="BY160" s="173">
        <f t="shared" si="361"/>
        <v>1.0555896066885415</v>
      </c>
      <c r="BZ160" s="5">
        <f t="shared" si="362"/>
        <v>8.1999999999999993</v>
      </c>
      <c r="CA160" s="173">
        <f t="shared" si="363"/>
        <v>0.88595112234387297</v>
      </c>
      <c r="CB160" s="5">
        <f t="shared" si="364"/>
        <v>88.595112234387301</v>
      </c>
      <c r="CE160" s="562">
        <f t="shared" si="473"/>
        <v>-50</v>
      </c>
      <c r="CF160">
        <f t="shared" si="474"/>
        <v>-50</v>
      </c>
      <c r="CG160" s="173">
        <f t="shared" si="475"/>
        <v>0.36315057403191536</v>
      </c>
      <c r="CI160" s="170">
        <v>50</v>
      </c>
      <c r="CJ160" s="217">
        <f t="shared" si="428"/>
        <v>0.5</v>
      </c>
      <c r="CK160" s="217"/>
      <c r="CL160" s="217">
        <f t="shared" si="368"/>
        <v>8.1999999999999993</v>
      </c>
      <c r="CM160" s="541">
        <f t="shared" si="369"/>
        <v>10</v>
      </c>
      <c r="CN160" s="443">
        <f t="shared" si="370"/>
        <v>16.799999999999997</v>
      </c>
      <c r="CO160" s="443">
        <f t="shared" si="371"/>
        <v>26.799999999999997</v>
      </c>
      <c r="CP160" s="443"/>
      <c r="CQ160" s="217">
        <f t="shared" si="372"/>
        <v>0.62686567164179097</v>
      </c>
      <c r="CR160" s="172">
        <f t="shared" si="429"/>
        <v>20.973880597014926</v>
      </c>
      <c r="CS160" s="172">
        <f t="shared" si="373"/>
        <v>8.1999999999999993</v>
      </c>
      <c r="CT160" s="217">
        <f t="shared" si="374"/>
        <v>1.2788951583545687</v>
      </c>
      <c r="CU160" s="217">
        <f t="shared" si="375"/>
        <v>16.399999999999999</v>
      </c>
      <c r="CV160" s="217"/>
      <c r="CW160" s="172">
        <f t="shared" si="376"/>
        <v>56.736674241540392</v>
      </c>
      <c r="CX160" s="172">
        <f t="shared" si="377"/>
        <v>16.399999999999999</v>
      </c>
      <c r="CY160" s="217">
        <f t="shared" si="378"/>
        <v>2.6161904761904764</v>
      </c>
      <c r="CZ160" s="217">
        <f t="shared" si="379"/>
        <v>3.1394285714285721</v>
      </c>
      <c r="DA160" s="217">
        <f t="shared" si="380"/>
        <v>1.8687074829931978</v>
      </c>
      <c r="DB160" s="197">
        <f t="shared" si="381"/>
        <v>350</v>
      </c>
      <c r="DC160" s="443">
        <f t="shared" si="382"/>
        <v>199.6750865258708</v>
      </c>
      <c r="DE160" s="217">
        <f t="shared" si="383"/>
        <v>1.4925373134328355</v>
      </c>
      <c r="DF160" s="173">
        <f t="shared" si="384"/>
        <v>1.0660980810234544</v>
      </c>
      <c r="DG160" s="173">
        <f t="shared" si="385"/>
        <v>0.27845845399866342</v>
      </c>
      <c r="DH160" s="173"/>
      <c r="DI160" s="173">
        <f t="shared" si="386"/>
        <v>0.95238095238095266</v>
      </c>
      <c r="DJ160" s="545">
        <f t="shared" si="387"/>
        <v>787.49999999999966</v>
      </c>
      <c r="DK160" s="528">
        <f t="shared" si="388"/>
        <v>0.22222222222222232</v>
      </c>
      <c r="DM160" s="173">
        <f t="shared" si="389"/>
        <v>1.9999999999999998</v>
      </c>
      <c r="DN160" s="173">
        <f t="shared" si="390"/>
        <v>2.6161904761904764</v>
      </c>
      <c r="DO160" s="173">
        <f t="shared" si="391"/>
        <v>2.1502645502645503</v>
      </c>
      <c r="DQ160" s="545">
        <f t="shared" si="392"/>
        <v>500</v>
      </c>
      <c r="DR160" s="460">
        <f t="shared" si="393"/>
        <v>199.6750865258708</v>
      </c>
      <c r="DT160">
        <f t="shared" si="430"/>
        <v>500</v>
      </c>
      <c r="DU160">
        <f t="shared" si="431"/>
        <v>199.6750865258708</v>
      </c>
      <c r="DW160" s="5">
        <f t="shared" si="394"/>
        <v>5.0081360544217697</v>
      </c>
      <c r="DX160" s="5">
        <f t="shared" si="395"/>
        <v>3.1394285714285721</v>
      </c>
      <c r="DY160" s="5">
        <f t="shared" si="396"/>
        <v>1.8687074829931976</v>
      </c>
      <c r="DZ160" s="5"/>
      <c r="EA160" s="173">
        <f t="shared" si="397"/>
        <v>0.62686567164179108</v>
      </c>
      <c r="EB160" s="173">
        <f t="shared" si="398"/>
        <v>8.2000000000000011</v>
      </c>
      <c r="EC160" s="173">
        <f t="shared" si="399"/>
        <v>0.48809523809523808</v>
      </c>
      <c r="ED160" s="173">
        <f t="shared" si="400"/>
        <v>16.800000000000004</v>
      </c>
      <c r="EE160" s="460">
        <f t="shared" si="401"/>
        <v>9.5714285714285747</v>
      </c>
      <c r="EF160" s="5">
        <f t="shared" si="402"/>
        <v>1.2769501133786847</v>
      </c>
      <c r="EH160" s="173">
        <f t="shared" si="403"/>
        <v>1.1959030591917252</v>
      </c>
      <c r="EI160" s="173">
        <f t="shared" si="404"/>
        <v>0.92265924131598542</v>
      </c>
      <c r="EK160" s="528">
        <f t="shared" si="405"/>
        <v>2.8603682539682544E-2</v>
      </c>
      <c r="EL160" s="528">
        <f t="shared" si="406"/>
        <v>0.27999999999999997</v>
      </c>
      <c r="EM160" s="528">
        <f t="shared" si="407"/>
        <v>2.4959385815733849E-2</v>
      </c>
      <c r="EN160" s="528">
        <f t="shared" si="408"/>
        <v>1.4341463414634142E-2</v>
      </c>
      <c r="EO160">
        <f t="shared" si="409"/>
        <v>4.4999999999999997E-3</v>
      </c>
      <c r="EP160" s="460">
        <f t="shared" si="410"/>
        <v>29.45938581573385</v>
      </c>
      <c r="EQ160" s="460"/>
      <c r="ER160" s="460">
        <f t="shared" si="432"/>
        <v>352.40453177005054</v>
      </c>
      <c r="ES160" s="528">
        <f t="shared" si="411"/>
        <v>0.35</v>
      </c>
      <c r="EV160" s="460">
        <f t="shared" si="412"/>
        <v>350</v>
      </c>
      <c r="EW160" s="528">
        <f t="shared" si="413"/>
        <v>4.290552380952381E-2</v>
      </c>
      <c r="EX160" s="528">
        <f t="shared" si="414"/>
        <v>2.5539002267573694E-2</v>
      </c>
      <c r="EY160" s="528">
        <f t="shared" si="415"/>
        <v>0.31185528502698273</v>
      </c>
      <c r="EZ160" s="528"/>
      <c r="FA160" s="528">
        <f t="shared" si="416"/>
        <v>6.8333333333333328E-3</v>
      </c>
      <c r="FB160" s="460">
        <f t="shared" si="417"/>
        <v>387.13314443741359</v>
      </c>
      <c r="FC160" s="173">
        <f t="shared" si="418"/>
        <v>1.089537676207464</v>
      </c>
      <c r="FD160" s="5">
        <f t="shared" si="419"/>
        <v>8.1999999999999993</v>
      </c>
      <c r="FE160" s="173">
        <f t="shared" si="420"/>
        <v>0.8827134660320064</v>
      </c>
      <c r="FF160" s="5">
        <f t="shared" si="421"/>
        <v>88.271346603200641</v>
      </c>
      <c r="FI160" s="562">
        <f t="shared" si="422"/>
        <v>-50</v>
      </c>
      <c r="FJ160">
        <f t="shared" si="423"/>
        <v>-50</v>
      </c>
      <c r="FL160">
        <f t="shared" si="476"/>
        <v>0.37313432835820892</v>
      </c>
    </row>
    <row r="161" spans="5:168">
      <c r="E161" s="170">
        <v>51</v>
      </c>
      <c r="F161" s="217">
        <f t="shared" si="477"/>
        <v>0.51</v>
      </c>
      <c r="G161" s="217"/>
      <c r="H161" s="217">
        <f t="shared" si="442"/>
        <v>8.363999999999999</v>
      </c>
      <c r="I161" s="541">
        <f t="shared" si="443"/>
        <v>9.929819024937327</v>
      </c>
      <c r="J161" s="172">
        <f t="shared" si="444"/>
        <v>16.8421085850376</v>
      </c>
      <c r="K161" s="172">
        <f t="shared" si="445"/>
        <v>26.771927609974927</v>
      </c>
      <c r="L161" s="443"/>
      <c r="M161" s="217">
        <f t="shared" si="446"/>
        <v>0.62908054729256591</v>
      </c>
      <c r="N161" s="172">
        <f t="shared" si="447"/>
        <v>20.900269822246404</v>
      </c>
      <c r="O161" s="172">
        <f t="shared" si="438"/>
        <v>8.363999999999999</v>
      </c>
      <c r="P161" s="217">
        <f t="shared" si="448"/>
        <v>1.2744066964784393</v>
      </c>
      <c r="Q161" s="217">
        <f t="shared" si="449"/>
        <v>16.399999999999999</v>
      </c>
      <c r="R161" s="217"/>
      <c r="S161" s="172">
        <f t="shared" si="450"/>
        <v>55.04259927292069</v>
      </c>
      <c r="T161" s="172">
        <f t="shared" si="451"/>
        <v>16.399999999999999</v>
      </c>
      <c r="U161" s="217">
        <f t="shared" si="452"/>
        <v>2.7499231775383155</v>
      </c>
      <c r="V161" s="217">
        <f t="shared" si="453"/>
        <v>3.3232305692165482</v>
      </c>
      <c r="W161" s="217">
        <f t="shared" si="454"/>
        <v>1.9593198775464438</v>
      </c>
      <c r="X161" s="197">
        <f t="shared" si="455"/>
        <v>350</v>
      </c>
      <c r="Y161" s="443">
        <f t="shared" si="328"/>
        <v>182.39686250227214</v>
      </c>
      <c r="AA161" s="217">
        <f t="shared" si="456"/>
        <v>1.4873352263412272</v>
      </c>
      <c r="AB161" s="173">
        <f t="shared" si="457"/>
        <v>1.0597261397513358</v>
      </c>
      <c r="AC161" s="173">
        <f t="shared" si="458"/>
        <v>0.2758294031371844</v>
      </c>
      <c r="AD161" s="173"/>
      <c r="AE161" s="173">
        <f t="shared" si="459"/>
        <v>0.94999981262526001</v>
      </c>
      <c r="AF161" s="545">
        <f t="shared" si="460"/>
        <v>805.26331672211006</v>
      </c>
      <c r="AG161" s="528">
        <f t="shared" si="461"/>
        <v>0.22166662294589404</v>
      </c>
      <c r="AI161" s="173">
        <f t="shared" si="462"/>
        <v>2.0224308073830333</v>
      </c>
      <c r="AJ161" s="173">
        <f t="shared" si="463"/>
        <v>2.7499231775383155</v>
      </c>
      <c r="AK161" s="173">
        <f t="shared" si="464"/>
        <v>2.2493258105222087</v>
      </c>
      <c r="AM161" s="545">
        <f t="shared" si="465"/>
        <v>510</v>
      </c>
      <c r="AN161" s="460">
        <f t="shared" si="466"/>
        <v>182.39686250227214</v>
      </c>
      <c r="AP161">
        <f t="shared" si="467"/>
        <v>510</v>
      </c>
      <c r="AQ161">
        <f t="shared" si="468"/>
        <v>182.39686250227214</v>
      </c>
      <c r="AS161" s="5">
        <f t="shared" si="439"/>
        <v>5.4825504467629909</v>
      </c>
      <c r="AT161" s="5">
        <f t="shared" si="469"/>
        <v>3.3232305692165482</v>
      </c>
      <c r="AU161" s="5">
        <f t="shared" si="343"/>
        <v>2.1593198775464426</v>
      </c>
      <c r="AV161" s="5"/>
      <c r="AW161" s="173">
        <f t="shared" si="344"/>
        <v>0.60614682919673835</v>
      </c>
      <c r="AX161" s="173">
        <f t="shared" si="435"/>
        <v>8.2757952406919255</v>
      </c>
      <c r="AY161" s="173">
        <f t="shared" si="436"/>
        <v>0.54153298146942308</v>
      </c>
      <c r="AZ161" s="173">
        <f t="shared" si="440"/>
        <v>15.282162903976712</v>
      </c>
      <c r="BA161" s="460">
        <f t="shared" si="433"/>
        <v>10.334436526222195</v>
      </c>
      <c r="BB161" s="5">
        <f t="shared" si="434"/>
        <v>1.5156831669038091</v>
      </c>
      <c r="BD161" s="173">
        <f t="shared" si="441"/>
        <v>1.2360864705559018</v>
      </c>
      <c r="BE161" s="173">
        <f t="shared" si="437"/>
        <v>0.99638483099125019</v>
      </c>
      <c r="BG161" s="528">
        <f t="shared" si="347"/>
        <v>3.0558195253826925E-2</v>
      </c>
      <c r="BH161" s="528">
        <f t="shared" si="470"/>
        <v>0.25177861434059579</v>
      </c>
      <c r="BI161" s="528">
        <f t="shared" si="471"/>
        <v>4.527919588409849E-2</v>
      </c>
      <c r="BJ161" s="528">
        <f t="shared" si="350"/>
        <v>1.3073041733285161E-2</v>
      </c>
      <c r="BK161">
        <f t="shared" si="351"/>
        <v>4.4684185612217974E-3</v>
      </c>
      <c r="BL161" s="460">
        <f t="shared" si="427"/>
        <v>49.747614445320288</v>
      </c>
      <c r="BM161" s="528">
        <f t="shared" si="472"/>
        <v>0.30588145525790983</v>
      </c>
      <c r="BN161" s="460">
        <f t="shared" si="353"/>
        <v>305.88145525790981</v>
      </c>
      <c r="BO161" s="528">
        <f t="shared" si="354"/>
        <v>0.35699999999999998</v>
      </c>
      <c r="BR161" s="460">
        <f t="shared" si="355"/>
        <v>357</v>
      </c>
      <c r="BS161" s="528">
        <f t="shared" si="356"/>
        <v>4.5837292880740385E-2</v>
      </c>
      <c r="BT161" s="528">
        <f t="shared" si="357"/>
        <v>2.9783481942883865E-2</v>
      </c>
      <c r="BU161" s="528">
        <f t="shared" si="358"/>
        <v>0.28171814289445474</v>
      </c>
      <c r="BV161" s="528"/>
      <c r="BW161" s="528">
        <f t="shared" si="359"/>
        <v>6.8964960339099393E-3</v>
      </c>
      <c r="BX161" s="460">
        <f t="shared" si="360"/>
        <v>364.23541375198897</v>
      </c>
      <c r="BY161" s="173">
        <f t="shared" si="361"/>
        <v>1.066392879525017</v>
      </c>
      <c r="BZ161" s="5">
        <f t="shared" si="362"/>
        <v>8.363999999999999</v>
      </c>
      <c r="CA161" s="173">
        <f t="shared" si="363"/>
        <v>0.88691957025031942</v>
      </c>
      <c r="CB161" s="5">
        <f t="shared" si="364"/>
        <v>88.69195702503194</v>
      </c>
      <c r="CE161" s="562">
        <f t="shared" si="473"/>
        <v>-50</v>
      </c>
      <c r="CF161">
        <f t="shared" si="474"/>
        <v>-50</v>
      </c>
      <c r="CG161" s="173">
        <f t="shared" si="475"/>
        <v>0.36334633392066623</v>
      </c>
      <c r="CI161" s="170">
        <v>51</v>
      </c>
      <c r="CJ161" s="217">
        <f t="shared" si="428"/>
        <v>0.51</v>
      </c>
      <c r="CK161" s="217"/>
      <c r="CL161" s="217">
        <f t="shared" si="368"/>
        <v>8.363999999999999</v>
      </c>
      <c r="CM161" s="541">
        <f t="shared" si="369"/>
        <v>10</v>
      </c>
      <c r="CN161" s="443">
        <f t="shared" si="370"/>
        <v>16.799999999999997</v>
      </c>
      <c r="CO161" s="443">
        <f t="shared" si="371"/>
        <v>26.799999999999997</v>
      </c>
      <c r="CP161" s="443"/>
      <c r="CQ161" s="217">
        <f t="shared" si="372"/>
        <v>0.62686567164179097</v>
      </c>
      <c r="CR161" s="172">
        <f t="shared" si="429"/>
        <v>20.973880597014926</v>
      </c>
      <c r="CS161" s="172">
        <f t="shared" si="373"/>
        <v>8.363999999999999</v>
      </c>
      <c r="CT161" s="217">
        <f t="shared" si="374"/>
        <v>1.2788951583545687</v>
      </c>
      <c r="CU161" s="217">
        <f t="shared" si="375"/>
        <v>16.399999999999999</v>
      </c>
      <c r="CV161" s="217"/>
      <c r="CW161" s="172">
        <f t="shared" si="376"/>
        <v>55.431121753099639</v>
      </c>
      <c r="CX161" s="172">
        <f t="shared" si="377"/>
        <v>16.399999999999999</v>
      </c>
      <c r="CY161" s="217">
        <f t="shared" si="378"/>
        <v>2.6685142857142856</v>
      </c>
      <c r="CZ161" s="217">
        <f t="shared" si="379"/>
        <v>3.2022171428571431</v>
      </c>
      <c r="DA161" s="217">
        <f t="shared" si="380"/>
        <v>1.9060816326530616</v>
      </c>
      <c r="DB161" s="197">
        <f t="shared" si="381"/>
        <v>350</v>
      </c>
      <c r="DC161" s="443">
        <f t="shared" si="382"/>
        <v>195.75988875085375</v>
      </c>
      <c r="DE161" s="217">
        <f t="shared" si="383"/>
        <v>1.4925373134328355</v>
      </c>
      <c r="DF161" s="173">
        <f t="shared" si="384"/>
        <v>1.0660980810234544</v>
      </c>
      <c r="DG161" s="173">
        <f t="shared" si="385"/>
        <v>0.27845845399866342</v>
      </c>
      <c r="DH161" s="173"/>
      <c r="DI161" s="173">
        <f t="shared" si="386"/>
        <v>0.95238095238095266</v>
      </c>
      <c r="DJ161" s="545">
        <f t="shared" si="387"/>
        <v>803.24999999999966</v>
      </c>
      <c r="DK161" s="528">
        <f t="shared" si="388"/>
        <v>0.22222222222222232</v>
      </c>
      <c r="DM161" s="173">
        <f t="shared" si="389"/>
        <v>2.0199009876724152</v>
      </c>
      <c r="DN161" s="173">
        <f t="shared" si="390"/>
        <v>2.6685142857142856</v>
      </c>
      <c r="DO161" s="173">
        <f t="shared" si="391"/>
        <v>2.1890229276895941</v>
      </c>
      <c r="DQ161" s="545">
        <f t="shared" si="392"/>
        <v>510</v>
      </c>
      <c r="DR161" s="460">
        <f t="shared" si="393"/>
        <v>195.75988875085375</v>
      </c>
      <c r="DT161">
        <f t="shared" si="430"/>
        <v>510</v>
      </c>
      <c r="DU161">
        <f t="shared" si="431"/>
        <v>195.75988875085375</v>
      </c>
      <c r="DW161" s="5">
        <f t="shared" si="394"/>
        <v>5.1082987755102041</v>
      </c>
      <c r="DX161" s="5">
        <f t="shared" si="395"/>
        <v>3.2022171428571431</v>
      </c>
      <c r="DY161" s="5">
        <f t="shared" si="396"/>
        <v>1.906081632653061</v>
      </c>
      <c r="DZ161" s="5"/>
      <c r="EA161" s="173">
        <f t="shared" si="397"/>
        <v>0.62686567164179108</v>
      </c>
      <c r="EB161" s="173">
        <f t="shared" si="398"/>
        <v>8.3640000000000008</v>
      </c>
      <c r="EC161" s="173">
        <f t="shared" si="399"/>
        <v>0.49785714285714278</v>
      </c>
      <c r="ED161" s="173">
        <f t="shared" si="400"/>
        <v>16.800000000000004</v>
      </c>
      <c r="EE161" s="460">
        <f t="shared" si="401"/>
        <v>9.9581142857142897</v>
      </c>
      <c r="EF161" s="5">
        <f t="shared" si="402"/>
        <v>1.3285388979591832</v>
      </c>
      <c r="EH161" s="173">
        <f t="shared" si="403"/>
        <v>1.2198211203755596</v>
      </c>
      <c r="EI161" s="173">
        <f t="shared" si="404"/>
        <v>0.94111242614230506</v>
      </c>
      <c r="EK161" s="528">
        <f t="shared" si="405"/>
        <v>2.9759271314285709E-2</v>
      </c>
      <c r="EL161" s="528">
        <f t="shared" si="406"/>
        <v>0.27999999999999997</v>
      </c>
      <c r="EM161" s="528">
        <f t="shared" si="407"/>
        <v>2.446998609385672E-2</v>
      </c>
      <c r="EN161" s="528">
        <f t="shared" si="408"/>
        <v>1.4060258249641317E-2</v>
      </c>
      <c r="EO161">
        <f t="shared" si="409"/>
        <v>4.4999999999999997E-3</v>
      </c>
      <c r="EP161" s="460">
        <f t="shared" si="410"/>
        <v>28.969986093856722</v>
      </c>
      <c r="EQ161" s="460"/>
      <c r="ER161" s="460">
        <f t="shared" si="432"/>
        <v>352.78951565778368</v>
      </c>
      <c r="ES161" s="528">
        <f t="shared" si="411"/>
        <v>0.35699999999999998</v>
      </c>
      <c r="EV161" s="460">
        <f t="shared" si="412"/>
        <v>357</v>
      </c>
      <c r="EW161" s="528">
        <f t="shared" si="413"/>
        <v>4.4638906971428562E-2</v>
      </c>
      <c r="EX161" s="528">
        <f t="shared" si="414"/>
        <v>2.6570777959183667E-2</v>
      </c>
      <c r="EY161" s="528">
        <f t="shared" si="415"/>
        <v>0.31185528502698256</v>
      </c>
      <c r="EZ161" s="528"/>
      <c r="FA161" s="528">
        <f t="shared" si="416"/>
        <v>6.9700000000000005E-3</v>
      </c>
      <c r="FB161" s="460">
        <f t="shared" si="417"/>
        <v>390.03496995759474</v>
      </c>
      <c r="FC161" s="173">
        <f t="shared" si="418"/>
        <v>1.0998244856153785</v>
      </c>
      <c r="FD161" s="5">
        <f t="shared" si="419"/>
        <v>8.363999999999999</v>
      </c>
      <c r="FE161" s="173">
        <f t="shared" si="420"/>
        <v>0.88378646631844593</v>
      </c>
      <c r="FF161" s="5">
        <f t="shared" si="421"/>
        <v>88.378646631844589</v>
      </c>
      <c r="FI161" s="562">
        <f t="shared" si="422"/>
        <v>-50</v>
      </c>
      <c r="FJ161">
        <f t="shared" si="423"/>
        <v>-50</v>
      </c>
      <c r="FL161">
        <f t="shared" si="476"/>
        <v>0.37313432835820892</v>
      </c>
    </row>
    <row r="162" spans="5:168">
      <c r="E162" s="170">
        <v>52</v>
      </c>
      <c r="F162" s="217">
        <f t="shared" si="477"/>
        <v>0.52</v>
      </c>
      <c r="G162" s="217"/>
      <c r="H162" s="217">
        <f t="shared" si="442"/>
        <v>8.5279999999999987</v>
      </c>
      <c r="I162" s="541">
        <f t="shared" si="443"/>
        <v>9.9284799781560551</v>
      </c>
      <c r="J162" s="172">
        <f t="shared" si="444"/>
        <v>16.842912013106364</v>
      </c>
      <c r="K162" s="172">
        <f t="shared" si="445"/>
        <v>26.771391991262419</v>
      </c>
      <c r="L162" s="443"/>
      <c r="M162" s="217">
        <f t="shared" si="446"/>
        <v>0.62912315376444705</v>
      </c>
      <c r="N162" s="172">
        <f t="shared" si="447"/>
        <v>20.898866744431661</v>
      </c>
      <c r="O162" s="172">
        <f t="shared" si="438"/>
        <v>8.5279999999999987</v>
      </c>
      <c r="P162" s="217">
        <f t="shared" si="448"/>
        <v>1.2743211429531502</v>
      </c>
      <c r="Q162" s="217">
        <f t="shared" si="449"/>
        <v>16.399999999999999</v>
      </c>
      <c r="R162" s="217"/>
      <c r="S162" s="172">
        <f t="shared" si="450"/>
        <v>53.788910356033632</v>
      </c>
      <c r="T162" s="172">
        <f t="shared" si="451"/>
        <v>16.399999999999999</v>
      </c>
      <c r="U162" s="217">
        <f t="shared" si="452"/>
        <v>2.8041653464111653</v>
      </c>
      <c r="V162" s="217">
        <f t="shared" si="453"/>
        <v>3.3892382550972875</v>
      </c>
      <c r="W162" s="217">
        <f t="shared" si="454"/>
        <v>1.9978721096891765</v>
      </c>
      <c r="X162" s="197">
        <f t="shared" si="455"/>
        <v>350</v>
      </c>
      <c r="Y162" s="443">
        <f t="shared" si="328"/>
        <v>178.98339834176863</v>
      </c>
      <c r="AA162" s="217">
        <f t="shared" si="456"/>
        <v>1.487235353876728</v>
      </c>
      <c r="AB162" s="173">
        <f t="shared" si="457"/>
        <v>1.0596044337602177</v>
      </c>
      <c r="AC162" s="173">
        <f t="shared" si="458"/>
        <v>0.27577920562722735</v>
      </c>
      <c r="AD162" s="173"/>
      <c r="AE162" s="173">
        <f t="shared" si="459"/>
        <v>0.94995449644037522</v>
      </c>
      <c r="AF162" s="545">
        <f t="shared" si="460"/>
        <v>821.09196063893512</v>
      </c>
      <c r="AG162" s="528">
        <f t="shared" si="461"/>
        <v>0.22165604916942089</v>
      </c>
      <c r="AI162" s="173">
        <f t="shared" si="462"/>
        <v>2.0422110154968838</v>
      </c>
      <c r="AJ162" s="173">
        <f t="shared" si="463"/>
        <v>2.8041653464111653</v>
      </c>
      <c r="AK162" s="173">
        <f t="shared" si="464"/>
        <v>2.2895051948724681</v>
      </c>
      <c r="AM162" s="545">
        <f t="shared" si="465"/>
        <v>520</v>
      </c>
      <c r="AN162" s="460">
        <f t="shared" si="466"/>
        <v>178.98339834176863</v>
      </c>
      <c r="AP162">
        <f t="shared" si="467"/>
        <v>520</v>
      </c>
      <c r="AQ162">
        <f t="shared" si="468"/>
        <v>178.98339834176863</v>
      </c>
      <c r="AS162" s="5">
        <f t="shared" si="439"/>
        <v>5.5871103647864642</v>
      </c>
      <c r="AT162" s="5">
        <f t="shared" si="469"/>
        <v>3.3892382550972875</v>
      </c>
      <c r="AU162" s="5">
        <f t="shared" si="343"/>
        <v>2.1978721096891767</v>
      </c>
      <c r="AV162" s="5"/>
      <c r="AW162" s="173">
        <f t="shared" si="344"/>
        <v>0.60661738068723869</v>
      </c>
      <c r="AX162" s="173">
        <f t="shared" si="435"/>
        <v>8.444447426247093</v>
      </c>
      <c r="AY162" s="173">
        <f t="shared" si="436"/>
        <v>0.55155495447865044</v>
      </c>
      <c r="AZ162" s="173">
        <f t="shared" si="440"/>
        <v>15.310255773568544</v>
      </c>
      <c r="BA162" s="460">
        <f t="shared" si="433"/>
        <v>10.746365199088963</v>
      </c>
      <c r="BB162" s="5">
        <f t="shared" si="434"/>
        <v>1.5732060188356563</v>
      </c>
      <c r="BD162" s="173">
        <f t="shared" si="441"/>
        <v>1.2609574021396615</v>
      </c>
      <c r="BE162" s="173">
        <f t="shared" si="437"/>
        <v>1.0154313664613737</v>
      </c>
      <c r="BG162" s="528">
        <f t="shared" si="347"/>
        <v>3.1800271400216074E-2</v>
      </c>
      <c r="BH162" s="528">
        <f t="shared" si="470"/>
        <v>0.25193505048547349</v>
      </c>
      <c r="BI162" s="528">
        <f t="shared" si="471"/>
        <v>4.4425827171464483E-2</v>
      </c>
      <c r="BJ162" s="528">
        <f t="shared" si="350"/>
        <v>1.2827873128602887E-2</v>
      </c>
      <c r="BK162">
        <f t="shared" si="351"/>
        <v>4.4678159901702244E-3</v>
      </c>
      <c r="BL162" s="460">
        <f t="shared" si="427"/>
        <v>48.893643161634706</v>
      </c>
      <c r="BM162" s="528">
        <f t="shared" si="472"/>
        <v>0.30747245157251435</v>
      </c>
      <c r="BN162" s="460">
        <f t="shared" si="353"/>
        <v>307.47245157251433</v>
      </c>
      <c r="BO162" s="528">
        <f t="shared" si="354"/>
        <v>0.36399999999999999</v>
      </c>
      <c r="BR162" s="460">
        <f t="shared" si="355"/>
        <v>364</v>
      </c>
      <c r="BS162" s="528">
        <f t="shared" si="356"/>
        <v>4.770040710032411E-2</v>
      </c>
      <c r="BT162" s="528">
        <f t="shared" si="357"/>
        <v>3.0933025799808372E-2</v>
      </c>
      <c r="BU162" s="528">
        <f t="shared" si="358"/>
        <v>0.28217005561620995</v>
      </c>
      <c r="BV162" s="528"/>
      <c r="BW162" s="528">
        <f t="shared" si="359"/>
        <v>7.0370395218725765E-3</v>
      </c>
      <c r="BX162" s="460">
        <f t="shared" si="360"/>
        <v>367.84052803821498</v>
      </c>
      <c r="BY162" s="173">
        <f t="shared" si="361"/>
        <v>1.0772973662141423</v>
      </c>
      <c r="BZ162" s="5">
        <f t="shared" si="362"/>
        <v>8.5279999999999987</v>
      </c>
      <c r="CA162" s="173">
        <f t="shared" si="363"/>
        <v>0.88784341336443684</v>
      </c>
      <c r="CB162" s="5">
        <f t="shared" si="364"/>
        <v>88.784341336443688</v>
      </c>
      <c r="CE162" s="562">
        <f t="shared" si="473"/>
        <v>-50</v>
      </c>
      <c r="CF162">
        <f t="shared" si="474"/>
        <v>-50</v>
      </c>
      <c r="CG162" s="173">
        <f t="shared" si="475"/>
        <v>0.36353456458292677</v>
      </c>
      <c r="CI162" s="170">
        <v>52</v>
      </c>
      <c r="CJ162" s="217">
        <f t="shared" si="428"/>
        <v>0.52</v>
      </c>
      <c r="CK162" s="217"/>
      <c r="CL162" s="217">
        <f t="shared" si="368"/>
        <v>8.5279999999999987</v>
      </c>
      <c r="CM162" s="541">
        <f t="shared" si="369"/>
        <v>10</v>
      </c>
      <c r="CN162" s="443">
        <f t="shared" si="370"/>
        <v>16.799999999999997</v>
      </c>
      <c r="CO162" s="443">
        <f t="shared" si="371"/>
        <v>26.799999999999997</v>
      </c>
      <c r="CP162" s="443"/>
      <c r="CQ162" s="217">
        <f t="shared" si="372"/>
        <v>0.62686567164179097</v>
      </c>
      <c r="CR162" s="172">
        <f t="shared" si="429"/>
        <v>20.973880597014926</v>
      </c>
      <c r="CS162" s="172">
        <f t="shared" si="373"/>
        <v>8.5279999999999987</v>
      </c>
      <c r="CT162" s="217">
        <f t="shared" si="374"/>
        <v>1.2788951583545687</v>
      </c>
      <c r="CU162" s="217">
        <f t="shared" si="375"/>
        <v>16.399999999999999</v>
      </c>
      <c r="CV162" s="217"/>
      <c r="CW162" s="172">
        <f t="shared" si="376"/>
        <v>54.175856584813722</v>
      </c>
      <c r="CX162" s="172">
        <f t="shared" si="377"/>
        <v>16.399999999999999</v>
      </c>
      <c r="CY162" s="217">
        <f t="shared" si="378"/>
        <v>2.7208380952380953</v>
      </c>
      <c r="CZ162" s="217">
        <f t="shared" si="379"/>
        <v>3.2650057142857145</v>
      </c>
      <c r="DA162" s="217">
        <f t="shared" si="380"/>
        <v>1.9434557823129257</v>
      </c>
      <c r="DB162" s="197">
        <f t="shared" si="381"/>
        <v>350</v>
      </c>
      <c r="DC162" s="443">
        <f t="shared" si="382"/>
        <v>191.995275505645</v>
      </c>
      <c r="DE162" s="217">
        <f t="shared" si="383"/>
        <v>1.4925373134328355</v>
      </c>
      <c r="DF162" s="173">
        <f t="shared" si="384"/>
        <v>1.0660980810234544</v>
      </c>
      <c r="DG162" s="173">
        <f t="shared" si="385"/>
        <v>0.27845845399866342</v>
      </c>
      <c r="DH162" s="173"/>
      <c r="DI162" s="173">
        <f t="shared" si="386"/>
        <v>0.95238095238095266</v>
      </c>
      <c r="DJ162" s="545">
        <f t="shared" si="387"/>
        <v>818.99999999999966</v>
      </c>
      <c r="DK162" s="528">
        <f t="shared" si="388"/>
        <v>0.22222222222222232</v>
      </c>
      <c r="DM162" s="173">
        <f t="shared" si="389"/>
        <v>2.0396078054371136</v>
      </c>
      <c r="DN162" s="173">
        <f t="shared" si="390"/>
        <v>2.7208380952380953</v>
      </c>
      <c r="DO162" s="173">
        <f t="shared" si="391"/>
        <v>2.2277813051146382</v>
      </c>
      <c r="DQ162" s="545">
        <f t="shared" si="392"/>
        <v>520</v>
      </c>
      <c r="DR162" s="460">
        <f t="shared" si="393"/>
        <v>191.995275505645</v>
      </c>
      <c r="DT162">
        <f t="shared" si="430"/>
        <v>520</v>
      </c>
      <c r="DU162">
        <f t="shared" si="431"/>
        <v>191.995275505645</v>
      </c>
      <c r="DW162" s="5">
        <f t="shared" si="394"/>
        <v>5.2084614965986402</v>
      </c>
      <c r="DX162" s="5">
        <f t="shared" si="395"/>
        <v>3.2650057142857145</v>
      </c>
      <c r="DY162" s="5">
        <f t="shared" si="396"/>
        <v>1.9434557823129257</v>
      </c>
      <c r="DZ162" s="5"/>
      <c r="EA162" s="173">
        <f t="shared" si="397"/>
        <v>0.62686567164179097</v>
      </c>
      <c r="EB162" s="173">
        <f t="shared" si="398"/>
        <v>8.5279999999999987</v>
      </c>
      <c r="EC162" s="173">
        <f t="shared" si="399"/>
        <v>0.50761904761904775</v>
      </c>
      <c r="ED162" s="173">
        <f t="shared" si="400"/>
        <v>16.799999999999994</v>
      </c>
      <c r="EE162" s="460">
        <f t="shared" si="401"/>
        <v>10.352457142857146</v>
      </c>
      <c r="EF162" s="5">
        <f t="shared" si="402"/>
        <v>1.3811492426303855</v>
      </c>
      <c r="EH162" s="173">
        <f t="shared" si="403"/>
        <v>1.2437391815593941</v>
      </c>
      <c r="EI162" s="173">
        <f t="shared" si="404"/>
        <v>0.95956561096862503</v>
      </c>
      <c r="EK162" s="528">
        <f t="shared" si="405"/>
        <v>3.0937743034920629E-2</v>
      </c>
      <c r="EL162" s="528">
        <f t="shared" si="406"/>
        <v>0.27999999999999992</v>
      </c>
      <c r="EM162" s="528">
        <f t="shared" si="407"/>
        <v>2.3999409438205624E-2</v>
      </c>
      <c r="EN162" s="528">
        <f t="shared" si="408"/>
        <v>1.3789868667917446E-2</v>
      </c>
      <c r="EO162">
        <f t="shared" si="409"/>
        <v>4.4999999999999997E-3</v>
      </c>
      <c r="EP162" s="460">
        <f t="shared" si="410"/>
        <v>28.499409438205625</v>
      </c>
      <c r="EQ162" s="460"/>
      <c r="ER162" s="460">
        <f t="shared" si="432"/>
        <v>353.22702114104362</v>
      </c>
      <c r="ES162" s="528">
        <f t="shared" si="411"/>
        <v>0.36399999999999999</v>
      </c>
      <c r="EV162" s="460">
        <f t="shared" si="412"/>
        <v>364</v>
      </c>
      <c r="EW162" s="528">
        <f t="shared" si="413"/>
        <v>4.6406614552380938E-2</v>
      </c>
      <c r="EX162" s="528">
        <f t="shared" si="414"/>
        <v>2.7622984852607717E-2</v>
      </c>
      <c r="EY162" s="528">
        <f t="shared" si="415"/>
        <v>0.31185528502698318</v>
      </c>
      <c r="EZ162" s="528"/>
      <c r="FA162" s="528">
        <f t="shared" si="416"/>
        <v>7.1066666666666665E-3</v>
      </c>
      <c r="FB162" s="460">
        <f t="shared" si="417"/>
        <v>392.99155109863847</v>
      </c>
      <c r="FC162" s="173">
        <f t="shared" si="418"/>
        <v>1.110218572239682</v>
      </c>
      <c r="FD162" s="5">
        <f t="shared" si="419"/>
        <v>8.5279999999999987</v>
      </c>
      <c r="FE162" s="173">
        <f t="shared" si="420"/>
        <v>0.88481081188204536</v>
      </c>
      <c r="FF162" s="5">
        <f t="shared" si="421"/>
        <v>88.481081188204541</v>
      </c>
      <c r="FI162" s="562">
        <f t="shared" si="422"/>
        <v>-50</v>
      </c>
      <c r="FJ162">
        <f t="shared" si="423"/>
        <v>-50</v>
      </c>
      <c r="FL162">
        <f t="shared" si="476"/>
        <v>0.37313432835820903</v>
      </c>
    </row>
    <row r="163" spans="5:168">
      <c r="E163" s="170">
        <v>53</v>
      </c>
      <c r="F163" s="217">
        <f t="shared" si="477"/>
        <v>0.53</v>
      </c>
      <c r="G163" s="217"/>
      <c r="H163" s="217">
        <f t="shared" si="442"/>
        <v>8.6920000000000002</v>
      </c>
      <c r="I163" s="541">
        <f t="shared" si="443"/>
        <v>9.927140894472787</v>
      </c>
      <c r="J163" s="172">
        <f t="shared" si="444"/>
        <v>16.843715463316325</v>
      </c>
      <c r="K163" s="172">
        <f t="shared" si="445"/>
        <v>26.770856357789114</v>
      </c>
      <c r="L163" s="443"/>
      <c r="M163" s="217">
        <f t="shared" si="446"/>
        <v>0.62916576280678083</v>
      </c>
      <c r="N163" s="172">
        <f t="shared" si="447"/>
        <v>20.89746329253822</v>
      </c>
      <c r="O163" s="172">
        <f t="shared" si="438"/>
        <v>8.6920000000000002</v>
      </c>
      <c r="P163" s="217">
        <f t="shared" si="448"/>
        <v>1.2742355666181842</v>
      </c>
      <c r="Q163" s="217">
        <f t="shared" si="449"/>
        <v>16.399999999999999</v>
      </c>
      <c r="R163" s="217"/>
      <c r="S163" s="172">
        <f t="shared" si="450"/>
        <v>52.582653845394624</v>
      </c>
      <c r="T163" s="172">
        <f t="shared" si="451"/>
        <v>16.399999999999999</v>
      </c>
      <c r="U163" s="217">
        <f t="shared" si="452"/>
        <v>2.8584199992507653</v>
      </c>
      <c r="V163" s="217">
        <f t="shared" si="453"/>
        <v>3.4552788517494744</v>
      </c>
      <c r="W163" s="217">
        <f t="shared" si="454"/>
        <v>2.0364295553266087</v>
      </c>
      <c r="X163" s="197">
        <f t="shared" si="455"/>
        <v>350</v>
      </c>
      <c r="Y163" s="443">
        <f t="shared" si="328"/>
        <v>175.69417272971563</v>
      </c>
      <c r="AA163" s="217">
        <f t="shared" si="456"/>
        <v>1.487135455526102</v>
      </c>
      <c r="AB163" s="173">
        <f t="shared" si="457"/>
        <v>1.0594827195448027</v>
      </c>
      <c r="AC163" s="173">
        <f t="shared" si="458"/>
        <v>0.27572900543165135</v>
      </c>
      <c r="AD163" s="173"/>
      <c r="AE163" s="173">
        <f t="shared" si="459"/>
        <v>0.94990918332989904</v>
      </c>
      <c r="AF163" s="545">
        <f t="shared" si="460"/>
        <v>836.92211208352967</v>
      </c>
      <c r="AG163" s="528">
        <f t="shared" si="461"/>
        <v>0.2216454761103098</v>
      </c>
      <c r="AI163" s="173">
        <f t="shared" si="462"/>
        <v>2.0618033248264851</v>
      </c>
      <c r="AJ163" s="173">
        <f t="shared" si="463"/>
        <v>2.8584199992507653</v>
      </c>
      <c r="AK163" s="173">
        <f t="shared" si="464"/>
        <v>2.3296938266055047</v>
      </c>
      <c r="AM163" s="545">
        <f t="shared" si="465"/>
        <v>530</v>
      </c>
      <c r="AN163" s="460">
        <f t="shared" si="466"/>
        <v>175.69417272971563</v>
      </c>
      <c r="AP163">
        <f t="shared" si="467"/>
        <v>530</v>
      </c>
      <c r="AQ163">
        <f t="shared" si="468"/>
        <v>175.69417272971563</v>
      </c>
      <c r="AS163" s="5">
        <f t="shared" si="439"/>
        <v>5.6917084070760833</v>
      </c>
      <c r="AT163" s="5">
        <f t="shared" si="469"/>
        <v>3.4552788517494744</v>
      </c>
      <c r="AU163" s="5">
        <f t="shared" si="343"/>
        <v>2.2364295553266089</v>
      </c>
      <c r="AV163" s="5"/>
      <c r="AW163" s="173">
        <f t="shared" si="344"/>
        <v>0.6070723594086056</v>
      </c>
      <c r="AX163" s="173">
        <f t="shared" si="435"/>
        <v>8.6131238367294589</v>
      </c>
      <c r="AY163" s="173">
        <f t="shared" si="436"/>
        <v>0.56157611306242927</v>
      </c>
      <c r="AZ163" s="173">
        <f t="shared" si="440"/>
        <v>15.337411325705649</v>
      </c>
      <c r="BA163" s="460">
        <f t="shared" si="433"/>
        <v>11.166449947726964</v>
      </c>
      <c r="BB163" s="5">
        <f t="shared" si="434"/>
        <v>1.6318096940447806</v>
      </c>
      <c r="BD163" s="173">
        <f t="shared" si="441"/>
        <v>1.2858361879542861</v>
      </c>
      <c r="BE163" s="173">
        <f t="shared" si="437"/>
        <v>1.0344790613892441</v>
      </c>
      <c r="BG163" s="528">
        <f t="shared" si="347"/>
        <v>3.3067494045056205E-2</v>
      </c>
      <c r="BH163" s="528">
        <f t="shared" si="470"/>
        <v>0.25208495983507984</v>
      </c>
      <c r="BI163" s="528">
        <f t="shared" si="471"/>
        <v>4.3603520175643146E-2</v>
      </c>
      <c r="BJ163" s="528">
        <f t="shared" si="350"/>
        <v>1.2591628011694762E-2</v>
      </c>
      <c r="BK163">
        <f t="shared" si="351"/>
        <v>4.4672134025127543E-3</v>
      </c>
      <c r="BL163" s="460">
        <f t="shared" si="427"/>
        <v>48.070733578155902</v>
      </c>
      <c r="BM163" s="528">
        <f t="shared" si="472"/>
        <v>0.30910086023114758</v>
      </c>
      <c r="BN163" s="460">
        <f t="shared" si="353"/>
        <v>309.10086023114758</v>
      </c>
      <c r="BO163" s="528">
        <f t="shared" si="354"/>
        <v>0.371</v>
      </c>
      <c r="BR163" s="460">
        <f t="shared" si="355"/>
        <v>371</v>
      </c>
      <c r="BS163" s="528">
        <f t="shared" si="356"/>
        <v>4.9601241067584304E-2</v>
      </c>
      <c r="BT163" s="528">
        <f t="shared" si="357"/>
        <v>3.2104407853583143E-2</v>
      </c>
      <c r="BU163" s="528">
        <f t="shared" si="358"/>
        <v>0.28260412872219703</v>
      </c>
      <c r="BV163" s="528"/>
      <c r="BW163" s="528">
        <f t="shared" si="359"/>
        <v>7.1776031972745485E-3</v>
      </c>
      <c r="BX163" s="460">
        <f t="shared" si="360"/>
        <v>371.48738084063905</v>
      </c>
      <c r="BY163" s="173">
        <f t="shared" si="361"/>
        <v>1.0883021963106259</v>
      </c>
      <c r="BZ163" s="5">
        <f t="shared" si="362"/>
        <v>8.6920000000000002</v>
      </c>
      <c r="CA163" s="173">
        <f t="shared" si="363"/>
        <v>0.88872509514878184</v>
      </c>
      <c r="CB163" s="5">
        <f t="shared" si="364"/>
        <v>88.872509514878189</v>
      </c>
      <c r="CE163" s="562">
        <f t="shared" si="473"/>
        <v>-50</v>
      </c>
      <c r="CF163">
        <f t="shared" si="474"/>
        <v>-50</v>
      </c>
      <c r="CG163" s="173">
        <f t="shared" si="475"/>
        <v>0.36371569220132832</v>
      </c>
      <c r="CI163" s="170">
        <v>53</v>
      </c>
      <c r="CJ163" s="217">
        <f t="shared" si="428"/>
        <v>0.53</v>
      </c>
      <c r="CK163" s="217"/>
      <c r="CL163" s="217">
        <f t="shared" si="368"/>
        <v>8.6920000000000002</v>
      </c>
      <c r="CM163" s="541">
        <f t="shared" si="369"/>
        <v>10</v>
      </c>
      <c r="CN163" s="443">
        <f t="shared" si="370"/>
        <v>16.799999999999997</v>
      </c>
      <c r="CO163" s="443">
        <f t="shared" si="371"/>
        <v>26.799999999999997</v>
      </c>
      <c r="CP163" s="443"/>
      <c r="CQ163" s="217">
        <f t="shared" si="372"/>
        <v>0.62686567164179097</v>
      </c>
      <c r="CR163" s="172">
        <f t="shared" si="429"/>
        <v>20.973880597014926</v>
      </c>
      <c r="CS163" s="172">
        <f t="shared" si="373"/>
        <v>8.6920000000000002</v>
      </c>
      <c r="CT163" s="217">
        <f t="shared" si="374"/>
        <v>1.2788951583545687</v>
      </c>
      <c r="CU163" s="217">
        <f t="shared" si="375"/>
        <v>16.399999999999999</v>
      </c>
      <c r="CV163" s="217"/>
      <c r="CW163" s="172">
        <f t="shared" si="376"/>
        <v>52.968032996332411</v>
      </c>
      <c r="CX163" s="172">
        <f t="shared" si="377"/>
        <v>16.399999999999999</v>
      </c>
      <c r="CY163" s="217">
        <f t="shared" si="378"/>
        <v>2.7731619047619049</v>
      </c>
      <c r="CZ163" s="217">
        <f t="shared" si="379"/>
        <v>3.3277942857142859</v>
      </c>
      <c r="DA163" s="217">
        <f t="shared" si="380"/>
        <v>1.9808299319727893</v>
      </c>
      <c r="DB163" s="197">
        <f t="shared" si="381"/>
        <v>350</v>
      </c>
      <c r="DC163" s="443">
        <f t="shared" si="382"/>
        <v>188.37272313761397</v>
      </c>
      <c r="DE163" s="217">
        <f t="shared" si="383"/>
        <v>1.4925373134328355</v>
      </c>
      <c r="DF163" s="173">
        <f t="shared" si="384"/>
        <v>1.0660980810234544</v>
      </c>
      <c r="DG163" s="173">
        <f t="shared" si="385"/>
        <v>0.27845845399866342</v>
      </c>
      <c r="DH163" s="173"/>
      <c r="DI163" s="173">
        <f t="shared" si="386"/>
        <v>0.95238095238095266</v>
      </c>
      <c r="DJ163" s="545">
        <f t="shared" si="387"/>
        <v>834.74999999999966</v>
      </c>
      <c r="DK163" s="528">
        <f t="shared" si="388"/>
        <v>0.22222222222222232</v>
      </c>
      <c r="DM163" s="173">
        <f t="shared" si="389"/>
        <v>2.0591260281974</v>
      </c>
      <c r="DN163" s="173">
        <f t="shared" si="390"/>
        <v>2.7731619047619049</v>
      </c>
      <c r="DO163" s="173">
        <f t="shared" si="391"/>
        <v>2.2665396825396824</v>
      </c>
      <c r="DQ163" s="545">
        <f t="shared" si="392"/>
        <v>530</v>
      </c>
      <c r="DR163" s="460">
        <f t="shared" si="393"/>
        <v>188.37272313761397</v>
      </c>
      <c r="DT163">
        <f t="shared" si="430"/>
        <v>530</v>
      </c>
      <c r="DU163">
        <f t="shared" si="431"/>
        <v>188.37272313761397</v>
      </c>
      <c r="DW163" s="5">
        <f t="shared" si="394"/>
        <v>5.3086242176870755</v>
      </c>
      <c r="DX163" s="5">
        <f t="shared" si="395"/>
        <v>3.3277942857142859</v>
      </c>
      <c r="DY163" s="5">
        <f t="shared" si="396"/>
        <v>1.9808299319727896</v>
      </c>
      <c r="DZ163" s="5"/>
      <c r="EA163" s="173">
        <f t="shared" si="397"/>
        <v>0.62686567164179097</v>
      </c>
      <c r="EB163" s="173">
        <f t="shared" si="398"/>
        <v>8.6920000000000002</v>
      </c>
      <c r="EC163" s="173">
        <f t="shared" si="399"/>
        <v>0.5173809523809525</v>
      </c>
      <c r="ED163" s="173">
        <f t="shared" si="400"/>
        <v>16.799999999999997</v>
      </c>
      <c r="EE163" s="460">
        <f t="shared" si="401"/>
        <v>10.754457142857147</v>
      </c>
      <c r="EF163" s="5">
        <f t="shared" si="402"/>
        <v>1.4347811473922905</v>
      </c>
      <c r="EH163" s="173">
        <f t="shared" si="403"/>
        <v>1.2676572427432287</v>
      </c>
      <c r="EI163" s="173">
        <f t="shared" si="404"/>
        <v>0.97801879579494477</v>
      </c>
      <c r="EK163" s="528">
        <f t="shared" si="405"/>
        <v>3.2139097701587301E-2</v>
      </c>
      <c r="EL163" s="528">
        <f t="shared" si="406"/>
        <v>0.27999999999999997</v>
      </c>
      <c r="EM163" s="528">
        <f t="shared" si="407"/>
        <v>2.3546590392201746E-2</v>
      </c>
      <c r="EN163" s="528">
        <f t="shared" si="408"/>
        <v>1.3529682466635985E-2</v>
      </c>
      <c r="EO163">
        <f t="shared" si="409"/>
        <v>4.4999999999999997E-3</v>
      </c>
      <c r="EP163" s="460">
        <f t="shared" si="410"/>
        <v>28.046590392201747</v>
      </c>
      <c r="EQ163" s="460"/>
      <c r="ER163" s="460">
        <f t="shared" si="432"/>
        <v>353.71537056042501</v>
      </c>
      <c r="ES163" s="528">
        <f t="shared" si="411"/>
        <v>0.371</v>
      </c>
      <c r="EV163" s="460">
        <f t="shared" si="412"/>
        <v>371</v>
      </c>
      <c r="EW163" s="528">
        <f t="shared" si="413"/>
        <v>4.8208646552380947E-2</v>
      </c>
      <c r="EX163" s="528">
        <f t="shared" si="414"/>
        <v>2.8695622947845816E-2</v>
      </c>
      <c r="EY163" s="528">
        <f t="shared" si="415"/>
        <v>0.31185528502698345</v>
      </c>
      <c r="EZ163" s="528"/>
      <c r="FA163" s="528">
        <f t="shared" si="416"/>
        <v>7.2433333333333351E-3</v>
      </c>
      <c r="FB163" s="460">
        <f t="shared" si="417"/>
        <v>396.00288786054352</v>
      </c>
      <c r="FC163" s="173">
        <f t="shared" si="418"/>
        <v>1.1207182584209685</v>
      </c>
      <c r="FD163" s="5">
        <f t="shared" si="419"/>
        <v>8.6920000000000002</v>
      </c>
      <c r="FE163" s="173">
        <f t="shared" si="420"/>
        <v>0.88578921467971394</v>
      </c>
      <c r="FF163" s="5">
        <f t="shared" si="421"/>
        <v>88.578921467971398</v>
      </c>
      <c r="FI163" s="562">
        <f t="shared" si="422"/>
        <v>-50</v>
      </c>
      <c r="FJ163">
        <f t="shared" si="423"/>
        <v>-50</v>
      </c>
      <c r="FL163">
        <f t="shared" si="476"/>
        <v>0.37313432835820903</v>
      </c>
    </row>
    <row r="164" spans="5:168">
      <c r="E164" s="170">
        <v>54</v>
      </c>
      <c r="F164" s="217">
        <f t="shared" si="477"/>
        <v>0.54</v>
      </c>
      <c r="G164" s="217"/>
      <c r="H164" s="217">
        <f t="shared" si="442"/>
        <v>8.8559999999999999</v>
      </c>
      <c r="I164" s="541">
        <f t="shared" si="443"/>
        <v>9.9258017759897132</v>
      </c>
      <c r="J164" s="172">
        <f t="shared" si="444"/>
        <v>16.844518934406167</v>
      </c>
      <c r="K164" s="172">
        <f t="shared" si="445"/>
        <v>26.770320710395879</v>
      </c>
      <c r="L164" s="443"/>
      <c r="M164" s="217">
        <f t="shared" si="446"/>
        <v>0.62920837437048582</v>
      </c>
      <c r="N164" s="172">
        <f t="shared" si="447"/>
        <v>20.896059469311325</v>
      </c>
      <c r="O164" s="172">
        <f t="shared" si="438"/>
        <v>8.8559999999999999</v>
      </c>
      <c r="P164" s="217">
        <f t="shared" si="448"/>
        <v>1.2741499676409345</v>
      </c>
      <c r="Q164" s="217">
        <f t="shared" si="449"/>
        <v>16.399999999999999</v>
      </c>
      <c r="R164" s="217"/>
      <c r="S164" s="172">
        <f t="shared" si="450"/>
        <v>51.421195325894239</v>
      </c>
      <c r="T164" s="172">
        <f t="shared" si="451"/>
        <v>16.399999999999999</v>
      </c>
      <c r="U164" s="217">
        <f t="shared" si="452"/>
        <v>2.9126871411036381</v>
      </c>
      <c r="V164" s="217">
        <f t="shared" si="453"/>
        <v>3.5213523785849055</v>
      </c>
      <c r="W164" s="217">
        <f t="shared" si="454"/>
        <v>2.0749922173111832</v>
      </c>
      <c r="X164" s="197">
        <f t="shared" si="455"/>
        <v>350</v>
      </c>
      <c r="Y164" s="443">
        <f t="shared" si="328"/>
        <v>172.52252405904528</v>
      </c>
      <c r="AA164" s="217">
        <f t="shared" si="456"/>
        <v>1.4870355314429298</v>
      </c>
      <c r="AB164" s="173">
        <f t="shared" si="457"/>
        <v>1.0593609972954827</v>
      </c>
      <c r="AC164" s="173">
        <f t="shared" si="458"/>
        <v>0.27567880263056005</v>
      </c>
      <c r="AD164" s="173"/>
      <c r="AE164" s="173">
        <f t="shared" si="459"/>
        <v>0.94986387336469591</v>
      </c>
      <c r="AF164" s="545">
        <f t="shared" si="460"/>
        <v>852.7537710543121</v>
      </c>
      <c r="AG164" s="528">
        <f t="shared" si="461"/>
        <v>0.22163490378509573</v>
      </c>
      <c r="AI164" s="173">
        <f t="shared" si="462"/>
        <v>2.081213041951774</v>
      </c>
      <c r="AJ164" s="173">
        <f t="shared" si="463"/>
        <v>2.9126871411036381</v>
      </c>
      <c r="AK164" s="173">
        <f t="shared" si="464"/>
        <v>2.3698917094594849</v>
      </c>
      <c r="AM164" s="545">
        <f t="shared" si="465"/>
        <v>540</v>
      </c>
      <c r="AN164" s="460">
        <f t="shared" si="466"/>
        <v>172.52252405904528</v>
      </c>
      <c r="AP164">
        <f t="shared" si="467"/>
        <v>540</v>
      </c>
      <c r="AQ164">
        <f t="shared" si="468"/>
        <v>172.52252405904528</v>
      </c>
      <c r="AS164" s="5">
        <f t="shared" si="439"/>
        <v>5.7963445958960884</v>
      </c>
      <c r="AT164" s="5">
        <f t="shared" si="469"/>
        <v>3.5213523785849055</v>
      </c>
      <c r="AU164" s="5">
        <f t="shared" si="343"/>
        <v>2.274992217311183</v>
      </c>
      <c r="AV164" s="5"/>
      <c r="AW164" s="173">
        <f t="shared" si="344"/>
        <v>0.60751260045479072</v>
      </c>
      <c r="AX164" s="173">
        <f t="shared" si="435"/>
        <v>8.7818240357453465</v>
      </c>
      <c r="AY164" s="173">
        <f t="shared" si="436"/>
        <v>0.57159650085026847</v>
      </c>
      <c r="AZ164" s="173">
        <f t="shared" si="440"/>
        <v>15.363677039103802</v>
      </c>
      <c r="BA164" s="460">
        <f t="shared" si="433"/>
        <v>11.594696856316155</v>
      </c>
      <c r="BB164" s="5">
        <f t="shared" si="434"/>
        <v>1.6914948477381246</v>
      </c>
      <c r="BD164" s="173">
        <f t="shared" si="441"/>
        <v>1.3107228064567606</v>
      </c>
      <c r="BE164" s="173">
        <f t="shared" si="437"/>
        <v>1.0535279708124861</v>
      </c>
      <c r="BG164" s="528">
        <f t="shared" si="347"/>
        <v>3.4359885507317736E-2</v>
      </c>
      <c r="BH164" s="528">
        <f t="shared" si="470"/>
        <v>0.25222869217307159</v>
      </c>
      <c r="BI164" s="528">
        <f t="shared" si="471"/>
        <v>4.281060939258749E-2</v>
      </c>
      <c r="BJ164" s="528">
        <f t="shared" si="350"/>
        <v>1.2363827910522282E-2</v>
      </c>
      <c r="BK164">
        <f t="shared" si="351"/>
        <v>4.4666107991953707E-3</v>
      </c>
      <c r="BL164" s="460">
        <f t="shared" si="427"/>
        <v>47.27722019178286</v>
      </c>
      <c r="BM164" s="528">
        <f t="shared" si="472"/>
        <v>0.31076664522652298</v>
      </c>
      <c r="BN164" s="460">
        <f t="shared" si="353"/>
        <v>310.766645226523</v>
      </c>
      <c r="BO164" s="528">
        <f t="shared" si="354"/>
        <v>0.378</v>
      </c>
      <c r="BR164" s="460">
        <f t="shared" si="355"/>
        <v>378</v>
      </c>
      <c r="BS164" s="528">
        <f t="shared" si="356"/>
        <v>5.1539828260976604E-2</v>
      </c>
      <c r="BT164" s="528">
        <f t="shared" si="357"/>
        <v>3.3297635558528237E-2</v>
      </c>
      <c r="BU164" s="528">
        <f t="shared" si="358"/>
        <v>0.28302129189182368</v>
      </c>
      <c r="BV164" s="528"/>
      <c r="BW164" s="528">
        <f t="shared" si="359"/>
        <v>7.3181866964544548E-3</v>
      </c>
      <c r="BX164" s="460">
        <f t="shared" si="360"/>
        <v>375.17694240778297</v>
      </c>
      <c r="BY164" s="173">
        <f t="shared" si="361"/>
        <v>1.0994065681904774</v>
      </c>
      <c r="BZ164" s="5">
        <f t="shared" si="362"/>
        <v>8.8559999999999999</v>
      </c>
      <c r="CA164" s="173">
        <f t="shared" si="363"/>
        <v>0.88956688401824768</v>
      </c>
      <c r="CB164" s="5">
        <f t="shared" si="364"/>
        <v>88.956688401824763</v>
      </c>
      <c r="CE164" s="562">
        <f t="shared" si="473"/>
        <v>-50</v>
      </c>
      <c r="CF164">
        <f t="shared" si="474"/>
        <v>-50</v>
      </c>
      <c r="CG164" s="173">
        <f t="shared" si="475"/>
        <v>0.36389011138941862</v>
      </c>
      <c r="CI164" s="170">
        <v>54</v>
      </c>
      <c r="CJ164" s="217">
        <f t="shared" si="428"/>
        <v>0.54</v>
      </c>
      <c r="CK164" s="217"/>
      <c r="CL164" s="217">
        <f t="shared" si="368"/>
        <v>8.8559999999999999</v>
      </c>
      <c r="CM164" s="541">
        <f t="shared" si="369"/>
        <v>10</v>
      </c>
      <c r="CN164" s="443">
        <f t="shared" si="370"/>
        <v>16.799999999999997</v>
      </c>
      <c r="CO164" s="443">
        <f t="shared" si="371"/>
        <v>26.799999999999997</v>
      </c>
      <c r="CP164" s="443"/>
      <c r="CQ164" s="217">
        <f t="shared" si="372"/>
        <v>0.62686567164179097</v>
      </c>
      <c r="CR164" s="172">
        <f t="shared" si="429"/>
        <v>20.973880597014926</v>
      </c>
      <c r="CS164" s="172">
        <f t="shared" si="373"/>
        <v>8.8559999999999999</v>
      </c>
      <c r="CT164" s="217">
        <f t="shared" si="374"/>
        <v>1.2788951583545687</v>
      </c>
      <c r="CU164" s="217">
        <f t="shared" si="375"/>
        <v>16.399999999999999</v>
      </c>
      <c r="CV164" s="217"/>
      <c r="CW164" s="172">
        <f t="shared" si="376"/>
        <v>51.805016051482625</v>
      </c>
      <c r="CX164" s="172">
        <f t="shared" si="377"/>
        <v>16.399999999999999</v>
      </c>
      <c r="CY164" s="217">
        <f t="shared" si="378"/>
        <v>2.8254857142857146</v>
      </c>
      <c r="CZ164" s="217">
        <f t="shared" si="379"/>
        <v>3.3905828571428578</v>
      </c>
      <c r="DA164" s="217">
        <f t="shared" si="380"/>
        <v>2.0182040816326539</v>
      </c>
      <c r="DB164" s="197">
        <f t="shared" si="381"/>
        <v>350</v>
      </c>
      <c r="DC164" s="443">
        <f t="shared" si="382"/>
        <v>184.88433937580629</v>
      </c>
      <c r="DE164" s="217">
        <f t="shared" si="383"/>
        <v>1.4925373134328355</v>
      </c>
      <c r="DF164" s="173">
        <f t="shared" si="384"/>
        <v>1.0660980810234544</v>
      </c>
      <c r="DG164" s="173">
        <f t="shared" si="385"/>
        <v>0.27845845399866342</v>
      </c>
      <c r="DH164" s="173"/>
      <c r="DI164" s="173">
        <f t="shared" si="386"/>
        <v>0.95238095238095266</v>
      </c>
      <c r="DJ164" s="545">
        <f t="shared" si="387"/>
        <v>850.49999999999966</v>
      </c>
      <c r="DK164" s="528">
        <f t="shared" si="388"/>
        <v>0.22222222222222232</v>
      </c>
      <c r="DM164" s="173">
        <f t="shared" si="389"/>
        <v>2.0784609690826525</v>
      </c>
      <c r="DN164" s="173">
        <f t="shared" si="390"/>
        <v>2.8254857142857146</v>
      </c>
      <c r="DO164" s="173">
        <f t="shared" si="391"/>
        <v>2.3052980599647266</v>
      </c>
      <c r="DQ164" s="545">
        <f t="shared" si="392"/>
        <v>540</v>
      </c>
      <c r="DR164" s="460">
        <f t="shared" si="393"/>
        <v>184.88433937580629</v>
      </c>
      <c r="DT164">
        <f t="shared" si="430"/>
        <v>540</v>
      </c>
      <c r="DU164">
        <f t="shared" si="431"/>
        <v>184.88433937580629</v>
      </c>
      <c r="DW164" s="5">
        <f t="shared" si="394"/>
        <v>5.4087869387755108</v>
      </c>
      <c r="DX164" s="5">
        <f t="shared" si="395"/>
        <v>3.3905828571428578</v>
      </c>
      <c r="DY164" s="5">
        <f t="shared" si="396"/>
        <v>2.018204081632653</v>
      </c>
      <c r="DZ164" s="5"/>
      <c r="EA164" s="173">
        <f t="shared" si="397"/>
        <v>0.62686567164179108</v>
      </c>
      <c r="EB164" s="173">
        <f t="shared" si="398"/>
        <v>8.8560000000000016</v>
      </c>
      <c r="EC164" s="173">
        <f t="shared" si="399"/>
        <v>0.52714285714285714</v>
      </c>
      <c r="ED164" s="173">
        <f t="shared" si="400"/>
        <v>16.800000000000004</v>
      </c>
      <c r="EE164" s="460">
        <f t="shared" si="401"/>
        <v>11.164114285714289</v>
      </c>
      <c r="EF164" s="5">
        <f t="shared" si="402"/>
        <v>1.4894346122448976</v>
      </c>
      <c r="EH164" s="173">
        <f t="shared" si="403"/>
        <v>1.2915753039270634</v>
      </c>
      <c r="EI164" s="173">
        <f t="shared" si="404"/>
        <v>0.9964719806212643</v>
      </c>
      <c r="EK164" s="528">
        <f t="shared" si="405"/>
        <v>3.3363335314285723E-2</v>
      </c>
      <c r="EL164" s="528">
        <f t="shared" si="406"/>
        <v>0.27999999999999997</v>
      </c>
      <c r="EM164" s="528">
        <f t="shared" si="407"/>
        <v>2.3110542421975785E-2</v>
      </c>
      <c r="EN164" s="528">
        <f t="shared" si="408"/>
        <v>1.327913279132791E-2</v>
      </c>
      <c r="EO164">
        <f t="shared" si="409"/>
        <v>4.4999999999999997E-3</v>
      </c>
      <c r="EP164" s="460">
        <f t="shared" si="410"/>
        <v>27.610542421975786</v>
      </c>
      <c r="EQ164" s="460"/>
      <c r="ER164" s="460">
        <f t="shared" si="432"/>
        <v>354.25301052758937</v>
      </c>
      <c r="ES164" s="528">
        <f t="shared" si="411"/>
        <v>0.378</v>
      </c>
      <c r="EV164" s="460">
        <f t="shared" si="412"/>
        <v>378</v>
      </c>
      <c r="EW164" s="528">
        <f t="shared" si="413"/>
        <v>5.0045002971428589E-2</v>
      </c>
      <c r="EX164" s="528">
        <f t="shared" si="414"/>
        <v>2.9788692244897958E-2</v>
      </c>
      <c r="EY164" s="528">
        <f t="shared" si="415"/>
        <v>0.31185528502698312</v>
      </c>
      <c r="EZ164" s="528"/>
      <c r="FA164" s="528">
        <f t="shared" si="416"/>
        <v>7.3800000000000011E-3</v>
      </c>
      <c r="FB164" s="460">
        <f t="shared" si="417"/>
        <v>399.06898024330968</v>
      </c>
      <c r="FC164" s="173">
        <f t="shared" si="418"/>
        <v>1.1313219907708989</v>
      </c>
      <c r="FD164" s="5">
        <f t="shared" si="419"/>
        <v>8.8559999999999999</v>
      </c>
      <c r="FE164" s="173">
        <f t="shared" si="420"/>
        <v>0.88672418974612699</v>
      </c>
      <c r="FF164" s="5">
        <f t="shared" si="421"/>
        <v>88.672418974612697</v>
      </c>
      <c r="FI164" s="562">
        <f t="shared" si="422"/>
        <v>-50</v>
      </c>
      <c r="FJ164">
        <f t="shared" si="423"/>
        <v>-50</v>
      </c>
      <c r="FL164">
        <f t="shared" si="476"/>
        <v>0.37313432835820892</v>
      </c>
    </row>
    <row r="165" spans="5:168">
      <c r="E165" s="170">
        <v>55</v>
      </c>
      <c r="F165" s="217">
        <f t="shared" si="477"/>
        <v>0.55000000000000004</v>
      </c>
      <c r="G165" s="217"/>
      <c r="H165" s="217">
        <f t="shared" si="442"/>
        <v>9.02</v>
      </c>
      <c r="I165" s="541">
        <f t="shared" si="443"/>
        <v>9.92446262465233</v>
      </c>
      <c r="J165" s="172">
        <f t="shared" si="444"/>
        <v>16.8453224252086</v>
      </c>
      <c r="K165" s="172">
        <f t="shared" si="445"/>
        <v>26.769785049860928</v>
      </c>
      <c r="L165" s="443"/>
      <c r="M165" s="217">
        <f t="shared" si="446"/>
        <v>0.62925098841014671</v>
      </c>
      <c r="N165" s="172">
        <f t="shared" si="447"/>
        <v>20.894655277290152</v>
      </c>
      <c r="O165" s="172">
        <f t="shared" si="438"/>
        <v>9.02</v>
      </c>
      <c r="P165" s="217">
        <f t="shared" si="448"/>
        <v>1.2740643461762289</v>
      </c>
      <c r="Q165" s="217">
        <f t="shared" si="449"/>
        <v>16.399999999999999</v>
      </c>
      <c r="R165" s="217"/>
      <c r="S165" s="172">
        <f t="shared" si="450"/>
        <v>50.302091983799109</v>
      </c>
      <c r="T165" s="172">
        <f t="shared" si="451"/>
        <v>16.399999999999999</v>
      </c>
      <c r="U165" s="217">
        <f t="shared" si="452"/>
        <v>2.9669667770197368</v>
      </c>
      <c r="V165" s="217">
        <f t="shared" si="453"/>
        <v>3.5874588550313669</v>
      </c>
      <c r="W165" s="217">
        <f t="shared" si="454"/>
        <v>2.1135600984969543</v>
      </c>
      <c r="X165" s="197">
        <f t="shared" si="455"/>
        <v>350</v>
      </c>
      <c r="Y165" s="443">
        <f t="shared" si="328"/>
        <v>169.46225861587561</v>
      </c>
      <c r="AA165" s="217">
        <f t="shared" si="456"/>
        <v>1.4869355817692411</v>
      </c>
      <c r="AB165" s="173">
        <f t="shared" si="457"/>
        <v>1.0592392671884365</v>
      </c>
      <c r="AC165" s="173">
        <f t="shared" si="458"/>
        <v>0.275628597298191</v>
      </c>
      <c r="AD165" s="173"/>
      <c r="AE165" s="173">
        <f t="shared" si="459"/>
        <v>0.94981856661030162</v>
      </c>
      <c r="AF165" s="545">
        <f t="shared" si="460"/>
        <v>868.58693754981834</v>
      </c>
      <c r="AG165" s="528">
        <f t="shared" si="461"/>
        <v>0.22162433220907041</v>
      </c>
      <c r="AI165" s="173">
        <f t="shared" si="462"/>
        <v>2.1004452287510866</v>
      </c>
      <c r="AJ165" s="173">
        <f t="shared" si="463"/>
        <v>2.9669667770197368</v>
      </c>
      <c r="AK165" s="173">
        <f t="shared" si="464"/>
        <v>2.4100988471751137</v>
      </c>
      <c r="AM165" s="545">
        <f t="shared" si="465"/>
        <v>550</v>
      </c>
      <c r="AN165" s="460">
        <f t="shared" si="466"/>
        <v>169.46225861587561</v>
      </c>
      <c r="AP165">
        <f t="shared" si="467"/>
        <v>550</v>
      </c>
      <c r="AQ165">
        <f t="shared" si="468"/>
        <v>169.46225861587561</v>
      </c>
      <c r="AS165" s="5">
        <f t="shared" si="439"/>
        <v>5.9010189535283208</v>
      </c>
      <c r="AT165" s="5">
        <f t="shared" si="469"/>
        <v>3.5874588550313669</v>
      </c>
      <c r="AU165" s="5">
        <f t="shared" si="343"/>
        <v>2.313560098496954</v>
      </c>
      <c r="AV165" s="5"/>
      <c r="AW165" s="173">
        <f t="shared" si="344"/>
        <v>0.60793888026513854</v>
      </c>
      <c r="AX165" s="173">
        <f t="shared" si="435"/>
        <v>8.9505476175522034</v>
      </c>
      <c r="AY165" s="173">
        <f t="shared" si="436"/>
        <v>0.58161615840724556</v>
      </c>
      <c r="AZ165" s="173">
        <f t="shared" si="440"/>
        <v>15.389097239085062</v>
      </c>
      <c r="BA165" s="460">
        <f t="shared" si="433"/>
        <v>12.031112013824709</v>
      </c>
      <c r="BB165" s="5">
        <f t="shared" si="434"/>
        <v>1.7522621356349064</v>
      </c>
      <c r="BD165" s="173">
        <f t="shared" si="441"/>
        <v>1.3356172378335784</v>
      </c>
      <c r="BE165" s="173">
        <f t="shared" si="437"/>
        <v>1.0725781460176989</v>
      </c>
      <c r="BG165" s="528">
        <f t="shared" si="347"/>
        <v>3.5677468119963952E-2</v>
      </c>
      <c r="BH165" s="528">
        <f t="shared" si="470"/>
        <v>0.25236657271518992</v>
      </c>
      <c r="BI165" s="528">
        <f t="shared" si="471"/>
        <v>4.2045546298060614E-2</v>
      </c>
      <c r="BJ165" s="528">
        <f t="shared" si="350"/>
        <v>1.2144027959565821E-2</v>
      </c>
      <c r="BK165">
        <f t="shared" si="351"/>
        <v>4.4660081810935486E-3</v>
      </c>
      <c r="BL165" s="460">
        <f t="shared" si="427"/>
        <v>46.511554479154164</v>
      </c>
      <c r="BM165" s="528">
        <f t="shared" si="472"/>
        <v>0.31246978102982165</v>
      </c>
      <c r="BN165" s="460">
        <f t="shared" si="353"/>
        <v>312.46978102982166</v>
      </c>
      <c r="BO165" s="528">
        <f t="shared" si="354"/>
        <v>0.38500000000000001</v>
      </c>
      <c r="BR165" s="460">
        <f t="shared" si="355"/>
        <v>385</v>
      </c>
      <c r="BS165" s="528">
        <f t="shared" si="356"/>
        <v>5.3516202179945925E-2</v>
      </c>
      <c r="BT165" s="528">
        <f t="shared" si="357"/>
        <v>3.451271637944292E-2</v>
      </c>
      <c r="BU165" s="528">
        <f t="shared" si="358"/>
        <v>0.28342241132482732</v>
      </c>
      <c r="BV165" s="528"/>
      <c r="BW165" s="528">
        <f t="shared" si="359"/>
        <v>7.4587896812935029E-3</v>
      </c>
      <c r="BX165" s="460">
        <f t="shared" si="360"/>
        <v>378.9101195655096</v>
      </c>
      <c r="BY165" s="173">
        <f t="shared" si="361"/>
        <v>1.1106097428393835</v>
      </c>
      <c r="BZ165" s="5">
        <f t="shared" si="362"/>
        <v>9.02</v>
      </c>
      <c r="CA165" s="173">
        <f t="shared" si="363"/>
        <v>0.89037088871927028</v>
      </c>
      <c r="CB165" s="5">
        <f t="shared" si="364"/>
        <v>89.037088871927025</v>
      </c>
      <c r="CE165" s="562">
        <f t="shared" si="473"/>
        <v>-50</v>
      </c>
      <c r="CF165">
        <f t="shared" si="474"/>
        <v>-50</v>
      </c>
      <c r="CG165" s="173">
        <f t="shared" si="475"/>
        <v>0.36405818806157841</v>
      </c>
      <c r="CI165" s="170">
        <v>55</v>
      </c>
      <c r="CJ165" s="217">
        <f t="shared" si="428"/>
        <v>0.55000000000000004</v>
      </c>
      <c r="CK165" s="217"/>
      <c r="CL165" s="217">
        <f t="shared" si="368"/>
        <v>9.02</v>
      </c>
      <c r="CM165" s="541">
        <f t="shared" si="369"/>
        <v>10</v>
      </c>
      <c r="CN165" s="443">
        <f t="shared" si="370"/>
        <v>16.799999999999997</v>
      </c>
      <c r="CO165" s="443">
        <f t="shared" si="371"/>
        <v>26.799999999999997</v>
      </c>
      <c r="CP165" s="443"/>
      <c r="CQ165" s="217">
        <f t="shared" si="372"/>
        <v>0.62686567164179097</v>
      </c>
      <c r="CR165" s="172">
        <f t="shared" si="429"/>
        <v>20.973880597014926</v>
      </c>
      <c r="CS165" s="172">
        <f t="shared" si="373"/>
        <v>9.02</v>
      </c>
      <c r="CT165" s="217">
        <f t="shared" si="374"/>
        <v>1.2788951583545687</v>
      </c>
      <c r="CU165" s="217">
        <f t="shared" si="375"/>
        <v>16.399999999999999</v>
      </c>
      <c r="CV165" s="217"/>
      <c r="CW165" s="172">
        <f t="shared" si="376"/>
        <v>50.684362454372263</v>
      </c>
      <c r="CX165" s="172">
        <f t="shared" si="377"/>
        <v>16.399999999999999</v>
      </c>
      <c r="CY165" s="217">
        <f t="shared" si="378"/>
        <v>2.8778095238095238</v>
      </c>
      <c r="CZ165" s="217">
        <f t="shared" si="379"/>
        <v>3.4533714285714288</v>
      </c>
      <c r="DA165" s="217">
        <f t="shared" si="380"/>
        <v>2.0555782312925177</v>
      </c>
      <c r="DB165" s="197">
        <f t="shared" si="381"/>
        <v>350</v>
      </c>
      <c r="DC165" s="443">
        <f t="shared" si="382"/>
        <v>181.52280593260983</v>
      </c>
      <c r="DE165" s="217">
        <f t="shared" si="383"/>
        <v>1.4925373134328355</v>
      </c>
      <c r="DF165" s="173">
        <f t="shared" si="384"/>
        <v>1.0660980810234544</v>
      </c>
      <c r="DG165" s="173">
        <f t="shared" si="385"/>
        <v>0.27845845399866342</v>
      </c>
      <c r="DH165" s="173"/>
      <c r="DI165" s="173">
        <f t="shared" si="386"/>
        <v>0.95238095238095266</v>
      </c>
      <c r="DJ165" s="545">
        <f t="shared" si="387"/>
        <v>866.24999999999977</v>
      </c>
      <c r="DK165" s="528">
        <f t="shared" si="388"/>
        <v>0.22222222222222232</v>
      </c>
      <c r="DM165" s="173">
        <f t="shared" si="389"/>
        <v>2.0976176963403028</v>
      </c>
      <c r="DN165" s="173">
        <f t="shared" si="390"/>
        <v>2.8778095238095238</v>
      </c>
      <c r="DO165" s="173">
        <f t="shared" si="391"/>
        <v>2.3440564373897708</v>
      </c>
      <c r="DQ165" s="545">
        <f t="shared" si="392"/>
        <v>550</v>
      </c>
      <c r="DR165" s="460">
        <f t="shared" si="393"/>
        <v>181.52280593260983</v>
      </c>
      <c r="DT165">
        <f t="shared" si="430"/>
        <v>550</v>
      </c>
      <c r="DU165">
        <f t="shared" si="431"/>
        <v>181.52280593260983</v>
      </c>
      <c r="DW165" s="5">
        <f t="shared" si="394"/>
        <v>5.508949659863946</v>
      </c>
      <c r="DX165" s="5">
        <f t="shared" si="395"/>
        <v>3.4533714285714288</v>
      </c>
      <c r="DY165" s="5">
        <f t="shared" si="396"/>
        <v>2.0555782312925173</v>
      </c>
      <c r="DZ165" s="5"/>
      <c r="EA165" s="173">
        <f t="shared" si="397"/>
        <v>0.62686567164179108</v>
      </c>
      <c r="EB165" s="173">
        <f t="shared" si="398"/>
        <v>9.02</v>
      </c>
      <c r="EC165" s="173">
        <f t="shared" si="399"/>
        <v>0.53690476190476188</v>
      </c>
      <c r="ED165" s="173">
        <f t="shared" si="400"/>
        <v>16.8</v>
      </c>
      <c r="EE165" s="460">
        <f t="shared" si="401"/>
        <v>11.581428571428576</v>
      </c>
      <c r="EF165" s="5">
        <f t="shared" si="402"/>
        <v>1.5451096371882085</v>
      </c>
      <c r="EH165" s="173">
        <f t="shared" si="403"/>
        <v>1.3154933651108978</v>
      </c>
      <c r="EI165" s="173">
        <f t="shared" si="404"/>
        <v>1.0149251654475839</v>
      </c>
      <c r="EK165" s="528">
        <f t="shared" si="405"/>
        <v>3.461045587301588E-2</v>
      </c>
      <c r="EL165" s="528">
        <f t="shared" si="406"/>
        <v>0.27999999999999997</v>
      </c>
      <c r="EM165" s="528">
        <f t="shared" si="407"/>
        <v>2.2690350741576226E-2</v>
      </c>
      <c r="EN165" s="528">
        <f t="shared" si="408"/>
        <v>1.3037694013303769E-2</v>
      </c>
      <c r="EO165">
        <f t="shared" si="409"/>
        <v>4.4999999999999997E-3</v>
      </c>
      <c r="EP165" s="460">
        <f t="shared" si="410"/>
        <v>27.190350741576225</v>
      </c>
      <c r="EQ165" s="460"/>
      <c r="ER165" s="460">
        <f t="shared" si="432"/>
        <v>354.83850062789583</v>
      </c>
      <c r="ES165" s="528">
        <f t="shared" si="411"/>
        <v>0.38500000000000001</v>
      </c>
      <c r="EV165" s="460">
        <f t="shared" si="412"/>
        <v>385</v>
      </c>
      <c r="EW165" s="528">
        <f t="shared" si="413"/>
        <v>5.1915683809523813E-2</v>
      </c>
      <c r="EX165" s="528">
        <f t="shared" si="414"/>
        <v>3.090219274376417E-2</v>
      </c>
      <c r="EY165" s="528">
        <f t="shared" si="415"/>
        <v>0.31185528502698312</v>
      </c>
      <c r="EZ165" s="528"/>
      <c r="FA165" s="528">
        <f t="shared" si="416"/>
        <v>7.5166666666666672E-3</v>
      </c>
      <c r="FB165" s="460">
        <f t="shared" si="417"/>
        <v>402.18982824693779</v>
      </c>
      <c r="FC165" s="173">
        <f t="shared" si="418"/>
        <v>1.1420283288748334</v>
      </c>
      <c r="FD165" s="5">
        <f t="shared" si="419"/>
        <v>9.02</v>
      </c>
      <c r="FE165" s="173">
        <f t="shared" si="420"/>
        <v>0.88761807270012982</v>
      </c>
      <c r="FF165" s="5">
        <f t="shared" si="421"/>
        <v>88.76180727001298</v>
      </c>
      <c r="FI165" s="562">
        <f t="shared" si="422"/>
        <v>-50</v>
      </c>
      <c r="FJ165">
        <f t="shared" si="423"/>
        <v>-50</v>
      </c>
      <c r="FL165">
        <f t="shared" si="476"/>
        <v>0.37313432835820892</v>
      </c>
    </row>
    <row r="166" spans="5:168">
      <c r="E166" s="170">
        <v>56</v>
      </c>
      <c r="F166" s="217">
        <f t="shared" si="477"/>
        <v>0.56000000000000005</v>
      </c>
      <c r="G166" s="217"/>
      <c r="H166" s="217">
        <f t="shared" si="442"/>
        <v>9.1839999999999993</v>
      </c>
      <c r="I166" s="541">
        <f t="shared" si="443"/>
        <v>9.9231234422637637</v>
      </c>
      <c r="J166" s="172">
        <f t="shared" si="444"/>
        <v>16.846125934641737</v>
      </c>
      <c r="K166" s="172">
        <f t="shared" si="445"/>
        <v>26.769249376905499</v>
      </c>
      <c r="L166" s="443"/>
      <c r="M166" s="217">
        <f t="shared" si="446"/>
        <v>0.62929360488367914</v>
      </c>
      <c r="N166" s="172">
        <f t="shared" si="447"/>
        <v>20.893250718826621</v>
      </c>
      <c r="O166" s="172">
        <f t="shared" si="438"/>
        <v>9.1839999999999993</v>
      </c>
      <c r="P166" s="217">
        <f t="shared" si="448"/>
        <v>1.2739787023674771</v>
      </c>
      <c r="Q166" s="217">
        <f t="shared" si="449"/>
        <v>16.399999999999999</v>
      </c>
      <c r="R166" s="217"/>
      <c r="S166" s="172">
        <f t="shared" si="450"/>
        <v>49.223075499688505</v>
      </c>
      <c r="T166" s="172">
        <f t="shared" si="451"/>
        <v>16.399999999999999</v>
      </c>
      <c r="U166" s="217">
        <f t="shared" si="452"/>
        <v>3.0212589120523932</v>
      </c>
      <c r="V166" s="217">
        <f t="shared" si="453"/>
        <v>3.6535983005324622</v>
      </c>
      <c r="W166" s="217">
        <f t="shared" si="454"/>
        <v>2.1521332017395816</v>
      </c>
      <c r="X166" s="197">
        <f t="shared" si="455"/>
        <v>350</v>
      </c>
      <c r="Y166" s="443">
        <f t="shared" si="328"/>
        <v>166.50761020896243</v>
      </c>
      <c r="AA166" s="217">
        <f t="shared" si="456"/>
        <v>1.4868356066365693</v>
      </c>
      <c r="AB166" s="173">
        <f t="shared" si="457"/>
        <v>1.0591175293869295</v>
      </c>
      <c r="AC166" s="173">
        <f t="shared" si="458"/>
        <v>0.27557838950345193</v>
      </c>
      <c r="AD166" s="173"/>
      <c r="AE166" s="173">
        <f t="shared" si="459"/>
        <v>0.94977326312741184</v>
      </c>
      <c r="AF166" s="545">
        <f t="shared" si="460"/>
        <v>884.42161156869099</v>
      </c>
      <c r="AG166" s="528">
        <f t="shared" si="461"/>
        <v>0.22161376139639613</v>
      </c>
      <c r="AI166" s="173">
        <f t="shared" si="462"/>
        <v>2.119504717908832</v>
      </c>
      <c r="AJ166" s="173">
        <f t="shared" si="463"/>
        <v>3.0212589120523932</v>
      </c>
      <c r="AK166" s="173">
        <f t="shared" si="464"/>
        <v>2.4503152434955995</v>
      </c>
      <c r="AM166" s="545">
        <f t="shared" si="465"/>
        <v>560</v>
      </c>
      <c r="AN166" s="460">
        <f t="shared" si="466"/>
        <v>166.50761020896243</v>
      </c>
      <c r="AP166">
        <f t="shared" si="467"/>
        <v>560</v>
      </c>
      <c r="AQ166">
        <f t="shared" si="468"/>
        <v>166.50761020896243</v>
      </c>
      <c r="AS166" s="5">
        <f t="shared" si="439"/>
        <v>6.0057315022720443</v>
      </c>
      <c r="AT166" s="5">
        <f t="shared" si="469"/>
        <v>3.6535983005324622</v>
      </c>
      <c r="AU166" s="5">
        <f t="shared" si="343"/>
        <v>2.3521332017395822</v>
      </c>
      <c r="AV166" s="5"/>
      <c r="AW166" s="173">
        <f t="shared" si="344"/>
        <v>0.60835192168518681</v>
      </c>
      <c r="AX166" s="173">
        <f t="shared" si="435"/>
        <v>9.119294204414004</v>
      </c>
      <c r="AY166" s="173">
        <f t="shared" si="436"/>
        <v>0.59163512349841152</v>
      </c>
      <c r="AZ166" s="173">
        <f t="shared" si="440"/>
        <v>15.413713355100509</v>
      </c>
      <c r="BA166" s="460">
        <f t="shared" si="433"/>
        <v>12.47570151401329</v>
      </c>
      <c r="BB166" s="5">
        <f t="shared" si="434"/>
        <v>1.8141122139670649</v>
      </c>
      <c r="BD166" s="173">
        <f t="shared" si="441"/>
        <v>1.3605194638507778</v>
      </c>
      <c r="BE166" s="173">
        <f t="shared" si="437"/>
        <v>1.0916296348587569</v>
      </c>
      <c r="BG166" s="528">
        <f t="shared" si="347"/>
        <v>3.7020264230336157E-2</v>
      </c>
      <c r="BH166" s="528">
        <f t="shared" si="470"/>
        <v>0.25249890422902266</v>
      </c>
      <c r="BI166" s="528">
        <f t="shared" si="471"/>
        <v>4.1306889254496798E-2</v>
      </c>
      <c r="BJ166" s="528">
        <f t="shared" si="350"/>
        <v>1.1931814000207291E-2</v>
      </c>
      <c r="BK166">
        <f t="shared" si="351"/>
        <v>4.4654055490186938E-3</v>
      </c>
      <c r="BL166" s="460">
        <f t="shared" si="427"/>
        <v>45.772294803515493</v>
      </c>
      <c r="BM166" s="528">
        <f t="shared" si="472"/>
        <v>0.31421025182115764</v>
      </c>
      <c r="BN166" s="460">
        <f t="shared" si="353"/>
        <v>314.21025182115761</v>
      </c>
      <c r="BO166" s="528">
        <f t="shared" si="354"/>
        <v>0.39200000000000002</v>
      </c>
      <c r="BR166" s="460">
        <f t="shared" si="355"/>
        <v>392</v>
      </c>
      <c r="BS166" s="528">
        <f t="shared" si="356"/>
        <v>5.5530396345504232E-2</v>
      </c>
      <c r="BT166" s="528">
        <f t="shared" si="357"/>
        <v>3.5749657791055885E-2</v>
      </c>
      <c r="BU166" s="528">
        <f t="shared" si="358"/>
        <v>0.28380829506513222</v>
      </c>
      <c r="BV166" s="528"/>
      <c r="BW166" s="528">
        <f t="shared" si="359"/>
        <v>7.5994118370116695E-3</v>
      </c>
      <c r="BX166" s="460">
        <f t="shared" si="360"/>
        <v>382.68776103870402</v>
      </c>
      <c r="BY166" s="173">
        <f t="shared" si="361"/>
        <v>1.1219110383017856</v>
      </c>
      <c r="BZ166" s="5">
        <f t="shared" si="362"/>
        <v>9.1839999999999993</v>
      </c>
      <c r="CA166" s="173">
        <f t="shared" si="363"/>
        <v>0.89113907211771792</v>
      </c>
      <c r="CB166" s="5">
        <f t="shared" si="364"/>
        <v>89.113907211771789</v>
      </c>
      <c r="CE166" s="562">
        <f t="shared" si="473"/>
        <v>-50</v>
      </c>
      <c r="CF166">
        <f t="shared" si="474"/>
        <v>-50</v>
      </c>
      <c r="CG166" s="173">
        <f t="shared" si="475"/>
        <v>0.36422026199544694</v>
      </c>
      <c r="CI166" s="170">
        <v>56</v>
      </c>
      <c r="CJ166" s="217">
        <f t="shared" si="428"/>
        <v>0.56000000000000005</v>
      </c>
      <c r="CK166" s="217"/>
      <c r="CL166" s="217">
        <f t="shared" si="368"/>
        <v>9.1839999999999993</v>
      </c>
      <c r="CM166" s="541">
        <f t="shared" si="369"/>
        <v>10</v>
      </c>
      <c r="CN166" s="443">
        <f t="shared" si="370"/>
        <v>16.799999999999997</v>
      </c>
      <c r="CO166" s="443">
        <f t="shared" si="371"/>
        <v>26.799999999999997</v>
      </c>
      <c r="CP166" s="443"/>
      <c r="CQ166" s="217">
        <f t="shared" si="372"/>
        <v>0.62686567164179097</v>
      </c>
      <c r="CR166" s="172">
        <f t="shared" si="429"/>
        <v>20.973880597014926</v>
      </c>
      <c r="CS166" s="172">
        <f t="shared" si="373"/>
        <v>9.1839999999999993</v>
      </c>
      <c r="CT166" s="217">
        <f t="shared" si="374"/>
        <v>1.2788951583545687</v>
      </c>
      <c r="CU166" s="217">
        <f t="shared" si="375"/>
        <v>16.399999999999999</v>
      </c>
      <c r="CV166" s="217"/>
      <c r="CW166" s="172">
        <f t="shared" si="376"/>
        <v>49.60380343877037</v>
      </c>
      <c r="CX166" s="172">
        <f t="shared" si="377"/>
        <v>16.399999999999999</v>
      </c>
      <c r="CY166" s="217">
        <f t="shared" si="378"/>
        <v>2.9301333333333335</v>
      </c>
      <c r="CZ166" s="217">
        <f t="shared" si="379"/>
        <v>3.5161600000000006</v>
      </c>
      <c r="DA166" s="217">
        <f t="shared" si="380"/>
        <v>2.0929523809523816</v>
      </c>
      <c r="DB166" s="197">
        <f t="shared" si="381"/>
        <v>350</v>
      </c>
      <c r="DC166" s="443">
        <f t="shared" si="382"/>
        <v>178.28132725524176</v>
      </c>
      <c r="DE166" s="217">
        <f t="shared" si="383"/>
        <v>1.4925373134328355</v>
      </c>
      <c r="DF166" s="173">
        <f t="shared" si="384"/>
        <v>1.0660980810234544</v>
      </c>
      <c r="DG166" s="173">
        <f t="shared" si="385"/>
        <v>0.27845845399866342</v>
      </c>
      <c r="DH166" s="173"/>
      <c r="DI166" s="173">
        <f t="shared" si="386"/>
        <v>0.95238095238095266</v>
      </c>
      <c r="DJ166" s="545">
        <f t="shared" si="387"/>
        <v>881.99999999999977</v>
      </c>
      <c r="DK166" s="528">
        <f t="shared" si="388"/>
        <v>0.22222222222222232</v>
      </c>
      <c r="DM166" s="173">
        <f t="shared" si="389"/>
        <v>2.1166010488516722</v>
      </c>
      <c r="DN166" s="173">
        <f t="shared" si="390"/>
        <v>2.9301333333333335</v>
      </c>
      <c r="DO166" s="173">
        <f t="shared" si="391"/>
        <v>2.3828148148148145</v>
      </c>
      <c r="DQ166" s="545">
        <f t="shared" si="392"/>
        <v>560</v>
      </c>
      <c r="DR166" s="460">
        <f t="shared" si="393"/>
        <v>178.28132725524176</v>
      </c>
      <c r="DT166">
        <f t="shared" si="430"/>
        <v>560</v>
      </c>
      <c r="DU166">
        <f t="shared" si="431"/>
        <v>178.28132725524176</v>
      </c>
      <c r="DW166" s="5">
        <f t="shared" si="394"/>
        <v>5.6091123809523831</v>
      </c>
      <c r="DX166" s="5">
        <f t="shared" si="395"/>
        <v>3.5161600000000006</v>
      </c>
      <c r="DY166" s="5">
        <f t="shared" si="396"/>
        <v>2.0929523809523825</v>
      </c>
      <c r="DZ166" s="5"/>
      <c r="EA166" s="173">
        <f t="shared" si="397"/>
        <v>0.62686567164179097</v>
      </c>
      <c r="EB166" s="173">
        <f t="shared" si="398"/>
        <v>9.1839999999999993</v>
      </c>
      <c r="EC166" s="173">
        <f t="shared" si="399"/>
        <v>0.54666666666666686</v>
      </c>
      <c r="ED166" s="173">
        <f t="shared" si="400"/>
        <v>16.799999999999994</v>
      </c>
      <c r="EE166" s="460">
        <f t="shared" si="401"/>
        <v>12.006400000000006</v>
      </c>
      <c r="EF166" s="5">
        <f t="shared" si="402"/>
        <v>1.6018062222222229</v>
      </c>
      <c r="EH166" s="173">
        <f t="shared" si="403"/>
        <v>1.3394114262947321</v>
      </c>
      <c r="EI166" s="173">
        <f t="shared" si="404"/>
        <v>1.0333783502739038</v>
      </c>
      <c r="EK166" s="528">
        <f t="shared" si="405"/>
        <v>3.5880459377777771E-2</v>
      </c>
      <c r="EL166" s="528">
        <f t="shared" si="406"/>
        <v>0.27999999999999992</v>
      </c>
      <c r="EM166" s="528">
        <f t="shared" si="407"/>
        <v>2.228516590690522E-2</v>
      </c>
      <c r="EN166" s="528">
        <f t="shared" si="408"/>
        <v>1.2804878048780484E-2</v>
      </c>
      <c r="EO166">
        <f t="shared" si="409"/>
        <v>4.4999999999999997E-3</v>
      </c>
      <c r="EP166" s="460">
        <f t="shared" si="410"/>
        <v>26.78516590690522</v>
      </c>
      <c r="EQ166" s="460"/>
      <c r="ER166" s="460">
        <f t="shared" si="432"/>
        <v>355.4705033334634</v>
      </c>
      <c r="ES166" s="528">
        <f t="shared" si="411"/>
        <v>0.39200000000000002</v>
      </c>
      <c r="EV166" s="460">
        <f t="shared" si="412"/>
        <v>392</v>
      </c>
      <c r="EW166" s="528">
        <f t="shared" si="413"/>
        <v>5.3820689066666649E-2</v>
      </c>
      <c r="EX166" s="528">
        <f t="shared" si="414"/>
        <v>3.2036124444444453E-2</v>
      </c>
      <c r="EY166" s="528">
        <f t="shared" si="415"/>
        <v>0.31185528502698256</v>
      </c>
      <c r="EZ166" s="528"/>
      <c r="FA166" s="528">
        <f t="shared" si="416"/>
        <v>7.6533333333333314E-3</v>
      </c>
      <c r="FB166" s="460">
        <f t="shared" si="417"/>
        <v>405.36543187142701</v>
      </c>
      <c r="FC166" s="173">
        <f t="shared" si="418"/>
        <v>1.1528359352048905</v>
      </c>
      <c r="FD166" s="5">
        <f t="shared" si="419"/>
        <v>9.1839999999999993</v>
      </c>
      <c r="FE166" s="173">
        <f t="shared" si="420"/>
        <v>0.88847303542096512</v>
      </c>
      <c r="FF166" s="5">
        <f t="shared" si="421"/>
        <v>88.847303542096512</v>
      </c>
      <c r="FI166" s="562">
        <f t="shared" si="422"/>
        <v>-50</v>
      </c>
      <c r="FJ166">
        <f t="shared" si="423"/>
        <v>-50</v>
      </c>
      <c r="FL166">
        <f t="shared" si="476"/>
        <v>0.37313432835820903</v>
      </c>
    </row>
    <row r="167" spans="5:168">
      <c r="E167" s="170">
        <v>57</v>
      </c>
      <c r="F167" s="217">
        <f t="shared" si="477"/>
        <v>0.56999999999999995</v>
      </c>
      <c r="G167" s="217"/>
      <c r="H167" s="217">
        <f t="shared" si="442"/>
        <v>9.347999999999999</v>
      </c>
      <c r="I167" s="541">
        <f t="shared" si="443"/>
        <v>9.9217842304975665</v>
      </c>
      <c r="J167" s="172">
        <f t="shared" si="444"/>
        <v>16.846929461701457</v>
      </c>
      <c r="K167" s="172">
        <f t="shared" si="445"/>
        <v>26.768713692199022</v>
      </c>
      <c r="L167" s="443"/>
      <c r="M167" s="217">
        <f t="shared" si="446"/>
        <v>0.62933622375203035</v>
      </c>
      <c r="N167" s="172">
        <f t="shared" si="447"/>
        <v>20.891845796102242</v>
      </c>
      <c r="O167" s="172">
        <f t="shared" si="438"/>
        <v>9.347999999999999</v>
      </c>
      <c r="P167" s="217">
        <f t="shared" si="448"/>
        <v>1.2738930363476977</v>
      </c>
      <c r="Q167" s="217">
        <f t="shared" si="449"/>
        <v>16.399999999999999</v>
      </c>
      <c r="R167" s="217"/>
      <c r="S167" s="172">
        <f t="shared" si="450"/>
        <v>48.182036742127288</v>
      </c>
      <c r="T167" s="172">
        <f t="shared" si="451"/>
        <v>16.399999999999999</v>
      </c>
      <c r="U167" s="217">
        <f t="shared" si="452"/>
        <v>3.0755635512582518</v>
      </c>
      <c r="V167" s="217">
        <f t="shared" si="453"/>
        <v>3.7197707345474282</v>
      </c>
      <c r="W167" s="217">
        <f t="shared" si="454"/>
        <v>2.1907115298962982</v>
      </c>
      <c r="X167" s="197">
        <f t="shared" si="455"/>
        <v>350</v>
      </c>
      <c r="Y167" s="443">
        <f t="shared" si="328"/>
        <v>163.65320390812656</v>
      </c>
      <c r="AA167" s="217">
        <f t="shared" si="456"/>
        <v>1.4867356061668962</v>
      </c>
      <c r="AB167" s="173">
        <f t="shared" si="457"/>
        <v>1.058995784042472</v>
      </c>
      <c r="AC167" s="173">
        <f t="shared" si="458"/>
        <v>0.27552817931040008</v>
      </c>
      <c r="AD167" s="173"/>
      <c r="AE167" s="173">
        <f t="shared" si="459"/>
        <v>0.94972796297231488</v>
      </c>
      <c r="AF167" s="545">
        <f t="shared" si="460"/>
        <v>900.2577931096713</v>
      </c>
      <c r="AG167" s="528">
        <f t="shared" si="461"/>
        <v>0.22160319136020681</v>
      </c>
      <c r="AI167" s="173">
        <f t="shared" si="462"/>
        <v>2.1383961271821312</v>
      </c>
      <c r="AJ167" s="173">
        <f t="shared" si="463"/>
        <v>3.0755635512582518</v>
      </c>
      <c r="AK167" s="173">
        <f t="shared" si="464"/>
        <v>2.4905409021666061</v>
      </c>
      <c r="AM167" s="545">
        <f t="shared" si="465"/>
        <v>570</v>
      </c>
      <c r="AN167" s="460">
        <f t="shared" si="466"/>
        <v>163.65320390812656</v>
      </c>
      <c r="AP167">
        <f t="shared" si="467"/>
        <v>570</v>
      </c>
      <c r="AQ167">
        <f t="shared" si="468"/>
        <v>163.65320390812656</v>
      </c>
      <c r="AS167" s="5">
        <f t="shared" si="439"/>
        <v>6.1104822644437258</v>
      </c>
      <c r="AT167" s="5">
        <f t="shared" si="469"/>
        <v>3.7197707345474282</v>
      </c>
      <c r="AU167" s="5">
        <f t="shared" si="343"/>
        <v>2.3907115298962975</v>
      </c>
      <c r="AV167" s="5"/>
      <c r="AW167" s="173">
        <f t="shared" si="344"/>
        <v>0.60875239851237195</v>
      </c>
      <c r="AX167" s="173">
        <f t="shared" si="435"/>
        <v>9.2880634442257595</v>
      </c>
      <c r="AY167" s="173">
        <f t="shared" si="436"/>
        <v>0.60165343132628124</v>
      </c>
      <c r="AZ167" s="173">
        <f t="shared" si="440"/>
        <v>15.437564153421693</v>
      </c>
      <c r="BA167" s="460">
        <f t="shared" si="433"/>
        <v>12.928471455439233</v>
      </c>
      <c r="BB167" s="5">
        <f t="shared" si="434"/>
        <v>1.8770457394796818</v>
      </c>
      <c r="BD167" s="173">
        <f t="shared" si="441"/>
        <v>1.3854294677193215</v>
      </c>
      <c r="BE167" s="173">
        <f t="shared" si="437"/>
        <v>1.1106824820432317</v>
      </c>
      <c r="BG167" s="528">
        <f t="shared" si="347"/>
        <v>3.8388296200500854E-2</v>
      </c>
      <c r="BH167" s="528">
        <f t="shared" si="470"/>
        <v>0.2526259689380157</v>
      </c>
      <c r="BI167" s="528">
        <f t="shared" si="471"/>
        <v>4.0593294445151314E-2</v>
      </c>
      <c r="BJ167" s="528">
        <f t="shared" si="350"/>
        <v>1.1726799976239788E-2</v>
      </c>
      <c r="BK167">
        <f t="shared" si="351"/>
        <v>4.4648029037239051E-3</v>
      </c>
      <c r="BL167" s="460">
        <f t="shared" si="427"/>
        <v>45.058097348875222</v>
      </c>
      <c r="BM167" s="528">
        <f t="shared" si="472"/>
        <v>0.31598805079953457</v>
      </c>
      <c r="BN167" s="460">
        <f t="shared" si="353"/>
        <v>315.98805079953456</v>
      </c>
      <c r="BO167" s="528">
        <f t="shared" si="354"/>
        <v>0.39899999999999997</v>
      </c>
      <c r="BR167" s="460">
        <f t="shared" si="355"/>
        <v>398.99999999999994</v>
      </c>
      <c r="BS167" s="528">
        <f t="shared" si="356"/>
        <v>5.7582444300751275E-2</v>
      </c>
      <c r="BT167" s="528">
        <f t="shared" si="357"/>
        <v>3.7008467277531411E-2</v>
      </c>
      <c r="BU167" s="528">
        <f t="shared" si="358"/>
        <v>0.28417969779809432</v>
      </c>
      <c r="BV167" s="528"/>
      <c r="BW167" s="528">
        <f t="shared" si="359"/>
        <v>7.7400528701881341E-3</v>
      </c>
      <c r="BX167" s="460">
        <f t="shared" si="360"/>
        <v>386.51066224656518</v>
      </c>
      <c r="BY167" s="173">
        <f t="shared" si="361"/>
        <v>1.1333098247101967</v>
      </c>
      <c r="BZ167" s="5">
        <f t="shared" si="362"/>
        <v>9.347999999999999</v>
      </c>
      <c r="CA167" s="173">
        <f t="shared" si="363"/>
        <v>0.89187326358406438</v>
      </c>
      <c r="CB167" s="5">
        <f t="shared" si="364"/>
        <v>89.187326358406438</v>
      </c>
      <c r="CE167" s="562">
        <f t="shared" si="473"/>
        <v>-50</v>
      </c>
      <c r="CF167">
        <f t="shared" si="474"/>
        <v>-50</v>
      </c>
      <c r="CG167" s="173">
        <f t="shared" si="475"/>
        <v>0.36437664912461798</v>
      </c>
      <c r="CI167" s="170">
        <v>57</v>
      </c>
      <c r="CJ167" s="217">
        <f t="shared" si="428"/>
        <v>0.56999999999999995</v>
      </c>
      <c r="CK167" s="217"/>
      <c r="CL167" s="217">
        <f t="shared" si="368"/>
        <v>9.347999999999999</v>
      </c>
      <c r="CM167" s="541">
        <f t="shared" si="369"/>
        <v>10</v>
      </c>
      <c r="CN167" s="443">
        <f t="shared" si="370"/>
        <v>16.799999999999997</v>
      </c>
      <c r="CO167" s="443">
        <f t="shared" si="371"/>
        <v>26.799999999999997</v>
      </c>
      <c r="CP167" s="443"/>
      <c r="CQ167" s="217">
        <f t="shared" si="372"/>
        <v>0.62686567164179097</v>
      </c>
      <c r="CR167" s="172">
        <f t="shared" si="429"/>
        <v>20.973880597014926</v>
      </c>
      <c r="CS167" s="172">
        <f t="shared" si="373"/>
        <v>9.347999999999999</v>
      </c>
      <c r="CT167" s="217">
        <f t="shared" si="374"/>
        <v>1.2788951583545687</v>
      </c>
      <c r="CU167" s="217">
        <f t="shared" si="375"/>
        <v>16.399999999999999</v>
      </c>
      <c r="CV167" s="217"/>
      <c r="CW167" s="172">
        <f t="shared" si="376"/>
        <v>48.561229458607031</v>
      </c>
      <c r="CX167" s="172">
        <f t="shared" si="377"/>
        <v>16.399999999999999</v>
      </c>
      <c r="CY167" s="217">
        <f t="shared" si="378"/>
        <v>2.9824571428571427</v>
      </c>
      <c r="CZ167" s="217">
        <f t="shared" si="379"/>
        <v>3.5789485714285716</v>
      </c>
      <c r="DA167" s="217">
        <f t="shared" si="380"/>
        <v>2.1303265306122454</v>
      </c>
      <c r="DB167" s="197">
        <f t="shared" si="381"/>
        <v>350</v>
      </c>
      <c r="DC167" s="443">
        <f t="shared" si="382"/>
        <v>175.15358467181653</v>
      </c>
      <c r="DE167" s="217">
        <f t="shared" si="383"/>
        <v>1.4925373134328355</v>
      </c>
      <c r="DF167" s="173">
        <f t="shared" si="384"/>
        <v>1.0660980810234544</v>
      </c>
      <c r="DG167" s="173">
        <f t="shared" si="385"/>
        <v>0.27845845399866342</v>
      </c>
      <c r="DH167" s="173"/>
      <c r="DI167" s="173">
        <f t="shared" si="386"/>
        <v>0.95238095238095266</v>
      </c>
      <c r="DJ167" s="545">
        <f t="shared" si="387"/>
        <v>897.74999999999955</v>
      </c>
      <c r="DK167" s="528">
        <f t="shared" si="388"/>
        <v>0.22222222222222232</v>
      </c>
      <c r="DM167" s="173">
        <f t="shared" si="389"/>
        <v>2.1354156504062618</v>
      </c>
      <c r="DN167" s="173">
        <f t="shared" si="390"/>
        <v>2.9824571428571427</v>
      </c>
      <c r="DO167" s="173">
        <f t="shared" si="391"/>
        <v>2.4215731922398587</v>
      </c>
      <c r="DQ167" s="545">
        <f t="shared" si="392"/>
        <v>570</v>
      </c>
      <c r="DR167" s="460">
        <f t="shared" si="393"/>
        <v>175.15358467181653</v>
      </c>
      <c r="DT167">
        <f t="shared" si="430"/>
        <v>570</v>
      </c>
      <c r="DU167">
        <f t="shared" si="431"/>
        <v>175.15358467181653</v>
      </c>
      <c r="DW167" s="5">
        <f t="shared" si="394"/>
        <v>5.7092751020408157</v>
      </c>
      <c r="DX167" s="5">
        <f t="shared" si="395"/>
        <v>3.5789485714285716</v>
      </c>
      <c r="DY167" s="5">
        <f t="shared" si="396"/>
        <v>2.1303265306122441</v>
      </c>
      <c r="DZ167" s="5"/>
      <c r="EA167" s="173">
        <f t="shared" si="397"/>
        <v>0.62686567164179119</v>
      </c>
      <c r="EB167" s="173">
        <f t="shared" si="398"/>
        <v>9.3480000000000008</v>
      </c>
      <c r="EC167" s="173">
        <f t="shared" si="399"/>
        <v>0.55642857142857116</v>
      </c>
      <c r="ED167" s="173">
        <f t="shared" si="400"/>
        <v>16.800000000000008</v>
      </c>
      <c r="EE167" s="460">
        <f t="shared" si="401"/>
        <v>12.439028571428574</v>
      </c>
      <c r="EF167" s="5">
        <f t="shared" si="402"/>
        <v>1.6595243673469375</v>
      </c>
      <c r="EH167" s="173">
        <f t="shared" si="403"/>
        <v>1.3633294874785669</v>
      </c>
      <c r="EI167" s="173">
        <f t="shared" si="404"/>
        <v>1.0518315351002232</v>
      </c>
      <c r="EK167" s="528">
        <f t="shared" si="405"/>
        <v>3.7173345828571437E-2</v>
      </c>
      <c r="EL167" s="528">
        <f t="shared" si="406"/>
        <v>0.27999999999999997</v>
      </c>
      <c r="EM167" s="528">
        <f t="shared" si="407"/>
        <v>2.1894198083977065E-2</v>
      </c>
      <c r="EN167" s="528">
        <f t="shared" si="408"/>
        <v>1.258023106546855E-2</v>
      </c>
      <c r="EO167">
        <f t="shared" si="409"/>
        <v>4.4999999999999997E-3</v>
      </c>
      <c r="EP167" s="460">
        <f t="shared" si="410"/>
        <v>26.394198083977066</v>
      </c>
      <c r="EQ167" s="460"/>
      <c r="ER167" s="460">
        <f t="shared" si="432"/>
        <v>356.14777497801708</v>
      </c>
      <c r="ES167" s="528">
        <f t="shared" si="411"/>
        <v>0.39899999999999997</v>
      </c>
      <c r="EV167" s="460">
        <f t="shared" si="412"/>
        <v>398.99999999999994</v>
      </c>
      <c r="EW167" s="528">
        <f t="shared" si="413"/>
        <v>5.5760018742857152E-2</v>
      </c>
      <c r="EX167" s="528">
        <f t="shared" si="414"/>
        <v>3.319048734693876E-2</v>
      </c>
      <c r="EY167" s="528">
        <f t="shared" si="415"/>
        <v>0.3118552850269829</v>
      </c>
      <c r="EZ167" s="528"/>
      <c r="FA167" s="528">
        <f t="shared" si="416"/>
        <v>7.79E-3</v>
      </c>
      <c r="FB167" s="460">
        <f t="shared" si="417"/>
        <v>408.59579111677886</v>
      </c>
      <c r="FC167" s="173">
        <f t="shared" si="418"/>
        <v>1.1637435660947959</v>
      </c>
      <c r="FD167" s="5">
        <f t="shared" si="419"/>
        <v>9.347999999999999</v>
      </c>
      <c r="FE167" s="173">
        <f t="shared" si="420"/>
        <v>0.88929110011317214</v>
      </c>
      <c r="FF167" s="5">
        <f t="shared" si="421"/>
        <v>88.929110011317221</v>
      </c>
      <c r="FI167" s="562">
        <f t="shared" si="422"/>
        <v>-50</v>
      </c>
      <c r="FJ167">
        <f t="shared" si="423"/>
        <v>-50</v>
      </c>
      <c r="FL167">
        <f t="shared" si="476"/>
        <v>0.37313432835820881</v>
      </c>
    </row>
    <row r="168" spans="5:168">
      <c r="E168" s="170">
        <v>58</v>
      </c>
      <c r="F168" s="217">
        <f t="shared" si="477"/>
        <v>0.57999999999999996</v>
      </c>
      <c r="G168" s="217"/>
      <c r="H168" s="217">
        <f t="shared" si="442"/>
        <v>9.5119999999999987</v>
      </c>
      <c r="I168" s="541">
        <f t="shared" si="443"/>
        <v>9.9204449909091501</v>
      </c>
      <c r="J168" s="172">
        <f t="shared" si="444"/>
        <v>16.847733005454508</v>
      </c>
      <c r="K168" s="172">
        <f t="shared" si="445"/>
        <v>26.768177996363658</v>
      </c>
      <c r="L168" s="443"/>
      <c r="M168" s="217">
        <f t="shared" si="446"/>
        <v>0.6293788449789115</v>
      </c>
      <c r="N168" s="172">
        <f t="shared" si="447"/>
        <v>20.890440511143126</v>
      </c>
      <c r="O168" s="172">
        <f t="shared" si="438"/>
        <v>9.5119999999999987</v>
      </c>
      <c r="P168" s="217">
        <f t="shared" si="448"/>
        <v>1.2738073482404346</v>
      </c>
      <c r="Q168" s="217">
        <f t="shared" si="449"/>
        <v>16.399999999999999</v>
      </c>
      <c r="R168" s="217"/>
      <c r="S168" s="172">
        <f t="shared" si="450"/>
        <v>47.177012044745844</v>
      </c>
      <c r="T168" s="172">
        <f t="shared" si="451"/>
        <v>16.399999999999999</v>
      </c>
      <c r="U168" s="217">
        <f t="shared" si="452"/>
        <v>3.129880699697229</v>
      </c>
      <c r="V168" s="217">
        <f t="shared" si="453"/>
        <v>3.7859761765510007</v>
      </c>
      <c r="W168" s="217">
        <f t="shared" si="454"/>
        <v>2.2292950858259117</v>
      </c>
      <c r="X168" s="197">
        <f t="shared" si="455"/>
        <v>350</v>
      </c>
      <c r="Y168" s="443">
        <f t="shared" si="328"/>
        <v>160.89402341187102</v>
      </c>
      <c r="AA168" s="217">
        <f t="shared" si="456"/>
        <v>1.4866355804734934</v>
      </c>
      <c r="AB168" s="173">
        <f t="shared" si="457"/>
        <v>1.0588740312958596</v>
      </c>
      <c r="AC168" s="173">
        <f t="shared" si="458"/>
        <v>0.27547796677866987</v>
      </c>
      <c r="AD168" s="173"/>
      <c r="AE168" s="173">
        <f t="shared" si="459"/>
        <v>0.94968266619728303</v>
      </c>
      <c r="AF168" s="545">
        <f t="shared" si="460"/>
        <v>916.09548217158863</v>
      </c>
      <c r="AG168" s="528">
        <f t="shared" si="461"/>
        <v>0.22159262211269942</v>
      </c>
      <c r="AI168" s="173">
        <f t="shared" si="462"/>
        <v>2.1571238725456827</v>
      </c>
      <c r="AJ168" s="173">
        <f t="shared" si="463"/>
        <v>3.129880699697229</v>
      </c>
      <c r="AK168" s="173">
        <f t="shared" si="464"/>
        <v>2.5307758269362193</v>
      </c>
      <c r="AM168" s="545">
        <f t="shared" si="465"/>
        <v>580</v>
      </c>
      <c r="AN168" s="460">
        <f t="shared" si="466"/>
        <v>160.89402341187102</v>
      </c>
      <c r="AP168">
        <f t="shared" si="467"/>
        <v>580</v>
      </c>
      <c r="AQ168">
        <f t="shared" si="468"/>
        <v>160.89402341187102</v>
      </c>
      <c r="AS168" s="5">
        <f t="shared" si="439"/>
        <v>6.2152712623769117</v>
      </c>
      <c r="AT168" s="5">
        <f t="shared" si="469"/>
        <v>3.7859761765510007</v>
      </c>
      <c r="AU168" s="5">
        <f t="shared" si="343"/>
        <v>2.429295085825911</v>
      </c>
      <c r="AV168" s="5"/>
      <c r="AW168" s="173">
        <f t="shared" si="344"/>
        <v>0.60914093958678261</v>
      </c>
      <c r="AX168" s="173">
        <f t="shared" si="435"/>
        <v>9.4568550083758041</v>
      </c>
      <c r="AY168" s="173">
        <f t="shared" si="436"/>
        <v>0.61167111474456115</v>
      </c>
      <c r="AZ168" s="173">
        <f t="shared" si="440"/>
        <v>15.460685947749983</v>
      </c>
      <c r="BA168" s="460">
        <f t="shared" si="433"/>
        <v>13.389427941460857</v>
      </c>
      <c r="BB168" s="5">
        <f t="shared" si="434"/>
        <v>1.9410633694314416</v>
      </c>
      <c r="BD168" s="173">
        <f t="shared" si="441"/>
        <v>1.4103472339740348</v>
      </c>
      <c r="BE168" s="173">
        <f t="shared" si="437"/>
        <v>1.1297367293906107</v>
      </c>
      <c r="BG168" s="528">
        <f t="shared" si="347"/>
        <v>3.9781586407564219E-2</v>
      </c>
      <c r="BH168" s="528">
        <f t="shared" si="470"/>
        <v>0.25274803023492093</v>
      </c>
      <c r="BI168" s="528">
        <f t="shared" si="471"/>
        <v>3.9903507715587878E-2</v>
      </c>
      <c r="BJ168" s="528">
        <f t="shared" si="350"/>
        <v>1.1528625590043551E-2</v>
      </c>
      <c r="BK168">
        <f t="shared" si="351"/>
        <v>4.4642002459091175E-3</v>
      </c>
      <c r="BL168" s="460">
        <f t="shared" si="427"/>
        <v>44.367707961496997</v>
      </c>
      <c r="BM168" s="528">
        <f t="shared" si="472"/>
        <v>0.31780317956302734</v>
      </c>
      <c r="BN168" s="460">
        <f t="shared" si="353"/>
        <v>317.80317956302736</v>
      </c>
      <c r="BO168" s="528">
        <f t="shared" si="354"/>
        <v>0.40599999999999997</v>
      </c>
      <c r="BR168" s="460">
        <f t="shared" si="355"/>
        <v>406</v>
      </c>
      <c r="BS168" s="528">
        <f t="shared" si="356"/>
        <v>5.9672379611346325E-2</v>
      </c>
      <c r="BT168" s="528">
        <f t="shared" si="357"/>
        <v>3.828915233202581E-2</v>
      </c>
      <c r="BU168" s="528">
        <f t="shared" si="358"/>
        <v>0.28453732518085001</v>
      </c>
      <c r="BV168" s="528"/>
      <c r="BW168" s="528">
        <f t="shared" si="359"/>
        <v>7.8807125069798364E-3</v>
      </c>
      <c r="BX168" s="460">
        <f t="shared" si="360"/>
        <v>390.379569631202</v>
      </c>
      <c r="BY168" s="173">
        <f t="shared" si="361"/>
        <v>1.1448055198252274</v>
      </c>
      <c r="BZ168" s="5">
        <f t="shared" si="362"/>
        <v>9.5119999999999987</v>
      </c>
      <c r="CA168" s="173">
        <f t="shared" si="363"/>
        <v>0.89257517013935306</v>
      </c>
      <c r="CB168" s="5">
        <f t="shared" si="364"/>
        <v>89.257517013935299</v>
      </c>
      <c r="CE168" s="562">
        <f t="shared" si="473"/>
        <v>-50</v>
      </c>
      <c r="CF168">
        <f t="shared" si="474"/>
        <v>-50</v>
      </c>
      <c r="CG168" s="173">
        <f t="shared" si="475"/>
        <v>0.36452764359416279</v>
      </c>
      <c r="CI168" s="170">
        <v>58</v>
      </c>
      <c r="CJ168" s="217">
        <f t="shared" si="428"/>
        <v>0.57999999999999996</v>
      </c>
      <c r="CK168" s="217"/>
      <c r="CL168" s="217">
        <f t="shared" si="368"/>
        <v>9.5119999999999987</v>
      </c>
      <c r="CM168" s="541">
        <f t="shared" si="369"/>
        <v>10</v>
      </c>
      <c r="CN168" s="443">
        <f t="shared" si="370"/>
        <v>16.799999999999997</v>
      </c>
      <c r="CO168" s="443">
        <f t="shared" si="371"/>
        <v>26.799999999999997</v>
      </c>
      <c r="CP168" s="443"/>
      <c r="CQ168" s="217">
        <f t="shared" si="372"/>
        <v>0.62686567164179097</v>
      </c>
      <c r="CR168" s="172">
        <f t="shared" si="429"/>
        <v>20.973880597014926</v>
      </c>
      <c r="CS168" s="172">
        <f t="shared" si="373"/>
        <v>9.5119999999999987</v>
      </c>
      <c r="CT168" s="217">
        <f t="shared" si="374"/>
        <v>1.2788951583545687</v>
      </c>
      <c r="CU168" s="217">
        <f t="shared" si="375"/>
        <v>16.399999999999999</v>
      </c>
      <c r="CV168" s="217"/>
      <c r="CW168" s="172">
        <f t="shared" si="376"/>
        <v>47.554676462216349</v>
      </c>
      <c r="CX168" s="172">
        <f t="shared" si="377"/>
        <v>16.399999999999999</v>
      </c>
      <c r="CY168" s="217">
        <f t="shared" si="378"/>
        <v>3.0347809523809524</v>
      </c>
      <c r="CZ168" s="217">
        <f t="shared" si="379"/>
        <v>3.6417371428571426</v>
      </c>
      <c r="DA168" s="217">
        <f t="shared" si="380"/>
        <v>2.1677006802721088</v>
      </c>
      <c r="DB168" s="197">
        <f t="shared" si="381"/>
        <v>350</v>
      </c>
      <c r="DC168" s="443">
        <f t="shared" si="382"/>
        <v>172.13369528092315</v>
      </c>
      <c r="DE168" s="217">
        <f t="shared" si="383"/>
        <v>1.4925373134328355</v>
      </c>
      <c r="DF168" s="173">
        <f t="shared" si="384"/>
        <v>1.0660980810234544</v>
      </c>
      <c r="DG168" s="173">
        <f t="shared" si="385"/>
        <v>0.27845845399866342</v>
      </c>
      <c r="DH168" s="173"/>
      <c r="DI168" s="173">
        <f t="shared" si="386"/>
        <v>0.95238095238095266</v>
      </c>
      <c r="DJ168" s="545">
        <f t="shared" si="387"/>
        <v>913.49999999999955</v>
      </c>
      <c r="DK168" s="528">
        <f t="shared" si="388"/>
        <v>0.22222222222222232</v>
      </c>
      <c r="DM168" s="173">
        <f t="shared" si="389"/>
        <v>2.1540659228538015</v>
      </c>
      <c r="DN168" s="173">
        <f t="shared" si="390"/>
        <v>3.0347809523809524</v>
      </c>
      <c r="DO168" s="173">
        <f t="shared" si="391"/>
        <v>2.4603315696649029</v>
      </c>
      <c r="DQ168" s="545">
        <f t="shared" si="392"/>
        <v>580</v>
      </c>
      <c r="DR168" s="460">
        <f t="shared" si="393"/>
        <v>172.13369528092315</v>
      </c>
      <c r="DT168">
        <f t="shared" si="430"/>
        <v>580</v>
      </c>
      <c r="DU168">
        <f t="shared" si="431"/>
        <v>172.13369528092315</v>
      </c>
      <c r="DW168" s="5">
        <f t="shared" si="394"/>
        <v>5.8094378231292509</v>
      </c>
      <c r="DX168" s="5">
        <f t="shared" si="395"/>
        <v>3.6417371428571426</v>
      </c>
      <c r="DY168" s="5">
        <f t="shared" si="396"/>
        <v>2.1677006802721084</v>
      </c>
      <c r="DZ168" s="5"/>
      <c r="EA168" s="173">
        <f t="shared" si="397"/>
        <v>0.62686567164179108</v>
      </c>
      <c r="EB168" s="173">
        <f t="shared" si="398"/>
        <v>9.5120000000000022</v>
      </c>
      <c r="EC168" s="173">
        <f t="shared" si="399"/>
        <v>0.56619047619047613</v>
      </c>
      <c r="ED168" s="173">
        <f t="shared" si="400"/>
        <v>16.800000000000004</v>
      </c>
      <c r="EE168" s="460">
        <f t="shared" si="401"/>
        <v>12.879314285714287</v>
      </c>
      <c r="EF168" s="5">
        <f t="shared" si="402"/>
        <v>1.7182640725623575</v>
      </c>
      <c r="EH168" s="173">
        <f t="shared" si="403"/>
        <v>1.3872475486624012</v>
      </c>
      <c r="EI168" s="173">
        <f t="shared" si="404"/>
        <v>1.0702847199265431</v>
      </c>
      <c r="EK168" s="528">
        <f t="shared" si="405"/>
        <v>3.8489115225396824E-2</v>
      </c>
      <c r="EL168" s="528">
        <f t="shared" si="406"/>
        <v>0.28000000000000003</v>
      </c>
      <c r="EM168" s="528">
        <f t="shared" si="407"/>
        <v>2.1516711910115394E-2</v>
      </c>
      <c r="EN168" s="528">
        <f t="shared" si="408"/>
        <v>1.2363330529857023E-2</v>
      </c>
      <c r="EO168">
        <f t="shared" si="409"/>
        <v>4.4999999999999997E-3</v>
      </c>
      <c r="EP168" s="460">
        <f t="shared" si="410"/>
        <v>26.016711910115394</v>
      </c>
      <c r="EQ168" s="460"/>
      <c r="ER168" s="460">
        <f t="shared" si="432"/>
        <v>356.86915766536924</v>
      </c>
      <c r="ES168" s="528">
        <f t="shared" si="411"/>
        <v>0.40599999999999997</v>
      </c>
      <c r="EV168" s="460">
        <f t="shared" si="412"/>
        <v>406</v>
      </c>
      <c r="EW168" s="528">
        <f t="shared" si="413"/>
        <v>5.7733672838095232E-2</v>
      </c>
      <c r="EX168" s="528">
        <f t="shared" si="414"/>
        <v>3.4365281451247162E-2</v>
      </c>
      <c r="EY168" s="528">
        <f t="shared" si="415"/>
        <v>0.31185528502698329</v>
      </c>
      <c r="EZ168" s="528"/>
      <c r="FA168" s="528">
        <f t="shared" si="416"/>
        <v>7.9266666666666687E-3</v>
      </c>
      <c r="FB168" s="460">
        <f t="shared" si="417"/>
        <v>411.88090598299237</v>
      </c>
      <c r="FC168" s="173">
        <f t="shared" si="418"/>
        <v>1.1747500636483617</v>
      </c>
      <c r="FD168" s="5">
        <f t="shared" si="419"/>
        <v>9.5119999999999987</v>
      </c>
      <c r="FE168" s="173">
        <f t="shared" si="420"/>
        <v>0.89007415194967954</v>
      </c>
      <c r="FF168" s="5">
        <f t="shared" si="421"/>
        <v>89.007415194967948</v>
      </c>
      <c r="FI168" s="562">
        <f t="shared" si="422"/>
        <v>-50</v>
      </c>
      <c r="FJ168">
        <f t="shared" si="423"/>
        <v>-50</v>
      </c>
      <c r="FL168">
        <f t="shared" si="476"/>
        <v>0.37313432835820892</v>
      </c>
    </row>
    <row r="169" spans="5:168">
      <c r="E169" s="170">
        <v>59</v>
      </c>
      <c r="F169" s="217">
        <f t="shared" si="477"/>
        <v>0.59</v>
      </c>
      <c r="G169" s="217"/>
      <c r="H169" s="217">
        <f t="shared" si="442"/>
        <v>9.6759999999999984</v>
      </c>
      <c r="I169" s="541">
        <f t="shared" si="443"/>
        <v>9.9191057249460215</v>
      </c>
      <c r="J169" s="172">
        <f t="shared" si="444"/>
        <v>16.848536565032383</v>
      </c>
      <c r="K169" s="172">
        <f t="shared" si="445"/>
        <v>26.767642289978404</v>
      </c>
      <c r="L169" s="443"/>
      <c r="M169" s="217">
        <f t="shared" si="446"/>
        <v>0.62942146853055869</v>
      </c>
      <c r="N169" s="172">
        <f t="shared" si="447"/>
        <v>20.889034865833473</v>
      </c>
      <c r="O169" s="172">
        <f t="shared" si="438"/>
        <v>9.6759999999999984</v>
      </c>
      <c r="P169" s="217">
        <f t="shared" si="448"/>
        <v>1.2737216381605778</v>
      </c>
      <c r="Q169" s="217">
        <f t="shared" si="449"/>
        <v>16.399999999999999</v>
      </c>
      <c r="R169" s="217"/>
      <c r="S169" s="172">
        <f t="shared" si="450"/>
        <v>46.206170878866274</v>
      </c>
      <c r="T169" s="172">
        <f t="shared" si="451"/>
        <v>16.399999999999999</v>
      </c>
      <c r="U169" s="217">
        <f t="shared" si="452"/>
        <v>3.1842103624324647</v>
      </c>
      <c r="V169" s="217">
        <f t="shared" si="453"/>
        <v>3.8522146460332758</v>
      </c>
      <c r="W169" s="217">
        <f t="shared" si="454"/>
        <v>2.2678838723887793</v>
      </c>
      <c r="X169" s="197">
        <f t="shared" si="455"/>
        <v>350</v>
      </c>
      <c r="Y169" s="443">
        <f t="shared" si="328"/>
        <v>158.22538162738496</v>
      </c>
      <c r="AA169" s="217">
        <f t="shared" si="456"/>
        <v>1.4865355296616787</v>
      </c>
      <c r="AB169" s="173">
        <f t="shared" si="457"/>
        <v>1.0587522712780995</v>
      </c>
      <c r="AC169" s="173">
        <f t="shared" si="458"/>
        <v>0.27542775196385655</v>
      </c>
      <c r="AD169" s="173"/>
      <c r="AE169" s="173">
        <f t="shared" si="459"/>
        <v>0.94963737285091931</v>
      </c>
      <c r="AF169" s="545">
        <f t="shared" si="460"/>
        <v>931.9346787533533</v>
      </c>
      <c r="AG169" s="528">
        <f t="shared" si="461"/>
        <v>0.22158205366521452</v>
      </c>
      <c r="AI169" s="173">
        <f t="shared" si="462"/>
        <v>2.1756921803208047</v>
      </c>
      <c r="AJ169" s="173">
        <f t="shared" si="463"/>
        <v>3.1842103624324647</v>
      </c>
      <c r="AK169" s="173">
        <f t="shared" si="464"/>
        <v>2.5710200215549119</v>
      </c>
      <c r="AM169" s="545">
        <f t="shared" si="465"/>
        <v>590</v>
      </c>
      <c r="AN169" s="460">
        <f t="shared" si="466"/>
        <v>158.22538162738496</v>
      </c>
      <c r="AP169">
        <f t="shared" si="467"/>
        <v>590</v>
      </c>
      <c r="AQ169">
        <f t="shared" si="468"/>
        <v>158.22538162738496</v>
      </c>
      <c r="AS169" s="5">
        <f t="shared" si="439"/>
        <v>6.3200985184220553</v>
      </c>
      <c r="AT169" s="5">
        <f t="shared" si="469"/>
        <v>3.8522146460332758</v>
      </c>
      <c r="AU169" s="5">
        <f t="shared" si="343"/>
        <v>2.4678838723887795</v>
      </c>
      <c r="AV169" s="5"/>
      <c r="AW169" s="173">
        <f t="shared" si="344"/>
        <v>0.60951813247921671</v>
      </c>
      <c r="AX169" s="173">
        <f t="shared" si="435"/>
        <v>9.6256685898185168</v>
      </c>
      <c r="AY169" s="173">
        <f t="shared" si="436"/>
        <v>0.62168820445082951</v>
      </c>
      <c r="AZ169" s="173">
        <f t="shared" si="440"/>
        <v>15.483112790150789</v>
      </c>
      <c r="BA169" s="460">
        <f t="shared" si="433"/>
        <v>13.858577080241664</v>
      </c>
      <c r="BB169" s="5">
        <f t="shared" si="434"/>
        <v>2.006165761595053</v>
      </c>
      <c r="BD169" s="173">
        <f t="shared" si="441"/>
        <v>1.4352727483645236</v>
      </c>
      <c r="BE169" s="173">
        <f t="shared" si="437"/>
        <v>1.1487924160654857</v>
      </c>
      <c r="BG169" s="528">
        <f t="shared" si="347"/>
        <v>4.1200157243957057E-2</v>
      </c>
      <c r="BH169" s="528">
        <f t="shared" si="470"/>
        <v>0.25286533422657126</v>
      </c>
      <c r="BI169" s="528">
        <f t="shared" si="471"/>
        <v>3.923635721829908E-2</v>
      </c>
      <c r="BJ169" s="528">
        <f t="shared" si="350"/>
        <v>1.1336954189491514E-2</v>
      </c>
      <c r="BK169">
        <f t="shared" si="351"/>
        <v>4.4635975762257092E-3</v>
      </c>
      <c r="BL169" s="460">
        <f t="shared" si="427"/>
        <v>43.699954794524793</v>
      </c>
      <c r="BM169" s="528">
        <f t="shared" si="472"/>
        <v>0.31965564755115128</v>
      </c>
      <c r="BN169" s="460">
        <f t="shared" si="353"/>
        <v>319.65564755115128</v>
      </c>
      <c r="BO169" s="528">
        <f t="shared" si="354"/>
        <v>0.41299999999999998</v>
      </c>
      <c r="BR169" s="460">
        <f t="shared" si="355"/>
        <v>413</v>
      </c>
      <c r="BS169" s="528">
        <f t="shared" si="356"/>
        <v>6.1800235865935582E-2</v>
      </c>
      <c r="BT169" s="528">
        <f t="shared" si="357"/>
        <v>3.9591720456287276E-2</v>
      </c>
      <c r="BU169" s="528">
        <f t="shared" si="358"/>
        <v>0.28488183775794201</v>
      </c>
      <c r="BV169" s="528"/>
      <c r="BW169" s="528">
        <f t="shared" si="359"/>
        <v>8.0213904915154323E-3</v>
      </c>
      <c r="BX169" s="460">
        <f t="shared" si="360"/>
        <v>394.29518457168035</v>
      </c>
      <c r="BY169" s="173">
        <f t="shared" si="361"/>
        <v>1.1563975850262249</v>
      </c>
      <c r="BZ169" s="5">
        <f t="shared" si="362"/>
        <v>9.6759999999999984</v>
      </c>
      <c r="CA169" s="173">
        <f t="shared" si="363"/>
        <v>0.89324638650406174</v>
      </c>
      <c r="CB169" s="5">
        <f t="shared" si="364"/>
        <v>89.324638650406172</v>
      </c>
      <c r="CE169" s="562">
        <f t="shared" si="473"/>
        <v>-50</v>
      </c>
      <c r="CF169">
        <f t="shared" si="474"/>
        <v>-50</v>
      </c>
      <c r="CG169" s="173">
        <f t="shared" si="475"/>
        <v>0.36467351960711269</v>
      </c>
      <c r="CI169" s="170">
        <v>59</v>
      </c>
      <c r="CJ169" s="217">
        <f t="shared" si="428"/>
        <v>0.59</v>
      </c>
      <c r="CK169" s="217"/>
      <c r="CL169" s="217">
        <f t="shared" si="368"/>
        <v>9.6759999999999984</v>
      </c>
      <c r="CM169" s="541">
        <f t="shared" si="369"/>
        <v>10</v>
      </c>
      <c r="CN169" s="443">
        <f t="shared" si="370"/>
        <v>16.799999999999997</v>
      </c>
      <c r="CO169" s="443">
        <f t="shared" si="371"/>
        <v>26.799999999999997</v>
      </c>
      <c r="CP169" s="443"/>
      <c r="CQ169" s="217">
        <f t="shared" si="372"/>
        <v>0.62686567164179097</v>
      </c>
      <c r="CR169" s="172">
        <f t="shared" si="429"/>
        <v>20.973880597014926</v>
      </c>
      <c r="CS169" s="172">
        <f t="shared" si="373"/>
        <v>9.6759999999999984</v>
      </c>
      <c r="CT169" s="217">
        <f t="shared" si="374"/>
        <v>1.2788951583545687</v>
      </c>
      <c r="CU169" s="217">
        <f t="shared" si="375"/>
        <v>16.399999999999999</v>
      </c>
      <c r="CV169" s="217"/>
      <c r="CW169" s="172">
        <f t="shared" si="376"/>
        <v>46.582313562421071</v>
      </c>
      <c r="CX169" s="172">
        <f t="shared" si="377"/>
        <v>16.399999999999999</v>
      </c>
      <c r="CY169" s="217">
        <f t="shared" si="378"/>
        <v>3.0871047619047616</v>
      </c>
      <c r="CZ169" s="217">
        <f t="shared" si="379"/>
        <v>3.704525714285714</v>
      </c>
      <c r="DA169" s="217">
        <f t="shared" si="380"/>
        <v>2.2050748299319731</v>
      </c>
      <c r="DB169" s="197">
        <f t="shared" si="381"/>
        <v>350</v>
      </c>
      <c r="DC169" s="443">
        <f t="shared" si="382"/>
        <v>169.21617502192444</v>
      </c>
      <c r="DE169" s="217">
        <f t="shared" si="383"/>
        <v>1.4925373134328355</v>
      </c>
      <c r="DF169" s="173">
        <f t="shared" si="384"/>
        <v>1.0660980810234544</v>
      </c>
      <c r="DG169" s="173">
        <f t="shared" si="385"/>
        <v>0.27845845399866342</v>
      </c>
      <c r="DH169" s="173"/>
      <c r="DI169" s="173">
        <f t="shared" si="386"/>
        <v>0.95238095238095266</v>
      </c>
      <c r="DJ169" s="545">
        <f t="shared" si="387"/>
        <v>929.24999999999955</v>
      </c>
      <c r="DK169" s="528">
        <f t="shared" si="388"/>
        <v>0.22222222222222232</v>
      </c>
      <c r="DM169" s="173">
        <f t="shared" si="389"/>
        <v>2.1725560982400429</v>
      </c>
      <c r="DN169" s="173">
        <f t="shared" si="390"/>
        <v>3.0871047619047616</v>
      </c>
      <c r="DO169" s="173">
        <f t="shared" si="391"/>
        <v>2.4990899470899466</v>
      </c>
      <c r="DQ169" s="545">
        <f t="shared" si="392"/>
        <v>590</v>
      </c>
      <c r="DR169" s="460">
        <f t="shared" si="393"/>
        <v>169.21617502192444</v>
      </c>
      <c r="DT169">
        <f t="shared" si="430"/>
        <v>590</v>
      </c>
      <c r="DU169">
        <f t="shared" si="431"/>
        <v>169.21617502192444</v>
      </c>
      <c r="DW169" s="5">
        <f t="shared" si="394"/>
        <v>5.9096005442176862</v>
      </c>
      <c r="DX169" s="5">
        <f t="shared" si="395"/>
        <v>3.704525714285714</v>
      </c>
      <c r="DY169" s="5">
        <f t="shared" si="396"/>
        <v>2.2050748299319722</v>
      </c>
      <c r="DZ169" s="5"/>
      <c r="EA169" s="173">
        <f t="shared" si="397"/>
        <v>0.62686567164179108</v>
      </c>
      <c r="EB169" s="173">
        <f t="shared" si="398"/>
        <v>9.6759999999999966</v>
      </c>
      <c r="EC169" s="173">
        <f t="shared" si="399"/>
        <v>0.57595238095238088</v>
      </c>
      <c r="ED169" s="173">
        <f t="shared" si="400"/>
        <v>16.799999999999997</v>
      </c>
      <c r="EE169" s="460">
        <f t="shared" si="401"/>
        <v>13.327257142857144</v>
      </c>
      <c r="EF169" s="5">
        <f t="shared" si="402"/>
        <v>1.7780253378684796</v>
      </c>
      <c r="EH169" s="173">
        <f t="shared" si="403"/>
        <v>1.4111656098462355</v>
      </c>
      <c r="EI169" s="173">
        <f t="shared" si="404"/>
        <v>1.0887379047528627</v>
      </c>
      <c r="EK169" s="528">
        <f t="shared" si="405"/>
        <v>3.9827767568253958E-2</v>
      </c>
      <c r="EL169" s="528">
        <f t="shared" si="406"/>
        <v>0.27999999999999997</v>
      </c>
      <c r="EM169" s="528">
        <f t="shared" si="407"/>
        <v>2.1152021877740554E-2</v>
      </c>
      <c r="EN169" s="528">
        <f t="shared" si="408"/>
        <v>1.21537825547747E-2</v>
      </c>
      <c r="EO169">
        <f t="shared" si="409"/>
        <v>4.4999999999999997E-3</v>
      </c>
      <c r="EP169" s="460">
        <f t="shared" si="410"/>
        <v>25.652021877740555</v>
      </c>
      <c r="EQ169" s="460"/>
      <c r="ER169" s="460">
        <f t="shared" si="432"/>
        <v>357.63357200076922</v>
      </c>
      <c r="ES169" s="528">
        <f t="shared" si="411"/>
        <v>0.41299999999999998</v>
      </c>
      <c r="EV169" s="460">
        <f t="shared" si="412"/>
        <v>413</v>
      </c>
      <c r="EW169" s="528">
        <f t="shared" si="413"/>
        <v>5.974165135238093E-2</v>
      </c>
      <c r="EX169" s="528">
        <f t="shared" si="414"/>
        <v>3.5560506757369603E-2</v>
      </c>
      <c r="EY169" s="528">
        <f t="shared" si="415"/>
        <v>0.31185528502698273</v>
      </c>
      <c r="EZ169" s="528"/>
      <c r="FA169" s="528">
        <f t="shared" si="416"/>
        <v>8.0633333333333321E-3</v>
      </c>
      <c r="FB169" s="460">
        <f t="shared" si="417"/>
        <v>415.2207764700666</v>
      </c>
      <c r="FC169" s="173">
        <f t="shared" si="418"/>
        <v>1.1858543484708357</v>
      </c>
      <c r="FD169" s="5">
        <f t="shared" si="419"/>
        <v>9.6759999999999984</v>
      </c>
      <c r="FE169" s="173">
        <f t="shared" si="420"/>
        <v>0.89082395045761376</v>
      </c>
      <c r="FF169" s="5">
        <f t="shared" si="421"/>
        <v>89.082395045761373</v>
      </c>
      <c r="FI169" s="562">
        <f t="shared" si="422"/>
        <v>-50</v>
      </c>
      <c r="FJ169">
        <f t="shared" si="423"/>
        <v>-50</v>
      </c>
      <c r="FL169">
        <f t="shared" si="476"/>
        <v>0.37313432835820892</v>
      </c>
    </row>
    <row r="170" spans="5:168">
      <c r="E170" s="170">
        <v>60</v>
      </c>
      <c r="F170" s="217">
        <f t="shared" si="477"/>
        <v>0.6</v>
      </c>
      <c r="G170" s="217"/>
      <c r="H170" s="217">
        <f t="shared" si="442"/>
        <v>9.8399999999999981</v>
      </c>
      <c r="I170" s="541">
        <f t="shared" si="443"/>
        <v>9.9177664339569951</v>
      </c>
      <c r="J170" s="172">
        <f t="shared" si="444"/>
        <v>16.849340139625799</v>
      </c>
      <c r="K170" s="172">
        <f t="shared" si="445"/>
        <v>26.767106573582794</v>
      </c>
      <c r="L170" s="443"/>
      <c r="M170" s="217">
        <f t="shared" si="446"/>
        <v>0.62946409437551687</v>
      </c>
      <c r="N170" s="172">
        <f t="shared" si="447"/>
        <v>20.887628861927698</v>
      </c>
      <c r="O170" s="172">
        <f t="shared" si="438"/>
        <v>9.8399999999999981</v>
      </c>
      <c r="P170" s="217">
        <f t="shared" si="448"/>
        <v>1.2736359062151037</v>
      </c>
      <c r="Q170" s="217">
        <f t="shared" si="449"/>
        <v>16.399999999999999</v>
      </c>
      <c r="R170" s="217"/>
      <c r="S170" s="172">
        <f t="shared" si="450"/>
        <v>45.267804758861928</v>
      </c>
      <c r="T170" s="172">
        <f t="shared" si="451"/>
        <v>16.399999999999999</v>
      </c>
      <c r="U170" s="217">
        <f t="shared" si="452"/>
        <v>3.2385525445302763</v>
      </c>
      <c r="V170" s="217">
        <f t="shared" si="453"/>
        <v>3.9184861624995828</v>
      </c>
      <c r="W170" s="217">
        <f t="shared" si="454"/>
        <v>2.3064778924467961</v>
      </c>
      <c r="X170" s="197">
        <f t="shared" si="455"/>
        <v>350</v>
      </c>
      <c r="Y170" s="443">
        <f t="shared" si="328"/>
        <v>155.64289409994927</v>
      </c>
      <c r="AA170" s="217">
        <f t="shared" si="456"/>
        <v>1.4864354538294933</v>
      </c>
      <c r="AB170" s="173">
        <f t="shared" si="457"/>
        <v>1.0586305041112465</v>
      </c>
      <c r="AC170" s="173">
        <f t="shared" si="458"/>
        <v>0.27537753491786054</v>
      </c>
      <c r="AD170" s="173"/>
      <c r="AE170" s="173">
        <f t="shared" si="459"/>
        <v>0.94959208297846975</v>
      </c>
      <c r="AF170" s="545">
        <f t="shared" si="460"/>
        <v>947.77538285395087</v>
      </c>
      <c r="AG170" s="528">
        <f t="shared" si="461"/>
        <v>0.22157148602830964</v>
      </c>
      <c r="AI170" s="173">
        <f t="shared" si="462"/>
        <v>2.1941050983829893</v>
      </c>
      <c r="AJ170" s="173">
        <f t="shared" si="463"/>
        <v>3.2385525445302763</v>
      </c>
      <c r="AK170" s="173">
        <f t="shared" si="464"/>
        <v>2.6112734897755132</v>
      </c>
      <c r="AM170" s="545">
        <f t="shared" si="465"/>
        <v>600</v>
      </c>
      <c r="AN170" s="460">
        <f t="shared" si="466"/>
        <v>155.64289409994927</v>
      </c>
      <c r="AP170">
        <f t="shared" si="467"/>
        <v>600</v>
      </c>
      <c r="AQ170">
        <f t="shared" si="468"/>
        <v>155.64289409994927</v>
      </c>
      <c r="AS170" s="5">
        <f t="shared" si="439"/>
        <v>6.4249640549463791</v>
      </c>
      <c r="AT170" s="5">
        <f t="shared" si="469"/>
        <v>3.9184861624995828</v>
      </c>
      <c r="AU170" s="5">
        <f t="shared" ref="AU170:AU233" si="478">AS170-AT170</f>
        <v>2.5064778924467963</v>
      </c>
      <c r="AV170" s="5"/>
      <c r="AW170" s="173">
        <f t="shared" ref="AW170:AW233" si="479">AT170/AS170</f>
        <v>0.6098845268220392</v>
      </c>
      <c r="AX170" s="173">
        <f t="shared" si="435"/>
        <v>9.7945039013337105</v>
      </c>
      <c r="AY170" s="173">
        <f t="shared" si="436"/>
        <v>0.63170472916055886</v>
      </c>
      <c r="AZ170" s="173">
        <f t="shared" si="440"/>
        <v>15.504876644423957</v>
      </c>
      <c r="BA170" s="460">
        <f t="shared" si="433"/>
        <v>14.335924984754575</v>
      </c>
      <c r="BB170" s="5">
        <f t="shared" si="434"/>
        <v>2.07235357425769</v>
      </c>
      <c r="BD170" s="173">
        <f t="shared" si="441"/>
        <v>1.4602059977567152</v>
      </c>
      <c r="BE170" s="173">
        <f t="shared" si="437"/>
        <v>1.1678495787885061</v>
      </c>
      <c r="BG170" s="528">
        <f t="shared" ref="BG170:BG210" si="480">Rdson*BD170^2</f>
        <v>4.2644031117693687E-2</v>
      </c>
      <c r="BH170" s="528">
        <f t="shared" si="470"/>
        <v>0.25297811112903895</v>
      </c>
      <c r="BI170" s="528">
        <f t="shared" si="471"/>
        <v>3.8590746769709999E-2</v>
      </c>
      <c r="BJ170" s="528">
        <f t="shared" ref="BJ170:BJ210" si="481">0.5*(Coss+Csw)*K170^2*AN170*1000</f>
        <v>1.1151470859513138E-2</v>
      </c>
      <c r="BK170">
        <f t="shared" ref="BK170:BK210" si="482">I170*IQ</f>
        <v>4.4629948952806479E-3</v>
      </c>
      <c r="BL170" s="460">
        <f t="shared" si="427"/>
        <v>43.053741664990646</v>
      </c>
      <c r="BM170" s="528">
        <f t="shared" si="472"/>
        <v>0.32154547154240681</v>
      </c>
      <c r="BN170" s="460">
        <f t="shared" si="353"/>
        <v>321.5454715424068</v>
      </c>
      <c r="BO170" s="528">
        <f t="shared" ref="BO170:BO210" si="483">Vfwd2*F170</f>
        <v>0.42</v>
      </c>
      <c r="BR170" s="460">
        <f t="shared" ref="BR170:BR210" si="484">SUM(BO170:BQ170)*1000</f>
        <v>420</v>
      </c>
      <c r="BS170" s="528">
        <f t="shared" ref="BS170:BS210" si="485">Rdcr_pri*BD170^2</f>
        <v>6.3966046676540531E-2</v>
      </c>
      <c r="BT170" s="528">
        <f t="shared" ref="BT170:BT210" si="486">Rdcr_sec*BE170^2</f>
        <v>4.0916179160294733E-2</v>
      </c>
      <c r="BU170" s="528">
        <f t="shared" ref="BU170:BU210" si="487">AJ170^2.5*AN170^2.5*k_core</f>
        <v>0.28521385450777814</v>
      </c>
      <c r="BV170" s="528"/>
      <c r="BW170" s="528">
        <f t="shared" ref="BW170:BW210" si="488">0.5*Lleak*0.000000001*AJ170^2*AN170*1000</f>
        <v>8.1620865844447572E-3</v>
      </c>
      <c r="BX170" s="460">
        <f t="shared" ref="BX170:BX210" si="489">SUM(BS170:BW170)*1000</f>
        <v>398.25816692905818</v>
      </c>
      <c r="BY170" s="173">
        <f t="shared" ref="BY170:BY210" si="490">SUM(BG170:BK170,BO170:BQ170,BS170:BW170)</f>
        <v>1.1680855217002946</v>
      </c>
      <c r="BZ170" s="5">
        <f t="shared" ref="BZ170:BZ210" si="491">MIN(H170,O170)</f>
        <v>9.8399999999999981</v>
      </c>
      <c r="CA170" s="173">
        <f t="shared" ref="CA170:CA210" si="492">BZ170/(BZ170+BY170)</f>
        <v>0.89388840417367377</v>
      </c>
      <c r="CB170" s="5">
        <f t="shared" ref="CB170:CB210" si="493">CA170*100</f>
        <v>89.388840417367376</v>
      </c>
      <c r="CE170" s="562">
        <f t="shared" si="473"/>
        <v>-50</v>
      </c>
      <c r="CF170">
        <f t="shared" si="474"/>
        <v>-50</v>
      </c>
      <c r="CG170" s="173">
        <f t="shared" si="475"/>
        <v>0.36481453308629774</v>
      </c>
      <c r="CI170" s="170">
        <v>60</v>
      </c>
      <c r="CJ170" s="217">
        <f t="shared" si="428"/>
        <v>0.6</v>
      </c>
      <c r="CK170" s="217"/>
      <c r="CL170" s="217">
        <f t="shared" si="368"/>
        <v>9.8399999999999981</v>
      </c>
      <c r="CM170" s="541">
        <f t="shared" si="369"/>
        <v>10</v>
      </c>
      <c r="CN170" s="443">
        <f t="shared" si="370"/>
        <v>16.799999999999997</v>
      </c>
      <c r="CO170" s="443">
        <f t="shared" si="371"/>
        <v>26.799999999999997</v>
      </c>
      <c r="CP170" s="443"/>
      <c r="CQ170" s="217">
        <f t="shared" si="372"/>
        <v>0.62686567164179097</v>
      </c>
      <c r="CR170" s="172">
        <f t="shared" si="429"/>
        <v>20.973880597014926</v>
      </c>
      <c r="CS170" s="172">
        <f t="shared" si="373"/>
        <v>9.8399999999999981</v>
      </c>
      <c r="CT170" s="217">
        <f t="shared" si="374"/>
        <v>1.2788951583545687</v>
      </c>
      <c r="CU170" s="217">
        <f t="shared" si="375"/>
        <v>16.399999999999999</v>
      </c>
      <c r="CV170" s="217"/>
      <c r="CW170" s="172">
        <f t="shared" si="376"/>
        <v>45.642431939610312</v>
      </c>
      <c r="CX170" s="172">
        <f t="shared" si="377"/>
        <v>16.399999999999999</v>
      </c>
      <c r="CY170" s="217">
        <f t="shared" si="378"/>
        <v>3.1394285714285712</v>
      </c>
      <c r="CZ170" s="217">
        <f t="shared" si="379"/>
        <v>3.7673142857142854</v>
      </c>
      <c r="DA170" s="217">
        <f t="shared" si="380"/>
        <v>2.242448979591837</v>
      </c>
      <c r="DB170" s="197">
        <f t="shared" si="381"/>
        <v>350</v>
      </c>
      <c r="DC170" s="443">
        <f t="shared" si="382"/>
        <v>166.3959054382257</v>
      </c>
      <c r="DE170" s="217">
        <f t="shared" si="383"/>
        <v>1.4925373134328355</v>
      </c>
      <c r="DF170" s="173">
        <f t="shared" si="384"/>
        <v>1.0660980810234544</v>
      </c>
      <c r="DG170" s="173">
        <f t="shared" si="385"/>
        <v>0.27845845399866342</v>
      </c>
      <c r="DH170" s="173"/>
      <c r="DI170" s="173">
        <f t="shared" si="386"/>
        <v>0.95238095238095266</v>
      </c>
      <c r="DJ170" s="545">
        <f t="shared" si="387"/>
        <v>944.99999999999955</v>
      </c>
      <c r="DK170" s="528">
        <f t="shared" si="388"/>
        <v>0.22222222222222232</v>
      </c>
      <c r="DM170" s="173">
        <f t="shared" si="389"/>
        <v>2.1908902300206643</v>
      </c>
      <c r="DN170" s="173">
        <f t="shared" si="390"/>
        <v>3.1394285714285712</v>
      </c>
      <c r="DO170" s="173">
        <f t="shared" si="391"/>
        <v>2.5378483245149912</v>
      </c>
      <c r="DQ170" s="545">
        <f t="shared" si="392"/>
        <v>600</v>
      </c>
      <c r="DR170" s="460">
        <f t="shared" si="393"/>
        <v>166.3959054382257</v>
      </c>
      <c r="DT170">
        <f t="shared" si="430"/>
        <v>600</v>
      </c>
      <c r="DU170">
        <f t="shared" si="431"/>
        <v>166.3959054382257</v>
      </c>
      <c r="DW170" s="5">
        <f t="shared" si="394"/>
        <v>6.0097632653061224</v>
      </c>
      <c r="DX170" s="5">
        <f t="shared" si="395"/>
        <v>3.7673142857142854</v>
      </c>
      <c r="DY170" s="5">
        <f t="shared" si="396"/>
        <v>2.242448979591837</v>
      </c>
      <c r="DZ170" s="5"/>
      <c r="EA170" s="173">
        <f t="shared" si="397"/>
        <v>0.62686567164179097</v>
      </c>
      <c r="EB170" s="173">
        <f t="shared" si="398"/>
        <v>9.84</v>
      </c>
      <c r="EC170" s="173">
        <f t="shared" si="399"/>
        <v>0.58571428571428585</v>
      </c>
      <c r="ED170" s="173">
        <f t="shared" si="400"/>
        <v>16.799999999999997</v>
      </c>
      <c r="EE170" s="460">
        <f t="shared" si="401"/>
        <v>13.782857142857141</v>
      </c>
      <c r="EF170" s="5">
        <f t="shared" si="402"/>
        <v>1.8388081632653057</v>
      </c>
      <c r="EH170" s="173">
        <f t="shared" si="403"/>
        <v>1.4350836710300701</v>
      </c>
      <c r="EI170" s="173">
        <f t="shared" si="404"/>
        <v>1.1071910895791826</v>
      </c>
      <c r="EK170" s="528">
        <f t="shared" si="405"/>
        <v>4.1189302857142847E-2</v>
      </c>
      <c r="EL170" s="528">
        <f t="shared" si="406"/>
        <v>0.27999999999999997</v>
      </c>
      <c r="EM170" s="528">
        <f t="shared" si="407"/>
        <v>2.0799488179778211E-2</v>
      </c>
      <c r="EN170" s="528">
        <f t="shared" si="408"/>
        <v>1.1951219512195122E-2</v>
      </c>
      <c r="EO170">
        <f t="shared" si="409"/>
        <v>4.4999999999999997E-3</v>
      </c>
      <c r="EP170" s="460">
        <f t="shared" si="410"/>
        <v>25.299488179778212</v>
      </c>
      <c r="EQ170" s="460"/>
      <c r="ER170" s="460">
        <f t="shared" si="432"/>
        <v>358.44001054911615</v>
      </c>
      <c r="ES170" s="528">
        <f t="shared" si="411"/>
        <v>0.42</v>
      </c>
      <c r="EV170" s="460">
        <f t="shared" ref="EV170:EV210" si="494">SUM(ES170:EU170)*1000</f>
        <v>420</v>
      </c>
      <c r="EW170" s="528">
        <f t="shared" si="413"/>
        <v>6.1783954285714274E-2</v>
      </c>
      <c r="EX170" s="528">
        <f t="shared" si="414"/>
        <v>3.6776163265306118E-2</v>
      </c>
      <c r="EY170" s="528">
        <f t="shared" si="415"/>
        <v>0.31185528502698351</v>
      </c>
      <c r="EZ170" s="528"/>
      <c r="FA170" s="528">
        <f t="shared" si="416"/>
        <v>8.199999999999999E-3</v>
      </c>
      <c r="FB170" s="460">
        <f t="shared" si="417"/>
        <v>418.61540257800391</v>
      </c>
      <c r="FC170" s="173">
        <f t="shared" si="418"/>
        <v>1.19705541312712</v>
      </c>
      <c r="FD170" s="5">
        <f t="shared" si="419"/>
        <v>9.8399999999999981</v>
      </c>
      <c r="FE170" s="173">
        <f t="shared" si="420"/>
        <v>0.89154213978998587</v>
      </c>
      <c r="FF170" s="5">
        <f t="shared" si="421"/>
        <v>89.154213978998584</v>
      </c>
      <c r="FI170" s="562">
        <f t="shared" si="422"/>
        <v>-50</v>
      </c>
      <c r="FJ170">
        <f t="shared" si="423"/>
        <v>-50</v>
      </c>
      <c r="FL170">
        <f t="shared" si="476"/>
        <v>0.37313432835820903</v>
      </c>
    </row>
    <row r="171" spans="5:168">
      <c r="E171" s="170">
        <v>61</v>
      </c>
      <c r="F171" s="217">
        <f t="shared" si="477"/>
        <v>0.61</v>
      </c>
      <c r="G171" s="217"/>
      <c r="H171" s="217">
        <f t="shared" si="442"/>
        <v>10.004</v>
      </c>
      <c r="I171" s="541">
        <f t="shared" si="443"/>
        <v>9.9164271192004492</v>
      </c>
      <c r="J171" s="172">
        <f t="shared" si="444"/>
        <v>16.850143728479729</v>
      </c>
      <c r="K171" s="172">
        <f t="shared" si="445"/>
        <v>26.766570847680178</v>
      </c>
      <c r="L171" s="443"/>
      <c r="M171" s="217">
        <f t="shared" si="446"/>
        <v>0.62950672248444706</v>
      </c>
      <c r="N171" s="172">
        <f t="shared" si="447"/>
        <v>20.886222501061255</v>
      </c>
      <c r="O171" s="172">
        <f t="shared" si="438"/>
        <v>10.004</v>
      </c>
      <c r="P171" s="217">
        <f t="shared" si="448"/>
        <v>1.2735501525037352</v>
      </c>
      <c r="Q171" s="217">
        <f t="shared" si="449"/>
        <v>16.399999999999999</v>
      </c>
      <c r="R171" s="217"/>
      <c r="S171" s="172">
        <f t="shared" si="450"/>
        <v>44.360317238789584</v>
      </c>
      <c r="T171" s="172">
        <f t="shared" si="451"/>
        <v>16.399999999999999</v>
      </c>
      <c r="U171" s="217">
        <f t="shared" si="452"/>
        <v>3.2929072510601367</v>
      </c>
      <c r="V171" s="217">
        <f t="shared" si="453"/>
        <v>3.984790745470399</v>
      </c>
      <c r="W171" s="217">
        <f t="shared" si="454"/>
        <v>2.3450771488633944</v>
      </c>
      <c r="X171" s="197">
        <f t="shared" si="455"/>
        <v>350</v>
      </c>
      <c r="Y171" s="443">
        <f t="shared" si="328"/>
        <v>153.14245497489114</v>
      </c>
      <c r="AA171" s="217">
        <f t="shared" si="456"/>
        <v>1.4863353530683119</v>
      </c>
      <c r="AB171" s="173">
        <f t="shared" si="457"/>
        <v>1.0585087299091522</v>
      </c>
      <c r="AC171" s="173">
        <f t="shared" si="458"/>
        <v>0.27532731568919677</v>
      </c>
      <c r="AD171" s="173"/>
      <c r="AE171" s="173">
        <f t="shared" si="459"/>
        <v>0.94954679662210639</v>
      </c>
      <c r="AF171" s="545">
        <f t="shared" si="460"/>
        <v>963.61759447243412</v>
      </c>
      <c r="AG171" s="528">
        <f t="shared" si="461"/>
        <v>0.22156091921182486</v>
      </c>
      <c r="AI171" s="173">
        <f t="shared" si="462"/>
        <v>2.2123665065321036</v>
      </c>
      <c r="AJ171" s="173">
        <f t="shared" si="463"/>
        <v>3.2929072510601367</v>
      </c>
      <c r="AK171" s="173">
        <f t="shared" si="464"/>
        <v>2.6515362353531877</v>
      </c>
      <c r="AM171" s="545">
        <f t="shared" si="465"/>
        <v>610</v>
      </c>
      <c r="AN171" s="460">
        <f t="shared" si="466"/>
        <v>153.14245497489114</v>
      </c>
      <c r="AP171">
        <f t="shared" si="467"/>
        <v>610</v>
      </c>
      <c r="AQ171">
        <f t="shared" si="468"/>
        <v>153.14245497489114</v>
      </c>
      <c r="AS171" s="5">
        <f t="shared" si="439"/>
        <v>6.5298678943337931</v>
      </c>
      <c r="AT171" s="5">
        <f t="shared" si="469"/>
        <v>3.984790745470399</v>
      </c>
      <c r="AU171" s="5">
        <f t="shared" si="478"/>
        <v>2.5450771488633941</v>
      </c>
      <c r="AV171" s="5"/>
      <c r="AW171" s="173">
        <f t="shared" si="479"/>
        <v>0.6102406373225634</v>
      </c>
      <c r="AX171" s="173">
        <f t="shared" si="435"/>
        <v>9.9633606739519234</v>
      </c>
      <c r="AY171" s="173">
        <f t="shared" si="436"/>
        <v>0.64172071576455436</v>
      </c>
      <c r="AZ171" s="173">
        <f t="shared" si="440"/>
        <v>15.526007543766834</v>
      </c>
      <c r="BA171" s="460">
        <f t="shared" si="433"/>
        <v>14.82147777278624</v>
      </c>
      <c r="BB171" s="5">
        <f t="shared" si="434"/>
        <v>2.1396274662214458</v>
      </c>
      <c r="BD171" s="173">
        <f t="shared" si="441"/>
        <v>1.4851469700438429</v>
      </c>
      <c r="BE171" s="173">
        <f t="shared" si="437"/>
        <v>1.1869082520275391</v>
      </c>
      <c r="BG171" s="528">
        <f t="shared" si="480"/>
        <v>4.4113230452608142E-2</v>
      </c>
      <c r="BH171" s="528">
        <f t="shared" si="470"/>
        <v>0.2530865765298152</v>
      </c>
      <c r="BI171" s="528">
        <f t="shared" si="471"/>
        <v>3.7965649840348607E-2</v>
      </c>
      <c r="BJ171" s="528">
        <f t="shared" si="481"/>
        <v>1.097188069555851E-2</v>
      </c>
      <c r="BK171">
        <f t="shared" si="482"/>
        <v>4.4623922036402018E-3</v>
      </c>
      <c r="BL171" s="460">
        <f t="shared" si="427"/>
        <v>42.42804204398881</v>
      </c>
      <c r="BM171" s="528">
        <f t="shared" si="472"/>
        <v>0.32347267520088901</v>
      </c>
      <c r="BN171" s="460">
        <f t="shared" si="353"/>
        <v>323.472675200889</v>
      </c>
      <c r="BO171" s="528">
        <f t="shared" si="483"/>
        <v>0.42699999999999999</v>
      </c>
      <c r="BR171" s="460">
        <f t="shared" si="484"/>
        <v>427</v>
      </c>
      <c r="BS171" s="528">
        <f t="shared" si="485"/>
        <v>6.6169845678912209E-2</v>
      </c>
      <c r="BT171" s="528">
        <f t="shared" si="486"/>
        <v>4.2262535961932052E-2</v>
      </c>
      <c r="BU171" s="528">
        <f t="shared" si="487"/>
        <v>0.28553395605989118</v>
      </c>
      <c r="BV171" s="528"/>
      <c r="BW171" s="528">
        <f t="shared" si="488"/>
        <v>8.3028005616266037E-3</v>
      </c>
      <c r="BX171" s="460">
        <f t="shared" si="489"/>
        <v>402.26913826236199</v>
      </c>
      <c r="BY171" s="173">
        <f t="shared" si="490"/>
        <v>1.1798688679843325</v>
      </c>
      <c r="BZ171" s="5">
        <f t="shared" si="491"/>
        <v>10.004</v>
      </c>
      <c r="CA171" s="173">
        <f t="shared" si="492"/>
        <v>0.89450261962907118</v>
      </c>
      <c r="CB171" s="5">
        <f t="shared" si="493"/>
        <v>89.450261962907121</v>
      </c>
      <c r="CE171" s="562">
        <f t="shared" si="473"/>
        <v>-50</v>
      </c>
      <c r="CF171">
        <f t="shared" si="474"/>
        <v>-50</v>
      </c>
      <c r="CG171" s="173">
        <f t="shared" si="475"/>
        <v>0.36495092317272243</v>
      </c>
      <c r="CI171" s="170">
        <v>61</v>
      </c>
      <c r="CJ171" s="217">
        <f t="shared" si="428"/>
        <v>0.61</v>
      </c>
      <c r="CK171" s="217"/>
      <c r="CL171" s="217">
        <f t="shared" si="368"/>
        <v>10.004</v>
      </c>
      <c r="CM171" s="541">
        <f t="shared" si="369"/>
        <v>10</v>
      </c>
      <c r="CN171" s="443">
        <f t="shared" si="370"/>
        <v>16.799999999999997</v>
      </c>
      <c r="CO171" s="443">
        <f t="shared" si="371"/>
        <v>26.799999999999997</v>
      </c>
      <c r="CP171" s="443"/>
      <c r="CQ171" s="217">
        <f t="shared" si="372"/>
        <v>0.62686567164179097</v>
      </c>
      <c r="CR171" s="172">
        <f t="shared" si="429"/>
        <v>20.973880597014926</v>
      </c>
      <c r="CS171" s="172">
        <f t="shared" si="373"/>
        <v>10.004</v>
      </c>
      <c r="CT171" s="217">
        <f t="shared" si="374"/>
        <v>1.2788951583545687</v>
      </c>
      <c r="CU171" s="217">
        <f t="shared" si="375"/>
        <v>16.399999999999999</v>
      </c>
      <c r="CV171" s="217"/>
      <c r="CW171" s="172">
        <f t="shared" si="376"/>
        <v>44.73343483631978</v>
      </c>
      <c r="CX171" s="172">
        <f t="shared" si="377"/>
        <v>16.399999999999999</v>
      </c>
      <c r="CY171" s="217">
        <f t="shared" si="378"/>
        <v>3.1917523809523809</v>
      </c>
      <c r="CZ171" s="217">
        <f t="shared" si="379"/>
        <v>3.8301028571428577</v>
      </c>
      <c r="DA171" s="217">
        <f t="shared" si="380"/>
        <v>2.2798231292517008</v>
      </c>
      <c r="DB171" s="197">
        <f t="shared" si="381"/>
        <v>350</v>
      </c>
      <c r="DC171" s="443">
        <f t="shared" si="382"/>
        <v>163.66810370973016</v>
      </c>
      <c r="DE171" s="217">
        <f t="shared" si="383"/>
        <v>1.4925373134328355</v>
      </c>
      <c r="DF171" s="173">
        <f t="shared" si="384"/>
        <v>1.0660980810234544</v>
      </c>
      <c r="DG171" s="173">
        <f t="shared" si="385"/>
        <v>0.27845845399866342</v>
      </c>
      <c r="DH171" s="173"/>
      <c r="DI171" s="173">
        <f t="shared" si="386"/>
        <v>0.95238095238095266</v>
      </c>
      <c r="DJ171" s="545">
        <f t="shared" si="387"/>
        <v>960.74999999999955</v>
      </c>
      <c r="DK171" s="528">
        <f t="shared" si="388"/>
        <v>0.22222222222222232</v>
      </c>
      <c r="DM171" s="173">
        <f t="shared" si="389"/>
        <v>2.2090722034374521</v>
      </c>
      <c r="DN171" s="173">
        <f t="shared" si="390"/>
        <v>3.1917523809523809</v>
      </c>
      <c r="DO171" s="173">
        <f t="shared" si="391"/>
        <v>2.5766067019400349</v>
      </c>
      <c r="DQ171" s="545">
        <f t="shared" si="392"/>
        <v>610</v>
      </c>
      <c r="DR171" s="460">
        <f t="shared" si="393"/>
        <v>163.66810370973016</v>
      </c>
      <c r="DT171">
        <f t="shared" si="430"/>
        <v>610</v>
      </c>
      <c r="DU171">
        <f t="shared" si="431"/>
        <v>163.66810370973016</v>
      </c>
      <c r="DW171" s="5">
        <f t="shared" si="394"/>
        <v>6.1099259863945585</v>
      </c>
      <c r="DX171" s="5">
        <f t="shared" si="395"/>
        <v>3.8301028571428577</v>
      </c>
      <c r="DY171" s="5">
        <f t="shared" si="396"/>
        <v>2.2798231292517008</v>
      </c>
      <c r="DZ171" s="5"/>
      <c r="EA171" s="173">
        <f t="shared" si="397"/>
        <v>0.62686567164179108</v>
      </c>
      <c r="EB171" s="173">
        <f t="shared" si="398"/>
        <v>10.004</v>
      </c>
      <c r="EC171" s="173">
        <f t="shared" si="399"/>
        <v>0.59547619047619038</v>
      </c>
      <c r="ED171" s="173">
        <f t="shared" si="400"/>
        <v>16.8</v>
      </c>
      <c r="EE171" s="460">
        <f t="shared" si="401"/>
        <v>14.24611428571429</v>
      </c>
      <c r="EF171" s="5">
        <f t="shared" si="402"/>
        <v>1.900612548752834</v>
      </c>
      <c r="EH171" s="173">
        <f t="shared" si="403"/>
        <v>1.4590017322139048</v>
      </c>
      <c r="EI171" s="173">
        <f t="shared" si="404"/>
        <v>1.1256442744055022</v>
      </c>
      <c r="EK171" s="528">
        <f t="shared" si="405"/>
        <v>4.2573721092063498E-2</v>
      </c>
      <c r="EL171" s="528">
        <f t="shared" si="406"/>
        <v>0.27999999999999992</v>
      </c>
      <c r="EM171" s="528">
        <f t="shared" si="407"/>
        <v>2.0458512963716268E-2</v>
      </c>
      <c r="EN171" s="528">
        <f t="shared" si="408"/>
        <v>1.1755297880847658E-2</v>
      </c>
      <c r="EO171">
        <f t="shared" si="409"/>
        <v>4.4999999999999997E-3</v>
      </c>
      <c r="EP171" s="460">
        <f t="shared" si="410"/>
        <v>24.95851296371627</v>
      </c>
      <c r="EQ171" s="460"/>
      <c r="ER171" s="460">
        <f t="shared" si="432"/>
        <v>359.28753193662732</v>
      </c>
      <c r="ES171" s="528">
        <f t="shared" si="411"/>
        <v>0.42699999999999999</v>
      </c>
      <c r="EV171" s="460">
        <f t="shared" si="494"/>
        <v>427</v>
      </c>
      <c r="EW171" s="528">
        <f t="shared" si="413"/>
        <v>6.3860581638095243E-2</v>
      </c>
      <c r="EX171" s="528">
        <f t="shared" si="414"/>
        <v>3.8012250975056686E-2</v>
      </c>
      <c r="EY171" s="528">
        <f t="shared" si="415"/>
        <v>0.31185528502698279</v>
      </c>
      <c r="EZ171" s="528"/>
      <c r="FA171" s="528">
        <f t="shared" si="416"/>
        <v>8.3366666666666658E-3</v>
      </c>
      <c r="FB171" s="460">
        <f t="shared" si="417"/>
        <v>422.06478430680141</v>
      </c>
      <c r="FC171" s="173">
        <f t="shared" si="418"/>
        <v>1.2083523162434289</v>
      </c>
      <c r="FD171" s="5">
        <f t="shared" si="419"/>
        <v>10.004</v>
      </c>
      <c r="FE171" s="173">
        <f t="shared" si="420"/>
        <v>0.89223025800813638</v>
      </c>
      <c r="FF171" s="5">
        <f t="shared" si="421"/>
        <v>89.223025800813645</v>
      </c>
      <c r="FI171" s="562">
        <f t="shared" si="422"/>
        <v>-50</v>
      </c>
      <c r="FJ171">
        <f t="shared" si="423"/>
        <v>-50</v>
      </c>
      <c r="FL171">
        <f t="shared" si="476"/>
        <v>0.37313432835820892</v>
      </c>
    </row>
    <row r="172" spans="5:168">
      <c r="E172" s="170">
        <v>62</v>
      </c>
      <c r="F172" s="217">
        <f t="shared" si="477"/>
        <v>0.62</v>
      </c>
      <c r="G172" s="217"/>
      <c r="H172" s="217">
        <f t="shared" si="442"/>
        <v>10.167999999999999</v>
      </c>
      <c r="I172" s="541">
        <f t="shared" si="443"/>
        <v>9.9150877818517866</v>
      </c>
      <c r="J172" s="172">
        <f t="shared" si="444"/>
        <v>16.850947330888925</v>
      </c>
      <c r="K172" s="172">
        <f t="shared" si="445"/>
        <v>26.76603511274071</v>
      </c>
      <c r="L172" s="443"/>
      <c r="M172" s="217">
        <f t="shared" si="446"/>
        <v>0.62954935282995139</v>
      </c>
      <c r="N172" s="172">
        <f t="shared" si="447"/>
        <v>20.884815784760466</v>
      </c>
      <c r="O172" s="172">
        <f t="shared" si="438"/>
        <v>10.167999999999999</v>
      </c>
      <c r="P172" s="217">
        <f t="shared" si="448"/>
        <v>1.2734643771195406</v>
      </c>
      <c r="Q172" s="217">
        <f t="shared" si="449"/>
        <v>16.399999999999999</v>
      </c>
      <c r="R172" s="217"/>
      <c r="S172" s="172">
        <f t="shared" si="450"/>
        <v>43.482214877086911</v>
      </c>
      <c r="T172" s="172">
        <f t="shared" si="451"/>
        <v>16.399999999999999</v>
      </c>
      <c r="U172" s="217">
        <f t="shared" si="452"/>
        <v>3.3472744870946336</v>
      </c>
      <c r="V172" s="217">
        <f t="shared" si="453"/>
        <v>4.0511284144812461</v>
      </c>
      <c r="W172" s="217">
        <f t="shared" si="454"/>
        <v>2.3836816445035254</v>
      </c>
      <c r="X172" s="197">
        <f t="shared" si="455"/>
        <v>350</v>
      </c>
      <c r="Y172" s="443">
        <f t="shared" si="328"/>
        <v>150.72021521487466</v>
      </c>
      <c r="AA172" s="217">
        <f t="shared" si="456"/>
        <v>1.4862352274633917</v>
      </c>
      <c r="AB172" s="173">
        <f t="shared" si="457"/>
        <v>1.0583869487781417</v>
      </c>
      <c r="AC172" s="173">
        <f t="shared" si="458"/>
        <v>0.27527709432327413</v>
      </c>
      <c r="AD172" s="173"/>
      <c r="AE172" s="173">
        <f t="shared" si="459"/>
        <v>0.94950151382117975</v>
      </c>
      <c r="AF172" s="545">
        <f t="shared" si="460"/>
        <v>979.46131360791844</v>
      </c>
      <c r="AG172" s="528">
        <f t="shared" si="461"/>
        <v>0.22155035322494199</v>
      </c>
      <c r="AI172" s="173">
        <f t="shared" si="462"/>
        <v>2.2304801261004568</v>
      </c>
      <c r="AJ172" s="173">
        <f t="shared" si="463"/>
        <v>3.3472744870946336</v>
      </c>
      <c r="AK172" s="173">
        <f t="shared" si="464"/>
        <v>2.6918082620454076</v>
      </c>
      <c r="AM172" s="545">
        <f t="shared" si="465"/>
        <v>620</v>
      </c>
      <c r="AN172" s="460">
        <f t="shared" si="466"/>
        <v>150.72021521487466</v>
      </c>
      <c r="AP172">
        <f t="shared" si="467"/>
        <v>620</v>
      </c>
      <c r="AQ172">
        <f t="shared" si="468"/>
        <v>150.72021521487466</v>
      </c>
      <c r="AS172" s="5">
        <f t="shared" si="439"/>
        <v>6.6348100589847716</v>
      </c>
      <c r="AT172" s="5">
        <f t="shared" si="469"/>
        <v>4.0511284144812461</v>
      </c>
      <c r="AU172" s="5">
        <f t="shared" si="478"/>
        <v>2.5836816445035256</v>
      </c>
      <c r="AV172" s="5"/>
      <c r="AW172" s="173">
        <f t="shared" si="479"/>
        <v>0.61058694649370737</v>
      </c>
      <c r="AX172" s="173">
        <f t="shared" si="435"/>
        <v>10.132238655527448</v>
      </c>
      <c r="AY172" s="173">
        <f t="shared" si="436"/>
        <v>0.65173618947161538</v>
      </c>
      <c r="AZ172" s="173">
        <f t="shared" si="440"/>
        <v>15.546533734365738</v>
      </c>
      <c r="BA172" s="460">
        <f t="shared" si="433"/>
        <v>15.315241566941298</v>
      </c>
      <c r="BB172" s="5">
        <f t="shared" si="434"/>
        <v>2.2079880968037662</v>
      </c>
      <c r="BD172" s="173">
        <f t="shared" si="441"/>
        <v>1.5100956540658186</v>
      </c>
      <c r="BE172" s="173">
        <f t="shared" si="437"/>
        <v>1.205968468171152</v>
      </c>
      <c r="BG172" s="528">
        <f t="shared" si="480"/>
        <v>4.5607777688569454E-2</v>
      </c>
      <c r="BH172" s="528">
        <f t="shared" si="470"/>
        <v>0.25319093253156727</v>
      </c>
      <c r="BI172" s="528">
        <f t="shared" si="471"/>
        <v>3.7360104108876885E-2</v>
      </c>
      <c r="BJ172" s="528">
        <f t="shared" si="481"/>
        <v>1.0797907239052025E-2</v>
      </c>
      <c r="BK172">
        <f t="shared" si="482"/>
        <v>4.4617895018333039E-3</v>
      </c>
      <c r="BL172" s="460">
        <f t="shared" si="427"/>
        <v>41.821893610710191</v>
      </c>
      <c r="BM172" s="528">
        <f t="shared" si="472"/>
        <v>0.32543728866660976</v>
      </c>
      <c r="BN172" s="460">
        <f t="shared" si="353"/>
        <v>325.43728866660973</v>
      </c>
      <c r="BO172" s="528">
        <f t="shared" si="483"/>
        <v>0.434</v>
      </c>
      <c r="BR172" s="460">
        <f t="shared" si="484"/>
        <v>434</v>
      </c>
      <c r="BS172" s="528">
        <f t="shared" si="485"/>
        <v>6.8411666532854173E-2</v>
      </c>
      <c r="BT172" s="528">
        <f t="shared" si="486"/>
        <v>4.3630798386692239E-2</v>
      </c>
      <c r="BU172" s="528">
        <f t="shared" si="487"/>
        <v>0.28584268761808101</v>
      </c>
      <c r="BV172" s="528"/>
      <c r="BW172" s="528">
        <f t="shared" si="488"/>
        <v>8.4435322129395394E-3</v>
      </c>
      <c r="BX172" s="460">
        <f t="shared" si="489"/>
        <v>406.32868475056699</v>
      </c>
      <c r="BY172" s="173">
        <f t="shared" si="490"/>
        <v>1.191747195820466</v>
      </c>
      <c r="BZ172" s="5">
        <f t="shared" si="491"/>
        <v>10.167999999999999</v>
      </c>
      <c r="CA172" s="173">
        <f t="shared" si="492"/>
        <v>0.89509034177636115</v>
      </c>
      <c r="CB172" s="5">
        <f t="shared" si="493"/>
        <v>89.50903417763611</v>
      </c>
      <c r="CE172" s="562">
        <f t="shared" si="473"/>
        <v>-50</v>
      </c>
      <c r="CF172">
        <f t="shared" si="474"/>
        <v>-50</v>
      </c>
      <c r="CG172" s="173">
        <f t="shared" si="475"/>
        <v>0.36508291357893996</v>
      </c>
      <c r="CI172" s="170">
        <v>62</v>
      </c>
      <c r="CJ172" s="217">
        <f t="shared" si="428"/>
        <v>0.62</v>
      </c>
      <c r="CK172" s="217"/>
      <c r="CL172" s="217">
        <f t="shared" si="368"/>
        <v>10.167999999999999</v>
      </c>
      <c r="CM172" s="541">
        <f t="shared" si="369"/>
        <v>10</v>
      </c>
      <c r="CN172" s="443">
        <f t="shared" si="370"/>
        <v>16.799999999999997</v>
      </c>
      <c r="CO172" s="443">
        <f t="shared" si="371"/>
        <v>26.799999999999997</v>
      </c>
      <c r="CP172" s="443"/>
      <c r="CQ172" s="217">
        <f t="shared" si="372"/>
        <v>0.62686567164179097</v>
      </c>
      <c r="CR172" s="172">
        <f t="shared" si="429"/>
        <v>20.973880597014926</v>
      </c>
      <c r="CS172" s="172">
        <f t="shared" si="373"/>
        <v>10.167999999999999</v>
      </c>
      <c r="CT172" s="217">
        <f t="shared" si="374"/>
        <v>1.2788951583545687</v>
      </c>
      <c r="CU172" s="217">
        <f t="shared" si="375"/>
        <v>16.399999999999999</v>
      </c>
      <c r="CV172" s="217"/>
      <c r="CW172" s="172">
        <f t="shared" si="376"/>
        <v>43.853828520080121</v>
      </c>
      <c r="CX172" s="172">
        <f t="shared" si="377"/>
        <v>16.399999999999999</v>
      </c>
      <c r="CY172" s="217">
        <f t="shared" si="378"/>
        <v>3.2440761904761906</v>
      </c>
      <c r="CZ172" s="217">
        <f t="shared" si="379"/>
        <v>3.8928914285714291</v>
      </c>
      <c r="DA172" s="217">
        <f t="shared" si="380"/>
        <v>2.3171972789115651</v>
      </c>
      <c r="DB172" s="197">
        <f t="shared" si="381"/>
        <v>350</v>
      </c>
      <c r="DC172" s="443">
        <f t="shared" si="382"/>
        <v>161.02829558537968</v>
      </c>
      <c r="DE172" s="217">
        <f t="shared" si="383"/>
        <v>1.4925373134328355</v>
      </c>
      <c r="DF172" s="173">
        <f t="shared" si="384"/>
        <v>1.0660980810234544</v>
      </c>
      <c r="DG172" s="173">
        <f t="shared" si="385"/>
        <v>0.27845845399866342</v>
      </c>
      <c r="DH172" s="173"/>
      <c r="DI172" s="173">
        <f t="shared" si="386"/>
        <v>0.95238095238095266</v>
      </c>
      <c r="DJ172" s="545">
        <f t="shared" si="387"/>
        <v>976.49999999999966</v>
      </c>
      <c r="DK172" s="528">
        <f t="shared" si="388"/>
        <v>0.22222222222222232</v>
      </c>
      <c r="DM172" s="173">
        <f t="shared" si="389"/>
        <v>2.2271057451320084</v>
      </c>
      <c r="DN172" s="173">
        <f t="shared" si="390"/>
        <v>3.2440761904761906</v>
      </c>
      <c r="DO172" s="173">
        <f t="shared" si="391"/>
        <v>2.6153650793650796</v>
      </c>
      <c r="DQ172" s="545">
        <f t="shared" si="392"/>
        <v>620</v>
      </c>
      <c r="DR172" s="460">
        <f t="shared" si="393"/>
        <v>161.02829558537968</v>
      </c>
      <c r="DT172">
        <f t="shared" si="430"/>
        <v>620</v>
      </c>
      <c r="DU172">
        <f t="shared" si="431"/>
        <v>161.02829558537968</v>
      </c>
      <c r="DW172" s="5">
        <f t="shared" si="394"/>
        <v>6.2100887074829938</v>
      </c>
      <c r="DX172" s="5">
        <f t="shared" si="395"/>
        <v>3.8928914285714291</v>
      </c>
      <c r="DY172" s="5">
        <f t="shared" si="396"/>
        <v>2.3171972789115647</v>
      </c>
      <c r="DZ172" s="5"/>
      <c r="EA172" s="173">
        <f t="shared" si="397"/>
        <v>0.62686567164179108</v>
      </c>
      <c r="EB172" s="173">
        <f t="shared" si="398"/>
        <v>10.167999999999999</v>
      </c>
      <c r="EC172" s="173">
        <f t="shared" si="399"/>
        <v>0.60523809523809524</v>
      </c>
      <c r="ED172" s="173">
        <f t="shared" si="400"/>
        <v>16.799999999999997</v>
      </c>
      <c r="EE172" s="460">
        <f t="shared" si="401"/>
        <v>14.717028571428576</v>
      </c>
      <c r="EF172" s="5">
        <f t="shared" si="402"/>
        <v>1.9634384943310654</v>
      </c>
      <c r="EH172" s="173">
        <f t="shared" si="403"/>
        <v>1.4829197933977394</v>
      </c>
      <c r="EI172" s="173">
        <f t="shared" si="404"/>
        <v>1.1440974592318218</v>
      </c>
      <c r="EK172" s="528">
        <f t="shared" si="405"/>
        <v>4.3981022273015882E-2</v>
      </c>
      <c r="EL172" s="528">
        <f t="shared" si="406"/>
        <v>0.27999999999999992</v>
      </c>
      <c r="EM172" s="528">
        <f t="shared" si="407"/>
        <v>2.012853694817246E-2</v>
      </c>
      <c r="EN172" s="528">
        <f t="shared" si="408"/>
        <v>1.156569630212431E-2</v>
      </c>
      <c r="EO172">
        <f t="shared" si="409"/>
        <v>4.4999999999999997E-3</v>
      </c>
      <c r="EP172" s="460">
        <f t="shared" si="410"/>
        <v>24.62853694817246</v>
      </c>
      <c r="EQ172" s="460"/>
      <c r="ER172" s="460">
        <f t="shared" si="432"/>
        <v>360.17525552331256</v>
      </c>
      <c r="ES172" s="528">
        <f t="shared" si="411"/>
        <v>0.434</v>
      </c>
      <c r="EV172" s="460">
        <f t="shared" si="494"/>
        <v>434</v>
      </c>
      <c r="EW172" s="528">
        <f t="shared" si="413"/>
        <v>6.5971533409523817E-2</v>
      </c>
      <c r="EX172" s="528">
        <f t="shared" si="414"/>
        <v>3.9268769886621306E-2</v>
      </c>
      <c r="EY172" s="528">
        <f t="shared" si="415"/>
        <v>0.3118552850269834</v>
      </c>
      <c r="EZ172" s="528"/>
      <c r="FA172" s="528">
        <f t="shared" si="416"/>
        <v>8.4733333333333327E-3</v>
      </c>
      <c r="FB172" s="460">
        <f t="shared" si="417"/>
        <v>425.5689216564619</v>
      </c>
      <c r="FC172" s="173">
        <f t="shared" si="418"/>
        <v>1.2197441771797743</v>
      </c>
      <c r="FD172" s="5">
        <f t="shared" si="419"/>
        <v>10.167999999999999</v>
      </c>
      <c r="FE172" s="173">
        <f t="shared" si="420"/>
        <v>0.89288974548409217</v>
      </c>
      <c r="FF172" s="5">
        <f t="shared" si="421"/>
        <v>89.288974548409215</v>
      </c>
      <c r="FI172" s="562">
        <f t="shared" si="422"/>
        <v>-50</v>
      </c>
      <c r="FJ172">
        <f t="shared" si="423"/>
        <v>-50</v>
      </c>
      <c r="FL172">
        <f t="shared" si="476"/>
        <v>0.37313432835820892</v>
      </c>
    </row>
    <row r="173" spans="5:168">
      <c r="E173" s="170">
        <v>63</v>
      </c>
      <c r="F173" s="217">
        <f t="shared" si="477"/>
        <v>0.63</v>
      </c>
      <c r="G173" s="217"/>
      <c r="H173" s="217">
        <f t="shared" si="442"/>
        <v>10.331999999999999</v>
      </c>
      <c r="I173" s="541">
        <f t="shared" si="443"/>
        <v>9.9137484230101656</v>
      </c>
      <c r="J173" s="172">
        <f t="shared" si="444"/>
        <v>16.851750946193899</v>
      </c>
      <c r="K173" s="172">
        <f t="shared" si="445"/>
        <v>26.765499369204065</v>
      </c>
      <c r="L173" s="443"/>
      <c r="M173" s="217">
        <f t="shared" si="446"/>
        <v>0.62959198538641592</v>
      </c>
      <c r="N173" s="172">
        <f t="shared" si="447"/>
        <v>20.883408714451374</v>
      </c>
      <c r="O173" s="172">
        <f t="shared" si="438"/>
        <v>10.331999999999999</v>
      </c>
      <c r="P173" s="217">
        <f>N173/Vout</f>
        <v>1.2733785801494741</v>
      </c>
      <c r="Q173" s="217">
        <f t="shared" si="449"/>
        <v>16.399999999999999</v>
      </c>
      <c r="R173" s="217"/>
      <c r="S173" s="172">
        <f t="shared" si="450"/>
        <v>42.632099061772749</v>
      </c>
      <c r="T173" s="172">
        <f t="shared" si="451"/>
        <v>16.399999999999999</v>
      </c>
      <c r="U173" s="217">
        <f t="shared" si="452"/>
        <v>3.4016542577094424</v>
      </c>
      <c r="V173" s="217">
        <f t="shared" si="453"/>
        <v>4.1174991890826043</v>
      </c>
      <c r="W173" s="217">
        <f t="shared" si="454"/>
        <v>2.422291382233654</v>
      </c>
      <c r="X173" s="197">
        <f t="shared" si="455"/>
        <v>350</v>
      </c>
      <c r="Y173" s="443">
        <f t="shared" si="328"/>
        <v>148.37256282945648</v>
      </c>
      <c r="AA173" s="217">
        <f t="shared" si="456"/>
        <v>1.4861350770943695</v>
      </c>
      <c r="AB173" s="173">
        <f t="shared" si="457"/>
        <v>1.0582651608176239</v>
      </c>
      <c r="AC173" s="173">
        <f t="shared" si="458"/>
        <v>0.27522687086264741</v>
      </c>
      <c r="AD173" s="173"/>
      <c r="AE173" s="173">
        <f t="shared" si="459"/>
        <v>0.9494562346124471</v>
      </c>
      <c r="AF173" s="545">
        <f t="shared" si="460"/>
        <v>995.30654025957699</v>
      </c>
      <c r="AG173" s="528">
        <f t="shared" si="461"/>
        <v>0.2215397880762377</v>
      </c>
      <c r="AI173" s="173">
        <f t="shared" si="462"/>
        <v>2.2484495288660962</v>
      </c>
      <c r="AJ173" s="173">
        <f t="shared" si="463"/>
        <v>3.4016542577094424</v>
      </c>
      <c r="AK173" s="173">
        <f t="shared" si="464"/>
        <v>2.7320895736119324</v>
      </c>
      <c r="AM173" s="545">
        <f t="shared" si="465"/>
        <v>630</v>
      </c>
      <c r="AN173" s="460">
        <f t="shared" si="466"/>
        <v>148.37256282945648</v>
      </c>
      <c r="AP173">
        <f t="shared" si="467"/>
        <v>630</v>
      </c>
      <c r="AQ173">
        <f t="shared" si="468"/>
        <v>148.37256282945648</v>
      </c>
      <c r="AS173" s="5">
        <f t="shared" si="439"/>
        <v>6.7397905713162585</v>
      </c>
      <c r="AT173" s="5">
        <f t="shared" si="469"/>
        <v>4.1174991890826043</v>
      </c>
      <c r="AU173" s="5">
        <f t="shared" si="478"/>
        <v>2.6222913822336542</v>
      </c>
      <c r="AV173" s="5"/>
      <c r="AW173" s="173">
        <f t="shared" si="479"/>
        <v>0.61092390713239486</v>
      </c>
      <c r="AX173" s="173">
        <f t="shared" si="435"/>
        <v>10.301137609443213</v>
      </c>
      <c r="AY173" s="173">
        <f t="shared" si="436"/>
        <v>0.66175117393802174</v>
      </c>
      <c r="AZ173" s="173">
        <f t="shared" si="440"/>
        <v>15.566481806359434</v>
      </c>
      <c r="BA173" s="460">
        <f t="shared" si="433"/>
        <v>15.817222494646593</v>
      </c>
      <c r="BB173" s="5">
        <f t="shared" si="434"/>
        <v>2.2774361258378897</v>
      </c>
      <c r="BD173" s="173">
        <f t="shared" si="441"/>
        <v>1.5350520395360967</v>
      </c>
      <c r="BE173" s="173">
        <f t="shared" si="437"/>
        <v>1.2250302576863135</v>
      </c>
      <c r="BG173" s="528">
        <f t="shared" si="480"/>
        <v>4.7127695281678601E-2</v>
      </c>
      <c r="BH173" s="528">
        <f t="shared" si="470"/>
        <v>0.25329136879023761</v>
      </c>
      <c r="BI173" s="528">
        <f t="shared" si="471"/>
        <v>3.677320651921253E-2</v>
      </c>
      <c r="BJ173" s="528">
        <f t="shared" si="481"/>
        <v>1.0629291057377087E-2</v>
      </c>
      <c r="BK173">
        <f t="shared" si="482"/>
        <v>4.4611867903545741E-3</v>
      </c>
      <c r="BL173" s="460">
        <f t="shared" si="427"/>
        <v>41.234393309567103</v>
      </c>
      <c r="BM173" s="528">
        <f t="shared" si="472"/>
        <v>0.3274393481848446</v>
      </c>
      <c r="BN173" s="460">
        <f t="shared" si="353"/>
        <v>327.43934818484462</v>
      </c>
      <c r="BO173" s="528">
        <f t="shared" si="483"/>
        <v>0.44099999999999995</v>
      </c>
      <c r="BR173" s="460">
        <f t="shared" si="484"/>
        <v>440.99999999999994</v>
      </c>
      <c r="BS173" s="528">
        <f t="shared" si="485"/>
        <v>7.0691542922517905E-2</v>
      </c>
      <c r="BT173" s="528">
        <f t="shared" si="486"/>
        <v>4.5020973967409866E-2</v>
      </c>
      <c r="BU173" s="528">
        <f t="shared" si="487"/>
        <v>0.28614056162032914</v>
      </c>
      <c r="BV173" s="528"/>
      <c r="BW173" s="528">
        <f t="shared" si="488"/>
        <v>8.5842813412026781E-3</v>
      </c>
      <c r="BX173" s="460">
        <f t="shared" si="489"/>
        <v>410.43735985145963</v>
      </c>
      <c r="BY173" s="173">
        <f t="shared" si="490"/>
        <v>1.2037201082903199</v>
      </c>
      <c r="BZ173" s="5">
        <f t="shared" si="491"/>
        <v>10.331999999999999</v>
      </c>
      <c r="CA173" s="173">
        <f t="shared" si="492"/>
        <v>0.89565279869912517</v>
      </c>
      <c r="CB173" s="5">
        <f t="shared" si="493"/>
        <v>89.565279869912516</v>
      </c>
      <c r="CE173" s="562">
        <f t="shared" si="473"/>
        <v>-50</v>
      </c>
      <c r="CF173">
        <f t="shared" si="474"/>
        <v>-50</v>
      </c>
      <c r="CG173" s="173">
        <f t="shared" si="475"/>
        <v>0.36521071381353148</v>
      </c>
      <c r="CI173" s="170">
        <v>63</v>
      </c>
      <c r="CJ173" s="217">
        <f t="shared" si="428"/>
        <v>0.63</v>
      </c>
      <c r="CK173" s="217"/>
      <c r="CL173" s="217">
        <f t="shared" si="368"/>
        <v>10.331999999999999</v>
      </c>
      <c r="CM173" s="541">
        <f t="shared" si="369"/>
        <v>10</v>
      </c>
      <c r="CN173" s="443">
        <f t="shared" si="370"/>
        <v>16.799999999999997</v>
      </c>
      <c r="CO173" s="443">
        <f t="shared" si="371"/>
        <v>26.799999999999997</v>
      </c>
      <c r="CP173" s="443"/>
      <c r="CQ173" s="217">
        <f t="shared" si="372"/>
        <v>0.62686567164179097</v>
      </c>
      <c r="CR173" s="172">
        <f t="shared" si="429"/>
        <v>20.973880597014926</v>
      </c>
      <c r="CS173" s="172">
        <f t="shared" si="373"/>
        <v>10.331999999999999</v>
      </c>
      <c r="CT173" s="217">
        <f t="shared" si="374"/>
        <v>1.2788951583545687</v>
      </c>
      <c r="CU173" s="217">
        <f t="shared" si="375"/>
        <v>16.399999999999999</v>
      </c>
      <c r="CV173" s="217"/>
      <c r="CW173" s="172">
        <f t="shared" si="376"/>
        <v>43.002214106948159</v>
      </c>
      <c r="CX173" s="172">
        <f t="shared" si="377"/>
        <v>16.399999999999999</v>
      </c>
      <c r="CY173" s="217">
        <f t="shared" si="378"/>
        <v>3.2963999999999998</v>
      </c>
      <c r="CZ173" s="217">
        <f t="shared" si="379"/>
        <v>3.9556800000000005</v>
      </c>
      <c r="DA173" s="217">
        <f t="shared" si="380"/>
        <v>2.354571428571429</v>
      </c>
      <c r="DB173" s="197">
        <f t="shared" si="381"/>
        <v>350</v>
      </c>
      <c r="DC173" s="443">
        <f t="shared" si="382"/>
        <v>158.47229089354826</v>
      </c>
      <c r="DE173" s="217">
        <f t="shared" si="383"/>
        <v>1.4925373134328355</v>
      </c>
      <c r="DF173" s="173">
        <f t="shared" si="384"/>
        <v>1.0660980810234544</v>
      </c>
      <c r="DG173" s="173">
        <f t="shared" si="385"/>
        <v>0.27845845399866342</v>
      </c>
      <c r="DH173" s="173"/>
      <c r="DI173" s="173">
        <f t="shared" si="386"/>
        <v>0.95238095238095266</v>
      </c>
      <c r="DJ173" s="545">
        <f t="shared" si="387"/>
        <v>992.24999999999966</v>
      </c>
      <c r="DK173" s="528">
        <f t="shared" si="388"/>
        <v>0.22222222222222232</v>
      </c>
      <c r="DM173" s="173">
        <f t="shared" si="389"/>
        <v>2.2449944320643644</v>
      </c>
      <c r="DN173" s="173">
        <f t="shared" si="390"/>
        <v>3.2963999999999998</v>
      </c>
      <c r="DO173" s="173">
        <f t="shared" si="391"/>
        <v>2.6541234567901233</v>
      </c>
      <c r="DQ173" s="545">
        <f t="shared" si="392"/>
        <v>630</v>
      </c>
      <c r="DR173" s="460">
        <f t="shared" si="393"/>
        <v>158.47229089354826</v>
      </c>
      <c r="DT173">
        <f t="shared" si="430"/>
        <v>630</v>
      </c>
      <c r="DU173">
        <f t="shared" si="431"/>
        <v>158.47229089354826</v>
      </c>
      <c r="DW173" s="5">
        <f t="shared" si="394"/>
        <v>6.3102514285714291</v>
      </c>
      <c r="DX173" s="5">
        <f t="shared" si="395"/>
        <v>3.9556800000000005</v>
      </c>
      <c r="DY173" s="5">
        <f t="shared" si="396"/>
        <v>2.3545714285714285</v>
      </c>
      <c r="DZ173" s="5"/>
      <c r="EA173" s="173">
        <f t="shared" si="397"/>
        <v>0.62686567164179108</v>
      </c>
      <c r="EB173" s="173">
        <f t="shared" si="398"/>
        <v>10.331999999999999</v>
      </c>
      <c r="EC173" s="173">
        <f t="shared" si="399"/>
        <v>0.61499999999999988</v>
      </c>
      <c r="ED173" s="173">
        <f t="shared" si="400"/>
        <v>16.8</v>
      </c>
      <c r="EE173" s="460">
        <f t="shared" si="401"/>
        <v>15.195600000000006</v>
      </c>
      <c r="EF173" s="5">
        <f t="shared" si="402"/>
        <v>2.0272859999999993</v>
      </c>
      <c r="EH173" s="173">
        <f t="shared" si="403"/>
        <v>1.5068378545815737</v>
      </c>
      <c r="EI173" s="173">
        <f t="shared" si="404"/>
        <v>1.1625506440581415</v>
      </c>
      <c r="EK173" s="528">
        <f t="shared" si="405"/>
        <v>4.5411206400000001E-2</v>
      </c>
      <c r="EL173" s="528">
        <f t="shared" si="406"/>
        <v>0.27999999999999992</v>
      </c>
      <c r="EM173" s="528">
        <f t="shared" si="407"/>
        <v>1.9809036361693531E-2</v>
      </c>
      <c r="EN173" s="528">
        <f t="shared" si="408"/>
        <v>1.1382113821138209E-2</v>
      </c>
      <c r="EO173">
        <f t="shared" si="409"/>
        <v>4.4999999999999997E-3</v>
      </c>
      <c r="EP173" s="460">
        <f t="shared" si="410"/>
        <v>24.309036361693533</v>
      </c>
      <c r="EQ173" s="460"/>
      <c r="ER173" s="460">
        <f t="shared" si="432"/>
        <v>361.10235658283165</v>
      </c>
      <c r="ES173" s="528">
        <f t="shared" si="411"/>
        <v>0.44099999999999995</v>
      </c>
      <c r="EV173" s="460">
        <f t="shared" si="494"/>
        <v>440.99999999999994</v>
      </c>
      <c r="EW173" s="528">
        <f t="shared" si="413"/>
        <v>6.8116809599999995E-2</v>
      </c>
      <c r="EX173" s="528">
        <f t="shared" si="414"/>
        <v>4.0545719999999986E-2</v>
      </c>
      <c r="EY173" s="528">
        <f t="shared" si="415"/>
        <v>0.3118552850269834</v>
      </c>
      <c r="EZ173" s="528"/>
      <c r="FA173" s="528">
        <f t="shared" si="416"/>
        <v>8.6099999999999996E-3</v>
      </c>
      <c r="FB173" s="460">
        <f t="shared" si="417"/>
        <v>429.12781462698337</v>
      </c>
      <c r="FC173" s="173">
        <f t="shared" si="418"/>
        <v>1.231230171209815</v>
      </c>
      <c r="FD173" s="5">
        <f t="shared" si="419"/>
        <v>10.331999999999999</v>
      </c>
      <c r="FE173" s="173">
        <f t="shared" si="420"/>
        <v>0.89352195251848077</v>
      </c>
      <c r="FF173" s="5">
        <f t="shared" si="421"/>
        <v>89.352195251848073</v>
      </c>
      <c r="FI173" s="562">
        <f t="shared" si="422"/>
        <v>-50</v>
      </c>
      <c r="FJ173">
        <f t="shared" si="423"/>
        <v>-50</v>
      </c>
      <c r="FL173">
        <f t="shared" si="476"/>
        <v>0.37313432835820892</v>
      </c>
    </row>
    <row r="174" spans="5:168">
      <c r="E174" s="170">
        <v>64</v>
      </c>
      <c r="F174" s="217">
        <f t="shared" si="477"/>
        <v>0.64</v>
      </c>
      <c r="G174" s="217"/>
      <c r="H174" s="217">
        <f t="shared" ref="H174:H205" si="495">F174*Vout</f>
        <v>10.495999999999999</v>
      </c>
      <c r="I174" s="541">
        <f t="shared" ref="I174:I210" si="496">VIN_min-F174*(Rdcr_pri+RON/1000)/CG174/Nps</f>
        <v>9.912409043704578</v>
      </c>
      <c r="J174" s="172">
        <f t="shared" ref="J174:J210" si="497">(T174+Vfwd1+F174/CG174*Rdcr_sec)*Nps</f>
        <v>16.852554573777251</v>
      </c>
      <c r="K174" s="172">
        <f t="shared" ref="K174:K210" si="498">(Vout+Vfwd1+F174/CG174*Rdcr_sec)*Nps++I174</f>
        <v>26.764963617481829</v>
      </c>
      <c r="L174" s="443"/>
      <c r="M174" s="217">
        <f t="shared" ref="M174:M209" si="499">(Vout+Vfwd1+F174/FL174*Rdcr_sec)*Nps/((Vout+Vfwd1+F174/FL174*Rdcr_sec)*Nps+I174)</f>
        <v>0.62963462012986859</v>
      </c>
      <c r="N174" s="172">
        <f t="shared" ref="N174:N205" si="500">M174*I174*(Isw_max+VIN_min/Lmag*ILIM_delay)*0.5*Efficiency</f>
        <v>20.882001291467748</v>
      </c>
      <c r="O174" s="172">
        <f t="shared" si="438"/>
        <v>10.495999999999999</v>
      </c>
      <c r="P174" s="217">
        <f t="shared" ref="P174:P205" si="501">N174/Vout</f>
        <v>1.2732927616748628</v>
      </c>
      <c r="Q174" s="217">
        <f t="shared" ref="Q174:Q210" si="502">MIN(Vout,N174/F174)</f>
        <v>16.399999999999999</v>
      </c>
      <c r="R174" s="217"/>
      <c r="S174" s="172">
        <f t="shared" ref="S174:S210" si="503">(SQRT(Isw_max^2*Nps^2*I174^2+4*Isw_max*F174/Efficiency*(Nps^2*Vfwd1*I174-Nps*I174^2)+4*(F174/Efficiency)^2*Nps^2*Vfwd1^2+8*(F174/Efficiency)^2*Nps*Vfwd1*I174+4*(F174/Efficiency)^2*I174^2)-2*F174/Efficiency*I174-2*F174/Efficiency*Nps*Vfwd1+Isw_max*Nps*I174)/(4*F174/Efficiency*Nps)</f>
        <v>41.808658602033212</v>
      </c>
      <c r="T174" s="172">
        <f t="shared" ref="T174:T205" si="504">MIN(Vout, S174)</f>
        <v>16.399999999999999</v>
      </c>
      <c r="U174" s="217">
        <f t="shared" ref="U174:U209" si="505">MIN(2*(Vout+Vfwd1+F174/FL174*Rdcr_sec)*F174/(I174*M174), Isw_max)</f>
        <v>3.4560465679833019</v>
      </c>
      <c r="V174" s="217">
        <f t="shared" ref="V174:V205" si="506">L*U174/I174*1000000</f>
        <v>4.1839030888398474</v>
      </c>
      <c r="W174" s="217">
        <f t="shared" ref="W174:W210" si="507">L*U174/J174*1000000</f>
        <v>2.460906364921752</v>
      </c>
      <c r="X174" s="197">
        <f t="shared" ref="X174:X210" si="508">IF(1/((350000*L)*(1/I174+1/J174))&gt;Isw_min, 350, 0.001/((Isw_min*L)*(1/I174+1/J174)))</f>
        <v>350</v>
      </c>
      <c r="Y174" s="443">
        <f t="shared" ref="Y174:Y209" si="509">MIN(1/(V174+W174+0.2)*1000, 350)</f>
        <v>146.0961049033213</v>
      </c>
      <c r="AA174" s="217">
        <f t="shared" ref="AA174:AA210" si="510">1/((X174*1000*L)*(1/I174+1/J174))</f>
        <v>1.4860349020357095</v>
      </c>
      <c r="AB174" s="173">
        <f t="shared" ref="AB174:AB205" si="511">L*AA174/J174*1000000</f>
        <v>1.0581433661206441</v>
      </c>
      <c r="AC174" s="173">
        <f t="shared" ref="AC174:AC205" si="512">0.5*AB174*AA174*Nps*X174/1000</f>
        <v>0.27517664534724479</v>
      </c>
      <c r="AD174" s="173"/>
      <c r="AE174" s="173">
        <f t="shared" ref="AE174:AE210" si="513">L*Isw_min/J174*1000000</f>
        <v>0.94941095903028072</v>
      </c>
      <c r="AF174" s="545">
        <f t="shared" ref="AF174:AF205" si="514">MAX(12000,F174/(0.5*AE174/1000000*Isw_min*Nps))/1000</f>
        <v>1011.1532744266347</v>
      </c>
      <c r="AG174" s="528">
        <f t="shared" ref="AG174:AG210" si="515">0.5*AE174/1000000*Isw_min*Nps*X174*1000</f>
        <v>0.22152922377373219</v>
      </c>
      <c r="AI174" s="173">
        <f t="shared" ref="AI174:AI210" si="516">SQRT(F174/(0.5*L/J174*Fsw_DCM*Nps))</f>
        <v>2.2662781453317473</v>
      </c>
      <c r="AJ174" s="173">
        <f t="shared" ref="AJ174:AJ205" si="517">MAX(IF(F174&gt;AC174,U174,AI174),Isw_min)</f>
        <v>3.4560465679833019</v>
      </c>
      <c r="AK174" s="173">
        <f t="shared" ref="AK174:AK205" si="518">IF(F174&gt;AG174, (AJ174-Isw_min)/1.08*0.8+1.2, AF174*0.2/350+1)</f>
        <v>2.7723801738147911</v>
      </c>
      <c r="AM174" s="545">
        <f t="shared" ref="AM174:AM210" si="519">F174*1000</f>
        <v>640</v>
      </c>
      <c r="AN174" s="460">
        <f t="shared" ref="AN174:AN210" si="520">IF(F174&gt;AG174, Y174, AF174)</f>
        <v>146.0961049033213</v>
      </c>
      <c r="AP174">
        <f t="shared" ref="AP174:AP210" si="521">IF(H174&gt;N174, "",AM174)</f>
        <v>640</v>
      </c>
      <c r="AQ174">
        <f t="shared" ref="AQ174:AQ210" si="522">IF(H174&gt;N174, "",AN174)</f>
        <v>146.0961049033213</v>
      </c>
      <c r="AS174" s="5">
        <f t="shared" si="439"/>
        <v>6.8448094537615987</v>
      </c>
      <c r="AT174" s="5">
        <f t="shared" ref="AT174:AT210" si="523">L*AJ174/I174*1000000</f>
        <v>4.1839030888398474</v>
      </c>
      <c r="AU174" s="5">
        <f t="shared" si="478"/>
        <v>2.6609063649217513</v>
      </c>
      <c r="AV174" s="5"/>
      <c r="AW174" s="173">
        <f t="shared" si="479"/>
        <v>0.61125194457247645</v>
      </c>
      <c r="AX174" s="173">
        <f t="shared" si="435"/>
        <v>10.470057313433436</v>
      </c>
      <c r="AY174" s="173">
        <f t="shared" si="436"/>
        <v>0.67176569138523756</v>
      </c>
      <c r="AZ174" s="173">
        <f t="shared" si="440"/>
        <v>15.585876813451568</v>
      </c>
      <c r="BA174" s="460">
        <f t="shared" si="433"/>
        <v>16.327426688155505</v>
      </c>
      <c r="BB174" s="5">
        <f t="shared" si="434"/>
        <v>2.3479722136732963</v>
      </c>
      <c r="BD174" s="173">
        <f t="shared" si="441"/>
        <v>1.5600161169752274</v>
      </c>
      <c r="BE174" s="173">
        <f t="shared" si="437"/>
        <v>1.2440936492619519</v>
      </c>
      <c r="BG174" s="528">
        <f t="shared" si="480"/>
        <v>4.8673005704449324E-2</v>
      </c>
      <c r="BH174" s="528">
        <f t="shared" ref="BH174:BH210" si="524">0.5*K174*AJ174*AN174*1000*Tfall</f>
        <v>0.25338806345869586</v>
      </c>
      <c r="BI174" s="528">
        <f t="shared" ref="BI174:BI210" si="525">Qg*Vdd*AN174*1000*0+Qg*I174*AN174*1000</f>
        <v>3.6204108787342371E-2</v>
      </c>
      <c r="BJ174" s="528">
        <f t="shared" si="481"/>
        <v>1.0465788453051017E-2</v>
      </c>
      <c r="BK174">
        <f t="shared" si="482"/>
        <v>4.4605840696670604E-3</v>
      </c>
      <c r="BL174" s="460">
        <f t="shared" si="427"/>
        <v>40.664692857009427</v>
      </c>
      <c r="BM174" s="528">
        <f t="shared" ref="BM174:BM210" si="526">(BH174+BI174*0+BJ174+BK174*0+BG174*(1+RdsonTC*(Ta-25)))/(1-BG174*RdsonTC*ThetaJA)</f>
        <v>0.32947889577038014</v>
      </c>
      <c r="BN174" s="460">
        <f t="shared" ref="BN174:BN210" si="527">BM174*1000</f>
        <v>329.47889577038012</v>
      </c>
      <c r="BO174" s="528">
        <f t="shared" si="483"/>
        <v>0.44799999999999995</v>
      </c>
      <c r="BR174" s="460">
        <f t="shared" si="484"/>
        <v>447.99999999999994</v>
      </c>
      <c r="BS174" s="528">
        <f t="shared" si="485"/>
        <v>7.3009508556673985E-2</v>
      </c>
      <c r="BT174" s="528">
        <f t="shared" si="486"/>
        <v>4.6433070244017619E-2</v>
      </c>
      <c r="BU174" s="528">
        <f t="shared" si="487"/>
        <v>0.2864280601627115</v>
      </c>
      <c r="BV174" s="528"/>
      <c r="BW174" s="528">
        <f t="shared" si="488"/>
        <v>8.7250477611945289E-3</v>
      </c>
      <c r="BX174" s="460">
        <f t="shared" si="489"/>
        <v>414.59568672459761</v>
      </c>
      <c r="BY174" s="173">
        <f t="shared" si="490"/>
        <v>1.2157872371978031</v>
      </c>
      <c r="BZ174" s="5">
        <f t="shared" si="491"/>
        <v>10.495999999999999</v>
      </c>
      <c r="CA174" s="173">
        <f t="shared" si="492"/>
        <v>0.89619114379602616</v>
      </c>
      <c r="CB174" s="5">
        <f t="shared" si="493"/>
        <v>89.619114379602621</v>
      </c>
      <c r="CE174" s="562">
        <f t="shared" ref="CE174:CE210" si="528">IF(ABS(F174-Ioutmax_Vinmin)&lt;Iout/200, AN174, -50)</f>
        <v>-50</v>
      </c>
      <c r="CF174">
        <f t="shared" ref="CF174:CF210" si="529">IF(ABS(F174-Ioutmax_Vinmin)&lt;Iout/200, N174*CA174, -50)</f>
        <v>-50</v>
      </c>
      <c r="CG174" s="173">
        <f t="shared" ref="CG174:CG210" si="530">MIN(SQRT(2*DU174*1000*Ls1_*CL174)/CU174,1-EA174-0.00000005*DU174*1000)</f>
        <v>0.36533452029079222</v>
      </c>
      <c r="CI174" s="170">
        <v>64</v>
      </c>
      <c r="CJ174" s="217">
        <f t="shared" si="428"/>
        <v>0.64</v>
      </c>
      <c r="CK174" s="217"/>
      <c r="CL174" s="217">
        <f t="shared" ref="CL174:CL210" si="531">CJ174*Vout</f>
        <v>10.495999999999999</v>
      </c>
      <c r="CM174" s="541">
        <f t="shared" ref="CM174:CM212" si="532">VIN_min</f>
        <v>10</v>
      </c>
      <c r="CN174" s="443">
        <f t="shared" ref="CN174:CN210" si="533">(CX174+Vfwd1)*Nps</f>
        <v>16.799999999999997</v>
      </c>
      <c r="CO174" s="443">
        <f t="shared" ref="CO174:CO210" si="534">(Vout+Vfwd1)*Nps+CM174</f>
        <v>26.799999999999997</v>
      </c>
      <c r="CP174" s="443"/>
      <c r="CQ174" s="217">
        <f t="shared" ref="CQ174:CQ210" si="535">(Vout+Vfwd1)*Nps/((Vout+Vfwd1)*Nps+CM174)</f>
        <v>0.62686567164179097</v>
      </c>
      <c r="CR174" s="172">
        <f t="shared" si="429"/>
        <v>20.973880597014926</v>
      </c>
      <c r="CS174" s="172">
        <f t="shared" ref="CS174:CS210" si="536">CX174*CJ174</f>
        <v>10.495999999999999</v>
      </c>
      <c r="CT174" s="217">
        <f t="shared" ref="CT174:CT210" si="537">CR174/Vout</f>
        <v>1.2788951583545687</v>
      </c>
      <c r="CU174" s="217">
        <f t="shared" ref="CU174:CU210" si="538">MIN(Vout,CR174/CJ174)</f>
        <v>16.399999999999999</v>
      </c>
      <c r="CV174" s="217"/>
      <c r="CW174" s="172">
        <f t="shared" ref="CW174:CW210" si="539">(SQRT(Isw_max^2*Nps^2*CM174^2+4*Isw_max*CJ174/Efficiency*(Nps^2*Vfwd1*CM174-Nps*CM174^2)+4*(CJ174/Efficiency)^2*Nps^2*Vfwd1^2+8*(CJ174/Efficiency)^2*Nps*Vfwd1*CM174+4*(CJ174/Efficiency)^2*CM174^2)-2*CJ174/Efficiency*CM174-2*CJ174/Efficiency*Nps*Vfwd1+Isw_max*Nps*CM174)/(4*CJ174/Efficiency*Nps)</f>
        <v>42.177280151583801</v>
      </c>
      <c r="CX174" s="172">
        <f t="shared" ref="CX174:CX210" si="540">MIN(Vout, CW174)</f>
        <v>16.399999999999999</v>
      </c>
      <c r="CY174" s="217">
        <f t="shared" ref="CY174:CY210" si="541">MIN(2*Vout*CJ174/(Efficiency*CM174*CQ174), Isw_max)</f>
        <v>3.3487238095238094</v>
      </c>
      <c r="CZ174" s="217">
        <f t="shared" ref="CZ174:CZ210" si="542">L*CY174/CM174*1000000</f>
        <v>4.0184685714285715</v>
      </c>
      <c r="DA174" s="217">
        <f t="shared" ref="DA174:DA210" si="543">L*CY174/CN174*1000000</f>
        <v>2.3919455782312928</v>
      </c>
      <c r="DB174" s="197">
        <f t="shared" ref="DB174:DB210" si="544">IF(1/((350000*L)*(1/CM174+1/CN174))&gt;Isw_min, 350, 0.001/((Isw_min*L)*(1/CM174+1/CN174)))</f>
        <v>350</v>
      </c>
      <c r="DC174" s="443">
        <f t="shared" ref="DC174:DC210" si="545">MIN(1/(CZ174+DA174)*1000, 350)</f>
        <v>155.99616134833659</v>
      </c>
      <c r="DE174" s="217">
        <f t="shared" ref="DE174:DE210" si="546">1/((DB174*1000*L)*(1/CM174+1/CN174))</f>
        <v>1.4925373134328355</v>
      </c>
      <c r="DF174" s="173">
        <f t="shared" ref="DF174:DF210" si="547">L*DE174/CN174*1000000</f>
        <v>1.0660980810234544</v>
      </c>
      <c r="DG174" s="173">
        <f t="shared" ref="DG174:DG210" si="548">0.5*DF174*DE174*Nps*DB174/1000</f>
        <v>0.27845845399866342</v>
      </c>
      <c r="DH174" s="173"/>
      <c r="DI174" s="173">
        <f t="shared" ref="DI174:DI210" si="549">L*Isw_min/CN174*1000000</f>
        <v>0.95238095238095266</v>
      </c>
      <c r="DJ174" s="545">
        <f t="shared" ref="DJ174:DJ210" si="550">MAX(12000,CJ174/(0.5*DI174/1000000*Isw_min*Nps))/1000</f>
        <v>1007.9999999999997</v>
      </c>
      <c r="DK174" s="528">
        <f t="shared" ref="DK174:DK210" si="551">0.5*DI174/1000000*Isw_min*Nps*DB174*1000</f>
        <v>0.22222222222222232</v>
      </c>
      <c r="DM174" s="173">
        <f t="shared" ref="DM174:DM210" si="552">SQRT(CJ174/(0.5*L/CN174*Fsw_DCM*Nps))</f>
        <v>2.2627416997969521</v>
      </c>
      <c r="DN174" s="173">
        <f t="shared" ref="DN174:DN210" si="553">MAX(IF(CJ174&gt;DG174,CY174,DM174),Isw_min)</f>
        <v>3.3487238095238094</v>
      </c>
      <c r="DO174" s="173">
        <f t="shared" ref="DO174:DO210" si="554">IF(CJ174&gt;DK174, (DN174-Isw_min)/1.08*0.8+1.2, DJ174*0.2/350+1)</f>
        <v>2.692881834215167</v>
      </c>
      <c r="DQ174" s="545">
        <f t="shared" ref="DQ174:DQ210" si="555">CJ174*1000</f>
        <v>640</v>
      </c>
      <c r="DR174" s="460">
        <f t="shared" ref="DR174:DR210" si="556">IF(CJ174&gt;DK174, DC174, DJ174)</f>
        <v>155.99616134833659</v>
      </c>
      <c r="DT174">
        <f t="shared" si="430"/>
        <v>640</v>
      </c>
      <c r="DU174">
        <f t="shared" si="431"/>
        <v>155.99616134833659</v>
      </c>
      <c r="DW174" s="5">
        <f t="shared" ref="DW174:DW210" si="557">1/DR174*1000</f>
        <v>6.4104141496598643</v>
      </c>
      <c r="DX174" s="5">
        <f t="shared" ref="DX174:DX210" si="558">L*DN174/CM174*1000000</f>
        <v>4.0184685714285715</v>
      </c>
      <c r="DY174" s="5">
        <f t="shared" ref="DY174:DY210" si="559">DW174-DX174</f>
        <v>2.3919455782312928</v>
      </c>
      <c r="DZ174" s="5"/>
      <c r="EA174" s="173">
        <f t="shared" ref="EA174:EA210" si="560">DX174/DW174</f>
        <v>0.62686567164179097</v>
      </c>
      <c r="EB174" s="173">
        <f t="shared" ref="EB174:EB210" si="561">0.5*L*DN174^2*DR174*1000</f>
        <v>10.496</v>
      </c>
      <c r="EC174" s="173">
        <f t="shared" ref="EC174:EC210" si="562">DN174*Nps/2*(1-EA174)</f>
        <v>0.62476190476190485</v>
      </c>
      <c r="ED174" s="173">
        <f t="shared" ref="ED174:ED210" si="563">EB174/EC174</f>
        <v>16.799999999999997</v>
      </c>
      <c r="EE174" s="460">
        <f t="shared" ref="EE174:EE210" si="564">CJ174*DX174/Vout_ripple*1000</f>
        <v>15.681828571428577</v>
      </c>
      <c r="EF174" s="5">
        <f t="shared" ref="EF174:EF210" si="565">CL174/Efficiency/CM174*DY174/Vinripple1</f>
        <v>2.0921550657596368</v>
      </c>
      <c r="EH174" s="173">
        <f t="shared" ref="EH174:EH210" si="566">DN174*SQRT(EA174/3)</f>
        <v>1.530755915765408</v>
      </c>
      <c r="EI174" s="173">
        <f t="shared" ref="EI174:EI210" si="567">DN174*Nps*SQRT((1-EA174)/3)</f>
        <v>1.1810038288844615</v>
      </c>
      <c r="EK174" s="528">
        <f t="shared" ref="EK174:EK210" si="568">Rdson*EH174^2</f>
        <v>4.6864273473015861E-2</v>
      </c>
      <c r="EL174" s="528">
        <f t="shared" ref="EL174:EL210" si="569">0.5*CO174*DN174*DR174*1000*Trise</f>
        <v>0.27999999999999997</v>
      </c>
      <c r="EM174" s="528">
        <f t="shared" ref="EM174:EM210" si="570">Qg*Vdd*DR174*1000</f>
        <v>1.9499520168542072E-2</v>
      </c>
      <c r="EN174" s="528">
        <f t="shared" ref="EN174:EN210" si="571">0.5*(Coss+Csw)*CO174^2*DR174*1000</f>
        <v>1.1204268292682926E-2</v>
      </c>
      <c r="EO174">
        <f t="shared" ref="EO174:EO210" si="572">CM174*IQ</f>
        <v>4.4999999999999997E-3</v>
      </c>
      <c r="EP174" s="460">
        <f t="shared" ref="EP174:EP210" si="573">(EO174+EM174)*1000</f>
        <v>23.999520168542073</v>
      </c>
      <c r="EQ174" s="460"/>
      <c r="ER174" s="460">
        <f t="shared" si="432"/>
        <v>362.06806193424086</v>
      </c>
      <c r="ES174" s="528">
        <f t="shared" ref="ES174:ES210" si="574">Vfwd2*CJ174</f>
        <v>0.44799999999999995</v>
      </c>
      <c r="EV174" s="460">
        <f t="shared" si="494"/>
        <v>447.99999999999994</v>
      </c>
      <c r="EW174" s="528">
        <f t="shared" ref="EW174:EW210" si="575">Rdcr_pri*EH174^2</f>
        <v>7.0296410209523791E-2</v>
      </c>
      <c r="EX174" s="528">
        <f t="shared" ref="EX174:EX210" si="576">Rdcr_sec*EI174^2</f>
        <v>4.1843101315192754E-2</v>
      </c>
      <c r="EY174" s="528">
        <f t="shared" ref="EY174:EY210" si="577">DN174^2.5*DR174^2.5*k_core</f>
        <v>0.31185528502698368</v>
      </c>
      <c r="EZ174" s="528"/>
      <c r="FA174" s="528">
        <f t="shared" ref="FA174:FA210" si="578">0.5*Lleak*0.000000001*DN174^2*DR174*1000</f>
        <v>8.7466666666666665E-3</v>
      </c>
      <c r="FB174" s="460">
        <f t="shared" ref="FB174:FB210" si="579">SUM(EW174:FA174)*1000</f>
        <v>432.7414632183669</v>
      </c>
      <c r="FC174" s="173">
        <f t="shared" ref="FC174:FC210" si="580">SUM(EK174:EO174,ES174:EU174,EW174:FA174)</f>
        <v>1.2428095251526079</v>
      </c>
      <c r="FD174" s="5">
        <f t="shared" ref="FD174:FD210" si="581">MIN(CL174,CS174)</f>
        <v>10.495999999999999</v>
      </c>
      <c r="FE174" s="173">
        <f t="shared" ref="FE174:FE210" si="582">FD174/(FD174+FC174)</f>
        <v>0.89412814625796122</v>
      </c>
      <c r="FF174" s="5">
        <f t="shared" ref="FF174:FF210" si="583">FE174*100</f>
        <v>89.412814625796116</v>
      </c>
      <c r="FI174" s="562">
        <f t="shared" ref="FI174:FI210" si="584">IF(ABS(CJ174-Ioutmax_Vinmin)&lt;Iout/200, DR174, -50)</f>
        <v>-50</v>
      </c>
      <c r="FJ174">
        <f t="shared" ref="FJ174:FJ210" si="585">IF(ABS(CJ174-Ioutmax_Vinmin)&lt;Iout/200, CR174*FE174, -50)</f>
        <v>-50</v>
      </c>
      <c r="FL174">
        <f t="shared" ref="FL174:FL210" si="586">MIN(SQRT(2*L*DR174*1000*CJ174*(CX174+Vfwd1))/(Nps*(CX174+Vfwd1)), 1-EA174)</f>
        <v>0.37313432835820903</v>
      </c>
    </row>
    <row r="175" spans="5:168">
      <c r="E175" s="170">
        <v>65</v>
      </c>
      <c r="F175" s="217">
        <f t="shared" ref="F175:F206" si="587">IF(PLOT_TYPE=1, E175/100*Iout_max, min_I*EXP(N175*rr/100))</f>
        <v>0.65</v>
      </c>
      <c r="G175" s="217"/>
      <c r="H175" s="217">
        <f t="shared" si="495"/>
        <v>10.66</v>
      </c>
      <c r="I175" s="541">
        <f t="shared" si="496"/>
        <v>9.91106964489936</v>
      </c>
      <c r="J175" s="172">
        <f t="shared" si="497"/>
        <v>16.853358213060382</v>
      </c>
      <c r="K175" s="172">
        <f t="shared" si="498"/>
        <v>26.764427857959742</v>
      </c>
      <c r="L175" s="443"/>
      <c r="M175" s="217">
        <f t="shared" si="499"/>
        <v>0.62967725703784982</v>
      </c>
      <c r="N175" s="172">
        <f t="shared" si="500"/>
        <v>20.880593517058312</v>
      </c>
      <c r="O175" s="172">
        <f t="shared" si="438"/>
        <v>10.66</v>
      </c>
      <c r="P175" s="217">
        <f t="shared" si="501"/>
        <v>1.2732069217718485</v>
      </c>
      <c r="Q175" s="217">
        <f t="shared" si="502"/>
        <v>16.399999999999999</v>
      </c>
      <c r="R175" s="217"/>
      <c r="S175" s="172">
        <f t="shared" si="503"/>
        <v>41.010663003660127</v>
      </c>
      <c r="T175" s="172">
        <f t="shared" si="504"/>
        <v>16.399999999999999</v>
      </c>
      <c r="U175" s="217">
        <f t="shared" si="505"/>
        <v>3.5104514229979924</v>
      </c>
      <c r="V175" s="217">
        <f t="shared" si="506"/>
        <v>4.2503401333331734</v>
      </c>
      <c r="W175" s="217">
        <f t="shared" si="507"/>
        <v>2.4995265954372901</v>
      </c>
      <c r="X175" s="197">
        <f t="shared" si="508"/>
        <v>350</v>
      </c>
      <c r="Y175" s="443">
        <f t="shared" si="509"/>
        <v>143.88765123513599</v>
      </c>
      <c r="AA175" s="217">
        <f t="shared" si="510"/>
        <v>1.4859347023571088</v>
      </c>
      <c r="AB175" s="173">
        <f t="shared" si="511"/>
        <v>1.0580215647743807</v>
      </c>
      <c r="AC175" s="173">
        <f t="shared" si="512"/>
        <v>0.27512641781457381</v>
      </c>
      <c r="AD175" s="173"/>
      <c r="AE175" s="173">
        <f t="shared" si="513"/>
        <v>0.94936568710685354</v>
      </c>
      <c r="AF175" s="545">
        <f t="shared" si="514"/>
        <v>1027.0015161083668</v>
      </c>
      <c r="AG175" s="528">
        <f t="shared" si="515"/>
        <v>0.2215186603249325</v>
      </c>
      <c r="AI175" s="173">
        <f t="shared" si="516"/>
        <v>2.2839692724237408</v>
      </c>
      <c r="AJ175" s="173">
        <f t="shared" si="517"/>
        <v>3.5104514229979924</v>
      </c>
      <c r="AK175" s="173">
        <f t="shared" si="518"/>
        <v>2.8126800664182658</v>
      </c>
      <c r="AM175" s="545">
        <f t="shared" si="519"/>
        <v>650</v>
      </c>
      <c r="AN175" s="460">
        <f t="shared" si="520"/>
        <v>143.88765123513599</v>
      </c>
      <c r="AP175">
        <f t="shared" si="521"/>
        <v>650</v>
      </c>
      <c r="AQ175">
        <f t="shared" si="522"/>
        <v>143.88765123513599</v>
      </c>
      <c r="AS175" s="5">
        <f t="shared" si="439"/>
        <v>6.9498667287704636</v>
      </c>
      <c r="AT175" s="5">
        <f t="shared" si="523"/>
        <v>4.2503401333331734</v>
      </c>
      <c r="AU175" s="5">
        <f t="shared" si="478"/>
        <v>2.6995265954372902</v>
      </c>
      <c r="AV175" s="5"/>
      <c r="AW175" s="173">
        <f t="shared" si="479"/>
        <v>0.61157145873574514</v>
      </c>
      <c r="AX175" s="173">
        <f t="shared" si="435"/>
        <v>10.638997558511861</v>
      </c>
      <c r="AY175" s="173">
        <f t="shared" si="436"/>
        <v>0.68177976270706897</v>
      </c>
      <c r="AZ175" s="173">
        <f t="shared" si="440"/>
        <v>15.604742382303556</v>
      </c>
      <c r="BA175" s="460">
        <f t="shared" si="433"/>
        <v>16.845860284552217</v>
      </c>
      <c r="BB175" s="5">
        <f t="shared" si="434"/>
        <v>2.4195970211761573</v>
      </c>
      <c r="BD175" s="173">
        <f t="shared" si="441"/>
        <v>1.5849878776503941</v>
      </c>
      <c r="BE175" s="173">
        <f t="shared" si="437"/>
        <v>1.2631586699398361</v>
      </c>
      <c r="BG175" s="528">
        <f t="shared" si="480"/>
        <v>5.0243731445974014E-2</v>
      </c>
      <c r="BH175" s="528">
        <f t="shared" si="524"/>
        <v>0.25348118404582332</v>
      </c>
      <c r="BI175" s="528">
        <f t="shared" si="525"/>
        <v>3.5652013310810554E-2</v>
      </c>
      <c r="BJ175" s="528">
        <f t="shared" si="481"/>
        <v>1.0307170288582811E-2</v>
      </c>
      <c r="BK175">
        <f t="shared" si="482"/>
        <v>4.4599813402047116E-3</v>
      </c>
      <c r="BL175" s="460">
        <f t="shared" ref="BL175:BL210" si="588">(BK175+BI175)*1000</f>
        <v>40.111994651015266</v>
      </c>
      <c r="BM175" s="528">
        <f t="shared" si="526"/>
        <v>0.3315559789030359</v>
      </c>
      <c r="BN175" s="460">
        <f t="shared" si="527"/>
        <v>331.55597890303591</v>
      </c>
      <c r="BO175" s="528">
        <f t="shared" si="483"/>
        <v>0.45499999999999996</v>
      </c>
      <c r="BR175" s="460">
        <f t="shared" si="484"/>
        <v>454.99999999999994</v>
      </c>
      <c r="BS175" s="528">
        <f t="shared" si="485"/>
        <v>7.5365597168961018E-2</v>
      </c>
      <c r="BT175" s="528">
        <f t="shared" si="486"/>
        <v>4.786709476332527E-2</v>
      </c>
      <c r="BU175" s="528">
        <f t="shared" si="487"/>
        <v>0.28670563721136955</v>
      </c>
      <c r="BV175" s="528"/>
      <c r="BW175" s="528">
        <f t="shared" si="488"/>
        <v>8.8658312987598843E-3</v>
      </c>
      <c r="BX175" s="460">
        <f t="shared" si="489"/>
        <v>418.80416044241571</v>
      </c>
      <c r="BY175" s="173">
        <f t="shared" si="490"/>
        <v>1.2279482408738109</v>
      </c>
      <c r="BZ175" s="5">
        <f t="shared" si="491"/>
        <v>10.66</v>
      </c>
      <c r="CA175" s="173">
        <f t="shared" si="492"/>
        <v>0.8967064613680088</v>
      </c>
      <c r="CB175" s="5">
        <f t="shared" si="493"/>
        <v>89.670646136800883</v>
      </c>
      <c r="CE175" s="562">
        <f t="shared" si="528"/>
        <v>-50</v>
      </c>
      <c r="CF175">
        <f t="shared" si="529"/>
        <v>-50</v>
      </c>
      <c r="CG175" s="173">
        <f t="shared" si="530"/>
        <v>0.36545451733798334</v>
      </c>
      <c r="CI175" s="170">
        <v>65</v>
      </c>
      <c r="CJ175" s="217">
        <f t="shared" ref="CJ175:CJ210" si="589">IF(PLOT_TYPE=1, CI175/100*Iout_max, min_I*EXP(CR175*rr/100))</f>
        <v>0.65</v>
      </c>
      <c r="CK175" s="217"/>
      <c r="CL175" s="217">
        <f t="shared" si="531"/>
        <v>10.66</v>
      </c>
      <c r="CM175" s="541">
        <f t="shared" si="532"/>
        <v>10</v>
      </c>
      <c r="CN175" s="443">
        <f t="shared" si="533"/>
        <v>16.799999999999997</v>
      </c>
      <c r="CO175" s="443">
        <f t="shared" si="534"/>
        <v>26.799999999999997</v>
      </c>
      <c r="CP175" s="443"/>
      <c r="CQ175" s="217">
        <f t="shared" si="535"/>
        <v>0.62686567164179097</v>
      </c>
      <c r="CR175" s="172">
        <f t="shared" ref="CR175:CR210" si="590">CQ175*CM175*(Isw_max+VIN_min/Lmag*ILIM_delay)*0.5*Efficiency</f>
        <v>20.973880597014926</v>
      </c>
      <c r="CS175" s="172">
        <f t="shared" si="536"/>
        <v>10.66</v>
      </c>
      <c r="CT175" s="217">
        <f t="shared" si="537"/>
        <v>1.2788951583545687</v>
      </c>
      <c r="CU175" s="217">
        <f t="shared" si="538"/>
        <v>16.399999999999999</v>
      </c>
      <c r="CV175" s="217"/>
      <c r="CW175" s="172">
        <f t="shared" si="539"/>
        <v>41.377795921321699</v>
      </c>
      <c r="CX175" s="172">
        <f t="shared" si="540"/>
        <v>16.399999999999999</v>
      </c>
      <c r="CY175" s="217">
        <f t="shared" si="541"/>
        <v>3.4010476190476195</v>
      </c>
      <c r="CZ175" s="217">
        <f t="shared" si="542"/>
        <v>4.0812571428571429</v>
      </c>
      <c r="DA175" s="217">
        <f t="shared" si="543"/>
        <v>2.4293197278911571</v>
      </c>
      <c r="DB175" s="197">
        <f t="shared" si="544"/>
        <v>350</v>
      </c>
      <c r="DC175" s="443">
        <f t="shared" si="545"/>
        <v>153.59622040451598</v>
      </c>
      <c r="DE175" s="217">
        <f t="shared" si="546"/>
        <v>1.4925373134328355</v>
      </c>
      <c r="DF175" s="173">
        <f t="shared" si="547"/>
        <v>1.0660980810234544</v>
      </c>
      <c r="DG175" s="173">
        <f t="shared" si="548"/>
        <v>0.27845845399866342</v>
      </c>
      <c r="DH175" s="173"/>
      <c r="DI175" s="173">
        <f t="shared" si="549"/>
        <v>0.95238095238095266</v>
      </c>
      <c r="DJ175" s="545">
        <f t="shared" si="550"/>
        <v>1023.7499999999997</v>
      </c>
      <c r="DK175" s="528">
        <f t="shared" si="551"/>
        <v>0.22222222222222232</v>
      </c>
      <c r="DM175" s="173">
        <f t="shared" si="552"/>
        <v>2.2803508501982757</v>
      </c>
      <c r="DN175" s="173">
        <f t="shared" si="553"/>
        <v>3.4010476190476195</v>
      </c>
      <c r="DO175" s="173">
        <f t="shared" si="554"/>
        <v>2.7316402116402116</v>
      </c>
      <c r="DQ175" s="545">
        <f t="shared" si="555"/>
        <v>650</v>
      </c>
      <c r="DR175" s="460">
        <f t="shared" si="556"/>
        <v>153.59622040451598</v>
      </c>
      <c r="DT175">
        <f t="shared" ref="DT175:DT209" si="591">IF(CL175&gt;CR175, " ",DQ175)</f>
        <v>650</v>
      </c>
      <c r="DU175">
        <f t="shared" ref="DU175:DU209" si="592">IF(CL175&gt;CR175, " ",DR175)</f>
        <v>153.59622040451598</v>
      </c>
      <c r="DW175" s="5">
        <f t="shared" si="557"/>
        <v>6.5105768707483014</v>
      </c>
      <c r="DX175" s="5">
        <f t="shared" si="558"/>
        <v>4.0812571428571429</v>
      </c>
      <c r="DY175" s="5">
        <f t="shared" si="559"/>
        <v>2.4293197278911585</v>
      </c>
      <c r="DZ175" s="5"/>
      <c r="EA175" s="173">
        <f t="shared" si="560"/>
        <v>0.62686567164179086</v>
      </c>
      <c r="EB175" s="173">
        <f t="shared" si="561"/>
        <v>10.660000000000002</v>
      </c>
      <c r="EC175" s="173">
        <f t="shared" si="562"/>
        <v>0.63452380952380993</v>
      </c>
      <c r="ED175" s="173">
        <f t="shared" si="563"/>
        <v>16.799999999999994</v>
      </c>
      <c r="EE175" s="460">
        <f t="shared" si="564"/>
        <v>16.175714285714289</v>
      </c>
      <c r="EF175" s="5">
        <f t="shared" si="565"/>
        <v>2.1580456916099791</v>
      </c>
      <c r="EH175" s="173">
        <f t="shared" si="566"/>
        <v>1.5546739769492428</v>
      </c>
      <c r="EI175" s="173">
        <f t="shared" si="567"/>
        <v>1.1994570137107816</v>
      </c>
      <c r="EK175" s="528">
        <f t="shared" si="568"/>
        <v>4.8340223492063496E-2</v>
      </c>
      <c r="EL175" s="528">
        <f t="shared" si="569"/>
        <v>0.27999999999999992</v>
      </c>
      <c r="EM175" s="528">
        <f t="shared" si="570"/>
        <v>1.9199527550564494E-2</v>
      </c>
      <c r="EN175" s="528">
        <f t="shared" si="571"/>
        <v>1.1031894934333956E-2</v>
      </c>
      <c r="EO175">
        <f t="shared" si="572"/>
        <v>4.4999999999999997E-3</v>
      </c>
      <c r="EP175" s="460">
        <f t="shared" si="573"/>
        <v>23.699527550564493</v>
      </c>
      <c r="EQ175" s="460"/>
      <c r="ER175" s="460">
        <f t="shared" ref="ER175:ER210" si="593">SUM(EK175:EO175)*1000</f>
        <v>363.07164597696186</v>
      </c>
      <c r="ES175" s="528">
        <f t="shared" si="574"/>
        <v>0.45499999999999996</v>
      </c>
      <c r="EV175" s="460">
        <f t="shared" si="494"/>
        <v>454.99999999999994</v>
      </c>
      <c r="EW175" s="528">
        <f t="shared" si="575"/>
        <v>7.2510335238095233E-2</v>
      </c>
      <c r="EX175" s="528">
        <f t="shared" si="576"/>
        <v>4.3160913832199589E-2</v>
      </c>
      <c r="EY175" s="528">
        <f t="shared" si="577"/>
        <v>0.31185528502698284</v>
      </c>
      <c r="EZ175" s="528"/>
      <c r="FA175" s="528">
        <f t="shared" si="578"/>
        <v>8.8833333333333334E-3</v>
      </c>
      <c r="FB175" s="460">
        <f t="shared" si="579"/>
        <v>436.40986743061103</v>
      </c>
      <c r="FC175" s="173">
        <f t="shared" si="580"/>
        <v>1.2544815134075729</v>
      </c>
      <c r="FD175" s="5">
        <f t="shared" si="581"/>
        <v>10.66</v>
      </c>
      <c r="FE175" s="173">
        <f t="shared" si="582"/>
        <v>0.89470951698604062</v>
      </c>
      <c r="FF175" s="5">
        <f t="shared" si="583"/>
        <v>89.470951698604068</v>
      </c>
      <c r="FI175" s="562">
        <f t="shared" si="584"/>
        <v>-50</v>
      </c>
      <c r="FJ175">
        <f t="shared" si="585"/>
        <v>-50</v>
      </c>
      <c r="FL175">
        <f t="shared" si="586"/>
        <v>0.37313432835820914</v>
      </c>
    </row>
    <row r="176" spans="5:168">
      <c r="E176" s="170">
        <v>66</v>
      </c>
      <c r="F176" s="217">
        <f t="shared" si="587"/>
        <v>0.66</v>
      </c>
      <c r="G176" s="217"/>
      <c r="H176" s="217">
        <f t="shared" si="495"/>
        <v>10.824</v>
      </c>
      <c r="I176" s="541">
        <f t="shared" si="496"/>
        <v>9.9097302274991979</v>
      </c>
      <c r="J176" s="172">
        <f t="shared" si="497"/>
        <v>16.85416186350048</v>
      </c>
      <c r="K176" s="172">
        <f t="shared" si="498"/>
        <v>26.763892090999676</v>
      </c>
      <c r="L176" s="443"/>
      <c r="M176" s="217">
        <f t="shared" si="499"/>
        <v>0.62971989608929579</v>
      </c>
      <c r="N176" s="172">
        <f t="shared" si="500"/>
        <v>20.879185392393335</v>
      </c>
      <c r="O176" s="172">
        <f t="shared" si="438"/>
        <v>10.824</v>
      </c>
      <c r="P176" s="217">
        <f t="shared" si="501"/>
        <v>1.2731210605117889</v>
      </c>
      <c r="Q176" s="217">
        <f t="shared" si="502"/>
        <v>16.399999999999999</v>
      </c>
      <c r="R176" s="217"/>
      <c r="S176" s="172">
        <f t="shared" si="503"/>
        <v>40.23695635581236</v>
      </c>
      <c r="T176" s="536">
        <f t="shared" si="504"/>
        <v>16.399999999999999</v>
      </c>
      <c r="U176" s="217">
        <f t="shared" si="505"/>
        <v>3.5648688278383101</v>
      </c>
      <c r="V176" s="217">
        <f t="shared" si="506"/>
        <v>4.316810342157539</v>
      </c>
      <c r="W176" s="217">
        <f t="shared" si="507"/>
        <v>2.5381520766512304</v>
      </c>
      <c r="X176" s="197">
        <f t="shared" si="508"/>
        <v>350</v>
      </c>
      <c r="Y176" s="443">
        <f t="shared" si="509"/>
        <v>141.74419942110052</v>
      </c>
      <c r="AA176" s="217">
        <f t="shared" si="510"/>
        <v>1.4858344781238682</v>
      </c>
      <c r="AB176" s="173">
        <f t="shared" si="511"/>
        <v>1.0578997568606039</v>
      </c>
      <c r="AC176" s="173">
        <f t="shared" si="512"/>
        <v>0.27507618829990993</v>
      </c>
      <c r="AD176" s="173"/>
      <c r="AE176" s="173">
        <f t="shared" si="513"/>
        <v>0.94932041887231089</v>
      </c>
      <c r="AF176" s="545">
        <f t="shared" si="514"/>
        <v>1042.8512653040921</v>
      </c>
      <c r="AG176" s="528">
        <f t="shared" si="515"/>
        <v>0.22150809773687255</v>
      </c>
      <c r="AI176" s="173">
        <f t="shared" si="516"/>
        <v>2.3015260806598072</v>
      </c>
      <c r="AJ176" s="173">
        <f t="shared" si="517"/>
        <v>3.5648688278383101</v>
      </c>
      <c r="AK176" s="173">
        <f t="shared" si="518"/>
        <v>2.8529892551888718</v>
      </c>
      <c r="AM176" s="545">
        <f t="shared" si="519"/>
        <v>660</v>
      </c>
      <c r="AN176" s="460">
        <f t="shared" si="520"/>
        <v>141.74419942110052</v>
      </c>
      <c r="AP176">
        <f t="shared" si="521"/>
        <v>660</v>
      </c>
      <c r="AQ176">
        <f t="shared" si="522"/>
        <v>141.74419942110052</v>
      </c>
      <c r="AS176" s="5">
        <f t="shared" si="439"/>
        <v>7.0549624188087705</v>
      </c>
      <c r="AT176" s="5">
        <f t="shared" si="523"/>
        <v>4.316810342157539</v>
      </c>
      <c r="AU176" s="5">
        <f t="shared" si="478"/>
        <v>2.7381520766512315</v>
      </c>
      <c r="AV176" s="5"/>
      <c r="AW176" s="173">
        <f t="shared" si="479"/>
        <v>0.61188282600184729</v>
      </c>
      <c r="AX176" s="173">
        <f t="shared" si="435"/>
        <v>10.807958147994569</v>
      </c>
      <c r="AY176" s="173">
        <f t="shared" si="436"/>
        <v>0.69179340756735608</v>
      </c>
      <c r="AZ176" s="173">
        <f t="shared" si="440"/>
        <v>15.623100812712295</v>
      </c>
      <c r="BA176" s="460">
        <f t="shared" si="433"/>
        <v>17.372529425755953</v>
      </c>
      <c r="BB176" s="5">
        <f t="shared" si="434"/>
        <v>2.4923112097297606</v>
      </c>
      <c r="BD176" s="173">
        <f t="shared" si="441"/>
        <v>1.6099673135203154</v>
      </c>
      <c r="BE176" s="173">
        <f t="shared" si="437"/>
        <v>1.2822253452340613</v>
      </c>
      <c r="BG176" s="528">
        <f t="shared" si="480"/>
        <v>5.1839895012076427E-2</v>
      </c>
      <c r="BH176" s="528">
        <f t="shared" si="524"/>
        <v>0.25357088819973905</v>
      </c>
      <c r="BI176" s="528">
        <f t="shared" si="525"/>
        <v>3.5116169439398846E-2</v>
      </c>
      <c r="BJ176" s="528">
        <f t="shared" si="481"/>
        <v>1.0153220915096288E-2</v>
      </c>
      <c r="BK176">
        <f t="shared" si="482"/>
        <v>4.4593786023746388E-3</v>
      </c>
      <c r="BL176" s="460">
        <f t="shared" si="588"/>
        <v>39.57554804177348</v>
      </c>
      <c r="BM176" s="528">
        <f t="shared" si="526"/>
        <v>0.33367065025125886</v>
      </c>
      <c r="BN176" s="460">
        <f t="shared" si="527"/>
        <v>333.67065025125885</v>
      </c>
      <c r="BO176" s="528">
        <f t="shared" si="483"/>
        <v>0.46199999999999997</v>
      </c>
      <c r="BR176" s="460">
        <f t="shared" si="484"/>
        <v>461.99999999999994</v>
      </c>
      <c r="BS176" s="528">
        <f t="shared" si="485"/>
        <v>7.7759842518114644E-2</v>
      </c>
      <c r="BT176" s="528">
        <f t="shared" si="486"/>
        <v>4.9323055078818227E-2</v>
      </c>
      <c r="BU176" s="528">
        <f t="shared" si="487"/>
        <v>0.28697372062384274</v>
      </c>
      <c r="BV176" s="528"/>
      <c r="BW176" s="528">
        <f t="shared" si="488"/>
        <v>9.0066317899954746E-3</v>
      </c>
      <c r="BX176" s="460">
        <f t="shared" si="489"/>
        <v>423.06325001077113</v>
      </c>
      <c r="BY176" s="173">
        <f t="shared" si="490"/>
        <v>1.2402028021794564</v>
      </c>
      <c r="BZ176" s="5">
        <f t="shared" si="491"/>
        <v>10.824</v>
      </c>
      <c r="CA176" s="173">
        <f t="shared" si="492"/>
        <v>0.89719977171177789</v>
      </c>
      <c r="CB176" s="5">
        <f t="shared" si="493"/>
        <v>89.719977171177788</v>
      </c>
      <c r="CE176" s="562">
        <f t="shared" si="528"/>
        <v>-50</v>
      </c>
      <c r="CF176">
        <f t="shared" si="529"/>
        <v>-50</v>
      </c>
      <c r="CG176" s="173">
        <f t="shared" si="530"/>
        <v>0.36557087811101685</v>
      </c>
      <c r="CI176" s="170">
        <v>66</v>
      </c>
      <c r="CJ176" s="217">
        <f t="shared" si="589"/>
        <v>0.66</v>
      </c>
      <c r="CK176" s="217"/>
      <c r="CL176" s="217">
        <f t="shared" si="531"/>
        <v>10.824</v>
      </c>
      <c r="CM176" s="541">
        <f t="shared" si="532"/>
        <v>10</v>
      </c>
      <c r="CN176" s="443">
        <f t="shared" si="533"/>
        <v>16.799999999999997</v>
      </c>
      <c r="CO176" s="443">
        <f t="shared" si="534"/>
        <v>26.799999999999997</v>
      </c>
      <c r="CP176" s="443"/>
      <c r="CQ176" s="217">
        <f t="shared" si="535"/>
        <v>0.62686567164179097</v>
      </c>
      <c r="CR176" s="172">
        <f t="shared" si="590"/>
        <v>20.973880597014926</v>
      </c>
      <c r="CS176" s="172">
        <f t="shared" si="536"/>
        <v>10.824</v>
      </c>
      <c r="CT176" s="217">
        <f t="shared" si="537"/>
        <v>1.2788951583545687</v>
      </c>
      <c r="CU176" s="217">
        <f t="shared" si="538"/>
        <v>16.399999999999999</v>
      </c>
      <c r="CV176" s="217"/>
      <c r="CW176" s="172">
        <f t="shared" si="539"/>
        <v>40.602605281692611</v>
      </c>
      <c r="CX176" s="536">
        <f t="shared" si="540"/>
        <v>16.399999999999999</v>
      </c>
      <c r="CY176" s="217">
        <f t="shared" si="541"/>
        <v>3.4533714285714288</v>
      </c>
      <c r="CZ176" s="217">
        <f t="shared" si="542"/>
        <v>4.1440457142857143</v>
      </c>
      <c r="DA176" s="217">
        <f t="shared" si="543"/>
        <v>2.466693877551021</v>
      </c>
      <c r="DB176" s="197">
        <f t="shared" si="544"/>
        <v>350</v>
      </c>
      <c r="DC176" s="443">
        <f t="shared" si="545"/>
        <v>151.26900494384154</v>
      </c>
      <c r="DE176" s="217">
        <f t="shared" si="546"/>
        <v>1.4925373134328355</v>
      </c>
      <c r="DF176" s="173">
        <f t="shared" si="547"/>
        <v>1.0660980810234544</v>
      </c>
      <c r="DG176" s="173">
        <f t="shared" si="548"/>
        <v>0.27845845399866342</v>
      </c>
      <c r="DH176" s="173"/>
      <c r="DI176" s="173">
        <f t="shared" si="549"/>
        <v>0.95238095238095266</v>
      </c>
      <c r="DJ176" s="545">
        <f t="shared" si="550"/>
        <v>1039.4999999999995</v>
      </c>
      <c r="DK176" s="528">
        <f t="shared" si="551"/>
        <v>0.22222222222222232</v>
      </c>
      <c r="DM176" s="173">
        <f t="shared" si="552"/>
        <v>2.2978250586152114</v>
      </c>
      <c r="DN176" s="173">
        <f t="shared" si="553"/>
        <v>3.4533714285714288</v>
      </c>
      <c r="DO176" s="173">
        <f t="shared" si="554"/>
        <v>2.7703985890652558</v>
      </c>
      <c r="DQ176" s="545">
        <f t="shared" si="555"/>
        <v>660</v>
      </c>
      <c r="DR176" s="460">
        <f t="shared" si="556"/>
        <v>151.26900494384154</v>
      </c>
      <c r="DT176">
        <f t="shared" si="591"/>
        <v>660</v>
      </c>
      <c r="DU176">
        <f t="shared" si="592"/>
        <v>151.26900494384154</v>
      </c>
      <c r="DW176" s="5">
        <f t="shared" si="557"/>
        <v>6.6107395918367349</v>
      </c>
      <c r="DX176" s="5">
        <f t="shared" si="558"/>
        <v>4.1440457142857143</v>
      </c>
      <c r="DY176" s="5">
        <f t="shared" si="559"/>
        <v>2.4666938775510205</v>
      </c>
      <c r="DZ176" s="5"/>
      <c r="EA176" s="173">
        <f t="shared" si="560"/>
        <v>0.62686567164179108</v>
      </c>
      <c r="EB176" s="173">
        <f t="shared" si="561"/>
        <v>10.824000000000002</v>
      </c>
      <c r="EC176" s="173">
        <f t="shared" si="562"/>
        <v>0.64428571428571424</v>
      </c>
      <c r="ED176" s="173">
        <f t="shared" si="563"/>
        <v>16.800000000000004</v>
      </c>
      <c r="EE176" s="460">
        <f t="shared" si="564"/>
        <v>16.677257142857147</v>
      </c>
      <c r="EF176" s="5">
        <f t="shared" si="565"/>
        <v>2.2249578775510206</v>
      </c>
      <c r="EH176" s="173">
        <f t="shared" si="566"/>
        <v>1.5785920381330774</v>
      </c>
      <c r="EI176" s="173">
        <f t="shared" si="567"/>
        <v>1.2179101985371008</v>
      </c>
      <c r="EK176" s="528">
        <f t="shared" si="568"/>
        <v>4.9839056457142865E-2</v>
      </c>
      <c r="EL176" s="528">
        <f t="shared" si="569"/>
        <v>0.27999999999999997</v>
      </c>
      <c r="EM176" s="528">
        <f t="shared" si="570"/>
        <v>1.890862561798019E-2</v>
      </c>
      <c r="EN176" s="528">
        <f t="shared" si="571"/>
        <v>1.0864745011086472E-2</v>
      </c>
      <c r="EO176">
        <f t="shared" si="572"/>
        <v>4.4999999999999997E-3</v>
      </c>
      <c r="EP176" s="460">
        <f t="shared" si="573"/>
        <v>23.408625617980189</v>
      </c>
      <c r="EQ176" s="460"/>
      <c r="ER176" s="460">
        <f t="shared" si="593"/>
        <v>364.11242708620949</v>
      </c>
      <c r="ES176" s="528">
        <f t="shared" si="574"/>
        <v>0.46199999999999997</v>
      </c>
      <c r="EV176" s="460">
        <f t="shared" si="494"/>
        <v>461.99999999999994</v>
      </c>
      <c r="EW176" s="528">
        <f t="shared" si="575"/>
        <v>7.4758584685714294E-2</v>
      </c>
      <c r="EX176" s="528">
        <f t="shared" si="576"/>
        <v>4.4499157551020407E-2</v>
      </c>
      <c r="EY176" s="528">
        <f t="shared" si="577"/>
        <v>0.31185528502698351</v>
      </c>
      <c r="EZ176" s="528"/>
      <c r="FA176" s="528">
        <f t="shared" si="578"/>
        <v>9.020000000000002E-3</v>
      </c>
      <c r="FB176" s="460">
        <f t="shared" si="579"/>
        <v>440.13302726371825</v>
      </c>
      <c r="FC176" s="173">
        <f t="shared" si="580"/>
        <v>1.2662454543499277</v>
      </c>
      <c r="FD176" s="5">
        <f t="shared" si="581"/>
        <v>10.824</v>
      </c>
      <c r="FE176" s="173">
        <f t="shared" si="582"/>
        <v>0.89526718385238835</v>
      </c>
      <c r="FF176" s="5">
        <f t="shared" si="583"/>
        <v>89.526718385238837</v>
      </c>
      <c r="FI176" s="562">
        <f t="shared" si="584"/>
        <v>-50</v>
      </c>
      <c r="FJ176">
        <f t="shared" si="585"/>
        <v>-50</v>
      </c>
      <c r="FL176">
        <f t="shared" si="586"/>
        <v>0.37313432835820892</v>
      </c>
    </row>
    <row r="177" spans="5:168">
      <c r="E177" s="170">
        <v>67</v>
      </c>
      <c r="F177" s="217">
        <f t="shared" si="587"/>
        <v>0.67</v>
      </c>
      <c r="G177" s="217"/>
      <c r="H177" s="217">
        <f t="shared" si="495"/>
        <v>10.988</v>
      </c>
      <c r="I177" s="541">
        <f t="shared" si="496"/>
        <v>9.908390792353666</v>
      </c>
      <c r="J177" s="172">
        <f t="shared" si="497"/>
        <v>16.854965524587797</v>
      </c>
      <c r="K177" s="172">
        <f t="shared" si="498"/>
        <v>26.763356316941461</v>
      </c>
      <c r="L177" s="443"/>
      <c r="M177" s="217">
        <f t="shared" si="499"/>
        <v>0.6297625372644321</v>
      </c>
      <c r="N177" s="172">
        <f t="shared" si="500"/>
        <v>20.877776918570607</v>
      </c>
      <c r="O177" s="172">
        <f t="shared" si="438"/>
        <v>10.988</v>
      </c>
      <c r="P177" s="217">
        <f t="shared" si="501"/>
        <v>1.2730351779616225</v>
      </c>
      <c r="Q177" s="217">
        <f t="shared" si="502"/>
        <v>16.399999999999999</v>
      </c>
      <c r="R177" s="217"/>
      <c r="S177" s="172">
        <f t="shared" si="503"/>
        <v>39.486451765230797</v>
      </c>
      <c r="T177" s="536">
        <f t="shared" si="504"/>
        <v>16.399999999999999</v>
      </c>
      <c r="U177" s="217">
        <f t="shared" si="505"/>
        <v>3.6192987875920557</v>
      </c>
      <c r="V177" s="217">
        <f t="shared" si="506"/>
        <v>4.3833137349226226</v>
      </c>
      <c r="W177" s="217">
        <f t="shared" si="507"/>
        <v>2.5767828114360278</v>
      </c>
      <c r="X177" s="197">
        <f t="shared" si="508"/>
        <v>350</v>
      </c>
      <c r="Y177" s="443">
        <f t="shared" si="509"/>
        <v>139.6629212365246</v>
      </c>
      <c r="AA177" s="217">
        <f t="shared" si="510"/>
        <v>1.4857342293972231</v>
      </c>
      <c r="AB177" s="173">
        <f t="shared" si="511"/>
        <v>1.057777942456082</v>
      </c>
      <c r="AC177" s="173">
        <f t="shared" si="512"/>
        <v>0.27502595683646425</v>
      </c>
      <c r="AD177" s="173"/>
      <c r="AE177" s="173">
        <f t="shared" si="513"/>
        <v>0.94927515435492393</v>
      </c>
      <c r="AF177" s="545">
        <f t="shared" si="514"/>
        <v>1058.7025220131709</v>
      </c>
      <c r="AG177" s="528">
        <f t="shared" si="515"/>
        <v>0.22149753601614894</v>
      </c>
      <c r="AI177" s="173">
        <f t="shared" si="516"/>
        <v>2.3189516208298611</v>
      </c>
      <c r="AJ177" s="173">
        <f t="shared" si="517"/>
        <v>3.6192987875920557</v>
      </c>
      <c r="AK177" s="173">
        <f t="shared" si="518"/>
        <v>2.8933077438953498</v>
      </c>
      <c r="AM177" s="545">
        <f t="shared" si="519"/>
        <v>670</v>
      </c>
      <c r="AN177" s="460">
        <f t="shared" si="520"/>
        <v>139.6629212365246</v>
      </c>
      <c r="AP177">
        <f t="shared" si="521"/>
        <v>670</v>
      </c>
      <c r="AQ177">
        <f t="shared" si="522"/>
        <v>139.6629212365246</v>
      </c>
      <c r="AS177" s="5">
        <f t="shared" si="439"/>
        <v>7.1600965463586501</v>
      </c>
      <c r="AT177" s="5">
        <f t="shared" si="523"/>
        <v>4.3833137349226226</v>
      </c>
      <c r="AU177" s="5">
        <f t="shared" si="478"/>
        <v>2.7767828114360276</v>
      </c>
      <c r="AV177" s="5"/>
      <c r="AW177" s="173">
        <f t="shared" si="479"/>
        <v>0.61218640091547472</v>
      </c>
      <c r="AX177" s="173">
        <f t="shared" si="435"/>
        <v>10.976938896607869</v>
      </c>
      <c r="AY177" s="173">
        <f t="shared" si="436"/>
        <v>0.70180664448916696</v>
      </c>
      <c r="AZ177" s="173">
        <f t="shared" si="440"/>
        <v>15.640973169465779</v>
      </c>
      <c r="BA177" s="460">
        <f t="shared" si="433"/>
        <v>17.907440258525355</v>
      </c>
      <c r="BB177" s="5">
        <f t="shared" si="434"/>
        <v>2.5661154412349783</v>
      </c>
      <c r="BD177" s="173">
        <f t="shared" si="441"/>
        <v>1.6349544171849708</v>
      </c>
      <c r="BE177" s="173">
        <f t="shared" si="437"/>
        <v>1.3012936992402833</v>
      </c>
      <c r="BG177" s="528">
        <f t="shared" si="480"/>
        <v>5.3461518925452957E-2</v>
      </c>
      <c r="BH177" s="528">
        <f t="shared" si="524"/>
        <v>0.2536573244228687</v>
      </c>
      <c r="BI177" s="528">
        <f t="shared" si="525"/>
        <v>3.4595870070329889E-2</v>
      </c>
      <c r="BJ177" s="528">
        <f t="shared" si="481"/>
        <v>1.0003737194184086E-2</v>
      </c>
      <c r="BK177">
        <f t="shared" si="482"/>
        <v>4.4587758565591499E-3</v>
      </c>
      <c r="BL177" s="460">
        <f t="shared" si="588"/>
        <v>39.054645926889037</v>
      </c>
      <c r="BM177" s="528">
        <f t="shared" si="526"/>
        <v>0.33582296742096052</v>
      </c>
      <c r="BN177" s="460">
        <f t="shared" si="527"/>
        <v>335.82296742096054</v>
      </c>
      <c r="BO177" s="528">
        <f t="shared" si="483"/>
        <v>0.46899999999999997</v>
      </c>
      <c r="BR177" s="460">
        <f t="shared" si="484"/>
        <v>469</v>
      </c>
      <c r="BS177" s="528">
        <f t="shared" si="485"/>
        <v>8.0192278388179425E-2</v>
      </c>
      <c r="BT177" s="528">
        <f t="shared" si="486"/>
        <v>5.0800958750473822E-2</v>
      </c>
      <c r="BU177" s="528">
        <f t="shared" si="487"/>
        <v>0.2872327139986533</v>
      </c>
      <c r="BV177" s="528"/>
      <c r="BW177" s="528">
        <f t="shared" si="488"/>
        <v>9.1474490805065582E-3</v>
      </c>
      <c r="BX177" s="460">
        <f t="shared" si="489"/>
        <v>427.37340021781313</v>
      </c>
      <c r="BY177" s="173">
        <f t="shared" si="490"/>
        <v>1.252550626687208</v>
      </c>
      <c r="BZ177" s="5">
        <f t="shared" si="491"/>
        <v>10.988</v>
      </c>
      <c r="CA177" s="173">
        <f t="shared" si="492"/>
        <v>0.8976720357696687</v>
      </c>
      <c r="CB177" s="5">
        <f t="shared" si="493"/>
        <v>89.767203576966864</v>
      </c>
      <c r="CE177" s="562">
        <f t="shared" si="528"/>
        <v>-50</v>
      </c>
      <c r="CF177">
        <f t="shared" si="529"/>
        <v>-50</v>
      </c>
      <c r="CG177" s="173">
        <f t="shared" si="530"/>
        <v>0.36568376542813935</v>
      </c>
      <c r="CI177" s="170">
        <v>67</v>
      </c>
      <c r="CJ177" s="217">
        <f t="shared" si="589"/>
        <v>0.67</v>
      </c>
      <c r="CK177" s="217"/>
      <c r="CL177" s="217">
        <f t="shared" si="531"/>
        <v>10.988</v>
      </c>
      <c r="CM177" s="541">
        <f t="shared" si="532"/>
        <v>10</v>
      </c>
      <c r="CN177" s="443">
        <f t="shared" si="533"/>
        <v>16.799999999999997</v>
      </c>
      <c r="CO177" s="443">
        <f t="shared" si="534"/>
        <v>26.799999999999997</v>
      </c>
      <c r="CP177" s="443"/>
      <c r="CQ177" s="217">
        <f t="shared" si="535"/>
        <v>0.62686567164179097</v>
      </c>
      <c r="CR177" s="172">
        <f t="shared" si="590"/>
        <v>20.973880597014926</v>
      </c>
      <c r="CS177" s="172">
        <f t="shared" si="536"/>
        <v>10.988</v>
      </c>
      <c r="CT177" s="217">
        <f t="shared" si="537"/>
        <v>1.2788951583545687</v>
      </c>
      <c r="CU177" s="217">
        <f t="shared" si="538"/>
        <v>16.399999999999999</v>
      </c>
      <c r="CV177" s="217"/>
      <c r="CW177" s="172">
        <f t="shared" si="539"/>
        <v>39.850621129511822</v>
      </c>
      <c r="CX177" s="536">
        <f t="shared" si="540"/>
        <v>16.399999999999999</v>
      </c>
      <c r="CY177" s="217">
        <f t="shared" si="541"/>
        <v>3.5056952380952384</v>
      </c>
      <c r="CZ177" s="217">
        <f t="shared" si="542"/>
        <v>4.2068342857142857</v>
      </c>
      <c r="DA177" s="217">
        <f t="shared" si="543"/>
        <v>2.5040680272108848</v>
      </c>
      <c r="DB177" s="197">
        <f t="shared" si="544"/>
        <v>350</v>
      </c>
      <c r="DC177" s="443">
        <f t="shared" si="545"/>
        <v>149.01125860139609</v>
      </c>
      <c r="DE177" s="217">
        <f t="shared" si="546"/>
        <v>1.4925373134328355</v>
      </c>
      <c r="DF177" s="173">
        <f t="shared" si="547"/>
        <v>1.0660980810234544</v>
      </c>
      <c r="DG177" s="173">
        <f t="shared" si="548"/>
        <v>0.27845845399866342</v>
      </c>
      <c r="DH177" s="173"/>
      <c r="DI177" s="173">
        <f t="shared" si="549"/>
        <v>0.95238095238095266</v>
      </c>
      <c r="DJ177" s="545">
        <f t="shared" si="550"/>
        <v>1055.2499999999995</v>
      </c>
      <c r="DK177" s="528">
        <f t="shared" si="551"/>
        <v>0.22222222222222232</v>
      </c>
      <c r="DM177" s="173">
        <f t="shared" si="552"/>
        <v>2.3151673805580448</v>
      </c>
      <c r="DN177" s="173">
        <f t="shared" si="553"/>
        <v>3.5056952380952384</v>
      </c>
      <c r="DO177" s="173">
        <f t="shared" si="554"/>
        <v>2.8091569664903</v>
      </c>
      <c r="DQ177" s="545">
        <f t="shared" si="555"/>
        <v>670</v>
      </c>
      <c r="DR177" s="460">
        <f t="shared" si="556"/>
        <v>149.01125860139609</v>
      </c>
      <c r="DT177">
        <f t="shared" si="591"/>
        <v>670</v>
      </c>
      <c r="DU177">
        <f t="shared" si="592"/>
        <v>149.01125860139609</v>
      </c>
      <c r="DW177" s="5">
        <f t="shared" si="557"/>
        <v>6.7109023129251719</v>
      </c>
      <c r="DX177" s="5">
        <f t="shared" si="558"/>
        <v>4.2068342857142857</v>
      </c>
      <c r="DY177" s="5">
        <f t="shared" si="559"/>
        <v>2.5040680272108862</v>
      </c>
      <c r="DZ177" s="5"/>
      <c r="EA177" s="173">
        <f t="shared" si="560"/>
        <v>0.62686567164179086</v>
      </c>
      <c r="EB177" s="173">
        <f t="shared" si="561"/>
        <v>10.987999999999998</v>
      </c>
      <c r="EC177" s="173">
        <f t="shared" si="562"/>
        <v>0.65404761904761943</v>
      </c>
      <c r="ED177" s="173">
        <f t="shared" si="563"/>
        <v>16.799999999999986</v>
      </c>
      <c r="EE177" s="460">
        <f t="shared" si="564"/>
        <v>17.186457142857147</v>
      </c>
      <c r="EF177" s="5">
        <f t="shared" si="565"/>
        <v>2.2928916235827681</v>
      </c>
      <c r="EH177" s="173">
        <f t="shared" si="566"/>
        <v>1.6025100993169117</v>
      </c>
      <c r="EI177" s="173">
        <f t="shared" si="567"/>
        <v>1.2363633833634209</v>
      </c>
      <c r="EK177" s="528">
        <f t="shared" si="568"/>
        <v>5.1360772368253961E-2</v>
      </c>
      <c r="EL177" s="528">
        <f t="shared" si="569"/>
        <v>0.27999999999999992</v>
      </c>
      <c r="EM177" s="528">
        <f t="shared" si="570"/>
        <v>1.862640732517451E-2</v>
      </c>
      <c r="EN177" s="528">
        <f t="shared" si="571"/>
        <v>1.0702584637786672E-2</v>
      </c>
      <c r="EO177">
        <f t="shared" si="572"/>
        <v>4.4999999999999997E-3</v>
      </c>
      <c r="EP177" s="460">
        <f t="shared" si="573"/>
        <v>23.126407325174512</v>
      </c>
      <c r="EQ177" s="460"/>
      <c r="ER177" s="460">
        <f t="shared" si="593"/>
        <v>365.18976433121509</v>
      </c>
      <c r="ES177" s="528">
        <f t="shared" si="574"/>
        <v>0.46899999999999997</v>
      </c>
      <c r="EV177" s="460">
        <f t="shared" si="494"/>
        <v>469</v>
      </c>
      <c r="EW177" s="528">
        <f t="shared" si="575"/>
        <v>7.7041158552380931E-2</v>
      </c>
      <c r="EX177" s="528">
        <f t="shared" si="576"/>
        <v>4.5857832471655355E-2</v>
      </c>
      <c r="EY177" s="528">
        <f t="shared" si="577"/>
        <v>0.31185528502698279</v>
      </c>
      <c r="EZ177" s="528"/>
      <c r="FA177" s="528">
        <f t="shared" si="578"/>
        <v>9.1566666666666671E-3</v>
      </c>
      <c r="FB177" s="460">
        <f t="shared" si="579"/>
        <v>443.91094271768571</v>
      </c>
      <c r="FC177" s="173">
        <f t="shared" si="580"/>
        <v>1.2781007070489008</v>
      </c>
      <c r="FD177" s="5">
        <f t="shared" si="581"/>
        <v>10.988</v>
      </c>
      <c r="FE177" s="173">
        <f t="shared" si="582"/>
        <v>0.89580220009815981</v>
      </c>
      <c r="FF177" s="5">
        <f t="shared" si="583"/>
        <v>89.580220009815974</v>
      </c>
      <c r="FI177" s="562">
        <f t="shared" si="584"/>
        <v>-50</v>
      </c>
      <c r="FJ177">
        <f t="shared" si="585"/>
        <v>-50</v>
      </c>
      <c r="FL177">
        <f t="shared" si="586"/>
        <v>0.37313432835820914</v>
      </c>
    </row>
    <row r="178" spans="5:168">
      <c r="E178" s="170">
        <v>68</v>
      </c>
      <c r="F178" s="217">
        <f t="shared" si="587"/>
        <v>0.68</v>
      </c>
      <c r="G178" s="217"/>
      <c r="H178" s="217">
        <f t="shared" si="495"/>
        <v>11.151999999999999</v>
      </c>
      <c r="I178" s="541">
        <f t="shared" si="496"/>
        <v>9.9070513402613578</v>
      </c>
      <c r="J178" s="172">
        <f t="shared" si="497"/>
        <v>16.855769195843184</v>
      </c>
      <c r="K178" s="172">
        <f t="shared" si="498"/>
        <v>26.762820536104542</v>
      </c>
      <c r="L178" s="443"/>
      <c r="M178" s="217">
        <f t="shared" si="499"/>
        <v>0.62980518054467693</v>
      </c>
      <c r="N178" s="172">
        <f t="shared" si="500"/>
        <v>20.876368096620862</v>
      </c>
      <c r="O178" s="172">
        <f t="shared" si="438"/>
        <v>11.151999999999999</v>
      </c>
      <c r="P178" s="217">
        <f t="shared" si="501"/>
        <v>1.272949274184199</v>
      </c>
      <c r="Q178" s="217">
        <f t="shared" si="502"/>
        <v>16.399999999999999</v>
      </c>
      <c r="R178" s="217"/>
      <c r="S178" s="172">
        <f t="shared" si="503"/>
        <v>38.758126281551618</v>
      </c>
      <c r="T178" s="536">
        <f t="shared" si="504"/>
        <v>16.399999999999999</v>
      </c>
      <c r="U178" s="217">
        <f t="shared" si="505"/>
        <v>3.6737413073500118</v>
      </c>
      <c r="V178" s="217">
        <f t="shared" si="506"/>
        <v>4.4498503312527635</v>
      </c>
      <c r="W178" s="217">
        <f t="shared" si="507"/>
        <v>2.6154188026656153</v>
      </c>
      <c r="X178" s="197">
        <f t="shared" si="508"/>
        <v>350</v>
      </c>
      <c r="Y178" s="443">
        <f t="shared" si="509"/>
        <v>137.64115018553619</v>
      </c>
      <c r="AA178" s="217">
        <f t="shared" si="510"/>
        <v>1.4856339562346539</v>
      </c>
      <c r="AB178" s="173">
        <f t="shared" si="511"/>
        <v>1.0576561216329616</v>
      </c>
      <c r="AC178" s="173">
        <f t="shared" si="512"/>
        <v>0.274975723455541</v>
      </c>
      <c r="AD178" s="173"/>
      <c r="AE178" s="173">
        <f t="shared" si="513"/>
        <v>0.94922989358123011</v>
      </c>
      <c r="AF178" s="545">
        <f t="shared" si="514"/>
        <v>1074.5552862350025</v>
      </c>
      <c r="AG178" s="528">
        <f t="shared" si="515"/>
        <v>0.22148697516895374</v>
      </c>
      <c r="AI178" s="173">
        <f t="shared" si="516"/>
        <v>2.3362488302296103</v>
      </c>
      <c r="AJ178" s="173">
        <f t="shared" si="517"/>
        <v>3.6737413073500118</v>
      </c>
      <c r="AK178" s="173">
        <f t="shared" si="518"/>
        <v>2.9336355363086506</v>
      </c>
      <c r="AM178" s="545">
        <f t="shared" si="519"/>
        <v>680</v>
      </c>
      <c r="AN178" s="460">
        <f t="shared" si="520"/>
        <v>137.64115018553619</v>
      </c>
      <c r="AP178">
        <f t="shared" si="521"/>
        <v>680</v>
      </c>
      <c r="AQ178">
        <f t="shared" si="522"/>
        <v>137.64115018553619</v>
      </c>
      <c r="AS178" s="5">
        <f t="shared" si="439"/>
        <v>7.2652691339183786</v>
      </c>
      <c r="AT178" s="5">
        <f t="shared" si="523"/>
        <v>4.4498503312527635</v>
      </c>
      <c r="AU178" s="5">
        <f t="shared" si="478"/>
        <v>2.8154188026656151</v>
      </c>
      <c r="AV178" s="5"/>
      <c r="AW178" s="173">
        <f t="shared" si="479"/>
        <v>0.61248251774711959</v>
      </c>
      <c r="AX178" s="173">
        <f t="shared" si="435"/>
        <v>11.145939629672691</v>
      </c>
      <c r="AY178" s="173">
        <f t="shared" si="436"/>
        <v>0.71181949093634089</v>
      </c>
      <c r="AZ178" s="173">
        <f t="shared" si="440"/>
        <v>15.658379366672175</v>
      </c>
      <c r="BA178" s="460">
        <f t="shared" si="433"/>
        <v>18.450598934462683</v>
      </c>
      <c r="BB178" s="5">
        <f t="shared" si="434"/>
        <v>2.6410103781107006</v>
      </c>
      <c r="BD178" s="173">
        <f t="shared" si="441"/>
        <v>1.6599491818396519</v>
      </c>
      <c r="BE178" s="173">
        <f t="shared" si="437"/>
        <v>1.320363754735715</v>
      </c>
      <c r="BG178" s="528">
        <f t="shared" si="480"/>
        <v>5.5108625725802593E-2</v>
      </c>
      <c r="BH178" s="528">
        <f t="shared" si="524"/>
        <v>0.25374063272567904</v>
      </c>
      <c r="BI178" s="528">
        <f t="shared" si="525"/>
        <v>3.4090448535518278E-2</v>
      </c>
      <c r="BJ178" s="528">
        <f t="shared" si="481"/>
        <v>9.8585276036628339E-3</v>
      </c>
      <c r="BK178">
        <f t="shared" si="482"/>
        <v>4.458173103117611E-3</v>
      </c>
      <c r="BL178" s="460">
        <f t="shared" si="588"/>
        <v>38.548621638635886</v>
      </c>
      <c r="BM178" s="528">
        <f t="shared" si="526"/>
        <v>0.33801299272709256</v>
      </c>
      <c r="BN178" s="460">
        <f t="shared" si="527"/>
        <v>338.01299272709258</v>
      </c>
      <c r="BO178" s="528">
        <f t="shared" si="483"/>
        <v>0.47599999999999998</v>
      </c>
      <c r="BR178" s="460">
        <f t="shared" si="484"/>
        <v>476</v>
      </c>
      <c r="BS178" s="528">
        <f t="shared" si="485"/>
        <v>8.2662938588703883E-2</v>
      </c>
      <c r="BT178" s="528">
        <f t="shared" si="486"/>
        <v>5.2300813344593855E-2</v>
      </c>
      <c r="BU178" s="528">
        <f t="shared" si="487"/>
        <v>0.28748299836991342</v>
      </c>
      <c r="BV178" s="528"/>
      <c r="BW178" s="528">
        <f t="shared" si="488"/>
        <v>9.2882830247272424E-3</v>
      </c>
      <c r="BX178" s="460">
        <f t="shared" si="489"/>
        <v>431.73503332793837</v>
      </c>
      <c r="BY178" s="173">
        <f t="shared" si="490"/>
        <v>1.2649914410217187</v>
      </c>
      <c r="BZ178" s="5">
        <f t="shared" si="491"/>
        <v>11.151999999999999</v>
      </c>
      <c r="CA178" s="173">
        <f t="shared" si="492"/>
        <v>0.8981241593802991</v>
      </c>
      <c r="CB178" s="5">
        <f t="shared" si="493"/>
        <v>89.812415938029915</v>
      </c>
      <c r="CE178" s="562">
        <f t="shared" si="528"/>
        <v>-50</v>
      </c>
      <c r="CF178">
        <f t="shared" si="529"/>
        <v>-50</v>
      </c>
      <c r="CG178" s="173">
        <f t="shared" si="530"/>
        <v>0.36579333253005203</v>
      </c>
      <c r="CI178" s="170">
        <v>68</v>
      </c>
      <c r="CJ178" s="217">
        <f t="shared" si="589"/>
        <v>0.68</v>
      </c>
      <c r="CK178" s="217"/>
      <c r="CL178" s="217">
        <f t="shared" si="531"/>
        <v>11.151999999999999</v>
      </c>
      <c r="CM178" s="541">
        <f t="shared" si="532"/>
        <v>10</v>
      </c>
      <c r="CN178" s="443">
        <f t="shared" si="533"/>
        <v>16.799999999999997</v>
      </c>
      <c r="CO178" s="443">
        <f t="shared" si="534"/>
        <v>26.799999999999997</v>
      </c>
      <c r="CP178" s="443"/>
      <c r="CQ178" s="217">
        <f t="shared" si="535"/>
        <v>0.62686567164179097</v>
      </c>
      <c r="CR178" s="172">
        <f t="shared" si="590"/>
        <v>20.973880597014926</v>
      </c>
      <c r="CS178" s="172">
        <f t="shared" si="536"/>
        <v>11.151999999999999</v>
      </c>
      <c r="CT178" s="217">
        <f t="shared" si="537"/>
        <v>1.2788951583545687</v>
      </c>
      <c r="CU178" s="217">
        <f t="shared" si="538"/>
        <v>16.399999999999999</v>
      </c>
      <c r="CV178" s="217"/>
      <c r="CW178" s="172">
        <f t="shared" si="539"/>
        <v>39.120820317167372</v>
      </c>
      <c r="CX178" s="536">
        <f t="shared" si="540"/>
        <v>16.399999999999999</v>
      </c>
      <c r="CY178" s="217">
        <f t="shared" si="541"/>
        <v>3.5580190476190476</v>
      </c>
      <c r="CZ178" s="217">
        <f t="shared" si="542"/>
        <v>4.2696228571428572</v>
      </c>
      <c r="DA178" s="217">
        <f t="shared" si="543"/>
        <v>2.5414421768707491</v>
      </c>
      <c r="DB178" s="197">
        <f t="shared" si="544"/>
        <v>350</v>
      </c>
      <c r="DC178" s="443">
        <f t="shared" si="545"/>
        <v>146.81991656314031</v>
      </c>
      <c r="DE178" s="217">
        <f t="shared" si="546"/>
        <v>1.4925373134328355</v>
      </c>
      <c r="DF178" s="173">
        <f t="shared" si="547"/>
        <v>1.0660980810234544</v>
      </c>
      <c r="DG178" s="173">
        <f t="shared" si="548"/>
        <v>0.27845845399866342</v>
      </c>
      <c r="DH178" s="173"/>
      <c r="DI178" s="173">
        <f t="shared" si="549"/>
        <v>0.95238095238095266</v>
      </c>
      <c r="DJ178" s="545">
        <f t="shared" si="550"/>
        <v>1070.9999999999995</v>
      </c>
      <c r="DK178" s="528">
        <f t="shared" si="551"/>
        <v>0.22222222222222232</v>
      </c>
      <c r="DM178" s="173">
        <f t="shared" si="552"/>
        <v>2.3323807579381199</v>
      </c>
      <c r="DN178" s="173">
        <f t="shared" si="553"/>
        <v>3.5580190476190476</v>
      </c>
      <c r="DO178" s="173">
        <f t="shared" si="554"/>
        <v>2.8479153439153437</v>
      </c>
      <c r="DQ178" s="545">
        <f t="shared" si="555"/>
        <v>680</v>
      </c>
      <c r="DR178" s="460">
        <f t="shared" si="556"/>
        <v>146.81991656314031</v>
      </c>
      <c r="DT178">
        <f t="shared" si="591"/>
        <v>680</v>
      </c>
      <c r="DU178">
        <f t="shared" si="592"/>
        <v>146.81991656314031</v>
      </c>
      <c r="DW178" s="5">
        <f t="shared" si="557"/>
        <v>6.8110650340136063</v>
      </c>
      <c r="DX178" s="5">
        <f t="shared" si="558"/>
        <v>4.2696228571428572</v>
      </c>
      <c r="DY178" s="5">
        <f t="shared" si="559"/>
        <v>2.5414421768707491</v>
      </c>
      <c r="DZ178" s="5"/>
      <c r="EA178" s="173">
        <f t="shared" si="560"/>
        <v>0.62686567164179097</v>
      </c>
      <c r="EB178" s="173">
        <f t="shared" si="561"/>
        <v>11.152000000000001</v>
      </c>
      <c r="EC178" s="173">
        <f t="shared" si="562"/>
        <v>0.66380952380952396</v>
      </c>
      <c r="ED178" s="173">
        <f t="shared" si="563"/>
        <v>16.799999999999997</v>
      </c>
      <c r="EE178" s="460">
        <f t="shared" si="564"/>
        <v>17.703314285714292</v>
      </c>
      <c r="EF178" s="5">
        <f t="shared" si="565"/>
        <v>2.3618469297052158</v>
      </c>
      <c r="EH178" s="173">
        <f t="shared" si="566"/>
        <v>1.626428160500746</v>
      </c>
      <c r="EI178" s="173">
        <f t="shared" si="567"/>
        <v>1.2548165681897403</v>
      </c>
      <c r="EK178" s="528">
        <f t="shared" si="568"/>
        <v>5.2905371225396812E-2</v>
      </c>
      <c r="EL178" s="528">
        <f t="shared" si="569"/>
        <v>0.27999999999999997</v>
      </c>
      <c r="EM178" s="528">
        <f t="shared" si="570"/>
        <v>1.8352489570392535E-2</v>
      </c>
      <c r="EN178" s="528">
        <f t="shared" si="571"/>
        <v>1.0545193687230989E-2</v>
      </c>
      <c r="EO178">
        <f t="shared" si="572"/>
        <v>4.4999999999999997E-3</v>
      </c>
      <c r="EP178" s="460">
        <f t="shared" si="573"/>
        <v>22.852489570392535</v>
      </c>
      <c r="EQ178" s="460"/>
      <c r="ER178" s="460">
        <f t="shared" si="593"/>
        <v>366.30305448302033</v>
      </c>
      <c r="ES178" s="528">
        <f t="shared" si="574"/>
        <v>0.47599999999999998</v>
      </c>
      <c r="EV178" s="460">
        <f t="shared" si="494"/>
        <v>476</v>
      </c>
      <c r="EW178" s="528">
        <f t="shared" si="575"/>
        <v>7.9358056838095214E-2</v>
      </c>
      <c r="EX178" s="528">
        <f t="shared" si="576"/>
        <v>4.7236938594104314E-2</v>
      </c>
      <c r="EY178" s="528">
        <f t="shared" si="577"/>
        <v>0.31185528502698284</v>
      </c>
      <c r="EZ178" s="528"/>
      <c r="FA178" s="528">
        <f t="shared" si="578"/>
        <v>9.2933333333333323E-3</v>
      </c>
      <c r="FB178" s="460">
        <f t="shared" si="579"/>
        <v>447.7436137925157</v>
      </c>
      <c r="FC178" s="173">
        <f t="shared" si="580"/>
        <v>1.290046668275536</v>
      </c>
      <c r="FD178" s="5">
        <f t="shared" si="581"/>
        <v>11.151999999999999</v>
      </c>
      <c r="FE178" s="173">
        <f t="shared" si="582"/>
        <v>0.89631555782820926</v>
      </c>
      <c r="FF178" s="5">
        <f t="shared" si="583"/>
        <v>89.631555782820925</v>
      </c>
      <c r="FI178" s="562">
        <f t="shared" si="584"/>
        <v>-50</v>
      </c>
      <c r="FJ178">
        <f t="shared" si="585"/>
        <v>-50</v>
      </c>
      <c r="FL178">
        <f t="shared" si="586"/>
        <v>0.37313432835820903</v>
      </c>
    </row>
    <row r="179" spans="5:168">
      <c r="E179" s="170">
        <v>69</v>
      </c>
      <c r="F179" s="217">
        <f t="shared" si="587"/>
        <v>0.69</v>
      </c>
      <c r="G179" s="217"/>
      <c r="H179" s="217">
        <f t="shared" si="495"/>
        <v>11.315999999999999</v>
      </c>
      <c r="I179" s="541">
        <f t="shared" si="496"/>
        <v>9.9057118719736579</v>
      </c>
      <c r="J179" s="172">
        <f t="shared" si="497"/>
        <v>16.8565728768158</v>
      </c>
      <c r="K179" s="172">
        <f t="shared" si="498"/>
        <v>26.762284748789458</v>
      </c>
      <c r="L179" s="443"/>
      <c r="M179" s="217">
        <f t="shared" si="499"/>
        <v>0.62984782591255339</v>
      </c>
      <c r="N179" s="172">
        <f t="shared" si="500"/>
        <v>20.874958927512747</v>
      </c>
      <c r="O179" s="172">
        <f t="shared" si="438"/>
        <v>11.315999999999999</v>
      </c>
      <c r="P179" s="217">
        <f t="shared" si="501"/>
        <v>1.2728633492385821</v>
      </c>
      <c r="Q179" s="217">
        <f t="shared" si="502"/>
        <v>16.399999999999999</v>
      </c>
      <c r="R179" s="217"/>
      <c r="S179" s="172">
        <f t="shared" si="503"/>
        <v>38.051016263896592</v>
      </c>
      <c r="T179" s="536">
        <f t="shared" si="504"/>
        <v>16.399999999999999</v>
      </c>
      <c r="U179" s="217">
        <f t="shared" si="505"/>
        <v>3.7281963922059296</v>
      </c>
      <c r="V179" s="217">
        <f t="shared" si="506"/>
        <v>4.5164201507869297</v>
      </c>
      <c r="W179" s="217">
        <f t="shared" si="507"/>
        <v>2.6540600532154084</v>
      </c>
      <c r="X179" s="197">
        <f t="shared" si="508"/>
        <v>350</v>
      </c>
      <c r="Y179" s="443">
        <f t="shared" si="509"/>
        <v>135.67637010367076</v>
      </c>
      <c r="AA179" s="217">
        <f t="shared" si="510"/>
        <v>1.4855336586901573</v>
      </c>
      <c r="AB179" s="173">
        <f t="shared" si="511"/>
        <v>1.0575342944591053</v>
      </c>
      <c r="AC179" s="173">
        <f t="shared" si="512"/>
        <v>0.27492548818667606</v>
      </c>
      <c r="AD179" s="173"/>
      <c r="AE179" s="173">
        <f t="shared" si="513"/>
        <v>0.94918463657616237</v>
      </c>
      <c r="AF179" s="545">
        <f t="shared" si="514"/>
        <v>1090.4095579690218</v>
      </c>
      <c r="AG179" s="528">
        <f t="shared" si="515"/>
        <v>0.22147641520110459</v>
      </c>
      <c r="AI179" s="173">
        <f t="shared" si="516"/>
        <v>2.3534205384830318</v>
      </c>
      <c r="AJ179" s="173">
        <f t="shared" si="517"/>
        <v>3.7281963922059296</v>
      </c>
      <c r="AK179" s="173">
        <f t="shared" si="518"/>
        <v>2.973972636201923</v>
      </c>
      <c r="AM179" s="545">
        <f t="shared" si="519"/>
        <v>690</v>
      </c>
      <c r="AN179" s="460">
        <f t="shared" si="520"/>
        <v>135.67637010367076</v>
      </c>
      <c r="AP179">
        <f t="shared" si="521"/>
        <v>690</v>
      </c>
      <c r="AQ179">
        <f t="shared" si="522"/>
        <v>135.67637010367076</v>
      </c>
      <c r="AS179" s="5">
        <f t="shared" si="439"/>
        <v>7.3704802040023383</v>
      </c>
      <c r="AT179" s="5">
        <f t="shared" si="523"/>
        <v>4.5164201507869297</v>
      </c>
      <c r="AU179" s="5">
        <f t="shared" si="478"/>
        <v>2.8540600532154086</v>
      </c>
      <c r="AV179" s="5"/>
      <c r="AW179" s="173">
        <f t="shared" si="479"/>
        <v>0.61277149192184399</v>
      </c>
      <c r="AX179" s="173">
        <f t="shared" si="435"/>
        <v>11.314960182357938</v>
      </c>
      <c r="AY179" s="173">
        <f t="shared" si="436"/>
        <v>0.72183196338813294</v>
      </c>
      <c r="AZ179" s="173">
        <f t="shared" si="440"/>
        <v>15.67533824527222</v>
      </c>
      <c r="BA179" s="460">
        <f t="shared" si="433"/>
        <v>19.00201161001818</v>
      </c>
      <c r="BB179" s="5">
        <f t="shared" si="434"/>
        <v>2.7169966832942891</v>
      </c>
      <c r="BD179" s="173">
        <f t="shared" si="441"/>
        <v>1.6849516012329246</v>
      </c>
      <c r="BE179" s="173">
        <f t="shared" si="437"/>
        <v>1.3394355332707781</v>
      </c>
      <c r="BG179" s="528">
        <f t="shared" si="480"/>
        <v>5.6781237969947933E-2</v>
      </c>
      <c r="BH179" s="528">
        <f t="shared" si="524"/>
        <v>0.25382094522512716</v>
      </c>
      <c r="BI179" s="528">
        <f t="shared" si="525"/>
        <v>3.3599275752055582E-2</v>
      </c>
      <c r="BJ179" s="528">
        <f t="shared" si="481"/>
        <v>9.7174114189515787E-3</v>
      </c>
      <c r="BK179">
        <f t="shared" si="482"/>
        <v>4.4575703423881457E-3</v>
      </c>
      <c r="BL179" s="460">
        <f t="shared" si="588"/>
        <v>38.056846094443728</v>
      </c>
      <c r="BM179" s="528">
        <f t="shared" si="526"/>
        <v>0.34024079298573767</v>
      </c>
      <c r="BN179" s="460">
        <f t="shared" si="527"/>
        <v>340.2407929857377</v>
      </c>
      <c r="BO179" s="528">
        <f t="shared" si="483"/>
        <v>0.48299999999999993</v>
      </c>
      <c r="BR179" s="460">
        <f t="shared" si="484"/>
        <v>482.99999999999994</v>
      </c>
      <c r="BS179" s="528">
        <f t="shared" si="485"/>
        <v>8.5171856954921896E-2</v>
      </c>
      <c r="BT179" s="528">
        <f t="shared" si="486"/>
        <v>5.3822626433651211E-2</v>
      </c>
      <c r="BU179" s="528">
        <f t="shared" si="487"/>
        <v>0.28772493376190139</v>
      </c>
      <c r="BV179" s="528"/>
      <c r="BW179" s="528">
        <f t="shared" si="488"/>
        <v>9.42913348529828E-3</v>
      </c>
      <c r="BX179" s="460">
        <f t="shared" si="489"/>
        <v>436.14855063577278</v>
      </c>
      <c r="BY179" s="173">
        <f t="shared" si="490"/>
        <v>1.277524991344243</v>
      </c>
      <c r="BZ179" s="5">
        <f t="shared" si="491"/>
        <v>11.315999999999999</v>
      </c>
      <c r="CA179" s="173">
        <f t="shared" si="492"/>
        <v>0.89855699716939386</v>
      </c>
      <c r="CB179" s="5">
        <f t="shared" si="493"/>
        <v>89.855699716939384</v>
      </c>
      <c r="CE179" s="562">
        <f t="shared" si="528"/>
        <v>-50</v>
      </c>
      <c r="CF179">
        <f t="shared" si="529"/>
        <v>-50</v>
      </c>
      <c r="CG179" s="173">
        <f t="shared" si="530"/>
        <v>0.36589972377393837</v>
      </c>
      <c r="CI179" s="170">
        <v>69</v>
      </c>
      <c r="CJ179" s="217">
        <f t="shared" si="589"/>
        <v>0.69</v>
      </c>
      <c r="CK179" s="217"/>
      <c r="CL179" s="217">
        <f t="shared" si="531"/>
        <v>11.315999999999999</v>
      </c>
      <c r="CM179" s="541">
        <f t="shared" si="532"/>
        <v>10</v>
      </c>
      <c r="CN179" s="443">
        <f t="shared" si="533"/>
        <v>16.799999999999997</v>
      </c>
      <c r="CO179" s="443">
        <f t="shared" si="534"/>
        <v>26.799999999999997</v>
      </c>
      <c r="CP179" s="443"/>
      <c r="CQ179" s="217">
        <f t="shared" si="535"/>
        <v>0.62686567164179097</v>
      </c>
      <c r="CR179" s="172">
        <f t="shared" si="590"/>
        <v>20.973880597014926</v>
      </c>
      <c r="CS179" s="172">
        <f t="shared" si="536"/>
        <v>11.315999999999999</v>
      </c>
      <c r="CT179" s="217">
        <f t="shared" si="537"/>
        <v>1.2788951583545687</v>
      </c>
      <c r="CU179" s="217">
        <f t="shared" si="538"/>
        <v>16.399999999999999</v>
      </c>
      <c r="CV179" s="217"/>
      <c r="CW179" s="172">
        <f t="shared" si="539"/>
        <v>38.412239018276289</v>
      </c>
      <c r="CX179" s="536">
        <f t="shared" si="540"/>
        <v>16.399999999999999</v>
      </c>
      <c r="CY179" s="217">
        <f t="shared" si="541"/>
        <v>3.6103428571428573</v>
      </c>
      <c r="CZ179" s="217">
        <f t="shared" si="542"/>
        <v>4.3324114285714286</v>
      </c>
      <c r="DA179" s="217">
        <f t="shared" si="543"/>
        <v>2.5788163265306125</v>
      </c>
      <c r="DB179" s="197">
        <f t="shared" si="544"/>
        <v>350</v>
      </c>
      <c r="DC179" s="443">
        <f t="shared" si="545"/>
        <v>144.69209168541363</v>
      </c>
      <c r="DE179" s="217">
        <f t="shared" si="546"/>
        <v>1.4925373134328355</v>
      </c>
      <c r="DF179" s="173">
        <f t="shared" si="547"/>
        <v>1.0660980810234544</v>
      </c>
      <c r="DG179" s="173">
        <f t="shared" si="548"/>
        <v>0.27845845399866342</v>
      </c>
      <c r="DH179" s="173"/>
      <c r="DI179" s="173">
        <f t="shared" si="549"/>
        <v>0.95238095238095266</v>
      </c>
      <c r="DJ179" s="545">
        <f t="shared" si="550"/>
        <v>1086.7499999999995</v>
      </c>
      <c r="DK179" s="528">
        <f t="shared" si="551"/>
        <v>0.22222222222222232</v>
      </c>
      <c r="DM179" s="173">
        <f t="shared" si="552"/>
        <v>2.3494680248941457</v>
      </c>
      <c r="DN179" s="173">
        <f t="shared" si="553"/>
        <v>3.6103428571428573</v>
      </c>
      <c r="DO179" s="173">
        <f t="shared" si="554"/>
        <v>2.8866737213403884</v>
      </c>
      <c r="DQ179" s="545">
        <f t="shared" si="555"/>
        <v>690</v>
      </c>
      <c r="DR179" s="460">
        <f t="shared" si="556"/>
        <v>144.69209168541363</v>
      </c>
      <c r="DT179">
        <f t="shared" si="591"/>
        <v>690</v>
      </c>
      <c r="DU179">
        <f t="shared" si="592"/>
        <v>144.69209168541363</v>
      </c>
      <c r="DW179" s="5">
        <f t="shared" si="557"/>
        <v>6.9112277551020416</v>
      </c>
      <c r="DX179" s="5">
        <f t="shared" si="558"/>
        <v>4.3324114285714286</v>
      </c>
      <c r="DY179" s="5">
        <f t="shared" si="559"/>
        <v>2.578816326530613</v>
      </c>
      <c r="DZ179" s="5"/>
      <c r="EA179" s="173">
        <f t="shared" si="560"/>
        <v>0.62686567164179097</v>
      </c>
      <c r="EB179" s="173">
        <f t="shared" si="561"/>
        <v>11.315999999999999</v>
      </c>
      <c r="EC179" s="173">
        <f t="shared" si="562"/>
        <v>0.67357142857142871</v>
      </c>
      <c r="ED179" s="173">
        <f t="shared" si="563"/>
        <v>16.799999999999994</v>
      </c>
      <c r="EE179" s="460">
        <f t="shared" si="564"/>
        <v>18.227828571428574</v>
      </c>
      <c r="EF179" s="5">
        <f t="shared" si="565"/>
        <v>2.4318237959183677</v>
      </c>
      <c r="EH179" s="173">
        <f t="shared" si="566"/>
        <v>1.6503462216845806</v>
      </c>
      <c r="EI179" s="173">
        <f t="shared" si="567"/>
        <v>1.2732697530160602</v>
      </c>
      <c r="EK179" s="528">
        <f t="shared" si="568"/>
        <v>5.4472853028571411E-2</v>
      </c>
      <c r="EL179" s="528">
        <f t="shared" si="569"/>
        <v>0.27999999999999997</v>
      </c>
      <c r="EM179" s="528">
        <f t="shared" si="570"/>
        <v>1.8086511460676705E-2</v>
      </c>
      <c r="EN179" s="528">
        <f t="shared" si="571"/>
        <v>1.0392364793213149E-2</v>
      </c>
      <c r="EO179">
        <f t="shared" si="572"/>
        <v>4.4999999999999997E-3</v>
      </c>
      <c r="EP179" s="460">
        <f t="shared" si="573"/>
        <v>22.586511460676704</v>
      </c>
      <c r="EQ179" s="460"/>
      <c r="ER179" s="460">
        <f t="shared" si="593"/>
        <v>367.4517292824612</v>
      </c>
      <c r="ES179" s="528">
        <f t="shared" si="574"/>
        <v>0.48299999999999993</v>
      </c>
      <c r="EV179" s="460">
        <f t="shared" si="494"/>
        <v>482.99999999999994</v>
      </c>
      <c r="EW179" s="528">
        <f t="shared" si="575"/>
        <v>8.1709279542857116E-2</v>
      </c>
      <c r="EX179" s="528">
        <f t="shared" si="576"/>
        <v>4.8636475918367367E-2</v>
      </c>
      <c r="EY179" s="528">
        <f t="shared" si="577"/>
        <v>0.31185528502698312</v>
      </c>
      <c r="EZ179" s="528"/>
      <c r="FA179" s="528">
        <f t="shared" si="578"/>
        <v>9.4299999999999991E-3</v>
      </c>
      <c r="FB179" s="460">
        <f t="shared" si="579"/>
        <v>451.63104048820765</v>
      </c>
      <c r="FC179" s="173">
        <f t="shared" si="580"/>
        <v>1.3020827697706689</v>
      </c>
      <c r="FD179" s="5">
        <f t="shared" si="581"/>
        <v>11.315999999999999</v>
      </c>
      <c r="FE179" s="173">
        <f t="shared" si="582"/>
        <v>0.89680819237530374</v>
      </c>
      <c r="FF179" s="5">
        <f t="shared" si="583"/>
        <v>89.680819237530372</v>
      </c>
      <c r="FI179" s="562">
        <f t="shared" si="584"/>
        <v>-50</v>
      </c>
      <c r="FJ179">
        <f t="shared" si="585"/>
        <v>-50</v>
      </c>
      <c r="FL179">
        <f t="shared" si="586"/>
        <v>0.37313432835820903</v>
      </c>
    </row>
    <row r="180" spans="5:168">
      <c r="E180" s="170">
        <v>70</v>
      </c>
      <c r="F180" s="217">
        <f t="shared" si="587"/>
        <v>0.7</v>
      </c>
      <c r="G180" s="217"/>
      <c r="H180" s="217">
        <f t="shared" si="495"/>
        <v>11.479999999999999</v>
      </c>
      <c r="I180" s="541">
        <f t="shared" si="496"/>
        <v>9.9043723881981816</v>
      </c>
      <c r="J180" s="172">
        <f t="shared" si="497"/>
        <v>16.85737656708109</v>
      </c>
      <c r="K180" s="172">
        <f t="shared" si="498"/>
        <v>26.761748955279273</v>
      </c>
      <c r="L180" s="443"/>
      <c r="M180" s="217">
        <f t="shared" si="499"/>
        <v>0.62989047335160819</v>
      </c>
      <c r="N180" s="172">
        <f t="shared" si="500"/>
        <v>20.873549412157331</v>
      </c>
      <c r="O180" s="172">
        <f t="shared" si="438"/>
        <v>11.479999999999999</v>
      </c>
      <c r="P180" s="217">
        <f t="shared" si="501"/>
        <v>1.2727774031803252</v>
      </c>
      <c r="Q180" s="217">
        <f t="shared" si="502"/>
        <v>16.399999999999999</v>
      </c>
      <c r="R180" s="217"/>
      <c r="S180" s="172">
        <f t="shared" si="503"/>
        <v>37.364213144612947</v>
      </c>
      <c r="T180" s="536">
        <f t="shared" si="504"/>
        <v>16.399999999999999</v>
      </c>
      <c r="U180" s="217">
        <f t="shared" si="505"/>
        <v>3.7826640472565196</v>
      </c>
      <c r="V180" s="217">
        <f t="shared" si="506"/>
        <v>4.5830232131786808</v>
      </c>
      <c r="W180" s="217">
        <f t="shared" si="507"/>
        <v>2.6927065659622982</v>
      </c>
      <c r="X180" s="197">
        <f t="shared" si="508"/>
        <v>350</v>
      </c>
      <c r="Y180" s="443">
        <f t="shared" si="509"/>
        <v>133.76620471090754</v>
      </c>
      <c r="AA180" s="217">
        <f t="shared" si="510"/>
        <v>1.4854333368145063</v>
      </c>
      <c r="AB180" s="173">
        <f t="shared" si="511"/>
        <v>1.0574124609984059</v>
      </c>
      <c r="AC180" s="173">
        <f t="shared" si="512"/>
        <v>0.27487525105776767</v>
      </c>
      <c r="AD180" s="173"/>
      <c r="AE180" s="173">
        <f t="shared" si="513"/>
        <v>0.94913938336316439</v>
      </c>
      <c r="AF180" s="545">
        <f t="shared" si="514"/>
        <v>1106.2653372146963</v>
      </c>
      <c r="AG180" s="528">
        <f t="shared" si="515"/>
        <v>0.22146585611807171</v>
      </c>
      <c r="AI180" s="173">
        <f t="shared" si="516"/>
        <v>2.3704694729863878</v>
      </c>
      <c r="AJ180" s="173">
        <f t="shared" si="517"/>
        <v>3.7826640472565196</v>
      </c>
      <c r="AK180" s="173">
        <f t="shared" si="518"/>
        <v>3.0143190473505084</v>
      </c>
      <c r="AM180" s="545">
        <f t="shared" si="519"/>
        <v>700</v>
      </c>
      <c r="AN180" s="460">
        <f t="shared" si="520"/>
        <v>133.76620471090754</v>
      </c>
      <c r="AP180">
        <f t="shared" si="521"/>
        <v>700</v>
      </c>
      <c r="AQ180">
        <f t="shared" si="522"/>
        <v>133.76620471090754</v>
      </c>
      <c r="AS180" s="5">
        <f t="shared" si="439"/>
        <v>7.4757297791409805</v>
      </c>
      <c r="AT180" s="5">
        <f t="shared" si="523"/>
        <v>4.5830232131786808</v>
      </c>
      <c r="AU180" s="5">
        <f t="shared" si="478"/>
        <v>2.8927065659622997</v>
      </c>
      <c r="AV180" s="5"/>
      <c r="AW180" s="173">
        <f t="shared" si="479"/>
        <v>0.61305362132890062</v>
      </c>
      <c r="AX180" s="173">
        <f t="shared" si="435"/>
        <v>11.484000398996153</v>
      </c>
      <c r="AY180" s="173">
        <f t="shared" si="436"/>
        <v>0.73184407740763735</v>
      </c>
      <c r="AZ180" s="173">
        <f t="shared" si="440"/>
        <v>15.691867644369228</v>
      </c>
      <c r="BA180" s="460">
        <f t="shared" si="433"/>
        <v>19.561684446494372</v>
      </c>
      <c r="BB180" s="5">
        <f t="shared" si="434"/>
        <v>2.7940750202420186</v>
      </c>
      <c r="BD180" s="173">
        <f t="shared" si="441"/>
        <v>1.7099616696281137</v>
      </c>
      <c r="BE180" s="173">
        <f t="shared" si="437"/>
        <v>1.358509055253218</v>
      </c>
      <c r="BG180" s="528">
        <f t="shared" si="480"/>
        <v>5.8479378231947328E-2</v>
      </c>
      <c r="BH180" s="528">
        <f t="shared" si="524"/>
        <v>0.2538983866932048</v>
      </c>
      <c r="BI180" s="528">
        <f t="shared" si="525"/>
        <v>3.3121757610319456E-2</v>
      </c>
      <c r="BJ180" s="528">
        <f t="shared" si="481"/>
        <v>9.580217962716242E-3</v>
      </c>
      <c r="BK180">
        <f t="shared" si="482"/>
        <v>4.4569675746891817E-3</v>
      </c>
      <c r="BL180" s="460">
        <f t="shared" si="588"/>
        <v>37.578725185008643</v>
      </c>
      <c r="BM180" s="528">
        <f t="shared" si="526"/>
        <v>0.34250643932474079</v>
      </c>
      <c r="BN180" s="460">
        <f t="shared" si="527"/>
        <v>342.50643932474077</v>
      </c>
      <c r="BO180" s="528">
        <f t="shared" si="483"/>
        <v>0.48999999999999994</v>
      </c>
      <c r="BR180" s="460">
        <f t="shared" si="484"/>
        <v>489.99999999999994</v>
      </c>
      <c r="BS180" s="528">
        <f t="shared" si="485"/>
        <v>8.7719067347920981E-2</v>
      </c>
      <c r="BT180" s="528">
        <f t="shared" si="486"/>
        <v>5.536640559614972E-2</v>
      </c>
      <c r="BU180" s="528">
        <f t="shared" si="487"/>
        <v>0.28795886061690951</v>
      </c>
      <c r="BV180" s="528"/>
      <c r="BW180" s="528">
        <f t="shared" si="488"/>
        <v>9.5700003324967944E-3</v>
      </c>
      <c r="BX180" s="460">
        <f t="shared" si="489"/>
        <v>440.61433389347701</v>
      </c>
      <c r="BY180" s="173">
        <f t="shared" si="490"/>
        <v>1.2901510419663538</v>
      </c>
      <c r="BZ180" s="5">
        <f t="shared" si="491"/>
        <v>11.479999999999999</v>
      </c>
      <c r="CA180" s="173">
        <f t="shared" si="492"/>
        <v>0.89897135611579293</v>
      </c>
      <c r="CB180" s="5">
        <f t="shared" si="493"/>
        <v>89.897135611579287</v>
      </c>
      <c r="CE180" s="562">
        <f t="shared" si="528"/>
        <v>-50</v>
      </c>
      <c r="CF180">
        <f t="shared" si="529"/>
        <v>-50</v>
      </c>
      <c r="CG180" s="173">
        <f t="shared" si="530"/>
        <v>0.36600307526799947</v>
      </c>
      <c r="CI180" s="170">
        <v>70</v>
      </c>
      <c r="CJ180" s="217">
        <f t="shared" si="589"/>
        <v>0.7</v>
      </c>
      <c r="CK180" s="217"/>
      <c r="CL180" s="217">
        <f t="shared" si="531"/>
        <v>11.479999999999999</v>
      </c>
      <c r="CM180" s="541">
        <f t="shared" si="532"/>
        <v>10</v>
      </c>
      <c r="CN180" s="443">
        <f t="shared" si="533"/>
        <v>16.799999999999997</v>
      </c>
      <c r="CO180" s="443">
        <f t="shared" si="534"/>
        <v>26.799999999999997</v>
      </c>
      <c r="CP180" s="443"/>
      <c r="CQ180" s="217">
        <f t="shared" si="535"/>
        <v>0.62686567164179097</v>
      </c>
      <c r="CR180" s="172">
        <f t="shared" si="590"/>
        <v>20.973880597014926</v>
      </c>
      <c r="CS180" s="172">
        <f t="shared" si="536"/>
        <v>11.479999999999999</v>
      </c>
      <c r="CT180" s="217">
        <f t="shared" si="537"/>
        <v>1.2788951583545687</v>
      </c>
      <c r="CU180" s="217">
        <f t="shared" si="538"/>
        <v>16.399999999999999</v>
      </c>
      <c r="CV180" s="217"/>
      <c r="CW180" s="172">
        <f t="shared" si="539"/>
        <v>37.723968490572034</v>
      </c>
      <c r="CX180" s="536">
        <f t="shared" si="540"/>
        <v>16.399999999999999</v>
      </c>
      <c r="CY180" s="217">
        <f t="shared" si="541"/>
        <v>3.6626666666666665</v>
      </c>
      <c r="CZ180" s="217">
        <f t="shared" si="542"/>
        <v>4.3952</v>
      </c>
      <c r="DA180" s="217">
        <f t="shared" si="543"/>
        <v>2.6161904761904768</v>
      </c>
      <c r="DB180" s="197">
        <f t="shared" si="544"/>
        <v>350</v>
      </c>
      <c r="DC180" s="443">
        <f t="shared" si="545"/>
        <v>142.62506180419342</v>
      </c>
      <c r="DE180" s="217">
        <f t="shared" si="546"/>
        <v>1.4925373134328355</v>
      </c>
      <c r="DF180" s="173">
        <f t="shared" si="547"/>
        <v>1.0660980810234544</v>
      </c>
      <c r="DG180" s="173">
        <f t="shared" si="548"/>
        <v>0.27845845399866342</v>
      </c>
      <c r="DH180" s="173"/>
      <c r="DI180" s="173">
        <f t="shared" si="549"/>
        <v>0.95238095238095266</v>
      </c>
      <c r="DJ180" s="545">
        <f t="shared" si="550"/>
        <v>1102.4999999999995</v>
      </c>
      <c r="DK180" s="528">
        <f t="shared" si="551"/>
        <v>0.22222222222222232</v>
      </c>
      <c r="DM180" s="173">
        <f t="shared" si="552"/>
        <v>2.3664319132398464</v>
      </c>
      <c r="DN180" s="173">
        <f t="shared" si="553"/>
        <v>3.6626666666666665</v>
      </c>
      <c r="DO180" s="173">
        <f t="shared" si="554"/>
        <v>2.9254320987654321</v>
      </c>
      <c r="DQ180" s="545">
        <f t="shared" si="555"/>
        <v>700</v>
      </c>
      <c r="DR180" s="460">
        <f t="shared" si="556"/>
        <v>142.62506180419342</v>
      </c>
      <c r="DT180">
        <f t="shared" si="591"/>
        <v>700</v>
      </c>
      <c r="DU180">
        <f t="shared" si="592"/>
        <v>142.62506180419342</v>
      </c>
      <c r="DW180" s="5">
        <f t="shared" si="557"/>
        <v>7.0113904761904777</v>
      </c>
      <c r="DX180" s="5">
        <f t="shared" si="558"/>
        <v>4.3952</v>
      </c>
      <c r="DY180" s="5">
        <f t="shared" si="559"/>
        <v>2.6161904761904777</v>
      </c>
      <c r="DZ180" s="5"/>
      <c r="EA180" s="173">
        <f t="shared" si="560"/>
        <v>0.62686567164179086</v>
      </c>
      <c r="EB180" s="173">
        <f t="shared" si="561"/>
        <v>11.479999999999997</v>
      </c>
      <c r="EC180" s="173">
        <f t="shared" si="562"/>
        <v>0.68333333333333368</v>
      </c>
      <c r="ED180" s="173">
        <f t="shared" si="563"/>
        <v>16.799999999999986</v>
      </c>
      <c r="EE180" s="460">
        <f t="shared" si="564"/>
        <v>18.760000000000002</v>
      </c>
      <c r="EF180" s="5">
        <f t="shared" si="565"/>
        <v>2.5028222222222229</v>
      </c>
      <c r="EH180" s="173">
        <f t="shared" si="566"/>
        <v>1.6742642828684151</v>
      </c>
      <c r="EI180" s="173">
        <f t="shared" si="567"/>
        <v>1.29172293784238</v>
      </c>
      <c r="EK180" s="528">
        <f t="shared" si="568"/>
        <v>5.6063217777777771E-2</v>
      </c>
      <c r="EL180" s="528">
        <f t="shared" si="569"/>
        <v>0.27999999999999992</v>
      </c>
      <c r="EM180" s="528">
        <f t="shared" si="570"/>
        <v>1.7828132725524179E-2</v>
      </c>
      <c r="EN180" s="528">
        <f t="shared" si="571"/>
        <v>1.0243902439024387E-2</v>
      </c>
      <c r="EO180">
        <f t="shared" si="572"/>
        <v>4.4999999999999997E-3</v>
      </c>
      <c r="EP180" s="460">
        <f t="shared" si="573"/>
        <v>22.328132725524178</v>
      </c>
      <c r="EQ180" s="460"/>
      <c r="ER180" s="460">
        <f t="shared" si="593"/>
        <v>368.6352529423263</v>
      </c>
      <c r="ES180" s="528">
        <f t="shared" si="574"/>
        <v>0.48999999999999994</v>
      </c>
      <c r="EV180" s="460">
        <f t="shared" si="494"/>
        <v>489.99999999999994</v>
      </c>
      <c r="EW180" s="528">
        <f t="shared" si="575"/>
        <v>8.409482666666665E-2</v>
      </c>
      <c r="EX180" s="528">
        <f t="shared" si="576"/>
        <v>5.0056444444444473E-2</v>
      </c>
      <c r="EY180" s="528">
        <f t="shared" si="577"/>
        <v>0.31185528502698268</v>
      </c>
      <c r="EZ180" s="528"/>
      <c r="FA180" s="528">
        <f t="shared" si="578"/>
        <v>9.5666666666666643E-3</v>
      </c>
      <c r="FB180" s="460">
        <f t="shared" si="579"/>
        <v>455.57322280476046</v>
      </c>
      <c r="FC180" s="173">
        <f t="shared" si="580"/>
        <v>1.3142084757470869</v>
      </c>
      <c r="FD180" s="5">
        <f t="shared" si="581"/>
        <v>11.479999999999999</v>
      </c>
      <c r="FE180" s="173">
        <f t="shared" si="582"/>
        <v>0.89728098629639164</v>
      </c>
      <c r="FF180" s="5">
        <f t="shared" si="583"/>
        <v>89.728098629639163</v>
      </c>
      <c r="FI180" s="562">
        <f t="shared" si="584"/>
        <v>-50</v>
      </c>
      <c r="FJ180">
        <f t="shared" si="585"/>
        <v>-50</v>
      </c>
      <c r="FL180">
        <f t="shared" si="586"/>
        <v>0.37313432835820914</v>
      </c>
    </row>
    <row r="181" spans="5:168">
      <c r="E181" s="170">
        <v>71</v>
      </c>
      <c r="F181" s="217">
        <f t="shared" si="587"/>
        <v>0.71</v>
      </c>
      <c r="G181" s="217"/>
      <c r="H181" s="217">
        <f t="shared" si="495"/>
        <v>11.643999999999998</v>
      </c>
      <c r="I181" s="541">
        <f t="shared" si="496"/>
        <v>9.9030328896019064</v>
      </c>
      <c r="J181" s="172">
        <f t="shared" si="497"/>
        <v>16.858180266238854</v>
      </c>
      <c r="K181" s="172">
        <f t="shared" si="498"/>
        <v>26.76121315584076</v>
      </c>
      <c r="L181" s="443"/>
      <c r="M181" s="217">
        <f t="shared" si="499"/>
        <v>0.6299331228463394</v>
      </c>
      <c r="N181" s="172">
        <f t="shared" si="500"/>
        <v>20.872139551412257</v>
      </c>
      <c r="O181" s="172">
        <f t="shared" si="438"/>
        <v>11.643999999999998</v>
      </c>
      <c r="P181" s="217">
        <f t="shared" si="501"/>
        <v>1.2726914360617232</v>
      </c>
      <c r="Q181" s="217">
        <f t="shared" si="502"/>
        <v>16.399999999999999</v>
      </c>
      <c r="R181" s="217"/>
      <c r="S181" s="172">
        <f t="shared" si="503"/>
        <v>36.696859551007236</v>
      </c>
      <c r="T181" s="536">
        <f t="shared" si="504"/>
        <v>16.399999999999999</v>
      </c>
      <c r="U181" s="217">
        <f t="shared" si="505"/>
        <v>3.8371442776014284</v>
      </c>
      <c r="V181" s="217">
        <f t="shared" si="506"/>
        <v>4.6496595380961256</v>
      </c>
      <c r="W181" s="217">
        <f t="shared" si="507"/>
        <v>2.7313583437846449</v>
      </c>
      <c r="X181" s="197">
        <f t="shared" si="508"/>
        <v>350</v>
      </c>
      <c r="Y181" s="443">
        <f t="shared" si="509"/>
        <v>131.90840802395132</v>
      </c>
      <c r="AA181" s="217">
        <f t="shared" si="510"/>
        <v>1.4853329906554755</v>
      </c>
      <c r="AB181" s="173">
        <f t="shared" si="511"/>
        <v>1.0572906213110704</v>
      </c>
      <c r="AC181" s="173">
        <f t="shared" si="512"/>
        <v>0.27482501209519267</v>
      </c>
      <c r="AD181" s="173"/>
      <c r="AE181" s="173">
        <f t="shared" si="513"/>
        <v>0.94909413396429909</v>
      </c>
      <c r="AF181" s="545">
        <f t="shared" si="514"/>
        <v>1122.1226239715236</v>
      </c>
      <c r="AG181" s="528">
        <f t="shared" si="515"/>
        <v>0.22145529792500315</v>
      </c>
      <c r="AI181" s="173">
        <f t="shared" si="516"/>
        <v>2.3873982640034046</v>
      </c>
      <c r="AJ181" s="173">
        <f t="shared" si="517"/>
        <v>3.8371442776014284</v>
      </c>
      <c r="AK181" s="173">
        <f t="shared" si="518"/>
        <v>3.054674773531922</v>
      </c>
      <c r="AM181" s="545">
        <f t="shared" si="519"/>
        <v>710</v>
      </c>
      <c r="AN181" s="460">
        <f t="shared" si="520"/>
        <v>131.90840802395132</v>
      </c>
      <c r="AP181">
        <f t="shared" si="521"/>
        <v>710</v>
      </c>
      <c r="AQ181">
        <f t="shared" si="522"/>
        <v>131.90840802395132</v>
      </c>
      <c r="AS181" s="5">
        <f t="shared" si="439"/>
        <v>7.5810178818807712</v>
      </c>
      <c r="AT181" s="5">
        <f t="shared" si="523"/>
        <v>4.6496595380961256</v>
      </c>
      <c r="AU181" s="5">
        <f t="shared" si="478"/>
        <v>2.9313583437846455</v>
      </c>
      <c r="AV181" s="5"/>
      <c r="AW181" s="173">
        <f t="shared" si="479"/>
        <v>0.61332918752364074</v>
      </c>
      <c r="AX181" s="173">
        <f t="shared" si="435"/>
        <v>11.653060132455405</v>
      </c>
      <c r="AY181" s="173">
        <f t="shared" si="436"/>
        <v>0.74185584770457846</v>
      </c>
      <c r="AZ181" s="173">
        <f t="shared" si="440"/>
        <v>15.707984466944421</v>
      </c>
      <c r="BA181" s="460">
        <f t="shared" ref="BA181:BA244" si="594">F181*AT181/Vout_ripple*1000</f>
        <v>20.129623610050302</v>
      </c>
      <c r="BB181" s="5">
        <f t="shared" ref="BB181:BB244" si="595">H181/Efficiency/I181*AU181/Vinripple1</f>
        <v>2.8722460529295244</v>
      </c>
      <c r="BD181" s="173">
        <f t="shared" si="441"/>
        <v>1.7349793817679628</v>
      </c>
      <c r="BE181" s="173">
        <f t="shared" si="437"/>
        <v>1.3775843400253891</v>
      </c>
      <c r="BG181" s="528">
        <f t="shared" si="480"/>
        <v>6.020306910319885E-2</v>
      </c>
      <c r="BH181" s="528">
        <f t="shared" si="524"/>
        <v>0.25397307506036454</v>
      </c>
      <c r="BI181" s="528">
        <f t="shared" si="525"/>
        <v>3.2657332576905444E-2</v>
      </c>
      <c r="BJ181" s="528">
        <f t="shared" si="481"/>
        <v>9.4467859162293936E-3</v>
      </c>
      <c r="BK181">
        <f t="shared" si="482"/>
        <v>4.4563648003208582E-3</v>
      </c>
      <c r="BL181" s="460">
        <f t="shared" si="588"/>
        <v>37.113697377226302</v>
      </c>
      <c r="BM181" s="528">
        <f t="shared" si="526"/>
        <v>0.34481000701112113</v>
      </c>
      <c r="BN181" s="460">
        <f t="shared" si="527"/>
        <v>344.81000701112112</v>
      </c>
      <c r="BO181" s="528">
        <f t="shared" si="483"/>
        <v>0.49699999999999994</v>
      </c>
      <c r="BR181" s="460">
        <f t="shared" si="484"/>
        <v>496.99999999999994</v>
      </c>
      <c r="BS181" s="528">
        <f t="shared" si="485"/>
        <v>9.0304603654798268E-2</v>
      </c>
      <c r="BT181" s="528">
        <f t="shared" si="486"/>
        <v>5.6932158416495605E-2</v>
      </c>
      <c r="BU181" s="528">
        <f t="shared" si="487"/>
        <v>0.28818510110825379</v>
      </c>
      <c r="BV181" s="528"/>
      <c r="BW181" s="528">
        <f t="shared" si="488"/>
        <v>9.7108834437128373E-3</v>
      </c>
      <c r="BX181" s="460">
        <f t="shared" si="489"/>
        <v>445.13274662326052</v>
      </c>
      <c r="BY181" s="173">
        <f t="shared" si="490"/>
        <v>1.3028693740802797</v>
      </c>
      <c r="BZ181" s="5">
        <f t="shared" si="491"/>
        <v>11.643999999999998</v>
      </c>
      <c r="CA181" s="173">
        <f t="shared" si="492"/>
        <v>0.89936799882382124</v>
      </c>
      <c r="CB181" s="5">
        <f t="shared" si="493"/>
        <v>89.936799882382118</v>
      </c>
      <c r="CE181" s="562">
        <f t="shared" si="528"/>
        <v>-50</v>
      </c>
      <c r="CF181">
        <f t="shared" si="529"/>
        <v>-50</v>
      </c>
      <c r="CG181" s="173">
        <f t="shared" si="530"/>
        <v>0.3661035154523683</v>
      </c>
      <c r="CI181" s="170">
        <v>71</v>
      </c>
      <c r="CJ181" s="217">
        <f t="shared" si="589"/>
        <v>0.71</v>
      </c>
      <c r="CK181" s="217"/>
      <c r="CL181" s="217">
        <f t="shared" si="531"/>
        <v>11.643999999999998</v>
      </c>
      <c r="CM181" s="541">
        <f t="shared" si="532"/>
        <v>10</v>
      </c>
      <c r="CN181" s="443">
        <f t="shared" si="533"/>
        <v>16.799999999999997</v>
      </c>
      <c r="CO181" s="443">
        <f t="shared" si="534"/>
        <v>26.799999999999997</v>
      </c>
      <c r="CP181" s="443"/>
      <c r="CQ181" s="217">
        <f t="shared" si="535"/>
        <v>0.62686567164179097</v>
      </c>
      <c r="CR181" s="172">
        <f t="shared" si="590"/>
        <v>20.973880597014926</v>
      </c>
      <c r="CS181" s="172">
        <f t="shared" si="536"/>
        <v>11.643999999999998</v>
      </c>
      <c r="CT181" s="217">
        <f t="shared" si="537"/>
        <v>1.2788951583545687</v>
      </c>
      <c r="CU181" s="217">
        <f t="shared" si="538"/>
        <v>16.399999999999999</v>
      </c>
      <c r="CV181" s="217"/>
      <c r="CW181" s="172">
        <f t="shared" si="539"/>
        <v>37.05515119685959</v>
      </c>
      <c r="CX181" s="536">
        <f t="shared" si="540"/>
        <v>16.399999999999999</v>
      </c>
      <c r="CY181" s="217">
        <f t="shared" si="541"/>
        <v>3.7149904761904762</v>
      </c>
      <c r="CZ181" s="217">
        <f t="shared" si="542"/>
        <v>4.4579885714285714</v>
      </c>
      <c r="DA181" s="217">
        <f t="shared" si="543"/>
        <v>2.6535646258503407</v>
      </c>
      <c r="DB181" s="197">
        <f t="shared" si="544"/>
        <v>350</v>
      </c>
      <c r="DC181" s="443">
        <f t="shared" si="545"/>
        <v>140.61625811681046</v>
      </c>
      <c r="DE181" s="217">
        <f t="shared" si="546"/>
        <v>1.4925373134328355</v>
      </c>
      <c r="DF181" s="173">
        <f t="shared" si="547"/>
        <v>1.0660980810234544</v>
      </c>
      <c r="DG181" s="173">
        <f t="shared" si="548"/>
        <v>0.27845845399866342</v>
      </c>
      <c r="DH181" s="173"/>
      <c r="DI181" s="173">
        <f t="shared" si="549"/>
        <v>0.95238095238095266</v>
      </c>
      <c r="DJ181" s="545">
        <f t="shared" si="550"/>
        <v>1118.2499999999995</v>
      </c>
      <c r="DK181" s="528">
        <f t="shared" si="551"/>
        <v>0.22222222222222232</v>
      </c>
      <c r="DM181" s="173">
        <f t="shared" si="552"/>
        <v>2.3832750575625967</v>
      </c>
      <c r="DN181" s="173">
        <f t="shared" si="553"/>
        <v>3.7149904761904762</v>
      </c>
      <c r="DO181" s="173">
        <f t="shared" si="554"/>
        <v>2.9641904761904758</v>
      </c>
      <c r="DQ181" s="545">
        <f t="shared" si="555"/>
        <v>710</v>
      </c>
      <c r="DR181" s="460">
        <f t="shared" si="556"/>
        <v>140.61625811681046</v>
      </c>
      <c r="DT181">
        <f t="shared" si="591"/>
        <v>710</v>
      </c>
      <c r="DU181">
        <f t="shared" si="592"/>
        <v>140.61625811681046</v>
      </c>
      <c r="DW181" s="5">
        <f t="shared" si="557"/>
        <v>7.1115531972789103</v>
      </c>
      <c r="DX181" s="5">
        <f t="shared" si="558"/>
        <v>4.4579885714285714</v>
      </c>
      <c r="DY181" s="5">
        <f t="shared" si="559"/>
        <v>2.6535646258503389</v>
      </c>
      <c r="DZ181" s="5"/>
      <c r="EA181" s="173">
        <f t="shared" si="560"/>
        <v>0.62686567164179119</v>
      </c>
      <c r="EB181" s="173">
        <f t="shared" si="561"/>
        <v>11.644</v>
      </c>
      <c r="EC181" s="173">
        <f t="shared" si="562"/>
        <v>0.69309523809523788</v>
      </c>
      <c r="ED181" s="173">
        <f t="shared" si="563"/>
        <v>16.800000000000004</v>
      </c>
      <c r="EE181" s="460">
        <f t="shared" si="564"/>
        <v>19.299828571428574</v>
      </c>
      <c r="EF181" s="5">
        <f t="shared" si="565"/>
        <v>2.5748422086167779</v>
      </c>
      <c r="EH181" s="173">
        <f t="shared" si="566"/>
        <v>1.6981823440522501</v>
      </c>
      <c r="EI181" s="173">
        <f t="shared" si="567"/>
        <v>1.310176122668699</v>
      </c>
      <c r="EK181" s="528">
        <f t="shared" si="568"/>
        <v>5.76764654730159E-2</v>
      </c>
      <c r="EL181" s="528">
        <f t="shared" si="569"/>
        <v>0.28000000000000003</v>
      </c>
      <c r="EM181" s="528">
        <f t="shared" si="570"/>
        <v>1.7577032264601309E-2</v>
      </c>
      <c r="EN181" s="528">
        <f t="shared" si="571"/>
        <v>1.0099622122981794E-2</v>
      </c>
      <c r="EO181">
        <f t="shared" si="572"/>
        <v>4.4999999999999997E-3</v>
      </c>
      <c r="EP181" s="460">
        <f t="shared" si="573"/>
        <v>22.077032264601311</v>
      </c>
      <c r="EQ181" s="460"/>
      <c r="ER181" s="460">
        <f t="shared" si="593"/>
        <v>369.85311986059907</v>
      </c>
      <c r="ES181" s="528">
        <f t="shared" si="574"/>
        <v>0.49699999999999994</v>
      </c>
      <c r="EV181" s="460">
        <f t="shared" si="494"/>
        <v>496.99999999999994</v>
      </c>
      <c r="EW181" s="528">
        <f t="shared" si="575"/>
        <v>8.6514698209523844E-2</v>
      </c>
      <c r="EX181" s="528">
        <f t="shared" si="576"/>
        <v>5.1496844172335569E-2</v>
      </c>
      <c r="EY181" s="528">
        <f t="shared" si="577"/>
        <v>0.31185528502698312</v>
      </c>
      <c r="EZ181" s="528"/>
      <c r="FA181" s="528">
        <f t="shared" si="578"/>
        <v>9.7033333333333346E-3</v>
      </c>
      <c r="FB181" s="460">
        <f t="shared" si="579"/>
        <v>459.57016074217586</v>
      </c>
      <c r="FC181" s="173">
        <f t="shared" si="580"/>
        <v>1.3264232806027749</v>
      </c>
      <c r="FD181" s="5">
        <f t="shared" si="581"/>
        <v>11.643999999999998</v>
      </c>
      <c r="FE181" s="173">
        <f t="shared" si="582"/>
        <v>0.89773477303655647</v>
      </c>
      <c r="FF181" s="5">
        <f t="shared" si="583"/>
        <v>89.773477303655653</v>
      </c>
      <c r="FI181" s="562">
        <f t="shared" si="584"/>
        <v>-50</v>
      </c>
      <c r="FJ181">
        <f t="shared" si="585"/>
        <v>-50</v>
      </c>
      <c r="FL181">
        <f t="shared" si="586"/>
        <v>0.37313432835820881</v>
      </c>
    </row>
    <row r="182" spans="5:168">
      <c r="E182" s="170">
        <v>72</v>
      </c>
      <c r="F182" s="217">
        <f t="shared" si="587"/>
        <v>0.72</v>
      </c>
      <c r="G182" s="217"/>
      <c r="H182" s="217">
        <f t="shared" si="495"/>
        <v>11.807999999999998</v>
      </c>
      <c r="I182" s="541">
        <f t="shared" si="496"/>
        <v>9.9016933768140589</v>
      </c>
      <c r="J182" s="172">
        <f t="shared" si="497"/>
        <v>16.858983973911563</v>
      </c>
      <c r="K182" s="172">
        <f t="shared" si="498"/>
        <v>26.760677350725622</v>
      </c>
      <c r="L182" s="443"/>
      <c r="M182" s="217">
        <f t="shared" si="499"/>
        <v>0.6299757743821276</v>
      </c>
      <c r="N182" s="172">
        <f t="shared" si="500"/>
        <v>20.870729346085483</v>
      </c>
      <c r="O182" s="172">
        <f t="shared" si="438"/>
        <v>11.807999999999998</v>
      </c>
      <c r="P182" s="217">
        <f t="shared" si="501"/>
        <v>1.2726054479320417</v>
      </c>
      <c r="Q182" s="217">
        <f t="shared" si="502"/>
        <v>16.399999999999999</v>
      </c>
      <c r="R182" s="217"/>
      <c r="S182" s="172">
        <f t="shared" si="503"/>
        <v>36.04814575026851</v>
      </c>
      <c r="T182" s="536">
        <f t="shared" si="504"/>
        <v>16.399999999999999</v>
      </c>
      <c r="U182" s="217">
        <f t="shared" si="505"/>
        <v>3.8916370883432432</v>
      </c>
      <c r="V182" s="217">
        <f t="shared" si="506"/>
        <v>4.7163291452219127</v>
      </c>
      <c r="W182" s="217">
        <f t="shared" si="507"/>
        <v>2.7700153895622828</v>
      </c>
      <c r="X182" s="197">
        <f t="shared" si="508"/>
        <v>350</v>
      </c>
      <c r="Y182" s="443">
        <f t="shared" si="509"/>
        <v>130.10085554642345</v>
      </c>
      <c r="AA182" s="217">
        <f t="shared" si="510"/>
        <v>1.4852326202580581</v>
      </c>
      <c r="AB182" s="173">
        <f t="shared" si="511"/>
        <v>1.0571687754538812</v>
      </c>
      <c r="AC182" s="173">
        <f t="shared" si="512"/>
        <v>0.27477477132391487</v>
      </c>
      <c r="AD182" s="173"/>
      <c r="AE182" s="173">
        <f t="shared" si="513"/>
        <v>0.94904888840034518</v>
      </c>
      <c r="AF182" s="545">
        <f t="shared" si="514"/>
        <v>1137.9814182390301</v>
      </c>
      <c r="AG182" s="528">
        <f t="shared" si="515"/>
        <v>0.22144474062674724</v>
      </c>
      <c r="AI182" s="173">
        <f t="shared" si="516"/>
        <v>2.4042094494385631</v>
      </c>
      <c r="AJ182" s="173">
        <f t="shared" si="517"/>
        <v>3.8916370883432432</v>
      </c>
      <c r="AK182" s="173">
        <f t="shared" si="518"/>
        <v>3.095039818525859</v>
      </c>
      <c r="AM182" s="545">
        <f t="shared" si="519"/>
        <v>720</v>
      </c>
      <c r="AN182" s="460">
        <f t="shared" si="520"/>
        <v>130.10085554642345</v>
      </c>
      <c r="AP182">
        <f t="shared" si="521"/>
        <v>720</v>
      </c>
      <c r="AQ182">
        <f t="shared" si="522"/>
        <v>130.10085554642345</v>
      </c>
      <c r="AS182" s="5">
        <f t="shared" si="439"/>
        <v>7.6863445347841957</v>
      </c>
      <c r="AT182" s="5">
        <f t="shared" si="523"/>
        <v>4.7163291452219127</v>
      </c>
      <c r="AU182" s="5">
        <f t="shared" si="478"/>
        <v>2.9700153895622829</v>
      </c>
      <c r="AV182" s="5"/>
      <c r="AW182" s="173">
        <f t="shared" si="479"/>
        <v>0.61359845683190284</v>
      </c>
      <c r="AX182" s="173">
        <f t="shared" si="435"/>
        <v>11.822139243562198</v>
      </c>
      <c r="AY182" s="173">
        <f t="shared" si="436"/>
        <v>0.75186728819301485</v>
      </c>
      <c r="AZ182" s="173">
        <f t="shared" si="440"/>
        <v>15.723704740466498</v>
      </c>
      <c r="BA182" s="460">
        <f t="shared" si="594"/>
        <v>20.705835271705958</v>
      </c>
      <c r="BB182" s="5">
        <f t="shared" si="595"/>
        <v>2.9515104458522621</v>
      </c>
      <c r="BD182" s="173">
        <f t="shared" si="441"/>
        <v>1.7600047328421864</v>
      </c>
      <c r="BE182" s="173">
        <f t="shared" si="437"/>
        <v>1.3966614059353575</v>
      </c>
      <c r="BG182" s="528">
        <f t="shared" si="480"/>
        <v>6.1952333192537914E-2</v>
      </c>
      <c r="BH182" s="528">
        <f t="shared" si="524"/>
        <v>0.25404512187810119</v>
      </c>
      <c r="BI182" s="528">
        <f t="shared" si="525"/>
        <v>3.2205469492046591E-2</v>
      </c>
      <c r="BJ182" s="528">
        <f t="shared" si="481"/>
        <v>9.3169626866036089E-3</v>
      </c>
      <c r="BK182">
        <f t="shared" si="482"/>
        <v>4.4557620195663263E-3</v>
      </c>
      <c r="BL182" s="460">
        <f t="shared" si="588"/>
        <v>36.661231511612918</v>
      </c>
      <c r="BM182" s="528">
        <f t="shared" si="526"/>
        <v>0.34715157529370005</v>
      </c>
      <c r="BN182" s="460">
        <f t="shared" si="527"/>
        <v>347.15157529370003</v>
      </c>
      <c r="BO182" s="528">
        <f t="shared" si="483"/>
        <v>0.504</v>
      </c>
      <c r="BR182" s="460">
        <f t="shared" si="484"/>
        <v>504</v>
      </c>
      <c r="BS182" s="528">
        <f t="shared" si="485"/>
        <v>9.2928499788806865E-2</v>
      </c>
      <c r="BT182" s="528">
        <f t="shared" si="486"/>
        <v>5.8519892484879883E-2</v>
      </c>
      <c r="BU182" s="528">
        <f t="shared" si="487"/>
        <v>0.28840396034906951</v>
      </c>
      <c r="BV182" s="528"/>
      <c r="BW182" s="528">
        <f t="shared" si="488"/>
        <v>9.8517827029684958E-3</v>
      </c>
      <c r="BX182" s="460">
        <f t="shared" si="489"/>
        <v>449.70413532572474</v>
      </c>
      <c r="BY182" s="173">
        <f t="shared" si="490"/>
        <v>1.3156797845945805</v>
      </c>
      <c r="BZ182" s="5">
        <f t="shared" si="491"/>
        <v>11.807999999999998</v>
      </c>
      <c r="CA182" s="173">
        <f t="shared" si="492"/>
        <v>0.89974764652982386</v>
      </c>
      <c r="CB182" s="5">
        <f t="shared" si="493"/>
        <v>89.974764652982387</v>
      </c>
      <c r="CE182" s="562">
        <f t="shared" si="528"/>
        <v>-50</v>
      </c>
      <c r="CF182">
        <f t="shared" si="529"/>
        <v>-50</v>
      </c>
      <c r="CG182" s="173">
        <f t="shared" si="530"/>
        <v>0.36620116563161631</v>
      </c>
      <c r="CI182" s="170">
        <v>72</v>
      </c>
      <c r="CJ182" s="217">
        <f t="shared" si="589"/>
        <v>0.72</v>
      </c>
      <c r="CK182" s="217"/>
      <c r="CL182" s="217">
        <f t="shared" si="531"/>
        <v>11.807999999999998</v>
      </c>
      <c r="CM182" s="541">
        <f t="shared" si="532"/>
        <v>10</v>
      </c>
      <c r="CN182" s="443">
        <f t="shared" si="533"/>
        <v>16.799999999999997</v>
      </c>
      <c r="CO182" s="443">
        <f t="shared" si="534"/>
        <v>26.799999999999997</v>
      </c>
      <c r="CP182" s="443"/>
      <c r="CQ182" s="217">
        <f t="shared" si="535"/>
        <v>0.62686567164179097</v>
      </c>
      <c r="CR182" s="172">
        <f t="shared" si="590"/>
        <v>20.973880597014926</v>
      </c>
      <c r="CS182" s="172">
        <f t="shared" si="536"/>
        <v>11.807999999999998</v>
      </c>
      <c r="CT182" s="217">
        <f t="shared" si="537"/>
        <v>1.2788951583545687</v>
      </c>
      <c r="CU182" s="217">
        <f t="shared" si="538"/>
        <v>16.399999999999999</v>
      </c>
      <c r="CV182" s="217"/>
      <c r="CW182" s="172">
        <f t="shared" si="539"/>
        <v>36.404977249225951</v>
      </c>
      <c r="CX182" s="536">
        <f t="shared" si="540"/>
        <v>16.399999999999999</v>
      </c>
      <c r="CY182" s="217">
        <f t="shared" si="541"/>
        <v>3.7673142857142854</v>
      </c>
      <c r="CZ182" s="217">
        <f t="shared" si="542"/>
        <v>4.5207771428571428</v>
      </c>
      <c r="DA182" s="217">
        <f t="shared" si="543"/>
        <v>2.6909387755102046</v>
      </c>
      <c r="DB182" s="197">
        <f t="shared" si="544"/>
        <v>350</v>
      </c>
      <c r="DC182" s="443">
        <f t="shared" si="545"/>
        <v>138.66325453185473</v>
      </c>
      <c r="DE182" s="217">
        <f t="shared" si="546"/>
        <v>1.4925373134328355</v>
      </c>
      <c r="DF182" s="173">
        <f t="shared" si="547"/>
        <v>1.0660980810234544</v>
      </c>
      <c r="DG182" s="173">
        <f t="shared" si="548"/>
        <v>0.27845845399866342</v>
      </c>
      <c r="DH182" s="173"/>
      <c r="DI182" s="173">
        <f t="shared" si="549"/>
        <v>0.95238095238095266</v>
      </c>
      <c r="DJ182" s="545">
        <f t="shared" si="550"/>
        <v>1133.9999999999995</v>
      </c>
      <c r="DK182" s="528">
        <f t="shared" si="551"/>
        <v>0.22222222222222232</v>
      </c>
      <c r="DM182" s="173">
        <f t="shared" si="552"/>
        <v>2.4</v>
      </c>
      <c r="DN182" s="173">
        <f t="shared" si="553"/>
        <v>3.7673142857142854</v>
      </c>
      <c r="DO182" s="173">
        <f t="shared" si="554"/>
        <v>3.00294885361552</v>
      </c>
      <c r="DQ182" s="545">
        <f t="shared" si="555"/>
        <v>720</v>
      </c>
      <c r="DR182" s="460">
        <f t="shared" si="556"/>
        <v>138.66325453185473</v>
      </c>
      <c r="DT182">
        <f t="shared" si="591"/>
        <v>720</v>
      </c>
      <c r="DU182">
        <f t="shared" si="592"/>
        <v>138.66325453185473</v>
      </c>
      <c r="DW182" s="5">
        <f t="shared" si="557"/>
        <v>7.2117159183673474</v>
      </c>
      <c r="DX182" s="5">
        <f t="shared" si="558"/>
        <v>4.5207771428571428</v>
      </c>
      <c r="DY182" s="5">
        <f t="shared" si="559"/>
        <v>2.6909387755102046</v>
      </c>
      <c r="DZ182" s="5"/>
      <c r="EA182" s="173">
        <f t="shared" si="560"/>
        <v>0.62686567164179097</v>
      </c>
      <c r="EB182" s="173">
        <f t="shared" si="561"/>
        <v>11.807999999999998</v>
      </c>
      <c r="EC182" s="173">
        <f t="shared" si="562"/>
        <v>0.70285714285714296</v>
      </c>
      <c r="ED182" s="173">
        <f t="shared" si="563"/>
        <v>16.799999999999994</v>
      </c>
      <c r="EE182" s="460">
        <f t="shared" si="564"/>
        <v>19.847314285714287</v>
      </c>
      <c r="EF182" s="5">
        <f t="shared" si="565"/>
        <v>2.6478837551020407</v>
      </c>
      <c r="EH182" s="173">
        <f t="shared" si="566"/>
        <v>1.722100405236084</v>
      </c>
      <c r="EI182" s="173">
        <f t="shared" si="567"/>
        <v>1.3286293074950191</v>
      </c>
      <c r="EK182" s="528">
        <f t="shared" si="568"/>
        <v>5.9312596114285687E-2</v>
      </c>
      <c r="EL182" s="528">
        <f t="shared" si="569"/>
        <v>0.27999999999999992</v>
      </c>
      <c r="EM182" s="528">
        <f t="shared" si="570"/>
        <v>1.7332906816481843E-2</v>
      </c>
      <c r="EN182" s="528">
        <f t="shared" si="571"/>
        <v>9.959349593495934E-3</v>
      </c>
      <c r="EO182">
        <f t="shared" si="572"/>
        <v>4.4999999999999997E-3</v>
      </c>
      <c r="EP182" s="460">
        <f t="shared" si="573"/>
        <v>21.832906816481842</v>
      </c>
      <c r="EQ182" s="460"/>
      <c r="ER182" s="460">
        <f t="shared" si="593"/>
        <v>371.10485252426338</v>
      </c>
      <c r="ES182" s="528">
        <f t="shared" si="574"/>
        <v>0.504</v>
      </c>
      <c r="EV182" s="460">
        <f t="shared" si="494"/>
        <v>504</v>
      </c>
      <c r="EW182" s="528">
        <f t="shared" si="575"/>
        <v>8.8968894171428531E-2</v>
      </c>
      <c r="EX182" s="528">
        <f t="shared" si="576"/>
        <v>5.2957675102040816E-2</v>
      </c>
      <c r="EY182" s="528">
        <f t="shared" si="577"/>
        <v>0.31185528502698284</v>
      </c>
      <c r="EZ182" s="528"/>
      <c r="FA182" s="528">
        <f t="shared" si="578"/>
        <v>9.8399999999999998E-3</v>
      </c>
      <c r="FB182" s="460">
        <f t="shared" si="579"/>
        <v>463.62185430045224</v>
      </c>
      <c r="FC182" s="173">
        <f t="shared" si="580"/>
        <v>1.3387267068247157</v>
      </c>
      <c r="FD182" s="5">
        <f t="shared" si="581"/>
        <v>11.807999999999998</v>
      </c>
      <c r="FE182" s="173">
        <f t="shared" si="582"/>
        <v>0.89817034029240472</v>
      </c>
      <c r="FF182" s="5">
        <f t="shared" si="583"/>
        <v>89.817034029240475</v>
      </c>
      <c r="FI182" s="562">
        <f t="shared" si="584"/>
        <v>-50</v>
      </c>
      <c r="FJ182">
        <f t="shared" si="585"/>
        <v>-50</v>
      </c>
      <c r="FL182">
        <f t="shared" si="586"/>
        <v>0.37313432835820903</v>
      </c>
    </row>
    <row r="183" spans="5:168">
      <c r="E183" s="170">
        <v>73</v>
      </c>
      <c r="F183" s="217">
        <f t="shared" si="587"/>
        <v>0.73</v>
      </c>
      <c r="G183" s="217"/>
      <c r="H183" s="217">
        <f t="shared" si="495"/>
        <v>11.972</v>
      </c>
      <c r="I183" s="541">
        <f t="shared" si="496"/>
        <v>9.9003538504287398</v>
      </c>
      <c r="J183" s="172">
        <f t="shared" si="497"/>
        <v>16.859787689742753</v>
      </c>
      <c r="K183" s="172">
        <f t="shared" si="498"/>
        <v>26.760141540171492</v>
      </c>
      <c r="L183" s="443"/>
      <c r="M183" s="217">
        <f t="shared" si="499"/>
        <v>0.63001842794517593</v>
      </c>
      <c r="N183" s="172">
        <f t="shared" si="500"/>
        <v>20.869318796938803</v>
      </c>
      <c r="O183" s="172">
        <f t="shared" si="438"/>
        <v>11.972</v>
      </c>
      <c r="P183" s="217">
        <f t="shared" si="501"/>
        <v>1.2725194388377319</v>
      </c>
      <c r="Q183" s="217">
        <f t="shared" si="502"/>
        <v>16.399999999999999</v>
      </c>
      <c r="R183" s="217"/>
      <c r="S183" s="172">
        <f t="shared" si="503"/>
        <v>35.41730638659017</v>
      </c>
      <c r="T183" s="536">
        <f t="shared" si="504"/>
        <v>16.399999999999999</v>
      </c>
      <c r="U183" s="217">
        <f t="shared" si="505"/>
        <v>3.9461424845874662</v>
      </c>
      <c r="V183" s="217">
        <f t="shared" si="506"/>
        <v>4.7830320542531846</v>
      </c>
      <c r="W183" s="217">
        <f t="shared" si="507"/>
        <v>2.8086777061765078</v>
      </c>
      <c r="X183" s="197">
        <f t="shared" si="508"/>
        <v>350</v>
      </c>
      <c r="Y183" s="443">
        <f t="shared" si="509"/>
        <v>128.3415361643107</v>
      </c>
      <c r="AA183" s="217">
        <f t="shared" si="510"/>
        <v>1.4851322256646569</v>
      </c>
      <c r="AB183" s="173">
        <f t="shared" si="511"/>
        <v>1.0570469234804347</v>
      </c>
      <c r="AC183" s="173">
        <f t="shared" si="512"/>
        <v>0.27472452876758335</v>
      </c>
      <c r="AD183" s="173"/>
      <c r="AE183" s="173">
        <f t="shared" si="513"/>
        <v>0.94900364669088733</v>
      </c>
      <c r="AF183" s="545">
        <f t="shared" si="514"/>
        <v>1153.8417200167694</v>
      </c>
      <c r="AG183" s="528">
        <f t="shared" si="515"/>
        <v>0.22143418422787375</v>
      </c>
      <c r="AI183" s="173">
        <f t="shared" si="516"/>
        <v>2.4209054793130025</v>
      </c>
      <c r="AJ183" s="173">
        <f t="shared" si="517"/>
        <v>3.9461424845874662</v>
      </c>
      <c r="AK183" s="173">
        <f t="shared" si="518"/>
        <v>3.1354141861141724</v>
      </c>
      <c r="AM183" s="545">
        <f t="shared" si="519"/>
        <v>730</v>
      </c>
      <c r="AN183" s="460">
        <f t="shared" si="520"/>
        <v>128.3415361643107</v>
      </c>
      <c r="AP183">
        <f t="shared" si="521"/>
        <v>730</v>
      </c>
      <c r="AQ183">
        <f t="shared" si="522"/>
        <v>128.3415361643107</v>
      </c>
      <c r="AS183" s="5">
        <f t="shared" si="439"/>
        <v>7.7917097604296925</v>
      </c>
      <c r="AT183" s="5">
        <f t="shared" si="523"/>
        <v>4.7830320542531846</v>
      </c>
      <c r="AU183" s="5">
        <f t="shared" si="478"/>
        <v>3.008677706176508</v>
      </c>
      <c r="AV183" s="5"/>
      <c r="AW183" s="173">
        <f t="shared" si="479"/>
        <v>0.6138616813659924</v>
      </c>
      <c r="AX183" s="173">
        <f t="shared" si="435"/>
        <v>11.991237600570521</v>
      </c>
      <c r="AY183" s="173">
        <f t="shared" si="436"/>
        <v>0.76187841204441475</v>
      </c>
      <c r="AZ183" s="173">
        <f t="shared" si="440"/>
        <v>15.739043672852455</v>
      </c>
      <c r="BA183" s="460">
        <f t="shared" si="594"/>
        <v>21.290325607346499</v>
      </c>
      <c r="BB183" s="5">
        <f t="shared" si="595"/>
        <v>3.0318688640259466</v>
      </c>
      <c r="BD183" s="173">
        <f t="shared" si="441"/>
        <v>1.7850377184576185</v>
      </c>
      <c r="BE183" s="173">
        <f t="shared" si="437"/>
        <v>1.4157402704023785</v>
      </c>
      <c r="BG183" s="528">
        <f t="shared" si="480"/>
        <v>6.3727193126327603E-2</v>
      </c>
      <c r="BH183" s="528">
        <f t="shared" si="524"/>
        <v>0.25411463274450113</v>
      </c>
      <c r="BI183" s="528">
        <f t="shared" si="525"/>
        <v>3.1765665543356823E-2</v>
      </c>
      <c r="BJ183" s="528">
        <f t="shared" si="481"/>
        <v>9.1906038246799462E-3</v>
      </c>
      <c r="BK183">
        <f t="shared" si="482"/>
        <v>4.4551592326929328E-3</v>
      </c>
      <c r="BL183" s="460">
        <f t="shared" si="588"/>
        <v>36.22082477604976</v>
      </c>
      <c r="BM183" s="528">
        <f t="shared" si="526"/>
        <v>0.34953122725954161</v>
      </c>
      <c r="BN183" s="460">
        <f t="shared" si="527"/>
        <v>349.53122725954159</v>
      </c>
      <c r="BO183" s="528">
        <f t="shared" si="483"/>
        <v>0.51100000000000001</v>
      </c>
      <c r="BR183" s="460">
        <f t="shared" si="484"/>
        <v>511</v>
      </c>
      <c r="BS183" s="528">
        <f t="shared" si="485"/>
        <v>9.559078968949139E-2</v>
      </c>
      <c r="BT183" s="528">
        <f t="shared" si="486"/>
        <v>6.0129615397169989E-2</v>
      </c>
      <c r="BU183" s="528">
        <f t="shared" si="487"/>
        <v>0.28861572750642389</v>
      </c>
      <c r="BV183" s="528"/>
      <c r="BW183" s="528">
        <f t="shared" si="488"/>
        <v>9.9926980004754334E-3</v>
      </c>
      <c r="BX183" s="460">
        <f t="shared" si="489"/>
        <v>454.32883059356067</v>
      </c>
      <c r="BY183" s="173">
        <f t="shared" si="490"/>
        <v>1.3285820850651191</v>
      </c>
      <c r="BZ183" s="5">
        <f t="shared" si="491"/>
        <v>11.972</v>
      </c>
      <c r="CA183" s="173">
        <f t="shared" si="492"/>
        <v>0.90011098186770722</v>
      </c>
      <c r="CB183" s="5">
        <f t="shared" si="493"/>
        <v>90.011098186770724</v>
      </c>
      <c r="CE183" s="562">
        <f t="shared" si="528"/>
        <v>-50</v>
      </c>
      <c r="CF183">
        <f t="shared" si="529"/>
        <v>-50</v>
      </c>
      <c r="CG183" s="173">
        <f t="shared" si="530"/>
        <v>0.3662961404634873</v>
      </c>
      <c r="CI183" s="170">
        <v>73</v>
      </c>
      <c r="CJ183" s="217">
        <f t="shared" si="589"/>
        <v>0.73</v>
      </c>
      <c r="CK183" s="217"/>
      <c r="CL183" s="217">
        <f t="shared" si="531"/>
        <v>11.972</v>
      </c>
      <c r="CM183" s="541">
        <f t="shared" si="532"/>
        <v>10</v>
      </c>
      <c r="CN183" s="443">
        <f t="shared" si="533"/>
        <v>16.799999999999997</v>
      </c>
      <c r="CO183" s="443">
        <f t="shared" si="534"/>
        <v>26.799999999999997</v>
      </c>
      <c r="CP183" s="443"/>
      <c r="CQ183" s="217">
        <f t="shared" si="535"/>
        <v>0.62686567164179097</v>
      </c>
      <c r="CR183" s="172">
        <f t="shared" si="590"/>
        <v>20.973880597014926</v>
      </c>
      <c r="CS183" s="172">
        <f t="shared" si="536"/>
        <v>11.972</v>
      </c>
      <c r="CT183" s="217">
        <f t="shared" si="537"/>
        <v>1.2788951583545687</v>
      </c>
      <c r="CU183" s="217">
        <f t="shared" si="538"/>
        <v>16.399999999999999</v>
      </c>
      <c r="CV183" s="217"/>
      <c r="CW183" s="172">
        <f t="shared" si="539"/>
        <v>35.772681145509104</v>
      </c>
      <c r="CX183" s="536">
        <f t="shared" si="540"/>
        <v>16.399999999999999</v>
      </c>
      <c r="CY183" s="217">
        <f t="shared" si="541"/>
        <v>3.8196380952380955</v>
      </c>
      <c r="CZ183" s="217">
        <f t="shared" si="542"/>
        <v>4.5835657142857151</v>
      </c>
      <c r="DA183" s="217">
        <f t="shared" si="543"/>
        <v>2.7283129251700688</v>
      </c>
      <c r="DB183" s="197">
        <f t="shared" si="544"/>
        <v>350</v>
      </c>
      <c r="DC183" s="443">
        <f t="shared" si="545"/>
        <v>136.76375789443205</v>
      </c>
      <c r="DE183" s="217">
        <f t="shared" si="546"/>
        <v>1.4925373134328355</v>
      </c>
      <c r="DF183" s="173">
        <f t="shared" si="547"/>
        <v>1.0660980810234544</v>
      </c>
      <c r="DG183" s="173">
        <f t="shared" si="548"/>
        <v>0.27845845399866342</v>
      </c>
      <c r="DH183" s="173"/>
      <c r="DI183" s="173">
        <f t="shared" si="549"/>
        <v>0.95238095238095266</v>
      </c>
      <c r="DJ183" s="545">
        <f t="shared" si="550"/>
        <v>1149.7499999999995</v>
      </c>
      <c r="DK183" s="528">
        <f t="shared" si="551"/>
        <v>0.22222222222222232</v>
      </c>
      <c r="DM183" s="173">
        <f t="shared" si="552"/>
        <v>2.4166091947189141</v>
      </c>
      <c r="DN183" s="173">
        <f t="shared" si="553"/>
        <v>3.8196380952380955</v>
      </c>
      <c r="DO183" s="173">
        <f t="shared" si="554"/>
        <v>3.0417072310405642</v>
      </c>
      <c r="DQ183" s="545">
        <f t="shared" si="555"/>
        <v>730</v>
      </c>
      <c r="DR183" s="460">
        <f t="shared" si="556"/>
        <v>136.76375789443205</v>
      </c>
      <c r="DT183">
        <f t="shared" si="591"/>
        <v>730</v>
      </c>
      <c r="DU183">
        <f t="shared" si="592"/>
        <v>136.76375789443205</v>
      </c>
      <c r="DW183" s="5">
        <f t="shared" si="557"/>
        <v>7.3118786394557835</v>
      </c>
      <c r="DX183" s="5">
        <f t="shared" si="558"/>
        <v>4.5835657142857151</v>
      </c>
      <c r="DY183" s="5">
        <f t="shared" si="559"/>
        <v>2.7283129251700684</v>
      </c>
      <c r="DZ183" s="5"/>
      <c r="EA183" s="173">
        <f t="shared" si="560"/>
        <v>0.62686567164179108</v>
      </c>
      <c r="EB183" s="173">
        <f t="shared" si="561"/>
        <v>11.971999999999998</v>
      </c>
      <c r="EC183" s="173">
        <f t="shared" si="562"/>
        <v>0.7126190476190476</v>
      </c>
      <c r="ED183" s="173">
        <f t="shared" si="563"/>
        <v>16.799999999999997</v>
      </c>
      <c r="EE183" s="460">
        <f t="shared" si="564"/>
        <v>20.402457142857152</v>
      </c>
      <c r="EF183" s="5">
        <f t="shared" si="565"/>
        <v>2.7219468616780049</v>
      </c>
      <c r="EH183" s="173">
        <f t="shared" si="566"/>
        <v>1.746018466419919</v>
      </c>
      <c r="EI183" s="173">
        <f t="shared" si="567"/>
        <v>1.3470824923213387</v>
      </c>
      <c r="EK183" s="528">
        <f t="shared" si="568"/>
        <v>6.0971609701587319E-2</v>
      </c>
      <c r="EL183" s="528">
        <f t="shared" si="569"/>
        <v>0.27999999999999997</v>
      </c>
      <c r="EM183" s="528">
        <f t="shared" si="570"/>
        <v>1.7095469736804005E-2</v>
      </c>
      <c r="EN183" s="528">
        <f t="shared" si="571"/>
        <v>9.8229201470096863E-3</v>
      </c>
      <c r="EO183">
        <f t="shared" si="572"/>
        <v>4.4999999999999997E-3</v>
      </c>
      <c r="EP183" s="460">
        <f t="shared" si="573"/>
        <v>21.595469736804006</v>
      </c>
      <c r="EQ183" s="460"/>
      <c r="ER183" s="460">
        <f t="shared" si="593"/>
        <v>372.38999958540097</v>
      </c>
      <c r="ES183" s="528">
        <f t="shared" si="574"/>
        <v>0.51100000000000001</v>
      </c>
      <c r="EV183" s="460">
        <f t="shared" si="494"/>
        <v>511</v>
      </c>
      <c r="EW183" s="528">
        <f t="shared" si="575"/>
        <v>9.1457414552380975E-2</v>
      </c>
      <c r="EX183" s="528">
        <f t="shared" si="576"/>
        <v>5.4438937233560088E-2</v>
      </c>
      <c r="EY183" s="528">
        <f t="shared" si="577"/>
        <v>0.3118552850269834</v>
      </c>
      <c r="EZ183" s="528"/>
      <c r="FA183" s="528">
        <f t="shared" si="578"/>
        <v>9.9766666666666667E-3</v>
      </c>
      <c r="FB183" s="460">
        <f t="shared" si="579"/>
        <v>467.72830347959115</v>
      </c>
      <c r="FC183" s="173">
        <f t="shared" si="580"/>
        <v>1.3511183030649923</v>
      </c>
      <c r="FD183" s="5">
        <f t="shared" si="581"/>
        <v>11.972</v>
      </c>
      <c r="FE183" s="173">
        <f t="shared" si="582"/>
        <v>0.8985884331032199</v>
      </c>
      <c r="FF183" s="5">
        <f t="shared" si="583"/>
        <v>89.858843310321987</v>
      </c>
      <c r="FI183" s="562">
        <f t="shared" si="584"/>
        <v>-50</v>
      </c>
      <c r="FJ183">
        <f t="shared" si="585"/>
        <v>-50</v>
      </c>
      <c r="FL183">
        <f t="shared" si="586"/>
        <v>0.37313432835820892</v>
      </c>
    </row>
    <row r="184" spans="5:168">
      <c r="E184" s="170">
        <v>74</v>
      </c>
      <c r="F184" s="217">
        <f t="shared" si="587"/>
        <v>0.74</v>
      </c>
      <c r="G184" s="217"/>
      <c r="H184" s="217">
        <f t="shared" si="495"/>
        <v>12.135999999999999</v>
      </c>
      <c r="I184" s="541">
        <f t="shared" si="496"/>
        <v>9.899014311007349</v>
      </c>
      <c r="J184" s="172">
        <f t="shared" si="497"/>
        <v>16.860591413395586</v>
      </c>
      <c r="K184" s="172">
        <f t="shared" si="498"/>
        <v>26.759605724402935</v>
      </c>
      <c r="L184" s="443"/>
      <c r="M184" s="217">
        <f t="shared" si="499"/>
        <v>0.63006108352245216</v>
      </c>
      <c r="N184" s="172">
        <f t="shared" si="500"/>
        <v>20.867907904690973</v>
      </c>
      <c r="O184" s="172">
        <f t="shared" si="438"/>
        <v>12.135999999999999</v>
      </c>
      <c r="P184" s="217">
        <f t="shared" si="501"/>
        <v>1.2724334088226203</v>
      </c>
      <c r="Q184" s="217">
        <f t="shared" si="502"/>
        <v>16.399999999999999</v>
      </c>
      <c r="R184" s="217"/>
      <c r="S184" s="172">
        <f t="shared" si="503"/>
        <v>34.803617482850186</v>
      </c>
      <c r="T184" s="536">
        <f t="shared" si="504"/>
        <v>16.399999999999999</v>
      </c>
      <c r="U184" s="217">
        <f t="shared" si="505"/>
        <v>4.0006604714425151</v>
      </c>
      <c r="V184" s="217">
        <f t="shared" si="506"/>
        <v>4.8497682849015682</v>
      </c>
      <c r="W184" s="217">
        <f t="shared" si="507"/>
        <v>2.8473452965100812</v>
      </c>
      <c r="X184" s="197">
        <f t="shared" si="508"/>
        <v>350</v>
      </c>
      <c r="Y184" s="443">
        <f t="shared" si="509"/>
        <v>126.62854468166898</v>
      </c>
      <c r="AA184" s="217">
        <f t="shared" si="510"/>
        <v>1.4850318069152637</v>
      </c>
      <c r="AB184" s="173">
        <f t="shared" si="511"/>
        <v>1.0569250654413602</v>
      </c>
      <c r="AC184" s="173">
        <f t="shared" si="512"/>
        <v>0.27467428444862285</v>
      </c>
      <c r="AD184" s="173"/>
      <c r="AE184" s="173">
        <f t="shared" si="513"/>
        <v>0.94895840885439819</v>
      </c>
      <c r="AF184" s="545">
        <f t="shared" si="514"/>
        <v>1169.7035293043184</v>
      </c>
      <c r="AG184" s="528">
        <f t="shared" si="515"/>
        <v>0.22142362873269295</v>
      </c>
      <c r="AI184" s="173">
        <f t="shared" si="516"/>
        <v>2.4374887199653754</v>
      </c>
      <c r="AJ184" s="173">
        <f t="shared" si="517"/>
        <v>4.0006604714425151</v>
      </c>
      <c r="AK184" s="173">
        <f t="shared" si="518"/>
        <v>3.175797880080875</v>
      </c>
      <c r="AM184" s="545">
        <f t="shared" si="519"/>
        <v>740</v>
      </c>
      <c r="AN184" s="460">
        <f t="shared" si="520"/>
        <v>126.62854468166898</v>
      </c>
      <c r="AP184">
        <f t="shared" si="521"/>
        <v>740</v>
      </c>
      <c r="AQ184">
        <f t="shared" si="522"/>
        <v>126.62854468166898</v>
      </c>
      <c r="AS184" s="5">
        <f t="shared" si="439"/>
        <v>7.8971135814116487</v>
      </c>
      <c r="AT184" s="5">
        <f t="shared" si="523"/>
        <v>4.8497682849015682</v>
      </c>
      <c r="AU184" s="5">
        <f t="shared" si="478"/>
        <v>3.0473452965100805</v>
      </c>
      <c r="AV184" s="5"/>
      <c r="AW184" s="173">
        <f t="shared" si="479"/>
        <v>0.61411909996039948</v>
      </c>
      <c r="AX184" s="173">
        <f t="shared" si="435"/>
        <v>12.160355078672898</v>
      </c>
      <c r="AY184" s="173">
        <f t="shared" si="436"/>
        <v>0.77188923173654511</v>
      </c>
      <c r="AZ184" s="173">
        <f t="shared" si="440"/>
        <v>15.754015704190275</v>
      </c>
      <c r="BA184" s="460">
        <f t="shared" si="594"/>
        <v>21.883100797726591</v>
      </c>
      <c r="BB184" s="5">
        <f t="shared" si="595"/>
        <v>3.113321972986999</v>
      </c>
      <c r="BD184" s="173">
        <f t="shared" si="441"/>
        <v>1.8100783346107421</v>
      </c>
      <c r="BE184" s="173">
        <f t="shared" si="437"/>
        <v>1.4348209499772733</v>
      </c>
      <c r="BG184" s="528">
        <f t="shared" si="480"/>
        <v>6.5527671548543956E-2</v>
      </c>
      <c r="BH184" s="528">
        <f t="shared" si="524"/>
        <v>0.25418170769617332</v>
      </c>
      <c r="BI184" s="528">
        <f t="shared" si="525"/>
        <v>3.133744439964687E-2</v>
      </c>
      <c r="BJ184" s="528">
        <f t="shared" si="481"/>
        <v>9.0675724889029141E-3</v>
      </c>
      <c r="BK184">
        <f t="shared" si="482"/>
        <v>4.4545564399533066E-3</v>
      </c>
      <c r="BL184" s="460">
        <f t="shared" si="588"/>
        <v>35.792000839600178</v>
      </c>
      <c r="BM184" s="528">
        <f t="shared" si="526"/>
        <v>0.35194904970295499</v>
      </c>
      <c r="BN184" s="460">
        <f t="shared" si="527"/>
        <v>351.94904970295499</v>
      </c>
      <c r="BO184" s="528">
        <f t="shared" si="483"/>
        <v>0.51800000000000002</v>
      </c>
      <c r="BR184" s="460">
        <f t="shared" si="484"/>
        <v>518</v>
      </c>
      <c r="BS184" s="528">
        <f t="shared" si="485"/>
        <v>9.8291507322815927E-2</v>
      </c>
      <c r="BT184" s="528">
        <f t="shared" si="486"/>
        <v>6.1761334754810548E-2</v>
      </c>
      <c r="BU184" s="528">
        <f t="shared" si="487"/>
        <v>0.28882067682926982</v>
      </c>
      <c r="BV184" s="528"/>
      <c r="BW184" s="528">
        <f t="shared" si="488"/>
        <v>1.0133629232227416E-2</v>
      </c>
      <c r="BX184" s="460">
        <f t="shared" si="489"/>
        <v>459.00714813912373</v>
      </c>
      <c r="BY184" s="173">
        <f t="shared" si="490"/>
        <v>1.3415761007123439</v>
      </c>
      <c r="BZ184" s="5">
        <f t="shared" si="491"/>
        <v>12.135999999999999</v>
      </c>
      <c r="CA184" s="173">
        <f t="shared" si="492"/>
        <v>0.90045865141570702</v>
      </c>
      <c r="CB184" s="5">
        <f t="shared" si="493"/>
        <v>90.045865141570701</v>
      </c>
      <c r="CE184" s="562">
        <f t="shared" si="528"/>
        <v>-50</v>
      </c>
      <c r="CF184">
        <f t="shared" si="529"/>
        <v>-50</v>
      </c>
      <c r="CG184" s="173">
        <f t="shared" si="530"/>
        <v>0.36638854840801072</v>
      </c>
      <c r="CI184" s="170">
        <v>74</v>
      </c>
      <c r="CJ184" s="217">
        <f t="shared" si="589"/>
        <v>0.74</v>
      </c>
      <c r="CK184" s="217"/>
      <c r="CL184" s="217">
        <f t="shared" si="531"/>
        <v>12.135999999999999</v>
      </c>
      <c r="CM184" s="541">
        <f t="shared" si="532"/>
        <v>10</v>
      </c>
      <c r="CN184" s="443">
        <f t="shared" si="533"/>
        <v>16.799999999999997</v>
      </c>
      <c r="CO184" s="443">
        <f t="shared" si="534"/>
        <v>26.799999999999997</v>
      </c>
      <c r="CP184" s="443"/>
      <c r="CQ184" s="217">
        <f t="shared" si="535"/>
        <v>0.62686567164179097</v>
      </c>
      <c r="CR184" s="172">
        <f t="shared" si="590"/>
        <v>20.973880597014926</v>
      </c>
      <c r="CS184" s="172">
        <f t="shared" si="536"/>
        <v>12.135999999999999</v>
      </c>
      <c r="CT184" s="217">
        <f t="shared" si="537"/>
        <v>1.2788951583545687</v>
      </c>
      <c r="CU184" s="217">
        <f t="shared" si="538"/>
        <v>16.399999999999999</v>
      </c>
      <c r="CV184" s="217"/>
      <c r="CW184" s="172">
        <f t="shared" si="539"/>
        <v>35.157538770379389</v>
      </c>
      <c r="CX184" s="536">
        <f t="shared" si="540"/>
        <v>16.399999999999999</v>
      </c>
      <c r="CY184" s="217">
        <f t="shared" si="541"/>
        <v>3.8719619047619047</v>
      </c>
      <c r="CZ184" s="217">
        <f t="shared" si="542"/>
        <v>4.6463542857142857</v>
      </c>
      <c r="DA184" s="217">
        <f t="shared" si="543"/>
        <v>2.7656870748299327</v>
      </c>
      <c r="DB184" s="197">
        <f t="shared" si="544"/>
        <v>350</v>
      </c>
      <c r="DC184" s="443">
        <f t="shared" si="545"/>
        <v>134.91559900396678</v>
      </c>
      <c r="DE184" s="217">
        <f t="shared" si="546"/>
        <v>1.4925373134328355</v>
      </c>
      <c r="DF184" s="173">
        <f t="shared" si="547"/>
        <v>1.0660980810234544</v>
      </c>
      <c r="DG184" s="173">
        <f t="shared" si="548"/>
        <v>0.27845845399866342</v>
      </c>
      <c r="DH184" s="173"/>
      <c r="DI184" s="173">
        <f t="shared" si="549"/>
        <v>0.95238095238095266</v>
      </c>
      <c r="DJ184" s="545">
        <f t="shared" si="550"/>
        <v>1165.4999999999995</v>
      </c>
      <c r="DK184" s="528">
        <f t="shared" si="551"/>
        <v>0.22222222222222232</v>
      </c>
      <c r="DM184" s="173">
        <f t="shared" si="552"/>
        <v>2.4331050121192876</v>
      </c>
      <c r="DN184" s="173">
        <f t="shared" si="553"/>
        <v>3.8719619047619047</v>
      </c>
      <c r="DO184" s="173">
        <f t="shared" si="554"/>
        <v>3.0804656084656079</v>
      </c>
      <c r="DQ184" s="545">
        <f t="shared" si="555"/>
        <v>740</v>
      </c>
      <c r="DR184" s="460">
        <f t="shared" si="556"/>
        <v>134.91559900396678</v>
      </c>
      <c r="DT184">
        <f t="shared" si="591"/>
        <v>740</v>
      </c>
      <c r="DU184">
        <f t="shared" si="592"/>
        <v>134.91559900396678</v>
      </c>
      <c r="DW184" s="5">
        <f t="shared" si="557"/>
        <v>7.4120413605442179</v>
      </c>
      <c r="DX184" s="5">
        <f t="shared" si="558"/>
        <v>4.6463542857142857</v>
      </c>
      <c r="DY184" s="5">
        <f t="shared" si="559"/>
        <v>2.7656870748299323</v>
      </c>
      <c r="DZ184" s="5"/>
      <c r="EA184" s="173">
        <f t="shared" si="560"/>
        <v>0.62686567164179097</v>
      </c>
      <c r="EB184" s="173">
        <f t="shared" si="561"/>
        <v>12.135999999999999</v>
      </c>
      <c r="EC184" s="173">
        <f t="shared" si="562"/>
        <v>0.72238095238095257</v>
      </c>
      <c r="ED184" s="173">
        <f t="shared" si="563"/>
        <v>16.799999999999994</v>
      </c>
      <c r="EE184" s="460">
        <f t="shared" si="564"/>
        <v>20.965257142857148</v>
      </c>
      <c r="EF184" s="5">
        <f t="shared" si="565"/>
        <v>2.7970315283446712</v>
      </c>
      <c r="EH184" s="173">
        <f t="shared" si="566"/>
        <v>1.7699365276037531</v>
      </c>
      <c r="EI184" s="173">
        <f t="shared" si="567"/>
        <v>1.3655356771476586</v>
      </c>
      <c r="EK184" s="528">
        <f t="shared" si="568"/>
        <v>6.2653506234920622E-2</v>
      </c>
      <c r="EL184" s="528">
        <f t="shared" si="569"/>
        <v>0.28000000000000003</v>
      </c>
      <c r="EM184" s="528">
        <f t="shared" si="570"/>
        <v>1.6864449875495846E-2</v>
      </c>
      <c r="EN184" s="528">
        <f t="shared" si="571"/>
        <v>9.6901779828609085E-3</v>
      </c>
      <c r="EO184">
        <f t="shared" si="572"/>
        <v>4.4999999999999997E-3</v>
      </c>
      <c r="EP184" s="460">
        <f t="shared" si="573"/>
        <v>21.364449875495847</v>
      </c>
      <c r="EQ184" s="460"/>
      <c r="ER184" s="460">
        <f t="shared" si="593"/>
        <v>373.70813409327741</v>
      </c>
      <c r="ES184" s="528">
        <f t="shared" si="574"/>
        <v>0.51800000000000002</v>
      </c>
      <c r="EV184" s="460">
        <f t="shared" si="494"/>
        <v>518</v>
      </c>
      <c r="EW184" s="528">
        <f t="shared" si="575"/>
        <v>9.3980259352380927E-2</v>
      </c>
      <c r="EX184" s="528">
        <f t="shared" si="576"/>
        <v>5.5940630566893433E-2</v>
      </c>
      <c r="EY184" s="528">
        <f t="shared" si="577"/>
        <v>0.31185528502698323</v>
      </c>
      <c r="EZ184" s="528"/>
      <c r="FA184" s="528">
        <f t="shared" si="578"/>
        <v>1.0113333333333334E-2</v>
      </c>
      <c r="FB184" s="460">
        <f t="shared" si="579"/>
        <v>471.88950827959087</v>
      </c>
      <c r="FC184" s="173">
        <f t="shared" si="580"/>
        <v>1.3635976423728686</v>
      </c>
      <c r="FD184" s="5">
        <f t="shared" si="581"/>
        <v>12.135999999999999</v>
      </c>
      <c r="FE184" s="173">
        <f t="shared" si="582"/>
        <v>0.89898975669520886</v>
      </c>
      <c r="FF184" s="5">
        <f t="shared" si="583"/>
        <v>89.89897566952088</v>
      </c>
      <c r="FI184" s="562">
        <f t="shared" si="584"/>
        <v>-50</v>
      </c>
      <c r="FJ184">
        <f t="shared" si="585"/>
        <v>-50</v>
      </c>
      <c r="FL184">
        <f t="shared" si="586"/>
        <v>0.37313432835820903</v>
      </c>
    </row>
    <row r="185" spans="5:168">
      <c r="E185" s="170">
        <v>75</v>
      </c>
      <c r="F185" s="217">
        <f t="shared" si="587"/>
        <v>0.75</v>
      </c>
      <c r="G185" s="217"/>
      <c r="H185" s="217">
        <f t="shared" si="495"/>
        <v>12.299999999999999</v>
      </c>
      <c r="I185" s="541">
        <f t="shared" si="496"/>
        <v>9.8976747590808003</v>
      </c>
      <c r="J185" s="172">
        <f t="shared" si="497"/>
        <v>16.861395144551516</v>
      </c>
      <c r="K185" s="172">
        <f t="shared" si="498"/>
        <v>26.759069903632316</v>
      </c>
      <c r="L185" s="443"/>
      <c r="M185" s="217">
        <f t="shared" si="499"/>
        <v>0.63010374110163747</v>
      </c>
      <c r="N185" s="172">
        <f t="shared" si="500"/>
        <v>20.866496670020673</v>
      </c>
      <c r="O185" s="172">
        <f t="shared" si="438"/>
        <v>12.299999999999999</v>
      </c>
      <c r="P185" s="217">
        <f t="shared" si="501"/>
        <v>1.27234735792809</v>
      </c>
      <c r="Q185" s="217">
        <f t="shared" si="502"/>
        <v>16.399999999999999</v>
      </c>
      <c r="R185" s="217"/>
      <c r="S185" s="172">
        <f t="shared" si="503"/>
        <v>34.206393682157611</v>
      </c>
      <c r="T185" s="536">
        <f t="shared" si="504"/>
        <v>16.399999999999999</v>
      </c>
      <c r="U185" s="217">
        <f t="shared" si="505"/>
        <v>4.0551910540197147</v>
      </c>
      <c r="V185" s="217">
        <f t="shared" si="506"/>
        <v>4.9165378568931537</v>
      </c>
      <c r="W185" s="217">
        <f t="shared" si="507"/>
        <v>2.8860181634472282</v>
      </c>
      <c r="X185" s="197">
        <f t="shared" si="508"/>
        <v>350</v>
      </c>
      <c r="Y185" s="443">
        <f t="shared" si="509"/>
        <v>124.96007493834024</v>
      </c>
      <c r="AA185" s="217">
        <f t="shared" si="510"/>
        <v>1.4849313640476238</v>
      </c>
      <c r="AB185" s="173">
        <f t="shared" si="511"/>
        <v>1.0568032013845228</v>
      </c>
      <c r="AC185" s="173">
        <f t="shared" si="512"/>
        <v>0.27462403838831767</v>
      </c>
      <c r="AD185" s="173"/>
      <c r="AE185" s="173">
        <f t="shared" si="513"/>
        <v>0.94891317490831362</v>
      </c>
      <c r="AF185" s="545">
        <f t="shared" si="514"/>
        <v>1185.5668461012783</v>
      </c>
      <c r="AG185" s="528">
        <f t="shared" si="515"/>
        <v>0.2214130741452732</v>
      </c>
      <c r="AI185" s="173">
        <f t="shared" si="516"/>
        <v>2.453961457998032</v>
      </c>
      <c r="AJ185" s="173">
        <f t="shared" si="517"/>
        <v>4.0551910540197147</v>
      </c>
      <c r="AK185" s="173">
        <f t="shared" si="518"/>
        <v>3.2161909042121337</v>
      </c>
      <c r="AM185" s="545">
        <f t="shared" si="519"/>
        <v>750</v>
      </c>
      <c r="AN185" s="460">
        <f t="shared" si="520"/>
        <v>124.96007493834024</v>
      </c>
      <c r="AP185">
        <f t="shared" si="521"/>
        <v>750</v>
      </c>
      <c r="AQ185">
        <f t="shared" si="522"/>
        <v>124.96007493834024</v>
      </c>
      <c r="AS185" s="5">
        <f t="shared" si="439"/>
        <v>8.002556020340382</v>
      </c>
      <c r="AT185" s="5">
        <f t="shared" si="523"/>
        <v>4.9165378568931537</v>
      </c>
      <c r="AU185" s="5">
        <f t="shared" si="478"/>
        <v>3.0860181634472283</v>
      </c>
      <c r="AV185" s="5"/>
      <c r="AW185" s="173">
        <f t="shared" si="479"/>
        <v>0.6143709390345552</v>
      </c>
      <c r="AX185" s="173">
        <f t="shared" si="435"/>
        <v>12.329491559549547</v>
      </c>
      <c r="AY185" s="173">
        <f t="shared" si="436"/>
        <v>0.78189975909854748</v>
      </c>
      <c r="AZ185" s="173">
        <f t="shared" si="440"/>
        <v>15.768634554593318</v>
      </c>
      <c r="BA185" s="460">
        <f t="shared" si="594"/>
        <v>22.48416702847479</v>
      </c>
      <c r="BB185" s="5">
        <f t="shared" si="595"/>
        <v>3.1958704387930128</v>
      </c>
      <c r="BD185" s="173">
        <f t="shared" si="441"/>
        <v>1.8351265776623624</v>
      </c>
      <c r="BE185" s="173">
        <f t="shared" si="437"/>
        <v>1.4539034603981564</v>
      </c>
      <c r="BG185" s="528">
        <f t="shared" si="480"/>
        <v>6.7353791120855502E-2</v>
      </c>
      <c r="BH185" s="528">
        <f t="shared" si="524"/>
        <v>0.25424644156962062</v>
      </c>
      <c r="BI185" s="528">
        <f t="shared" si="525"/>
        <v>3.0920354490251385E-2</v>
      </c>
      <c r="BJ185" s="528">
        <f t="shared" si="481"/>
        <v>8.9477389509986134E-3</v>
      </c>
      <c r="BK185">
        <f t="shared" si="482"/>
        <v>4.4539536415863596E-3</v>
      </c>
      <c r="BL185" s="460">
        <f t="shared" si="588"/>
        <v>35.374308131837743</v>
      </c>
      <c r="BM185" s="528">
        <f t="shared" si="526"/>
        <v>0.35440513300593796</v>
      </c>
      <c r="BN185" s="460">
        <f t="shared" si="527"/>
        <v>354.40513300593796</v>
      </c>
      <c r="BO185" s="528">
        <f t="shared" si="483"/>
        <v>0.52499999999999991</v>
      </c>
      <c r="BR185" s="460">
        <f t="shared" si="484"/>
        <v>524.99999999999989</v>
      </c>
      <c r="BS185" s="528">
        <f t="shared" si="485"/>
        <v>0.10103068668128325</v>
      </c>
      <c r="BT185" s="528">
        <f t="shared" si="486"/>
        <v>6.3415058164732002E-2</v>
      </c>
      <c r="BU185" s="528">
        <f t="shared" si="487"/>
        <v>0.28901906859792165</v>
      </c>
      <c r="BV185" s="528"/>
      <c r="BW185" s="528">
        <f t="shared" si="488"/>
        <v>1.0274576299624623E-2</v>
      </c>
      <c r="BX185" s="460">
        <f t="shared" si="489"/>
        <v>463.73938974356156</v>
      </c>
      <c r="BY185" s="173">
        <f t="shared" si="490"/>
        <v>1.3546616695168738</v>
      </c>
      <c r="BZ185" s="5">
        <f t="shared" si="491"/>
        <v>12.299999999999999</v>
      </c>
      <c r="CA185" s="173">
        <f t="shared" si="492"/>
        <v>0.90079126804429976</v>
      </c>
      <c r="CB185" s="5">
        <f t="shared" si="493"/>
        <v>90.079126804429976</v>
      </c>
      <c r="CE185" s="562">
        <f t="shared" si="528"/>
        <v>-50</v>
      </c>
      <c r="CF185">
        <f t="shared" si="529"/>
        <v>-50</v>
      </c>
      <c r="CG185" s="173">
        <f t="shared" si="530"/>
        <v>0.36647849214067979</v>
      </c>
      <c r="CI185" s="170">
        <v>75</v>
      </c>
      <c r="CJ185" s="217">
        <f t="shared" si="589"/>
        <v>0.75</v>
      </c>
      <c r="CK185" s="217"/>
      <c r="CL185" s="217">
        <f t="shared" si="531"/>
        <v>12.299999999999999</v>
      </c>
      <c r="CM185" s="541">
        <f t="shared" si="532"/>
        <v>10</v>
      </c>
      <c r="CN185" s="443">
        <f t="shared" si="533"/>
        <v>16.799999999999997</v>
      </c>
      <c r="CO185" s="443">
        <f t="shared" si="534"/>
        <v>26.799999999999997</v>
      </c>
      <c r="CP185" s="443"/>
      <c r="CQ185" s="217">
        <f t="shared" si="535"/>
        <v>0.62686567164179097</v>
      </c>
      <c r="CR185" s="172">
        <f t="shared" si="590"/>
        <v>20.973880597014926</v>
      </c>
      <c r="CS185" s="172">
        <f t="shared" si="536"/>
        <v>12.299999999999999</v>
      </c>
      <c r="CT185" s="217">
        <f t="shared" si="537"/>
        <v>1.2788951583545687</v>
      </c>
      <c r="CU185" s="217">
        <f t="shared" si="538"/>
        <v>16.399999999999999</v>
      </c>
      <c r="CV185" s="217"/>
      <c r="CW185" s="172">
        <f t="shared" si="539"/>
        <v>34.55886463633599</v>
      </c>
      <c r="CX185" s="536">
        <f t="shared" si="540"/>
        <v>16.399999999999999</v>
      </c>
      <c r="CY185" s="217">
        <f t="shared" si="541"/>
        <v>3.9242857142857144</v>
      </c>
      <c r="CZ185" s="217">
        <f t="shared" si="542"/>
        <v>4.7091428571428571</v>
      </c>
      <c r="DA185" s="217">
        <f t="shared" si="543"/>
        <v>2.8030612244897966</v>
      </c>
      <c r="DB185" s="197">
        <f t="shared" si="544"/>
        <v>350</v>
      </c>
      <c r="DC185" s="443">
        <f t="shared" si="545"/>
        <v>133.11672435058057</v>
      </c>
      <c r="DE185" s="217">
        <f t="shared" si="546"/>
        <v>1.4925373134328355</v>
      </c>
      <c r="DF185" s="173">
        <f t="shared" si="547"/>
        <v>1.0660980810234544</v>
      </c>
      <c r="DG185" s="173">
        <f t="shared" si="548"/>
        <v>0.27845845399866342</v>
      </c>
      <c r="DH185" s="173"/>
      <c r="DI185" s="173">
        <f t="shared" si="549"/>
        <v>0.95238095238095266</v>
      </c>
      <c r="DJ185" s="545">
        <f t="shared" si="550"/>
        <v>1181.2499999999995</v>
      </c>
      <c r="DK185" s="528">
        <f t="shared" si="551"/>
        <v>0.22222222222222232</v>
      </c>
      <c r="DM185" s="173">
        <f t="shared" si="552"/>
        <v>2.4494897427831779</v>
      </c>
      <c r="DN185" s="173">
        <f t="shared" si="553"/>
        <v>3.9242857142857144</v>
      </c>
      <c r="DO185" s="173">
        <f t="shared" si="554"/>
        <v>3.1192239858906525</v>
      </c>
      <c r="DQ185" s="545">
        <f t="shared" si="555"/>
        <v>750</v>
      </c>
      <c r="DR185" s="460">
        <f t="shared" si="556"/>
        <v>133.11672435058057</v>
      </c>
      <c r="DT185">
        <f t="shared" si="591"/>
        <v>750</v>
      </c>
      <c r="DU185">
        <f t="shared" si="592"/>
        <v>133.11672435058057</v>
      </c>
      <c r="DW185" s="5">
        <f t="shared" si="557"/>
        <v>7.5122040816326514</v>
      </c>
      <c r="DX185" s="5">
        <f t="shared" si="558"/>
        <v>4.7091428571428571</v>
      </c>
      <c r="DY185" s="5">
        <f t="shared" si="559"/>
        <v>2.8030612244897943</v>
      </c>
      <c r="DZ185" s="5"/>
      <c r="EA185" s="173">
        <f t="shared" si="560"/>
        <v>0.62686567164179119</v>
      </c>
      <c r="EB185" s="173">
        <f t="shared" si="561"/>
        <v>12.300000000000004</v>
      </c>
      <c r="EC185" s="173">
        <f t="shared" si="562"/>
        <v>0.73214285714285687</v>
      </c>
      <c r="ED185" s="173">
        <f t="shared" si="563"/>
        <v>16.800000000000011</v>
      </c>
      <c r="EE185" s="460">
        <f t="shared" si="564"/>
        <v>21.535714285714288</v>
      </c>
      <c r="EF185" s="5">
        <f t="shared" si="565"/>
        <v>2.8731377551020385</v>
      </c>
      <c r="EH185" s="173">
        <f t="shared" si="566"/>
        <v>1.7938545887875881</v>
      </c>
      <c r="EI185" s="173">
        <f t="shared" si="567"/>
        <v>1.383988861973978</v>
      </c>
      <c r="EK185" s="528">
        <f t="shared" si="568"/>
        <v>6.4358285714285743E-2</v>
      </c>
      <c r="EL185" s="528">
        <f t="shared" si="569"/>
        <v>0.28000000000000003</v>
      </c>
      <c r="EM185" s="528">
        <f t="shared" si="570"/>
        <v>1.663959054382257E-2</v>
      </c>
      <c r="EN185" s="528">
        <f t="shared" si="571"/>
        <v>9.5609756097560991E-3</v>
      </c>
      <c r="EO185">
        <f t="shared" si="572"/>
        <v>4.4999999999999997E-3</v>
      </c>
      <c r="EP185" s="460">
        <f t="shared" si="573"/>
        <v>21.139590543822571</v>
      </c>
      <c r="EQ185" s="460"/>
      <c r="ER185" s="460">
        <f t="shared" si="593"/>
        <v>375.05885186786446</v>
      </c>
      <c r="ES185" s="528">
        <f t="shared" si="574"/>
        <v>0.52499999999999991</v>
      </c>
      <c r="EV185" s="460">
        <f t="shared" si="494"/>
        <v>524.99999999999989</v>
      </c>
      <c r="EW185" s="528">
        <f t="shared" si="575"/>
        <v>9.6537428571428607E-2</v>
      </c>
      <c r="EX185" s="528">
        <f t="shared" si="576"/>
        <v>5.7462755102040797E-2</v>
      </c>
      <c r="EY185" s="528">
        <f t="shared" si="577"/>
        <v>0.31185528502698329</v>
      </c>
      <c r="EZ185" s="528"/>
      <c r="FA185" s="528">
        <f t="shared" si="578"/>
        <v>1.0250000000000002E-2</v>
      </c>
      <c r="FB185" s="460">
        <f t="shared" si="579"/>
        <v>476.10546870045266</v>
      </c>
      <c r="FC185" s="173">
        <f t="shared" si="580"/>
        <v>1.3761643205683172</v>
      </c>
      <c r="FD185" s="5">
        <f t="shared" si="581"/>
        <v>12.299999999999999</v>
      </c>
      <c r="FE185" s="173">
        <f t="shared" si="582"/>
        <v>0.89937497910151387</v>
      </c>
      <c r="FF185" s="5">
        <f t="shared" si="583"/>
        <v>89.937497910151393</v>
      </c>
      <c r="FI185" s="562">
        <f t="shared" si="584"/>
        <v>-50</v>
      </c>
      <c r="FJ185">
        <f t="shared" si="585"/>
        <v>-50</v>
      </c>
      <c r="FL185">
        <f t="shared" si="586"/>
        <v>0.37313432835820881</v>
      </c>
    </row>
    <row r="186" spans="5:168">
      <c r="E186" s="170">
        <v>76</v>
      </c>
      <c r="F186" s="217">
        <f t="shared" si="587"/>
        <v>0.76</v>
      </c>
      <c r="G186" s="217"/>
      <c r="H186" s="217">
        <f t="shared" si="495"/>
        <v>12.463999999999999</v>
      </c>
      <c r="I186" s="541">
        <f t="shared" si="496"/>
        <v>9.896335195151563</v>
      </c>
      <c r="J186" s="172">
        <f t="shared" si="497"/>
        <v>16.862198882909059</v>
      </c>
      <c r="K186" s="172">
        <f t="shared" si="498"/>
        <v>26.75853407806062</v>
      </c>
      <c r="L186" s="443"/>
      <c r="M186" s="217">
        <f t="shared" si="499"/>
        <v>0.63014640067107852</v>
      </c>
      <c r="N186" s="172">
        <f t="shared" si="500"/>
        <v>20.865085093569153</v>
      </c>
      <c r="O186" s="172">
        <f t="shared" si="438"/>
        <v>12.463999999999999</v>
      </c>
      <c r="P186" s="217">
        <f t="shared" si="501"/>
        <v>1.2722612861932412</v>
      </c>
      <c r="Q186" s="217">
        <f t="shared" si="502"/>
        <v>16.399999999999999</v>
      </c>
      <c r="R186" s="217"/>
      <c r="S186" s="172">
        <f t="shared" si="503"/>
        <v>33.624985707172691</v>
      </c>
      <c r="T186" s="536">
        <f t="shared" si="504"/>
        <v>16.399999999999999</v>
      </c>
      <c r="U186" s="217">
        <f t="shared" si="505"/>
        <v>4.1097342374332841</v>
      </c>
      <c r="V186" s="217">
        <f t="shared" si="506"/>
        <v>4.9833407899684747</v>
      </c>
      <c r="W186" s="217">
        <f t="shared" si="507"/>
        <v>2.924696309873632</v>
      </c>
      <c r="X186" s="197">
        <f t="shared" si="508"/>
        <v>350</v>
      </c>
      <c r="Y186" s="443">
        <f t="shared" si="509"/>
        <v>123.33441345741669</v>
      </c>
      <c r="AA186" s="217">
        <f t="shared" si="510"/>
        <v>1.4848308970973843</v>
      </c>
      <c r="AB186" s="173">
        <f t="shared" si="511"/>
        <v>1.0566813313552059</v>
      </c>
      <c r="AC186" s="173">
        <f t="shared" si="512"/>
        <v>0.27457379060688653</v>
      </c>
      <c r="AD186" s="173"/>
      <c r="AE186" s="173">
        <f t="shared" si="513"/>
        <v>0.94886794486910297</v>
      </c>
      <c r="AF186" s="545">
        <f t="shared" si="514"/>
        <v>1201.4316704072701</v>
      </c>
      <c r="AG186" s="528">
        <f t="shared" si="515"/>
        <v>0.22140252046945738</v>
      </c>
      <c r="AI186" s="173">
        <f t="shared" si="516"/>
        <v>2.470325903987153</v>
      </c>
      <c r="AJ186" s="173">
        <f t="shared" si="517"/>
        <v>4.1097342374332841</v>
      </c>
      <c r="AK186" s="173">
        <f t="shared" si="518"/>
        <v>3.2565932622962599</v>
      </c>
      <c r="AM186" s="545">
        <f t="shared" si="519"/>
        <v>760</v>
      </c>
      <c r="AN186" s="460">
        <f t="shared" si="520"/>
        <v>123.33441345741669</v>
      </c>
      <c r="AP186">
        <f t="shared" si="521"/>
        <v>760</v>
      </c>
      <c r="AQ186">
        <f t="shared" si="522"/>
        <v>123.33441345741669</v>
      </c>
      <c r="AS186" s="5">
        <f t="shared" si="439"/>
        <v>8.1080370998421056</v>
      </c>
      <c r="AT186" s="5">
        <f t="shared" si="523"/>
        <v>4.9833407899684747</v>
      </c>
      <c r="AU186" s="5">
        <f t="shared" si="478"/>
        <v>3.1246963098736309</v>
      </c>
      <c r="AV186" s="5"/>
      <c r="AW186" s="173">
        <f t="shared" si="479"/>
        <v>0.61461741338918141</v>
      </c>
      <c r="AX186" s="173">
        <f t="shared" si="435"/>
        <v>12.498646930952191</v>
      </c>
      <c r="AY186" s="173">
        <f t="shared" si="436"/>
        <v>0.79191000535253953</v>
      </c>
      <c r="AZ186" s="173">
        <f t="shared" si="440"/>
        <v>15.782913268519811</v>
      </c>
      <c r="BA186" s="460">
        <f t="shared" si="594"/>
        <v>23.093530490097812</v>
      </c>
      <c r="BB186" s="5">
        <f t="shared" si="595"/>
        <v>3.279514928023183</v>
      </c>
      <c r="BD186" s="173">
        <f t="shared" si="441"/>
        <v>1.8601824443142421</v>
      </c>
      <c r="BE186" s="173">
        <f t="shared" si="437"/>
        <v>1.4729878166419226</v>
      </c>
      <c r="BG186" s="528">
        <f t="shared" si="480"/>
        <v>6.9205574522698168E-2</v>
      </c>
      <c r="BH186" s="528">
        <f t="shared" si="524"/>
        <v>0.25430892433479496</v>
      </c>
      <c r="BI186" s="528">
        <f t="shared" si="525"/>
        <v>3.0513967416800184E-2</v>
      </c>
      <c r="BJ186" s="528">
        <f t="shared" si="481"/>
        <v>8.8309801397020628E-3</v>
      </c>
      <c r="BK186">
        <f t="shared" si="482"/>
        <v>4.4533508378182029E-3</v>
      </c>
      <c r="BL186" s="460">
        <f t="shared" si="588"/>
        <v>34.967318254618384</v>
      </c>
      <c r="BM186" s="528">
        <f t="shared" si="526"/>
        <v>0.35689957102905256</v>
      </c>
      <c r="BN186" s="460">
        <f t="shared" si="527"/>
        <v>356.89957102905254</v>
      </c>
      <c r="BO186" s="528">
        <f t="shared" si="483"/>
        <v>0.53199999999999992</v>
      </c>
      <c r="BR186" s="460">
        <f t="shared" si="484"/>
        <v>531.99999999999989</v>
      </c>
      <c r="BS186" s="528">
        <f t="shared" si="485"/>
        <v>0.10380836178404725</v>
      </c>
      <c r="BT186" s="528">
        <f t="shared" si="486"/>
        <v>6.5090793239266143E-2</v>
      </c>
      <c r="BU186" s="528">
        <f t="shared" si="487"/>
        <v>0.28921115000194964</v>
      </c>
      <c r="BV186" s="528"/>
      <c r="BW186" s="528">
        <f t="shared" si="488"/>
        <v>1.0415539109126825E-2</v>
      </c>
      <c r="BX186" s="460">
        <f t="shared" si="489"/>
        <v>468.52584413438984</v>
      </c>
      <c r="BY186" s="173">
        <f t="shared" si="490"/>
        <v>1.3678386413862034</v>
      </c>
      <c r="BZ186" s="5">
        <f t="shared" si="491"/>
        <v>12.463999999999999</v>
      </c>
      <c r="CA186" s="173">
        <f t="shared" si="492"/>
        <v>0.9011094130831242</v>
      </c>
      <c r="CB186" s="5">
        <f t="shared" si="493"/>
        <v>90.11094130831242</v>
      </c>
      <c r="CE186" s="562">
        <f t="shared" si="528"/>
        <v>-50</v>
      </c>
      <c r="CF186">
        <f t="shared" si="529"/>
        <v>-50</v>
      </c>
      <c r="CG186" s="173">
        <f t="shared" si="530"/>
        <v>0.36656606893301591</v>
      </c>
      <c r="CI186" s="170">
        <v>76</v>
      </c>
      <c r="CJ186" s="217">
        <f t="shared" si="589"/>
        <v>0.76</v>
      </c>
      <c r="CK186" s="217"/>
      <c r="CL186" s="217">
        <f t="shared" si="531"/>
        <v>12.463999999999999</v>
      </c>
      <c r="CM186" s="541">
        <f t="shared" si="532"/>
        <v>10</v>
      </c>
      <c r="CN186" s="443">
        <f t="shared" si="533"/>
        <v>16.799999999999997</v>
      </c>
      <c r="CO186" s="443">
        <f t="shared" si="534"/>
        <v>26.799999999999997</v>
      </c>
      <c r="CP186" s="443"/>
      <c r="CQ186" s="217">
        <f t="shared" si="535"/>
        <v>0.62686567164179097</v>
      </c>
      <c r="CR186" s="172">
        <f t="shared" si="590"/>
        <v>20.973880597014926</v>
      </c>
      <c r="CS186" s="172">
        <f t="shared" si="536"/>
        <v>12.463999999999999</v>
      </c>
      <c r="CT186" s="217">
        <f t="shared" si="537"/>
        <v>1.2788951583545687</v>
      </c>
      <c r="CU186" s="217">
        <f t="shared" si="538"/>
        <v>16.399999999999999</v>
      </c>
      <c r="CV186" s="217"/>
      <c r="CW186" s="172">
        <f t="shared" si="539"/>
        <v>33.976009342521422</v>
      </c>
      <c r="CX186" s="536">
        <f t="shared" si="540"/>
        <v>16.399999999999999</v>
      </c>
      <c r="CY186" s="217">
        <f t="shared" si="541"/>
        <v>3.9766095238095236</v>
      </c>
      <c r="CZ186" s="217">
        <f t="shared" si="542"/>
        <v>4.7719314285714276</v>
      </c>
      <c r="DA186" s="217">
        <f t="shared" si="543"/>
        <v>2.8404353741496604</v>
      </c>
      <c r="DB186" s="197">
        <f t="shared" si="544"/>
        <v>350</v>
      </c>
      <c r="DC186" s="443">
        <f t="shared" si="545"/>
        <v>131.36518850386238</v>
      </c>
      <c r="DE186" s="217">
        <f t="shared" si="546"/>
        <v>1.4925373134328355</v>
      </c>
      <c r="DF186" s="173">
        <f t="shared" si="547"/>
        <v>1.0660980810234544</v>
      </c>
      <c r="DG186" s="173">
        <f t="shared" si="548"/>
        <v>0.27845845399866342</v>
      </c>
      <c r="DH186" s="173"/>
      <c r="DI186" s="173">
        <f t="shared" si="549"/>
        <v>0.95238095238095266</v>
      </c>
      <c r="DJ186" s="545">
        <f t="shared" si="550"/>
        <v>1196.9999999999995</v>
      </c>
      <c r="DK186" s="528">
        <f t="shared" si="551"/>
        <v>0.22222222222222232</v>
      </c>
      <c r="DM186" s="173">
        <f t="shared" si="552"/>
        <v>2.4657656011875901</v>
      </c>
      <c r="DN186" s="173">
        <f t="shared" si="553"/>
        <v>3.9766095238095236</v>
      </c>
      <c r="DO186" s="173">
        <f t="shared" si="554"/>
        <v>3.1579823633156963</v>
      </c>
      <c r="DQ186" s="545">
        <f t="shared" si="555"/>
        <v>760</v>
      </c>
      <c r="DR186" s="460">
        <f t="shared" si="556"/>
        <v>131.36518850386238</v>
      </c>
      <c r="DT186">
        <f t="shared" si="591"/>
        <v>760</v>
      </c>
      <c r="DU186">
        <f t="shared" si="592"/>
        <v>131.36518850386238</v>
      </c>
      <c r="DW186" s="5">
        <f t="shared" si="557"/>
        <v>7.6123668027210885</v>
      </c>
      <c r="DX186" s="5">
        <f t="shared" si="558"/>
        <v>4.7719314285714276</v>
      </c>
      <c r="DY186" s="5">
        <f t="shared" si="559"/>
        <v>2.8404353741496609</v>
      </c>
      <c r="DZ186" s="5"/>
      <c r="EA186" s="173">
        <f t="shared" si="560"/>
        <v>0.62686567164179097</v>
      </c>
      <c r="EB186" s="173">
        <f t="shared" si="561"/>
        <v>12.463999999999999</v>
      </c>
      <c r="EC186" s="173">
        <f t="shared" si="562"/>
        <v>0.74190476190476207</v>
      </c>
      <c r="ED186" s="173">
        <f t="shared" si="563"/>
        <v>16.799999999999994</v>
      </c>
      <c r="EE186" s="460">
        <f t="shared" si="564"/>
        <v>22.11382857142857</v>
      </c>
      <c r="EF186" s="5">
        <f t="shared" si="565"/>
        <v>2.9502655419501136</v>
      </c>
      <c r="EH186" s="173">
        <f t="shared" si="566"/>
        <v>1.817772649971422</v>
      </c>
      <c r="EI186" s="173">
        <f t="shared" si="567"/>
        <v>1.402442046800298</v>
      </c>
      <c r="EK186" s="528">
        <f t="shared" si="568"/>
        <v>6.6085948139682507E-2</v>
      </c>
      <c r="EL186" s="528">
        <f t="shared" si="569"/>
        <v>0.27999999999999992</v>
      </c>
      <c r="EM186" s="528">
        <f t="shared" si="570"/>
        <v>1.6420648562982799E-2</v>
      </c>
      <c r="EN186" s="528">
        <f t="shared" si="571"/>
        <v>9.4351732991014119E-3</v>
      </c>
      <c r="EO186">
        <f t="shared" si="572"/>
        <v>4.4999999999999997E-3</v>
      </c>
      <c r="EP186" s="460">
        <f t="shared" si="573"/>
        <v>20.920648562982798</v>
      </c>
      <c r="EQ186" s="460"/>
      <c r="ER186" s="460">
        <f t="shared" si="593"/>
        <v>376.44177000176666</v>
      </c>
      <c r="ES186" s="528">
        <f t="shared" si="574"/>
        <v>0.53199999999999992</v>
      </c>
      <c r="EV186" s="460">
        <f t="shared" si="494"/>
        <v>531.99999999999989</v>
      </c>
      <c r="EW186" s="528">
        <f t="shared" si="575"/>
        <v>9.9128922209523768E-2</v>
      </c>
      <c r="EX186" s="528">
        <f t="shared" si="576"/>
        <v>5.9005310839002276E-2</v>
      </c>
      <c r="EY186" s="528">
        <f t="shared" si="577"/>
        <v>0.31185528502698312</v>
      </c>
      <c r="EZ186" s="528"/>
      <c r="FA186" s="528">
        <f t="shared" si="578"/>
        <v>1.0386666666666667E-2</v>
      </c>
      <c r="FB186" s="460">
        <f t="shared" si="579"/>
        <v>480.37618474217578</v>
      </c>
      <c r="FC186" s="173">
        <f t="shared" si="580"/>
        <v>1.3888179547439425</v>
      </c>
      <c r="FD186" s="5">
        <f t="shared" si="581"/>
        <v>12.463999999999999</v>
      </c>
      <c r="FE186" s="173">
        <f t="shared" si="582"/>
        <v>0.89974473357831597</v>
      </c>
      <c r="FF186" s="5">
        <f t="shared" si="583"/>
        <v>89.974473357831599</v>
      </c>
      <c r="FI186" s="562">
        <f t="shared" si="584"/>
        <v>-50</v>
      </c>
      <c r="FJ186">
        <f t="shared" si="585"/>
        <v>-50</v>
      </c>
      <c r="FL186">
        <f t="shared" si="586"/>
        <v>0.37313432835820903</v>
      </c>
    </row>
    <row r="187" spans="5:168">
      <c r="E187" s="170">
        <v>77</v>
      </c>
      <c r="F187" s="217">
        <f t="shared" si="587"/>
        <v>0.77</v>
      </c>
      <c r="G187" s="217"/>
      <c r="H187" s="217">
        <f t="shared" si="495"/>
        <v>12.627999999999998</v>
      </c>
      <c r="I187" s="541">
        <f t="shared" si="496"/>
        <v>9.8949956196955409</v>
      </c>
      <c r="J187" s="172">
        <f t="shared" si="497"/>
        <v>16.863002628182674</v>
      </c>
      <c r="K187" s="172">
        <f t="shared" si="498"/>
        <v>26.757998247878213</v>
      </c>
      <c r="L187" s="443"/>
      <c r="M187" s="217">
        <f t="shared" si="499"/>
        <v>0.63018906221974369</v>
      </c>
      <c r="N187" s="172">
        <f t="shared" si="500"/>
        <v>20.86367317594274</v>
      </c>
      <c r="O187" s="172">
        <f t="shared" si="438"/>
        <v>12.627999999999998</v>
      </c>
      <c r="P187" s="217">
        <f t="shared" si="501"/>
        <v>1.2721751936550452</v>
      </c>
      <c r="Q187" s="217">
        <f t="shared" si="502"/>
        <v>16.399999999999999</v>
      </c>
      <c r="R187" s="217"/>
      <c r="S187" s="172">
        <f t="shared" si="503"/>
        <v>33.058778017402929</v>
      </c>
      <c r="T187" s="536">
        <f t="shared" si="504"/>
        <v>16.399999999999999</v>
      </c>
      <c r="U187" s="217">
        <f t="shared" si="505"/>
        <v>4.1642900268003338</v>
      </c>
      <c r="V187" s="217">
        <f t="shared" si="506"/>
        <v>5.0501771038824961</v>
      </c>
      <c r="W187" s="217">
        <f t="shared" si="507"/>
        <v>2.9633797386764349</v>
      </c>
      <c r="X187" s="197">
        <f t="shared" si="508"/>
        <v>350</v>
      </c>
      <c r="Y187" s="443">
        <f t="shared" si="509"/>
        <v>121.74993357548257</v>
      </c>
      <c r="AA187" s="217">
        <f t="shared" si="510"/>
        <v>1.4847304060982351</v>
      </c>
      <c r="AB187" s="173">
        <f t="shared" si="511"/>
        <v>1.0565594553962858</v>
      </c>
      <c r="AC187" s="173">
        <f t="shared" si="512"/>
        <v>0.27452354112355504</v>
      </c>
      <c r="AD187" s="173"/>
      <c r="AE187" s="173">
        <f t="shared" si="513"/>
        <v>0.94882271875233182</v>
      </c>
      <c r="AF187" s="545">
        <f t="shared" si="514"/>
        <v>1217.2980022219363</v>
      </c>
      <c r="AG187" s="528">
        <f t="shared" si="515"/>
        <v>0.22139196770887748</v>
      </c>
      <c r="AI187" s="173">
        <f t="shared" si="516"/>
        <v>2.4865841959738626</v>
      </c>
      <c r="AJ187" s="173">
        <f t="shared" si="517"/>
        <v>4.1642900268003338</v>
      </c>
      <c r="AK187" s="173">
        <f t="shared" si="518"/>
        <v>3.2970049581237042</v>
      </c>
      <c r="AM187" s="545">
        <f t="shared" si="519"/>
        <v>770</v>
      </c>
      <c r="AN187" s="460">
        <f t="shared" si="520"/>
        <v>121.74993357548257</v>
      </c>
      <c r="AP187">
        <f t="shared" si="521"/>
        <v>770</v>
      </c>
      <c r="AQ187">
        <f t="shared" si="522"/>
        <v>121.74993357548257</v>
      </c>
      <c r="AS187" s="5">
        <f t="shared" si="439"/>
        <v>8.2135568425589298</v>
      </c>
      <c r="AT187" s="5">
        <f t="shared" si="523"/>
        <v>5.0501771038824961</v>
      </c>
      <c r="AU187" s="5">
        <f t="shared" si="478"/>
        <v>3.1633797386764337</v>
      </c>
      <c r="AV187" s="5"/>
      <c r="AW187" s="173">
        <f t="shared" si="479"/>
        <v>0.61485872694211685</v>
      </c>
      <c r="AX187" s="173">
        <f t="shared" si="435"/>
        <v>12.667821086319565</v>
      </c>
      <c r="AY187" s="173">
        <f t="shared" si="436"/>
        <v>0.80191998115206342</v>
      </c>
      <c r="AZ187" s="173">
        <f t="shared" si="440"/>
        <v>15.796864255858265</v>
      </c>
      <c r="BA187" s="460">
        <f t="shared" si="594"/>
        <v>23.711197377984895</v>
      </c>
      <c r="BB187" s="5">
        <f t="shared" si="595"/>
        <v>3.3642561077787798</v>
      </c>
      <c r="BD187" s="173">
        <f t="shared" si="441"/>
        <v>1.8852459315875145</v>
      </c>
      <c r="BE187" s="173">
        <f t="shared" si="437"/>
        <v>1.4920740329718785</v>
      </c>
      <c r="BG187" s="528">
        <f t="shared" si="480"/>
        <v>7.1083044451345515E-2</v>
      </c>
      <c r="BH187" s="528">
        <f t="shared" si="524"/>
        <v>0.25436924140330325</v>
      </c>
      <c r="BI187" s="528">
        <f t="shared" si="525"/>
        <v>3.0117876485690573E-2</v>
      </c>
      <c r="BJ187" s="528">
        <f t="shared" si="481"/>
        <v>8.7171792191601503E-3</v>
      </c>
      <c r="BK187">
        <f t="shared" si="482"/>
        <v>4.452748028862993E-3</v>
      </c>
      <c r="BL187" s="460">
        <f t="shared" si="588"/>
        <v>34.570624514553565</v>
      </c>
      <c r="BM187" s="528">
        <f t="shared" si="526"/>
        <v>0.35943246101183063</v>
      </c>
      <c r="BN187" s="460">
        <f t="shared" si="527"/>
        <v>359.43246101183064</v>
      </c>
      <c r="BO187" s="528">
        <f t="shared" si="483"/>
        <v>0.53899999999999992</v>
      </c>
      <c r="BR187" s="460">
        <f t="shared" si="484"/>
        <v>538.99999999999989</v>
      </c>
      <c r="BS187" s="528">
        <f t="shared" si="485"/>
        <v>0.10662456667701826</v>
      </c>
      <c r="BT187" s="528">
        <f t="shared" si="486"/>
        <v>6.6788547596068976E-2</v>
      </c>
      <c r="BU187" s="528">
        <f t="shared" si="487"/>
        <v>0.28939715595271076</v>
      </c>
      <c r="BV187" s="528"/>
      <c r="BW187" s="528">
        <f t="shared" si="488"/>
        <v>1.0556517571932969E-2</v>
      </c>
      <c r="BX187" s="460">
        <f t="shared" si="489"/>
        <v>473.36678779773098</v>
      </c>
      <c r="BY187" s="173">
        <f t="shared" si="490"/>
        <v>1.3811068773860933</v>
      </c>
      <c r="BZ187" s="5">
        <f t="shared" si="491"/>
        <v>12.627999999999998</v>
      </c>
      <c r="CA187" s="173">
        <f t="shared" si="492"/>
        <v>0.90141363832297428</v>
      </c>
      <c r="CB187" s="5">
        <f t="shared" si="493"/>
        <v>90.141363832297429</v>
      </c>
      <c r="CE187" s="562">
        <f t="shared" si="528"/>
        <v>-50</v>
      </c>
      <c r="CF187">
        <f t="shared" si="529"/>
        <v>-50</v>
      </c>
      <c r="CG187" s="173">
        <f t="shared" si="530"/>
        <v>0.36665137100347295</v>
      </c>
      <c r="CI187" s="170">
        <v>77</v>
      </c>
      <c r="CJ187" s="217">
        <f t="shared" si="589"/>
        <v>0.77</v>
      </c>
      <c r="CK187" s="217"/>
      <c r="CL187" s="217">
        <f t="shared" si="531"/>
        <v>12.627999999999998</v>
      </c>
      <c r="CM187" s="541">
        <f t="shared" si="532"/>
        <v>10</v>
      </c>
      <c r="CN187" s="443">
        <f t="shared" si="533"/>
        <v>16.799999999999997</v>
      </c>
      <c r="CO187" s="443">
        <f t="shared" si="534"/>
        <v>26.799999999999997</v>
      </c>
      <c r="CP187" s="443"/>
      <c r="CQ187" s="217">
        <f t="shared" si="535"/>
        <v>0.62686567164179097</v>
      </c>
      <c r="CR187" s="172">
        <f t="shared" si="590"/>
        <v>20.973880597014926</v>
      </c>
      <c r="CS187" s="172">
        <f t="shared" si="536"/>
        <v>12.627999999999998</v>
      </c>
      <c r="CT187" s="217">
        <f t="shared" si="537"/>
        <v>1.2788951583545687</v>
      </c>
      <c r="CU187" s="217">
        <f t="shared" si="538"/>
        <v>16.399999999999999</v>
      </c>
      <c r="CV187" s="217"/>
      <c r="CW187" s="172">
        <f t="shared" si="539"/>
        <v>33.408357231552024</v>
      </c>
      <c r="CX187" s="536">
        <f t="shared" si="540"/>
        <v>16.399999999999999</v>
      </c>
      <c r="CY187" s="217">
        <f t="shared" si="541"/>
        <v>4.0289333333333328</v>
      </c>
      <c r="CZ187" s="217">
        <f t="shared" si="542"/>
        <v>4.834719999999999</v>
      </c>
      <c r="DA187" s="217">
        <f t="shared" si="543"/>
        <v>2.8778095238095238</v>
      </c>
      <c r="DB187" s="197">
        <f t="shared" si="544"/>
        <v>350</v>
      </c>
      <c r="DC187" s="443">
        <f t="shared" si="545"/>
        <v>129.65914709472133</v>
      </c>
      <c r="DE187" s="217">
        <f t="shared" si="546"/>
        <v>1.4925373134328355</v>
      </c>
      <c r="DF187" s="173">
        <f t="shared" si="547"/>
        <v>1.0660980810234544</v>
      </c>
      <c r="DG187" s="173">
        <f t="shared" si="548"/>
        <v>0.27845845399866342</v>
      </c>
      <c r="DH187" s="173"/>
      <c r="DI187" s="173">
        <f t="shared" si="549"/>
        <v>0.95238095238095266</v>
      </c>
      <c r="DJ187" s="545">
        <f t="shared" si="550"/>
        <v>1212.7499999999995</v>
      </c>
      <c r="DK187" s="528">
        <f t="shared" si="551"/>
        <v>0.22222222222222232</v>
      </c>
      <c r="DM187" s="173">
        <f t="shared" si="552"/>
        <v>2.481934729198171</v>
      </c>
      <c r="DN187" s="173">
        <f t="shared" si="553"/>
        <v>4.0289333333333328</v>
      </c>
      <c r="DO187" s="173">
        <f t="shared" si="554"/>
        <v>3.19674074074074</v>
      </c>
      <c r="DQ187" s="545">
        <f t="shared" si="555"/>
        <v>770</v>
      </c>
      <c r="DR187" s="460">
        <f t="shared" si="556"/>
        <v>129.65914709472133</v>
      </c>
      <c r="DT187">
        <f t="shared" si="591"/>
        <v>770</v>
      </c>
      <c r="DU187">
        <f t="shared" si="592"/>
        <v>129.65914709472133</v>
      </c>
      <c r="DW187" s="5">
        <f t="shared" si="557"/>
        <v>7.7125295238095228</v>
      </c>
      <c r="DX187" s="5">
        <f t="shared" si="558"/>
        <v>4.834719999999999</v>
      </c>
      <c r="DY187" s="5">
        <f t="shared" si="559"/>
        <v>2.8778095238095238</v>
      </c>
      <c r="DZ187" s="5"/>
      <c r="EA187" s="173">
        <f t="shared" si="560"/>
        <v>0.62686567164179097</v>
      </c>
      <c r="EB187" s="173">
        <f t="shared" si="561"/>
        <v>12.627999999999998</v>
      </c>
      <c r="EC187" s="173">
        <f t="shared" si="562"/>
        <v>0.75166666666666671</v>
      </c>
      <c r="ED187" s="173">
        <f t="shared" si="563"/>
        <v>16.799999999999997</v>
      </c>
      <c r="EE187" s="460">
        <f t="shared" si="564"/>
        <v>22.6996</v>
      </c>
      <c r="EF187" s="5">
        <f t="shared" si="565"/>
        <v>3.0284148888888884</v>
      </c>
      <c r="EH187" s="173">
        <f t="shared" si="566"/>
        <v>1.8416907111552563</v>
      </c>
      <c r="EI187" s="173">
        <f t="shared" si="567"/>
        <v>1.4208952316266175</v>
      </c>
      <c r="EK187" s="528">
        <f t="shared" si="568"/>
        <v>6.7836493511111068E-2</v>
      </c>
      <c r="EL187" s="528">
        <f t="shared" si="569"/>
        <v>0.27999999999999997</v>
      </c>
      <c r="EM187" s="528">
        <f t="shared" si="570"/>
        <v>1.6207393386840165E-2</v>
      </c>
      <c r="EN187" s="528">
        <f t="shared" si="571"/>
        <v>9.312638580931263E-3</v>
      </c>
      <c r="EO187">
        <f t="shared" si="572"/>
        <v>4.4999999999999997E-3</v>
      </c>
      <c r="EP187" s="460">
        <f t="shared" si="573"/>
        <v>20.707393386840167</v>
      </c>
      <c r="EQ187" s="460"/>
      <c r="ER187" s="460">
        <f t="shared" si="593"/>
        <v>377.85652547888247</v>
      </c>
      <c r="ES187" s="528">
        <f t="shared" si="574"/>
        <v>0.53899999999999992</v>
      </c>
      <c r="EV187" s="460">
        <f t="shared" si="494"/>
        <v>538.99999999999989</v>
      </c>
      <c r="EW187" s="528">
        <f t="shared" si="575"/>
        <v>0.1017547402666666</v>
      </c>
      <c r="EX187" s="528">
        <f t="shared" si="576"/>
        <v>6.0568297777777773E-2</v>
      </c>
      <c r="EY187" s="528">
        <f t="shared" si="577"/>
        <v>0.31185528502698368</v>
      </c>
      <c r="EZ187" s="528"/>
      <c r="FA187" s="528">
        <f t="shared" si="578"/>
        <v>1.0523333333333332E-2</v>
      </c>
      <c r="FB187" s="460">
        <f t="shared" si="579"/>
        <v>484.70165640476137</v>
      </c>
      <c r="FC187" s="173">
        <f t="shared" si="580"/>
        <v>1.4015581818836438</v>
      </c>
      <c r="FD187" s="5">
        <f t="shared" si="581"/>
        <v>12.627999999999998</v>
      </c>
      <c r="FE187" s="173">
        <f t="shared" si="582"/>
        <v>0.90009962083528228</v>
      </c>
      <c r="FF187" s="5">
        <f t="shared" si="583"/>
        <v>90.009962083528222</v>
      </c>
      <c r="FI187" s="562">
        <f t="shared" si="584"/>
        <v>-50</v>
      </c>
      <c r="FJ187">
        <f t="shared" si="585"/>
        <v>-50</v>
      </c>
      <c r="FL187">
        <f t="shared" si="586"/>
        <v>0.37313432835820903</v>
      </c>
    </row>
    <row r="188" spans="5:168">
      <c r="E188" s="170">
        <v>78</v>
      </c>
      <c r="F188" s="217">
        <f t="shared" si="587"/>
        <v>0.78</v>
      </c>
      <c r="G188" s="217"/>
      <c r="H188" s="217">
        <f t="shared" si="495"/>
        <v>12.792</v>
      </c>
      <c r="I188" s="541">
        <f t="shared" si="496"/>
        <v>9.8936560331638113</v>
      </c>
      <c r="J188" s="172">
        <f t="shared" si="497"/>
        <v>16.86380638010171</v>
      </c>
      <c r="K188" s="172">
        <f t="shared" si="498"/>
        <v>26.757462413265522</v>
      </c>
      <c r="L188" s="443"/>
      <c r="M188" s="217">
        <f t="shared" si="499"/>
        <v>0.630231725737182</v>
      </c>
      <c r="N188" s="172">
        <f t="shared" si="500"/>
        <v>20.862260917715094</v>
      </c>
      <c r="O188" s="172">
        <f t="shared" si="438"/>
        <v>12.792</v>
      </c>
      <c r="P188" s="217">
        <f t="shared" si="501"/>
        <v>1.2720890803484814</v>
      </c>
      <c r="Q188" s="217">
        <f t="shared" si="502"/>
        <v>16.399999999999999</v>
      </c>
      <c r="R188" s="217"/>
      <c r="S188" s="172">
        <f t="shared" si="503"/>
        <v>32.507186646708156</v>
      </c>
      <c r="T188" s="536">
        <f t="shared" si="504"/>
        <v>16.399999999999999</v>
      </c>
      <c r="U188" s="217">
        <f t="shared" si="505"/>
        <v>4.2188584272408622</v>
      </c>
      <c r="V188" s="217">
        <f t="shared" si="506"/>
        <v>5.1170468184045994</v>
      </c>
      <c r="W188" s="217">
        <f t="shared" si="507"/>
        <v>3.0020684527442376</v>
      </c>
      <c r="X188" s="197">
        <f t="shared" si="508"/>
        <v>350</v>
      </c>
      <c r="Y188" s="443">
        <f t="shared" si="509"/>
        <v>120.20509001336437</v>
      </c>
      <c r="AA188" s="217">
        <f t="shared" si="510"/>
        <v>1.4846298910820339</v>
      </c>
      <c r="AB188" s="173">
        <f t="shared" si="511"/>
        <v>1.056437573548384</v>
      </c>
      <c r="AC188" s="173">
        <f t="shared" si="512"/>
        <v>0.27447328995661846</v>
      </c>
      <c r="AD188" s="173"/>
      <c r="AE188" s="173">
        <f t="shared" si="513"/>
        <v>0.94877749657272226</v>
      </c>
      <c r="AF188" s="545">
        <f t="shared" si="514"/>
        <v>1233.1658415449374</v>
      </c>
      <c r="AG188" s="528">
        <f t="shared" si="515"/>
        <v>0.22138141586696855</v>
      </c>
      <c r="AI188" s="173">
        <f t="shared" si="516"/>
        <v>2.5027384027519153</v>
      </c>
      <c r="AJ188" s="173">
        <f t="shared" si="517"/>
        <v>4.2188584272408622</v>
      </c>
      <c r="AK188" s="173">
        <f t="shared" si="518"/>
        <v>3.3374259954870578</v>
      </c>
      <c r="AM188" s="545">
        <f t="shared" si="519"/>
        <v>780</v>
      </c>
      <c r="AN188" s="460">
        <f t="shared" si="520"/>
        <v>120.20509001336437</v>
      </c>
      <c r="AP188">
        <f t="shared" si="521"/>
        <v>780</v>
      </c>
      <c r="AQ188">
        <f t="shared" si="522"/>
        <v>120.20509001336437</v>
      </c>
      <c r="AS188" s="5">
        <f t="shared" si="439"/>
        <v>8.3191152711488368</v>
      </c>
      <c r="AT188" s="5">
        <f t="shared" si="523"/>
        <v>5.1170468184045994</v>
      </c>
      <c r="AU188" s="5">
        <f t="shared" si="478"/>
        <v>3.2020684527442373</v>
      </c>
      <c r="AV188" s="5"/>
      <c r="AW188" s="173">
        <f t="shared" si="479"/>
        <v>0.61509507340892455</v>
      </c>
      <c r="AX188" s="173">
        <f t="shared" si="435"/>
        <v>12.837013924421777</v>
      </c>
      <c r="AY188" s="173">
        <f t="shared" si="436"/>
        <v>0.81192969661764203</v>
      </c>
      <c r="AZ188" s="173">
        <f t="shared" si="440"/>
        <v>15.810499330051044</v>
      </c>
      <c r="BA188" s="460">
        <f t="shared" si="594"/>
        <v>24.337173892412125</v>
      </c>
      <c r="BB188" s="5">
        <f t="shared" si="595"/>
        <v>3.4500946456835853</v>
      </c>
      <c r="BD188" s="173">
        <f t="shared" si="441"/>
        <v>1.9103170368027336</v>
      </c>
      <c r="BE188" s="173">
        <f t="shared" si="437"/>
        <v>1.5111621229818362</v>
      </c>
      <c r="BG188" s="528">
        <f t="shared" si="480"/>
        <v>7.2986223621975529E-2</v>
      </c>
      <c r="BH188" s="528">
        <f t="shared" si="524"/>
        <v>0.25442747391348375</v>
      </c>
      <c r="BI188" s="528">
        <f t="shared" si="525"/>
        <v>2.9731695350693033E-2</v>
      </c>
      <c r="BJ188" s="528">
        <f t="shared" si="481"/>
        <v>8.6062251989741396E-3</v>
      </c>
      <c r="BK188">
        <f t="shared" si="482"/>
        <v>4.4521452149237153E-3</v>
      </c>
      <c r="BL188" s="460">
        <f t="shared" si="588"/>
        <v>34.183840565616748</v>
      </c>
      <c r="BM188" s="528">
        <f t="shared" si="526"/>
        <v>0.36200390348189693</v>
      </c>
      <c r="BN188" s="460">
        <f t="shared" si="527"/>
        <v>362.00390348189694</v>
      </c>
      <c r="BO188" s="528">
        <f t="shared" si="483"/>
        <v>0.54599999999999993</v>
      </c>
      <c r="BR188" s="460">
        <f t="shared" si="484"/>
        <v>545.99999999999989</v>
      </c>
      <c r="BS188" s="528">
        <f t="shared" si="485"/>
        <v>0.10947933543296329</v>
      </c>
      <c r="BT188" s="528">
        <f t="shared" si="486"/>
        <v>6.8508328858049111E-2</v>
      </c>
      <c r="BU188" s="528">
        <f t="shared" si="487"/>
        <v>0.28957730983611818</v>
      </c>
      <c r="BV188" s="528"/>
      <c r="BW188" s="528">
        <f t="shared" si="488"/>
        <v>1.0697511603684814E-2</v>
      </c>
      <c r="BX188" s="460">
        <f t="shared" si="489"/>
        <v>478.2624857308154</v>
      </c>
      <c r="BY188" s="173">
        <f t="shared" si="490"/>
        <v>1.3944662490308652</v>
      </c>
      <c r="BZ188" s="5">
        <f t="shared" si="491"/>
        <v>12.792</v>
      </c>
      <c r="CA188" s="173">
        <f t="shared" si="492"/>
        <v>0.90170446786731495</v>
      </c>
      <c r="CB188" s="5">
        <f t="shared" si="493"/>
        <v>90.170446786731489</v>
      </c>
      <c r="CE188" s="562">
        <f t="shared" si="528"/>
        <v>-50</v>
      </c>
      <c r="CF188">
        <f t="shared" si="529"/>
        <v>-50</v>
      </c>
      <c r="CG188" s="173">
        <f t="shared" si="530"/>
        <v>0.3667344858413541</v>
      </c>
      <c r="CI188" s="170">
        <v>78</v>
      </c>
      <c r="CJ188" s="217">
        <f t="shared" si="589"/>
        <v>0.78</v>
      </c>
      <c r="CK188" s="217"/>
      <c r="CL188" s="217">
        <f t="shared" si="531"/>
        <v>12.792</v>
      </c>
      <c r="CM188" s="541">
        <f t="shared" si="532"/>
        <v>10</v>
      </c>
      <c r="CN188" s="443">
        <f t="shared" si="533"/>
        <v>16.799999999999997</v>
      </c>
      <c r="CO188" s="443">
        <f t="shared" si="534"/>
        <v>26.799999999999997</v>
      </c>
      <c r="CP188" s="443"/>
      <c r="CQ188" s="217">
        <f t="shared" si="535"/>
        <v>0.62686567164179097</v>
      </c>
      <c r="CR188" s="172">
        <f t="shared" si="590"/>
        <v>20.973880597014926</v>
      </c>
      <c r="CS188" s="172">
        <f t="shared" si="536"/>
        <v>12.792</v>
      </c>
      <c r="CT188" s="217">
        <f t="shared" si="537"/>
        <v>1.2788951583545687</v>
      </c>
      <c r="CU188" s="217">
        <f t="shared" si="538"/>
        <v>16.399999999999999</v>
      </c>
      <c r="CV188" s="217"/>
      <c r="CW188" s="172">
        <f t="shared" si="539"/>
        <v>32.855324226594135</v>
      </c>
      <c r="CX188" s="536">
        <f t="shared" si="540"/>
        <v>16.399999999999999</v>
      </c>
      <c r="CY188" s="217">
        <f t="shared" si="541"/>
        <v>4.0812571428571429</v>
      </c>
      <c r="CZ188" s="217">
        <f t="shared" si="542"/>
        <v>4.8975085714285713</v>
      </c>
      <c r="DA188" s="217">
        <f t="shared" si="543"/>
        <v>2.9151836734693886</v>
      </c>
      <c r="DB188" s="197">
        <f t="shared" si="544"/>
        <v>350</v>
      </c>
      <c r="DC188" s="443">
        <f t="shared" si="545"/>
        <v>127.99685033709667</v>
      </c>
      <c r="DE188" s="217">
        <f t="shared" si="546"/>
        <v>1.4925373134328355</v>
      </c>
      <c r="DF188" s="173">
        <f t="shared" si="547"/>
        <v>1.0660980810234544</v>
      </c>
      <c r="DG188" s="173">
        <f t="shared" si="548"/>
        <v>0.27845845399866342</v>
      </c>
      <c r="DH188" s="173"/>
      <c r="DI188" s="173">
        <f t="shared" si="549"/>
        <v>0.95238095238095266</v>
      </c>
      <c r="DJ188" s="545">
        <f t="shared" si="550"/>
        <v>1228.4999999999995</v>
      </c>
      <c r="DK188" s="528">
        <f t="shared" si="551"/>
        <v>0.22222222222222232</v>
      </c>
      <c r="DM188" s="173">
        <f t="shared" si="552"/>
        <v>2.4979991993593589</v>
      </c>
      <c r="DN188" s="173">
        <f t="shared" si="553"/>
        <v>4.0812571428571429</v>
      </c>
      <c r="DO188" s="173">
        <f t="shared" si="554"/>
        <v>3.2354991181657846</v>
      </c>
      <c r="DQ188" s="545">
        <f t="shared" si="555"/>
        <v>780</v>
      </c>
      <c r="DR188" s="460">
        <f t="shared" si="556"/>
        <v>127.99685033709667</v>
      </c>
      <c r="DT188">
        <f t="shared" si="591"/>
        <v>780</v>
      </c>
      <c r="DU188">
        <f t="shared" si="592"/>
        <v>127.99685033709667</v>
      </c>
      <c r="DW188" s="5">
        <f t="shared" si="557"/>
        <v>7.812692244897959</v>
      </c>
      <c r="DX188" s="5">
        <f t="shared" si="558"/>
        <v>4.8975085714285713</v>
      </c>
      <c r="DY188" s="5">
        <f t="shared" si="559"/>
        <v>2.9151836734693877</v>
      </c>
      <c r="DZ188" s="5"/>
      <c r="EA188" s="173">
        <f t="shared" si="560"/>
        <v>0.62686567164179108</v>
      </c>
      <c r="EB188" s="173">
        <f t="shared" si="561"/>
        <v>12.792</v>
      </c>
      <c r="EC188" s="173">
        <f t="shared" si="562"/>
        <v>0.76142857142857134</v>
      </c>
      <c r="ED188" s="173">
        <f t="shared" si="563"/>
        <v>16.8</v>
      </c>
      <c r="EE188" s="460">
        <f t="shared" si="564"/>
        <v>23.293028571428579</v>
      </c>
      <c r="EF188" s="5">
        <f t="shared" si="565"/>
        <v>3.1075857959183666</v>
      </c>
      <c r="EH188" s="173">
        <f t="shared" si="566"/>
        <v>1.8656087723390913</v>
      </c>
      <c r="EI188" s="173">
        <f t="shared" si="567"/>
        <v>1.4393484164529373</v>
      </c>
      <c r="EK188" s="528">
        <f t="shared" si="568"/>
        <v>6.9609921828571425E-2</v>
      </c>
      <c r="EL188" s="528">
        <f t="shared" si="569"/>
        <v>0.27999999999999997</v>
      </c>
      <c r="EM188" s="528">
        <f t="shared" si="570"/>
        <v>1.5999606292137085E-2</v>
      </c>
      <c r="EN188" s="528">
        <f t="shared" si="571"/>
        <v>9.193245778611631E-3</v>
      </c>
      <c r="EO188">
        <f t="shared" si="572"/>
        <v>4.4999999999999997E-3</v>
      </c>
      <c r="EP188" s="460">
        <f t="shared" si="573"/>
        <v>20.499606292137084</v>
      </c>
      <c r="EQ188" s="460"/>
      <c r="ER188" s="460">
        <f t="shared" si="593"/>
        <v>379.30277389932013</v>
      </c>
      <c r="ES188" s="528">
        <f t="shared" si="574"/>
        <v>0.54599999999999993</v>
      </c>
      <c r="EV188" s="460">
        <f t="shared" si="494"/>
        <v>545.99999999999989</v>
      </c>
      <c r="EW188" s="528">
        <f t="shared" si="575"/>
        <v>0.10441488274285714</v>
      </c>
      <c r="EX188" s="528">
        <f t="shared" si="576"/>
        <v>6.2151715918367344E-2</v>
      </c>
      <c r="EY188" s="528">
        <f t="shared" si="577"/>
        <v>0.31185528502698312</v>
      </c>
      <c r="EZ188" s="528"/>
      <c r="FA188" s="528">
        <f t="shared" si="578"/>
        <v>1.0659999999999999E-2</v>
      </c>
      <c r="FB188" s="460">
        <f t="shared" si="579"/>
        <v>489.0818836882076</v>
      </c>
      <c r="FC188" s="173">
        <f t="shared" si="580"/>
        <v>1.4143846575875274</v>
      </c>
      <c r="FD188" s="5">
        <f t="shared" si="581"/>
        <v>12.792</v>
      </c>
      <c r="FE188" s="173">
        <f t="shared" si="582"/>
        <v>0.90044021109676808</v>
      </c>
      <c r="FF188" s="5">
        <f t="shared" si="583"/>
        <v>90.044021109676805</v>
      </c>
      <c r="FI188" s="562">
        <f t="shared" si="584"/>
        <v>-50</v>
      </c>
      <c r="FJ188">
        <f t="shared" si="585"/>
        <v>-50</v>
      </c>
      <c r="FL188">
        <f t="shared" si="586"/>
        <v>0.37313432835820892</v>
      </c>
    </row>
    <row r="189" spans="5:168">
      <c r="E189" s="170">
        <v>79</v>
      </c>
      <c r="F189" s="217">
        <f t="shared" si="587"/>
        <v>0.79</v>
      </c>
      <c r="G189" s="217"/>
      <c r="H189" s="217">
        <f t="shared" si="495"/>
        <v>12.956</v>
      </c>
      <c r="I189" s="541">
        <f t="shared" si="496"/>
        <v>9.8923164359842133</v>
      </c>
      <c r="J189" s="172">
        <f t="shared" si="497"/>
        <v>16.864610138409468</v>
      </c>
      <c r="K189" s="172">
        <f t="shared" si="498"/>
        <v>26.756926574393681</v>
      </c>
      <c r="L189" s="443"/>
      <c r="M189" s="217">
        <f t="shared" si="499"/>
        <v>0.63027439121348627</v>
      </c>
      <c r="N189" s="172">
        <f t="shared" si="500"/>
        <v>20.860848319429312</v>
      </c>
      <c r="O189" s="172">
        <f t="shared" si="438"/>
        <v>12.956</v>
      </c>
      <c r="P189" s="217">
        <f t="shared" si="501"/>
        <v>1.2720029463066655</v>
      </c>
      <c r="Q189" s="217">
        <f t="shared" si="502"/>
        <v>16.399999999999999</v>
      </c>
      <c r="R189" s="217"/>
      <c r="S189" s="172">
        <f t="shared" si="503"/>
        <v>31.96965720504684</v>
      </c>
      <c r="T189" s="536">
        <f t="shared" si="504"/>
        <v>16.399999999999999</v>
      </c>
      <c r="U189" s="217">
        <f t="shared" si="505"/>
        <v>4.273439443877745</v>
      </c>
      <c r="V189" s="217">
        <f t="shared" si="506"/>
        <v>5.1839499533185753</v>
      </c>
      <c r="W189" s="217">
        <f t="shared" si="507"/>
        <v>3.0407624549670955</v>
      </c>
      <c r="X189" s="197">
        <f t="shared" si="508"/>
        <v>350</v>
      </c>
      <c r="Y189" s="443">
        <f t="shared" si="509"/>
        <v>118.698413849297</v>
      </c>
      <c r="AA189" s="217">
        <f t="shared" si="510"/>
        <v>1.4845293520789276</v>
      </c>
      <c r="AB189" s="173">
        <f t="shared" si="511"/>
        <v>1.056315685850016</v>
      </c>
      <c r="AC189" s="173">
        <f t="shared" si="512"/>
        <v>0.27442303712350313</v>
      </c>
      <c r="AD189" s="173"/>
      <c r="AE189" s="173">
        <f t="shared" si="513"/>
        <v>0.94873227834420559</v>
      </c>
      <c r="AF189" s="545">
        <f t="shared" si="514"/>
        <v>1249.0351883759508</v>
      </c>
      <c r="AG189" s="528">
        <f t="shared" si="515"/>
        <v>0.22137086494698133</v>
      </c>
      <c r="AI189" s="173">
        <f t="shared" si="516"/>
        <v>2.518790526966264</v>
      </c>
      <c r="AJ189" s="173">
        <f t="shared" si="517"/>
        <v>4.273439443877745</v>
      </c>
      <c r="AK189" s="173">
        <f t="shared" si="518"/>
        <v>3.3778563781810451</v>
      </c>
      <c r="AM189" s="545">
        <f t="shared" si="519"/>
        <v>790</v>
      </c>
      <c r="AN189" s="460">
        <f t="shared" si="520"/>
        <v>118.698413849297</v>
      </c>
      <c r="AP189">
        <f t="shared" si="521"/>
        <v>790</v>
      </c>
      <c r="AQ189">
        <f t="shared" si="522"/>
        <v>118.698413849297</v>
      </c>
      <c r="AS189" s="5">
        <f t="shared" si="439"/>
        <v>8.4247124082856697</v>
      </c>
      <c r="AT189" s="5">
        <f t="shared" si="523"/>
        <v>5.1839499533185753</v>
      </c>
      <c r="AU189" s="5">
        <f t="shared" si="478"/>
        <v>3.2407624549670944</v>
      </c>
      <c r="AV189" s="5"/>
      <c r="AW189" s="173">
        <f t="shared" si="479"/>
        <v>0.61532663693305212</v>
      </c>
      <c r="AX189" s="173">
        <f t="shared" si="435"/>
        <v>13.006225349030963</v>
      </c>
      <c r="AY189" s="173">
        <f t="shared" si="436"/>
        <v>0.8219391613696998</v>
      </c>
      <c r="AZ189" s="173">
        <f t="shared" si="440"/>
        <v>15.823829743502021</v>
      </c>
      <c r="BA189" s="460">
        <f t="shared" si="594"/>
        <v>24.9714662385468</v>
      </c>
      <c r="BB189" s="5">
        <f t="shared" si="595"/>
        <v>3.537031209884347</v>
      </c>
      <c r="BD189" s="173">
        <f t="shared" si="441"/>
        <v>1.9353957575613996</v>
      </c>
      <c r="BE189" s="173">
        <f t="shared" si="437"/>
        <v>1.5302520996369784</v>
      </c>
      <c r="BG189" s="528">
        <f t="shared" si="480"/>
        <v>7.4915134767733274E-2</v>
      </c>
      <c r="BH189" s="528">
        <f t="shared" si="524"/>
        <v>0.25448369899435147</v>
      </c>
      <c r="BI189" s="528">
        <f t="shared" si="525"/>
        <v>2.9355056756166419E-2</v>
      </c>
      <c r="BJ189" s="528">
        <f t="shared" si="481"/>
        <v>8.4980125731458477E-3</v>
      </c>
      <c r="BK189">
        <f t="shared" si="482"/>
        <v>4.4515423961928955E-3</v>
      </c>
      <c r="BL189" s="460">
        <f t="shared" si="588"/>
        <v>33.806599152359311</v>
      </c>
      <c r="BM189" s="528">
        <f t="shared" si="526"/>
        <v>0.36461400217207401</v>
      </c>
      <c r="BN189" s="460">
        <f t="shared" si="527"/>
        <v>364.61400217207404</v>
      </c>
      <c r="BO189" s="528">
        <f t="shared" si="483"/>
        <v>0.55299999999999994</v>
      </c>
      <c r="BR189" s="460">
        <f t="shared" si="484"/>
        <v>552.99999999999989</v>
      </c>
      <c r="BS189" s="528">
        <f t="shared" si="485"/>
        <v>0.11237270215159992</v>
      </c>
      <c r="BT189" s="528">
        <f t="shared" si="486"/>
        <v>7.0250144653301413E-2</v>
      </c>
      <c r="BU189" s="528">
        <f t="shared" si="487"/>
        <v>0.28975182421072143</v>
      </c>
      <c r="BV189" s="528"/>
      <c r="BW189" s="528">
        <f t="shared" si="488"/>
        <v>1.0838521124192469E-2</v>
      </c>
      <c r="BX189" s="460">
        <f t="shared" si="489"/>
        <v>483.21319213981525</v>
      </c>
      <c r="BY189" s="173">
        <f t="shared" si="490"/>
        <v>1.4079166376274048</v>
      </c>
      <c r="BZ189" s="5">
        <f t="shared" si="491"/>
        <v>12.956</v>
      </c>
      <c r="CA189" s="173">
        <f t="shared" si="492"/>
        <v>0.90198239984634432</v>
      </c>
      <c r="CB189" s="5">
        <f t="shared" si="493"/>
        <v>90.198239984634426</v>
      </c>
      <c r="CE189" s="562">
        <f t="shared" si="528"/>
        <v>-50</v>
      </c>
      <c r="CF189">
        <f t="shared" si="529"/>
        <v>-50</v>
      </c>
      <c r="CG189" s="173">
        <f t="shared" si="530"/>
        <v>0.36681549650612438</v>
      </c>
      <c r="CI189" s="170">
        <v>79</v>
      </c>
      <c r="CJ189" s="217">
        <f t="shared" si="589"/>
        <v>0.79</v>
      </c>
      <c r="CK189" s="217"/>
      <c r="CL189" s="217">
        <f t="shared" si="531"/>
        <v>12.956</v>
      </c>
      <c r="CM189" s="541">
        <f t="shared" si="532"/>
        <v>10</v>
      </c>
      <c r="CN189" s="443">
        <f t="shared" si="533"/>
        <v>16.799999999999997</v>
      </c>
      <c r="CO189" s="443">
        <f t="shared" si="534"/>
        <v>26.799999999999997</v>
      </c>
      <c r="CP189" s="443"/>
      <c r="CQ189" s="217">
        <f t="shared" si="535"/>
        <v>0.62686567164179097</v>
      </c>
      <c r="CR189" s="172">
        <f t="shared" si="590"/>
        <v>20.973880597014926</v>
      </c>
      <c r="CS189" s="172">
        <f t="shared" si="536"/>
        <v>12.956</v>
      </c>
      <c r="CT189" s="217">
        <f t="shared" si="537"/>
        <v>1.2788951583545687</v>
      </c>
      <c r="CU189" s="217">
        <f t="shared" si="538"/>
        <v>16.399999999999999</v>
      </c>
      <c r="CV189" s="217"/>
      <c r="CW189" s="172">
        <f t="shared" si="539"/>
        <v>32.316355832714663</v>
      </c>
      <c r="CX189" s="536">
        <f t="shared" si="540"/>
        <v>16.399999999999999</v>
      </c>
      <c r="CY189" s="217">
        <f t="shared" si="541"/>
        <v>4.133580952380953</v>
      </c>
      <c r="CZ189" s="217">
        <f t="shared" si="542"/>
        <v>4.9602971428571436</v>
      </c>
      <c r="DA189" s="217">
        <f t="shared" si="543"/>
        <v>2.9525578231292529</v>
      </c>
      <c r="DB189" s="197">
        <f t="shared" si="544"/>
        <v>350</v>
      </c>
      <c r="DC189" s="443">
        <f t="shared" si="545"/>
        <v>126.37663704169039</v>
      </c>
      <c r="DE189" s="217">
        <f t="shared" si="546"/>
        <v>1.4925373134328355</v>
      </c>
      <c r="DF189" s="173">
        <f t="shared" si="547"/>
        <v>1.0660980810234544</v>
      </c>
      <c r="DG189" s="173">
        <f t="shared" si="548"/>
        <v>0.27845845399866342</v>
      </c>
      <c r="DH189" s="173"/>
      <c r="DI189" s="173">
        <f t="shared" si="549"/>
        <v>0.95238095238095266</v>
      </c>
      <c r="DJ189" s="545">
        <f t="shared" si="550"/>
        <v>1244.2499999999995</v>
      </c>
      <c r="DK189" s="528">
        <f t="shared" si="551"/>
        <v>0.22222222222222232</v>
      </c>
      <c r="DM189" s="173">
        <f t="shared" si="552"/>
        <v>2.5139610179953067</v>
      </c>
      <c r="DN189" s="173">
        <f t="shared" si="553"/>
        <v>4.133580952380953</v>
      </c>
      <c r="DO189" s="173">
        <f t="shared" si="554"/>
        <v>3.2742574955908292</v>
      </c>
      <c r="DQ189" s="545">
        <f t="shared" si="555"/>
        <v>790</v>
      </c>
      <c r="DR189" s="460">
        <f t="shared" si="556"/>
        <v>126.37663704169039</v>
      </c>
      <c r="DT189">
        <f t="shared" si="591"/>
        <v>790</v>
      </c>
      <c r="DU189">
        <f t="shared" si="592"/>
        <v>126.37663704169039</v>
      </c>
      <c r="DW189" s="5">
        <f t="shared" si="557"/>
        <v>7.9128549659863952</v>
      </c>
      <c r="DX189" s="5">
        <f t="shared" si="558"/>
        <v>4.9602971428571436</v>
      </c>
      <c r="DY189" s="5">
        <f t="shared" si="559"/>
        <v>2.9525578231292515</v>
      </c>
      <c r="DZ189" s="5"/>
      <c r="EA189" s="173">
        <f t="shared" si="560"/>
        <v>0.62686567164179108</v>
      </c>
      <c r="EB189" s="173">
        <f t="shared" si="561"/>
        <v>12.956000000000005</v>
      </c>
      <c r="EC189" s="173">
        <f t="shared" si="562"/>
        <v>0.7711904761904762</v>
      </c>
      <c r="ED189" s="173">
        <f t="shared" si="563"/>
        <v>16.800000000000004</v>
      </c>
      <c r="EE189" s="460">
        <f t="shared" si="564"/>
        <v>23.894114285714299</v>
      </c>
      <c r="EF189" s="5">
        <f t="shared" si="565"/>
        <v>3.1877782630385481</v>
      </c>
      <c r="EH189" s="173">
        <f t="shared" si="566"/>
        <v>1.8895268335229261</v>
      </c>
      <c r="EI189" s="173">
        <f t="shared" si="567"/>
        <v>1.4578016012792572</v>
      </c>
      <c r="EK189" s="528">
        <f t="shared" si="568"/>
        <v>7.1406233092063509E-2</v>
      </c>
      <c r="EL189" s="528">
        <f t="shared" si="569"/>
        <v>0.28000000000000003</v>
      </c>
      <c r="EM189" s="528">
        <f t="shared" si="570"/>
        <v>1.5797079630211298E-2</v>
      </c>
      <c r="EN189" s="528">
        <f t="shared" si="571"/>
        <v>9.0768755788823707E-3</v>
      </c>
      <c r="EO189">
        <f t="shared" si="572"/>
        <v>4.4999999999999997E-3</v>
      </c>
      <c r="EP189" s="460">
        <f t="shared" si="573"/>
        <v>20.2970796302113</v>
      </c>
      <c r="EQ189" s="460"/>
      <c r="ER189" s="460">
        <f t="shared" si="593"/>
        <v>380.78018830115724</v>
      </c>
      <c r="ES189" s="528">
        <f t="shared" si="574"/>
        <v>0.55299999999999994</v>
      </c>
      <c r="EV189" s="460">
        <f t="shared" si="494"/>
        <v>552.99999999999989</v>
      </c>
      <c r="EW189" s="528">
        <f t="shared" si="575"/>
        <v>0.10710934963809526</v>
      </c>
      <c r="EX189" s="528">
        <f t="shared" si="576"/>
        <v>6.3755565260770974E-2</v>
      </c>
      <c r="EY189" s="528">
        <f t="shared" si="577"/>
        <v>0.31185528502698351</v>
      </c>
      <c r="EZ189" s="528"/>
      <c r="FA189" s="528">
        <f t="shared" si="578"/>
        <v>1.079666666666667E-2</v>
      </c>
      <c r="FB189" s="460">
        <f t="shared" si="579"/>
        <v>493.51686659251641</v>
      </c>
      <c r="FC189" s="173">
        <f t="shared" si="580"/>
        <v>1.4272970548936734</v>
      </c>
      <c r="FD189" s="5">
        <f t="shared" si="581"/>
        <v>12.956</v>
      </c>
      <c r="FE189" s="173">
        <f t="shared" si="582"/>
        <v>0.90076704600854651</v>
      </c>
      <c r="FF189" s="5">
        <f t="shared" si="583"/>
        <v>90.076704600854654</v>
      </c>
      <c r="FI189" s="562">
        <f t="shared" si="584"/>
        <v>-50</v>
      </c>
      <c r="FJ189">
        <f t="shared" si="585"/>
        <v>-50</v>
      </c>
      <c r="FL189">
        <f t="shared" si="586"/>
        <v>0.37313432835820892</v>
      </c>
    </row>
    <row r="190" spans="5:168">
      <c r="E190" s="170">
        <v>80</v>
      </c>
      <c r="F190" s="217">
        <f t="shared" si="587"/>
        <v>0.8</v>
      </c>
      <c r="G190" s="217"/>
      <c r="H190" s="217">
        <f t="shared" si="495"/>
        <v>13.12</v>
      </c>
      <c r="I190" s="541">
        <f t="shared" si="496"/>
        <v>9.8909768285628346</v>
      </c>
      <c r="J190" s="172">
        <f t="shared" si="497"/>
        <v>16.865413902862297</v>
      </c>
      <c r="K190" s="172">
        <f t="shared" si="498"/>
        <v>26.756390731425132</v>
      </c>
      <c r="L190" s="443"/>
      <c r="M190" s="217">
        <f t="shared" si="499"/>
        <v>0.63031705863925813</v>
      </c>
      <c r="N190" s="172">
        <f t="shared" si="500"/>
        <v>20.859435381599891</v>
      </c>
      <c r="O190" s="172">
        <f t="shared" si="438"/>
        <v>13.12</v>
      </c>
      <c r="P190" s="217">
        <f t="shared" si="501"/>
        <v>1.271916791560969</v>
      </c>
      <c r="Q190" s="217">
        <f t="shared" si="502"/>
        <v>16.399999999999999</v>
      </c>
      <c r="R190" s="217"/>
      <c r="S190" s="172">
        <f t="shared" si="503"/>
        <v>31.445663030092536</v>
      </c>
      <c r="T190" s="536">
        <f t="shared" si="504"/>
        <v>16.399999999999999</v>
      </c>
      <c r="U190" s="217">
        <f t="shared" si="505"/>
        <v>4.3280330818367343</v>
      </c>
      <c r="V190" s="217">
        <f t="shared" si="506"/>
        <v>5.2508865284226127</v>
      </c>
      <c r="W190" s="217">
        <f t="shared" si="507"/>
        <v>3.0794617482365183</v>
      </c>
      <c r="X190" s="197">
        <f t="shared" si="508"/>
        <v>350</v>
      </c>
      <c r="Y190" s="443">
        <f t="shared" si="509"/>
        <v>117.22850786013221</v>
      </c>
      <c r="AA190" s="217">
        <f t="shared" si="510"/>
        <v>1.4844287891174572</v>
      </c>
      <c r="AB190" s="173">
        <f t="shared" si="511"/>
        <v>1.0561937923377231</v>
      </c>
      <c r="AC190" s="173">
        <f t="shared" si="512"/>
        <v>0.27437278264082071</v>
      </c>
      <c r="AD190" s="173"/>
      <c r="AE190" s="173">
        <f t="shared" si="513"/>
        <v>0.94868706407997372</v>
      </c>
      <c r="AF190" s="545">
        <f t="shared" si="514"/>
        <v>1264.9060427146721</v>
      </c>
      <c r="AG190" s="528">
        <f t="shared" si="515"/>
        <v>0.22136031495199388</v>
      </c>
      <c r="AI190" s="173">
        <f t="shared" si="516"/>
        <v>2.5347425080356349</v>
      </c>
      <c r="AJ190" s="173">
        <f t="shared" si="517"/>
        <v>4.3280330818367343</v>
      </c>
      <c r="AK190" s="173">
        <f t="shared" si="518"/>
        <v>3.4182961100025189</v>
      </c>
      <c r="AM190" s="545">
        <f t="shared" si="519"/>
        <v>800</v>
      </c>
      <c r="AN190" s="460">
        <f t="shared" si="520"/>
        <v>117.22850786013221</v>
      </c>
      <c r="AP190">
        <f t="shared" si="521"/>
        <v>800</v>
      </c>
      <c r="AQ190">
        <f t="shared" si="522"/>
        <v>117.22850786013221</v>
      </c>
      <c r="AS190" s="5">
        <f t="shared" si="439"/>
        <v>8.5303482766591294</v>
      </c>
      <c r="AT190" s="5">
        <f t="shared" si="523"/>
        <v>5.2508865284226127</v>
      </c>
      <c r="AU190" s="5">
        <f t="shared" si="478"/>
        <v>3.2794617482365167</v>
      </c>
      <c r="AV190" s="5"/>
      <c r="AW190" s="173">
        <f t="shared" si="479"/>
        <v>0.61555359266985255</v>
      </c>
      <c r="AX190" s="173">
        <f t="shared" si="435"/>
        <v>13.175455268616135</v>
      </c>
      <c r="AY190" s="173">
        <f t="shared" si="436"/>
        <v>0.83194838455907927</v>
      </c>
      <c r="AZ190" s="173">
        <f t="shared" si="440"/>
        <v>15.836866220491476</v>
      </c>
      <c r="BA190" s="460">
        <f t="shared" si="594"/>
        <v>25.614080626451774</v>
      </c>
      <c r="BB190" s="5">
        <f t="shared" si="595"/>
        <v>3.62506646905124</v>
      </c>
      <c r="BD190" s="173">
        <f t="shared" si="441"/>
        <v>1.9604820917288457</v>
      </c>
      <c r="BE190" s="173">
        <f t="shared" si="437"/>
        <v>1.5493439753117713</v>
      </c>
      <c r="BG190" s="528">
        <f t="shared" si="480"/>
        <v>7.6869800639790209E-2</v>
      </c>
      <c r="BH190" s="528">
        <f t="shared" si="524"/>
        <v>0.25453799001021987</v>
      </c>
      <c r="BI190" s="528">
        <f t="shared" si="525"/>
        <v>2.8987611372289092E-2</v>
      </c>
      <c r="BJ190" s="528">
        <f t="shared" si="481"/>
        <v>8.3924409854584884E-3</v>
      </c>
      <c r="BK190">
        <f t="shared" si="482"/>
        <v>4.4509395728532753E-3</v>
      </c>
      <c r="BL190" s="460">
        <f t="shared" si="588"/>
        <v>33.438550945142367</v>
      </c>
      <c r="BM190" s="528">
        <f t="shared" si="526"/>
        <v>0.36726286394481139</v>
      </c>
      <c r="BN190" s="460">
        <f t="shared" si="527"/>
        <v>367.26286394481139</v>
      </c>
      <c r="BO190" s="528">
        <f t="shared" si="483"/>
        <v>0.55999999999999994</v>
      </c>
      <c r="BR190" s="460">
        <f t="shared" si="484"/>
        <v>559.99999999999989</v>
      </c>
      <c r="BS190" s="528">
        <f t="shared" si="485"/>
        <v>0.1153047009596853</v>
      </c>
      <c r="BT190" s="528">
        <f t="shared" si="486"/>
        <v>7.2014002615046466E-2</v>
      </c>
      <c r="BU190" s="528">
        <f t="shared" si="487"/>
        <v>0.28992090145566085</v>
      </c>
      <c r="BV190" s="528"/>
      <c r="BW190" s="528">
        <f t="shared" si="488"/>
        <v>1.0979546057180113E-2</v>
      </c>
      <c r="BX190" s="460">
        <f t="shared" si="489"/>
        <v>488.21915108757275</v>
      </c>
      <c r="BY190" s="173">
        <f t="shared" si="490"/>
        <v>1.4214579336681838</v>
      </c>
      <c r="BZ190" s="5">
        <f t="shared" si="491"/>
        <v>13.12</v>
      </c>
      <c r="CA190" s="173">
        <f t="shared" si="492"/>
        <v>0.90224790800535559</v>
      </c>
      <c r="CB190" s="5">
        <f t="shared" si="493"/>
        <v>90.224790800535558</v>
      </c>
      <c r="CE190" s="562">
        <f t="shared" si="528"/>
        <v>-50</v>
      </c>
      <c r="CF190">
        <f t="shared" si="529"/>
        <v>-50</v>
      </c>
      <c r="CG190" s="173">
        <f t="shared" si="530"/>
        <v>0.36689448190427559</v>
      </c>
      <c r="CI190" s="170">
        <v>80</v>
      </c>
      <c r="CJ190" s="217">
        <f t="shared" si="589"/>
        <v>0.8</v>
      </c>
      <c r="CK190" s="217"/>
      <c r="CL190" s="217">
        <f t="shared" si="531"/>
        <v>13.12</v>
      </c>
      <c r="CM190" s="541">
        <f t="shared" si="532"/>
        <v>10</v>
      </c>
      <c r="CN190" s="443">
        <f t="shared" si="533"/>
        <v>16.799999999999997</v>
      </c>
      <c r="CO190" s="443">
        <f t="shared" si="534"/>
        <v>26.799999999999997</v>
      </c>
      <c r="CP190" s="443"/>
      <c r="CQ190" s="217">
        <f t="shared" si="535"/>
        <v>0.62686567164179097</v>
      </c>
      <c r="CR190" s="172">
        <f t="shared" si="590"/>
        <v>20.973880597014926</v>
      </c>
      <c r="CS190" s="172">
        <f t="shared" si="536"/>
        <v>13.12</v>
      </c>
      <c r="CT190" s="217">
        <f t="shared" si="537"/>
        <v>1.2788951583545687</v>
      </c>
      <c r="CU190" s="217">
        <f t="shared" si="538"/>
        <v>16.399999999999999</v>
      </c>
      <c r="CV190" s="217"/>
      <c r="CW190" s="172">
        <f t="shared" si="539"/>
        <v>31.790925288132097</v>
      </c>
      <c r="CX190" s="536">
        <f t="shared" si="540"/>
        <v>16.399999999999999</v>
      </c>
      <c r="CY190" s="217">
        <f t="shared" si="541"/>
        <v>4.1859047619047622</v>
      </c>
      <c r="CZ190" s="217">
        <f t="shared" si="542"/>
        <v>5.023085714285715</v>
      </c>
      <c r="DA190" s="217">
        <f t="shared" si="543"/>
        <v>2.9899319727891167</v>
      </c>
      <c r="DB190" s="197">
        <f t="shared" si="544"/>
        <v>350</v>
      </c>
      <c r="DC190" s="443">
        <f t="shared" si="545"/>
        <v>124.79692907866924</v>
      </c>
      <c r="DE190" s="217">
        <f t="shared" si="546"/>
        <v>1.4925373134328355</v>
      </c>
      <c r="DF190" s="173">
        <f t="shared" si="547"/>
        <v>1.0660980810234544</v>
      </c>
      <c r="DG190" s="173">
        <f t="shared" si="548"/>
        <v>0.27845845399866342</v>
      </c>
      <c r="DH190" s="173"/>
      <c r="DI190" s="173">
        <f t="shared" si="549"/>
        <v>0.95238095238095266</v>
      </c>
      <c r="DJ190" s="545">
        <f t="shared" si="550"/>
        <v>1259.9999999999995</v>
      </c>
      <c r="DK190" s="528">
        <f t="shared" si="551"/>
        <v>0.22222222222222232</v>
      </c>
      <c r="DM190" s="173">
        <f t="shared" si="552"/>
        <v>2.5298221281347031</v>
      </c>
      <c r="DN190" s="173">
        <f t="shared" si="553"/>
        <v>4.1859047619047622</v>
      </c>
      <c r="DO190" s="173">
        <f t="shared" si="554"/>
        <v>3.313015873015873</v>
      </c>
      <c r="DQ190" s="545">
        <f t="shared" si="555"/>
        <v>800</v>
      </c>
      <c r="DR190" s="460">
        <f t="shared" si="556"/>
        <v>124.79692907866924</v>
      </c>
      <c r="DT190">
        <f t="shared" si="591"/>
        <v>800</v>
      </c>
      <c r="DU190">
        <f t="shared" si="592"/>
        <v>124.79692907866924</v>
      </c>
      <c r="DW190" s="5">
        <f t="shared" si="557"/>
        <v>8.0130176870748322</v>
      </c>
      <c r="DX190" s="5">
        <f t="shared" si="558"/>
        <v>5.023085714285715</v>
      </c>
      <c r="DY190" s="5">
        <f t="shared" si="559"/>
        <v>2.9899319727891172</v>
      </c>
      <c r="DZ190" s="5"/>
      <c r="EA190" s="173">
        <f t="shared" si="560"/>
        <v>0.62686567164179097</v>
      </c>
      <c r="EB190" s="173">
        <f t="shared" si="561"/>
        <v>13.119999999999997</v>
      </c>
      <c r="EC190" s="173">
        <f t="shared" si="562"/>
        <v>0.78095238095238118</v>
      </c>
      <c r="ED190" s="173">
        <f t="shared" si="563"/>
        <v>16.799999999999994</v>
      </c>
      <c r="EE190" s="460">
        <f t="shared" si="564"/>
        <v>24.502857142857152</v>
      </c>
      <c r="EF190" s="5">
        <f t="shared" si="565"/>
        <v>3.2689922902494337</v>
      </c>
      <c r="EH190" s="173">
        <f t="shared" si="566"/>
        <v>1.9134448947067602</v>
      </c>
      <c r="EI190" s="173">
        <f t="shared" si="567"/>
        <v>1.476254786105577</v>
      </c>
      <c r="EK190" s="528">
        <f t="shared" si="568"/>
        <v>7.3225427301587293E-2</v>
      </c>
      <c r="EL190" s="528">
        <f t="shared" si="569"/>
        <v>0.27999999999999992</v>
      </c>
      <c r="EM190" s="528">
        <f t="shared" si="570"/>
        <v>1.5599616134833655E-2</v>
      </c>
      <c r="EN190" s="528">
        <f t="shared" si="571"/>
        <v>8.963414634146339E-3</v>
      </c>
      <c r="EO190">
        <f t="shared" si="572"/>
        <v>4.4999999999999997E-3</v>
      </c>
      <c r="EP190" s="460">
        <f t="shared" si="573"/>
        <v>20.099616134833656</v>
      </c>
      <c r="EQ190" s="460"/>
      <c r="ER190" s="460">
        <f t="shared" si="593"/>
        <v>382.28845807056723</v>
      </c>
      <c r="ES190" s="528">
        <f t="shared" si="574"/>
        <v>0.55999999999999994</v>
      </c>
      <c r="EV190" s="460">
        <f t="shared" si="494"/>
        <v>559.99999999999989</v>
      </c>
      <c r="EW190" s="528">
        <f t="shared" si="575"/>
        <v>0.10983814095238094</v>
      </c>
      <c r="EX190" s="528">
        <f t="shared" si="576"/>
        <v>6.5379845804988679E-2</v>
      </c>
      <c r="EY190" s="528">
        <f t="shared" si="577"/>
        <v>0.31185528502698273</v>
      </c>
      <c r="EZ190" s="528"/>
      <c r="FA190" s="528">
        <f t="shared" si="578"/>
        <v>1.0933333333333333E-2</v>
      </c>
      <c r="FB190" s="460">
        <f t="shared" si="579"/>
        <v>498.00660511768569</v>
      </c>
      <c r="FC190" s="173">
        <f t="shared" si="580"/>
        <v>1.4402950631882527</v>
      </c>
      <c r="FD190" s="5">
        <f t="shared" si="581"/>
        <v>13.12</v>
      </c>
      <c r="FE190" s="173">
        <f t="shared" si="582"/>
        <v>0.90108064040339075</v>
      </c>
      <c r="FF190" s="5">
        <f t="shared" si="583"/>
        <v>90.108064040339073</v>
      </c>
      <c r="FI190" s="562">
        <f t="shared" si="584"/>
        <v>-50</v>
      </c>
      <c r="FJ190">
        <f t="shared" si="585"/>
        <v>-50</v>
      </c>
      <c r="FL190">
        <f t="shared" si="586"/>
        <v>0.37313432835820903</v>
      </c>
    </row>
    <row r="191" spans="5:168">
      <c r="E191" s="170">
        <v>81</v>
      </c>
      <c r="F191" s="217">
        <f t="shared" si="587"/>
        <v>0.81</v>
      </c>
      <c r="G191" s="217"/>
      <c r="H191" s="217">
        <f t="shared" si="495"/>
        <v>13.283999999999999</v>
      </c>
      <c r="I191" s="541">
        <f t="shared" si="496"/>
        <v>9.8896372112853701</v>
      </c>
      <c r="J191" s="172">
        <f t="shared" si="497"/>
        <v>16.866217673228775</v>
      </c>
      <c r="K191" s="172">
        <f t="shared" si="498"/>
        <v>26.755854884514143</v>
      </c>
      <c r="L191" s="443"/>
      <c r="M191" s="217">
        <f t="shared" si="499"/>
        <v>0.6303597280055766</v>
      </c>
      <c r="N191" s="172">
        <f t="shared" si="500"/>
        <v>20.858022104714497</v>
      </c>
      <c r="O191" s="172">
        <f t="shared" si="438"/>
        <v>13.283999999999999</v>
      </c>
      <c r="P191" s="217">
        <f t="shared" si="501"/>
        <v>1.2718306161411279</v>
      </c>
      <c r="Q191" s="217">
        <f t="shared" si="502"/>
        <v>16.399999999999999</v>
      </c>
      <c r="R191" s="217"/>
      <c r="S191" s="172">
        <f t="shared" si="503"/>
        <v>30.934703475768778</v>
      </c>
      <c r="T191" s="536">
        <f t="shared" si="504"/>
        <v>16.399999999999999</v>
      </c>
      <c r="U191" s="217">
        <f t="shared" si="505"/>
        <v>4.382639346246453</v>
      </c>
      <c r="V191" s="217">
        <f t="shared" si="506"/>
        <v>5.3178565635292925</v>
      </c>
      <c r="W191" s="217">
        <f t="shared" si="507"/>
        <v>3.1181663354454727</v>
      </c>
      <c r="X191" s="197">
        <f t="shared" si="508"/>
        <v>350</v>
      </c>
      <c r="Y191" s="443">
        <f t="shared" si="509"/>
        <v>115.79404219953101</v>
      </c>
      <c r="AA191" s="217">
        <f t="shared" si="510"/>
        <v>1.4843282022246618</v>
      </c>
      <c r="AB191" s="173">
        <f t="shared" si="511"/>
        <v>1.0560718930461974</v>
      </c>
      <c r="AC191" s="173">
        <f t="shared" si="512"/>
        <v>0.27432252652442007</v>
      </c>
      <c r="AD191" s="173"/>
      <c r="AE191" s="173">
        <f t="shared" si="513"/>
        <v>0.94864185379252564</v>
      </c>
      <c r="AF191" s="545">
        <f t="shared" si="514"/>
        <v>1280.7784045608098</v>
      </c>
      <c r="AG191" s="528">
        <f t="shared" si="515"/>
        <v>0.22134976588492267</v>
      </c>
      <c r="AI191" s="173">
        <f t="shared" si="516"/>
        <v>2.5505962249111676</v>
      </c>
      <c r="AJ191" s="173">
        <f t="shared" si="517"/>
        <v>4.382639346246453</v>
      </c>
      <c r="AK191" s="173">
        <f t="shared" si="518"/>
        <v>3.4587451947504588</v>
      </c>
      <c r="AM191" s="545">
        <f t="shared" si="519"/>
        <v>810</v>
      </c>
      <c r="AN191" s="460">
        <f t="shared" si="520"/>
        <v>115.79404219953101</v>
      </c>
      <c r="AP191">
        <f t="shared" si="521"/>
        <v>810</v>
      </c>
      <c r="AQ191">
        <f t="shared" si="522"/>
        <v>115.79404219953101</v>
      </c>
      <c r="AS191" s="5">
        <f t="shared" si="439"/>
        <v>8.6360228989747654</v>
      </c>
      <c r="AT191" s="5">
        <f t="shared" si="523"/>
        <v>5.3178565635292925</v>
      </c>
      <c r="AU191" s="5">
        <f t="shared" si="478"/>
        <v>3.3181663354454729</v>
      </c>
      <c r="AV191" s="5"/>
      <c r="AW191" s="173">
        <f t="shared" si="479"/>
        <v>0.61577610732836374</v>
      </c>
      <c r="AX191" s="173">
        <f t="shared" si="435"/>
        <v>13.344703596060018</v>
      </c>
      <c r="AY191" s="173">
        <f t="shared" si="436"/>
        <v>0.84195737489534361</v>
      </c>
      <c r="AZ191" s="173">
        <f t="shared" si="440"/>
        <v>15.849618987800637</v>
      </c>
      <c r="BA191" s="460">
        <f t="shared" si="594"/>
        <v>26.265023271089806</v>
      </c>
      <c r="BB191" s="5">
        <f t="shared" si="595"/>
        <v>3.7142010923783171</v>
      </c>
      <c r="BD191" s="173">
        <f t="shared" si="441"/>
        <v>1.9855760374183709</v>
      </c>
      <c r="BE191" s="173">
        <f t="shared" si="437"/>
        <v>1.5684377618251668</v>
      </c>
      <c r="BG191" s="528">
        <f t="shared" si="480"/>
        <v>7.8850244007400788E-2</v>
      </c>
      <c r="BH191" s="528">
        <f t="shared" si="524"/>
        <v>0.25459041678762689</v>
      </c>
      <c r="BI191" s="528">
        <f t="shared" si="525"/>
        <v>2.8629026714540755E-2</v>
      </c>
      <c r="BJ191" s="528">
        <f t="shared" si="481"/>
        <v>8.2894149190614729E-3</v>
      </c>
      <c r="BK191">
        <f t="shared" si="482"/>
        <v>4.4503367450784165E-3</v>
      </c>
      <c r="BL191" s="460">
        <f t="shared" si="588"/>
        <v>33.079363459619167</v>
      </c>
      <c r="BM191" s="528">
        <f t="shared" si="526"/>
        <v>0.36995059872334002</v>
      </c>
      <c r="BN191" s="460">
        <f t="shared" si="527"/>
        <v>369.95059872334002</v>
      </c>
      <c r="BO191" s="528">
        <f t="shared" si="483"/>
        <v>0.56699999999999995</v>
      </c>
      <c r="BR191" s="460">
        <f t="shared" si="484"/>
        <v>567</v>
      </c>
      <c r="BS191" s="528">
        <f t="shared" si="485"/>
        <v>0.11827536601110118</v>
      </c>
      <c r="BT191" s="528">
        <f t="shared" si="486"/>
        <v>7.3799910381574158E-2</v>
      </c>
      <c r="BU191" s="528">
        <f t="shared" si="487"/>
        <v>0.29008473437266707</v>
      </c>
      <c r="BV191" s="528"/>
      <c r="BW191" s="528">
        <f t="shared" si="488"/>
        <v>1.1120586330050017E-2</v>
      </c>
      <c r="BX191" s="460">
        <f t="shared" si="489"/>
        <v>493.28059709539247</v>
      </c>
      <c r="BY191" s="173">
        <f t="shared" si="490"/>
        <v>1.4350900362691008</v>
      </c>
      <c r="BZ191" s="5">
        <f t="shared" si="491"/>
        <v>13.283999999999999</v>
      </c>
      <c r="CA191" s="173">
        <f t="shared" si="492"/>
        <v>0.90250144317801473</v>
      </c>
      <c r="CB191" s="5">
        <f t="shared" si="493"/>
        <v>90.250144317801471</v>
      </c>
      <c r="CE191" s="562">
        <f t="shared" si="528"/>
        <v>-50</v>
      </c>
      <c r="CF191">
        <f t="shared" si="529"/>
        <v>-50</v>
      </c>
      <c r="CG191" s="173">
        <f t="shared" si="530"/>
        <v>0.36697151704568215</v>
      </c>
      <c r="CI191" s="170">
        <v>81</v>
      </c>
      <c r="CJ191" s="217">
        <f t="shared" si="589"/>
        <v>0.81</v>
      </c>
      <c r="CK191" s="217"/>
      <c r="CL191" s="217">
        <f t="shared" si="531"/>
        <v>13.283999999999999</v>
      </c>
      <c r="CM191" s="541">
        <f t="shared" si="532"/>
        <v>10</v>
      </c>
      <c r="CN191" s="443">
        <f t="shared" si="533"/>
        <v>16.799999999999997</v>
      </c>
      <c r="CO191" s="443">
        <f t="shared" si="534"/>
        <v>26.799999999999997</v>
      </c>
      <c r="CP191" s="443"/>
      <c r="CQ191" s="217">
        <f t="shared" si="535"/>
        <v>0.62686567164179097</v>
      </c>
      <c r="CR191" s="172">
        <f t="shared" si="590"/>
        <v>20.973880597014926</v>
      </c>
      <c r="CS191" s="172">
        <f t="shared" si="536"/>
        <v>13.283999999999999</v>
      </c>
      <c r="CT191" s="217">
        <f t="shared" si="537"/>
        <v>1.2788951583545687</v>
      </c>
      <c r="CU191" s="217">
        <f t="shared" si="538"/>
        <v>16.399999999999999</v>
      </c>
      <c r="CV191" s="217"/>
      <c r="CW191" s="172">
        <f t="shared" si="539"/>
        <v>31.278531852413657</v>
      </c>
      <c r="CX191" s="536">
        <f t="shared" si="540"/>
        <v>16.399999999999999</v>
      </c>
      <c r="CY191" s="217">
        <f t="shared" si="541"/>
        <v>4.2382285714285715</v>
      </c>
      <c r="CZ191" s="217">
        <f t="shared" si="542"/>
        <v>5.0858742857142856</v>
      </c>
      <c r="DA191" s="217">
        <f t="shared" si="543"/>
        <v>3.0273061224489801</v>
      </c>
      <c r="DB191" s="197">
        <f t="shared" si="544"/>
        <v>350</v>
      </c>
      <c r="DC191" s="443">
        <f t="shared" si="545"/>
        <v>123.25622625053754</v>
      </c>
      <c r="DE191" s="217">
        <f t="shared" si="546"/>
        <v>1.4925373134328355</v>
      </c>
      <c r="DF191" s="173">
        <f t="shared" si="547"/>
        <v>1.0660980810234544</v>
      </c>
      <c r="DG191" s="173">
        <f t="shared" si="548"/>
        <v>0.27845845399866342</v>
      </c>
      <c r="DH191" s="173"/>
      <c r="DI191" s="173">
        <f t="shared" si="549"/>
        <v>0.95238095238095266</v>
      </c>
      <c r="DJ191" s="545">
        <f t="shared" si="550"/>
        <v>1275.7499999999995</v>
      </c>
      <c r="DK191" s="528">
        <f t="shared" si="551"/>
        <v>0.22222222222222232</v>
      </c>
      <c r="DM191" s="173">
        <f t="shared" si="552"/>
        <v>2.545584412271571</v>
      </c>
      <c r="DN191" s="173">
        <f t="shared" si="553"/>
        <v>4.2382285714285715</v>
      </c>
      <c r="DO191" s="173">
        <f t="shared" si="554"/>
        <v>3.3517742504409167</v>
      </c>
      <c r="DQ191" s="545">
        <f t="shared" si="555"/>
        <v>810</v>
      </c>
      <c r="DR191" s="460">
        <f t="shared" si="556"/>
        <v>123.25622625053754</v>
      </c>
      <c r="DT191">
        <f t="shared" si="591"/>
        <v>810</v>
      </c>
      <c r="DU191">
        <f t="shared" si="592"/>
        <v>123.25622625053754</v>
      </c>
      <c r="DW191" s="5">
        <f t="shared" si="557"/>
        <v>8.1131804081632666</v>
      </c>
      <c r="DX191" s="5">
        <f t="shared" si="558"/>
        <v>5.0858742857142856</v>
      </c>
      <c r="DY191" s="5">
        <f t="shared" si="559"/>
        <v>3.027306122448981</v>
      </c>
      <c r="DZ191" s="5"/>
      <c r="EA191" s="173">
        <f t="shared" si="560"/>
        <v>0.62686567164179097</v>
      </c>
      <c r="EB191" s="173">
        <f t="shared" si="561"/>
        <v>13.283999999999999</v>
      </c>
      <c r="EC191" s="173">
        <f t="shared" si="562"/>
        <v>0.79071428571428592</v>
      </c>
      <c r="ED191" s="173">
        <f t="shared" si="563"/>
        <v>16.799999999999994</v>
      </c>
      <c r="EE191" s="460">
        <f t="shared" si="564"/>
        <v>25.119257142857144</v>
      </c>
      <c r="EF191" s="5">
        <f t="shared" si="565"/>
        <v>3.3512278775510214</v>
      </c>
      <c r="EH191" s="173">
        <f t="shared" si="566"/>
        <v>1.9373629558905947</v>
      </c>
      <c r="EI191" s="173">
        <f t="shared" si="567"/>
        <v>1.4947079709318967</v>
      </c>
      <c r="EK191" s="528">
        <f t="shared" si="568"/>
        <v>7.5067504457142845E-2</v>
      </c>
      <c r="EL191" s="528">
        <f t="shared" si="569"/>
        <v>0.27999999999999997</v>
      </c>
      <c r="EM191" s="528">
        <f t="shared" si="570"/>
        <v>1.5407028281317191E-2</v>
      </c>
      <c r="EN191" s="528">
        <f t="shared" si="571"/>
        <v>8.8527551942186086E-3</v>
      </c>
      <c r="EO191">
        <f t="shared" si="572"/>
        <v>4.4999999999999997E-3</v>
      </c>
      <c r="EP191" s="460">
        <f t="shared" si="573"/>
        <v>19.907028281317192</v>
      </c>
      <c r="EQ191" s="460"/>
      <c r="ER191" s="460">
        <f t="shared" si="593"/>
        <v>383.82728793267864</v>
      </c>
      <c r="ES191" s="528">
        <f t="shared" si="574"/>
        <v>0.56699999999999995</v>
      </c>
      <c r="EV191" s="460">
        <f t="shared" si="494"/>
        <v>567</v>
      </c>
      <c r="EW191" s="528">
        <f t="shared" si="575"/>
        <v>0.11260125668571426</v>
      </c>
      <c r="EX191" s="528">
        <f t="shared" si="576"/>
        <v>6.7024557551020436E-2</v>
      </c>
      <c r="EY191" s="528">
        <f t="shared" si="577"/>
        <v>0.31185528502698301</v>
      </c>
      <c r="EZ191" s="528"/>
      <c r="FA191" s="528">
        <f t="shared" si="578"/>
        <v>1.1069999999999998E-2</v>
      </c>
      <c r="FB191" s="460">
        <f t="shared" si="579"/>
        <v>502.55109926371767</v>
      </c>
      <c r="FC191" s="173">
        <f t="shared" si="580"/>
        <v>1.4533783871963963</v>
      </c>
      <c r="FD191" s="5">
        <f t="shared" si="581"/>
        <v>13.283999999999999</v>
      </c>
      <c r="FE191" s="173">
        <f t="shared" si="582"/>
        <v>0.90138148393753204</v>
      </c>
      <c r="FF191" s="5">
        <f t="shared" si="583"/>
        <v>90.138148393753198</v>
      </c>
      <c r="FI191" s="562">
        <f t="shared" si="584"/>
        <v>-50</v>
      </c>
      <c r="FJ191">
        <f t="shared" si="585"/>
        <v>-50</v>
      </c>
      <c r="FL191">
        <f t="shared" si="586"/>
        <v>0.37313432835820903</v>
      </c>
    </row>
    <row r="192" spans="5:168">
      <c r="E192" s="170">
        <v>82</v>
      </c>
      <c r="F192" s="217">
        <f t="shared" si="587"/>
        <v>0.82</v>
      </c>
      <c r="G192" s="217"/>
      <c r="H192" s="217">
        <f t="shared" si="495"/>
        <v>13.447999999999999</v>
      </c>
      <c r="I192" s="541">
        <f t="shared" si="496"/>
        <v>9.8882975845183889</v>
      </c>
      <c r="J192" s="172">
        <f t="shared" si="497"/>
        <v>16.867021449288963</v>
      </c>
      <c r="K192" s="172">
        <f t="shared" si="498"/>
        <v>26.755319033807353</v>
      </c>
      <c r="L192" s="443"/>
      <c r="M192" s="217">
        <f t="shared" si="499"/>
        <v>0.63040239930396802</v>
      </c>
      <c r="N192" s="172">
        <f t="shared" si="500"/>
        <v>20.856608489235647</v>
      </c>
      <c r="O192" s="172">
        <f t="shared" si="438"/>
        <v>13.447999999999999</v>
      </c>
      <c r="P192" s="217">
        <f t="shared" si="501"/>
        <v>1.2717444200753445</v>
      </c>
      <c r="Q192" s="217">
        <f t="shared" si="502"/>
        <v>16.399999999999999</v>
      </c>
      <c r="R192" s="217"/>
      <c r="S192" s="172">
        <f t="shared" si="503"/>
        <v>30.43630232601441</v>
      </c>
      <c r="T192" s="536">
        <f t="shared" si="504"/>
        <v>16.399999999999999</v>
      </c>
      <c r="U192" s="217">
        <f t="shared" si="505"/>
        <v>4.4372582422383866</v>
      </c>
      <c r="V192" s="217">
        <f t="shared" si="506"/>
        <v>5.3848600784655742</v>
      </c>
      <c r="W192" s="217">
        <f t="shared" si="507"/>
        <v>3.1568762194883728</v>
      </c>
      <c r="X192" s="197">
        <f t="shared" si="508"/>
        <v>350</v>
      </c>
      <c r="Y192" s="443">
        <f t="shared" si="509"/>
        <v>114.39375038504146</v>
      </c>
      <c r="AA192" s="217">
        <f t="shared" si="510"/>
        <v>1.4842275914261698</v>
      </c>
      <c r="AB192" s="173">
        <f t="shared" si="511"/>
        <v>1.055949988008396</v>
      </c>
      <c r="AC192" s="173">
        <f t="shared" si="512"/>
        <v>0.27427226878943406</v>
      </c>
      <c r="AD192" s="173"/>
      <c r="AE192" s="173">
        <f t="shared" si="513"/>
        <v>0.94859664749370964</v>
      </c>
      <c r="AF192" s="545">
        <f t="shared" si="514"/>
        <v>1296.6522739140885</v>
      </c>
      <c r="AG192" s="528">
        <f t="shared" si="515"/>
        <v>0.2213392177485323</v>
      </c>
      <c r="AI192" s="173">
        <f t="shared" si="516"/>
        <v>2.5663534986822345</v>
      </c>
      <c r="AJ192" s="173">
        <f t="shared" si="517"/>
        <v>4.4372582422383866</v>
      </c>
      <c r="AK192" s="173">
        <f t="shared" si="518"/>
        <v>3.4992036362259649</v>
      </c>
      <c r="AM192" s="545">
        <f t="shared" si="519"/>
        <v>820</v>
      </c>
      <c r="AN192" s="460">
        <f t="shared" si="520"/>
        <v>114.39375038504146</v>
      </c>
      <c r="AP192">
        <f t="shared" si="521"/>
        <v>820</v>
      </c>
      <c r="AQ192">
        <f t="shared" si="522"/>
        <v>114.39375038504146</v>
      </c>
      <c r="AS192" s="5">
        <f t="shared" si="439"/>
        <v>8.7417362979539437</v>
      </c>
      <c r="AT192" s="5">
        <f t="shared" si="523"/>
        <v>5.3848600784655742</v>
      </c>
      <c r="AU192" s="5">
        <f t="shared" si="478"/>
        <v>3.3568762194883695</v>
      </c>
      <c r="AV192" s="5"/>
      <c r="AW192" s="173">
        <f t="shared" si="479"/>
        <v>0.61599433967436579</v>
      </c>
      <c r="AX192" s="173">
        <f t="shared" si="435"/>
        <v>13.513970248396225</v>
      </c>
      <c r="AY192" s="173">
        <f t="shared" si="436"/>
        <v>0.85196614067305731</v>
      </c>
      <c r="AZ192" s="173">
        <f t="shared" si="440"/>
        <v>15.862097803229743</v>
      </c>
      <c r="BA192" s="460">
        <f t="shared" si="594"/>
        <v>26.924300392327876</v>
      </c>
      <c r="BB192" s="5">
        <f t="shared" si="595"/>
        <v>3.8044357495839431</v>
      </c>
      <c r="BD192" s="173">
        <f t="shared" si="441"/>
        <v>2.0106775929765064</v>
      </c>
      <c r="BE192" s="173">
        <f t="shared" si="437"/>
        <v>1.5875334704733111</v>
      </c>
      <c r="BG192" s="528">
        <f t="shared" si="480"/>
        <v>8.0856487657955944E-2</v>
      </c>
      <c r="BH192" s="528">
        <f t="shared" si="524"/>
        <v>0.25464104582604441</v>
      </c>
      <c r="BI192" s="528">
        <f t="shared" si="525"/>
        <v>2.8278986140410124E-2</v>
      </c>
      <c r="BJ192" s="528">
        <f t="shared" si="481"/>
        <v>8.1888434082410186E-3</v>
      </c>
      <c r="BK192">
        <f t="shared" si="482"/>
        <v>4.4497339130332748E-3</v>
      </c>
      <c r="BL192" s="460">
        <f t="shared" si="588"/>
        <v>32.728720053443396</v>
      </c>
      <c r="BM192" s="528">
        <f t="shared" si="526"/>
        <v>0.37267731942901527</v>
      </c>
      <c r="BN192" s="460">
        <f t="shared" si="527"/>
        <v>372.67731942901526</v>
      </c>
      <c r="BO192" s="528">
        <f t="shared" si="483"/>
        <v>0.57399999999999995</v>
      </c>
      <c r="BR192" s="460">
        <f t="shared" si="484"/>
        <v>574</v>
      </c>
      <c r="BS192" s="528">
        <f t="shared" si="485"/>
        <v>0.12128473148693392</v>
      </c>
      <c r="BT192" s="528">
        <f t="shared" si="486"/>
        <v>7.5607875596191046E-2</v>
      </c>
      <c r="BU192" s="528">
        <f t="shared" si="487"/>
        <v>0.29024350674583843</v>
      </c>
      <c r="BV192" s="528"/>
      <c r="BW192" s="528">
        <f t="shared" si="488"/>
        <v>1.1261641873663523E-2</v>
      </c>
      <c r="BX192" s="460">
        <f t="shared" si="489"/>
        <v>498.39775570262691</v>
      </c>
      <c r="BY192" s="173">
        <f t="shared" si="490"/>
        <v>1.4488128526483117</v>
      </c>
      <c r="BZ192" s="5">
        <f t="shared" si="491"/>
        <v>13.447999999999999</v>
      </c>
      <c r="CA192" s="173">
        <f t="shared" si="492"/>
        <v>0.90274343465416185</v>
      </c>
      <c r="CB192" s="5">
        <f t="shared" si="493"/>
        <v>90.27434346541618</v>
      </c>
      <c r="CE192" s="562">
        <f t="shared" si="528"/>
        <v>-50</v>
      </c>
      <c r="CF192">
        <f t="shared" si="529"/>
        <v>-50</v>
      </c>
      <c r="CG192" s="173">
        <f t="shared" si="530"/>
        <v>0.36704667328120077</v>
      </c>
      <c r="CI192" s="170">
        <v>82</v>
      </c>
      <c r="CJ192" s="217">
        <f t="shared" si="589"/>
        <v>0.82</v>
      </c>
      <c r="CK192" s="217"/>
      <c r="CL192" s="217">
        <f t="shared" si="531"/>
        <v>13.447999999999999</v>
      </c>
      <c r="CM192" s="541">
        <f t="shared" si="532"/>
        <v>10</v>
      </c>
      <c r="CN192" s="443">
        <f t="shared" si="533"/>
        <v>16.799999999999997</v>
      </c>
      <c r="CO192" s="443">
        <f t="shared" si="534"/>
        <v>26.799999999999997</v>
      </c>
      <c r="CP192" s="443"/>
      <c r="CQ192" s="217">
        <f t="shared" si="535"/>
        <v>0.62686567164179097</v>
      </c>
      <c r="CR192" s="172">
        <f t="shared" si="590"/>
        <v>20.973880597014926</v>
      </c>
      <c r="CS192" s="172">
        <f t="shared" si="536"/>
        <v>13.447999999999999</v>
      </c>
      <c r="CT192" s="217">
        <f t="shared" si="537"/>
        <v>1.2788951583545687</v>
      </c>
      <c r="CU192" s="217">
        <f t="shared" si="538"/>
        <v>16.399999999999999</v>
      </c>
      <c r="CV192" s="217"/>
      <c r="CW192" s="172">
        <f t="shared" si="539"/>
        <v>30.778699219928043</v>
      </c>
      <c r="CX192" s="536">
        <f t="shared" si="540"/>
        <v>16.399999999999999</v>
      </c>
      <c r="CY192" s="217">
        <f t="shared" si="541"/>
        <v>4.2905523809523807</v>
      </c>
      <c r="CZ192" s="217">
        <f t="shared" si="542"/>
        <v>5.148662857142857</v>
      </c>
      <c r="DA192" s="217">
        <f t="shared" si="543"/>
        <v>3.0646802721088444</v>
      </c>
      <c r="DB192" s="197">
        <f t="shared" si="544"/>
        <v>350</v>
      </c>
      <c r="DC192" s="443">
        <f t="shared" si="545"/>
        <v>121.75310154016513</v>
      </c>
      <c r="DE192" s="217">
        <f t="shared" si="546"/>
        <v>1.4925373134328355</v>
      </c>
      <c r="DF192" s="173">
        <f t="shared" si="547"/>
        <v>1.0660980810234544</v>
      </c>
      <c r="DG192" s="173">
        <f t="shared" si="548"/>
        <v>0.27845845399866342</v>
      </c>
      <c r="DH192" s="173"/>
      <c r="DI192" s="173">
        <f t="shared" si="549"/>
        <v>0.95238095238095266</v>
      </c>
      <c r="DJ192" s="545">
        <f t="shared" si="550"/>
        <v>1291.4999999999993</v>
      </c>
      <c r="DK192" s="528">
        <f t="shared" si="551"/>
        <v>0.22222222222222232</v>
      </c>
      <c r="DM192" s="173">
        <f t="shared" si="552"/>
        <v>2.5612496949731391</v>
      </c>
      <c r="DN192" s="173">
        <f t="shared" si="553"/>
        <v>4.2905523809523807</v>
      </c>
      <c r="DO192" s="173">
        <f t="shared" si="554"/>
        <v>3.3905326278659604</v>
      </c>
      <c r="DQ192" s="545">
        <f t="shared" si="555"/>
        <v>820</v>
      </c>
      <c r="DR192" s="460">
        <f t="shared" si="556"/>
        <v>121.75310154016513</v>
      </c>
      <c r="DT192">
        <f t="shared" si="591"/>
        <v>820</v>
      </c>
      <c r="DU192">
        <f t="shared" si="592"/>
        <v>121.75310154016513</v>
      </c>
      <c r="DW192" s="5">
        <f t="shared" si="557"/>
        <v>8.213343129251701</v>
      </c>
      <c r="DX192" s="5">
        <f t="shared" si="558"/>
        <v>5.148662857142857</v>
      </c>
      <c r="DY192" s="5">
        <f t="shared" si="559"/>
        <v>3.064680272108844</v>
      </c>
      <c r="DZ192" s="5"/>
      <c r="EA192" s="173">
        <f t="shared" si="560"/>
        <v>0.62686567164179097</v>
      </c>
      <c r="EB192" s="173">
        <f t="shared" si="561"/>
        <v>13.448</v>
      </c>
      <c r="EC192" s="173">
        <f t="shared" si="562"/>
        <v>0.80047619047619056</v>
      </c>
      <c r="ED192" s="173">
        <f t="shared" si="563"/>
        <v>16.799999999999997</v>
      </c>
      <c r="EE192" s="460">
        <f t="shared" si="564"/>
        <v>25.743314285714288</v>
      </c>
      <c r="EF192" s="5">
        <f t="shared" si="565"/>
        <v>3.4344850249433105</v>
      </c>
      <c r="EH192" s="173">
        <f t="shared" si="566"/>
        <v>1.961281017074429</v>
      </c>
      <c r="EI192" s="173">
        <f t="shared" si="567"/>
        <v>1.5131611557582163</v>
      </c>
      <c r="EK192" s="528">
        <f t="shared" si="568"/>
        <v>7.6932464558730138E-2</v>
      </c>
      <c r="EL192" s="528">
        <f t="shared" si="569"/>
        <v>0.27999999999999992</v>
      </c>
      <c r="EM192" s="528">
        <f t="shared" si="570"/>
        <v>1.521913769252064E-2</v>
      </c>
      <c r="EN192" s="528">
        <f t="shared" si="571"/>
        <v>8.7447947650208194E-3</v>
      </c>
      <c r="EO192">
        <f t="shared" si="572"/>
        <v>4.4999999999999997E-3</v>
      </c>
      <c r="EP192" s="460">
        <f t="shared" si="573"/>
        <v>19.71913769252064</v>
      </c>
      <c r="EQ192" s="460"/>
      <c r="ER192" s="460">
        <f t="shared" si="593"/>
        <v>385.39639701627152</v>
      </c>
      <c r="ES192" s="528">
        <f t="shared" si="574"/>
        <v>0.57399999999999995</v>
      </c>
      <c r="EV192" s="460">
        <f t="shared" si="494"/>
        <v>574</v>
      </c>
      <c r="EW192" s="528">
        <f t="shared" si="575"/>
        <v>0.1153986968380952</v>
      </c>
      <c r="EX192" s="528">
        <f t="shared" si="576"/>
        <v>6.8689700498866232E-2</v>
      </c>
      <c r="EY192" s="528">
        <f t="shared" si="577"/>
        <v>0.31185528502698284</v>
      </c>
      <c r="EZ192" s="528"/>
      <c r="FA192" s="528">
        <f t="shared" si="578"/>
        <v>1.1206666666666665E-2</v>
      </c>
      <c r="FB192" s="460">
        <f t="shared" si="579"/>
        <v>507.15034903061098</v>
      </c>
      <c r="FC192" s="173">
        <f t="shared" si="580"/>
        <v>1.4665467460468824</v>
      </c>
      <c r="FD192" s="5">
        <f t="shared" si="581"/>
        <v>13.447999999999999</v>
      </c>
      <c r="FE192" s="173">
        <f t="shared" si="582"/>
        <v>0.90167004260886496</v>
      </c>
      <c r="FF192" s="5">
        <f t="shared" si="583"/>
        <v>90.1670042608865</v>
      </c>
      <c r="FI192" s="562">
        <f t="shared" si="584"/>
        <v>-50</v>
      </c>
      <c r="FJ192">
        <f t="shared" si="585"/>
        <v>-50</v>
      </c>
      <c r="FL192">
        <f t="shared" si="586"/>
        <v>0.37313432835820903</v>
      </c>
    </row>
    <row r="193" spans="5:168">
      <c r="E193" s="170">
        <v>83</v>
      </c>
      <c r="F193" s="217">
        <f t="shared" si="587"/>
        <v>0.83</v>
      </c>
      <c r="G193" s="217"/>
      <c r="H193" s="217">
        <f t="shared" si="495"/>
        <v>13.611999999999998</v>
      </c>
      <c r="I193" s="541">
        <f t="shared" si="496"/>
        <v>9.8869579486105046</v>
      </c>
      <c r="J193" s="172">
        <f t="shared" si="497"/>
        <v>16.867825230833695</v>
      </c>
      <c r="K193" s="172">
        <f t="shared" si="498"/>
        <v>26.7547831794442</v>
      </c>
      <c r="L193" s="443"/>
      <c r="M193" s="217">
        <f t="shared" si="499"/>
        <v>0.63044507252637871</v>
      </c>
      <c r="N193" s="172">
        <f t="shared" si="500"/>
        <v>20.855194535602234</v>
      </c>
      <c r="O193" s="172">
        <f t="shared" si="438"/>
        <v>13.611999999999998</v>
      </c>
      <c r="P193" s="217">
        <f t="shared" si="501"/>
        <v>1.2716582033903803</v>
      </c>
      <c r="Q193" s="217">
        <f t="shared" si="502"/>
        <v>16.399999999999999</v>
      </c>
      <c r="R193" s="217"/>
      <c r="S193" s="172">
        <f t="shared" si="503"/>
        <v>29.950006323217679</v>
      </c>
      <c r="T193" s="536">
        <f t="shared" si="504"/>
        <v>16.399999999999999</v>
      </c>
      <c r="U193" s="217">
        <f t="shared" si="505"/>
        <v>4.491889774946892</v>
      </c>
      <c r="V193" s="217">
        <f t="shared" si="506"/>
        <v>5.4518970930728079</v>
      </c>
      <c r="W193" s="217">
        <f t="shared" si="507"/>
        <v>3.1955914032610924</v>
      </c>
      <c r="X193" s="197">
        <f t="shared" si="508"/>
        <v>350</v>
      </c>
      <c r="Y193" s="443">
        <f t="shared" si="509"/>
        <v>113.02642556860812</v>
      </c>
      <c r="AA193" s="217">
        <f t="shared" si="510"/>
        <v>1.484126956746286</v>
      </c>
      <c r="AB193" s="173">
        <f t="shared" si="511"/>
        <v>1.0558280772556472</v>
      </c>
      <c r="AC193" s="173">
        <f t="shared" si="512"/>
        <v>0.2742220094503236</v>
      </c>
      <c r="AD193" s="173"/>
      <c r="AE193" s="173">
        <f t="shared" si="513"/>
        <v>0.94855144519476386</v>
      </c>
      <c r="AF193" s="545">
        <f t="shared" si="514"/>
        <v>1312.5276507742465</v>
      </c>
      <c r="AG193" s="528">
        <f t="shared" si="515"/>
        <v>0.22132867054544489</v>
      </c>
      <c r="AI193" s="173">
        <f t="shared" si="516"/>
        <v>2.582016095039648</v>
      </c>
      <c r="AJ193" s="173">
        <f t="shared" si="517"/>
        <v>4.491889774946892</v>
      </c>
      <c r="AK193" s="173">
        <f t="shared" si="518"/>
        <v>3.5396714382322649</v>
      </c>
      <c r="AM193" s="545">
        <f t="shared" si="519"/>
        <v>830</v>
      </c>
      <c r="AN193" s="460">
        <f t="shared" si="520"/>
        <v>113.02642556860812</v>
      </c>
      <c r="AP193">
        <f t="shared" si="521"/>
        <v>830</v>
      </c>
      <c r="AQ193">
        <f t="shared" si="522"/>
        <v>113.02642556860812</v>
      </c>
      <c r="AS193" s="5">
        <f t="shared" si="439"/>
        <v>8.8474884963338987</v>
      </c>
      <c r="AT193" s="5">
        <f t="shared" si="523"/>
        <v>5.4518970930728079</v>
      </c>
      <c r="AU193" s="5">
        <f t="shared" si="478"/>
        <v>3.3955914032610908</v>
      </c>
      <c r="AV193" s="5"/>
      <c r="AW193" s="173">
        <f t="shared" si="479"/>
        <v>0.61620844099790473</v>
      </c>
      <c r="AX193" s="173">
        <f t="shared" si="435"/>
        <v>13.683255146564909</v>
      </c>
      <c r="AY193" s="173">
        <f t="shared" si="436"/>
        <v>0.86197468979621927</v>
      </c>
      <c r="AZ193" s="173">
        <f t="shared" si="440"/>
        <v>15.874311982176399</v>
      </c>
      <c r="BA193" s="460">
        <f t="shared" si="594"/>
        <v>27.591918214941654</v>
      </c>
      <c r="BB193" s="5">
        <f t="shared" si="595"/>
        <v>3.8957711109112978</v>
      </c>
      <c r="BD193" s="173">
        <f t="shared" si="441"/>
        <v>2.035786756969332</v>
      </c>
      <c r="BE193" s="173">
        <f t="shared" si="437"/>
        <v>1.6066311120599852</v>
      </c>
      <c r="BG193" s="528">
        <f t="shared" si="480"/>
        <v>8.28885543970342E-2</v>
      </c>
      <c r="BH193" s="528">
        <f t="shared" si="524"/>
        <v>0.2546899404937023</v>
      </c>
      <c r="BI193" s="528">
        <f t="shared" si="525"/>
        <v>2.793718791696459E-2</v>
      </c>
      <c r="BJ193" s="528">
        <f t="shared" si="481"/>
        <v>8.090639770548233E-3</v>
      </c>
      <c r="BK193">
        <f t="shared" si="482"/>
        <v>4.4491310768747273E-3</v>
      </c>
      <c r="BL193" s="460">
        <f t="shared" si="588"/>
        <v>32.386318993839311</v>
      </c>
      <c r="BM193" s="528">
        <f t="shared" si="526"/>
        <v>0.37544314192435591</v>
      </c>
      <c r="BN193" s="460">
        <f t="shared" si="527"/>
        <v>375.44314192435593</v>
      </c>
      <c r="BO193" s="528">
        <f t="shared" si="483"/>
        <v>0.58099999999999996</v>
      </c>
      <c r="BR193" s="460">
        <f t="shared" si="484"/>
        <v>581</v>
      </c>
      <c r="BS193" s="528">
        <f t="shared" si="485"/>
        <v>0.12433283159555129</v>
      </c>
      <c r="BT193" s="528">
        <f t="shared" si="486"/>
        <v>7.7437905907173143E-2</v>
      </c>
      <c r="BU193" s="528">
        <f t="shared" si="487"/>
        <v>0.29039739386263042</v>
      </c>
      <c r="BV193" s="528"/>
      <c r="BW193" s="528">
        <f t="shared" si="488"/>
        <v>1.1402712622137424E-2</v>
      </c>
      <c r="BX193" s="460">
        <f t="shared" si="489"/>
        <v>503.57084398749231</v>
      </c>
      <c r="BY193" s="173">
        <f t="shared" si="490"/>
        <v>1.4626262976426163</v>
      </c>
      <c r="BZ193" s="5">
        <f t="shared" si="491"/>
        <v>13.611999999999998</v>
      </c>
      <c r="CA193" s="173">
        <f t="shared" si="492"/>
        <v>0.9029742914508373</v>
      </c>
      <c r="CB193" s="5">
        <f t="shared" si="493"/>
        <v>90.297429145083726</v>
      </c>
      <c r="CE193" s="562">
        <f t="shared" si="528"/>
        <v>-50</v>
      </c>
      <c r="CF193">
        <f t="shared" si="529"/>
        <v>-50</v>
      </c>
      <c r="CG193" s="173">
        <f t="shared" si="530"/>
        <v>0.36712001852309245</v>
      </c>
      <c r="CI193" s="170">
        <v>83</v>
      </c>
      <c r="CJ193" s="217">
        <f t="shared" si="589"/>
        <v>0.83</v>
      </c>
      <c r="CK193" s="217"/>
      <c r="CL193" s="217">
        <f t="shared" si="531"/>
        <v>13.611999999999998</v>
      </c>
      <c r="CM193" s="541">
        <f t="shared" si="532"/>
        <v>10</v>
      </c>
      <c r="CN193" s="443">
        <f t="shared" si="533"/>
        <v>16.799999999999997</v>
      </c>
      <c r="CO193" s="443">
        <f t="shared" si="534"/>
        <v>26.799999999999997</v>
      </c>
      <c r="CP193" s="443"/>
      <c r="CQ193" s="217">
        <f t="shared" si="535"/>
        <v>0.62686567164179097</v>
      </c>
      <c r="CR193" s="172">
        <f t="shared" si="590"/>
        <v>20.973880597014926</v>
      </c>
      <c r="CS193" s="172">
        <f t="shared" si="536"/>
        <v>13.611999999999998</v>
      </c>
      <c r="CT193" s="217">
        <f t="shared" si="537"/>
        <v>1.2788951583545687</v>
      </c>
      <c r="CU193" s="217">
        <f t="shared" si="538"/>
        <v>16.399999999999999</v>
      </c>
      <c r="CV193" s="217"/>
      <c r="CW193" s="172">
        <f t="shared" si="539"/>
        <v>30.29097404799003</v>
      </c>
      <c r="CX193" s="536">
        <f t="shared" si="540"/>
        <v>16.399999999999999</v>
      </c>
      <c r="CY193" s="217">
        <f t="shared" si="541"/>
        <v>4.3428761904761899</v>
      </c>
      <c r="CZ193" s="217">
        <f t="shared" si="542"/>
        <v>5.2114514285714275</v>
      </c>
      <c r="DA193" s="217">
        <f t="shared" si="543"/>
        <v>3.1020544217687074</v>
      </c>
      <c r="DB193" s="197">
        <f t="shared" si="544"/>
        <v>350</v>
      </c>
      <c r="DC193" s="443">
        <f t="shared" si="545"/>
        <v>120.28619670233184</v>
      </c>
      <c r="DE193" s="217">
        <f t="shared" si="546"/>
        <v>1.4925373134328355</v>
      </c>
      <c r="DF193" s="173">
        <f t="shared" si="547"/>
        <v>1.0660980810234544</v>
      </c>
      <c r="DG193" s="173">
        <f t="shared" si="548"/>
        <v>0.27845845399866342</v>
      </c>
      <c r="DH193" s="173"/>
      <c r="DI193" s="173">
        <f t="shared" si="549"/>
        <v>0.95238095238095266</v>
      </c>
      <c r="DJ193" s="545">
        <f t="shared" si="550"/>
        <v>1307.2499999999993</v>
      </c>
      <c r="DK193" s="528">
        <f t="shared" si="551"/>
        <v>0.22222222222222232</v>
      </c>
      <c r="DM193" s="173">
        <f t="shared" si="552"/>
        <v>2.5768197453450248</v>
      </c>
      <c r="DN193" s="173">
        <f t="shared" si="553"/>
        <v>4.3428761904761899</v>
      </c>
      <c r="DO193" s="173">
        <f t="shared" si="554"/>
        <v>3.4292910052910042</v>
      </c>
      <c r="DQ193" s="545">
        <f t="shared" si="555"/>
        <v>830</v>
      </c>
      <c r="DR193" s="460">
        <f t="shared" si="556"/>
        <v>120.28619670233184</v>
      </c>
      <c r="DT193">
        <f t="shared" si="591"/>
        <v>830</v>
      </c>
      <c r="DU193">
        <f t="shared" si="592"/>
        <v>120.28619670233184</v>
      </c>
      <c r="DW193" s="5">
        <f t="shared" si="557"/>
        <v>8.3135058503401353</v>
      </c>
      <c r="DX193" s="5">
        <f t="shared" si="558"/>
        <v>5.2114514285714275</v>
      </c>
      <c r="DY193" s="5">
        <f t="shared" si="559"/>
        <v>3.1020544217687078</v>
      </c>
      <c r="DZ193" s="5"/>
      <c r="EA193" s="173">
        <f t="shared" si="560"/>
        <v>0.62686567164179097</v>
      </c>
      <c r="EB193" s="173">
        <f t="shared" si="561"/>
        <v>13.611999999999997</v>
      </c>
      <c r="EC193" s="173">
        <f t="shared" si="562"/>
        <v>0.81023809523809531</v>
      </c>
      <c r="ED193" s="173">
        <f t="shared" si="563"/>
        <v>16.799999999999994</v>
      </c>
      <c r="EE193" s="460">
        <f t="shared" si="564"/>
        <v>26.375028571428572</v>
      </c>
      <c r="EF193" s="5">
        <f t="shared" si="565"/>
        <v>3.518763732426303</v>
      </c>
      <c r="EH193" s="173">
        <f t="shared" si="566"/>
        <v>1.9851990782582634</v>
      </c>
      <c r="EI193" s="173">
        <f t="shared" si="567"/>
        <v>1.5316143405845357</v>
      </c>
      <c r="EK193" s="528">
        <f t="shared" si="568"/>
        <v>7.8820307606349171E-2</v>
      </c>
      <c r="EL193" s="528">
        <f t="shared" si="569"/>
        <v>0.27999999999999997</v>
      </c>
      <c r="EM193" s="528">
        <f t="shared" si="570"/>
        <v>1.5035774587791479E-2</v>
      </c>
      <c r="EN193" s="528">
        <f t="shared" si="571"/>
        <v>8.6394357919482821E-3</v>
      </c>
      <c r="EO193">
        <f t="shared" si="572"/>
        <v>4.4999999999999997E-3</v>
      </c>
      <c r="EP193" s="460">
        <f t="shared" si="573"/>
        <v>19.535774587791476</v>
      </c>
      <c r="EQ193" s="460"/>
      <c r="ER193" s="460">
        <f t="shared" si="593"/>
        <v>386.99551798608888</v>
      </c>
      <c r="ES193" s="528">
        <f t="shared" si="574"/>
        <v>0.58099999999999996</v>
      </c>
      <c r="EV193" s="460">
        <f t="shared" si="494"/>
        <v>581</v>
      </c>
      <c r="EW193" s="528">
        <f t="shared" si="575"/>
        <v>0.11823046140952376</v>
      </c>
      <c r="EX193" s="528">
        <f t="shared" si="576"/>
        <v>7.0375274648526068E-2</v>
      </c>
      <c r="EY193" s="528">
        <f t="shared" si="577"/>
        <v>0.31185528502698334</v>
      </c>
      <c r="EZ193" s="528"/>
      <c r="FA193" s="528">
        <f t="shared" si="578"/>
        <v>1.1343333333333332E-2</v>
      </c>
      <c r="FB193" s="460">
        <f t="shared" si="579"/>
        <v>511.80435441836647</v>
      </c>
      <c r="FC193" s="173">
        <f t="shared" si="580"/>
        <v>1.4797998724044552</v>
      </c>
      <c r="FD193" s="5">
        <f t="shared" si="581"/>
        <v>13.611999999999998</v>
      </c>
      <c r="FE193" s="173">
        <f t="shared" si="582"/>
        <v>0.90194676016673869</v>
      </c>
      <c r="FF193" s="5">
        <f t="shared" si="583"/>
        <v>90.194676016673867</v>
      </c>
      <c r="FI193" s="562">
        <f t="shared" si="584"/>
        <v>-50</v>
      </c>
      <c r="FJ193">
        <f t="shared" si="585"/>
        <v>-50</v>
      </c>
      <c r="FL193">
        <f t="shared" si="586"/>
        <v>0.37313432835820903</v>
      </c>
    </row>
    <row r="194" spans="5:168">
      <c r="E194" s="170">
        <v>84</v>
      </c>
      <c r="F194" s="217">
        <f t="shared" si="587"/>
        <v>0.84</v>
      </c>
      <c r="G194" s="217"/>
      <c r="H194" s="217">
        <f t="shared" si="495"/>
        <v>13.775999999999998</v>
      </c>
      <c r="I194" s="541">
        <f t="shared" si="496"/>
        <v>9.8856183038934624</v>
      </c>
      <c r="J194" s="172">
        <f t="shared" si="497"/>
        <v>16.86862901766392</v>
      </c>
      <c r="K194" s="172">
        <f t="shared" si="498"/>
        <v>26.754247321557383</v>
      </c>
      <c r="L194" s="443"/>
      <c r="M194" s="217">
        <f t="shared" si="499"/>
        <v>0.63048774766514981</v>
      </c>
      <c r="N194" s="172">
        <f t="shared" si="500"/>
        <v>20.853780244230965</v>
      </c>
      <c r="O194" s="172">
        <f t="shared" si="438"/>
        <v>13.775999999999998</v>
      </c>
      <c r="P194" s="217">
        <f t="shared" si="501"/>
        <v>1.2715719661116442</v>
      </c>
      <c r="Q194" s="217">
        <f t="shared" si="502"/>
        <v>16.399999999999999</v>
      </c>
      <c r="R194" s="217"/>
      <c r="S194" s="172">
        <f t="shared" si="503"/>
        <v>29.475383801763527</v>
      </c>
      <c r="T194" s="536">
        <f t="shared" si="504"/>
        <v>16.399999999999999</v>
      </c>
      <c r="U194" s="217">
        <f t="shared" si="505"/>
        <v>4.5465339495091834</v>
      </c>
      <c r="V194" s="217">
        <f t="shared" si="506"/>
        <v>5.5189676272067176</v>
      </c>
      <c r="W194" s="217">
        <f t="shared" si="507"/>
        <v>3.2343118896609542</v>
      </c>
      <c r="X194" s="197">
        <f t="shared" si="508"/>
        <v>350</v>
      </c>
      <c r="Y194" s="443">
        <f t="shared" si="509"/>
        <v>111.69091706743147</v>
      </c>
      <c r="AA194" s="217">
        <f t="shared" si="510"/>
        <v>1.4840262982080714</v>
      </c>
      <c r="AB194" s="173">
        <f t="shared" si="511"/>
        <v>1.0557061608177492</v>
      </c>
      <c r="AC194" s="173">
        <f t="shared" si="512"/>
        <v>0.27417174852091836</v>
      </c>
      <c r="AD194" s="173"/>
      <c r="AE194" s="173">
        <f t="shared" si="513"/>
        <v>0.94850624690635288</v>
      </c>
      <c r="AF194" s="545">
        <f t="shared" si="514"/>
        <v>1328.4045351410334</v>
      </c>
      <c r="AG194" s="528">
        <f t="shared" si="515"/>
        <v>0.22131812427814901</v>
      </c>
      <c r="AI194" s="173">
        <f t="shared" si="516"/>
        <v>2.5975857266056819</v>
      </c>
      <c r="AJ194" s="173">
        <f t="shared" si="517"/>
        <v>4.5465339495091834</v>
      </c>
      <c r="AK194" s="173">
        <f t="shared" si="518"/>
        <v>3.5801486045747035</v>
      </c>
      <c r="AM194" s="545">
        <f t="shared" si="519"/>
        <v>840</v>
      </c>
      <c r="AN194" s="460">
        <f t="shared" si="520"/>
        <v>111.69091706743147</v>
      </c>
      <c r="AP194">
        <f t="shared" si="521"/>
        <v>840</v>
      </c>
      <c r="AQ194">
        <f t="shared" si="522"/>
        <v>111.69091706743147</v>
      </c>
      <c r="AS194" s="5">
        <f t="shared" si="439"/>
        <v>8.9532795168676724</v>
      </c>
      <c r="AT194" s="5">
        <f t="shared" si="523"/>
        <v>5.5189676272067176</v>
      </c>
      <c r="AU194" s="5">
        <f t="shared" si="478"/>
        <v>3.4343118896609548</v>
      </c>
      <c r="AV194" s="5"/>
      <c r="AW194" s="173">
        <f t="shared" si="479"/>
        <v>0.61641855554818448</v>
      </c>
      <c r="AX194" s="173">
        <f t="shared" si="435"/>
        <v>13.852558215185514</v>
      </c>
      <c r="AY194" s="173">
        <f t="shared" si="436"/>
        <v>0.8719830298009752</v>
      </c>
      <c r="AZ194" s="173">
        <f t="shared" si="440"/>
        <v>15.886270422427</v>
      </c>
      <c r="BA194" s="460">
        <f t="shared" si="594"/>
        <v>28.26788296861978</v>
      </c>
      <c r="BB194" s="5">
        <f t="shared" si="595"/>
        <v>3.9882078471287747</v>
      </c>
      <c r="BD194" s="173">
        <f t="shared" si="441"/>
        <v>2.0609035281697481</v>
      </c>
      <c r="BE194" s="173">
        <f t="shared" si="437"/>
        <v>1.6257306969249266</v>
      </c>
      <c r="BG194" s="528">
        <f t="shared" si="480"/>
        <v>8.4946467048450311E-2</v>
      </c>
      <c r="BH194" s="528">
        <f t="shared" si="524"/>
        <v>0.2547371612097456</v>
      </c>
      <c r="BI194" s="528">
        <f t="shared" si="525"/>
        <v>2.7603344353511184E-2</v>
      </c>
      <c r="BJ194" s="528">
        <f t="shared" si="481"/>
        <v>7.9947213576269695E-3</v>
      </c>
      <c r="BK194">
        <f t="shared" si="482"/>
        <v>4.4485282367520583E-3</v>
      </c>
      <c r="BL194" s="460">
        <f t="shared" si="588"/>
        <v>32.051872590263244</v>
      </c>
      <c r="BM194" s="528">
        <f t="shared" si="526"/>
        <v>0.37824818496134172</v>
      </c>
      <c r="BN194" s="460">
        <f t="shared" si="527"/>
        <v>378.24818496134174</v>
      </c>
      <c r="BO194" s="528">
        <f t="shared" si="483"/>
        <v>0.58799999999999997</v>
      </c>
      <c r="BR194" s="460">
        <f t="shared" si="484"/>
        <v>588</v>
      </c>
      <c r="BS194" s="528">
        <f t="shared" si="485"/>
        <v>0.12741970057267546</v>
      </c>
      <c r="BT194" s="528">
        <f t="shared" si="486"/>
        <v>7.9290008967720219E-2</v>
      </c>
      <c r="BU194" s="528">
        <f t="shared" si="487"/>
        <v>0.29054656299913983</v>
      </c>
      <c r="BV194" s="528"/>
      <c r="BW194" s="528">
        <f t="shared" si="488"/>
        <v>1.1543798512654595E-2</v>
      </c>
      <c r="BX194" s="460">
        <f t="shared" si="489"/>
        <v>508.80007105219016</v>
      </c>
      <c r="BY194" s="173">
        <f t="shared" si="490"/>
        <v>1.476530293258276</v>
      </c>
      <c r="BZ194" s="5">
        <f t="shared" si="491"/>
        <v>13.775999999999998</v>
      </c>
      <c r="CA194" s="173">
        <f t="shared" si="492"/>
        <v>0.90319440349442126</v>
      </c>
      <c r="CB194" s="5">
        <f t="shared" si="493"/>
        <v>90.319440349442132</v>
      </c>
      <c r="CE194" s="562">
        <f t="shared" si="528"/>
        <v>-50</v>
      </c>
      <c r="CF194">
        <f t="shared" si="529"/>
        <v>-50</v>
      </c>
      <c r="CG194" s="173">
        <f t="shared" si="530"/>
        <v>0.36719161744970097</v>
      </c>
      <c r="CI194" s="170">
        <v>84</v>
      </c>
      <c r="CJ194" s="217">
        <f t="shared" si="589"/>
        <v>0.84</v>
      </c>
      <c r="CK194" s="217"/>
      <c r="CL194" s="217">
        <f t="shared" si="531"/>
        <v>13.775999999999998</v>
      </c>
      <c r="CM194" s="541">
        <f t="shared" si="532"/>
        <v>10</v>
      </c>
      <c r="CN194" s="443">
        <f t="shared" si="533"/>
        <v>16.799999999999997</v>
      </c>
      <c r="CO194" s="443">
        <f t="shared" si="534"/>
        <v>26.799999999999997</v>
      </c>
      <c r="CP194" s="443"/>
      <c r="CQ194" s="217">
        <f t="shared" si="535"/>
        <v>0.62686567164179097</v>
      </c>
      <c r="CR194" s="172">
        <f t="shared" si="590"/>
        <v>20.973880597014926</v>
      </c>
      <c r="CS194" s="172">
        <f t="shared" si="536"/>
        <v>13.775999999999998</v>
      </c>
      <c r="CT194" s="217">
        <f t="shared" si="537"/>
        <v>1.2788951583545687</v>
      </c>
      <c r="CU194" s="217">
        <f t="shared" si="538"/>
        <v>16.399999999999999</v>
      </c>
      <c r="CV194" s="217"/>
      <c r="CW194" s="172">
        <f t="shared" si="539"/>
        <v>29.814924590139473</v>
      </c>
      <c r="CX194" s="536">
        <f t="shared" si="540"/>
        <v>16.399999999999999</v>
      </c>
      <c r="CY194" s="217">
        <f t="shared" si="541"/>
        <v>4.3952</v>
      </c>
      <c r="CZ194" s="217">
        <f t="shared" si="542"/>
        <v>5.2742399999999998</v>
      </c>
      <c r="DA194" s="217">
        <f t="shared" si="543"/>
        <v>3.1394285714285721</v>
      </c>
      <c r="DB194" s="197">
        <f t="shared" si="544"/>
        <v>350</v>
      </c>
      <c r="DC194" s="443">
        <f t="shared" si="545"/>
        <v>118.8542181701612</v>
      </c>
      <c r="DE194" s="217">
        <f t="shared" si="546"/>
        <v>1.4925373134328355</v>
      </c>
      <c r="DF194" s="173">
        <f t="shared" si="547"/>
        <v>1.0660980810234544</v>
      </c>
      <c r="DG194" s="173">
        <f t="shared" si="548"/>
        <v>0.27845845399866342</v>
      </c>
      <c r="DH194" s="173"/>
      <c r="DI194" s="173">
        <f t="shared" si="549"/>
        <v>0.95238095238095266</v>
      </c>
      <c r="DJ194" s="545">
        <f t="shared" si="550"/>
        <v>1322.9999999999993</v>
      </c>
      <c r="DK194" s="528">
        <f t="shared" si="551"/>
        <v>0.22222222222222232</v>
      </c>
      <c r="DM194" s="173">
        <f t="shared" si="552"/>
        <v>2.5922962793631439</v>
      </c>
      <c r="DN194" s="173">
        <f t="shared" si="553"/>
        <v>4.3952</v>
      </c>
      <c r="DO194" s="173">
        <f t="shared" si="554"/>
        <v>3.4680493827160488</v>
      </c>
      <c r="DQ194" s="545">
        <f t="shared" si="555"/>
        <v>840</v>
      </c>
      <c r="DR194" s="460">
        <f t="shared" si="556"/>
        <v>118.8542181701612</v>
      </c>
      <c r="DT194">
        <f t="shared" si="591"/>
        <v>840</v>
      </c>
      <c r="DU194">
        <f t="shared" si="592"/>
        <v>118.8542181701612</v>
      </c>
      <c r="DW194" s="5">
        <f t="shared" si="557"/>
        <v>8.4136685714285715</v>
      </c>
      <c r="DX194" s="5">
        <f t="shared" si="558"/>
        <v>5.2742399999999998</v>
      </c>
      <c r="DY194" s="5">
        <f t="shared" si="559"/>
        <v>3.1394285714285717</v>
      </c>
      <c r="DZ194" s="5"/>
      <c r="EA194" s="173">
        <f t="shared" si="560"/>
        <v>0.62686567164179097</v>
      </c>
      <c r="EB194" s="173">
        <f t="shared" si="561"/>
        <v>13.775999999999998</v>
      </c>
      <c r="EC194" s="173">
        <f t="shared" si="562"/>
        <v>0.82000000000000017</v>
      </c>
      <c r="ED194" s="173">
        <f t="shared" si="563"/>
        <v>16.799999999999994</v>
      </c>
      <c r="EE194" s="460">
        <f t="shared" si="564"/>
        <v>27.014400000000002</v>
      </c>
      <c r="EF194" s="5">
        <f t="shared" si="565"/>
        <v>3.6040639999999988</v>
      </c>
      <c r="EH194" s="173">
        <f t="shared" si="566"/>
        <v>2.0091171394420981</v>
      </c>
      <c r="EI194" s="173">
        <f t="shared" si="567"/>
        <v>1.5500675254108558</v>
      </c>
      <c r="EK194" s="528">
        <f t="shared" si="568"/>
        <v>8.0731033599999974E-2</v>
      </c>
      <c r="EL194" s="528">
        <f t="shared" si="569"/>
        <v>0.27999999999999997</v>
      </c>
      <c r="EM194" s="528">
        <f t="shared" si="570"/>
        <v>1.485677727127015E-2</v>
      </c>
      <c r="EN194" s="528">
        <f t="shared" si="571"/>
        <v>8.5365853658536592E-3</v>
      </c>
      <c r="EO194">
        <f t="shared" si="572"/>
        <v>4.4999999999999997E-3</v>
      </c>
      <c r="EP194" s="460">
        <f t="shared" si="573"/>
        <v>19.35677727127015</v>
      </c>
      <c r="EQ194" s="460"/>
      <c r="ER194" s="460">
        <f t="shared" si="593"/>
        <v>388.62439623712373</v>
      </c>
      <c r="ES194" s="528">
        <f t="shared" si="574"/>
        <v>0.58799999999999997</v>
      </c>
      <c r="EV194" s="460">
        <f t="shared" si="494"/>
        <v>588</v>
      </c>
      <c r="EW194" s="528">
        <f t="shared" si="575"/>
        <v>0.12109655039999996</v>
      </c>
      <c r="EX194" s="528">
        <f t="shared" si="576"/>
        <v>7.2081280000000011E-2</v>
      </c>
      <c r="EY194" s="528">
        <f t="shared" si="577"/>
        <v>0.31185528502698312</v>
      </c>
      <c r="EZ194" s="528"/>
      <c r="FA194" s="528">
        <f t="shared" si="578"/>
        <v>1.1479999999999999E-2</v>
      </c>
      <c r="FB194" s="460">
        <f t="shared" si="579"/>
        <v>516.51311542698318</v>
      </c>
      <c r="FC194" s="173">
        <f t="shared" si="580"/>
        <v>1.4931375116641066</v>
      </c>
      <c r="FD194" s="5">
        <f t="shared" si="581"/>
        <v>13.775999999999998</v>
      </c>
      <c r="FE194" s="173">
        <f t="shared" si="582"/>
        <v>0.90221205942224969</v>
      </c>
      <c r="FF194" s="5">
        <f t="shared" si="583"/>
        <v>90.221205942224969</v>
      </c>
      <c r="FI194" s="562">
        <f t="shared" si="584"/>
        <v>-50</v>
      </c>
      <c r="FJ194">
        <f t="shared" si="585"/>
        <v>-50</v>
      </c>
      <c r="FL194">
        <f t="shared" si="586"/>
        <v>0.37313432835820903</v>
      </c>
    </row>
    <row r="195" spans="5:168">
      <c r="E195" s="170">
        <v>85</v>
      </c>
      <c r="F195" s="217">
        <f t="shared" si="587"/>
        <v>0.85</v>
      </c>
      <c r="G195" s="217"/>
      <c r="H195" s="217">
        <f t="shared" si="495"/>
        <v>13.939999999999998</v>
      </c>
      <c r="I195" s="541">
        <f t="shared" si="496"/>
        <v>9.884278650683143</v>
      </c>
      <c r="J195" s="172">
        <f t="shared" si="497"/>
        <v>16.869432809590112</v>
      </c>
      <c r="K195" s="172">
        <f t="shared" si="498"/>
        <v>26.753711460273255</v>
      </c>
      <c r="L195" s="443"/>
      <c r="M195" s="217">
        <f t="shared" si="499"/>
        <v>0.6305304247129937</v>
      </c>
      <c r="N195" s="172">
        <f t="shared" si="500"/>
        <v>20.852365615517691</v>
      </c>
      <c r="O195" s="172">
        <f t="shared" si="438"/>
        <v>13.939999999999998</v>
      </c>
      <c r="P195" s="217">
        <f t="shared" si="501"/>
        <v>1.271485708263274</v>
      </c>
      <c r="Q195" s="217">
        <f t="shared" si="502"/>
        <v>16.399999999999999</v>
      </c>
      <c r="R195" s="217"/>
      <c r="S195" s="172">
        <f t="shared" si="503"/>
        <v>29.012023418037639</v>
      </c>
      <c r="T195" s="536">
        <f t="shared" si="504"/>
        <v>16.399999999999999</v>
      </c>
      <c r="U195" s="217">
        <f t="shared" si="505"/>
        <v>4.6011907710653288</v>
      </c>
      <c r="V195" s="217">
        <f t="shared" si="506"/>
        <v>5.5860717007373992</v>
      </c>
      <c r="W195" s="217">
        <f t="shared" si="507"/>
        <v>3.2730376815867306</v>
      </c>
      <c r="X195" s="197">
        <f t="shared" si="508"/>
        <v>350</v>
      </c>
      <c r="Y195" s="443">
        <f t="shared" si="509"/>
        <v>110.38612713421597</v>
      </c>
      <c r="AA195" s="217">
        <f t="shared" si="510"/>
        <v>1.4839256158334175</v>
      </c>
      <c r="AB195" s="173">
        <f t="shared" si="511"/>
        <v>1.0555842387230612</v>
      </c>
      <c r="AC195" s="173">
        <f t="shared" si="512"/>
        <v>0.27412148601445435</v>
      </c>
      <c r="AD195" s="173"/>
      <c r="AE195" s="173">
        <f t="shared" si="513"/>
        <v>0.9484610526386017</v>
      </c>
      <c r="AF195" s="545">
        <f t="shared" si="514"/>
        <v>1344.2829270142117</v>
      </c>
      <c r="AG195" s="528">
        <f t="shared" si="515"/>
        <v>0.2213075789490071</v>
      </c>
      <c r="AI195" s="173">
        <f t="shared" si="516"/>
        <v>2.6130640551396103</v>
      </c>
      <c r="AJ195" s="173">
        <f t="shared" si="517"/>
        <v>4.6011907710653288</v>
      </c>
      <c r="AK195" s="173">
        <f t="shared" si="518"/>
        <v>3.6206351390607372</v>
      </c>
      <c r="AM195" s="545">
        <f t="shared" si="519"/>
        <v>850</v>
      </c>
      <c r="AN195" s="460">
        <f t="shared" si="520"/>
        <v>110.38612713421597</v>
      </c>
      <c r="AP195">
        <f t="shared" si="521"/>
        <v>850</v>
      </c>
      <c r="AQ195">
        <f t="shared" si="522"/>
        <v>110.38612713421597</v>
      </c>
      <c r="AS195" s="5">
        <f t="shared" si="439"/>
        <v>9.0591093823241273</v>
      </c>
      <c r="AT195" s="5">
        <f t="shared" si="523"/>
        <v>5.5860717007373992</v>
      </c>
      <c r="AU195" s="5">
        <f t="shared" si="478"/>
        <v>3.4730376815867281</v>
      </c>
      <c r="AV195" s="5"/>
      <c r="AW195" s="173">
        <f t="shared" si="479"/>
        <v>0.61662482093844473</v>
      </c>
      <c r="AX195" s="173">
        <f t="shared" si="435"/>
        <v>14.021879382345187</v>
      </c>
      <c r="AY195" s="173">
        <f t="shared" si="436"/>
        <v>0.88199116787677301</v>
      </c>
      <c r="AZ195" s="173">
        <f t="shared" si="440"/>
        <v>15.897981627299297</v>
      </c>
      <c r="BA195" s="460">
        <f t="shared" si="594"/>
        <v>28.952200887968232</v>
      </c>
      <c r="BB195" s="5">
        <f t="shared" si="595"/>
        <v>4.0817466295304605</v>
      </c>
      <c r="BD195" s="173">
        <f t="shared" si="441"/>
        <v>2.086027905545631</v>
      </c>
      <c r="BE195" s="173">
        <f t="shared" si="437"/>
        <v>1.6448322349702291</v>
      </c>
      <c r="BG195" s="528">
        <f t="shared" si="480"/>
        <v>8.7030248454301837E-2</v>
      </c>
      <c r="BH195" s="528">
        <f t="shared" si="524"/>
        <v>0.25478276561381907</v>
      </c>
      <c r="BI195" s="528">
        <f t="shared" si="525"/>
        <v>2.7277180994108148E-2</v>
      </c>
      <c r="BJ195" s="528">
        <f t="shared" si="481"/>
        <v>7.9010093232357772E-3</v>
      </c>
      <c r="BK195">
        <f t="shared" si="482"/>
        <v>4.4479253928074143E-3</v>
      </c>
      <c r="BL195" s="460">
        <f t="shared" si="588"/>
        <v>31.725106386915567</v>
      </c>
      <c r="BM195" s="528">
        <f t="shared" si="526"/>
        <v>0.38109257013456316</v>
      </c>
      <c r="BN195" s="460">
        <f t="shared" si="527"/>
        <v>381.09257013456318</v>
      </c>
      <c r="BO195" s="528">
        <f t="shared" si="483"/>
        <v>0.59499999999999997</v>
      </c>
      <c r="BR195" s="460">
        <f t="shared" si="484"/>
        <v>595</v>
      </c>
      <c r="BS195" s="528">
        <f t="shared" si="485"/>
        <v>0.13054537268145275</v>
      </c>
      <c r="BT195" s="528">
        <f t="shared" si="486"/>
        <v>8.1164192435914773E-2</v>
      </c>
      <c r="BU195" s="528">
        <f t="shared" si="487"/>
        <v>0.29069117387251958</v>
      </c>
      <c r="BV195" s="528"/>
      <c r="BW195" s="528">
        <f t="shared" si="488"/>
        <v>1.1684899485287654E-2</v>
      </c>
      <c r="BX195" s="460">
        <f t="shared" si="489"/>
        <v>514.08563847517473</v>
      </c>
      <c r="BY195" s="173">
        <f t="shared" si="490"/>
        <v>1.4905247682534468</v>
      </c>
      <c r="BZ195" s="5">
        <f t="shared" si="491"/>
        <v>13.939999999999998</v>
      </c>
      <c r="CA195" s="173">
        <f t="shared" si="492"/>
        <v>0.90340414272105429</v>
      </c>
      <c r="CB195" s="5">
        <f t="shared" si="493"/>
        <v>90.340414272105434</v>
      </c>
      <c r="CE195" s="562">
        <f t="shared" si="528"/>
        <v>-50</v>
      </c>
      <c r="CF195">
        <f t="shared" si="529"/>
        <v>-50</v>
      </c>
      <c r="CG195" s="173">
        <f t="shared" si="530"/>
        <v>0.36726153169568343</v>
      </c>
      <c r="CI195" s="170">
        <v>85</v>
      </c>
      <c r="CJ195" s="217">
        <f t="shared" si="589"/>
        <v>0.85</v>
      </c>
      <c r="CK195" s="217"/>
      <c r="CL195" s="217">
        <f t="shared" si="531"/>
        <v>13.939999999999998</v>
      </c>
      <c r="CM195" s="541">
        <f t="shared" si="532"/>
        <v>10</v>
      </c>
      <c r="CN195" s="443">
        <f t="shared" si="533"/>
        <v>16.799999999999997</v>
      </c>
      <c r="CO195" s="443">
        <f t="shared" si="534"/>
        <v>26.799999999999997</v>
      </c>
      <c r="CP195" s="443"/>
      <c r="CQ195" s="217">
        <f t="shared" si="535"/>
        <v>0.62686567164179097</v>
      </c>
      <c r="CR195" s="172">
        <f t="shared" si="590"/>
        <v>20.973880597014926</v>
      </c>
      <c r="CS195" s="172">
        <f t="shared" si="536"/>
        <v>13.939999999999998</v>
      </c>
      <c r="CT195" s="217">
        <f t="shared" si="537"/>
        <v>1.2788951583545687</v>
      </c>
      <c r="CU195" s="217">
        <f t="shared" si="538"/>
        <v>16.399999999999999</v>
      </c>
      <c r="CV195" s="217"/>
      <c r="CW195" s="172">
        <f t="shared" si="539"/>
        <v>29.350139425896323</v>
      </c>
      <c r="CX195" s="536">
        <f t="shared" si="540"/>
        <v>16.399999999999999</v>
      </c>
      <c r="CY195" s="217">
        <f t="shared" si="541"/>
        <v>4.4475238095238092</v>
      </c>
      <c r="CZ195" s="217">
        <f t="shared" si="542"/>
        <v>5.3370285714285712</v>
      </c>
      <c r="DA195" s="217">
        <f t="shared" si="543"/>
        <v>3.1768027210884355</v>
      </c>
      <c r="DB195" s="197">
        <f t="shared" si="544"/>
        <v>350</v>
      </c>
      <c r="DC195" s="443">
        <f t="shared" si="545"/>
        <v>117.45593325051223</v>
      </c>
      <c r="DE195" s="217">
        <f t="shared" si="546"/>
        <v>1.4925373134328355</v>
      </c>
      <c r="DF195" s="173">
        <f t="shared" si="547"/>
        <v>1.0660980810234544</v>
      </c>
      <c r="DG195" s="173">
        <f t="shared" si="548"/>
        <v>0.27845845399866342</v>
      </c>
      <c r="DH195" s="173"/>
      <c r="DI195" s="173">
        <f t="shared" si="549"/>
        <v>0.95238095238095266</v>
      </c>
      <c r="DJ195" s="545">
        <f t="shared" si="550"/>
        <v>1338.7499999999993</v>
      </c>
      <c r="DK195" s="528">
        <f t="shared" si="551"/>
        <v>0.22222222222222232</v>
      </c>
      <c r="DM195" s="173">
        <f t="shared" si="552"/>
        <v>2.607680962081059</v>
      </c>
      <c r="DN195" s="173">
        <f t="shared" si="553"/>
        <v>4.4475238095238092</v>
      </c>
      <c r="DO195" s="173">
        <f t="shared" si="554"/>
        <v>3.5068077601410934</v>
      </c>
      <c r="DQ195" s="545">
        <f t="shared" si="555"/>
        <v>850</v>
      </c>
      <c r="DR195" s="460">
        <f t="shared" si="556"/>
        <v>117.45593325051223</v>
      </c>
      <c r="DT195">
        <f t="shared" si="591"/>
        <v>850</v>
      </c>
      <c r="DU195">
        <f t="shared" si="592"/>
        <v>117.45593325051223</v>
      </c>
      <c r="DW195" s="5">
        <f t="shared" si="557"/>
        <v>8.5138312925170077</v>
      </c>
      <c r="DX195" s="5">
        <f t="shared" si="558"/>
        <v>5.3370285714285712</v>
      </c>
      <c r="DY195" s="5">
        <f t="shared" si="559"/>
        <v>3.1768027210884364</v>
      </c>
      <c r="DZ195" s="5"/>
      <c r="EA195" s="173">
        <f t="shared" si="560"/>
        <v>0.62686567164179097</v>
      </c>
      <c r="EB195" s="173">
        <f t="shared" si="561"/>
        <v>13.939999999999998</v>
      </c>
      <c r="EC195" s="173">
        <f t="shared" si="562"/>
        <v>0.82976190476190492</v>
      </c>
      <c r="ED195" s="173">
        <f t="shared" si="563"/>
        <v>16.799999999999994</v>
      </c>
      <c r="EE195" s="460">
        <f t="shared" si="564"/>
        <v>27.661428571428573</v>
      </c>
      <c r="EF195" s="5">
        <f t="shared" si="565"/>
        <v>3.6903858276643993</v>
      </c>
      <c r="EH195" s="173">
        <f t="shared" si="566"/>
        <v>2.0330352006259327</v>
      </c>
      <c r="EI195" s="173">
        <f t="shared" si="567"/>
        <v>1.5685207102371752</v>
      </c>
      <c r="EK195" s="528">
        <f t="shared" si="568"/>
        <v>8.2664642539682531E-2</v>
      </c>
      <c r="EL195" s="528">
        <f t="shared" si="569"/>
        <v>0.27999999999999992</v>
      </c>
      <c r="EM195" s="528">
        <f t="shared" si="570"/>
        <v>1.4681991656314028E-2</v>
      </c>
      <c r="EN195" s="528">
        <f t="shared" si="571"/>
        <v>8.4361549497847885E-3</v>
      </c>
      <c r="EO195">
        <f t="shared" si="572"/>
        <v>4.4999999999999997E-3</v>
      </c>
      <c r="EP195" s="460">
        <f t="shared" si="573"/>
        <v>19.181991656314025</v>
      </c>
      <c r="EQ195" s="460"/>
      <c r="ER195" s="460">
        <f t="shared" si="593"/>
        <v>390.28278914578124</v>
      </c>
      <c r="ES195" s="528">
        <f t="shared" si="574"/>
        <v>0.59499999999999997</v>
      </c>
      <c r="EV195" s="460">
        <f t="shared" si="494"/>
        <v>595</v>
      </c>
      <c r="EW195" s="528">
        <f t="shared" si="575"/>
        <v>0.1239969638095238</v>
      </c>
      <c r="EX195" s="528">
        <f t="shared" si="576"/>
        <v>7.380771655328798E-2</v>
      </c>
      <c r="EY195" s="528">
        <f t="shared" si="577"/>
        <v>0.31185528502698301</v>
      </c>
      <c r="EZ195" s="528"/>
      <c r="FA195" s="528">
        <f t="shared" si="578"/>
        <v>1.1616666666666666E-2</v>
      </c>
      <c r="FB195" s="460">
        <f t="shared" si="579"/>
        <v>521.27663205646161</v>
      </c>
      <c r="FC195" s="173">
        <f t="shared" si="580"/>
        <v>1.5065594212022424</v>
      </c>
      <c r="FD195" s="5">
        <f t="shared" si="581"/>
        <v>13.939999999999998</v>
      </c>
      <c r="FE195" s="173">
        <f t="shared" si="582"/>
        <v>0.90246634346712118</v>
      </c>
      <c r="FF195" s="5">
        <f t="shared" si="583"/>
        <v>90.246634346712113</v>
      </c>
      <c r="FI195" s="562">
        <f t="shared" si="584"/>
        <v>-50</v>
      </c>
      <c r="FJ195">
        <f t="shared" si="585"/>
        <v>-50</v>
      </c>
      <c r="FL195">
        <f t="shared" si="586"/>
        <v>0.37313432835820903</v>
      </c>
    </row>
    <row r="196" spans="5:168">
      <c r="E196" s="170">
        <v>86</v>
      </c>
      <c r="F196" s="217">
        <f t="shared" si="587"/>
        <v>0.86</v>
      </c>
      <c r="G196" s="217"/>
      <c r="H196" s="217">
        <f t="shared" si="495"/>
        <v>14.103999999999999</v>
      </c>
      <c r="I196" s="541">
        <f t="shared" si="496"/>
        <v>9.8829389892805093</v>
      </c>
      <c r="J196" s="172">
        <f t="shared" si="497"/>
        <v>16.870236606431693</v>
      </c>
      <c r="K196" s="172">
        <f t="shared" si="498"/>
        <v>26.7531755957122</v>
      </c>
      <c r="L196" s="443"/>
      <c r="M196" s="217">
        <f t="shared" si="499"/>
        <v>0.63057310366297159</v>
      </c>
      <c r="N196" s="172">
        <f t="shared" si="500"/>
        <v>20.850950649838623</v>
      </c>
      <c r="O196" s="172">
        <f t="shared" si="438"/>
        <v>14.103999999999999</v>
      </c>
      <c r="P196" s="217">
        <f t="shared" si="501"/>
        <v>1.2713994298682088</v>
      </c>
      <c r="Q196" s="217">
        <f t="shared" si="502"/>
        <v>16.399999999999999</v>
      </c>
      <c r="R196" s="217"/>
      <c r="S196" s="172">
        <f t="shared" si="503"/>
        <v>28.559532969036255</v>
      </c>
      <c r="T196" s="536">
        <f t="shared" si="504"/>
        <v>16.399999999999999</v>
      </c>
      <c r="U196" s="217">
        <f t="shared" si="505"/>
        <v>4.6558602447582578</v>
      </c>
      <c r="V196" s="217">
        <f t="shared" si="506"/>
        <v>5.6532093335493228</v>
      </c>
      <c r="W196" s="217">
        <f t="shared" si="507"/>
        <v>3.3117687819386488</v>
      </c>
      <c r="X196" s="197">
        <f t="shared" si="508"/>
        <v>350</v>
      </c>
      <c r="Y196" s="443">
        <f t="shared" si="509"/>
        <v>109.11100794775406</v>
      </c>
      <c r="AA196" s="217">
        <f t="shared" si="510"/>
        <v>1.4838249096431155</v>
      </c>
      <c r="AB196" s="173">
        <f t="shared" si="511"/>
        <v>1.055462310998589</v>
      </c>
      <c r="AC196" s="173">
        <f t="shared" si="512"/>
        <v>0.27407122194360917</v>
      </c>
      <c r="AD196" s="173"/>
      <c r="AE196" s="173">
        <f t="shared" si="513"/>
        <v>0.94841586240112863</v>
      </c>
      <c r="AF196" s="545">
        <f t="shared" si="514"/>
        <v>1360.1628263935547</v>
      </c>
      <c r="AG196" s="528">
        <f t="shared" si="515"/>
        <v>0.22129703456026337</v>
      </c>
      <c r="AI196" s="173">
        <f t="shared" si="516"/>
        <v>2.6284526936267905</v>
      </c>
      <c r="AJ196" s="173">
        <f t="shared" si="517"/>
        <v>4.6558602447582578</v>
      </c>
      <c r="AK196" s="173">
        <f t="shared" si="518"/>
        <v>3.6611310454999435</v>
      </c>
      <c r="AM196" s="545">
        <f t="shared" si="519"/>
        <v>860</v>
      </c>
      <c r="AN196" s="460">
        <f t="shared" si="520"/>
        <v>109.11100794775406</v>
      </c>
      <c r="AP196">
        <f t="shared" si="521"/>
        <v>860</v>
      </c>
      <c r="AQ196">
        <f t="shared" si="522"/>
        <v>109.11100794775406</v>
      </c>
      <c r="AS196" s="5">
        <f t="shared" si="439"/>
        <v>9.1649781154879708</v>
      </c>
      <c r="AT196" s="5">
        <f t="shared" si="523"/>
        <v>5.6532093335493228</v>
      </c>
      <c r="AU196" s="5">
        <f t="shared" si="478"/>
        <v>3.5117687819386481</v>
      </c>
      <c r="AV196" s="5"/>
      <c r="AW196" s="173">
        <f t="shared" si="479"/>
        <v>0.61682736852321762</v>
      </c>
      <c r="AX196" s="173">
        <f t="shared" si="435"/>
        <v>14.191218579401664</v>
      </c>
      <c r="AY196" s="173">
        <f t="shared" si="436"/>
        <v>0.89199911088607886</v>
      </c>
      <c r="AZ196" s="173">
        <f t="shared" si="440"/>
        <v>15.909453727262836</v>
      </c>
      <c r="BA196" s="460">
        <f t="shared" si="594"/>
        <v>29.644878212514744</v>
      </c>
      <c r="BB196" s="5">
        <f t="shared" si="595"/>
        <v>4.1763881299366172</v>
      </c>
      <c r="BD196" s="173">
        <f t="shared" si="441"/>
        <v>2.1111598882487961</v>
      </c>
      <c r="BE196" s="173">
        <f t="shared" si="437"/>
        <v>1.6639357356849667</v>
      </c>
      <c r="BG196" s="528">
        <f t="shared" si="480"/>
        <v>8.9139921475013373E-2</v>
      </c>
      <c r="BH196" s="528">
        <f t="shared" si="524"/>
        <v>0.25482680872408447</v>
      </c>
      <c r="BI196" s="528">
        <f t="shared" si="525"/>
        <v>2.6958435865163853E-2</v>
      </c>
      <c r="BJ196" s="528">
        <f t="shared" si="481"/>
        <v>7.8094284070955831E-3</v>
      </c>
      <c r="BK196">
        <f t="shared" si="482"/>
        <v>4.4473225451762289E-3</v>
      </c>
      <c r="BL196" s="460">
        <f t="shared" si="588"/>
        <v>31.405758410340081</v>
      </c>
      <c r="BM196" s="528">
        <f t="shared" si="526"/>
        <v>0.38397642183886221</v>
      </c>
      <c r="BN196" s="460">
        <f t="shared" si="527"/>
        <v>383.97642183886222</v>
      </c>
      <c r="BO196" s="528">
        <f t="shared" si="483"/>
        <v>0.60199999999999998</v>
      </c>
      <c r="BR196" s="460">
        <f t="shared" si="484"/>
        <v>602</v>
      </c>
      <c r="BS196" s="528">
        <f t="shared" si="485"/>
        <v>0.13370988221252006</v>
      </c>
      <c r="BT196" s="528">
        <f t="shared" si="486"/>
        <v>8.3060463974684126E-2</v>
      </c>
      <c r="BU196" s="528">
        <f t="shared" si="487"/>
        <v>0.29083137906308082</v>
      </c>
      <c r="BV196" s="528"/>
      <c r="BW196" s="528">
        <f t="shared" si="488"/>
        <v>1.1826015482834721E-2</v>
      </c>
      <c r="BX196" s="460">
        <f t="shared" si="489"/>
        <v>519.42774073311966</v>
      </c>
      <c r="BY196" s="173">
        <f t="shared" si="490"/>
        <v>1.5046096577496531</v>
      </c>
      <c r="BZ196" s="5">
        <f t="shared" si="491"/>
        <v>14.103999999999999</v>
      </c>
      <c r="CA196" s="173">
        <f t="shared" si="492"/>
        <v>0.90360386410184745</v>
      </c>
      <c r="CB196" s="5">
        <f t="shared" si="493"/>
        <v>90.360386410184745</v>
      </c>
      <c r="CE196" s="562">
        <f t="shared" si="528"/>
        <v>-50</v>
      </c>
      <c r="CF196">
        <f t="shared" si="529"/>
        <v>-50</v>
      </c>
      <c r="CG196" s="173">
        <f t="shared" si="530"/>
        <v>0.36732982002896858</v>
      </c>
      <c r="CI196" s="170">
        <v>86</v>
      </c>
      <c r="CJ196" s="217">
        <f t="shared" si="589"/>
        <v>0.86</v>
      </c>
      <c r="CK196" s="217"/>
      <c r="CL196" s="217">
        <f t="shared" si="531"/>
        <v>14.103999999999999</v>
      </c>
      <c r="CM196" s="541">
        <f t="shared" si="532"/>
        <v>10</v>
      </c>
      <c r="CN196" s="443">
        <f t="shared" si="533"/>
        <v>16.799999999999997</v>
      </c>
      <c r="CO196" s="443">
        <f t="shared" si="534"/>
        <v>26.799999999999997</v>
      </c>
      <c r="CP196" s="443"/>
      <c r="CQ196" s="217">
        <f t="shared" si="535"/>
        <v>0.62686567164179097</v>
      </c>
      <c r="CR196" s="172">
        <f t="shared" si="590"/>
        <v>20.973880597014926</v>
      </c>
      <c r="CS196" s="172">
        <f t="shared" si="536"/>
        <v>14.103999999999999</v>
      </c>
      <c r="CT196" s="217">
        <f t="shared" si="537"/>
        <v>1.2788951583545687</v>
      </c>
      <c r="CU196" s="217">
        <f t="shared" si="538"/>
        <v>16.399999999999999</v>
      </c>
      <c r="CV196" s="217"/>
      <c r="CW196" s="172">
        <f t="shared" si="539"/>
        <v>28.896226279139238</v>
      </c>
      <c r="CX196" s="536">
        <f t="shared" si="540"/>
        <v>16.399999999999999</v>
      </c>
      <c r="CY196" s="217">
        <f t="shared" si="541"/>
        <v>4.4998476190476193</v>
      </c>
      <c r="CZ196" s="217">
        <f t="shared" si="542"/>
        <v>5.3998171428571435</v>
      </c>
      <c r="DA196" s="217">
        <f t="shared" si="543"/>
        <v>3.2141768707483003</v>
      </c>
      <c r="DB196" s="197">
        <f t="shared" si="544"/>
        <v>350</v>
      </c>
      <c r="DC196" s="443">
        <f t="shared" si="545"/>
        <v>116.0901665848086</v>
      </c>
      <c r="DE196" s="217">
        <f t="shared" si="546"/>
        <v>1.4925373134328355</v>
      </c>
      <c r="DF196" s="173">
        <f t="shared" si="547"/>
        <v>1.0660980810234544</v>
      </c>
      <c r="DG196" s="173">
        <f t="shared" si="548"/>
        <v>0.27845845399866342</v>
      </c>
      <c r="DH196" s="173"/>
      <c r="DI196" s="173">
        <f t="shared" si="549"/>
        <v>0.95238095238095266</v>
      </c>
      <c r="DJ196" s="545">
        <f t="shared" si="550"/>
        <v>1354.4999999999995</v>
      </c>
      <c r="DK196" s="528">
        <f t="shared" si="551"/>
        <v>0.22222222222222232</v>
      </c>
      <c r="DM196" s="173">
        <f t="shared" si="552"/>
        <v>2.6229754097207998</v>
      </c>
      <c r="DN196" s="173">
        <f t="shared" si="553"/>
        <v>4.4998476190476193</v>
      </c>
      <c r="DO196" s="173">
        <f t="shared" si="554"/>
        <v>3.5455661375661371</v>
      </c>
      <c r="DQ196" s="545">
        <f t="shared" si="555"/>
        <v>860</v>
      </c>
      <c r="DR196" s="460">
        <f t="shared" si="556"/>
        <v>116.0901665848086</v>
      </c>
      <c r="DT196">
        <f t="shared" si="591"/>
        <v>860</v>
      </c>
      <c r="DU196">
        <f t="shared" si="592"/>
        <v>116.0901665848086</v>
      </c>
      <c r="DW196" s="5">
        <f t="shared" si="557"/>
        <v>8.6139940136054438</v>
      </c>
      <c r="DX196" s="5">
        <f t="shared" si="558"/>
        <v>5.3998171428571435</v>
      </c>
      <c r="DY196" s="5">
        <f t="shared" si="559"/>
        <v>3.2141768707483003</v>
      </c>
      <c r="DZ196" s="5"/>
      <c r="EA196" s="173">
        <f t="shared" si="560"/>
        <v>0.62686567164179097</v>
      </c>
      <c r="EB196" s="173">
        <f t="shared" si="561"/>
        <v>14.104000000000001</v>
      </c>
      <c r="EC196" s="173">
        <f t="shared" si="562"/>
        <v>0.83952380952380978</v>
      </c>
      <c r="ED196" s="173">
        <f t="shared" si="563"/>
        <v>16.799999999999997</v>
      </c>
      <c r="EE196" s="460">
        <f t="shared" si="564"/>
        <v>28.316114285714292</v>
      </c>
      <c r="EF196" s="5">
        <f t="shared" si="565"/>
        <v>3.7777292154195017</v>
      </c>
      <c r="EH196" s="173">
        <f t="shared" si="566"/>
        <v>2.0569532618097672</v>
      </c>
      <c r="EI196" s="173">
        <f t="shared" si="567"/>
        <v>1.5869738950634953</v>
      </c>
      <c r="EK196" s="528">
        <f t="shared" si="568"/>
        <v>8.4621134425396816E-2</v>
      </c>
      <c r="EL196" s="528">
        <f t="shared" si="569"/>
        <v>0.27999999999999992</v>
      </c>
      <c r="EM196" s="528">
        <f t="shared" si="570"/>
        <v>1.4511270823101073E-2</v>
      </c>
      <c r="EN196" s="528">
        <f t="shared" si="571"/>
        <v>8.3380601247872929E-3</v>
      </c>
      <c r="EO196">
        <f t="shared" si="572"/>
        <v>4.4999999999999997E-3</v>
      </c>
      <c r="EP196" s="460">
        <f t="shared" si="573"/>
        <v>19.011270823101075</v>
      </c>
      <c r="EQ196" s="460"/>
      <c r="ER196" s="460">
        <f t="shared" si="593"/>
        <v>391.97046537328504</v>
      </c>
      <c r="ES196" s="528">
        <f t="shared" si="574"/>
        <v>0.60199999999999998</v>
      </c>
      <c r="EV196" s="460">
        <f t="shared" si="494"/>
        <v>602</v>
      </c>
      <c r="EW196" s="528">
        <f t="shared" si="575"/>
        <v>0.12693170163809522</v>
      </c>
      <c r="EX196" s="528">
        <f t="shared" si="576"/>
        <v>7.5554584308390044E-2</v>
      </c>
      <c r="EY196" s="528">
        <f t="shared" si="577"/>
        <v>0.3118552850269824</v>
      </c>
      <c r="EZ196" s="528"/>
      <c r="FA196" s="528">
        <f t="shared" si="578"/>
        <v>1.1753333333333333E-2</v>
      </c>
      <c r="FB196" s="460">
        <f t="shared" si="579"/>
        <v>526.09490430680091</v>
      </c>
      <c r="FC196" s="173">
        <f t="shared" si="580"/>
        <v>1.5200653696800861</v>
      </c>
      <c r="FD196" s="5">
        <f t="shared" si="581"/>
        <v>14.103999999999999</v>
      </c>
      <c r="FE196" s="173">
        <f t="shared" si="582"/>
        <v>0.90270999680851882</v>
      </c>
      <c r="FF196" s="5">
        <f t="shared" si="583"/>
        <v>90.270999680851887</v>
      </c>
      <c r="FI196" s="562">
        <f t="shared" si="584"/>
        <v>-50</v>
      </c>
      <c r="FJ196">
        <f t="shared" si="585"/>
        <v>-50</v>
      </c>
      <c r="FL196">
        <f t="shared" si="586"/>
        <v>0.37313432835820903</v>
      </c>
    </row>
    <row r="197" spans="5:168">
      <c r="E197" s="170">
        <v>87</v>
      </c>
      <c r="F197" s="217">
        <f t="shared" si="587"/>
        <v>0.87</v>
      </c>
      <c r="G197" s="217"/>
      <c r="H197" s="217">
        <f t="shared" si="495"/>
        <v>14.267999999999999</v>
      </c>
      <c r="I197" s="541">
        <f t="shared" si="496"/>
        <v>9.8815993199724623</v>
      </c>
      <c r="J197" s="172">
        <f t="shared" si="497"/>
        <v>16.871040408016519</v>
      </c>
      <c r="K197" s="172">
        <f t="shared" si="498"/>
        <v>26.752639727988981</v>
      </c>
      <c r="L197" s="443"/>
      <c r="M197" s="217">
        <f t="shared" si="499"/>
        <v>0.630615784508474</v>
      </c>
      <c r="N197" s="172">
        <f t="shared" si="500"/>
        <v>20.849535347551495</v>
      </c>
      <c r="O197" s="172">
        <f t="shared" si="438"/>
        <v>14.267999999999999</v>
      </c>
      <c r="P197" s="217">
        <f t="shared" si="501"/>
        <v>1.2713131309482619</v>
      </c>
      <c r="Q197" s="217">
        <f t="shared" si="502"/>
        <v>16.399999999999999</v>
      </c>
      <c r="R197" s="217"/>
      <c r="S197" s="172">
        <f t="shared" si="503"/>
        <v>28.117538292452455</v>
      </c>
      <c r="T197" s="536">
        <f t="shared" si="504"/>
        <v>16.399999999999999</v>
      </c>
      <c r="U197" s="217">
        <f t="shared" si="505"/>
        <v>4.7105423757337492</v>
      </c>
      <c r="V197" s="217">
        <f t="shared" si="506"/>
        <v>5.7203805455413379</v>
      </c>
      <c r="W197" s="217">
        <f t="shared" si="507"/>
        <v>3.3505051936183854</v>
      </c>
      <c r="X197" s="197">
        <f t="shared" si="508"/>
        <v>350</v>
      </c>
      <c r="Y197" s="443">
        <f t="shared" si="509"/>
        <v>107.86455880650688</v>
      </c>
      <c r="AA197" s="217">
        <f t="shared" si="510"/>
        <v>1.4837241796569209</v>
      </c>
      <c r="AB197" s="173">
        <f t="shared" si="511"/>
        <v>1.0553403776700634</v>
      </c>
      <c r="AC197" s="173">
        <f t="shared" si="512"/>
        <v>0.27402095632053447</v>
      </c>
      <c r="AD197" s="173"/>
      <c r="AE197" s="173">
        <f t="shared" si="513"/>
        <v>0.94837067620307347</v>
      </c>
      <c r="AF197" s="545">
        <f t="shared" si="514"/>
        <v>1376.0442332788468</v>
      </c>
      <c r="AG197" s="528">
        <f t="shared" si="515"/>
        <v>0.22128649111405049</v>
      </c>
      <c r="AI197" s="173">
        <f t="shared" si="516"/>
        <v>2.6437532082587194</v>
      </c>
      <c r="AJ197" s="173">
        <f t="shared" si="517"/>
        <v>4.7105423757337492</v>
      </c>
      <c r="AK197" s="173">
        <f t="shared" si="518"/>
        <v>3.7016363277040112</v>
      </c>
      <c r="AM197" s="545">
        <f t="shared" si="519"/>
        <v>870</v>
      </c>
      <c r="AN197" s="460">
        <f t="shared" si="520"/>
        <v>107.86455880650688</v>
      </c>
      <c r="AP197">
        <f t="shared" si="521"/>
        <v>870</v>
      </c>
      <c r="AQ197">
        <f t="shared" si="522"/>
        <v>107.86455880650688</v>
      </c>
      <c r="AS197" s="5">
        <f t="shared" si="439"/>
        <v>9.2708857391597235</v>
      </c>
      <c r="AT197" s="5">
        <f t="shared" si="523"/>
        <v>5.7203805455413379</v>
      </c>
      <c r="AU197" s="5">
        <f t="shared" si="478"/>
        <v>3.5505051936183856</v>
      </c>
      <c r="AV197" s="5"/>
      <c r="AW197" s="173">
        <f t="shared" si="479"/>
        <v>0.61702632375014155</v>
      </c>
      <c r="AX197" s="173">
        <f t="shared" ref="AX197:AX210" si="596">0.5*L*AJ197^2*AN197*1000</f>
        <v>14.360575740799387</v>
      </c>
      <c r="AY197" s="173">
        <f t="shared" ref="AY197:AY210" si="597">AJ197*Nps/2*(1-AW197)</f>
        <v>0.90200686538274799</v>
      </c>
      <c r="AZ197" s="173">
        <f t="shared" si="440"/>
        <v>15.920694500153026</v>
      </c>
      <c r="BA197" s="460">
        <f t="shared" si="594"/>
        <v>30.345921186713198</v>
      </c>
      <c r="BB197" s="5">
        <f t="shared" si="595"/>
        <v>4.2721330206940875</v>
      </c>
      <c r="BD197" s="173">
        <f t="shared" si="441"/>
        <v>2.1362994756047158</v>
      </c>
      <c r="BE197" s="173">
        <f t="shared" ref="BE197:BE210" si="598">AJ197*Nps*SQRT((1-AW197)/3)</f>
        <v>1.6830412081681585</v>
      </c>
      <c r="BG197" s="528">
        <f t="shared" si="480"/>
        <v>9.1275508989379667E-2</v>
      </c>
      <c r="BH197" s="528">
        <f t="shared" si="524"/>
        <v>0.25486934308457765</v>
      </c>
      <c r="BI197" s="528">
        <f t="shared" si="525"/>
        <v>2.6646858773787696E-2</v>
      </c>
      <c r="BJ197" s="528">
        <f t="shared" si="481"/>
        <v>7.7199067333176188E-3</v>
      </c>
      <c r="BK197">
        <f t="shared" si="482"/>
        <v>4.4467196939876079E-3</v>
      </c>
      <c r="BL197" s="460">
        <f t="shared" si="588"/>
        <v>31.093578467775306</v>
      </c>
      <c r="BM197" s="528">
        <f t="shared" si="526"/>
        <v>0.38689986723113157</v>
      </c>
      <c r="BN197" s="460">
        <f t="shared" si="527"/>
        <v>386.89986723113157</v>
      </c>
      <c r="BO197" s="528">
        <f t="shared" si="483"/>
        <v>0.60899999999999999</v>
      </c>
      <c r="BR197" s="460">
        <f t="shared" si="484"/>
        <v>609</v>
      </c>
      <c r="BS197" s="528">
        <f t="shared" si="485"/>
        <v>0.13691326348406949</v>
      </c>
      <c r="BT197" s="528">
        <f t="shared" si="486"/>
        <v>8.4978831251764045E-2</v>
      </c>
      <c r="BU197" s="528">
        <f t="shared" si="487"/>
        <v>0.2909673244084291</v>
      </c>
      <c r="BV197" s="528"/>
      <c r="BW197" s="528">
        <f t="shared" si="488"/>
        <v>1.1967146450666157E-2</v>
      </c>
      <c r="BX197" s="460">
        <f t="shared" si="489"/>
        <v>524.82656559492875</v>
      </c>
      <c r="BY197" s="173">
        <f t="shared" si="490"/>
        <v>1.5187849028699789</v>
      </c>
      <c r="BZ197" s="5">
        <f t="shared" si="491"/>
        <v>14.267999999999999</v>
      </c>
      <c r="CA197" s="173">
        <f t="shared" si="492"/>
        <v>0.90379390659881165</v>
      </c>
      <c r="CB197" s="5">
        <f t="shared" si="493"/>
        <v>90.379390659881167</v>
      </c>
      <c r="CE197" s="562">
        <f t="shared" si="528"/>
        <v>-50</v>
      </c>
      <c r="CF197">
        <f t="shared" si="529"/>
        <v>-50</v>
      </c>
      <c r="CG197" s="173">
        <f t="shared" si="530"/>
        <v>0.36739653851551157</v>
      </c>
      <c r="CI197" s="170">
        <v>87</v>
      </c>
      <c r="CJ197" s="217">
        <f t="shared" si="589"/>
        <v>0.87</v>
      </c>
      <c r="CK197" s="217"/>
      <c r="CL197" s="217">
        <f t="shared" si="531"/>
        <v>14.267999999999999</v>
      </c>
      <c r="CM197" s="541">
        <f t="shared" si="532"/>
        <v>10</v>
      </c>
      <c r="CN197" s="443">
        <f t="shared" si="533"/>
        <v>16.799999999999997</v>
      </c>
      <c r="CO197" s="443">
        <f t="shared" si="534"/>
        <v>26.799999999999997</v>
      </c>
      <c r="CP197" s="443"/>
      <c r="CQ197" s="217">
        <f t="shared" si="535"/>
        <v>0.62686567164179097</v>
      </c>
      <c r="CR197" s="172">
        <f t="shared" si="590"/>
        <v>20.973880597014926</v>
      </c>
      <c r="CS197" s="172">
        <f t="shared" si="536"/>
        <v>14.267999999999999</v>
      </c>
      <c r="CT197" s="217">
        <f t="shared" si="537"/>
        <v>1.2788951583545687</v>
      </c>
      <c r="CU197" s="217">
        <f t="shared" si="538"/>
        <v>16.399999999999999</v>
      </c>
      <c r="CV197" s="217"/>
      <c r="CW197" s="172">
        <f t="shared" si="539"/>
        <v>28.452810917976976</v>
      </c>
      <c r="CX197" s="536">
        <f t="shared" si="540"/>
        <v>16.399999999999999</v>
      </c>
      <c r="CY197" s="217">
        <f t="shared" si="541"/>
        <v>4.5521714285714285</v>
      </c>
      <c r="CZ197" s="217">
        <f t="shared" si="542"/>
        <v>5.462605714285715</v>
      </c>
      <c r="DA197" s="217">
        <f t="shared" si="543"/>
        <v>3.2515510204081641</v>
      </c>
      <c r="DB197" s="197">
        <f t="shared" si="544"/>
        <v>350</v>
      </c>
      <c r="DC197" s="443">
        <f t="shared" si="545"/>
        <v>114.75579685394872</v>
      </c>
      <c r="DE197" s="217">
        <f t="shared" si="546"/>
        <v>1.4925373134328355</v>
      </c>
      <c r="DF197" s="173">
        <f t="shared" si="547"/>
        <v>1.0660980810234544</v>
      </c>
      <c r="DG197" s="173">
        <f t="shared" si="548"/>
        <v>0.27845845399866342</v>
      </c>
      <c r="DH197" s="173"/>
      <c r="DI197" s="173">
        <f t="shared" si="549"/>
        <v>0.95238095238095266</v>
      </c>
      <c r="DJ197" s="545">
        <f t="shared" si="550"/>
        <v>1370.2499999999995</v>
      </c>
      <c r="DK197" s="528">
        <f t="shared" si="551"/>
        <v>0.22222222222222232</v>
      </c>
      <c r="DM197" s="173">
        <f t="shared" si="552"/>
        <v>2.6381811916545836</v>
      </c>
      <c r="DN197" s="173">
        <f t="shared" si="553"/>
        <v>4.5521714285714285</v>
      </c>
      <c r="DO197" s="173">
        <f t="shared" si="554"/>
        <v>3.5843245149911809</v>
      </c>
      <c r="DQ197" s="545">
        <f t="shared" si="555"/>
        <v>870</v>
      </c>
      <c r="DR197" s="460">
        <f t="shared" si="556"/>
        <v>114.75579685394872</v>
      </c>
      <c r="DT197">
        <f t="shared" si="591"/>
        <v>870</v>
      </c>
      <c r="DU197">
        <f t="shared" si="592"/>
        <v>114.75579685394872</v>
      </c>
      <c r="DW197" s="5">
        <f t="shared" si="557"/>
        <v>8.71415673469388</v>
      </c>
      <c r="DX197" s="5">
        <f t="shared" si="558"/>
        <v>5.462605714285715</v>
      </c>
      <c r="DY197" s="5">
        <f t="shared" si="559"/>
        <v>3.251551020408165</v>
      </c>
      <c r="DZ197" s="5"/>
      <c r="EA197" s="173">
        <f t="shared" si="560"/>
        <v>0.62686567164179097</v>
      </c>
      <c r="EB197" s="173">
        <f t="shared" si="561"/>
        <v>14.267999999999994</v>
      </c>
      <c r="EC197" s="173">
        <f t="shared" si="562"/>
        <v>0.84928571428571442</v>
      </c>
      <c r="ED197" s="173">
        <f t="shared" si="563"/>
        <v>16.79999999999999</v>
      </c>
      <c r="EE197" s="460">
        <f t="shared" si="564"/>
        <v>28.978457142857152</v>
      </c>
      <c r="EF197" s="5">
        <f t="shared" si="565"/>
        <v>3.8660941632653074</v>
      </c>
      <c r="EH197" s="173">
        <f t="shared" si="566"/>
        <v>2.0808713229936018</v>
      </c>
      <c r="EI197" s="173">
        <f t="shared" si="567"/>
        <v>1.6054270798898149</v>
      </c>
      <c r="EK197" s="528">
        <f t="shared" si="568"/>
        <v>8.6600509257142855E-2</v>
      </c>
      <c r="EL197" s="528">
        <f t="shared" si="569"/>
        <v>0.27999999999999992</v>
      </c>
      <c r="EM197" s="528">
        <f t="shared" si="570"/>
        <v>1.4344474606743591E-2</v>
      </c>
      <c r="EN197" s="528">
        <f t="shared" si="571"/>
        <v>8.2422203532380132E-3</v>
      </c>
      <c r="EO197">
        <f t="shared" si="572"/>
        <v>4.4999999999999997E-3</v>
      </c>
      <c r="EP197" s="460">
        <f t="shared" si="573"/>
        <v>18.844474606743589</v>
      </c>
      <c r="EQ197" s="460"/>
      <c r="ER197" s="460">
        <f t="shared" si="593"/>
        <v>393.68720421712436</v>
      </c>
      <c r="ES197" s="528">
        <f t="shared" si="574"/>
        <v>0.60899999999999999</v>
      </c>
      <c r="EV197" s="460">
        <f t="shared" si="494"/>
        <v>609</v>
      </c>
      <c r="EW197" s="528">
        <f t="shared" si="575"/>
        <v>0.12990076388571428</v>
      </c>
      <c r="EX197" s="528">
        <f t="shared" si="576"/>
        <v>7.7321883265306132E-2</v>
      </c>
      <c r="EY197" s="528">
        <f t="shared" si="577"/>
        <v>0.31185528502698318</v>
      </c>
      <c r="EZ197" s="528"/>
      <c r="FA197" s="528">
        <f t="shared" si="578"/>
        <v>1.1889999999999996E-2</v>
      </c>
      <c r="FB197" s="460">
        <f t="shared" si="579"/>
        <v>530.96793217800348</v>
      </c>
      <c r="FC197" s="173">
        <f t="shared" si="580"/>
        <v>1.5336551363951281</v>
      </c>
      <c r="FD197" s="5">
        <f t="shared" si="581"/>
        <v>14.267999999999999</v>
      </c>
      <c r="FE197" s="173">
        <f t="shared" si="582"/>
        <v>0.90294338642648009</v>
      </c>
      <c r="FF197" s="5">
        <f t="shared" si="583"/>
        <v>90.294338642648015</v>
      </c>
      <c r="FI197" s="562">
        <f t="shared" si="584"/>
        <v>-50</v>
      </c>
      <c r="FJ197">
        <f t="shared" si="585"/>
        <v>-50</v>
      </c>
      <c r="FL197">
        <f t="shared" si="586"/>
        <v>0.37313432835820903</v>
      </c>
    </row>
    <row r="198" spans="5:168">
      <c r="E198" s="170">
        <v>88</v>
      </c>
      <c r="F198" s="217">
        <f t="shared" si="587"/>
        <v>0.88</v>
      </c>
      <c r="G198" s="217"/>
      <c r="H198" s="217">
        <f t="shared" si="495"/>
        <v>14.431999999999999</v>
      </c>
      <c r="I198" s="541">
        <f t="shared" si="496"/>
        <v>9.8802596430326677</v>
      </c>
      <c r="J198" s="172">
        <f t="shared" si="497"/>
        <v>16.871844214180395</v>
      </c>
      <c r="K198" s="172">
        <f t="shared" si="498"/>
        <v>26.752103857213065</v>
      </c>
      <c r="L198" s="443"/>
      <c r="M198" s="217">
        <f t="shared" si="499"/>
        <v>0.63065846724320074</v>
      </c>
      <c r="N198" s="172">
        <f t="shared" si="500"/>
        <v>20.84811970899662</v>
      </c>
      <c r="O198" s="172">
        <f t="shared" ref="O198:O261" si="599">T198*F198</f>
        <v>14.431999999999999</v>
      </c>
      <c r="P198" s="217">
        <f t="shared" si="501"/>
        <v>1.2712268115241843</v>
      </c>
      <c r="Q198" s="217">
        <f t="shared" si="502"/>
        <v>16.399999999999999</v>
      </c>
      <c r="R198" s="217"/>
      <c r="S198" s="172">
        <f t="shared" si="503"/>
        <v>27.685682241758059</v>
      </c>
      <c r="T198" s="536">
        <f t="shared" si="504"/>
        <v>16.399999999999999</v>
      </c>
      <c r="U198" s="217">
        <f t="shared" si="505"/>
        <v>4.7652371691404367</v>
      </c>
      <c r="V198" s="217">
        <f t="shared" si="506"/>
        <v>5.7875853566266624</v>
      </c>
      <c r="W198" s="217">
        <f t="shared" si="507"/>
        <v>3.3892469195290684</v>
      </c>
      <c r="X198" s="197">
        <f t="shared" si="508"/>
        <v>350</v>
      </c>
      <c r="Y198" s="443">
        <f t="shared" si="509"/>
        <v>106.64582350938406</v>
      </c>
      <c r="AA198" s="217">
        <f t="shared" si="510"/>
        <v>1.483623425893613</v>
      </c>
      <c r="AB198" s="173">
        <f t="shared" si="511"/>
        <v>1.055218438762014</v>
      </c>
      <c r="AC198" s="173">
        <f t="shared" si="512"/>
        <v>0.27397068915688655</v>
      </c>
      <c r="AD198" s="173"/>
      <c r="AE198" s="173">
        <f t="shared" si="513"/>
        <v>0.94832549405312627</v>
      </c>
      <c r="AF198" s="545">
        <f t="shared" si="514"/>
        <v>1391.9271476698821</v>
      </c>
      <c r="AG198" s="528">
        <f t="shared" si="515"/>
        <v>0.22127594861239616</v>
      </c>
      <c r="AI198" s="173">
        <f t="shared" si="516"/>
        <v>2.6589671203109377</v>
      </c>
      <c r="AJ198" s="173">
        <f t="shared" si="517"/>
        <v>4.7652371691404367</v>
      </c>
      <c r="AK198" s="173">
        <f t="shared" si="518"/>
        <v>3.7421509894867429</v>
      </c>
      <c r="AM198" s="545">
        <f t="shared" si="519"/>
        <v>880</v>
      </c>
      <c r="AN198" s="460">
        <f t="shared" si="520"/>
        <v>106.64582350938406</v>
      </c>
      <c r="AP198">
        <f t="shared" si="521"/>
        <v>880</v>
      </c>
      <c r="AQ198">
        <f t="shared" si="522"/>
        <v>106.64582350938406</v>
      </c>
      <c r="AS198" s="5">
        <f t="shared" ref="AS198:AS262" si="600">1/AN198*1000</f>
        <v>9.3768322761557297</v>
      </c>
      <c r="AT198" s="5">
        <f t="shared" si="523"/>
        <v>5.7875853566266624</v>
      </c>
      <c r="AU198" s="5">
        <f t="shared" si="478"/>
        <v>3.5892469195290673</v>
      </c>
      <c r="AV198" s="5"/>
      <c r="AW198" s="173">
        <f t="shared" si="479"/>
        <v>0.61722180648830272</v>
      </c>
      <c r="AX198" s="173">
        <f t="shared" si="596"/>
        <v>14.529950803897968</v>
      </c>
      <c r="AY198" s="173">
        <f t="shared" si="597"/>
        <v>0.91201443762918533</v>
      </c>
      <c r="AZ198" s="173">
        <f t="shared" ref="AZ198:AZ210" si="601">AX198/AY198</f>
        <v>15.931711390084025</v>
      </c>
      <c r="BA198" s="460">
        <f t="shared" si="594"/>
        <v>31.055336059947951</v>
      </c>
      <c r="BB198" s="5">
        <f t="shared" si="595"/>
        <v>4.3689819746767871</v>
      </c>
      <c r="BD198" s="173">
        <f t="shared" ref="BD198:BD210" si="602">AJ198*SQRT(AW198/3)</f>
        <v>2.1614466671029189</v>
      </c>
      <c r="BE198" s="173">
        <f t="shared" si="598"/>
        <v>1.7021486611502352</v>
      </c>
      <c r="BG198" s="528">
        <f t="shared" si="480"/>
        <v>9.3437033894606322E-2</v>
      </c>
      <c r="BH198" s="528">
        <f t="shared" si="524"/>
        <v>0.25491041890273758</v>
      </c>
      <c r="BI198" s="528">
        <f t="shared" si="525"/>
        <v>2.6342210652943791E-2</v>
      </c>
      <c r="BJ198" s="528">
        <f t="shared" si="481"/>
        <v>7.6323756222770288E-3</v>
      </c>
      <c r="BK198">
        <f t="shared" si="482"/>
        <v>4.4461168393647001E-3</v>
      </c>
      <c r="BL198" s="460">
        <f t="shared" si="588"/>
        <v>30.78832749230849</v>
      </c>
      <c r="BM198" s="528">
        <f t="shared" si="526"/>
        <v>0.38986303619597046</v>
      </c>
      <c r="BN198" s="460">
        <f t="shared" si="527"/>
        <v>389.86303619597044</v>
      </c>
      <c r="BO198" s="528">
        <f t="shared" si="483"/>
        <v>0.61599999999999999</v>
      </c>
      <c r="BR198" s="460">
        <f t="shared" si="484"/>
        <v>616</v>
      </c>
      <c r="BS198" s="528">
        <f t="shared" si="485"/>
        <v>0.14015555084190948</v>
      </c>
      <c r="BT198" s="528">
        <f t="shared" si="486"/>
        <v>8.6919301939666141E-2</v>
      </c>
      <c r="BU198" s="528">
        <f t="shared" si="487"/>
        <v>0.29109914937178033</v>
      </c>
      <c r="BV198" s="528"/>
      <c r="BW198" s="528">
        <f t="shared" si="488"/>
        <v>1.2108292336581641E-2</v>
      </c>
      <c r="BX198" s="460">
        <f t="shared" si="489"/>
        <v>530.28229448993761</v>
      </c>
      <c r="BY198" s="173">
        <f t="shared" si="490"/>
        <v>1.5330504504018669</v>
      </c>
      <c r="BZ198" s="5">
        <f t="shared" si="491"/>
        <v>14.431999999999999</v>
      </c>
      <c r="CA198" s="173">
        <f t="shared" si="492"/>
        <v>0.90397459405690272</v>
      </c>
      <c r="CB198" s="5">
        <f t="shared" si="493"/>
        <v>90.39745940569027</v>
      </c>
      <c r="CE198" s="562">
        <f t="shared" si="528"/>
        <v>-50</v>
      </c>
      <c r="CF198">
        <f t="shared" si="529"/>
        <v>-50</v>
      </c>
      <c r="CG198" s="173">
        <f t="shared" si="530"/>
        <v>0.36746174067281484</v>
      </c>
      <c r="CI198" s="170">
        <v>88</v>
      </c>
      <c r="CJ198" s="217">
        <f t="shared" si="589"/>
        <v>0.88</v>
      </c>
      <c r="CK198" s="217"/>
      <c r="CL198" s="217">
        <f t="shared" si="531"/>
        <v>14.431999999999999</v>
      </c>
      <c r="CM198" s="541">
        <f t="shared" si="532"/>
        <v>10</v>
      </c>
      <c r="CN198" s="443">
        <f t="shared" si="533"/>
        <v>16.799999999999997</v>
      </c>
      <c r="CO198" s="443">
        <f t="shared" si="534"/>
        <v>26.799999999999997</v>
      </c>
      <c r="CP198" s="443"/>
      <c r="CQ198" s="217">
        <f t="shared" si="535"/>
        <v>0.62686567164179097</v>
      </c>
      <c r="CR198" s="172">
        <f t="shared" si="590"/>
        <v>20.973880597014926</v>
      </c>
      <c r="CS198" s="172">
        <f t="shared" si="536"/>
        <v>14.431999999999999</v>
      </c>
      <c r="CT198" s="217">
        <f t="shared" si="537"/>
        <v>1.2788951583545687</v>
      </c>
      <c r="CU198" s="217">
        <f t="shared" si="538"/>
        <v>16.399999999999999</v>
      </c>
      <c r="CV198" s="217"/>
      <c r="CW198" s="172">
        <f t="shared" si="539"/>
        <v>28.019536129630357</v>
      </c>
      <c r="CX198" s="536">
        <f t="shared" si="540"/>
        <v>16.399999999999999</v>
      </c>
      <c r="CY198" s="217">
        <f t="shared" si="541"/>
        <v>4.6044952380952378</v>
      </c>
      <c r="CZ198" s="217">
        <f t="shared" si="542"/>
        <v>5.5253942857142855</v>
      </c>
      <c r="DA198" s="217">
        <f t="shared" si="543"/>
        <v>3.2889251700680275</v>
      </c>
      <c r="DB198" s="197">
        <f t="shared" si="544"/>
        <v>350</v>
      </c>
      <c r="DC198" s="443">
        <f t="shared" si="545"/>
        <v>113.45175370788115</v>
      </c>
      <c r="DE198" s="217">
        <f t="shared" si="546"/>
        <v>1.4925373134328355</v>
      </c>
      <c r="DF198" s="173">
        <f t="shared" si="547"/>
        <v>1.0660980810234544</v>
      </c>
      <c r="DG198" s="173">
        <f t="shared" si="548"/>
        <v>0.27845845399866342</v>
      </c>
      <c r="DH198" s="173"/>
      <c r="DI198" s="173">
        <f t="shared" si="549"/>
        <v>0.95238095238095266</v>
      </c>
      <c r="DJ198" s="545">
        <f t="shared" si="550"/>
        <v>1385.9999999999995</v>
      </c>
      <c r="DK198" s="528">
        <f t="shared" si="551"/>
        <v>0.22222222222222232</v>
      </c>
      <c r="DM198" s="173">
        <f t="shared" si="552"/>
        <v>2.6532998322843198</v>
      </c>
      <c r="DN198" s="173">
        <f t="shared" si="553"/>
        <v>4.6044952380952378</v>
      </c>
      <c r="DO198" s="173">
        <f t="shared" si="554"/>
        <v>3.6230828924162255</v>
      </c>
      <c r="DQ198" s="545">
        <f t="shared" si="555"/>
        <v>880</v>
      </c>
      <c r="DR198" s="460">
        <f t="shared" si="556"/>
        <v>113.45175370788115</v>
      </c>
      <c r="DT198">
        <f t="shared" si="591"/>
        <v>880</v>
      </c>
      <c r="DU198">
        <f t="shared" si="592"/>
        <v>113.45175370788115</v>
      </c>
      <c r="DW198" s="5">
        <f t="shared" si="557"/>
        <v>8.8143194557823126</v>
      </c>
      <c r="DX198" s="5">
        <f t="shared" si="558"/>
        <v>5.5253942857142855</v>
      </c>
      <c r="DY198" s="5">
        <f t="shared" si="559"/>
        <v>3.2889251700680271</v>
      </c>
      <c r="DZ198" s="5"/>
      <c r="EA198" s="173">
        <f t="shared" si="560"/>
        <v>0.62686567164179108</v>
      </c>
      <c r="EB198" s="173">
        <f t="shared" si="561"/>
        <v>14.431999999999999</v>
      </c>
      <c r="EC198" s="173">
        <f t="shared" si="562"/>
        <v>0.85904761904761895</v>
      </c>
      <c r="ED198" s="173">
        <f t="shared" si="563"/>
        <v>16.8</v>
      </c>
      <c r="EE198" s="460">
        <f t="shared" si="564"/>
        <v>29.648457142857147</v>
      </c>
      <c r="EF198" s="5">
        <f t="shared" si="565"/>
        <v>3.9554806712018129</v>
      </c>
      <c r="EH198" s="173">
        <f t="shared" si="566"/>
        <v>2.1047893841774363</v>
      </c>
      <c r="EI198" s="173">
        <f t="shared" si="567"/>
        <v>1.6238802647161341</v>
      </c>
      <c r="EK198" s="528">
        <f t="shared" si="568"/>
        <v>8.8602767034920635E-2</v>
      </c>
      <c r="EL198" s="528">
        <f t="shared" si="569"/>
        <v>0.27999999999999997</v>
      </c>
      <c r="EM198" s="528">
        <f t="shared" si="570"/>
        <v>1.4181469213485143E-2</v>
      </c>
      <c r="EN198" s="528">
        <f t="shared" si="571"/>
        <v>8.1485587583148555E-3</v>
      </c>
      <c r="EO198">
        <f t="shared" si="572"/>
        <v>4.4999999999999997E-3</v>
      </c>
      <c r="EP198" s="460">
        <f t="shared" si="573"/>
        <v>18.681469213485141</v>
      </c>
      <c r="EQ198" s="460"/>
      <c r="ER198" s="460">
        <f t="shared" si="593"/>
        <v>395.43279500672065</v>
      </c>
      <c r="ES198" s="528">
        <f t="shared" si="574"/>
        <v>0.61599999999999999</v>
      </c>
      <c r="EV198" s="460">
        <f t="shared" si="494"/>
        <v>616</v>
      </c>
      <c r="EW198" s="528">
        <f t="shared" si="575"/>
        <v>0.13290415055238095</v>
      </c>
      <c r="EX198" s="528">
        <f t="shared" si="576"/>
        <v>7.9109613424036246E-2</v>
      </c>
      <c r="EY198" s="528">
        <f t="shared" si="577"/>
        <v>0.31185528502698306</v>
      </c>
      <c r="EZ198" s="528"/>
      <c r="FA198" s="528">
        <f t="shared" si="578"/>
        <v>1.2026666666666665E-2</v>
      </c>
      <c r="FB198" s="460">
        <f t="shared" si="579"/>
        <v>535.89571567006692</v>
      </c>
      <c r="FC198" s="173">
        <f t="shared" si="580"/>
        <v>1.5473285106767876</v>
      </c>
      <c r="FD198" s="5">
        <f t="shared" si="581"/>
        <v>14.431999999999999</v>
      </c>
      <c r="FE198" s="173">
        <f t="shared" si="582"/>
        <v>0.90316686276003888</v>
      </c>
      <c r="FF198" s="5">
        <f t="shared" si="583"/>
        <v>90.316686276003892</v>
      </c>
      <c r="FI198" s="562">
        <f t="shared" si="584"/>
        <v>-50</v>
      </c>
      <c r="FJ198">
        <f t="shared" si="585"/>
        <v>-50</v>
      </c>
      <c r="FL198">
        <f t="shared" si="586"/>
        <v>0.37313432835820892</v>
      </c>
    </row>
    <row r="199" spans="5:168">
      <c r="E199" s="170">
        <v>89</v>
      </c>
      <c r="F199" s="217">
        <f t="shared" si="587"/>
        <v>0.89</v>
      </c>
      <c r="G199" s="217"/>
      <c r="H199" s="217">
        <f t="shared" si="495"/>
        <v>14.595999999999998</v>
      </c>
      <c r="I199" s="541">
        <f t="shared" si="496"/>
        <v>9.8789199587223013</v>
      </c>
      <c r="J199" s="172">
        <f t="shared" si="497"/>
        <v>16.872648024766615</v>
      </c>
      <c r="K199" s="172">
        <f t="shared" si="498"/>
        <v>26.751567983488918</v>
      </c>
      <c r="L199" s="443"/>
      <c r="M199" s="217">
        <f t="shared" si="499"/>
        <v>0.63070115186114417</v>
      </c>
      <c r="N199" s="172">
        <f t="shared" si="500"/>
        <v>20.846703734497886</v>
      </c>
      <c r="O199" s="172">
        <f t="shared" si="599"/>
        <v>14.595999999999998</v>
      </c>
      <c r="P199" s="217">
        <f t="shared" si="501"/>
        <v>1.2711404716157249</v>
      </c>
      <c r="Q199" s="217">
        <f t="shared" si="502"/>
        <v>16.399999999999999</v>
      </c>
      <c r="R199" s="217"/>
      <c r="S199" s="172">
        <f t="shared" si="503"/>
        <v>27.26362373038241</v>
      </c>
      <c r="T199" s="536">
        <f t="shared" si="504"/>
        <v>16.399999999999999</v>
      </c>
      <c r="U199" s="217">
        <f t="shared" si="505"/>
        <v>4.819944630129803</v>
      </c>
      <c r="V199" s="217">
        <f t="shared" si="506"/>
        <v>5.8548237867328909</v>
      </c>
      <c r="W199" s="217">
        <f t="shared" si="507"/>
        <v>3.4279939625752776</v>
      </c>
      <c r="X199" s="197">
        <f t="shared" si="508"/>
        <v>350</v>
      </c>
      <c r="Y199" s="443">
        <f t="shared" si="509"/>
        <v>105.45388790931433</v>
      </c>
      <c r="AA199" s="217">
        <f t="shared" si="510"/>
        <v>1.4835226483710493</v>
      </c>
      <c r="AB199" s="173">
        <f t="shared" si="511"/>
        <v>1.0550964942978376</v>
      </c>
      <c r="AC199" s="173">
        <f t="shared" si="512"/>
        <v>0.27392042046385412</v>
      </c>
      <c r="AD199" s="173"/>
      <c r="AE199" s="173">
        <f t="shared" si="513"/>
        <v>0.94828031595955231</v>
      </c>
      <c r="AF199" s="545">
        <f t="shared" si="514"/>
        <v>1407.811569566464</v>
      </c>
      <c r="AG199" s="528">
        <f t="shared" si="515"/>
        <v>0.22126540705722891</v>
      </c>
      <c r="AI199" s="173">
        <f t="shared" si="516"/>
        <v>2.6740959079251518</v>
      </c>
      <c r="AJ199" s="173">
        <f t="shared" si="517"/>
        <v>4.819944630129803</v>
      </c>
      <c r="AK199" s="173">
        <f t="shared" si="518"/>
        <v>3.7826750346640514</v>
      </c>
      <c r="AM199" s="545">
        <f t="shared" si="519"/>
        <v>890</v>
      </c>
      <c r="AN199" s="460">
        <f t="shared" si="520"/>
        <v>105.45388790931433</v>
      </c>
      <c r="AP199">
        <f t="shared" si="521"/>
        <v>890</v>
      </c>
      <c r="AQ199">
        <f t="shared" si="522"/>
        <v>105.45388790931433</v>
      </c>
      <c r="AS199" s="5">
        <f t="shared" si="600"/>
        <v>9.4828177493081682</v>
      </c>
      <c r="AT199" s="5">
        <f t="shared" si="523"/>
        <v>5.8548237867328909</v>
      </c>
      <c r="AU199" s="5">
        <f t="shared" si="478"/>
        <v>3.6279939625752773</v>
      </c>
      <c r="AV199" s="5"/>
      <c r="AW199" s="173">
        <f t="shared" si="479"/>
        <v>0.61741393133491762</v>
      </c>
      <c r="AX199" s="173">
        <f t="shared" si="596"/>
        <v>14.699343708811892</v>
      </c>
      <c r="AY199" s="173">
        <f t="shared" si="597"/>
        <v>0.922021833612368</v>
      </c>
      <c r="AZ199" s="173">
        <f t="shared" si="601"/>
        <v>15.942511525157352</v>
      </c>
      <c r="BA199" s="460">
        <f t="shared" si="594"/>
        <v>31.773129086538258</v>
      </c>
      <c r="BB199" s="5">
        <f t="shared" si="595"/>
        <v>4.4669356652861616</v>
      </c>
      <c r="BD199" s="173">
        <f t="shared" si="602"/>
        <v>2.1866014623880283</v>
      </c>
      <c r="BE199" s="173">
        <f t="shared" si="598"/>
        <v>1.7212581030130969</v>
      </c>
      <c r="BG199" s="528">
        <f t="shared" si="480"/>
        <v>9.5624519106349282E-2</v>
      </c>
      <c r="BH199" s="528">
        <f t="shared" si="524"/>
        <v>0.25495008417786114</v>
      </c>
      <c r="BI199" s="528">
        <f t="shared" si="525"/>
        <v>2.6044262949804744E-2</v>
      </c>
      <c r="BJ199" s="528">
        <f t="shared" si="481"/>
        <v>7.5467694148971748E-3</v>
      </c>
      <c r="BK199">
        <f t="shared" si="482"/>
        <v>4.4455139814250358E-3</v>
      </c>
      <c r="BL199" s="460">
        <f t="shared" si="588"/>
        <v>30.48977693122978</v>
      </c>
      <c r="BM199" s="528">
        <f t="shared" si="526"/>
        <v>0.39286606131492119</v>
      </c>
      <c r="BN199" s="460">
        <f t="shared" si="527"/>
        <v>392.86606131492118</v>
      </c>
      <c r="BO199" s="528">
        <f t="shared" si="483"/>
        <v>0.623</v>
      </c>
      <c r="BR199" s="460">
        <f t="shared" si="484"/>
        <v>623</v>
      </c>
      <c r="BS199" s="528">
        <f t="shared" si="485"/>
        <v>0.14343677865952392</v>
      </c>
      <c r="BT199" s="528">
        <f t="shared" si="486"/>
        <v>8.8881883715647342E-2</v>
      </c>
      <c r="BU199" s="528">
        <f t="shared" si="487"/>
        <v>0.29122698738638692</v>
      </c>
      <c r="BV199" s="528"/>
      <c r="BW199" s="528">
        <f t="shared" si="488"/>
        <v>1.2249453090676574E-2</v>
      </c>
      <c r="BX199" s="460">
        <f t="shared" si="489"/>
        <v>535.79510285223478</v>
      </c>
      <c r="BY199" s="173">
        <f t="shared" si="490"/>
        <v>1.5474062524825718</v>
      </c>
      <c r="BZ199" s="5">
        <f t="shared" si="491"/>
        <v>14.595999999999998</v>
      </c>
      <c r="CA199" s="173">
        <f t="shared" si="492"/>
        <v>0.90414623603710598</v>
      </c>
      <c r="CB199" s="5">
        <f t="shared" si="493"/>
        <v>90.414623603710595</v>
      </c>
      <c r="CE199" s="562">
        <f t="shared" si="528"/>
        <v>-50</v>
      </c>
      <c r="CF199">
        <f t="shared" si="529"/>
        <v>-50</v>
      </c>
      <c r="CG199" s="173">
        <f t="shared" si="530"/>
        <v>0.36752547761310028</v>
      </c>
      <c r="CI199" s="170">
        <v>89</v>
      </c>
      <c r="CJ199" s="217">
        <f t="shared" si="589"/>
        <v>0.89</v>
      </c>
      <c r="CK199" s="217"/>
      <c r="CL199" s="217">
        <f t="shared" si="531"/>
        <v>14.595999999999998</v>
      </c>
      <c r="CM199" s="541">
        <f t="shared" si="532"/>
        <v>10</v>
      </c>
      <c r="CN199" s="443">
        <f t="shared" si="533"/>
        <v>16.799999999999997</v>
      </c>
      <c r="CO199" s="443">
        <f t="shared" si="534"/>
        <v>26.799999999999997</v>
      </c>
      <c r="CP199" s="443"/>
      <c r="CQ199" s="217">
        <f t="shared" si="535"/>
        <v>0.62686567164179097</v>
      </c>
      <c r="CR199" s="172">
        <f t="shared" si="590"/>
        <v>20.973880597014926</v>
      </c>
      <c r="CS199" s="172">
        <f t="shared" si="536"/>
        <v>14.595999999999998</v>
      </c>
      <c r="CT199" s="217">
        <f t="shared" si="537"/>
        <v>1.2788951583545687</v>
      </c>
      <c r="CU199" s="217">
        <f t="shared" si="538"/>
        <v>16.399999999999999</v>
      </c>
      <c r="CV199" s="217"/>
      <c r="CW199" s="172">
        <f t="shared" si="539"/>
        <v>27.59606076442503</v>
      </c>
      <c r="CX199" s="536">
        <f t="shared" si="540"/>
        <v>16.399999999999999</v>
      </c>
      <c r="CY199" s="217">
        <f t="shared" si="541"/>
        <v>4.6568190476190479</v>
      </c>
      <c r="CZ199" s="217">
        <f t="shared" si="542"/>
        <v>5.5881828571428569</v>
      </c>
      <c r="DA199" s="217">
        <f t="shared" si="543"/>
        <v>3.3262993197278918</v>
      </c>
      <c r="DB199" s="197">
        <f t="shared" si="544"/>
        <v>350</v>
      </c>
      <c r="DC199" s="443">
        <f t="shared" si="545"/>
        <v>112.17701490217462</v>
      </c>
      <c r="DE199" s="217">
        <f t="shared" si="546"/>
        <v>1.4925373134328355</v>
      </c>
      <c r="DF199" s="173">
        <f t="shared" si="547"/>
        <v>1.0660980810234544</v>
      </c>
      <c r="DG199" s="173">
        <f t="shared" si="548"/>
        <v>0.27845845399866342</v>
      </c>
      <c r="DH199" s="173"/>
      <c r="DI199" s="173">
        <f t="shared" si="549"/>
        <v>0.95238095238095266</v>
      </c>
      <c r="DJ199" s="545">
        <f t="shared" si="550"/>
        <v>1401.7499999999995</v>
      </c>
      <c r="DK199" s="528">
        <f t="shared" si="551"/>
        <v>0.22222222222222232</v>
      </c>
      <c r="DM199" s="173">
        <f t="shared" si="552"/>
        <v>2.6683328128252666</v>
      </c>
      <c r="DN199" s="173">
        <f t="shared" si="553"/>
        <v>4.6568190476190479</v>
      </c>
      <c r="DO199" s="173">
        <f t="shared" si="554"/>
        <v>3.6618412698412701</v>
      </c>
      <c r="DQ199" s="545">
        <f t="shared" si="555"/>
        <v>890</v>
      </c>
      <c r="DR199" s="460">
        <f t="shared" si="556"/>
        <v>112.17701490217462</v>
      </c>
      <c r="DT199">
        <f t="shared" si="591"/>
        <v>890</v>
      </c>
      <c r="DU199">
        <f t="shared" si="592"/>
        <v>112.17701490217462</v>
      </c>
      <c r="DW199" s="5">
        <f t="shared" si="557"/>
        <v>8.9144821768707487</v>
      </c>
      <c r="DX199" s="5">
        <f t="shared" si="558"/>
        <v>5.5881828571428569</v>
      </c>
      <c r="DY199" s="5">
        <f t="shared" si="559"/>
        <v>3.3262993197278918</v>
      </c>
      <c r="DZ199" s="5"/>
      <c r="EA199" s="173">
        <f t="shared" si="560"/>
        <v>0.62686567164179097</v>
      </c>
      <c r="EB199" s="173">
        <f t="shared" si="561"/>
        <v>14.596000000000004</v>
      </c>
      <c r="EC199" s="173">
        <f t="shared" si="562"/>
        <v>0.86880952380952403</v>
      </c>
      <c r="ED199" s="173">
        <f t="shared" si="563"/>
        <v>16.8</v>
      </c>
      <c r="EE199" s="460">
        <f t="shared" si="564"/>
        <v>30.32611428571429</v>
      </c>
      <c r="EF199" s="5">
        <f t="shared" si="565"/>
        <v>4.0458887392290244</v>
      </c>
      <c r="EH199" s="173">
        <f t="shared" si="566"/>
        <v>2.1287074453612709</v>
      </c>
      <c r="EI199" s="173">
        <f t="shared" si="567"/>
        <v>1.6423334495424544</v>
      </c>
      <c r="EK199" s="528">
        <f t="shared" si="568"/>
        <v>9.0627907758730156E-2</v>
      </c>
      <c r="EL199" s="528">
        <f t="shared" si="569"/>
        <v>0.27999999999999997</v>
      </c>
      <c r="EM199" s="528">
        <f t="shared" si="570"/>
        <v>1.4022126862771826E-2</v>
      </c>
      <c r="EN199" s="528">
        <f t="shared" si="571"/>
        <v>8.0570019183337886E-3</v>
      </c>
      <c r="EO199">
        <f t="shared" si="572"/>
        <v>4.4999999999999997E-3</v>
      </c>
      <c r="EP199" s="460">
        <f t="shared" si="573"/>
        <v>18.522126862771827</v>
      </c>
      <c r="EQ199" s="460"/>
      <c r="ER199" s="460">
        <f t="shared" si="593"/>
        <v>397.20703653983577</v>
      </c>
      <c r="ES199" s="528">
        <f t="shared" si="574"/>
        <v>0.623</v>
      </c>
      <c r="EV199" s="460">
        <f t="shared" si="494"/>
        <v>623</v>
      </c>
      <c r="EW199" s="528">
        <f t="shared" si="575"/>
        <v>0.13594186163809521</v>
      </c>
      <c r="EX199" s="528">
        <f t="shared" si="576"/>
        <v>8.0917774784580523E-2</v>
      </c>
      <c r="EY199" s="528">
        <f t="shared" si="577"/>
        <v>0.3118552850269834</v>
      </c>
      <c r="EZ199" s="528"/>
      <c r="FA199" s="528">
        <f t="shared" si="578"/>
        <v>1.2163333333333335E-2</v>
      </c>
      <c r="FB199" s="460">
        <f t="shared" si="579"/>
        <v>540.87825478299249</v>
      </c>
      <c r="FC199" s="173">
        <f t="shared" si="580"/>
        <v>1.5610852913228281</v>
      </c>
      <c r="FD199" s="5">
        <f t="shared" si="581"/>
        <v>14.595999999999998</v>
      </c>
      <c r="FE199" s="173">
        <f t="shared" si="582"/>
        <v>0.9033807606275861</v>
      </c>
      <c r="FF199" s="5">
        <f t="shared" si="583"/>
        <v>90.338076062758603</v>
      </c>
      <c r="FI199" s="562">
        <f t="shared" si="584"/>
        <v>-50</v>
      </c>
      <c r="FJ199">
        <f t="shared" si="585"/>
        <v>-50</v>
      </c>
      <c r="FL199">
        <f t="shared" si="586"/>
        <v>0.37313432835820903</v>
      </c>
    </row>
    <row r="200" spans="5:168">
      <c r="E200" s="170">
        <v>90</v>
      </c>
      <c r="F200" s="217">
        <f t="shared" si="587"/>
        <v>0.9</v>
      </c>
      <c r="G200" s="217"/>
      <c r="H200" s="217">
        <f t="shared" si="495"/>
        <v>14.76</v>
      </c>
      <c r="I200" s="541">
        <f t="shared" si="496"/>
        <v>9.8775802672907549</v>
      </c>
      <c r="J200" s="172">
        <f t="shared" si="497"/>
        <v>16.873451839625545</v>
      </c>
      <c r="K200" s="172">
        <f t="shared" si="498"/>
        <v>26.751032106916298</v>
      </c>
      <c r="L200" s="443"/>
      <c r="M200" s="217">
        <f t="shared" si="499"/>
        <v>0.63074383835657211</v>
      </c>
      <c r="N200" s="172">
        <f t="shared" si="500"/>
        <v>20.845287424363683</v>
      </c>
      <c r="O200" s="172">
        <f t="shared" si="599"/>
        <v>14.76</v>
      </c>
      <c r="P200" s="217">
        <f t="shared" si="501"/>
        <v>1.271054111241688</v>
      </c>
      <c r="Q200" s="217">
        <f t="shared" si="502"/>
        <v>16.399999999999999</v>
      </c>
      <c r="R200" s="217"/>
      <c r="S200" s="172">
        <f t="shared" si="503"/>
        <v>26.851036839614089</v>
      </c>
      <c r="T200" s="536">
        <f t="shared" si="504"/>
        <v>16.399999999999999</v>
      </c>
      <c r="U200" s="217">
        <f t="shared" si="505"/>
        <v>4.8746647638561802</v>
      </c>
      <c r="V200" s="217">
        <f t="shared" si="506"/>
        <v>5.9220958558019969</v>
      </c>
      <c r="W200" s="217">
        <f t="shared" si="507"/>
        <v>3.466746325663042</v>
      </c>
      <c r="X200" s="197">
        <f t="shared" si="508"/>
        <v>350</v>
      </c>
      <c r="Y200" s="443">
        <f t="shared" si="509"/>
        <v>104.28787762645337</v>
      </c>
      <c r="AA200" s="217">
        <f t="shared" si="510"/>
        <v>1.4834218471062195</v>
      </c>
      <c r="AB200" s="173">
        <f t="shared" si="511"/>
        <v>1.0549745442998624</v>
      </c>
      <c r="AC200" s="173">
        <f t="shared" si="512"/>
        <v>0.2738701502521852</v>
      </c>
      <c r="AD200" s="173"/>
      <c r="AE200" s="173">
        <f t="shared" si="513"/>
        <v>0.94823514193021652</v>
      </c>
      <c r="AF200" s="545">
        <f t="shared" si="514"/>
        <v>1423.6974989684049</v>
      </c>
      <c r="AG200" s="528">
        <f t="shared" si="515"/>
        <v>0.22125486645038386</v>
      </c>
      <c r="AI200" s="173">
        <f t="shared" si="516"/>
        <v>2.6891410078014726</v>
      </c>
      <c r="AJ200" s="173">
        <f t="shared" si="517"/>
        <v>4.8746647638561802</v>
      </c>
      <c r="AK200" s="173">
        <f t="shared" si="518"/>
        <v>3.8232084670539601</v>
      </c>
      <c r="AM200" s="545">
        <f t="shared" si="519"/>
        <v>900</v>
      </c>
      <c r="AN200" s="460">
        <f t="shared" si="520"/>
        <v>104.28787762645337</v>
      </c>
      <c r="AP200">
        <f t="shared" si="521"/>
        <v>900</v>
      </c>
      <c r="AQ200">
        <f t="shared" si="522"/>
        <v>104.28787762645337</v>
      </c>
      <c r="AS200" s="5">
        <f t="shared" si="600"/>
        <v>9.5888421814650382</v>
      </c>
      <c r="AT200" s="5">
        <f t="shared" si="523"/>
        <v>5.9220958558019969</v>
      </c>
      <c r="AU200" s="5">
        <f t="shared" si="478"/>
        <v>3.6667463256630413</v>
      </c>
      <c r="AV200" s="5"/>
      <c r="AW200" s="173">
        <f t="shared" si="479"/>
        <v>0.61760280790200528</v>
      </c>
      <c r="AX200" s="173">
        <f t="shared" si="596"/>
        <v>14.868754398260718</v>
      </c>
      <c r="AY200" s="173">
        <f t="shared" si="597"/>
        <v>0.93202905905881894</v>
      </c>
      <c r="AZ200" s="173">
        <f t="shared" si="601"/>
        <v>15.95310173405481</v>
      </c>
      <c r="BA200" s="460">
        <f t="shared" si="594"/>
        <v>32.499306525742668</v>
      </c>
      <c r="BB200" s="5">
        <f t="shared" si="595"/>
        <v>4.5659947664516221</v>
      </c>
      <c r="BD200" s="173">
        <f t="shared" si="602"/>
        <v>2.2117638612513857</v>
      </c>
      <c r="BE200" s="173">
        <f t="shared" si="598"/>
        <v>1.7403695418088758</v>
      </c>
      <c r="BG200" s="528">
        <f t="shared" si="480"/>
        <v>9.7837987558752781E-2</v>
      </c>
      <c r="BH200" s="528">
        <f t="shared" si="524"/>
        <v>0.25498838482117703</v>
      </c>
      <c r="BI200" s="528">
        <f t="shared" si="525"/>
        <v>2.5752797054017219E-2</v>
      </c>
      <c r="BJ200" s="528">
        <f t="shared" si="481"/>
        <v>7.4630253083999608E-3</v>
      </c>
      <c r="BK200">
        <f t="shared" si="482"/>
        <v>4.4449111202808393E-3</v>
      </c>
      <c r="BL200" s="460">
        <f t="shared" si="588"/>
        <v>30.197708174298057</v>
      </c>
      <c r="BM200" s="528">
        <f t="shared" si="526"/>
        <v>0.39590907783903939</v>
      </c>
      <c r="BN200" s="460">
        <f t="shared" si="527"/>
        <v>395.90907783903941</v>
      </c>
      <c r="BO200" s="528">
        <f t="shared" si="483"/>
        <v>0.63</v>
      </c>
      <c r="BR200" s="460">
        <f t="shared" si="484"/>
        <v>630</v>
      </c>
      <c r="BS200" s="528">
        <f t="shared" si="485"/>
        <v>0.14675698133812917</v>
      </c>
      <c r="BT200" s="528">
        <f t="shared" si="486"/>
        <v>9.086658426168108E-2</v>
      </c>
      <c r="BU200" s="528">
        <f t="shared" si="487"/>
        <v>0.29135096617789008</v>
      </c>
      <c r="BV200" s="528"/>
      <c r="BW200" s="528">
        <f t="shared" si="488"/>
        <v>1.2390628665217266E-2</v>
      </c>
      <c r="BX200" s="460">
        <f t="shared" si="489"/>
        <v>541.36516044291761</v>
      </c>
      <c r="BY200" s="173">
        <f t="shared" si="490"/>
        <v>1.5618522663055456</v>
      </c>
      <c r="BZ200" s="5">
        <f t="shared" si="491"/>
        <v>14.76</v>
      </c>
      <c r="CA200" s="173">
        <f t="shared" si="492"/>
        <v>0.90430912859505552</v>
      </c>
      <c r="CB200" s="5">
        <f t="shared" si="493"/>
        <v>90.430912859505554</v>
      </c>
      <c r="CE200" s="562">
        <f t="shared" si="528"/>
        <v>-50</v>
      </c>
      <c r="CF200">
        <f t="shared" si="529"/>
        <v>-50</v>
      </c>
      <c r="CG200" s="173">
        <f t="shared" si="530"/>
        <v>0.3675877981769346</v>
      </c>
      <c r="CI200" s="170">
        <v>90</v>
      </c>
      <c r="CJ200" s="217">
        <f t="shared" si="589"/>
        <v>0.9</v>
      </c>
      <c r="CK200" s="217"/>
      <c r="CL200" s="217">
        <f t="shared" si="531"/>
        <v>14.76</v>
      </c>
      <c r="CM200" s="541">
        <f t="shared" si="532"/>
        <v>10</v>
      </c>
      <c r="CN200" s="443">
        <f t="shared" si="533"/>
        <v>16.799999999999997</v>
      </c>
      <c r="CO200" s="443">
        <f t="shared" si="534"/>
        <v>26.799999999999997</v>
      </c>
      <c r="CP200" s="443"/>
      <c r="CQ200" s="217">
        <f t="shared" si="535"/>
        <v>0.62686567164179097</v>
      </c>
      <c r="CR200" s="172">
        <f t="shared" si="590"/>
        <v>20.973880597014926</v>
      </c>
      <c r="CS200" s="172">
        <f t="shared" si="536"/>
        <v>14.76</v>
      </c>
      <c r="CT200" s="217">
        <f t="shared" si="537"/>
        <v>1.2788951583545687</v>
      </c>
      <c r="CU200" s="217">
        <f t="shared" si="538"/>
        <v>16.399999999999999</v>
      </c>
      <c r="CV200" s="217"/>
      <c r="CW200" s="172">
        <f t="shared" si="539"/>
        <v>27.182058843519762</v>
      </c>
      <c r="CX200" s="536">
        <f t="shared" si="540"/>
        <v>16.399999999999999</v>
      </c>
      <c r="CY200" s="217">
        <f t="shared" si="541"/>
        <v>4.7091428571428571</v>
      </c>
      <c r="CZ200" s="217">
        <f t="shared" si="542"/>
        <v>5.6509714285714283</v>
      </c>
      <c r="DA200" s="217">
        <f t="shared" si="543"/>
        <v>3.3636734693877557</v>
      </c>
      <c r="DB200" s="197">
        <f t="shared" si="544"/>
        <v>350</v>
      </c>
      <c r="DC200" s="443">
        <f t="shared" si="545"/>
        <v>110.93060362548381</v>
      </c>
      <c r="DE200" s="217">
        <f t="shared" si="546"/>
        <v>1.4925373134328355</v>
      </c>
      <c r="DF200" s="173">
        <f t="shared" si="547"/>
        <v>1.0660980810234544</v>
      </c>
      <c r="DG200" s="173">
        <f t="shared" si="548"/>
        <v>0.27845845399866342</v>
      </c>
      <c r="DH200" s="173"/>
      <c r="DI200" s="173">
        <f t="shared" si="549"/>
        <v>0.95238095238095266</v>
      </c>
      <c r="DJ200" s="545">
        <f t="shared" si="550"/>
        <v>1417.4999999999995</v>
      </c>
      <c r="DK200" s="528">
        <f t="shared" si="551"/>
        <v>0.22222222222222232</v>
      </c>
      <c r="DM200" s="173">
        <f t="shared" si="552"/>
        <v>2.6832815729997472</v>
      </c>
      <c r="DN200" s="173">
        <f t="shared" si="553"/>
        <v>4.7091428571428571</v>
      </c>
      <c r="DO200" s="173">
        <f t="shared" si="554"/>
        <v>3.7005996472663139</v>
      </c>
      <c r="DQ200" s="545">
        <f t="shared" si="555"/>
        <v>900</v>
      </c>
      <c r="DR200" s="460">
        <f t="shared" si="556"/>
        <v>110.93060362548381</v>
      </c>
      <c r="DT200">
        <f t="shared" si="591"/>
        <v>900</v>
      </c>
      <c r="DU200">
        <f t="shared" si="592"/>
        <v>110.93060362548381</v>
      </c>
      <c r="DW200" s="5">
        <f t="shared" si="557"/>
        <v>9.0146448979591813</v>
      </c>
      <c r="DX200" s="5">
        <f t="shared" si="558"/>
        <v>5.6509714285714283</v>
      </c>
      <c r="DY200" s="5">
        <f t="shared" si="559"/>
        <v>3.363673469387753</v>
      </c>
      <c r="DZ200" s="5"/>
      <c r="EA200" s="173">
        <f t="shared" si="560"/>
        <v>0.62686567164179119</v>
      </c>
      <c r="EB200" s="173">
        <f t="shared" si="561"/>
        <v>14.760000000000003</v>
      </c>
      <c r="EC200" s="173">
        <f t="shared" si="562"/>
        <v>0.87857142857142823</v>
      </c>
      <c r="ED200" s="173">
        <f t="shared" si="563"/>
        <v>16.800000000000011</v>
      </c>
      <c r="EE200" s="460">
        <f t="shared" si="564"/>
        <v>31.011428571428574</v>
      </c>
      <c r="EF200" s="5">
        <f t="shared" si="565"/>
        <v>4.1373183673469356</v>
      </c>
      <c r="EH200" s="173">
        <f t="shared" si="566"/>
        <v>2.1526255065451054</v>
      </c>
      <c r="EI200" s="173">
        <f t="shared" si="567"/>
        <v>1.6607866343687734</v>
      </c>
      <c r="EK200" s="528">
        <f t="shared" si="568"/>
        <v>9.2675931428571431E-2</v>
      </c>
      <c r="EL200" s="528">
        <f t="shared" si="569"/>
        <v>0.28000000000000003</v>
      </c>
      <c r="EM200" s="528">
        <f t="shared" si="570"/>
        <v>1.3866325453185476E-2</v>
      </c>
      <c r="EN200" s="528">
        <f t="shared" si="571"/>
        <v>7.9674796747967475E-3</v>
      </c>
      <c r="EO200">
        <f t="shared" si="572"/>
        <v>4.4999999999999997E-3</v>
      </c>
      <c r="EP200" s="460">
        <f t="shared" si="573"/>
        <v>18.366325453185475</v>
      </c>
      <c r="EQ200" s="460"/>
      <c r="ER200" s="460">
        <f t="shared" si="593"/>
        <v>399.00973655655378</v>
      </c>
      <c r="ES200" s="528">
        <f t="shared" si="574"/>
        <v>0.63</v>
      </c>
      <c r="EV200" s="460">
        <f t="shared" si="494"/>
        <v>630</v>
      </c>
      <c r="EW200" s="528">
        <f t="shared" si="575"/>
        <v>0.13901389714285714</v>
      </c>
      <c r="EX200" s="528">
        <f t="shared" si="576"/>
        <v>8.2746367346938729E-2</v>
      </c>
      <c r="EY200" s="528">
        <f t="shared" si="577"/>
        <v>0.31185528502698284</v>
      </c>
      <c r="EZ200" s="528"/>
      <c r="FA200" s="528">
        <f t="shared" si="578"/>
        <v>1.2300000000000002E-2</v>
      </c>
      <c r="FB200" s="460">
        <f t="shared" si="579"/>
        <v>545.9155495167787</v>
      </c>
      <c r="FC200" s="173">
        <f t="shared" si="580"/>
        <v>1.5749252860733325</v>
      </c>
      <c r="FD200" s="5">
        <f t="shared" si="581"/>
        <v>14.76</v>
      </c>
      <c r="FE200" s="173">
        <f t="shared" si="582"/>
        <v>0.903585400086521</v>
      </c>
      <c r="FF200" s="5">
        <f t="shared" si="583"/>
        <v>90.358540008652099</v>
      </c>
      <c r="FI200" s="562">
        <f t="shared" si="584"/>
        <v>-50</v>
      </c>
      <c r="FJ200">
        <f t="shared" si="585"/>
        <v>-50</v>
      </c>
      <c r="FL200">
        <f t="shared" si="586"/>
        <v>0.37313432835820881</v>
      </c>
    </row>
    <row r="201" spans="5:168">
      <c r="E201" s="170">
        <v>91</v>
      </c>
      <c r="F201" s="217">
        <f t="shared" si="587"/>
        <v>0.91</v>
      </c>
      <c r="G201" s="217"/>
      <c r="H201" s="217">
        <f t="shared" si="495"/>
        <v>14.923999999999999</v>
      </c>
      <c r="I201" s="541">
        <f t="shared" si="496"/>
        <v>9.8762405689762982</v>
      </c>
      <c r="J201" s="172">
        <f t="shared" si="497"/>
        <v>16.874255658614217</v>
      </c>
      <c r="K201" s="172">
        <f t="shared" si="498"/>
        <v>26.750496227590517</v>
      </c>
      <c r="L201" s="443"/>
      <c r="M201" s="217">
        <f t="shared" si="499"/>
        <v>0.63078652672401281</v>
      </c>
      <c r="N201" s="172">
        <f t="shared" si="500"/>
        <v>20.843870778887766</v>
      </c>
      <c r="O201" s="172">
        <f t="shared" si="599"/>
        <v>14.923999999999999</v>
      </c>
      <c r="P201" s="217">
        <f t="shared" si="501"/>
        <v>1.2709677304199858</v>
      </c>
      <c r="Q201" s="217">
        <f t="shared" si="502"/>
        <v>16.399999999999999</v>
      </c>
      <c r="R201" s="217"/>
      <c r="S201" s="172">
        <f t="shared" si="503"/>
        <v>26.447609985323698</v>
      </c>
      <c r="T201" s="536">
        <f t="shared" si="504"/>
        <v>16.399999999999999</v>
      </c>
      <c r="U201" s="217">
        <f t="shared" si="505"/>
        <v>4.9293975754767478</v>
      </c>
      <c r="V201" s="217">
        <f t="shared" si="506"/>
        <v>5.9894015837903325</v>
      </c>
      <c r="W201" s="217">
        <f t="shared" si="507"/>
        <v>3.505504011699847</v>
      </c>
      <c r="X201" s="197">
        <f t="shared" si="508"/>
        <v>350</v>
      </c>
      <c r="Y201" s="443">
        <f t="shared" si="509"/>
        <v>103.1469559090059</v>
      </c>
      <c r="AA201" s="217">
        <f t="shared" si="510"/>
        <v>1.483321022115293</v>
      </c>
      <c r="AB201" s="173">
        <f t="shared" si="511"/>
        <v>1.0548525887894076</v>
      </c>
      <c r="AC201" s="173">
        <f t="shared" si="512"/>
        <v>0.27381987853221168</v>
      </c>
      <c r="AD201" s="173"/>
      <c r="AE201" s="173">
        <f t="shared" si="513"/>
        <v>0.94818997197260602</v>
      </c>
      <c r="AF201" s="545">
        <f t="shared" si="514"/>
        <v>1439.5849358755249</v>
      </c>
      <c r="AG201" s="528">
        <f t="shared" si="515"/>
        <v>0.22124432679360809</v>
      </c>
      <c r="AI201" s="173">
        <f t="shared" si="516"/>
        <v>2.7041038168062559</v>
      </c>
      <c r="AJ201" s="173">
        <f t="shared" si="517"/>
        <v>4.9293975754767478</v>
      </c>
      <c r="AK201" s="173">
        <f t="shared" si="518"/>
        <v>3.8637512904766034</v>
      </c>
      <c r="AM201" s="545">
        <f t="shared" si="519"/>
        <v>910</v>
      </c>
      <c r="AN201" s="460">
        <f t="shared" si="520"/>
        <v>103.1469559090059</v>
      </c>
      <c r="AP201">
        <f t="shared" si="521"/>
        <v>910</v>
      </c>
      <c r="AQ201">
        <f t="shared" si="522"/>
        <v>103.1469559090059</v>
      </c>
      <c r="AS201" s="5">
        <f t="shared" si="600"/>
        <v>9.6949055954901784</v>
      </c>
      <c r="AT201" s="5">
        <f t="shared" si="523"/>
        <v>5.9894015837903325</v>
      </c>
      <c r="AU201" s="5">
        <f t="shared" si="478"/>
        <v>3.7055040116998459</v>
      </c>
      <c r="AV201" s="5"/>
      <c r="AW201" s="173">
        <f t="shared" si="479"/>
        <v>0.6177885410845515</v>
      </c>
      <c r="AX201" s="173">
        <f t="shared" si="596"/>
        <v>15.038182817428954</v>
      </c>
      <c r="AY201" s="173">
        <f t="shared" si="597"/>
        <v>0.9420361194486212</v>
      </c>
      <c r="AZ201" s="173">
        <f t="shared" si="601"/>
        <v>15.963488561596643</v>
      </c>
      <c r="BA201" s="460">
        <f t="shared" si="594"/>
        <v>33.233874641763435</v>
      </c>
      <c r="BB201" s="5">
        <f t="shared" si="595"/>
        <v>4.6661599526310278</v>
      </c>
      <c r="BD201" s="173">
        <f t="shared" si="602"/>
        <v>2.2369338636232206</v>
      </c>
      <c r="BE201" s="173">
        <f t="shared" si="598"/>
        <v>1.759482985277504</v>
      </c>
      <c r="BG201" s="528">
        <f t="shared" si="480"/>
        <v>0.10007746220448618</v>
      </c>
      <c r="BH201" s="528">
        <f t="shared" si="524"/>
        <v>0.25502536476816801</v>
      </c>
      <c r="BI201" s="528">
        <f t="shared" si="525"/>
        <v>2.5467603762873336E-2</v>
      </c>
      <c r="BJ201" s="528">
        <f t="shared" si="481"/>
        <v>7.3810832026586027E-3</v>
      </c>
      <c r="BK201">
        <f t="shared" si="482"/>
        <v>4.4443082560393339E-3</v>
      </c>
      <c r="BL201" s="460">
        <f t="shared" si="588"/>
        <v>29.91191201891267</v>
      </c>
      <c r="BM201" s="528">
        <f t="shared" si="526"/>
        <v>0.3989922236645651</v>
      </c>
      <c r="BN201" s="460">
        <f t="shared" si="527"/>
        <v>398.99222366456513</v>
      </c>
      <c r="BO201" s="528">
        <f t="shared" si="483"/>
        <v>0.63700000000000001</v>
      </c>
      <c r="BR201" s="460">
        <f t="shared" si="484"/>
        <v>637</v>
      </c>
      <c r="BS201" s="528">
        <f t="shared" si="485"/>
        <v>0.15011619330672926</v>
      </c>
      <c r="BT201" s="528">
        <f t="shared" si="486"/>
        <v>9.2873411264431119E-2</v>
      </c>
      <c r="BU201" s="528">
        <f t="shared" si="487"/>
        <v>0.29147120806620502</v>
      </c>
      <c r="BV201" s="528"/>
      <c r="BW201" s="528">
        <f t="shared" si="488"/>
        <v>1.253181901452413E-2</v>
      </c>
      <c r="BX201" s="460">
        <f t="shared" si="489"/>
        <v>546.9926316518895</v>
      </c>
      <c r="BY201" s="173">
        <f t="shared" si="490"/>
        <v>1.5763884538461148</v>
      </c>
      <c r="BZ201" s="5">
        <f t="shared" si="491"/>
        <v>14.923999999999999</v>
      </c>
      <c r="CA201" s="173">
        <f t="shared" si="492"/>
        <v>0.90446355500929621</v>
      </c>
      <c r="CB201" s="5">
        <f t="shared" si="493"/>
        <v>90.446355500929627</v>
      </c>
      <c r="CE201" s="562">
        <f t="shared" si="528"/>
        <v>-50</v>
      </c>
      <c r="CF201">
        <f t="shared" si="529"/>
        <v>-50</v>
      </c>
      <c r="CG201" s="173">
        <f t="shared" si="530"/>
        <v>0.36764874905804773</v>
      </c>
      <c r="CI201" s="170">
        <v>91</v>
      </c>
      <c r="CJ201" s="217">
        <f t="shared" si="589"/>
        <v>0.91</v>
      </c>
      <c r="CK201" s="217"/>
      <c r="CL201" s="217">
        <f t="shared" si="531"/>
        <v>14.923999999999999</v>
      </c>
      <c r="CM201" s="541">
        <f t="shared" si="532"/>
        <v>10</v>
      </c>
      <c r="CN201" s="443">
        <f t="shared" si="533"/>
        <v>16.799999999999997</v>
      </c>
      <c r="CO201" s="443">
        <f t="shared" si="534"/>
        <v>26.799999999999997</v>
      </c>
      <c r="CP201" s="443"/>
      <c r="CQ201" s="217">
        <f t="shared" si="535"/>
        <v>0.62686567164179097</v>
      </c>
      <c r="CR201" s="172">
        <f t="shared" si="590"/>
        <v>20.973880597014926</v>
      </c>
      <c r="CS201" s="172">
        <f t="shared" si="536"/>
        <v>14.923999999999999</v>
      </c>
      <c r="CT201" s="217">
        <f t="shared" si="537"/>
        <v>1.2788951583545687</v>
      </c>
      <c r="CU201" s="217">
        <f t="shared" si="538"/>
        <v>16.399999999999999</v>
      </c>
      <c r="CV201" s="217"/>
      <c r="CW201" s="172">
        <f t="shared" si="539"/>
        <v>26.777218725467598</v>
      </c>
      <c r="CX201" s="536">
        <f t="shared" si="540"/>
        <v>16.399999999999999</v>
      </c>
      <c r="CY201" s="217">
        <f t="shared" si="541"/>
        <v>4.7614666666666672</v>
      </c>
      <c r="CZ201" s="217">
        <f t="shared" si="542"/>
        <v>5.7137600000000006</v>
      </c>
      <c r="DA201" s="217">
        <f t="shared" si="543"/>
        <v>3.40104761904762</v>
      </c>
      <c r="DB201" s="197">
        <f t="shared" si="544"/>
        <v>350</v>
      </c>
      <c r="DC201" s="443">
        <f t="shared" si="545"/>
        <v>109.7115860032257</v>
      </c>
      <c r="DE201" s="217">
        <f t="shared" si="546"/>
        <v>1.4925373134328355</v>
      </c>
      <c r="DF201" s="173">
        <f t="shared" si="547"/>
        <v>1.0660980810234544</v>
      </c>
      <c r="DG201" s="173">
        <f t="shared" si="548"/>
        <v>0.27845845399866342</v>
      </c>
      <c r="DH201" s="173"/>
      <c r="DI201" s="173">
        <f t="shared" si="549"/>
        <v>0.95238095238095266</v>
      </c>
      <c r="DJ201" s="545">
        <f t="shared" si="550"/>
        <v>1433.2499999999995</v>
      </c>
      <c r="DK201" s="528">
        <f t="shared" si="551"/>
        <v>0.22222222222222232</v>
      </c>
      <c r="DM201" s="173">
        <f t="shared" si="552"/>
        <v>2.6981475126464081</v>
      </c>
      <c r="DN201" s="173">
        <f t="shared" si="553"/>
        <v>4.7614666666666672</v>
      </c>
      <c r="DO201" s="173">
        <f t="shared" si="554"/>
        <v>3.7393580246913585</v>
      </c>
      <c r="DQ201" s="545">
        <f t="shared" si="555"/>
        <v>910</v>
      </c>
      <c r="DR201" s="460">
        <f t="shared" si="556"/>
        <v>109.7115860032257</v>
      </c>
      <c r="DT201">
        <f t="shared" si="591"/>
        <v>910</v>
      </c>
      <c r="DU201">
        <f t="shared" si="592"/>
        <v>109.7115860032257</v>
      </c>
      <c r="DW201" s="5">
        <f t="shared" si="557"/>
        <v>9.114807619047621</v>
      </c>
      <c r="DX201" s="5">
        <f t="shared" si="558"/>
        <v>5.7137600000000006</v>
      </c>
      <c r="DY201" s="5">
        <f t="shared" si="559"/>
        <v>3.4010476190476204</v>
      </c>
      <c r="DZ201" s="5"/>
      <c r="EA201" s="173">
        <f t="shared" si="560"/>
        <v>0.62686567164179097</v>
      </c>
      <c r="EB201" s="173">
        <f t="shared" si="561"/>
        <v>14.923999999999998</v>
      </c>
      <c r="EC201" s="173">
        <f t="shared" si="562"/>
        <v>0.88833333333333364</v>
      </c>
      <c r="ED201" s="173">
        <f t="shared" si="563"/>
        <v>16.79999999999999</v>
      </c>
      <c r="EE201" s="460">
        <f t="shared" si="564"/>
        <v>31.704400000000007</v>
      </c>
      <c r="EF201" s="5">
        <f t="shared" si="565"/>
        <v>4.2297695555555563</v>
      </c>
      <c r="EH201" s="173">
        <f t="shared" si="566"/>
        <v>2.17654356772894</v>
      </c>
      <c r="EI201" s="173">
        <f t="shared" si="567"/>
        <v>1.6792398191950939</v>
      </c>
      <c r="EK201" s="528">
        <f t="shared" si="568"/>
        <v>9.4746838044444462E-2</v>
      </c>
      <c r="EL201" s="528">
        <f t="shared" si="569"/>
        <v>0.27999999999999997</v>
      </c>
      <c r="EM201" s="528">
        <f t="shared" si="570"/>
        <v>1.3713948250403212E-2</v>
      </c>
      <c r="EN201" s="528">
        <f t="shared" si="571"/>
        <v>7.8799249530956839E-3</v>
      </c>
      <c r="EO201">
        <f t="shared" si="572"/>
        <v>4.4999999999999997E-3</v>
      </c>
      <c r="EP201" s="460">
        <f t="shared" si="573"/>
        <v>18.213948250403213</v>
      </c>
      <c r="EQ201" s="460"/>
      <c r="ER201" s="460">
        <f t="shared" si="593"/>
        <v>400.84071124794337</v>
      </c>
      <c r="ES201" s="528">
        <f t="shared" si="574"/>
        <v>0.63700000000000001</v>
      </c>
      <c r="EV201" s="460">
        <f t="shared" si="494"/>
        <v>637</v>
      </c>
      <c r="EW201" s="528">
        <f t="shared" si="575"/>
        <v>0.14212025706666667</v>
      </c>
      <c r="EX201" s="528">
        <f t="shared" si="576"/>
        <v>8.4595391111111154E-2</v>
      </c>
      <c r="EY201" s="528">
        <f t="shared" si="577"/>
        <v>0.3118552850269824</v>
      </c>
      <c r="EZ201" s="528"/>
      <c r="FA201" s="528">
        <f t="shared" si="578"/>
        <v>1.2436666666666665E-2</v>
      </c>
      <c r="FB201" s="460">
        <f t="shared" si="579"/>
        <v>551.00759987142692</v>
      </c>
      <c r="FC201" s="173">
        <f t="shared" si="580"/>
        <v>1.5888483111193703</v>
      </c>
      <c r="FD201" s="5">
        <f t="shared" si="581"/>
        <v>14.923999999999999</v>
      </c>
      <c r="FE201" s="173">
        <f t="shared" si="582"/>
        <v>0.90378108723681083</v>
      </c>
      <c r="FF201" s="5">
        <f t="shared" si="583"/>
        <v>90.378108723681081</v>
      </c>
      <c r="FI201" s="562">
        <f t="shared" si="584"/>
        <v>-50</v>
      </c>
      <c r="FJ201">
        <f t="shared" si="585"/>
        <v>-50</v>
      </c>
      <c r="FL201">
        <f t="shared" si="586"/>
        <v>0.37313432835820903</v>
      </c>
    </row>
    <row r="202" spans="5:168">
      <c r="E202" s="170">
        <v>92</v>
      </c>
      <c r="F202" s="217">
        <f t="shared" si="587"/>
        <v>0.92</v>
      </c>
      <c r="G202" s="217"/>
      <c r="H202" s="217">
        <f t="shared" si="495"/>
        <v>15.087999999999999</v>
      </c>
      <c r="I202" s="541">
        <f t="shared" si="496"/>
        <v>9.8749008640066815</v>
      </c>
      <c r="J202" s="172">
        <f t="shared" si="497"/>
        <v>16.87505948159599</v>
      </c>
      <c r="K202" s="172">
        <f t="shared" si="498"/>
        <v>26.749960345602673</v>
      </c>
      <c r="L202" s="443"/>
      <c r="M202" s="217">
        <f t="shared" si="499"/>
        <v>0.63082921695824057</v>
      </c>
      <c r="N202" s="172">
        <f t="shared" si="500"/>
        <v>20.842453798350068</v>
      </c>
      <c r="O202" s="172">
        <f t="shared" si="599"/>
        <v>15.087999999999999</v>
      </c>
      <c r="P202" s="217">
        <f t="shared" si="501"/>
        <v>1.2708813291676873</v>
      </c>
      <c r="Q202" s="217">
        <f t="shared" si="502"/>
        <v>16.399999999999999</v>
      </c>
      <c r="R202" s="217"/>
      <c r="S202" s="172">
        <f t="shared" si="503"/>
        <v>26.053045139032179</v>
      </c>
      <c r="T202" s="536">
        <f t="shared" si="504"/>
        <v>16.399999999999999</v>
      </c>
      <c r="U202" s="217">
        <f t="shared" si="505"/>
        <v>4.9841430701515339</v>
      </c>
      <c r="V202" s="217">
        <f t="shared" si="506"/>
        <v>6.0567409906686374</v>
      </c>
      <c r="W202" s="217">
        <f t="shared" si="507"/>
        <v>3.5442670235946214</v>
      </c>
      <c r="X202" s="197">
        <f t="shared" si="508"/>
        <v>350</v>
      </c>
      <c r="Y202" s="443">
        <f t="shared" si="509"/>
        <v>102.03032163066443</v>
      </c>
      <c r="AA202" s="217">
        <f t="shared" si="510"/>
        <v>1.4832201734136639</v>
      </c>
      <c r="AB202" s="173">
        <f t="shared" si="511"/>
        <v>1.0547306277868378</v>
      </c>
      <c r="AC202" s="173">
        <f t="shared" si="512"/>
        <v>0.27376960531387179</v>
      </c>
      <c r="AD202" s="173"/>
      <c r="AE202" s="173">
        <f t="shared" si="513"/>
        <v>0.94814480609384932</v>
      </c>
      <c r="AF202" s="545">
        <f t="shared" si="514"/>
        <v>1455.4738802876539</v>
      </c>
      <c r="AG202" s="528">
        <f t="shared" si="515"/>
        <v>0.22123378808856486</v>
      </c>
      <c r="AI202" s="173">
        <f t="shared" si="516"/>
        <v>2.7189856935006298</v>
      </c>
      <c r="AJ202" s="173">
        <f t="shared" si="517"/>
        <v>4.9841430701515339</v>
      </c>
      <c r="AK202" s="173">
        <f t="shared" si="518"/>
        <v>3.9043035087542224</v>
      </c>
      <c r="AM202" s="545">
        <f t="shared" si="519"/>
        <v>920</v>
      </c>
      <c r="AN202" s="460">
        <f t="shared" si="520"/>
        <v>102.03032163066443</v>
      </c>
      <c r="AP202">
        <f t="shared" si="521"/>
        <v>920</v>
      </c>
      <c r="AQ202">
        <f t="shared" si="522"/>
        <v>102.03032163066443</v>
      </c>
      <c r="AS202" s="5">
        <f t="shared" si="600"/>
        <v>9.8010080142632585</v>
      </c>
      <c r="AT202" s="5">
        <f t="shared" si="523"/>
        <v>6.0567409906686374</v>
      </c>
      <c r="AU202" s="5">
        <f t="shared" si="478"/>
        <v>3.7442670235946212</v>
      </c>
      <c r="AV202" s="5"/>
      <c r="AW202" s="173">
        <f t="shared" si="479"/>
        <v>0.61797123131155018</v>
      </c>
      <c r="AX202" s="173">
        <f t="shared" si="596"/>
        <v>15.207628913834883</v>
      </c>
      <c r="AY202" s="173">
        <f t="shared" si="597"/>
        <v>0.95204302002853025</v>
      </c>
      <c r="AZ202" s="173">
        <f t="shared" si="601"/>
        <v>15.973678283339707</v>
      </c>
      <c r="BA202" s="460">
        <f t="shared" si="594"/>
        <v>33.976839703750898</v>
      </c>
      <c r="BB202" s="5">
        <f t="shared" si="595"/>
        <v>4.7674318988111279</v>
      </c>
      <c r="BD202" s="173">
        <f t="shared" si="602"/>
        <v>2.2621114695653177</v>
      </c>
      <c r="BE202" s="173">
        <f t="shared" si="598"/>
        <v>1.7785984408631677</v>
      </c>
      <c r="BG202" s="528">
        <f t="shared" si="480"/>
        <v>0.10234296601477923</v>
      </c>
      <c r="BH202" s="528">
        <f t="shared" si="524"/>
        <v>0.2550610660837202</v>
      </c>
      <c r="BI202" s="528">
        <f t="shared" si="525"/>
        <v>2.5188482780638195E-2</v>
      </c>
      <c r="BJ202" s="528">
        <f t="shared" si="481"/>
        <v>7.3008855563628907E-3</v>
      </c>
      <c r="BK202">
        <f t="shared" si="482"/>
        <v>4.4437053888030063E-3</v>
      </c>
      <c r="BL202" s="460">
        <f t="shared" si="588"/>
        <v>29.6321881694412</v>
      </c>
      <c r="BM202" s="528">
        <f t="shared" si="526"/>
        <v>0.40211563931148936</v>
      </c>
      <c r="BN202" s="460">
        <f t="shared" si="527"/>
        <v>402.11563931148936</v>
      </c>
      <c r="BO202" s="528">
        <f t="shared" si="483"/>
        <v>0.64400000000000002</v>
      </c>
      <c r="BR202" s="460">
        <f t="shared" si="484"/>
        <v>644</v>
      </c>
      <c r="BS202" s="528">
        <f t="shared" si="485"/>
        <v>0.15351444902216882</v>
      </c>
      <c r="BT202" s="528">
        <f t="shared" si="486"/>
        <v>9.4902372415226727E-2</v>
      </c>
      <c r="BU202" s="528">
        <f t="shared" si="487"/>
        <v>0.29158783024845664</v>
      </c>
      <c r="BV202" s="528"/>
      <c r="BW202" s="528">
        <f t="shared" si="488"/>
        <v>1.2673024094862404E-2</v>
      </c>
      <c r="BX202" s="460">
        <f t="shared" si="489"/>
        <v>552.67767578071459</v>
      </c>
      <c r="BY202" s="173">
        <f t="shared" si="490"/>
        <v>1.591014781605018</v>
      </c>
      <c r="BZ202" s="5">
        <f t="shared" si="491"/>
        <v>15.087999999999999</v>
      </c>
      <c r="CA202" s="173">
        <f t="shared" si="492"/>
        <v>0.90460978646294399</v>
      </c>
      <c r="CB202" s="5">
        <f t="shared" si="493"/>
        <v>90.460978646294393</v>
      </c>
      <c r="CE202" s="562">
        <f t="shared" si="528"/>
        <v>-50</v>
      </c>
      <c r="CF202">
        <f t="shared" si="529"/>
        <v>-50</v>
      </c>
      <c r="CG202" s="173">
        <f t="shared" si="530"/>
        <v>0.36770837492000591</v>
      </c>
      <c r="CI202" s="170">
        <v>92</v>
      </c>
      <c r="CJ202" s="217">
        <f t="shared" si="589"/>
        <v>0.92</v>
      </c>
      <c r="CK202" s="217"/>
      <c r="CL202" s="217">
        <f t="shared" si="531"/>
        <v>15.087999999999999</v>
      </c>
      <c r="CM202" s="541">
        <f t="shared" si="532"/>
        <v>10</v>
      </c>
      <c r="CN202" s="443">
        <f t="shared" si="533"/>
        <v>16.799999999999997</v>
      </c>
      <c r="CO202" s="443">
        <f t="shared" si="534"/>
        <v>26.799999999999997</v>
      </c>
      <c r="CP202" s="443"/>
      <c r="CQ202" s="217">
        <f t="shared" si="535"/>
        <v>0.62686567164179097</v>
      </c>
      <c r="CR202" s="172">
        <f t="shared" si="590"/>
        <v>20.973880597014926</v>
      </c>
      <c r="CS202" s="172">
        <f t="shared" si="536"/>
        <v>15.087999999999999</v>
      </c>
      <c r="CT202" s="217">
        <f t="shared" si="537"/>
        <v>1.2788951583545687</v>
      </c>
      <c r="CU202" s="217">
        <f t="shared" si="538"/>
        <v>16.399999999999999</v>
      </c>
      <c r="CV202" s="217"/>
      <c r="CW202" s="172">
        <f t="shared" si="539"/>
        <v>26.381242327133435</v>
      </c>
      <c r="CX202" s="536">
        <f t="shared" si="540"/>
        <v>16.399999999999999</v>
      </c>
      <c r="CY202" s="217">
        <f t="shared" si="541"/>
        <v>4.8137904761904764</v>
      </c>
      <c r="CZ202" s="217">
        <f t="shared" si="542"/>
        <v>5.776548571428572</v>
      </c>
      <c r="DA202" s="217">
        <f t="shared" si="543"/>
        <v>3.4384217687074838</v>
      </c>
      <c r="DB202" s="197">
        <f t="shared" si="544"/>
        <v>350</v>
      </c>
      <c r="DC202" s="443">
        <f t="shared" si="545"/>
        <v>108.51906876406021</v>
      </c>
      <c r="DE202" s="217">
        <f t="shared" si="546"/>
        <v>1.4925373134328355</v>
      </c>
      <c r="DF202" s="173">
        <f t="shared" si="547"/>
        <v>1.0660980810234544</v>
      </c>
      <c r="DG202" s="173">
        <f t="shared" si="548"/>
        <v>0.27845845399866342</v>
      </c>
      <c r="DH202" s="173"/>
      <c r="DI202" s="173">
        <f t="shared" si="549"/>
        <v>0.95238095238095266</v>
      </c>
      <c r="DJ202" s="545">
        <f t="shared" si="550"/>
        <v>1448.9999999999995</v>
      </c>
      <c r="DK202" s="528">
        <f t="shared" si="551"/>
        <v>0.22222222222222232</v>
      </c>
      <c r="DM202" s="173">
        <f t="shared" si="552"/>
        <v>2.7129319932501068</v>
      </c>
      <c r="DN202" s="173">
        <f t="shared" si="553"/>
        <v>4.8137904761904764</v>
      </c>
      <c r="DO202" s="173">
        <f t="shared" si="554"/>
        <v>3.7781164021164022</v>
      </c>
      <c r="DQ202" s="545">
        <f t="shared" si="555"/>
        <v>920</v>
      </c>
      <c r="DR202" s="460">
        <f t="shared" si="556"/>
        <v>108.51906876406021</v>
      </c>
      <c r="DT202">
        <f t="shared" si="591"/>
        <v>920</v>
      </c>
      <c r="DU202">
        <f t="shared" si="592"/>
        <v>108.51906876406021</v>
      </c>
      <c r="DW202" s="5">
        <f t="shared" si="557"/>
        <v>9.2149703401360554</v>
      </c>
      <c r="DX202" s="5">
        <f t="shared" si="558"/>
        <v>5.776548571428572</v>
      </c>
      <c r="DY202" s="5">
        <f t="shared" si="559"/>
        <v>3.4384217687074834</v>
      </c>
      <c r="DZ202" s="5"/>
      <c r="EA202" s="173">
        <f t="shared" si="560"/>
        <v>0.62686567164179108</v>
      </c>
      <c r="EB202" s="173">
        <f t="shared" si="561"/>
        <v>15.087999999999997</v>
      </c>
      <c r="EC202" s="173">
        <f t="shared" si="562"/>
        <v>0.89809523809523806</v>
      </c>
      <c r="ED202" s="173">
        <f t="shared" si="563"/>
        <v>16.799999999999997</v>
      </c>
      <c r="EE202" s="460">
        <f t="shared" si="564"/>
        <v>32.405028571428581</v>
      </c>
      <c r="EF202" s="5">
        <f t="shared" si="565"/>
        <v>4.3232423038548751</v>
      </c>
      <c r="EH202" s="173">
        <f t="shared" si="566"/>
        <v>2.2004616289127745</v>
      </c>
      <c r="EI202" s="173">
        <f t="shared" si="567"/>
        <v>1.6976930040214131</v>
      </c>
      <c r="EK202" s="528">
        <f t="shared" si="568"/>
        <v>9.6840627606349219E-2</v>
      </c>
      <c r="EL202" s="528">
        <f t="shared" si="569"/>
        <v>0.27999999999999992</v>
      </c>
      <c r="EM202" s="528">
        <f t="shared" si="570"/>
        <v>1.3564883595507525E-2</v>
      </c>
      <c r="EN202" s="528">
        <f t="shared" si="571"/>
        <v>7.794273594909861E-3</v>
      </c>
      <c r="EO202">
        <f t="shared" si="572"/>
        <v>4.4999999999999997E-3</v>
      </c>
      <c r="EP202" s="460">
        <f t="shared" si="573"/>
        <v>18.064883595507524</v>
      </c>
      <c r="EQ202" s="460"/>
      <c r="ER202" s="460">
        <f t="shared" si="593"/>
        <v>402.69978479676649</v>
      </c>
      <c r="ES202" s="528">
        <f t="shared" si="574"/>
        <v>0.64400000000000002</v>
      </c>
      <c r="EV202" s="460">
        <f t="shared" si="494"/>
        <v>644</v>
      </c>
      <c r="EW202" s="528">
        <f t="shared" si="575"/>
        <v>0.14526094140952381</v>
      </c>
      <c r="EX202" s="528">
        <f t="shared" si="576"/>
        <v>8.6464846077097493E-2</v>
      </c>
      <c r="EY202" s="528">
        <f t="shared" si="577"/>
        <v>0.31185528502698284</v>
      </c>
      <c r="EZ202" s="528"/>
      <c r="FA202" s="528">
        <f t="shared" si="578"/>
        <v>1.2573333333333332E-2</v>
      </c>
      <c r="FB202" s="460">
        <f t="shared" si="579"/>
        <v>556.15440584693738</v>
      </c>
      <c r="FC202" s="173">
        <f t="shared" si="580"/>
        <v>1.6028541906437042</v>
      </c>
      <c r="FD202" s="5">
        <f t="shared" si="581"/>
        <v>15.087999999999999</v>
      </c>
      <c r="FE202" s="173">
        <f t="shared" si="582"/>
        <v>0.90396811497267715</v>
      </c>
      <c r="FF202" s="5">
        <f t="shared" si="583"/>
        <v>90.39681149726772</v>
      </c>
      <c r="FI202" s="562">
        <f t="shared" si="584"/>
        <v>-50</v>
      </c>
      <c r="FJ202">
        <f t="shared" si="585"/>
        <v>-50</v>
      </c>
      <c r="FL202">
        <f t="shared" si="586"/>
        <v>0.37313432835820892</v>
      </c>
    </row>
    <row r="203" spans="5:168">
      <c r="E203" s="170">
        <v>93</v>
      </c>
      <c r="F203" s="217">
        <f t="shared" si="587"/>
        <v>0.93</v>
      </c>
      <c r="G203" s="217"/>
      <c r="H203" s="217">
        <f t="shared" si="495"/>
        <v>15.251999999999999</v>
      </c>
      <c r="I203" s="541">
        <f t="shared" si="496"/>
        <v>9.8735611525997236</v>
      </c>
      <c r="J203" s="172">
        <f t="shared" si="497"/>
        <v>16.875863308440163</v>
      </c>
      <c r="K203" s="172">
        <f t="shared" si="498"/>
        <v>26.749424461039887</v>
      </c>
      <c r="L203" s="443"/>
      <c r="M203" s="217">
        <f t="shared" si="499"/>
        <v>0.63087190905426216</v>
      </c>
      <c r="N203" s="172">
        <f t="shared" si="500"/>
        <v>20.841036483017437</v>
      </c>
      <c r="O203" s="172">
        <f t="shared" si="599"/>
        <v>15.251999999999999</v>
      </c>
      <c r="P203" s="217">
        <f t="shared" si="501"/>
        <v>1.2707949075010634</v>
      </c>
      <c r="Q203" s="217">
        <f t="shared" si="502"/>
        <v>16.399999999999999</v>
      </c>
      <c r="R203" s="217"/>
      <c r="S203" s="172">
        <f t="shared" si="503"/>
        <v>25.667057099234366</v>
      </c>
      <c r="T203" s="536">
        <f t="shared" si="504"/>
        <v>16.399999999999999</v>
      </c>
      <c r="U203" s="217">
        <f t="shared" si="505"/>
        <v>5.0389012530434103</v>
      </c>
      <c r="V203" s="217">
        <f t="shared" si="506"/>
        <v>6.1241140964220317</v>
      </c>
      <c r="W203" s="217">
        <f t="shared" si="507"/>
        <v>3.5830353642577517</v>
      </c>
      <c r="X203" s="197">
        <f t="shared" si="508"/>
        <v>350</v>
      </c>
      <c r="Y203" s="443">
        <f t="shared" si="509"/>
        <v>100.93720741459215</v>
      </c>
      <c r="AA203" s="217">
        <f t="shared" si="510"/>
        <v>1.4831193010159929</v>
      </c>
      <c r="AB203" s="173">
        <f t="shared" si="511"/>
        <v>1.0546086613116168</v>
      </c>
      <c r="AC203" s="173">
        <f t="shared" si="512"/>
        <v>0.27371933060673198</v>
      </c>
      <c r="AD203" s="173"/>
      <c r="AE203" s="173">
        <f t="shared" si="513"/>
        <v>0.94809964430073845</v>
      </c>
      <c r="AF203" s="545">
        <f t="shared" si="514"/>
        <v>1471.3643322046264</v>
      </c>
      <c r="AG203" s="528">
        <f t="shared" si="515"/>
        <v>0.22122325033683901</v>
      </c>
      <c r="AI203" s="173">
        <f t="shared" si="516"/>
        <v>2.7337879595944345</v>
      </c>
      <c r="AJ203" s="173">
        <f t="shared" si="517"/>
        <v>5.0389012530434103</v>
      </c>
      <c r="AK203" s="173">
        <f t="shared" si="518"/>
        <v>3.9448651257111678</v>
      </c>
      <c r="AM203" s="545">
        <f t="shared" si="519"/>
        <v>930</v>
      </c>
      <c r="AN203" s="460">
        <f t="shared" si="520"/>
        <v>100.93720741459215</v>
      </c>
      <c r="AP203">
        <f t="shared" si="521"/>
        <v>930</v>
      </c>
      <c r="AQ203">
        <f t="shared" si="522"/>
        <v>100.93720741459215</v>
      </c>
      <c r="AS203" s="5">
        <f t="shared" si="600"/>
        <v>9.9071494606797827</v>
      </c>
      <c r="AT203" s="5">
        <f t="shared" si="523"/>
        <v>6.1241140964220317</v>
      </c>
      <c r="AU203" s="5">
        <f t="shared" si="478"/>
        <v>3.783035364257751</v>
      </c>
      <c r="AV203" s="5"/>
      <c r="AW203" s="173">
        <f t="shared" si="479"/>
        <v>0.6181509747811782</v>
      </c>
      <c r="AX203" s="173">
        <f t="shared" si="596"/>
        <v>15.377092637207639</v>
      </c>
      <c r="AY203" s="173">
        <f t="shared" si="597"/>
        <v>0.96204976582426294</v>
      </c>
      <c r="AZ203" s="173">
        <f t="shared" si="601"/>
        <v>15.983676919283782</v>
      </c>
      <c r="BA203" s="460">
        <f t="shared" si="594"/>
        <v>34.72820798580787</v>
      </c>
      <c r="BB203" s="5">
        <f t="shared" si="595"/>
        <v>4.8698112805080305</v>
      </c>
      <c r="BD203" s="173">
        <f t="shared" si="602"/>
        <v>2.287296679264152</v>
      </c>
      <c r="BE203" s="173">
        <f t="shared" si="598"/>
        <v>1.7977159157297349</v>
      </c>
      <c r="BG203" s="528">
        <f t="shared" si="480"/>
        <v>0.10463452197945636</v>
      </c>
      <c r="BH203" s="528">
        <f t="shared" si="524"/>
        <v>0.25509552906062793</v>
      </c>
      <c r="BI203" s="528">
        <f t="shared" si="525"/>
        <v>2.491524224951544E-2</v>
      </c>
      <c r="BJ203" s="528">
        <f t="shared" si="481"/>
        <v>7.2223772522735574E-3</v>
      </c>
      <c r="BK203">
        <f t="shared" si="482"/>
        <v>4.4431025186698753E-3</v>
      </c>
      <c r="BL203" s="460">
        <f t="shared" si="588"/>
        <v>29.358344768185315</v>
      </c>
      <c r="BM203" s="528">
        <f t="shared" si="526"/>
        <v>0.40527946790482378</v>
      </c>
      <c r="BN203" s="460">
        <f t="shared" si="527"/>
        <v>405.27946790482378</v>
      </c>
      <c r="BO203" s="528">
        <f t="shared" si="483"/>
        <v>0.65100000000000002</v>
      </c>
      <c r="BR203" s="460">
        <f t="shared" si="484"/>
        <v>651</v>
      </c>
      <c r="BS203" s="528">
        <f t="shared" si="485"/>
        <v>0.15695178296918452</v>
      </c>
      <c r="BT203" s="528">
        <f t="shared" si="486"/>
        <v>9.6953475410039971E-2</v>
      </c>
      <c r="BU203" s="528">
        <f t="shared" si="487"/>
        <v>0.29170094506433025</v>
      </c>
      <c r="BV203" s="528"/>
      <c r="BW203" s="528">
        <f t="shared" si="488"/>
        <v>1.2814243864339698E-2</v>
      </c>
      <c r="BX203" s="460">
        <f t="shared" si="489"/>
        <v>558.42044730789439</v>
      </c>
      <c r="BY203" s="173">
        <f t="shared" si="490"/>
        <v>1.6057312203684375</v>
      </c>
      <c r="BZ203" s="5">
        <f t="shared" si="491"/>
        <v>15.251999999999999</v>
      </c>
      <c r="CA203" s="173">
        <f t="shared" si="492"/>
        <v>0.90474808268218776</v>
      </c>
      <c r="CB203" s="5">
        <f t="shared" si="493"/>
        <v>90.47480826821878</v>
      </c>
      <c r="CE203" s="562">
        <f t="shared" si="528"/>
        <v>-50</v>
      </c>
      <c r="CF203">
        <f t="shared" si="529"/>
        <v>-50</v>
      </c>
      <c r="CG203" s="173">
        <f t="shared" si="530"/>
        <v>0.36776671850536302</v>
      </c>
      <c r="CI203" s="170">
        <v>93</v>
      </c>
      <c r="CJ203" s="217">
        <f t="shared" si="589"/>
        <v>0.93</v>
      </c>
      <c r="CK203" s="217"/>
      <c r="CL203" s="217">
        <f t="shared" si="531"/>
        <v>15.251999999999999</v>
      </c>
      <c r="CM203" s="541">
        <f t="shared" si="532"/>
        <v>10</v>
      </c>
      <c r="CN203" s="443">
        <f t="shared" si="533"/>
        <v>16.799999999999997</v>
      </c>
      <c r="CO203" s="443">
        <f t="shared" si="534"/>
        <v>26.799999999999997</v>
      </c>
      <c r="CP203" s="443"/>
      <c r="CQ203" s="217">
        <f t="shared" si="535"/>
        <v>0.62686567164179097</v>
      </c>
      <c r="CR203" s="172">
        <f t="shared" si="590"/>
        <v>20.973880597014926</v>
      </c>
      <c r="CS203" s="172">
        <f t="shared" si="536"/>
        <v>15.251999999999999</v>
      </c>
      <c r="CT203" s="217">
        <f t="shared" si="537"/>
        <v>1.2788951583545687</v>
      </c>
      <c r="CU203" s="217">
        <f t="shared" si="538"/>
        <v>16.399999999999999</v>
      </c>
      <c r="CV203" s="217"/>
      <c r="CW203" s="172">
        <f t="shared" si="539"/>
        <v>25.993844394876735</v>
      </c>
      <c r="CX203" s="536">
        <f t="shared" si="540"/>
        <v>16.399999999999999</v>
      </c>
      <c r="CY203" s="217">
        <f t="shared" si="541"/>
        <v>4.8661142857142856</v>
      </c>
      <c r="CZ203" s="217">
        <f t="shared" si="542"/>
        <v>5.8393371428571426</v>
      </c>
      <c r="DA203" s="217">
        <f t="shared" si="543"/>
        <v>3.4757959183673472</v>
      </c>
      <c r="DB203" s="197">
        <f t="shared" si="544"/>
        <v>350</v>
      </c>
      <c r="DC203" s="443">
        <f t="shared" si="545"/>
        <v>107.35219705691979</v>
      </c>
      <c r="DE203" s="217">
        <f t="shared" si="546"/>
        <v>1.4925373134328355</v>
      </c>
      <c r="DF203" s="173">
        <f t="shared" si="547"/>
        <v>1.0660980810234544</v>
      </c>
      <c r="DG203" s="173">
        <f t="shared" si="548"/>
        <v>0.27845845399866342</v>
      </c>
      <c r="DH203" s="173"/>
      <c r="DI203" s="173">
        <f t="shared" si="549"/>
        <v>0.95238095238095266</v>
      </c>
      <c r="DJ203" s="545">
        <f t="shared" si="550"/>
        <v>1464.7499999999995</v>
      </c>
      <c r="DK203" s="528">
        <f t="shared" si="551"/>
        <v>0.22222222222222232</v>
      </c>
      <c r="DM203" s="173">
        <f t="shared" si="552"/>
        <v>2.7276363393971708</v>
      </c>
      <c r="DN203" s="173">
        <f t="shared" si="553"/>
        <v>4.8661142857142856</v>
      </c>
      <c r="DO203" s="173">
        <f t="shared" si="554"/>
        <v>3.8168747795414459</v>
      </c>
      <c r="DQ203" s="545">
        <f t="shared" si="555"/>
        <v>930</v>
      </c>
      <c r="DR203" s="460">
        <f t="shared" si="556"/>
        <v>107.35219705691979</v>
      </c>
      <c r="DT203">
        <f t="shared" si="591"/>
        <v>930</v>
      </c>
      <c r="DU203">
        <f t="shared" si="592"/>
        <v>107.35219705691979</v>
      </c>
      <c r="DW203" s="5">
        <f t="shared" si="557"/>
        <v>9.3151330612244898</v>
      </c>
      <c r="DX203" s="5">
        <f t="shared" si="558"/>
        <v>5.8393371428571426</v>
      </c>
      <c r="DY203" s="5">
        <f t="shared" si="559"/>
        <v>3.4757959183673472</v>
      </c>
      <c r="DZ203" s="5"/>
      <c r="EA203" s="173">
        <f t="shared" si="560"/>
        <v>0.62686567164179097</v>
      </c>
      <c r="EB203" s="173">
        <f t="shared" si="561"/>
        <v>15.251999999999999</v>
      </c>
      <c r="EC203" s="173">
        <f t="shared" si="562"/>
        <v>0.90785714285714303</v>
      </c>
      <c r="ED203" s="173">
        <f t="shared" si="563"/>
        <v>16.799999999999997</v>
      </c>
      <c r="EE203" s="460">
        <f t="shared" si="564"/>
        <v>33.113314285714289</v>
      </c>
      <c r="EF203" s="5">
        <f t="shared" si="565"/>
        <v>4.4177366122448971</v>
      </c>
      <c r="EH203" s="173">
        <f t="shared" si="566"/>
        <v>2.2243796900966086</v>
      </c>
      <c r="EI203" s="173">
        <f t="shared" si="567"/>
        <v>1.7161461888477332</v>
      </c>
      <c r="EK203" s="528">
        <f t="shared" si="568"/>
        <v>9.895730011428569E-2</v>
      </c>
      <c r="EL203" s="528">
        <f t="shared" si="569"/>
        <v>0.27999999999999992</v>
      </c>
      <c r="EM203" s="528">
        <f t="shared" si="570"/>
        <v>1.3419024632114973E-2</v>
      </c>
      <c r="EN203" s="528">
        <f t="shared" si="571"/>
        <v>7.7104642014162068E-3</v>
      </c>
      <c r="EO203">
        <f t="shared" si="572"/>
        <v>4.4999999999999997E-3</v>
      </c>
      <c r="EP203" s="460">
        <f t="shared" si="573"/>
        <v>17.919024632114972</v>
      </c>
      <c r="EQ203" s="460"/>
      <c r="ER203" s="460">
        <f t="shared" si="593"/>
        <v>404.58678894781679</v>
      </c>
      <c r="ES203" s="528">
        <f t="shared" si="574"/>
        <v>0.65100000000000002</v>
      </c>
      <c r="EV203" s="460">
        <f t="shared" si="494"/>
        <v>651</v>
      </c>
      <c r="EW203" s="528">
        <f t="shared" si="575"/>
        <v>0.14843595017142852</v>
      </c>
      <c r="EX203" s="528">
        <f t="shared" si="576"/>
        <v>8.8354732244897968E-2</v>
      </c>
      <c r="EY203" s="528">
        <f t="shared" si="577"/>
        <v>0.31185528502698256</v>
      </c>
      <c r="EZ203" s="528"/>
      <c r="FA203" s="528">
        <f t="shared" si="578"/>
        <v>1.2709999999999999E-2</v>
      </c>
      <c r="FB203" s="460">
        <f t="shared" si="579"/>
        <v>561.35596744330905</v>
      </c>
      <c r="FC203" s="173">
        <f t="shared" si="580"/>
        <v>1.6169427563911258</v>
      </c>
      <c r="FD203" s="5">
        <f t="shared" si="581"/>
        <v>15.251999999999999</v>
      </c>
      <c r="FE203" s="173">
        <f t="shared" si="582"/>
        <v>0.904146763686271</v>
      </c>
      <c r="FF203" s="5">
        <f t="shared" si="583"/>
        <v>90.414676368627099</v>
      </c>
      <c r="FI203" s="562">
        <f t="shared" si="584"/>
        <v>-50</v>
      </c>
      <c r="FJ203">
        <f t="shared" si="585"/>
        <v>-50</v>
      </c>
      <c r="FL203">
        <f t="shared" si="586"/>
        <v>0.37313432835820903</v>
      </c>
    </row>
    <row r="204" spans="5:168">
      <c r="E204" s="170">
        <v>94</v>
      </c>
      <c r="F204" s="217">
        <f t="shared" si="587"/>
        <v>0.94</v>
      </c>
      <c r="G204" s="217"/>
      <c r="H204" s="217">
        <f t="shared" si="495"/>
        <v>15.415999999999999</v>
      </c>
      <c r="I204" s="541">
        <f>VIN_min-F204*(Rdcr_pri+RON/1000)/CG204/Nps</f>
        <v>9.8722214349638371</v>
      </c>
      <c r="J204" s="172">
        <f t="shared" si="497"/>
        <v>16.876667139021695</v>
      </c>
      <c r="K204" s="172">
        <f t="shared" si="498"/>
        <v>26.748888573985532</v>
      </c>
      <c r="L204" s="443"/>
      <c r="M204" s="217">
        <f t="shared" si="499"/>
        <v>0.63091460300730418</v>
      </c>
      <c r="N204" s="172">
        <f t="shared" si="500"/>
        <v>20.839618833144367</v>
      </c>
      <c r="O204" s="172">
        <f t="shared" si="599"/>
        <v>15.415999999999999</v>
      </c>
      <c r="P204" s="217">
        <f t="shared" si="501"/>
        <v>1.2707084654356322</v>
      </c>
      <c r="Q204" s="217">
        <f t="shared" si="502"/>
        <v>16.399999999999999</v>
      </c>
      <c r="R204" s="217"/>
      <c r="S204" s="172">
        <f>(SQRT(Isw_max^2*Nps^2*I204^2+4*Isw_max*F204/Efficiency*(Nps^2*Vfwd1*I204-Nps*I204^2)+4*(F204/Efficiency)^2*Nps^2*Vfwd1^2+8*(F204/Efficiency)^2*Nps*Vfwd1*I204+4*(F204/Efficiency)^2*I204^2)-2*0*F204/Efficiency*I204-2*F204/Efficiency*Nps*Vfwd1+Isw_max*Nps*I204)/(4*F204/Efficiency*Nps)</f>
        <v>30.225483526717081</v>
      </c>
      <c r="T204" s="536">
        <f t="shared" si="504"/>
        <v>16.399999999999999</v>
      </c>
      <c r="U204" s="217">
        <f t="shared" si="505"/>
        <v>5.0936721293180982</v>
      </c>
      <c r="V204" s="217">
        <f t="shared" si="506"/>
        <v>6.1915209210500333</v>
      </c>
      <c r="W204" s="217">
        <f t="shared" si="507"/>
        <v>3.6218090366010749</v>
      </c>
      <c r="X204" s="197">
        <f t="shared" si="508"/>
        <v>350</v>
      </c>
      <c r="Y204" s="443">
        <f t="shared" si="509"/>
        <v>99.86687787471817</v>
      </c>
      <c r="AA204" s="217">
        <f t="shared" si="510"/>
        <v>1.4830184049362487</v>
      </c>
      <c r="AB204" s="173">
        <f t="shared" si="511"/>
        <v>1.0544866893823559</v>
      </c>
      <c r="AC204" s="173">
        <f t="shared" si="512"/>
        <v>0.27366905442000722</v>
      </c>
      <c r="AD204" s="173"/>
      <c r="AE204" s="173">
        <f t="shared" si="513"/>
        <v>0.94805448659974512</v>
      </c>
      <c r="AF204" s="545">
        <f t="shared" si="514"/>
        <v>1487.2562916262864</v>
      </c>
      <c r="AG204" s="528">
        <f t="shared" si="515"/>
        <v>0.22121271353994054</v>
      </c>
      <c r="AI204" s="173">
        <f t="shared" si="516"/>
        <v>2.7485119013299846</v>
      </c>
      <c r="AJ204" s="173">
        <f t="shared" si="517"/>
        <v>5.0936721293180982</v>
      </c>
      <c r="AK204" s="173">
        <f t="shared" si="518"/>
        <v>3.9854361451738995</v>
      </c>
      <c r="AM204" s="545">
        <f t="shared" si="519"/>
        <v>940</v>
      </c>
      <c r="AN204" s="460">
        <f t="shared" si="520"/>
        <v>99.86687787471817</v>
      </c>
      <c r="AP204">
        <f t="shared" si="521"/>
        <v>940</v>
      </c>
      <c r="AQ204">
        <f t="shared" si="522"/>
        <v>99.86687787471817</v>
      </c>
      <c r="AS204" s="5">
        <f t="shared" si="600"/>
        <v>10.013329957651107</v>
      </c>
      <c r="AT204" s="5">
        <f t="shared" si="523"/>
        <v>6.1915209210500333</v>
      </c>
      <c r="AU204" s="5">
        <f t="shared" si="478"/>
        <v>3.8218090366010742</v>
      </c>
      <c r="AV204" s="5"/>
      <c r="AW204" s="173">
        <f t="shared" si="479"/>
        <v>0.61832786368126624</v>
      </c>
      <c r="AX204" s="173">
        <f t="shared" si="596"/>
        <v>15.546573939372019</v>
      </c>
      <c r="AY204" s="173">
        <f t="shared" si="597"/>
        <v>0.97205636165201603</v>
      </c>
      <c r="AZ204" s="173">
        <f t="shared" si="601"/>
        <v>15.993490246749188</v>
      </c>
      <c r="BA204" s="460">
        <f t="shared" si="594"/>
        <v>35.487985766994093</v>
      </c>
      <c r="BB204" s="5">
        <f t="shared" si="595"/>
        <v>4.9732987737676586</v>
      </c>
      <c r="BD204" s="173">
        <f t="shared" si="602"/>
        <v>2.3124894930244557</v>
      </c>
      <c r="BE204" s="173">
        <f t="shared" si="598"/>
        <v>1.8168354167752285</v>
      </c>
      <c r="BG204" s="528">
        <f t="shared" si="480"/>
        <v>0.10695215310697009</v>
      </c>
      <c r="BH204" s="528">
        <f t="shared" si="524"/>
        <v>0.25512879231193802</v>
      </c>
      <c r="BI204" s="528">
        <f t="shared" si="525"/>
        <v>2.4647698309942713E-2</v>
      </c>
      <c r="BJ204" s="528">
        <f t="shared" si="481"/>
        <v>7.1455054709026484E-3</v>
      </c>
      <c r="BK204">
        <f t="shared" si="482"/>
        <v>4.4424996457337268E-3</v>
      </c>
      <c r="BL204" s="460">
        <f t="shared" si="588"/>
        <v>29.090197955676437</v>
      </c>
      <c r="BM204" s="528">
        <f t="shared" si="526"/>
        <v>0.4084838551583983</v>
      </c>
      <c r="BN204" s="460">
        <f t="shared" si="527"/>
        <v>408.48385515839828</v>
      </c>
      <c r="BO204" s="528">
        <f t="shared" si="483"/>
        <v>0.65799999999999992</v>
      </c>
      <c r="BR204" s="460">
        <f t="shared" si="484"/>
        <v>657.99999999999989</v>
      </c>
      <c r="BS204" s="528">
        <f t="shared" si="485"/>
        <v>0.16042822966045511</v>
      </c>
      <c r="BT204" s="528">
        <f t="shared" si="486"/>
        <v>9.9026727949464544E-2</v>
      </c>
      <c r="BU204" s="528">
        <f t="shared" si="487"/>
        <v>0.29181066024510149</v>
      </c>
      <c r="BV204" s="528"/>
      <c r="BW204" s="528">
        <f t="shared" si="488"/>
        <v>1.2955478282810013E-2</v>
      </c>
      <c r="BX204" s="460">
        <f t="shared" si="489"/>
        <v>564.22109613783107</v>
      </c>
      <c r="BY204" s="173">
        <f t="shared" si="490"/>
        <v>1.6205377449833183</v>
      </c>
      <c r="BZ204" s="5">
        <f t="shared" si="491"/>
        <v>15.415999999999999</v>
      </c>
      <c r="CA204" s="173">
        <f t="shared" si="492"/>
        <v>0.90487869253478381</v>
      </c>
      <c r="CB204" s="5">
        <f t="shared" si="493"/>
        <v>90.48786925347838</v>
      </c>
      <c r="CE204" s="562">
        <f t="shared" si="528"/>
        <v>-50</v>
      </c>
      <c r="CF204">
        <f t="shared" si="529"/>
        <v>-50</v>
      </c>
      <c r="CG204" s="173">
        <f t="shared" si="530"/>
        <v>0.36782382073784015</v>
      </c>
      <c r="CI204" s="170">
        <v>94</v>
      </c>
      <c r="CJ204" s="217">
        <f t="shared" si="589"/>
        <v>0.94</v>
      </c>
      <c r="CK204" s="217"/>
      <c r="CL204" s="217">
        <f t="shared" si="531"/>
        <v>15.415999999999999</v>
      </c>
      <c r="CM204" s="541">
        <f t="shared" si="532"/>
        <v>10</v>
      </c>
      <c r="CN204" s="443">
        <f t="shared" si="533"/>
        <v>16.799999999999997</v>
      </c>
      <c r="CO204" s="443">
        <f t="shared" si="534"/>
        <v>26.799999999999997</v>
      </c>
      <c r="CP204" s="443"/>
      <c r="CQ204" s="217">
        <f t="shared" si="535"/>
        <v>0.62686567164179097</v>
      </c>
      <c r="CR204" s="172">
        <f t="shared" si="590"/>
        <v>20.973880597014926</v>
      </c>
      <c r="CS204" s="172">
        <f t="shared" si="536"/>
        <v>15.415999999999999</v>
      </c>
      <c r="CT204" s="217">
        <f t="shared" si="537"/>
        <v>1.2788951583545687</v>
      </c>
      <c r="CU204" s="217">
        <f t="shared" si="538"/>
        <v>16.399999999999999</v>
      </c>
      <c r="CV204" s="217"/>
      <c r="CW204" s="172">
        <f t="shared" si="539"/>
        <v>25.614751822256181</v>
      </c>
      <c r="CX204" s="536">
        <f t="shared" si="540"/>
        <v>16.399999999999999</v>
      </c>
      <c r="CY204" s="217">
        <f t="shared" si="541"/>
        <v>4.9184380952380948</v>
      </c>
      <c r="CZ204" s="217">
        <f t="shared" si="542"/>
        <v>5.902125714285714</v>
      </c>
      <c r="DA204" s="217">
        <f t="shared" si="543"/>
        <v>3.5131700680272111</v>
      </c>
      <c r="DB204" s="197">
        <f t="shared" si="544"/>
        <v>350</v>
      </c>
      <c r="DC204" s="443">
        <f t="shared" si="545"/>
        <v>106.2101524073781</v>
      </c>
      <c r="DE204" s="217">
        <f t="shared" si="546"/>
        <v>1.4925373134328355</v>
      </c>
      <c r="DF204" s="173">
        <f t="shared" si="547"/>
        <v>1.0660980810234544</v>
      </c>
      <c r="DG204" s="173">
        <f t="shared" si="548"/>
        <v>0.27845845399866342</v>
      </c>
      <c r="DH204" s="173"/>
      <c r="DI204" s="173">
        <f t="shared" si="549"/>
        <v>0.95238095238095266</v>
      </c>
      <c r="DJ204" s="545">
        <f t="shared" si="550"/>
        <v>1480.4999999999993</v>
      </c>
      <c r="DK204" s="528">
        <f t="shared" si="551"/>
        <v>0.22222222222222232</v>
      </c>
      <c r="DM204" s="173">
        <f t="shared" si="552"/>
        <v>2.7422618401604173</v>
      </c>
      <c r="DN204" s="173">
        <f t="shared" si="553"/>
        <v>4.9184380952380948</v>
      </c>
      <c r="DO204" s="173">
        <f t="shared" si="554"/>
        <v>3.8556331569664897</v>
      </c>
      <c r="DQ204" s="545">
        <f t="shared" si="555"/>
        <v>940</v>
      </c>
      <c r="DR204" s="460">
        <f t="shared" si="556"/>
        <v>106.2101524073781</v>
      </c>
      <c r="DT204">
        <f t="shared" si="591"/>
        <v>940</v>
      </c>
      <c r="DU204">
        <f t="shared" si="592"/>
        <v>106.2101524073781</v>
      </c>
      <c r="DW204" s="5">
        <f t="shared" si="557"/>
        <v>9.415295782312926</v>
      </c>
      <c r="DX204" s="5">
        <f t="shared" si="558"/>
        <v>5.902125714285714</v>
      </c>
      <c r="DY204" s="5">
        <f t="shared" si="559"/>
        <v>3.513170068027212</v>
      </c>
      <c r="DZ204" s="5"/>
      <c r="EA204" s="173">
        <f t="shared" si="560"/>
        <v>0.62686567164179097</v>
      </c>
      <c r="EB204" s="173">
        <f t="shared" si="561"/>
        <v>15.415999999999999</v>
      </c>
      <c r="EC204" s="173">
        <f t="shared" si="562"/>
        <v>0.91761904761904778</v>
      </c>
      <c r="ED204" s="173">
        <f t="shared" si="563"/>
        <v>16.799999999999997</v>
      </c>
      <c r="EE204" s="460">
        <f t="shared" si="564"/>
        <v>33.829257142857145</v>
      </c>
      <c r="EF204" s="5">
        <f t="shared" si="565"/>
        <v>4.5132524807256242</v>
      </c>
      <c r="EH204" s="173">
        <f t="shared" si="566"/>
        <v>2.2482977512804427</v>
      </c>
      <c r="EI204" s="173">
        <f t="shared" si="567"/>
        <v>1.7345993736740526</v>
      </c>
      <c r="EK204" s="528">
        <f t="shared" si="568"/>
        <v>0.10109685556825392</v>
      </c>
      <c r="EL204" s="528">
        <f t="shared" si="569"/>
        <v>0.27999999999999997</v>
      </c>
      <c r="EM204" s="528">
        <f t="shared" si="570"/>
        <v>1.3276269050922263E-2</v>
      </c>
      <c r="EN204" s="528">
        <f t="shared" si="571"/>
        <v>7.6284379865075242E-3</v>
      </c>
      <c r="EO204">
        <f t="shared" si="572"/>
        <v>4.4999999999999997E-3</v>
      </c>
      <c r="EP204" s="460">
        <f t="shared" si="573"/>
        <v>17.776269050922263</v>
      </c>
      <c r="EQ204" s="460"/>
      <c r="ER204" s="460">
        <f t="shared" si="593"/>
        <v>406.50156260568372</v>
      </c>
      <c r="ES204" s="528">
        <f t="shared" si="574"/>
        <v>0.65799999999999992</v>
      </c>
      <c r="EV204" s="460">
        <f t="shared" si="494"/>
        <v>657.99999999999989</v>
      </c>
      <c r="EW204" s="528">
        <f t="shared" si="575"/>
        <v>0.15164528335238087</v>
      </c>
      <c r="EX204" s="528">
        <f t="shared" si="576"/>
        <v>9.0265049614512455E-2</v>
      </c>
      <c r="EY204" s="528">
        <f t="shared" si="577"/>
        <v>0.31185528502698312</v>
      </c>
      <c r="EZ204" s="528"/>
      <c r="FA204" s="528">
        <f t="shared" si="578"/>
        <v>1.2846666666666664E-2</v>
      </c>
      <c r="FB204" s="460">
        <f t="shared" si="579"/>
        <v>566.6122846605432</v>
      </c>
      <c r="FC204" s="173">
        <f t="shared" si="580"/>
        <v>1.631113847266227</v>
      </c>
      <c r="FD204" s="5">
        <f t="shared" si="581"/>
        <v>15.415999999999999</v>
      </c>
      <c r="FE204" s="173">
        <f t="shared" si="582"/>
        <v>0.90431730192687132</v>
      </c>
      <c r="FF204" s="5">
        <f t="shared" si="583"/>
        <v>90.431730192687127</v>
      </c>
      <c r="FI204" s="562">
        <f t="shared" si="584"/>
        <v>-50</v>
      </c>
      <c r="FJ204">
        <f t="shared" si="585"/>
        <v>-50</v>
      </c>
      <c r="FL204">
        <f t="shared" si="586"/>
        <v>0.37313432835820903</v>
      </c>
    </row>
    <row r="205" spans="5:168">
      <c r="E205" s="170">
        <v>95</v>
      </c>
      <c r="F205" s="217">
        <f t="shared" si="587"/>
        <v>0.95</v>
      </c>
      <c r="G205" s="217"/>
      <c r="H205" s="217">
        <f t="shared" si="495"/>
        <v>15.579999999999998</v>
      </c>
      <c r="I205" s="541">
        <f t="shared" si="496"/>
        <v>9.8708817112985354</v>
      </c>
      <c r="J205" s="172">
        <f t="shared" si="497"/>
        <v>16.877470973220877</v>
      </c>
      <c r="K205" s="172">
        <f t="shared" si="498"/>
        <v>26.748352684519411</v>
      </c>
      <c r="L205" s="443"/>
      <c r="M205" s="217">
        <f t="shared" si="499"/>
        <v>0.6309572988128016</v>
      </c>
      <c r="N205" s="172">
        <f t="shared" si="500"/>
        <v>20.838200848973635</v>
      </c>
      <c r="O205" s="172">
        <f t="shared" si="599"/>
        <v>15.579999999999998</v>
      </c>
      <c r="P205" s="217">
        <f t="shared" si="501"/>
        <v>1.2706220029861974</v>
      </c>
      <c r="Q205" s="217">
        <f t="shared" si="502"/>
        <v>16.399999999999999</v>
      </c>
      <c r="R205" s="217"/>
      <c r="S205" s="172">
        <f t="shared" si="503"/>
        <v>24.919730718071254</v>
      </c>
      <c r="T205" s="536">
        <f t="shared" si="504"/>
        <v>16.399999999999999</v>
      </c>
      <c r="U205" s="217">
        <f t="shared" si="505"/>
        <v>5.1484557041441601</v>
      </c>
      <c r="V205" s="217">
        <f t="shared" si="506"/>
        <v>6.2589614845665524</v>
      </c>
      <c r="W205" s="217">
        <f t="shared" si="507"/>
        <v>3.660588043537877</v>
      </c>
      <c r="X205" s="197">
        <f t="shared" si="508"/>
        <v>350</v>
      </c>
      <c r="Y205" s="443">
        <f t="shared" si="509"/>
        <v>98.818627965875251</v>
      </c>
      <c r="AA205" s="217">
        <f t="shared" si="510"/>
        <v>1.4829174851877429</v>
      </c>
      <c r="AB205" s="173">
        <f t="shared" si="511"/>
        <v>1.0543647120168584</v>
      </c>
      <c r="AC205" s="173">
        <f t="shared" si="512"/>
        <v>0.27361877676257929</v>
      </c>
      <c r="AD205" s="173"/>
      <c r="AE205" s="173">
        <f t="shared" si="513"/>
        <v>0.94800933299703849</v>
      </c>
      <c r="AF205" s="545">
        <f t="shared" si="514"/>
        <v>1503.1497585524839</v>
      </c>
      <c r="AG205" s="528">
        <f t="shared" si="515"/>
        <v>0.221202177699309</v>
      </c>
      <c r="AI205" s="173">
        <f t="shared" si="516"/>
        <v>2.7631587707997416</v>
      </c>
      <c r="AJ205" s="173">
        <f t="shared" si="517"/>
        <v>5.1484557041441601</v>
      </c>
      <c r="AK205" s="173">
        <f t="shared" si="518"/>
        <v>4.0260165709709828</v>
      </c>
      <c r="AM205" s="545">
        <f t="shared" si="519"/>
        <v>950</v>
      </c>
      <c r="AN205" s="460">
        <f t="shared" si="520"/>
        <v>98.818627965875251</v>
      </c>
      <c r="AP205">
        <f t="shared" si="521"/>
        <v>950</v>
      </c>
      <c r="AQ205">
        <f t="shared" si="522"/>
        <v>98.818627965875251</v>
      </c>
      <c r="AS205" s="5">
        <f t="shared" si="600"/>
        <v>10.119549528104429</v>
      </c>
      <c r="AT205" s="5">
        <f t="shared" si="523"/>
        <v>6.2589614845665524</v>
      </c>
      <c r="AU205" s="5">
        <f t="shared" si="478"/>
        <v>3.8605880435378763</v>
      </c>
      <c r="AV205" s="5"/>
      <c r="AW205" s="173">
        <f t="shared" si="479"/>
        <v>0.61850198639612441</v>
      </c>
      <c r="AX205" s="173">
        <f t="shared" si="596"/>
        <v>15.716072774140388</v>
      </c>
      <c r="AY205" s="173">
        <f t="shared" si="597"/>
        <v>0.98206281212926982</v>
      </c>
      <c r="AZ205" s="173">
        <f t="shared" si="601"/>
        <v>16.003123812483459</v>
      </c>
      <c r="BA205" s="460">
        <f t="shared" si="594"/>
        <v>36.256179331330642</v>
      </c>
      <c r="BB205" s="5">
        <f t="shared" si="595"/>
        <v>5.0778950551662101</v>
      </c>
      <c r="BD205" s="173">
        <f t="shared" si="602"/>
        <v>2.3376899112631788</v>
      </c>
      <c r="BE205" s="173">
        <f t="shared" si="598"/>
        <v>1.8359569506454112</v>
      </c>
      <c r="BG205" s="528">
        <f t="shared" si="480"/>
        <v>0.10929588242443299</v>
      </c>
      <c r="BH205" s="528">
        <f t="shared" si="524"/>
        <v>0.25516089285758031</v>
      </c>
      <c r="BI205" s="528">
        <f t="shared" si="525"/>
        <v>2.4385674688099303E-2</v>
      </c>
      <c r="BJ205" s="528">
        <f t="shared" si="481"/>
        <v>7.0702195720115015E-3</v>
      </c>
      <c r="BK205">
        <f t="shared" si="482"/>
        <v>4.4418967700843408E-3</v>
      </c>
      <c r="BL205" s="460">
        <f t="shared" si="588"/>
        <v>28.827571458183645</v>
      </c>
      <c r="BM205" s="528">
        <f t="shared" si="526"/>
        <v>0.41172894936102905</v>
      </c>
      <c r="BN205" s="460">
        <f t="shared" si="527"/>
        <v>411.72894936102904</v>
      </c>
      <c r="BO205" s="528">
        <f t="shared" si="483"/>
        <v>0.66499999999999992</v>
      </c>
      <c r="BR205" s="460">
        <f t="shared" si="484"/>
        <v>664.99999999999989</v>
      </c>
      <c r="BS205" s="528">
        <f t="shared" si="485"/>
        <v>0.16394382363664947</v>
      </c>
      <c r="BT205" s="528">
        <f t="shared" si="486"/>
        <v>0.1011221377386959</v>
      </c>
      <c r="BU205" s="528">
        <f t="shared" si="487"/>
        <v>0.29191707914750742</v>
      </c>
      <c r="BV205" s="528"/>
      <c r="BW205" s="528">
        <f t="shared" si="488"/>
        <v>1.3096727311783659E-2</v>
      </c>
      <c r="BX205" s="460">
        <f t="shared" si="489"/>
        <v>570.07976783463653</v>
      </c>
      <c r="BY205" s="173">
        <f t="shared" si="490"/>
        <v>1.6354343341468449</v>
      </c>
      <c r="BZ205" s="5">
        <f t="shared" si="491"/>
        <v>15.579999999999998</v>
      </c>
      <c r="CA205" s="173">
        <f t="shared" si="492"/>
        <v>0.90500185459143734</v>
      </c>
      <c r="CB205" s="5">
        <f t="shared" si="493"/>
        <v>90.500185459143736</v>
      </c>
      <c r="CE205" s="562">
        <f t="shared" si="528"/>
        <v>-50</v>
      </c>
      <c r="CF205">
        <f t="shared" si="529"/>
        <v>-50</v>
      </c>
      <c r="CG205" s="173">
        <f t="shared" si="530"/>
        <v>0.36787972081805453</v>
      </c>
      <c r="CI205" s="170">
        <v>95</v>
      </c>
      <c r="CJ205" s="217">
        <f t="shared" si="589"/>
        <v>0.95</v>
      </c>
      <c r="CK205" s="217"/>
      <c r="CL205" s="217">
        <f t="shared" si="531"/>
        <v>15.579999999999998</v>
      </c>
      <c r="CM205" s="541">
        <f t="shared" si="532"/>
        <v>10</v>
      </c>
      <c r="CN205" s="443">
        <f t="shared" si="533"/>
        <v>16.799999999999997</v>
      </c>
      <c r="CO205" s="443">
        <f t="shared" si="534"/>
        <v>26.799999999999997</v>
      </c>
      <c r="CP205" s="443"/>
      <c r="CQ205" s="217">
        <f t="shared" si="535"/>
        <v>0.62686567164179097</v>
      </c>
      <c r="CR205" s="172">
        <f t="shared" si="590"/>
        <v>20.973880597014926</v>
      </c>
      <c r="CS205" s="172">
        <f t="shared" si="536"/>
        <v>15.579999999999998</v>
      </c>
      <c r="CT205" s="217">
        <f t="shared" si="537"/>
        <v>1.2788951583545687</v>
      </c>
      <c r="CU205" s="217">
        <f t="shared" si="538"/>
        <v>16.399999999999999</v>
      </c>
      <c r="CV205" s="217"/>
      <c r="CW205" s="172">
        <f t="shared" si="539"/>
        <v>25.24370301082843</v>
      </c>
      <c r="CX205" s="536">
        <f t="shared" si="540"/>
        <v>16.399999999999999</v>
      </c>
      <c r="CY205" s="217">
        <f t="shared" si="541"/>
        <v>4.9707619047619049</v>
      </c>
      <c r="CZ205" s="217">
        <f t="shared" si="542"/>
        <v>5.9649142857142863</v>
      </c>
      <c r="DA205" s="217">
        <f t="shared" si="543"/>
        <v>3.5505442176870758</v>
      </c>
      <c r="DB205" s="197">
        <f t="shared" si="544"/>
        <v>350</v>
      </c>
      <c r="DC205" s="443">
        <f t="shared" si="545"/>
        <v>105.09215080308989</v>
      </c>
      <c r="DE205" s="217">
        <f t="shared" si="546"/>
        <v>1.4925373134328355</v>
      </c>
      <c r="DF205" s="173">
        <f t="shared" si="547"/>
        <v>1.0660980810234544</v>
      </c>
      <c r="DG205" s="173">
        <f t="shared" si="548"/>
        <v>0.27845845399866342</v>
      </c>
      <c r="DH205" s="173"/>
      <c r="DI205" s="173">
        <f t="shared" si="549"/>
        <v>0.95238095238095266</v>
      </c>
      <c r="DJ205" s="545">
        <f t="shared" si="550"/>
        <v>1496.2499999999993</v>
      </c>
      <c r="DK205" s="528">
        <f t="shared" si="551"/>
        <v>0.22222222222222232</v>
      </c>
      <c r="DM205" s="173">
        <f t="shared" si="552"/>
        <v>2.7568097504180438</v>
      </c>
      <c r="DN205" s="173">
        <f t="shared" si="553"/>
        <v>4.9707619047619049</v>
      </c>
      <c r="DO205" s="173">
        <f t="shared" si="554"/>
        <v>3.8943915343915343</v>
      </c>
      <c r="DQ205" s="545">
        <f t="shared" si="555"/>
        <v>950</v>
      </c>
      <c r="DR205" s="460">
        <f t="shared" si="556"/>
        <v>105.09215080308989</v>
      </c>
      <c r="DT205">
        <f t="shared" si="591"/>
        <v>950</v>
      </c>
      <c r="DU205">
        <f t="shared" si="592"/>
        <v>105.09215080308989</v>
      </c>
      <c r="DW205" s="5">
        <f t="shared" si="557"/>
        <v>9.5154585034013621</v>
      </c>
      <c r="DX205" s="5">
        <f t="shared" si="558"/>
        <v>5.9649142857142863</v>
      </c>
      <c r="DY205" s="5">
        <f t="shared" si="559"/>
        <v>3.5505442176870758</v>
      </c>
      <c r="DZ205" s="5"/>
      <c r="EA205" s="173">
        <f t="shared" si="560"/>
        <v>0.62686567164179097</v>
      </c>
      <c r="EB205" s="173">
        <f t="shared" si="561"/>
        <v>15.58</v>
      </c>
      <c r="EC205" s="173">
        <f t="shared" si="562"/>
        <v>0.92738095238095264</v>
      </c>
      <c r="ED205" s="173">
        <f t="shared" si="563"/>
        <v>16.799999999999997</v>
      </c>
      <c r="EE205" s="460">
        <f t="shared" si="564"/>
        <v>34.55285714285715</v>
      </c>
      <c r="EF205" s="5">
        <f t="shared" si="565"/>
        <v>4.609789909297052</v>
      </c>
      <c r="EH205" s="173">
        <f t="shared" si="566"/>
        <v>2.2722158124642777</v>
      </c>
      <c r="EI205" s="173">
        <f t="shared" si="567"/>
        <v>1.7530525585003727</v>
      </c>
      <c r="EK205" s="528">
        <f t="shared" si="568"/>
        <v>0.10325929396825397</v>
      </c>
      <c r="EL205" s="528">
        <f t="shared" si="569"/>
        <v>0.27999999999999992</v>
      </c>
      <c r="EM205" s="528">
        <f t="shared" si="570"/>
        <v>1.3136518850386237E-2</v>
      </c>
      <c r="EN205" s="528">
        <f t="shared" si="571"/>
        <v>7.5481386392811283E-3</v>
      </c>
      <c r="EO205">
        <f t="shared" si="572"/>
        <v>4.4999999999999997E-3</v>
      </c>
      <c r="EP205" s="460">
        <f t="shared" si="573"/>
        <v>17.636518850386238</v>
      </c>
      <c r="EQ205" s="460"/>
      <c r="ER205" s="460">
        <f t="shared" si="593"/>
        <v>408.44395145792123</v>
      </c>
      <c r="ES205" s="528">
        <f t="shared" si="574"/>
        <v>0.66499999999999992</v>
      </c>
      <c r="EV205" s="460">
        <f t="shared" si="494"/>
        <v>664.99999999999989</v>
      </c>
      <c r="EW205" s="528">
        <f t="shared" si="575"/>
        <v>0.15488894095238093</v>
      </c>
      <c r="EX205" s="528">
        <f t="shared" si="576"/>
        <v>9.2195798185941077E-2</v>
      </c>
      <c r="EY205" s="528">
        <f t="shared" si="577"/>
        <v>0.31185528502698345</v>
      </c>
      <c r="EZ205" s="528"/>
      <c r="FA205" s="528">
        <f t="shared" si="578"/>
        <v>1.2983333333333331E-2</v>
      </c>
      <c r="FB205" s="460">
        <f t="shared" si="579"/>
        <v>571.92335749863889</v>
      </c>
      <c r="FC205" s="173">
        <f t="shared" si="580"/>
        <v>1.6453673089565599</v>
      </c>
      <c r="FD205" s="5">
        <f t="shared" si="581"/>
        <v>15.579999999999998</v>
      </c>
      <c r="FE205" s="173">
        <f t="shared" si="582"/>
        <v>0.90447998701885279</v>
      </c>
      <c r="FF205" s="5">
        <f t="shared" si="583"/>
        <v>90.447998701885282</v>
      </c>
      <c r="FI205" s="562">
        <f t="shared" si="584"/>
        <v>-50</v>
      </c>
      <c r="FJ205">
        <f t="shared" si="585"/>
        <v>-50</v>
      </c>
      <c r="FL205">
        <f t="shared" si="586"/>
        <v>0.37313432835820903</v>
      </c>
    </row>
    <row r="206" spans="5:168">
      <c r="E206" s="170">
        <v>96</v>
      </c>
      <c r="F206" s="217">
        <f t="shared" si="587"/>
        <v>0.96</v>
      </c>
      <c r="G206" s="217"/>
      <c r="H206" s="217">
        <f>F206*Vout</f>
        <v>15.743999999999998</v>
      </c>
      <c r="I206" s="541">
        <f t="shared" si="496"/>
        <v>9.8695419817948977</v>
      </c>
      <c r="J206" s="172">
        <f t="shared" si="497"/>
        <v>16.87827481092306</v>
      </c>
      <c r="K206" s="172">
        <f t="shared" si="498"/>
        <v>26.747816792717956</v>
      </c>
      <c r="L206" s="443"/>
      <c r="M206" s="217">
        <f t="shared" si="499"/>
        <v>0.63099999646638683</v>
      </c>
      <c r="N206" s="172">
        <f>M206*I206*(Isw_max+VIN_min/Lmag*ILIM_delay)*0.5*Efficiency</f>
        <v>20.836782530736926</v>
      </c>
      <c r="O206" s="172">
        <f t="shared" si="599"/>
        <v>15.743999999999998</v>
      </c>
      <c r="P206" s="217">
        <f>N206/Vout</f>
        <v>1.2705355201668858</v>
      </c>
      <c r="Q206" s="217">
        <f t="shared" si="502"/>
        <v>16.399999999999999</v>
      </c>
      <c r="R206" s="217"/>
      <c r="S206" s="172">
        <f t="shared" si="503"/>
        <v>24.557880181376628</v>
      </c>
      <c r="T206" s="536">
        <f>MIN(Vout, S206)</f>
        <v>16.399999999999999</v>
      </c>
      <c r="U206" s="217">
        <f t="shared" si="505"/>
        <v>5.2032519826930104</v>
      </c>
      <c r="V206" s="217">
        <f>L*U206/I206*1000000</f>
        <v>6.326435806999914</v>
      </c>
      <c r="W206" s="217">
        <f t="shared" si="507"/>
        <v>3.6993723879829035</v>
      </c>
      <c r="X206" s="197">
        <f t="shared" si="508"/>
        <v>350</v>
      </c>
      <c r="Y206" s="443">
        <f t="shared" si="509"/>
        <v>97.791781435000829</v>
      </c>
      <c r="AA206" s="217">
        <f t="shared" si="510"/>
        <v>1.4828165417831658</v>
      </c>
      <c r="AB206" s="173">
        <f>L*AA206/J206*1000000</f>
        <v>1.0542427292321626</v>
      </c>
      <c r="AC206" s="173">
        <f>0.5*AB206*AA206*Nps*X206/1000</f>
        <v>0.27356849764301427</v>
      </c>
      <c r="AD206" s="173"/>
      <c r="AE206" s="173">
        <f t="shared" si="513"/>
        <v>0.94796418349850153</v>
      </c>
      <c r="AF206" s="545">
        <f>MAX(12000,F206/(0.5*AE206/1000000*Isw_min*Nps))/1000</f>
        <v>1519.0447329830749</v>
      </c>
      <c r="AG206" s="528">
        <f t="shared" si="515"/>
        <v>0.22119164281631704</v>
      </c>
      <c r="AI206" s="173">
        <f t="shared" si="516"/>
        <v>2.7777297872017148</v>
      </c>
      <c r="AJ206" s="173">
        <f>MAX(IF(F206&gt;AC206,U206,AI206),Isw_min)</f>
        <v>5.2032519826930104</v>
      </c>
      <c r="AK206" s="173">
        <f>IF(F206&gt;AG206, (AJ206-Isw_min)/1.08*0.8+1.2, AF206*0.2/350+1)</f>
        <v>4.0666064069330945</v>
      </c>
      <c r="AM206" s="545">
        <f t="shared" si="519"/>
        <v>960</v>
      </c>
      <c r="AN206" s="460">
        <f t="shared" si="520"/>
        <v>97.791781435000829</v>
      </c>
      <c r="AP206">
        <f t="shared" si="521"/>
        <v>960</v>
      </c>
      <c r="AQ206">
        <f t="shared" si="522"/>
        <v>97.791781435000829</v>
      </c>
      <c r="AS206" s="5">
        <f t="shared" si="600"/>
        <v>10.225808194982818</v>
      </c>
      <c r="AT206" s="5">
        <f t="shared" si="523"/>
        <v>6.326435806999914</v>
      </c>
      <c r="AU206" s="5">
        <f t="shared" si="478"/>
        <v>3.8993723879829041</v>
      </c>
      <c r="AV206" s="5"/>
      <c r="AW206" s="173">
        <f t="shared" si="479"/>
        <v>0.61867342770069866</v>
      </c>
      <c r="AX206" s="173">
        <f t="shared" si="596"/>
        <v>15.885589097211248</v>
      </c>
      <c r="AY206" s="173">
        <f t="shared" si="597"/>
        <v>0.99206912168493466</v>
      </c>
      <c r="AZ206" s="173">
        <f t="shared" si="601"/>
        <v>16.012582944050404</v>
      </c>
      <c r="BA206" s="460">
        <f t="shared" si="594"/>
        <v>37.032794967804378</v>
      </c>
      <c r="BB206" s="5">
        <f t="shared" si="595"/>
        <v>5.1836008018106279</v>
      </c>
      <c r="BD206" s="173">
        <f t="shared" si="602"/>
        <v>2.3628979345038332</v>
      </c>
      <c r="BE206" s="173">
        <f t="shared" si="598"/>
        <v>1.8550805237465477</v>
      </c>
      <c r="BG206" s="528">
        <f t="shared" si="480"/>
        <v>0.11166573297764963</v>
      </c>
      <c r="BH206" s="528">
        <f t="shared" si="524"/>
        <v>0.25519186620569045</v>
      </c>
      <c r="BI206" s="528">
        <f t="shared" si="525"/>
        <v>2.4129002308681289E-2</v>
      </c>
      <c r="BJ206" s="528">
        <f t="shared" si="481"/>
        <v>6.9964709833676558E-3</v>
      </c>
      <c r="BK206">
        <f t="shared" si="482"/>
        <v>4.4412938918077039E-3</v>
      </c>
      <c r="BL206" s="460">
        <f t="shared" si="588"/>
        <v>28.570296200488993</v>
      </c>
      <c r="BM206" s="528">
        <f t="shared" si="526"/>
        <v>0.41501490136490926</v>
      </c>
      <c r="BN206" s="460">
        <f t="shared" si="527"/>
        <v>415.01490136490924</v>
      </c>
      <c r="BO206" s="528">
        <f t="shared" si="483"/>
        <v>0.67199999999999993</v>
      </c>
      <c r="BR206" s="460">
        <f t="shared" si="484"/>
        <v>671.99999999999989</v>
      </c>
      <c r="BS206" s="528">
        <f t="shared" si="485"/>
        <v>0.16749859946647444</v>
      </c>
      <c r="BT206" s="528">
        <f t="shared" si="486"/>
        <v>0.10323971248751297</v>
      </c>
      <c r="BU206" s="528">
        <f t="shared" si="487"/>
        <v>0.29202030097351261</v>
      </c>
      <c r="BV206" s="528"/>
      <c r="BW206" s="528">
        <f t="shared" si="488"/>
        <v>1.3237990914342706E-2</v>
      </c>
      <c r="BX206" s="460">
        <f t="shared" si="489"/>
        <v>575.99660384184267</v>
      </c>
      <c r="BY206" s="173">
        <f t="shared" si="490"/>
        <v>1.6504209702090393</v>
      </c>
      <c r="BZ206" s="5">
        <f t="shared" si="491"/>
        <v>15.743999999999998</v>
      </c>
      <c r="CA206" s="173">
        <f t="shared" si="492"/>
        <v>0.90511779765272604</v>
      </c>
      <c r="CB206" s="5">
        <f t="shared" si="493"/>
        <v>90.511779765272607</v>
      </c>
      <c r="CE206" s="562">
        <f t="shared" si="528"/>
        <v>-50</v>
      </c>
      <c r="CF206">
        <f t="shared" si="529"/>
        <v>-50</v>
      </c>
      <c r="CG206" s="173">
        <f t="shared" si="530"/>
        <v>0.36793445631326438</v>
      </c>
      <c r="CI206" s="170">
        <v>96</v>
      </c>
      <c r="CJ206" s="217">
        <f t="shared" si="589"/>
        <v>0.96</v>
      </c>
      <c r="CK206" s="217"/>
      <c r="CL206" s="217">
        <f t="shared" si="531"/>
        <v>15.743999999999998</v>
      </c>
      <c r="CM206" s="541">
        <f t="shared" si="532"/>
        <v>10</v>
      </c>
      <c r="CN206" s="443">
        <f t="shared" si="533"/>
        <v>16.799999999999997</v>
      </c>
      <c r="CO206" s="443">
        <f t="shared" si="534"/>
        <v>26.799999999999997</v>
      </c>
      <c r="CP206" s="443"/>
      <c r="CQ206" s="217">
        <f t="shared" si="535"/>
        <v>0.62686567164179097</v>
      </c>
      <c r="CR206" s="172">
        <f t="shared" si="590"/>
        <v>20.973880597014926</v>
      </c>
      <c r="CS206" s="172">
        <f t="shared" si="536"/>
        <v>15.743999999999998</v>
      </c>
      <c r="CT206" s="217">
        <f t="shared" si="537"/>
        <v>1.2788951583545687</v>
      </c>
      <c r="CU206" s="217">
        <f t="shared" si="538"/>
        <v>16.399999999999999</v>
      </c>
      <c r="CV206" s="217"/>
      <c r="CW206" s="172">
        <f t="shared" si="539"/>
        <v>24.88044727089866</v>
      </c>
      <c r="CX206" s="536">
        <f t="shared" si="540"/>
        <v>16.399999999999999</v>
      </c>
      <c r="CY206" s="217">
        <f t="shared" si="541"/>
        <v>5.0230857142857142</v>
      </c>
      <c r="CZ206" s="217">
        <f t="shared" si="542"/>
        <v>6.0277028571428577</v>
      </c>
      <c r="DA206" s="217">
        <f t="shared" si="543"/>
        <v>3.5879183673469393</v>
      </c>
      <c r="DB206" s="197">
        <f t="shared" si="544"/>
        <v>350</v>
      </c>
      <c r="DC206" s="443">
        <f t="shared" si="545"/>
        <v>103.99744089889106</v>
      </c>
      <c r="DE206" s="217">
        <f t="shared" si="546"/>
        <v>1.4925373134328355</v>
      </c>
      <c r="DF206" s="173">
        <f t="shared" si="547"/>
        <v>1.0660980810234544</v>
      </c>
      <c r="DG206" s="173">
        <f t="shared" si="548"/>
        <v>0.27845845399866342</v>
      </c>
      <c r="DH206" s="173"/>
      <c r="DI206" s="173">
        <f t="shared" si="549"/>
        <v>0.95238095238095266</v>
      </c>
      <c r="DJ206" s="545">
        <f t="shared" si="550"/>
        <v>1511.9999999999993</v>
      </c>
      <c r="DK206" s="528">
        <f t="shared" si="551"/>
        <v>0.22222222222222232</v>
      </c>
      <c r="DM206" s="173">
        <f t="shared" si="552"/>
        <v>2.7712812921102032</v>
      </c>
      <c r="DN206" s="173">
        <f t="shared" si="553"/>
        <v>5.0230857142857142</v>
      </c>
      <c r="DO206" s="173">
        <f t="shared" si="554"/>
        <v>3.933149911816578</v>
      </c>
      <c r="DQ206" s="545">
        <f t="shared" si="555"/>
        <v>960</v>
      </c>
      <c r="DR206" s="460">
        <f t="shared" si="556"/>
        <v>103.99744089889106</v>
      </c>
      <c r="DT206">
        <f t="shared" si="591"/>
        <v>960</v>
      </c>
      <c r="DU206">
        <f t="shared" si="592"/>
        <v>103.99744089889106</v>
      </c>
      <c r="DW206" s="5">
        <f t="shared" si="557"/>
        <v>9.6156212244897965</v>
      </c>
      <c r="DX206" s="5">
        <f t="shared" si="558"/>
        <v>6.0277028571428577</v>
      </c>
      <c r="DY206" s="5">
        <f t="shared" si="559"/>
        <v>3.5879183673469388</v>
      </c>
      <c r="DZ206" s="5"/>
      <c r="EA206" s="173">
        <f t="shared" si="560"/>
        <v>0.62686567164179108</v>
      </c>
      <c r="EB206" s="173">
        <f t="shared" si="561"/>
        <v>15.743999999999998</v>
      </c>
      <c r="EC206" s="173">
        <f t="shared" si="562"/>
        <v>0.93714285714285706</v>
      </c>
      <c r="ED206" s="173">
        <f t="shared" si="563"/>
        <v>16.8</v>
      </c>
      <c r="EE206" s="460">
        <f t="shared" si="564"/>
        <v>35.284114285714288</v>
      </c>
      <c r="EF206" s="5">
        <f t="shared" si="565"/>
        <v>4.7073488979591831</v>
      </c>
      <c r="EH206" s="173">
        <f t="shared" si="566"/>
        <v>2.2961338736481123</v>
      </c>
      <c r="EI206" s="173">
        <f t="shared" si="567"/>
        <v>1.7715057433266919</v>
      </c>
      <c r="EK206" s="528">
        <f t="shared" si="568"/>
        <v>0.10544461531428571</v>
      </c>
      <c r="EL206" s="528">
        <f t="shared" si="569"/>
        <v>0.27999999999999992</v>
      </c>
      <c r="EM206" s="528">
        <f t="shared" si="570"/>
        <v>1.299968011236138E-2</v>
      </c>
      <c r="EN206" s="528">
        <f t="shared" si="571"/>
        <v>7.46951219512195E-3</v>
      </c>
      <c r="EO206">
        <f t="shared" si="572"/>
        <v>4.4999999999999997E-3</v>
      </c>
      <c r="EP206" s="460">
        <f t="shared" si="573"/>
        <v>17.499680112361382</v>
      </c>
      <c r="EQ206" s="460"/>
      <c r="ER206" s="460">
        <f t="shared" si="593"/>
        <v>410.41380762176891</v>
      </c>
      <c r="ES206" s="528">
        <f t="shared" si="574"/>
        <v>0.67199999999999993</v>
      </c>
      <c r="EV206" s="460">
        <f t="shared" si="494"/>
        <v>671.99999999999989</v>
      </c>
      <c r="EW206" s="528">
        <f t="shared" si="575"/>
        <v>0.15816692297142856</v>
      </c>
      <c r="EX206" s="528">
        <f t="shared" si="576"/>
        <v>9.4146977959183656E-2</v>
      </c>
      <c r="EY206" s="528">
        <f t="shared" si="577"/>
        <v>0.31185528502698312</v>
      </c>
      <c r="EZ206" s="528"/>
      <c r="FA206" s="528">
        <f t="shared" si="578"/>
        <v>1.3119999999999998E-2</v>
      </c>
      <c r="FB206" s="460">
        <f t="shared" si="579"/>
        <v>577.28918595759535</v>
      </c>
      <c r="FC206" s="173">
        <f t="shared" si="580"/>
        <v>1.6597029935793643</v>
      </c>
      <c r="FD206" s="5">
        <f t="shared" si="581"/>
        <v>15.743999999999998</v>
      </c>
      <c r="FE206" s="173">
        <f t="shared" si="582"/>
        <v>0.9046350656413944</v>
      </c>
      <c r="FF206" s="5">
        <f t="shared" si="583"/>
        <v>90.463506564139436</v>
      </c>
      <c r="FI206" s="562">
        <f t="shared" si="584"/>
        <v>-50</v>
      </c>
      <c r="FJ206">
        <f t="shared" si="585"/>
        <v>-50</v>
      </c>
      <c r="FL206">
        <f t="shared" si="586"/>
        <v>0.37313432835820892</v>
      </c>
    </row>
    <row r="207" spans="5:168">
      <c r="E207" s="170">
        <v>97</v>
      </c>
      <c r="F207" s="217">
        <f>IF(PLOT_TYPE=1, E207/100*Iout_max, min_I*EXP(N207*rr/100))</f>
        <v>0.97</v>
      </c>
      <c r="G207" s="217"/>
      <c r="H207" s="217">
        <f>F207*Vout</f>
        <v>15.907999999999998</v>
      </c>
      <c r="I207" s="541">
        <f t="shared" si="496"/>
        <v>9.8682022466360202</v>
      </c>
      <c r="J207" s="172">
        <f t="shared" si="497"/>
        <v>16.879078652018386</v>
      </c>
      <c r="K207" s="172">
        <f t="shared" si="498"/>
        <v>26.747280898654406</v>
      </c>
      <c r="L207" s="443"/>
      <c r="M207" s="217">
        <f t="shared" si="499"/>
        <v>0.63104269596387896</v>
      </c>
      <c r="N207" s="172">
        <f>M207*I207*(Isw_max+VIN_min/Lmag*ILIM_delay)*0.5*Efficiency</f>
        <v>20.835363878655432</v>
      </c>
      <c r="O207" s="172">
        <f t="shared" si="599"/>
        <v>15.907999999999998</v>
      </c>
      <c r="P207" s="217">
        <f>N207/Vout</f>
        <v>1.2704490169911851</v>
      </c>
      <c r="Q207" s="217">
        <f t="shared" si="502"/>
        <v>16.399999999999999</v>
      </c>
      <c r="R207" s="217"/>
      <c r="S207" s="172">
        <f t="shared" si="503"/>
        <v>24.203580899309554</v>
      </c>
      <c r="T207" s="536">
        <f>MIN(Vout, S207)</f>
        <v>16.399999999999999</v>
      </c>
      <c r="U207" s="217">
        <f t="shared" si="505"/>
        <v>5.2580609701389012</v>
      </c>
      <c r="V207" s="217">
        <f>L*U207/I207*1000000</f>
        <v>6.3939439083928296</v>
      </c>
      <c r="W207" s="217">
        <f t="shared" si="507"/>
        <v>3.7381620728523446</v>
      </c>
      <c r="X207" s="197">
        <f t="shared" si="508"/>
        <v>350</v>
      </c>
      <c r="Y207" s="443">
        <f t="shared" si="509"/>
        <v>96.785689366252996</v>
      </c>
      <c r="AA207" s="217">
        <f t="shared" si="510"/>
        <v>1.4827155747346183</v>
      </c>
      <c r="AB207" s="173">
        <f>L*AA207/J207*1000000</f>
        <v>1.054120741044583</v>
      </c>
      <c r="AC207" s="173">
        <f>0.5*AB207*AA207*Nps*X207/1000</f>
        <v>0.27351821706958007</v>
      </c>
      <c r="AD207" s="173"/>
      <c r="AE207" s="173">
        <f t="shared" si="513"/>
        <v>0.9479190381097452</v>
      </c>
      <c r="AF207" s="545">
        <f>MAX(12000,F207/(0.5*AE207/1000000*Isw_min*Nps))/1000</f>
        <v>1534.9412149179216</v>
      </c>
      <c r="AG207" s="528">
        <f t="shared" si="515"/>
        <v>0.22118110889227391</v>
      </c>
      <c r="AI207" s="173">
        <f t="shared" si="516"/>
        <v>2.7922261380361553</v>
      </c>
      <c r="AJ207" s="173">
        <f>MAX(IF(F207&gt;AC207,U207,AI207),Isw_min)</f>
        <v>5.2580609701389012</v>
      </c>
      <c r="AK207" s="173">
        <f>IF(F207&gt;AG207, (AJ207-Isw_min)/1.08*0.8+1.2, AF207*0.2/350+1)</f>
        <v>4.1072056568930133</v>
      </c>
      <c r="AM207" s="545">
        <f t="shared" si="519"/>
        <v>970</v>
      </c>
      <c r="AN207" s="460">
        <f t="shared" si="520"/>
        <v>96.785689366252996</v>
      </c>
      <c r="AP207">
        <f t="shared" si="521"/>
        <v>970</v>
      </c>
      <c r="AQ207">
        <f t="shared" si="522"/>
        <v>96.785689366252996</v>
      </c>
      <c r="AS207" s="5">
        <f t="shared" si="600"/>
        <v>10.332105981245173</v>
      </c>
      <c r="AT207" s="5">
        <f t="shared" si="523"/>
        <v>6.3939439083928296</v>
      </c>
      <c r="AU207" s="5">
        <f t="shared" si="478"/>
        <v>3.938162072852343</v>
      </c>
      <c r="AV207" s="5"/>
      <c r="AW207" s="173">
        <f t="shared" si="479"/>
        <v>0.61884226894295413</v>
      </c>
      <c r="AX207" s="173">
        <f t="shared" si="596"/>
        <v>16.055122866073898</v>
      </c>
      <c r="AY207" s="173">
        <f t="shared" si="597"/>
        <v>1.0020752945688765</v>
      </c>
      <c r="AZ207" s="173">
        <f t="shared" si="601"/>
        <v>16.021872760550696</v>
      </c>
      <c r="BA207" s="460">
        <f t="shared" si="594"/>
        <v>37.817838970372229</v>
      </c>
      <c r="BB207" s="5">
        <f t="shared" si="595"/>
        <v>5.2904166913390327</v>
      </c>
      <c r="BD207" s="173">
        <f t="shared" si="602"/>
        <v>2.3881135633711628</v>
      </c>
      <c r="BE207" s="173">
        <f t="shared" si="598"/>
        <v>1.8742061422574006</v>
      </c>
      <c r="BG207" s="528">
        <f t="shared" si="480"/>
        <v>0.11406172783114625</v>
      </c>
      <c r="BH207" s="528">
        <f t="shared" si="524"/>
        <v>0.25522174642900231</v>
      </c>
      <c r="BI207" s="528">
        <f t="shared" si="525"/>
        <v>2.3877518931156843E-2</v>
      </c>
      <c r="BJ207" s="528">
        <f t="shared" si="481"/>
        <v>6.9242130962472413E-3</v>
      </c>
      <c r="BK207">
        <f t="shared" si="482"/>
        <v>4.4406910109862086E-3</v>
      </c>
      <c r="BL207" s="460">
        <f t="shared" si="588"/>
        <v>28.318209942143053</v>
      </c>
      <c r="BM207" s="528">
        <f t="shared" si="526"/>
        <v>0.41834186457608735</v>
      </c>
      <c r="BN207" s="460">
        <f t="shared" si="527"/>
        <v>418.34186457608735</v>
      </c>
      <c r="BO207" s="528">
        <f t="shared" si="483"/>
        <v>0.67899999999999994</v>
      </c>
      <c r="BR207" s="460">
        <f t="shared" si="484"/>
        <v>678.99999999999989</v>
      </c>
      <c r="BS207" s="528">
        <f t="shared" si="485"/>
        <v>0.17109259174671937</v>
      </c>
      <c r="BT207" s="528">
        <f t="shared" si="486"/>
        <v>0.10537945991026103</v>
      </c>
      <c r="BU207" s="528">
        <f t="shared" si="487"/>
        <v>0.29212042097697183</v>
      </c>
      <c r="BV207" s="528"/>
      <c r="BW207" s="528">
        <f t="shared" si="488"/>
        <v>1.3379269055061579E-2</v>
      </c>
      <c r="BX207" s="460">
        <f t="shared" si="489"/>
        <v>581.97174168901381</v>
      </c>
      <c r="BY207" s="173">
        <f t="shared" si="490"/>
        <v>1.6654976389875529</v>
      </c>
      <c r="BZ207" s="5">
        <f t="shared" si="491"/>
        <v>15.907999999999998</v>
      </c>
      <c r="CA207" s="173">
        <f t="shared" si="492"/>
        <v>0.90522674124400959</v>
      </c>
      <c r="CB207" s="5">
        <f t="shared" si="493"/>
        <v>90.522674124400965</v>
      </c>
      <c r="CE207" s="562">
        <f t="shared" si="528"/>
        <v>-50</v>
      </c>
      <c r="CF207">
        <f t="shared" si="529"/>
        <v>-50</v>
      </c>
      <c r="CG207" s="173">
        <f t="shared" si="530"/>
        <v>0.36798806324156275</v>
      </c>
      <c r="CI207" s="170">
        <v>97</v>
      </c>
      <c r="CJ207" s="217">
        <f t="shared" si="589"/>
        <v>0.97</v>
      </c>
      <c r="CK207" s="217"/>
      <c r="CL207" s="217">
        <f t="shared" si="531"/>
        <v>15.907999999999998</v>
      </c>
      <c r="CM207" s="541">
        <f t="shared" si="532"/>
        <v>10</v>
      </c>
      <c r="CN207" s="443">
        <f t="shared" si="533"/>
        <v>16.799999999999997</v>
      </c>
      <c r="CO207" s="443">
        <f t="shared" si="534"/>
        <v>26.799999999999997</v>
      </c>
      <c r="CP207" s="443"/>
      <c r="CQ207" s="217">
        <f t="shared" si="535"/>
        <v>0.62686567164179097</v>
      </c>
      <c r="CR207" s="172">
        <f t="shared" si="590"/>
        <v>20.973880597014926</v>
      </c>
      <c r="CS207" s="172">
        <f t="shared" si="536"/>
        <v>15.907999999999998</v>
      </c>
      <c r="CT207" s="217">
        <f t="shared" si="537"/>
        <v>1.2788951583545687</v>
      </c>
      <c r="CU207" s="217">
        <f t="shared" si="538"/>
        <v>16.399999999999999</v>
      </c>
      <c r="CV207" s="217"/>
      <c r="CW207" s="172">
        <f t="shared" si="539"/>
        <v>24.524744259339812</v>
      </c>
      <c r="CX207" s="536">
        <f t="shared" si="540"/>
        <v>16.399999999999999</v>
      </c>
      <c r="CY207" s="217">
        <f t="shared" si="541"/>
        <v>5.0754095238095234</v>
      </c>
      <c r="CZ207" s="217">
        <f t="shared" si="542"/>
        <v>6.0904914285714282</v>
      </c>
      <c r="DA207" s="217">
        <f t="shared" si="543"/>
        <v>3.6252925170068031</v>
      </c>
      <c r="DB207" s="197">
        <f t="shared" si="544"/>
        <v>350</v>
      </c>
      <c r="DC207" s="443">
        <f t="shared" si="545"/>
        <v>102.92530233292311</v>
      </c>
      <c r="DE207" s="217">
        <f t="shared" si="546"/>
        <v>1.4925373134328355</v>
      </c>
      <c r="DF207" s="173">
        <f t="shared" si="547"/>
        <v>1.0660980810234544</v>
      </c>
      <c r="DG207" s="173">
        <f t="shared" si="548"/>
        <v>0.27845845399866342</v>
      </c>
      <c r="DH207" s="173"/>
      <c r="DI207" s="173">
        <f t="shared" si="549"/>
        <v>0.95238095238095266</v>
      </c>
      <c r="DJ207" s="545">
        <f t="shared" si="550"/>
        <v>1527.7499999999993</v>
      </c>
      <c r="DK207" s="528">
        <f t="shared" si="551"/>
        <v>0.22222222222222232</v>
      </c>
      <c r="DM207" s="173">
        <f t="shared" si="552"/>
        <v>2.7856776554368237</v>
      </c>
      <c r="DN207" s="173">
        <f t="shared" si="553"/>
        <v>5.0754095238095234</v>
      </c>
      <c r="DO207" s="173">
        <f t="shared" si="554"/>
        <v>3.9719082892416226</v>
      </c>
      <c r="DQ207" s="545">
        <f t="shared" si="555"/>
        <v>970</v>
      </c>
      <c r="DR207" s="460">
        <f t="shared" si="556"/>
        <v>102.92530233292311</v>
      </c>
      <c r="DT207">
        <f t="shared" si="591"/>
        <v>970</v>
      </c>
      <c r="DU207">
        <f t="shared" si="592"/>
        <v>102.92530233292311</v>
      </c>
      <c r="DW207" s="5">
        <f t="shared" si="557"/>
        <v>9.7157839455782309</v>
      </c>
      <c r="DX207" s="5">
        <f t="shared" si="558"/>
        <v>6.0904914285714282</v>
      </c>
      <c r="DY207" s="5">
        <f t="shared" si="559"/>
        <v>3.6252925170068027</v>
      </c>
      <c r="DZ207" s="5"/>
      <c r="EA207" s="173">
        <f t="shared" si="560"/>
        <v>0.62686567164179108</v>
      </c>
      <c r="EB207" s="173">
        <f t="shared" si="561"/>
        <v>15.907999999999998</v>
      </c>
      <c r="EC207" s="173">
        <f t="shared" si="562"/>
        <v>0.94690476190476169</v>
      </c>
      <c r="ED207" s="173">
        <f t="shared" si="563"/>
        <v>16.8</v>
      </c>
      <c r="EE207" s="460">
        <f t="shared" si="564"/>
        <v>36.023028571428576</v>
      </c>
      <c r="EF207" s="5">
        <f t="shared" si="565"/>
        <v>4.8059294467120166</v>
      </c>
      <c r="EH207" s="173">
        <f t="shared" si="566"/>
        <v>2.3200519348319468</v>
      </c>
      <c r="EI207" s="173">
        <f t="shared" si="567"/>
        <v>1.7899589281530115</v>
      </c>
      <c r="EK207" s="528">
        <f t="shared" si="568"/>
        <v>0.1076528196063492</v>
      </c>
      <c r="EL207" s="528">
        <f t="shared" si="569"/>
        <v>0.27999999999999997</v>
      </c>
      <c r="EM207" s="528">
        <f t="shared" si="570"/>
        <v>1.2865662791615389E-2</v>
      </c>
      <c r="EN207" s="528">
        <f t="shared" si="571"/>
        <v>7.3925069147598695E-3</v>
      </c>
      <c r="EO207">
        <f t="shared" si="572"/>
        <v>4.4999999999999997E-3</v>
      </c>
      <c r="EP207" s="460">
        <f t="shared" si="573"/>
        <v>17.365662791615389</v>
      </c>
      <c r="EQ207" s="460"/>
      <c r="ER207" s="460">
        <f t="shared" si="593"/>
        <v>412.41098931272438</v>
      </c>
      <c r="ES207" s="528">
        <f t="shared" si="574"/>
        <v>0.67899999999999994</v>
      </c>
      <c r="EV207" s="460">
        <f t="shared" si="494"/>
        <v>678.99999999999989</v>
      </c>
      <c r="EW207" s="528">
        <f t="shared" si="575"/>
        <v>0.16147922940952381</v>
      </c>
      <c r="EX207" s="528">
        <f t="shared" si="576"/>
        <v>9.6118588934240329E-2</v>
      </c>
      <c r="EY207" s="528">
        <f t="shared" si="577"/>
        <v>0.3118552850269829</v>
      </c>
      <c r="EZ207" s="528"/>
      <c r="FA207" s="528">
        <f t="shared" si="578"/>
        <v>1.3256666666666667E-2</v>
      </c>
      <c r="FB207" s="460">
        <f t="shared" si="579"/>
        <v>582.7097700374137</v>
      </c>
      <c r="FC207" s="173">
        <f t="shared" si="580"/>
        <v>1.6741207593501382</v>
      </c>
      <c r="FD207" s="5">
        <f t="shared" si="581"/>
        <v>15.907999999999998</v>
      </c>
      <c r="FE207" s="173">
        <f t="shared" si="582"/>
        <v>0.90478277437266241</v>
      </c>
      <c r="FF207" s="5">
        <f t="shared" si="583"/>
        <v>90.478277437266243</v>
      </c>
      <c r="FI207" s="562">
        <f t="shared" si="584"/>
        <v>-50</v>
      </c>
      <c r="FJ207">
        <f t="shared" si="585"/>
        <v>-50</v>
      </c>
      <c r="FL207">
        <f t="shared" si="586"/>
        <v>0.37313432835820892</v>
      </c>
    </row>
    <row r="208" spans="5:168">
      <c r="E208" s="170">
        <v>98</v>
      </c>
      <c r="F208" s="217">
        <f>IF(PLOT_TYPE=1, E208/100*Iout_max, min_I*EXP(N208*rr/100))</f>
        <v>0.98</v>
      </c>
      <c r="G208" s="217"/>
      <c r="H208" s="217">
        <f>F208*Vout</f>
        <v>16.071999999999999</v>
      </c>
      <c r="I208" s="541">
        <f t="shared" si="496"/>
        <v>9.8668625059974158</v>
      </c>
      <c r="J208" s="172">
        <f t="shared" si="497"/>
        <v>16.879882496401546</v>
      </c>
      <c r="K208" s="172">
        <f t="shared" si="498"/>
        <v>26.74674500239896</v>
      </c>
      <c r="L208" s="443"/>
      <c r="M208" s="217">
        <f t="shared" si="499"/>
        <v>0.63108539730127433</v>
      </c>
      <c r="N208" s="172">
        <f>M208*I208*(Isw_max+VIN_min/Lmag*ILIM_delay)*0.5*Efficiency</f>
        <v>20.833944892940352</v>
      </c>
      <c r="O208" s="172">
        <f t="shared" si="599"/>
        <v>16.071999999999999</v>
      </c>
      <c r="P208" s="217">
        <f>N208/Vout</f>
        <v>1.2703624934719728</v>
      </c>
      <c r="Q208" s="217">
        <f t="shared" si="502"/>
        <v>16.399999999999999</v>
      </c>
      <c r="R208" s="217"/>
      <c r="S208" s="172">
        <f t="shared" si="503"/>
        <v>23.856602388893485</v>
      </c>
      <c r="T208" s="536">
        <f>MIN(Vout, S208)</f>
        <v>16.399999999999999</v>
      </c>
      <c r="U208" s="217">
        <f t="shared" si="505"/>
        <v>5.3128826716589366</v>
      </c>
      <c r="V208" s="217">
        <f>L*U208/I208*1000000</f>
        <v>6.4614858088024461</v>
      </c>
      <c r="W208" s="217">
        <f t="shared" si="507"/>
        <v>3.7769571010638523</v>
      </c>
      <c r="X208" s="197">
        <f t="shared" si="508"/>
        <v>350</v>
      </c>
      <c r="Y208" s="443">
        <f t="shared" si="509"/>
        <v>95.799728813462337</v>
      </c>
      <c r="AA208" s="217">
        <f t="shared" si="510"/>
        <v>1.4826145840536429</v>
      </c>
      <c r="AB208" s="173">
        <f>L*AA208/J208*1000000</f>
        <v>1.0539987474697459</v>
      </c>
      <c r="AC208" s="173">
        <f>0.5*AB208*AA208*Nps*X208/1000</f>
        <v>0.27346793505026062</v>
      </c>
      <c r="AD208" s="173"/>
      <c r="AE208" s="173">
        <f t="shared" si="513"/>
        <v>0.94787389683612333</v>
      </c>
      <c r="AF208" s="545">
        <f>MAX(12000,F208/(0.5*AE208/1000000*Isw_min*Nps))/1000</f>
        <v>1550.8392043568915</v>
      </c>
      <c r="AG208" s="528">
        <f t="shared" si="515"/>
        <v>0.22117057592842881</v>
      </c>
      <c r="AI208" s="173">
        <f t="shared" si="516"/>
        <v>2.8066489802468566</v>
      </c>
      <c r="AJ208" s="173">
        <f>MAX(IF(F208&gt;AC208,U208,AI208),Isw_min)</f>
        <v>5.3128826716589366</v>
      </c>
      <c r="AK208" s="173">
        <f>IF(F208&gt;AG208, (AJ208-Isw_min)/1.08*0.8+1.2, AF208*0.2/350+1)</f>
        <v>4.1478143246856316</v>
      </c>
      <c r="AM208" s="545">
        <f t="shared" si="519"/>
        <v>980</v>
      </c>
      <c r="AN208" s="460">
        <f t="shared" si="520"/>
        <v>95.799728813462337</v>
      </c>
      <c r="AP208">
        <f t="shared" si="521"/>
        <v>980</v>
      </c>
      <c r="AQ208">
        <f t="shared" si="522"/>
        <v>95.799728813462337</v>
      </c>
      <c r="AS208" s="5">
        <f t="shared" si="600"/>
        <v>10.438442909866298</v>
      </c>
      <c r="AT208" s="5">
        <f t="shared" si="523"/>
        <v>6.4614858088024461</v>
      </c>
      <c r="AU208" s="5">
        <f t="shared" si="478"/>
        <v>3.976957101063852</v>
      </c>
      <c r="AV208" s="5"/>
      <c r="AW208" s="173">
        <f t="shared" si="479"/>
        <v>0.61900858821530969</v>
      </c>
      <c r="AX208" s="173">
        <f t="shared" si="596"/>
        <v>16.22467403991886</v>
      </c>
      <c r="AY208" s="173">
        <f t="shared" si="597"/>
        <v>1.0120813348608777</v>
      </c>
      <c r="AZ208" s="173">
        <f t="shared" si="601"/>
        <v>16.030998182719305</v>
      </c>
      <c r="BA208" s="460">
        <f t="shared" si="594"/>
        <v>38.611317637965847</v>
      </c>
      <c r="BB208" s="5">
        <f t="shared" si="595"/>
        <v>5.3983434019212355</v>
      </c>
      <c r="BD208" s="173">
        <f t="shared" si="602"/>
        <v>2.4133367985861534</v>
      </c>
      <c r="BE208" s="173">
        <f t="shared" si="598"/>
        <v>1.8933338121405152</v>
      </c>
      <c r="BG208" s="528">
        <f t="shared" si="480"/>
        <v>0.11648389006820127</v>
      </c>
      <c r="BH208" s="528">
        <f t="shared" si="524"/>
        <v>0.25525056623665382</v>
      </c>
      <c r="BI208" s="528">
        <f t="shared" si="525"/>
        <v>2.3631068807856797E-2</v>
      </c>
      <c r="BJ208" s="528">
        <f t="shared" si="481"/>
        <v>6.8534011672102624E-3</v>
      </c>
      <c r="BK208">
        <f t="shared" si="482"/>
        <v>4.4400881276988368E-3</v>
      </c>
      <c r="BL208" s="460">
        <f t="shared" si="588"/>
        <v>28.071156935555631</v>
      </c>
      <c r="BM208" s="528">
        <f t="shared" si="526"/>
        <v>0.42170999494691264</v>
      </c>
      <c r="BN208" s="460">
        <f t="shared" si="527"/>
        <v>421.70999494691262</v>
      </c>
      <c r="BO208" s="528">
        <f t="shared" si="483"/>
        <v>0.68599999999999994</v>
      </c>
      <c r="BR208" s="460">
        <f t="shared" si="484"/>
        <v>686</v>
      </c>
      <c r="BS208" s="528">
        <f t="shared" si="485"/>
        <v>0.17472583510230189</v>
      </c>
      <c r="BT208" s="528">
        <f t="shared" si="486"/>
        <v>0.10754138772583606</v>
      </c>
      <c r="BU208" s="528">
        <f t="shared" si="487"/>
        <v>0.29221753065807365</v>
      </c>
      <c r="BV208" s="528"/>
      <c r="BW208" s="528">
        <f t="shared" si="488"/>
        <v>1.3520561699932383E-2</v>
      </c>
      <c r="BX208" s="460">
        <f t="shared" si="489"/>
        <v>588.00531518614412</v>
      </c>
      <c r="BY208" s="173">
        <f t="shared" si="490"/>
        <v>1.6806643295937647</v>
      </c>
      <c r="BZ208" s="5">
        <f t="shared" si="491"/>
        <v>16.071999999999999</v>
      </c>
      <c r="CA208" s="173">
        <f t="shared" si="492"/>
        <v>0.90532889608056799</v>
      </c>
      <c r="CB208" s="5">
        <f t="shared" si="493"/>
        <v>90.532889608056806</v>
      </c>
      <c r="CE208" s="562">
        <f t="shared" si="528"/>
        <v>-50</v>
      </c>
      <c r="CF208">
        <f t="shared" si="529"/>
        <v>-50</v>
      </c>
      <c r="CG208" s="173">
        <f t="shared" si="530"/>
        <v>0.36804057615091629</v>
      </c>
      <c r="CI208" s="170">
        <v>98</v>
      </c>
      <c r="CJ208" s="217">
        <f t="shared" si="589"/>
        <v>0.98</v>
      </c>
      <c r="CK208" s="217"/>
      <c r="CL208" s="217">
        <f t="shared" si="531"/>
        <v>16.071999999999999</v>
      </c>
      <c r="CM208" s="541">
        <f t="shared" si="532"/>
        <v>10</v>
      </c>
      <c r="CN208" s="443">
        <f t="shared" si="533"/>
        <v>16.799999999999997</v>
      </c>
      <c r="CO208" s="443">
        <f t="shared" si="534"/>
        <v>26.799999999999997</v>
      </c>
      <c r="CP208" s="443"/>
      <c r="CQ208" s="217">
        <f t="shared" si="535"/>
        <v>0.62686567164179097</v>
      </c>
      <c r="CR208" s="172">
        <f t="shared" si="590"/>
        <v>20.973880597014926</v>
      </c>
      <c r="CS208" s="172">
        <f t="shared" si="536"/>
        <v>16.071999999999999</v>
      </c>
      <c r="CT208" s="217">
        <f t="shared" si="537"/>
        <v>1.2788951583545687</v>
      </c>
      <c r="CU208" s="217">
        <f t="shared" si="538"/>
        <v>16.399999999999999</v>
      </c>
      <c r="CV208" s="217"/>
      <c r="CW208" s="172">
        <f t="shared" si="539"/>
        <v>24.176363451832763</v>
      </c>
      <c r="CX208" s="536">
        <f t="shared" si="540"/>
        <v>16.399999999999999</v>
      </c>
      <c r="CY208" s="217">
        <f t="shared" si="541"/>
        <v>5.1277333333333335</v>
      </c>
      <c r="CZ208" s="217">
        <f t="shared" si="542"/>
        <v>6.1532800000000014</v>
      </c>
      <c r="DA208" s="217">
        <f t="shared" si="543"/>
        <v>3.6626666666666678</v>
      </c>
      <c r="DB208" s="197">
        <f t="shared" si="544"/>
        <v>350</v>
      </c>
      <c r="DC208" s="443">
        <f t="shared" si="545"/>
        <v>101.87504414585244</v>
      </c>
      <c r="DE208" s="217">
        <f t="shared" si="546"/>
        <v>1.4925373134328355</v>
      </c>
      <c r="DF208" s="173">
        <f t="shared" si="547"/>
        <v>1.0660980810234544</v>
      </c>
      <c r="DG208" s="173">
        <f t="shared" si="548"/>
        <v>0.27845845399866342</v>
      </c>
      <c r="DH208" s="173"/>
      <c r="DI208" s="173">
        <f t="shared" si="549"/>
        <v>0.95238095238095266</v>
      </c>
      <c r="DJ208" s="545">
        <f t="shared" si="550"/>
        <v>1543.4999999999993</v>
      </c>
      <c r="DK208" s="528">
        <f t="shared" si="551"/>
        <v>0.22222222222222232</v>
      </c>
      <c r="DM208" s="173">
        <f t="shared" si="552"/>
        <v>2.8</v>
      </c>
      <c r="DN208" s="173">
        <f t="shared" si="553"/>
        <v>5.1277333333333335</v>
      </c>
      <c r="DO208" s="173">
        <f t="shared" si="554"/>
        <v>4.0106666666666664</v>
      </c>
      <c r="DQ208" s="545">
        <f t="shared" si="555"/>
        <v>980</v>
      </c>
      <c r="DR208" s="460">
        <f t="shared" si="556"/>
        <v>101.87504414585244</v>
      </c>
      <c r="DT208">
        <f t="shared" si="591"/>
        <v>980</v>
      </c>
      <c r="DU208">
        <f t="shared" si="592"/>
        <v>101.87504414585244</v>
      </c>
      <c r="DW208" s="5">
        <f t="shared" si="557"/>
        <v>9.8159466666666688</v>
      </c>
      <c r="DX208" s="5">
        <f t="shared" si="558"/>
        <v>6.1532800000000014</v>
      </c>
      <c r="DY208" s="5">
        <f t="shared" si="559"/>
        <v>3.6626666666666674</v>
      </c>
      <c r="DZ208" s="5"/>
      <c r="EA208" s="173">
        <f t="shared" si="560"/>
        <v>0.62686567164179108</v>
      </c>
      <c r="EB208" s="173">
        <f t="shared" si="561"/>
        <v>16.071999999999999</v>
      </c>
      <c r="EC208" s="173">
        <f t="shared" si="562"/>
        <v>0.95666666666666655</v>
      </c>
      <c r="ED208" s="173">
        <f t="shared" si="563"/>
        <v>16.8</v>
      </c>
      <c r="EE208" s="460">
        <f t="shared" si="564"/>
        <v>36.769600000000011</v>
      </c>
      <c r="EF208" s="5">
        <f t="shared" si="565"/>
        <v>4.9055315555555561</v>
      </c>
      <c r="EH208" s="173">
        <f t="shared" si="566"/>
        <v>2.3439699960157814</v>
      </c>
      <c r="EI208" s="173">
        <f t="shared" si="567"/>
        <v>1.8084121129793314</v>
      </c>
      <c r="EK208" s="528">
        <f t="shared" si="568"/>
        <v>0.10988390684444445</v>
      </c>
      <c r="EL208" s="528">
        <f t="shared" si="569"/>
        <v>0.27999999999999992</v>
      </c>
      <c r="EM208" s="528">
        <f t="shared" si="570"/>
        <v>1.2734380518231555E-2</v>
      </c>
      <c r="EN208" s="528">
        <f t="shared" si="571"/>
        <v>7.317073170731706E-3</v>
      </c>
      <c r="EO208">
        <f t="shared" si="572"/>
        <v>4.4999999999999997E-3</v>
      </c>
      <c r="EP208" s="460">
        <f t="shared" si="573"/>
        <v>17.234380518231557</v>
      </c>
      <c r="EQ208" s="460"/>
      <c r="ER208" s="460">
        <f t="shared" si="593"/>
        <v>414.43536053340762</v>
      </c>
      <c r="ES208" s="528">
        <f t="shared" si="574"/>
        <v>0.68599999999999994</v>
      </c>
      <c r="EV208" s="460">
        <f t="shared" si="494"/>
        <v>686</v>
      </c>
      <c r="EW208" s="528">
        <f t="shared" si="575"/>
        <v>0.16482586026666668</v>
      </c>
      <c r="EX208" s="528">
        <f t="shared" si="576"/>
        <v>9.8110631111111082E-2</v>
      </c>
      <c r="EY208" s="528">
        <f t="shared" si="577"/>
        <v>0.31185528502698284</v>
      </c>
      <c r="EZ208" s="528"/>
      <c r="FA208" s="528">
        <f t="shared" si="578"/>
        <v>1.3393333333333333E-2</v>
      </c>
      <c r="FB208" s="460">
        <f t="shared" si="579"/>
        <v>588.18510973809396</v>
      </c>
      <c r="FC208" s="173">
        <f t="shared" si="580"/>
        <v>1.6886204702715018</v>
      </c>
      <c r="FD208" s="5">
        <f t="shared" si="581"/>
        <v>16.071999999999999</v>
      </c>
      <c r="FE208" s="173">
        <f t="shared" si="582"/>
        <v>0.90492334020098064</v>
      </c>
      <c r="FF208" s="5">
        <f t="shared" si="583"/>
        <v>90.49233402009807</v>
      </c>
      <c r="FI208" s="562">
        <f t="shared" si="584"/>
        <v>-50</v>
      </c>
      <c r="FJ208">
        <f t="shared" si="585"/>
        <v>-50</v>
      </c>
      <c r="FL208">
        <f t="shared" si="586"/>
        <v>0.37313432835820892</v>
      </c>
    </row>
    <row r="209" spans="5:168">
      <c r="E209" s="170">
        <v>99</v>
      </c>
      <c r="F209" s="217">
        <f>IF(PLOT_TYPE=1, E209/100*Iout_max, min_I*EXP(N209*rr/100))</f>
        <v>0.99</v>
      </c>
      <c r="G209" s="217"/>
      <c r="H209" s="217">
        <f>F209*Vout</f>
        <v>16.235999999999997</v>
      </c>
      <c r="I209" s="541">
        <f t="shared" si="496"/>
        <v>9.8655227600474138</v>
      </c>
      <c r="J209" s="172">
        <f t="shared" si="497"/>
        <v>16.880686343971551</v>
      </c>
      <c r="K209" s="172">
        <f t="shared" si="498"/>
        <v>26.746209104018966</v>
      </c>
      <c r="L209" s="443"/>
      <c r="M209" s="217">
        <f t="shared" si="499"/>
        <v>0.63112810047473777</v>
      </c>
      <c r="N209" s="172">
        <f>M209*I209*(Isw_max+VIN_min/Lmag*ILIM_delay)*0.5*Efficiency</f>
        <v>20.832525573793461</v>
      </c>
      <c r="O209" s="172">
        <f t="shared" si="599"/>
        <v>16.235999999999997</v>
      </c>
      <c r="P209" s="217">
        <f>N209/Vout</f>
        <v>1.2702759496215525</v>
      </c>
      <c r="Q209" s="217">
        <f t="shared" si="502"/>
        <v>16.399999999999999</v>
      </c>
      <c r="R209" s="217"/>
      <c r="S209" s="172">
        <f t="shared" si="503"/>
        <v>23.51672348833894</v>
      </c>
      <c r="T209" s="536">
        <f>MIN(Vout, S209)</f>
        <v>16.399999999999999</v>
      </c>
      <c r="U209" s="217">
        <f t="shared" si="505"/>
        <v>5.3677170924330584</v>
      </c>
      <c r="V209" s="217">
        <f>L*U209/I209*1000000</f>
        <v>6.5290615283003142</v>
      </c>
      <c r="W209" s="217">
        <f t="shared" si="507"/>
        <v>3.81575747553652</v>
      </c>
      <c r="X209" s="197">
        <f t="shared" si="508"/>
        <v>350</v>
      </c>
      <c r="Y209" s="443">
        <f t="shared" si="509"/>
        <v>94.833301513865763</v>
      </c>
      <c r="AA209" s="217">
        <f t="shared" si="510"/>
        <v>1.4825135697512521</v>
      </c>
      <c r="AB209" s="173">
        <f>L*AA209/J209*1000000</f>
        <v>1.0538767485226257</v>
      </c>
      <c r="AC209" s="173">
        <f>0.5*AB209*AA209*Nps*X209/1000</f>
        <v>0.27341765159277109</v>
      </c>
      <c r="AD209" s="173"/>
      <c r="AE209" s="173">
        <f t="shared" si="513"/>
        <v>0.94782875968274471</v>
      </c>
      <c r="AF209" s="545">
        <f>MAX(12000,F209/(0.5*AE209/1000000*Isw_min*Nps))/1000</f>
        <v>1566.7387012998593</v>
      </c>
      <c r="AG209" s="528">
        <f t="shared" si="515"/>
        <v>0.22116004392597377</v>
      </c>
      <c r="AI209" s="173">
        <f t="shared" si="516"/>
        <v>2.820999441310172</v>
      </c>
      <c r="AJ209" s="173">
        <f>MAX(IF(F209&gt;AC209,U209,AI209),Isw_min)</f>
        <v>5.3677170924330584</v>
      </c>
      <c r="AK209" s="173">
        <f>IF(F209&gt;AG209, (AJ209-Isw_min)/1.08*0.8+1.2, AF209*0.2/350+1)</f>
        <v>4.188432414147945</v>
      </c>
      <c r="AM209" s="545">
        <f t="shared" si="519"/>
        <v>990</v>
      </c>
      <c r="AN209" s="460">
        <f t="shared" si="520"/>
        <v>94.833301513865763</v>
      </c>
      <c r="AP209">
        <f t="shared" si="521"/>
        <v>990</v>
      </c>
      <c r="AQ209">
        <f t="shared" si="522"/>
        <v>94.833301513865763</v>
      </c>
      <c r="AS209" s="5">
        <f t="shared" si="600"/>
        <v>10.544819003836832</v>
      </c>
      <c r="AT209" s="5">
        <f t="shared" si="523"/>
        <v>6.5290615283003142</v>
      </c>
      <c r="AU209" s="5">
        <f t="shared" si="478"/>
        <v>4.0157574755365175</v>
      </c>
      <c r="AV209" s="5"/>
      <c r="AW209" s="173">
        <f t="shared" si="479"/>
        <v>0.61917246051588493</v>
      </c>
      <c r="AX209" s="173">
        <f t="shared" si="596"/>
        <v>16.394242579553623</v>
      </c>
      <c r="AY209" s="173">
        <f t="shared" si="597"/>
        <v>1.0220872464790549</v>
      </c>
      <c r="AZ209" s="173">
        <f t="shared" si="601"/>
        <v>16.039963942441759</v>
      </c>
      <c r="BA209" s="460">
        <f t="shared" si="594"/>
        <v>39.413237274495806</v>
      </c>
      <c r="BB209" s="5">
        <f t="shared" si="595"/>
        <v>5.5073816122591293</v>
      </c>
      <c r="BD209" s="173">
        <f t="shared" si="602"/>
        <v>2.4385676409613275</v>
      </c>
      <c r="BE209" s="173">
        <f t="shared" si="598"/>
        <v>1.912463539152832</v>
      </c>
      <c r="BG209" s="528">
        <f t="shared" si="480"/>
        <v>0.11893224279087389</v>
      </c>
      <c r="BH209" s="528">
        <f t="shared" si="524"/>
        <v>0.25527835704172597</v>
      </c>
      <c r="BI209" s="528">
        <f t="shared" si="525"/>
        <v>2.338950236238704E-2</v>
      </c>
      <c r="BJ209" s="528">
        <f t="shared" si="481"/>
        <v>6.783992225714036E-3</v>
      </c>
      <c r="BK209">
        <f t="shared" si="482"/>
        <v>4.4394852420213361E-3</v>
      </c>
      <c r="BL209" s="460">
        <f t="shared" si="588"/>
        <v>27.828987604408375</v>
      </c>
      <c r="BM209" s="528">
        <f t="shared" si="526"/>
        <v>0.42511945097033321</v>
      </c>
      <c r="BN209" s="460">
        <f t="shared" si="527"/>
        <v>425.11945097033322</v>
      </c>
      <c r="BO209" s="528">
        <f t="shared" si="483"/>
        <v>0.69299999999999995</v>
      </c>
      <c r="BR209" s="460">
        <f t="shared" si="484"/>
        <v>693</v>
      </c>
      <c r="BS209" s="528">
        <f t="shared" si="485"/>
        <v>0.1783983641863108</v>
      </c>
      <c r="BT209" s="528">
        <f t="shared" si="486"/>
        <v>0.10972550365766927</v>
      </c>
      <c r="BU209" s="528">
        <f t="shared" si="487"/>
        <v>0.29231171794641037</v>
      </c>
      <c r="BV209" s="528"/>
      <c r="BW209" s="528">
        <f t="shared" si="488"/>
        <v>1.3661868816294689E-2</v>
      </c>
      <c r="BX209" s="460">
        <f t="shared" si="489"/>
        <v>594.09745460668512</v>
      </c>
      <c r="BY209" s="173">
        <f t="shared" si="490"/>
        <v>1.6959210342694071</v>
      </c>
      <c r="BZ209" s="5">
        <f t="shared" si="491"/>
        <v>16.235999999999997</v>
      </c>
      <c r="CA209" s="173">
        <f t="shared" si="492"/>
        <v>0.90542446450503766</v>
      </c>
      <c r="CB209" s="5">
        <f t="shared" si="493"/>
        <v>90.542446450503761</v>
      </c>
      <c r="CE209" s="562">
        <f t="shared" si="528"/>
        <v>-50</v>
      </c>
      <c r="CF209">
        <f t="shared" si="529"/>
        <v>-50</v>
      </c>
      <c r="CG209" s="173">
        <f t="shared" si="530"/>
        <v>0.36809202819341441</v>
      </c>
      <c r="CI209" s="170">
        <v>99</v>
      </c>
      <c r="CJ209" s="217">
        <f t="shared" si="589"/>
        <v>0.99</v>
      </c>
      <c r="CK209" s="217"/>
      <c r="CL209" s="217">
        <f t="shared" si="531"/>
        <v>16.235999999999997</v>
      </c>
      <c r="CM209" s="541">
        <f t="shared" si="532"/>
        <v>10</v>
      </c>
      <c r="CN209" s="443">
        <f t="shared" si="533"/>
        <v>16.799999999999997</v>
      </c>
      <c r="CO209" s="443">
        <f t="shared" si="534"/>
        <v>26.799999999999997</v>
      </c>
      <c r="CP209" s="443"/>
      <c r="CQ209" s="217">
        <f t="shared" si="535"/>
        <v>0.62686567164179097</v>
      </c>
      <c r="CR209" s="172">
        <f t="shared" si="590"/>
        <v>20.973880597014926</v>
      </c>
      <c r="CS209" s="172">
        <f t="shared" si="536"/>
        <v>16.235999999999997</v>
      </c>
      <c r="CT209" s="217">
        <f t="shared" si="537"/>
        <v>1.2788951583545687</v>
      </c>
      <c r="CU209" s="217">
        <f t="shared" si="538"/>
        <v>16.399999999999999</v>
      </c>
      <c r="CV209" s="217"/>
      <c r="CW209" s="172">
        <f t="shared" si="539"/>
        <v>23.835083647093672</v>
      </c>
      <c r="CX209" s="536">
        <f t="shared" si="540"/>
        <v>16.399999999999999</v>
      </c>
      <c r="CY209" s="217">
        <f t="shared" si="541"/>
        <v>5.1800571428571427</v>
      </c>
      <c r="CZ209" s="217">
        <f t="shared" si="542"/>
        <v>6.2160685714285719</v>
      </c>
      <c r="DA209" s="217">
        <f t="shared" si="543"/>
        <v>3.7000408163265313</v>
      </c>
      <c r="DB209" s="197">
        <f t="shared" si="544"/>
        <v>350</v>
      </c>
      <c r="DC209" s="443">
        <f t="shared" si="545"/>
        <v>100.84600329589433</v>
      </c>
      <c r="DE209" s="217">
        <f t="shared" si="546"/>
        <v>1.4925373134328355</v>
      </c>
      <c r="DF209" s="173">
        <f t="shared" si="547"/>
        <v>1.0660980810234544</v>
      </c>
      <c r="DG209" s="173">
        <f t="shared" si="548"/>
        <v>0.27845845399866342</v>
      </c>
      <c r="DH209" s="173"/>
      <c r="DI209" s="173">
        <f t="shared" si="549"/>
        <v>0.95238095238095266</v>
      </c>
      <c r="DJ209" s="545">
        <f t="shared" si="550"/>
        <v>1559.2499999999993</v>
      </c>
      <c r="DK209" s="528">
        <f t="shared" si="551"/>
        <v>0.22222222222222232</v>
      </c>
      <c r="DM209" s="173">
        <f t="shared" si="552"/>
        <v>2.8142494558940574</v>
      </c>
      <c r="DN209" s="173">
        <f t="shared" si="553"/>
        <v>5.1800571428571427</v>
      </c>
      <c r="DO209" s="173">
        <f t="shared" si="554"/>
        <v>4.0494250440917101</v>
      </c>
      <c r="DQ209" s="545">
        <f t="shared" si="555"/>
        <v>990</v>
      </c>
      <c r="DR209" s="460">
        <f t="shared" si="556"/>
        <v>100.84600329589433</v>
      </c>
      <c r="DT209">
        <f t="shared" si="591"/>
        <v>990</v>
      </c>
      <c r="DU209">
        <f t="shared" si="592"/>
        <v>100.84600329589433</v>
      </c>
      <c r="DW209" s="5">
        <f t="shared" si="557"/>
        <v>9.916109387755105</v>
      </c>
      <c r="DX209" s="5">
        <f t="shared" si="558"/>
        <v>6.2160685714285719</v>
      </c>
      <c r="DY209" s="5">
        <f t="shared" si="559"/>
        <v>3.700040816326533</v>
      </c>
      <c r="DZ209" s="5"/>
      <c r="EA209" s="173">
        <f t="shared" si="560"/>
        <v>0.62686567164179086</v>
      </c>
      <c r="EB209" s="173">
        <f t="shared" si="561"/>
        <v>16.235999999999994</v>
      </c>
      <c r="EC209" s="173">
        <f t="shared" si="562"/>
        <v>0.96642857142857186</v>
      </c>
      <c r="ED209" s="173">
        <f t="shared" si="563"/>
        <v>16.799999999999986</v>
      </c>
      <c r="EE209" s="460">
        <f t="shared" si="564"/>
        <v>37.523828571428581</v>
      </c>
      <c r="EF209" s="5">
        <f t="shared" si="565"/>
        <v>5.0061552244897971</v>
      </c>
      <c r="EH209" s="173">
        <f t="shared" si="566"/>
        <v>2.3678880571996155</v>
      </c>
      <c r="EI209" s="173">
        <f t="shared" si="567"/>
        <v>1.8268652978056517</v>
      </c>
      <c r="EK209" s="528">
        <f t="shared" si="568"/>
        <v>0.11213787702857139</v>
      </c>
      <c r="EL209" s="528">
        <f t="shared" si="569"/>
        <v>0.27999999999999992</v>
      </c>
      <c r="EM209" s="528">
        <f t="shared" si="570"/>
        <v>1.2605750411986793E-2</v>
      </c>
      <c r="EN209" s="528">
        <f t="shared" si="571"/>
        <v>7.2431633407243137E-3</v>
      </c>
      <c r="EO209">
        <f t="shared" si="572"/>
        <v>4.4999999999999997E-3</v>
      </c>
      <c r="EP209" s="460">
        <f t="shared" si="573"/>
        <v>17.10575041198679</v>
      </c>
      <c r="EQ209" s="460"/>
      <c r="ER209" s="460">
        <f t="shared" si="593"/>
        <v>416.48679078128242</v>
      </c>
      <c r="ES209" s="528">
        <f t="shared" si="574"/>
        <v>0.69299999999999995</v>
      </c>
      <c r="EV209" s="460">
        <f t="shared" si="494"/>
        <v>693</v>
      </c>
      <c r="EW209" s="528">
        <f t="shared" si="575"/>
        <v>0.16820681554285707</v>
      </c>
      <c r="EX209" s="528">
        <f t="shared" si="576"/>
        <v>0.10012310448979597</v>
      </c>
      <c r="EY209" s="528">
        <f t="shared" si="577"/>
        <v>0.31185528502698334</v>
      </c>
      <c r="EZ209" s="528"/>
      <c r="FA209" s="528">
        <f t="shared" si="578"/>
        <v>1.3529999999999997E-2</v>
      </c>
      <c r="FB209" s="460">
        <f t="shared" si="579"/>
        <v>593.71520505963633</v>
      </c>
      <c r="FC209" s="173">
        <f t="shared" si="580"/>
        <v>1.7032019958409188</v>
      </c>
      <c r="FD209" s="5">
        <f t="shared" si="581"/>
        <v>16.235999999999997</v>
      </c>
      <c r="FE209" s="173">
        <f t="shared" si="582"/>
        <v>0.90505698100529819</v>
      </c>
      <c r="FF209" s="5">
        <f t="shared" si="583"/>
        <v>90.505698100529813</v>
      </c>
      <c r="FI209" s="562">
        <f t="shared" si="584"/>
        <v>-50</v>
      </c>
      <c r="FJ209">
        <f t="shared" si="585"/>
        <v>-50</v>
      </c>
      <c r="FL209">
        <f t="shared" si="586"/>
        <v>0.37313432835820914</v>
      </c>
    </row>
    <row r="210" spans="5:168">
      <c r="E210" s="170">
        <v>100</v>
      </c>
      <c r="F210" s="217">
        <f>IF(PLOT_TYPE=1, E210/100*Iout_max, min_I*EXP(N210*rr/100))</f>
        <v>1</v>
      </c>
      <c r="G210" s="217"/>
      <c r="H210" s="217">
        <f>F210*Vout</f>
        <v>16.399999999999999</v>
      </c>
      <c r="I210" s="541">
        <f t="shared" si="496"/>
        <v>9.8641830089475135</v>
      </c>
      <c r="J210" s="172">
        <f t="shared" si="497"/>
        <v>16.881490194631489</v>
      </c>
      <c r="K210" s="172">
        <f t="shared" si="498"/>
        <v>26.745673203579003</v>
      </c>
      <c r="L210" s="443"/>
      <c r="M210" s="217">
        <f>(Vout+Vfwd1+F210/FL210*Rdcr_sec)*Nps/((Vout+Vfwd1+F210/FL210*Rdcr_sec)*Nps+I210)</f>
        <v>0.63117080548059357</v>
      </c>
      <c r="N210" s="172">
        <f>M210*I210*(Isw_max+VIN_min/Lmag*ILIM_delay)*0.5*Efficiency</f>
        <v>20.831105921407527</v>
      </c>
      <c r="O210" s="172">
        <f t="shared" si="599"/>
        <v>16.399999999999999</v>
      </c>
      <c r="P210" s="217">
        <f>N210/Vout</f>
        <v>1.2701893854516786</v>
      </c>
      <c r="Q210" s="217">
        <f t="shared" si="502"/>
        <v>16.399999999999999</v>
      </c>
      <c r="R210" s="217"/>
      <c r="S210" s="172">
        <f t="shared" si="503"/>
        <v>23.183731891107456</v>
      </c>
      <c r="T210" s="536">
        <f>MIN(Vout, S210)</f>
        <v>16.399999999999999</v>
      </c>
      <c r="U210" s="217">
        <f>MIN(2*(Vout+Vfwd1+F210/FL210*Rdcr_sec)*F210/(I210*M210), Isw_max)</f>
        <v>5.4225642376440657</v>
      </c>
      <c r="V210" s="217">
        <f>L*U210/I210*1000000</f>
        <v>6.5966710869724325</v>
      </c>
      <c r="W210" s="217">
        <f t="shared" si="507"/>
        <v>3.8545631991909133</v>
      </c>
      <c r="X210" s="197">
        <f t="shared" si="508"/>
        <v>350</v>
      </c>
      <c r="Y210" s="443">
        <f>MIN(1/(V210+W210+0.2)*1000, 350)</f>
        <v>93.88583267753917</v>
      </c>
      <c r="AA210" s="217">
        <f t="shared" si="510"/>
        <v>1.4824125318379546</v>
      </c>
      <c r="AB210" s="173">
        <f>L*AA210/J210*1000000</f>
        <v>1.0537547442175781</v>
      </c>
      <c r="AC210" s="173">
        <f>0.5*AB210*AA210*Nps*X210/1000</f>
        <v>0.27336736670457135</v>
      </c>
      <c r="AD210" s="173"/>
      <c r="AE210" s="173">
        <f t="shared" si="513"/>
        <v>0.94778362665448745</v>
      </c>
      <c r="AF210" s="545">
        <f>MAX(12000,F210/(0.5*AE210/1000000*Isw_min*Nps))/1000</f>
        <v>1582.6397057467018</v>
      </c>
      <c r="AG210" s="528">
        <f t="shared" si="515"/>
        <v>0.22114951288604709</v>
      </c>
      <c r="AI210" s="173">
        <f t="shared" si="516"/>
        <v>2.8352786202746323</v>
      </c>
      <c r="AJ210" s="173">
        <f>MAX(IF(F210&gt;AC210,U210,AI210),Isw_min)</f>
        <v>5.4225642376440657</v>
      </c>
      <c r="AK210" s="173">
        <f>IF(F210&gt;AG210, (AJ210-Isw_min)/1.08*0.8+1.2, AF210*0.2/350+1)</f>
        <v>4.2290599291190603</v>
      </c>
      <c r="AM210" s="545">
        <f t="shared" si="519"/>
        <v>1000</v>
      </c>
      <c r="AN210" s="460">
        <f t="shared" si="520"/>
        <v>93.88583267753917</v>
      </c>
      <c r="AP210">
        <f t="shared" si="521"/>
        <v>1000</v>
      </c>
      <c r="AQ210">
        <f t="shared" si="522"/>
        <v>93.88583267753917</v>
      </c>
      <c r="AS210" s="5">
        <f t="shared" si="600"/>
        <v>10.651234286163344</v>
      </c>
      <c r="AT210" s="5">
        <f t="shared" si="523"/>
        <v>6.5966710869724325</v>
      </c>
      <c r="AU210" s="5">
        <f t="shared" si="478"/>
        <v>4.0545631991909117</v>
      </c>
      <c r="AV210" s="5"/>
      <c r="AW210" s="173">
        <f t="shared" si="479"/>
        <v>0.61933395790025414</v>
      </c>
      <c r="AX210" s="173">
        <f t="shared" si="596"/>
        <v>16.563828447323353</v>
      </c>
      <c r="AY210" s="173">
        <f t="shared" si="597"/>
        <v>1.0320930331877962</v>
      </c>
      <c r="AZ210" s="173">
        <f t="shared" si="601"/>
        <v>16.048774591727579</v>
      </c>
      <c r="BA210" s="460">
        <f t="shared" si="594"/>
        <v>40.223604188856299</v>
      </c>
      <c r="BB210" s="5">
        <f t="shared" si="595"/>
        <v>5.6175320015872412</v>
      </c>
      <c r="BD210" s="173">
        <f t="shared" si="602"/>
        <v>2.4638060913963247</v>
      </c>
      <c r="BE210" s="173">
        <f t="shared" si="598"/>
        <v>1.9315953288556991</v>
      </c>
      <c r="BG210" s="528">
        <f t="shared" si="480"/>
        <v>0.1214068091200327</v>
      </c>
      <c r="BH210" s="528">
        <f t="shared" si="524"/>
        <v>0.25530514902480556</v>
      </c>
      <c r="BI210" s="528">
        <f t="shared" si="525"/>
        <v>2.3152675886966779E-2</v>
      </c>
      <c r="BJ210" s="528">
        <f t="shared" si="481"/>
        <v>6.7159449871636596E-3</v>
      </c>
      <c r="BK210">
        <f t="shared" si="482"/>
        <v>4.438882354026381E-3</v>
      </c>
      <c r="BL210" s="460">
        <f t="shared" si="588"/>
        <v>27.591558240993159</v>
      </c>
      <c r="BM210" s="528">
        <f t="shared" si="526"/>
        <v>0.42857039367594291</v>
      </c>
      <c r="BN210" s="460">
        <f t="shared" si="527"/>
        <v>428.57039367594291</v>
      </c>
      <c r="BO210" s="528">
        <f t="shared" si="483"/>
        <v>0.7</v>
      </c>
      <c r="BR210" s="460">
        <f t="shared" si="484"/>
        <v>700</v>
      </c>
      <c r="BS210" s="528">
        <f t="shared" si="485"/>
        <v>0.18211021368004904</v>
      </c>
      <c r="BT210" s="528">
        <f t="shared" si="486"/>
        <v>0.11193181543371468</v>
      </c>
      <c r="BU210" s="528">
        <f t="shared" si="487"/>
        <v>0.2924030673734338</v>
      </c>
      <c r="BV210" s="528"/>
      <c r="BW210" s="528">
        <f t="shared" si="488"/>
        <v>1.3803190372769459E-2</v>
      </c>
      <c r="BX210" s="460">
        <f t="shared" si="489"/>
        <v>600.24828685996692</v>
      </c>
      <c r="BY210" s="173">
        <f t="shared" si="490"/>
        <v>1.7112677482329623</v>
      </c>
      <c r="BZ210" s="5">
        <f t="shared" si="491"/>
        <v>16.399999999999999</v>
      </c>
      <c r="CA210" s="173">
        <f t="shared" si="492"/>
        <v>0.90551364089905173</v>
      </c>
      <c r="CB210" s="5">
        <f t="shared" si="493"/>
        <v>90.551364089905178</v>
      </c>
      <c r="CE210" s="562">
        <f t="shared" si="528"/>
        <v>-50</v>
      </c>
      <c r="CF210">
        <f t="shared" si="529"/>
        <v>-50</v>
      </c>
      <c r="CG210" s="173">
        <f t="shared" si="530"/>
        <v>0.36814245119506217</v>
      </c>
      <c r="CI210" s="170">
        <v>100</v>
      </c>
      <c r="CJ210" s="217">
        <f t="shared" si="589"/>
        <v>1</v>
      </c>
      <c r="CK210" s="217"/>
      <c r="CL210" s="217">
        <f t="shared" si="531"/>
        <v>16.399999999999999</v>
      </c>
      <c r="CM210" s="541">
        <f t="shared" si="532"/>
        <v>10</v>
      </c>
      <c r="CN210" s="443">
        <f t="shared" si="533"/>
        <v>16.799999999999997</v>
      </c>
      <c r="CO210" s="443">
        <f t="shared" si="534"/>
        <v>26.799999999999997</v>
      </c>
      <c r="CP210" s="443"/>
      <c r="CQ210" s="217">
        <f t="shared" si="535"/>
        <v>0.62686567164179097</v>
      </c>
      <c r="CR210" s="172">
        <f t="shared" si="590"/>
        <v>20.973880597014926</v>
      </c>
      <c r="CS210" s="172">
        <f t="shared" si="536"/>
        <v>16.399999999999999</v>
      </c>
      <c r="CT210" s="217">
        <f t="shared" si="537"/>
        <v>1.2788951583545687</v>
      </c>
      <c r="CU210" s="217">
        <f t="shared" si="538"/>
        <v>16.399999999999999</v>
      </c>
      <c r="CV210" s="217"/>
      <c r="CW210" s="172">
        <f t="shared" si="539"/>
        <v>23.500692500849418</v>
      </c>
      <c r="CX210" s="536">
        <f t="shared" si="540"/>
        <v>16.399999999999999</v>
      </c>
      <c r="CY210" s="217">
        <f t="shared" si="541"/>
        <v>5.2323809523809528</v>
      </c>
      <c r="CZ210" s="217">
        <f t="shared" si="542"/>
        <v>6.2788571428571442</v>
      </c>
      <c r="DA210" s="217">
        <f t="shared" si="543"/>
        <v>3.7374149659863956</v>
      </c>
      <c r="DB210" s="197">
        <f t="shared" si="544"/>
        <v>350</v>
      </c>
      <c r="DC210" s="443">
        <f t="shared" si="545"/>
        <v>99.837543262935398</v>
      </c>
      <c r="DE210" s="217">
        <f t="shared" si="546"/>
        <v>1.4925373134328355</v>
      </c>
      <c r="DF210" s="173">
        <f t="shared" si="547"/>
        <v>1.0660980810234544</v>
      </c>
      <c r="DG210" s="173">
        <f t="shared" si="548"/>
        <v>0.27845845399866342</v>
      </c>
      <c r="DH210" s="173"/>
      <c r="DI210" s="173">
        <f t="shared" si="549"/>
        <v>0.95238095238095266</v>
      </c>
      <c r="DJ210" s="545">
        <f t="shared" si="550"/>
        <v>1574.9999999999993</v>
      </c>
      <c r="DK210" s="528">
        <f t="shared" si="551"/>
        <v>0.22222222222222232</v>
      </c>
      <c r="DM210" s="173">
        <f t="shared" si="552"/>
        <v>2.8284271247461898</v>
      </c>
      <c r="DN210" s="173">
        <f t="shared" si="553"/>
        <v>5.2323809523809528</v>
      </c>
      <c r="DO210" s="173">
        <f t="shared" si="554"/>
        <v>4.0881834215167547</v>
      </c>
      <c r="DQ210" s="545">
        <f t="shared" si="555"/>
        <v>1000</v>
      </c>
      <c r="DR210" s="460">
        <f t="shared" si="556"/>
        <v>99.837543262935398</v>
      </c>
      <c r="DT210">
        <f>IF(CL210&gt;CR210, " ",DQ210)</f>
        <v>1000</v>
      </c>
      <c r="DU210">
        <f>IF(CL210&gt;CR210, " ",DR210)</f>
        <v>99.837543262935398</v>
      </c>
      <c r="DW210" s="5">
        <f t="shared" si="557"/>
        <v>10.016272108843539</v>
      </c>
      <c r="DX210" s="5">
        <f t="shared" si="558"/>
        <v>6.2788571428571442</v>
      </c>
      <c r="DY210" s="5">
        <f t="shared" si="559"/>
        <v>3.7374149659863951</v>
      </c>
      <c r="DZ210" s="5"/>
      <c r="EA210" s="173">
        <f t="shared" si="560"/>
        <v>0.62686567164179108</v>
      </c>
      <c r="EB210" s="173">
        <f t="shared" si="561"/>
        <v>16.400000000000002</v>
      </c>
      <c r="EC210" s="173">
        <f t="shared" si="562"/>
        <v>0.97619047619047616</v>
      </c>
      <c r="ED210" s="173">
        <f t="shared" si="563"/>
        <v>16.800000000000004</v>
      </c>
      <c r="EE210" s="460">
        <f t="shared" si="564"/>
        <v>38.285714285714299</v>
      </c>
      <c r="EF210" s="5">
        <f t="shared" si="565"/>
        <v>5.1078004535147388</v>
      </c>
      <c r="EH210" s="173">
        <f t="shared" si="566"/>
        <v>2.3918061183834505</v>
      </c>
      <c r="EI210" s="173">
        <f t="shared" si="567"/>
        <v>1.8453184826319708</v>
      </c>
      <c r="EK210" s="528">
        <f t="shared" si="568"/>
        <v>0.11441473015873017</v>
      </c>
      <c r="EL210" s="528">
        <f t="shared" si="569"/>
        <v>0.27999999999999997</v>
      </c>
      <c r="EM210" s="528">
        <f t="shared" si="570"/>
        <v>1.2479692907866925E-2</v>
      </c>
      <c r="EN210" s="528">
        <f t="shared" si="571"/>
        <v>7.1707317073170709E-3</v>
      </c>
      <c r="EO210">
        <f t="shared" si="572"/>
        <v>4.4999999999999997E-3</v>
      </c>
      <c r="EP210" s="460">
        <f t="shared" si="573"/>
        <v>16.979692907866927</v>
      </c>
      <c r="EQ210" s="460"/>
      <c r="ER210" s="460">
        <f t="shared" si="593"/>
        <v>418.56515477391417</v>
      </c>
      <c r="ES210" s="528">
        <f t="shared" si="574"/>
        <v>0.7</v>
      </c>
      <c r="EV210" s="460">
        <f t="shared" si="494"/>
        <v>700</v>
      </c>
      <c r="EW210" s="528">
        <f t="shared" si="575"/>
        <v>0.17162209523809524</v>
      </c>
      <c r="EX210" s="528">
        <f t="shared" si="576"/>
        <v>0.10215600907029478</v>
      </c>
      <c r="EY210" s="528">
        <f t="shared" si="577"/>
        <v>0.31185528502698284</v>
      </c>
      <c r="EZ210" s="528"/>
      <c r="FA210" s="528">
        <f t="shared" si="578"/>
        <v>1.3666666666666666E-2</v>
      </c>
      <c r="FB210" s="460">
        <f t="shared" si="579"/>
        <v>599.30005600203958</v>
      </c>
      <c r="FC210" s="173">
        <f t="shared" si="580"/>
        <v>1.7178652107759538</v>
      </c>
      <c r="FD210" s="5">
        <f t="shared" si="581"/>
        <v>16.399999999999999</v>
      </c>
      <c r="FE210" s="173">
        <f t="shared" si="582"/>
        <v>0.90518390600708187</v>
      </c>
      <c r="FF210" s="5">
        <f t="shared" si="583"/>
        <v>90.518390600708187</v>
      </c>
      <c r="FI210" s="562">
        <f t="shared" si="584"/>
        <v>-50</v>
      </c>
      <c r="FJ210">
        <f t="shared" si="585"/>
        <v>-50</v>
      </c>
      <c r="FL210">
        <f t="shared" si="586"/>
        <v>0.37313432835820892</v>
      </c>
    </row>
    <row r="211" spans="5:168" ht="13">
      <c r="E211" s="170"/>
      <c r="F211" s="217"/>
      <c r="G211" s="217"/>
      <c r="H211" s="217"/>
      <c r="I211" s="541"/>
      <c r="J211" s="443"/>
      <c r="K211" s="443"/>
      <c r="L211" s="443"/>
      <c r="M211" s="217"/>
      <c r="N211" s="172"/>
      <c r="O211" s="172"/>
      <c r="P211" s="217"/>
      <c r="Q211" s="217"/>
      <c r="R211" s="217"/>
      <c r="S211" s="172"/>
      <c r="T211" s="536"/>
      <c r="U211" s="217"/>
      <c r="V211" s="217"/>
      <c r="W211" s="217"/>
      <c r="X211" s="197"/>
      <c r="Y211" s="443"/>
      <c r="AA211" s="217"/>
      <c r="AB211" s="173"/>
      <c r="AC211" s="173"/>
      <c r="AD211" s="173"/>
      <c r="AE211" s="173"/>
      <c r="AF211" s="545"/>
      <c r="AG211" s="528"/>
      <c r="AI211" s="173"/>
      <c r="AJ211" s="173"/>
      <c r="AK211" s="173"/>
      <c r="AM211" s="545"/>
      <c r="AN211" s="460"/>
      <c r="AS211" s="5"/>
      <c r="AT211" s="5"/>
      <c r="AU211" s="5"/>
      <c r="AV211" s="5"/>
      <c r="AW211" s="173"/>
      <c r="AX211" s="173"/>
      <c r="BA211" s="460"/>
      <c r="BB211" s="5"/>
      <c r="CE211" s="562"/>
      <c r="CF211" s="530">
        <f>MAX(CF110:CF210)</f>
        <v>-50</v>
      </c>
      <c r="CH211" s="76"/>
      <c r="CI211" s="170"/>
      <c r="CJ211" s="217"/>
      <c r="CK211" s="217"/>
      <c r="CL211" s="217"/>
      <c r="CM211" s="541"/>
      <c r="CN211" s="443"/>
      <c r="CO211" s="443"/>
      <c r="CP211" s="443"/>
      <c r="CQ211" s="217"/>
      <c r="CR211" s="172"/>
      <c r="CS211" s="172"/>
      <c r="CT211" s="217"/>
      <c r="CU211" s="217"/>
      <c r="CV211" s="217"/>
      <c r="CW211" s="172"/>
      <c r="CX211" s="536"/>
      <c r="CY211" s="217"/>
      <c r="CZ211" s="217"/>
      <c r="DA211" s="217"/>
      <c r="DB211" s="197"/>
      <c r="DC211" s="443"/>
      <c r="DE211" s="217"/>
      <c r="DF211" s="173"/>
      <c r="DG211" s="173"/>
      <c r="DH211" s="173"/>
      <c r="DI211" s="173"/>
      <c r="DJ211" s="545"/>
      <c r="DK211" s="528"/>
      <c r="DM211" s="173"/>
      <c r="DN211" s="173"/>
      <c r="DO211" s="173"/>
      <c r="DQ211" s="545"/>
      <c r="DR211" s="460"/>
      <c r="DW211" s="5"/>
      <c r="DX211" s="5"/>
      <c r="DY211" s="5"/>
      <c r="DZ211" s="5"/>
      <c r="EA211" s="173"/>
      <c r="EB211" s="173"/>
      <c r="EE211" s="460"/>
      <c r="EF211" s="5"/>
      <c r="FI211" s="562"/>
    </row>
    <row r="212" spans="5:168">
      <c r="E212" s="170">
        <v>110</v>
      </c>
      <c r="F212" s="217">
        <f>Ioutmax_Vinmin</f>
        <v>1.2788944076213371</v>
      </c>
      <c r="G212" s="217"/>
      <c r="H212" s="217">
        <f>F212*Vout</f>
        <v>20.973868284989926</v>
      </c>
      <c r="I212" s="541">
        <f>VIN_min-F212*(Rdcr_pri+RON/1000)/CG212/Nps</f>
        <v>9.8263044096830185</v>
      </c>
      <c r="J212" s="172">
        <f>(T212+Vfwd1+F212/CG212*Rdcr_sec)*Nps</f>
        <v>16.528678116892149</v>
      </c>
      <c r="K212" s="172">
        <f>(Vout+Vfwd1+F212/CG212*Rdcr_sec)*Nps++I212</f>
        <v>26.730521763873206</v>
      </c>
      <c r="L212" s="443"/>
      <c r="M212" s="217">
        <f>(Vout+Vfwd1+F212/FL212*Rdcr_sec)*Nps/((Vout+Vfwd1+F212/FL212*Rdcr_sec)*Nps+I212)</f>
        <v>0.63237466683826438</v>
      </c>
      <c r="N212" s="172">
        <f>M212*I212*(Isw_max+VIN_min/Lmag*ILIM_delay)*0.5*Efficiency</f>
        <v>20.790693749132117</v>
      </c>
      <c r="O212" s="172">
        <f>T212*F212</f>
        <v>20.493593254567081</v>
      </c>
      <c r="P212" s="217">
        <f>N212/Vout</f>
        <v>1.2677252286056171</v>
      </c>
      <c r="Q212" s="217">
        <f>MIN(Vout,N212/F212)</f>
        <v>16.256771180821328</v>
      </c>
      <c r="R212" s="217"/>
      <c r="S212" s="172">
        <f>(SQRT(Isw_max^2*Nps^2*I212^2+4*Isw_max*F212/Efficiency*(Nps^2*Vfwd1*I212-Nps*I212^2)+4*(F212/Efficiency)^2*Nps^2*Vfwd1^2+8*(F212/Efficiency)^2*Nps*Vfwd1*I212+4*(F212/Efficiency)^2*I212^2)-2*F212/Efficiency*I212-2*F212/Efficiency*Nps*Vfwd1+Isw_max*Nps*I212)/(4*F212/Efficiency*Nps)</f>
        <v>16.02446076270196</v>
      </c>
      <c r="T212" s="536">
        <f>MIN(Vout, S212)</f>
        <v>16.02446076270196</v>
      </c>
      <c r="U212" s="217">
        <f>MIN(2*(Vout+Vfwd1+F212/FL212*Rdcr_sec)*F212/(I212*M212), Isw_max)</f>
        <v>6.666666666666667</v>
      </c>
      <c r="V212" s="217">
        <f>L*U212/I212*1000000</f>
        <v>8.1414127493512769</v>
      </c>
      <c r="W212" s="217">
        <f>L*U212/J212*1000000</f>
        <v>4.8400724748968749</v>
      </c>
      <c r="X212" s="197">
        <f>IF(1/((350000*L)*(1/I212+1/J212))&gt;Isw_min, 350, 0.001/((Isw_min*L)*(1/I212+1/J212)))</f>
        <v>350</v>
      </c>
      <c r="Y212" s="443">
        <f>MIN(1/(V212+W212+0.2)*1000, 350)</f>
        <v>75.863985202550509</v>
      </c>
      <c r="AA212" s="217">
        <f>1/((X212*1000*L)*(1/I212+1/J212))</f>
        <v>1.4672912011670241</v>
      </c>
      <c r="AB212" s="173">
        <f>L*AA212/J212*1000000</f>
        <v>1.0652693633140329</v>
      </c>
      <c r="AC212" s="173">
        <f>0.5*AB212*AA212*Nps*X212/1000</f>
        <v>0.2735355636411087</v>
      </c>
      <c r="AD212" s="173"/>
      <c r="AE212" s="173">
        <f>L*Isw_min/J212*1000000</f>
        <v>0.9680144949793752</v>
      </c>
      <c r="AF212" s="545">
        <f>MAX(12000,F212/(0.5*AE212/1000000*Isw_min*Nps))/1000</f>
        <v>1981.7281883499877</v>
      </c>
      <c r="AG212" s="528">
        <f>0.5*AE212/1000000*Isw_min*Nps*X212*1000</f>
        <v>0.22587004882852094</v>
      </c>
      <c r="AI212" s="173">
        <f>SQRT(F212/(0.5*L/J212*Fsw_DCM*Nps))</f>
        <v>3.1726835576051942</v>
      </c>
      <c r="AJ212" s="173">
        <f>MAX(IF(F212&gt;AC212,U212,AI212),Isw_min)</f>
        <v>6.666666666666667</v>
      </c>
      <c r="AK212" s="173">
        <f>IF(F212&gt;AG212, (AJ212-Isw_min)/1.08*0.8+1.2, AF212*0.2/350+1)</f>
        <v>5.1506172839506181</v>
      </c>
      <c r="AM212" s="545">
        <f>F212*1000</f>
        <v>1278.894407621337</v>
      </c>
      <c r="AN212" s="460">
        <f>IF(F212&gt;AG212, Y212, AF212)</f>
        <v>75.863985202550509</v>
      </c>
      <c r="AP212" t="str">
        <f>IF(H212&gt;N212, "",AM212)</f>
        <v/>
      </c>
      <c r="AQ212" t="str">
        <f>IF(H212&gt;N212, "",AN212)</f>
        <v/>
      </c>
      <c r="AS212" s="5">
        <f>1/AN212*1000</f>
        <v>13.181485224248153</v>
      </c>
      <c r="AT212" s="5">
        <f>L*AJ212/I212*1000000</f>
        <v>8.1414127493512769</v>
      </c>
      <c r="AU212" s="5">
        <f>AS212-AT212</f>
        <v>5.0400724748968759</v>
      </c>
      <c r="AV212" s="5"/>
      <c r="AW212" s="173">
        <f>AT212/AS212</f>
        <v>0.61764001634464127</v>
      </c>
      <c r="AX212" s="173">
        <f>0.5*L*AJ212^2*AN212*1000</f>
        <v>20.230396054013475</v>
      </c>
      <c r="AY212" s="173">
        <f>AJ212*Nps/2*(1-AW212)</f>
        <v>1.2745332788511958</v>
      </c>
      <c r="AZ212" s="173">
        <f>AX212/AY212</f>
        <v>15.872787623284502</v>
      </c>
      <c r="BA212" s="460">
        <f>F212*AT212/Vout_ripple*1000</f>
        <v>63.487848995624418</v>
      </c>
      <c r="BB212" s="5">
        <f>H212/Efficiency/I212*AU212/Vinripple1</f>
        <v>8.9648671419747163</v>
      </c>
      <c r="BD212" s="173">
        <f>AJ212*SQRT(AW212/3)</f>
        <v>3.0249334644525745</v>
      </c>
      <c r="BE212" s="173">
        <f>AJ212*Nps*SQRT((1-AW212)/3)</f>
        <v>2.3800404094153023</v>
      </c>
      <c r="BG212" s="528">
        <f>Rdson*BD212^2</f>
        <v>0.18300444928730109</v>
      </c>
      <c r="BH212" s="528">
        <f>0.5*K212*AJ212*AN212*1000*Tfall</f>
        <v>0.25348548844386637</v>
      </c>
      <c r="BI212" s="528">
        <f>Qg*Vdd*AN212*1000*0+Qg*I212*AN212*1000</f>
        <v>1.8636565308298735E-2</v>
      </c>
      <c r="BJ212" s="528">
        <f>0.5*(Coss+Csw)*K212^2*AN212*1000</f>
        <v>5.4206394925398402E-3</v>
      </c>
      <c r="BK212">
        <f>I212*IQ</f>
        <v>4.4218369843573579E-3</v>
      </c>
      <c r="BL212" s="460">
        <f>(BK212+BI212)*1000</f>
        <v>23.058402292656094</v>
      </c>
      <c r="BM212" s="528">
        <f>(BH212+BI212*0+BJ212+BK212*0+BG212*(1+RdsonTC*(Ta-25)))/(1-BG212*RdsonTC*ThetaJA)</f>
        <v>0.51365651786561828</v>
      </c>
      <c r="BN212" s="460">
        <f>BM212*1000</f>
        <v>513.6565178656183</v>
      </c>
      <c r="BO212" s="528">
        <f>Vfwd2*F212</f>
        <v>0.89522608533493586</v>
      </c>
      <c r="BR212" s="460">
        <f>SUM(BO212:BQ212)*1000</f>
        <v>895.22608533493587</v>
      </c>
      <c r="BS212" s="528">
        <f>Rdcr_pri*BD212^2</f>
        <v>0.27450667393095163</v>
      </c>
      <c r="BT212" s="528">
        <f>Rdcr_sec*BE212^2</f>
        <v>0.16993777051349279</v>
      </c>
      <c r="BU212" s="528">
        <f>AJ212^2.5*AN212^2.5*k_core</f>
        <v>0.28762788565421032</v>
      </c>
      <c r="BV212" s="528"/>
      <c r="BW212" s="528">
        <f>0.5*Lleak*0.000000001*AJ212^2*AN212*1000</f>
        <v>1.685866337834456E-2</v>
      </c>
      <c r="BX212" s="460">
        <f>SUM(BS212:BW212)*1000</f>
        <v>748.93099347699922</v>
      </c>
      <c r="BY212" s="173">
        <f>SUM(BG212:BK212,BO212:BQ212,BS212:BW212)</f>
        <v>2.1091260583282989</v>
      </c>
      <c r="BZ212" s="5">
        <f>MIN(H212,O212)</f>
        <v>20.493593254567081</v>
      </c>
      <c r="CA212" s="173">
        <f>BZ212/(BZ212+BY212)</f>
        <v>0.90668706587330872</v>
      </c>
      <c r="CB212" s="5">
        <f>CA212*100</f>
        <v>90.668706587330874</v>
      </c>
      <c r="CE212" s="562">
        <f>IF(ABS(F212-Ioutmax_Vinmin)&lt;Iout/200, AN212, -50)</f>
        <v>75.863985202550509</v>
      </c>
      <c r="CF212">
        <f>IF(ABS(F212-Ioutmax_Vinmin)&lt;Iout/200, N212*CA212, -50)</f>
        <v>18.850653112871139</v>
      </c>
      <c r="CG212" s="173">
        <f>MIN(SQRT(2*DU212*1000*Ls1_*CL212)/CU212,1-EA212-0.00000005*DU212*1000)</f>
        <v>0.36814245119506217</v>
      </c>
      <c r="CI212" s="170">
        <v>100</v>
      </c>
      <c r="CJ212" s="217">
        <f>IF(PLOT_TYPE=1, CI212/100*Iout_max, min_I*EXP(CR212*rr/100))</f>
        <v>1</v>
      </c>
      <c r="CK212" s="217"/>
      <c r="CL212" s="217">
        <f>CJ212*Vout</f>
        <v>16.399999999999999</v>
      </c>
      <c r="CM212" s="541">
        <f t="shared" si="532"/>
        <v>10</v>
      </c>
      <c r="CN212" s="443">
        <f>(CX212+Vfwd1)*Nps</f>
        <v>16.799999999999997</v>
      </c>
      <c r="CO212" s="443">
        <f>(Vout+Vfwd1)*Nps+CM212</f>
        <v>26.799999999999997</v>
      </c>
      <c r="CP212" s="443"/>
      <c r="CQ212" s="217">
        <f>(Vout+Vfwd1)*Nps/((Vout+Vfwd1)*Nps+CM212)</f>
        <v>0.62686567164179097</v>
      </c>
      <c r="CR212" s="172">
        <f>CQ212*CM212*(Isw_max+VIN_min/Lmag*ILIM_delay)*0.5*Efficiency</f>
        <v>20.973880597014926</v>
      </c>
      <c r="CS212" s="172">
        <f>CX212*CJ212</f>
        <v>16.399999999999999</v>
      </c>
      <c r="CT212" s="217">
        <f>CR212/Vout</f>
        <v>1.2788951583545687</v>
      </c>
      <c r="CU212" s="217">
        <f>MIN(Vout,CR212/CJ212)</f>
        <v>16.399999999999999</v>
      </c>
      <c r="CV212" s="217"/>
      <c r="CW212" s="172">
        <f>(SQRT(Isw_max^2*Nps^2*CM212^2+4*Isw_max*CJ212/Efficiency*(Nps^2*Vfwd1*CM212-Nps*CM212^2)+4*(CJ212/Efficiency)^2*Nps^2*Vfwd1^2+8*(CJ212/Efficiency)^2*Nps*Vfwd1*CM212+4*(CJ212/Efficiency)^2*CM212^2)-2*CJ212/Efficiency*CM212-2*CJ212/Efficiency*Nps*Vfwd1+Isw_max*Nps*CM212)/(4*CJ212/Efficiency*Nps)</f>
        <v>23.500692500849418</v>
      </c>
      <c r="CX212" s="536">
        <f>MIN(Vout, CW212)</f>
        <v>16.399999999999999</v>
      </c>
      <c r="CY212" s="217">
        <f>MIN(2*Vout*CJ212/(Efficiency*CM212*CQ212), Isw_max)</f>
        <v>5.2323809523809528</v>
      </c>
      <c r="CZ212" s="217">
        <f>L*CY212/CM212*1000000</f>
        <v>6.2788571428571442</v>
      </c>
      <c r="DA212" s="217">
        <f>L*CY212/CN212*1000000</f>
        <v>3.7374149659863956</v>
      </c>
      <c r="DB212" s="197">
        <f>IF(1/((350000*L)*(1/CM212+1/CN212))&gt;Isw_min, 350, 0.001/((Isw_min*L)*(1/CM212+1/CN212)))</f>
        <v>350</v>
      </c>
      <c r="DC212" s="443">
        <f>MIN(1/(CZ212+DA212)*1000, 350)</f>
        <v>99.837543262935398</v>
      </c>
      <c r="DE212" s="217">
        <f>1/((DB212*1000*L)*(1/CM212+1/CN212))</f>
        <v>1.4925373134328355</v>
      </c>
      <c r="DF212" s="173">
        <f>L*DE212/CN212*1000000</f>
        <v>1.0660980810234544</v>
      </c>
      <c r="DG212" s="173">
        <f>0.5*DF212*DE212*Nps*DB212/1000</f>
        <v>0.27845845399866342</v>
      </c>
      <c r="DH212" s="173"/>
      <c r="DI212" s="173">
        <f>L*Isw_min/CN212*1000000</f>
        <v>0.95238095238095266</v>
      </c>
      <c r="DJ212" s="545">
        <f>MAX(12000,CJ212/(0.5*DI212/1000000*Isw_min*Nps))/1000</f>
        <v>1574.9999999999993</v>
      </c>
      <c r="DK212" s="528">
        <f>0.5*DI212/1000000*Isw_min*Nps*DB212*1000</f>
        <v>0.22222222222222232</v>
      </c>
      <c r="DM212" s="173">
        <f>SQRT(CJ212/(0.5*L/CN212*Fsw_DCM*Nps))</f>
        <v>2.8284271247461898</v>
      </c>
      <c r="DN212" s="173">
        <f>MAX(IF(CJ212&gt;DG212,CY212,DM212),Isw_min)</f>
        <v>5.2323809523809528</v>
      </c>
      <c r="DO212" s="173">
        <f>IF(CJ212&gt;DK212, (DN212-Isw_min)/1.08*0.8+1.2, DJ212*0.2/350+1)</f>
        <v>4.0881834215167547</v>
      </c>
      <c r="DQ212" s="545">
        <f>CJ212*1000</f>
        <v>1000</v>
      </c>
      <c r="DR212" s="460">
        <f>IF(CJ212&gt;DK212, DC212, DJ212)</f>
        <v>99.837543262935398</v>
      </c>
      <c r="DT212">
        <f>IF(CL212&gt;CR212, " ",DQ212)</f>
        <v>1000</v>
      </c>
      <c r="DU212">
        <f>IF(CL212&gt;CR212, " ",DR212)</f>
        <v>99.837543262935398</v>
      </c>
      <c r="DW212" s="5">
        <f>1/DR212*1000</f>
        <v>10.016272108843539</v>
      </c>
      <c r="DX212" s="5">
        <f>L*DN212/CM212*1000000</f>
        <v>6.2788571428571442</v>
      </c>
      <c r="DY212" s="5">
        <f>DW212-DX212</f>
        <v>3.7374149659863951</v>
      </c>
      <c r="DZ212" s="5"/>
      <c r="EA212" s="173">
        <f>DX212/DW212</f>
        <v>0.62686567164179108</v>
      </c>
      <c r="EB212" s="173">
        <f>0.5*L*DN212^2*DR212*1000</f>
        <v>16.400000000000002</v>
      </c>
      <c r="EC212" s="173">
        <f>DN212*Nps/2*(1-EA212)</f>
        <v>0.97619047619047616</v>
      </c>
      <c r="ED212" s="173">
        <f>EB212/EC212</f>
        <v>16.800000000000004</v>
      </c>
      <c r="EE212" s="460">
        <f>CJ212*DX212/Vout_ripple*1000</f>
        <v>38.285714285714299</v>
      </c>
      <c r="EF212" s="5">
        <f>CL212/Efficiency/CM212*DY212/Vinripple1</f>
        <v>5.1078004535147388</v>
      </c>
      <c r="EH212" s="173">
        <f>DN212*SQRT(EA212/3)</f>
        <v>2.3918061183834505</v>
      </c>
      <c r="EI212" s="173">
        <f>DN212*Nps*SQRT((1-EA212)/3)</f>
        <v>1.8453184826319708</v>
      </c>
      <c r="EK212" s="528">
        <f>Rdson*EH212^2</f>
        <v>0.11441473015873017</v>
      </c>
      <c r="EL212" s="528">
        <f>0.5*CO212*DN212*DR212*1000*Trise</f>
        <v>0.27999999999999997</v>
      </c>
      <c r="EM212" s="528">
        <f>Qg*Vdd*DR212*1000</f>
        <v>1.2479692907866925E-2</v>
      </c>
      <c r="EN212" s="528">
        <f>0.5*(Coss+Csw)*CO212^2*DR212*1000</f>
        <v>7.1707317073170709E-3</v>
      </c>
      <c r="EO212">
        <f>CM212*IQ</f>
        <v>4.4999999999999997E-3</v>
      </c>
      <c r="EP212" s="460">
        <f>(EO212+EM212)*1000</f>
        <v>16.979692907866927</v>
      </c>
      <c r="EQ212" s="460"/>
      <c r="ER212" s="460">
        <f>SUM(EK212:EO212)*1000</f>
        <v>418.56515477391417</v>
      </c>
      <c r="ES212" s="528">
        <f>Vfwd2*CJ212</f>
        <v>0.7</v>
      </c>
      <c r="EV212" s="460">
        <f>SUM(ES212:EU212)*1000</f>
        <v>700</v>
      </c>
      <c r="EW212" s="528">
        <f>Rdcr_pri*EH212^2</f>
        <v>0.17162209523809524</v>
      </c>
      <c r="EX212" s="528">
        <f>Rdcr_sec*EI212^2</f>
        <v>0.10215600907029478</v>
      </c>
      <c r="EY212" s="528">
        <f>DN212^2.5*DR212^2.5*k_core</f>
        <v>0.31185528502698284</v>
      </c>
      <c r="EZ212" s="528"/>
      <c r="FA212" s="528">
        <f>0.5*Lleak*0.000000001*DN212^2*DR212*1000</f>
        <v>1.3666666666666666E-2</v>
      </c>
      <c r="FB212" s="460">
        <f>SUM(EW212:FA212)*1000</f>
        <v>599.30005600203958</v>
      </c>
      <c r="FC212" s="173">
        <f>SUM(EK212:EO212,ES212:EU212,EW212:FA212)</f>
        <v>1.7178652107759538</v>
      </c>
      <c r="FD212" s="5">
        <f>MIN(CL212,CS212)</f>
        <v>16.399999999999999</v>
      </c>
      <c r="FE212" s="173">
        <f>FD212/(FD212+FC212)</f>
        <v>0.90518390600708187</v>
      </c>
      <c r="FF212" s="5">
        <f>FE212*100</f>
        <v>90.518390600708187</v>
      </c>
      <c r="FI212" s="562">
        <f>IF(ABS(CJ212-Ioutmax_Vinmin)&lt;Iout/200, DR212, -50)</f>
        <v>-50</v>
      </c>
      <c r="FJ212">
        <f>IF(ABS(CJ212-Ioutmax_Vinmin)&lt;Iout/200, CR212*FE212, -50)</f>
        <v>-50</v>
      </c>
      <c r="FL212">
        <f>MIN(SQRT(2*L*DR212*1000*CJ212*(CX212+Vfwd1))/(Nps*(CX212+Vfwd1)), 1-EA212)</f>
        <v>0.37313432835820892</v>
      </c>
    </row>
    <row r="213" spans="5:168">
      <c r="H213" s="217"/>
      <c r="I213" s="541"/>
      <c r="J213" s="443"/>
      <c r="K213" s="443"/>
      <c r="L213" s="443"/>
      <c r="M213" s="217"/>
      <c r="N213" s="172"/>
      <c r="O213" s="172"/>
      <c r="P213" s="217"/>
      <c r="Q213" s="217"/>
      <c r="R213" s="217"/>
      <c r="S213" s="172"/>
      <c r="T213" s="172"/>
      <c r="U213" s="217"/>
      <c r="V213" s="217"/>
      <c r="W213" s="217"/>
      <c r="X213" s="197"/>
      <c r="Y213" s="443"/>
      <c r="AA213" s="217"/>
      <c r="AB213" s="173"/>
      <c r="AC213" s="173"/>
      <c r="AD213" s="173"/>
      <c r="AE213" s="173"/>
      <c r="AF213" s="545"/>
      <c r="AI213" s="173"/>
      <c r="AJ213" s="173"/>
      <c r="AK213" s="173"/>
      <c r="AM213" s="545"/>
      <c r="AN213" s="460"/>
      <c r="AS213" s="5"/>
      <c r="AT213" s="5"/>
      <c r="AU213" s="5"/>
      <c r="AV213" s="5"/>
      <c r="AW213" s="173"/>
      <c r="AX213" s="173"/>
      <c r="BA213" s="460"/>
      <c r="BB213" s="5"/>
      <c r="CE213" s="562"/>
      <c r="CL213" s="217"/>
      <c r="CM213" s="541"/>
      <c r="CN213" s="443"/>
      <c r="CO213" s="443"/>
      <c r="CP213" s="443"/>
      <c r="CQ213" s="217"/>
      <c r="CR213" s="172"/>
      <c r="CS213" s="172"/>
      <c r="CT213" s="217"/>
      <c r="CU213" s="217"/>
      <c r="CV213" s="217"/>
      <c r="CW213" s="172"/>
      <c r="CX213" s="172"/>
      <c r="CY213" s="217"/>
      <c r="CZ213" s="217"/>
      <c r="DA213" s="217"/>
      <c r="DB213" s="197"/>
      <c r="DC213" s="443"/>
      <c r="DE213" s="217"/>
      <c r="DF213" s="173"/>
      <c r="DG213" s="173"/>
      <c r="DH213" s="173"/>
      <c r="DI213" s="173"/>
      <c r="DJ213" s="545"/>
      <c r="DM213" s="173"/>
      <c r="DN213" s="173"/>
      <c r="DO213" s="173"/>
      <c r="DQ213" s="545"/>
      <c r="DR213" s="460"/>
      <c r="DW213" s="5"/>
      <c r="DX213" s="5"/>
      <c r="DY213" s="5"/>
      <c r="DZ213" s="5"/>
      <c r="EA213" s="173"/>
      <c r="EB213" s="173"/>
      <c r="EE213" s="460"/>
      <c r="EF213" s="5"/>
      <c r="FI213" s="562"/>
    </row>
    <row r="214" spans="5:168" ht="13">
      <c r="E214" s="445" t="s">
        <v>435</v>
      </c>
      <c r="H214" s="217"/>
      <c r="I214" s="541"/>
      <c r="J214" s="443"/>
      <c r="K214" s="443"/>
      <c r="L214" s="443"/>
      <c r="M214" s="217"/>
      <c r="N214" s="172"/>
      <c r="O214" s="172"/>
      <c r="P214" s="217"/>
      <c r="Q214" s="217"/>
      <c r="R214" s="217"/>
      <c r="S214" s="172"/>
      <c r="T214" s="172"/>
      <c r="U214" s="217"/>
      <c r="V214" s="217"/>
      <c r="W214" s="217"/>
      <c r="X214" s="197"/>
      <c r="Y214" s="443"/>
      <c r="AA214" s="217"/>
      <c r="AB214" s="173"/>
      <c r="AC214" s="173"/>
      <c r="AD214" s="173"/>
      <c r="AE214" s="173"/>
      <c r="AF214" s="545"/>
      <c r="AI214" s="173"/>
      <c r="AJ214" s="173"/>
      <c r="AK214" s="173"/>
      <c r="AM214" s="545"/>
      <c r="AN214" s="460"/>
      <c r="AS214" s="5"/>
      <c r="AT214" s="5"/>
      <c r="AU214" s="5"/>
      <c r="AV214" s="5"/>
      <c r="AW214" s="173"/>
      <c r="AX214" s="173"/>
      <c r="BA214" s="460"/>
      <c r="BB214" s="5"/>
      <c r="CE214" s="562"/>
      <c r="CI214" s="445" t="s">
        <v>435</v>
      </c>
      <c r="CL214" s="217"/>
      <c r="CM214" s="541"/>
      <c r="CN214" s="443"/>
      <c r="CO214" s="443"/>
      <c r="CP214" s="443"/>
      <c r="CQ214" s="217"/>
      <c r="CR214" s="172"/>
      <c r="CS214" s="172"/>
      <c r="CT214" s="217"/>
      <c r="CU214" s="217"/>
      <c r="CV214" s="217"/>
      <c r="CW214" s="172"/>
      <c r="CX214" s="172"/>
      <c r="CY214" s="217"/>
      <c r="CZ214" s="217"/>
      <c r="DA214" s="217"/>
      <c r="DB214" s="197"/>
      <c r="DC214" s="443"/>
      <c r="DE214" s="217"/>
      <c r="DF214" s="173"/>
      <c r="DG214" s="173"/>
      <c r="DH214" s="173"/>
      <c r="DI214" s="173"/>
      <c r="DJ214" s="545"/>
      <c r="DM214" s="173"/>
      <c r="DN214" s="173"/>
      <c r="DO214" s="173"/>
      <c r="DQ214" s="545"/>
      <c r="DR214" s="460"/>
      <c r="DW214" s="5"/>
      <c r="DX214" s="5"/>
      <c r="DY214" s="5"/>
      <c r="DZ214" s="5"/>
      <c r="EA214" s="173"/>
      <c r="EB214" s="173"/>
      <c r="EE214" s="460"/>
      <c r="EF214" s="5"/>
      <c r="FI214" s="562"/>
    </row>
    <row r="215" spans="5:168" ht="45" customHeight="1" thickBot="1">
      <c r="E215" s="241" t="s">
        <v>25</v>
      </c>
      <c r="F215" s="444" t="s">
        <v>194</v>
      </c>
      <c r="G215" s="260"/>
      <c r="H215" s="527" t="s">
        <v>223</v>
      </c>
      <c r="I215" s="242" t="s">
        <v>412</v>
      </c>
      <c r="J215" s="243" t="s">
        <v>418</v>
      </c>
      <c r="K215" s="527" t="s">
        <v>413</v>
      </c>
      <c r="L215" s="527"/>
      <c r="M215" s="244" t="s">
        <v>48</v>
      </c>
      <c r="N215" s="527" t="s">
        <v>402</v>
      </c>
      <c r="O215" s="527" t="s">
        <v>656</v>
      </c>
      <c r="P215" s="527" t="s">
        <v>403</v>
      </c>
      <c r="Q215" s="527" t="s">
        <v>433</v>
      </c>
      <c r="R215" s="527" t="s">
        <v>654</v>
      </c>
      <c r="S215" s="527" t="s">
        <v>657</v>
      </c>
      <c r="T215" s="527" t="s">
        <v>655</v>
      </c>
      <c r="U215" s="527" t="s">
        <v>414</v>
      </c>
      <c r="V215" s="527" t="s">
        <v>466</v>
      </c>
      <c r="W215" s="527" t="s">
        <v>465</v>
      </c>
      <c r="X215" s="546" t="s">
        <v>420</v>
      </c>
      <c r="Y215" s="542" t="s">
        <v>425</v>
      </c>
      <c r="AA215" s="245" t="s">
        <v>417</v>
      </c>
      <c r="AB215" s="245" t="s">
        <v>464</v>
      </c>
      <c r="AC215" s="245" t="s">
        <v>423</v>
      </c>
      <c r="AD215" s="544"/>
      <c r="AE215" s="245" t="s">
        <v>463</v>
      </c>
      <c r="AF215" s="245" t="s">
        <v>681</v>
      </c>
      <c r="AG215" s="245" t="s">
        <v>427</v>
      </c>
      <c r="AH215" s="544"/>
      <c r="AI215" s="245" t="s">
        <v>429</v>
      </c>
      <c r="AJ215" s="547" t="s">
        <v>430</v>
      </c>
      <c r="AK215" s="547" t="s">
        <v>431</v>
      </c>
      <c r="AM215" s="543" t="s">
        <v>275</v>
      </c>
      <c r="AN215" s="543" t="s">
        <v>432</v>
      </c>
      <c r="AP215" s="245" t="s">
        <v>275</v>
      </c>
      <c r="AQ215" s="245" t="s">
        <v>432</v>
      </c>
      <c r="AR215" s="548"/>
      <c r="AS215" s="245" t="s">
        <v>467</v>
      </c>
      <c r="AT215" s="245" t="s">
        <v>461</v>
      </c>
      <c r="AU215" s="245" t="s">
        <v>462</v>
      </c>
      <c r="AV215" s="245" t="s">
        <v>653</v>
      </c>
      <c r="AW215" s="245" t="s">
        <v>48</v>
      </c>
      <c r="AX215" s="548" t="s">
        <v>651</v>
      </c>
      <c r="AY215" s="544" t="s">
        <v>650</v>
      </c>
      <c r="AZ215" s="544" t="s">
        <v>652</v>
      </c>
      <c r="BA215" s="245" t="s">
        <v>481</v>
      </c>
      <c r="BB215" s="245" t="s">
        <v>514</v>
      </c>
      <c r="BC215" s="544"/>
      <c r="BD215" s="557" t="s">
        <v>456</v>
      </c>
      <c r="BE215" s="245" t="s">
        <v>457</v>
      </c>
      <c r="BF215" s="544"/>
      <c r="BG215" s="557" t="s">
        <v>474</v>
      </c>
      <c r="BH215" s="245" t="s">
        <v>475</v>
      </c>
      <c r="BI215" s="245" t="s">
        <v>473</v>
      </c>
      <c r="BJ215" s="245" t="s">
        <v>469</v>
      </c>
      <c r="BK215" s="245" t="s">
        <v>478</v>
      </c>
      <c r="BL215" s="245" t="s">
        <v>777</v>
      </c>
      <c r="BM215" s="245" t="s">
        <v>776</v>
      </c>
      <c r="BN215" s="245" t="s">
        <v>491</v>
      </c>
      <c r="BO215" s="557" t="s">
        <v>476</v>
      </c>
      <c r="BP215" s="245" t="s">
        <v>477</v>
      </c>
      <c r="BQ215" s="245" t="s">
        <v>483</v>
      </c>
      <c r="BR215" s="245" t="s">
        <v>487</v>
      </c>
      <c r="BS215" s="557" t="s">
        <v>458</v>
      </c>
      <c r="BT215" s="245" t="s">
        <v>459</v>
      </c>
      <c r="BU215" s="245" t="s">
        <v>468</v>
      </c>
      <c r="BV215" s="245" t="s">
        <v>666</v>
      </c>
      <c r="BW215" s="245" t="s">
        <v>484</v>
      </c>
      <c r="BX215" s="245" t="s">
        <v>667</v>
      </c>
      <c r="BY215" s="557" t="s">
        <v>482</v>
      </c>
      <c r="BZ215" s="245" t="s">
        <v>223</v>
      </c>
      <c r="CA215" s="245" t="s">
        <v>47</v>
      </c>
      <c r="CB215" s="245" t="s">
        <v>485</v>
      </c>
      <c r="CC215" s="245"/>
      <c r="CE215" s="569" t="s">
        <v>664</v>
      </c>
      <c r="CF215" s="569" t="s">
        <v>665</v>
      </c>
      <c r="CG215" s="781" t="s">
        <v>828</v>
      </c>
      <c r="CI215" s="241" t="s">
        <v>25</v>
      </c>
      <c r="CJ215" s="444" t="s">
        <v>194</v>
      </c>
      <c r="CK215" s="260"/>
      <c r="CL215" s="527" t="s">
        <v>223</v>
      </c>
      <c r="CM215" s="242" t="s">
        <v>412</v>
      </c>
      <c r="CN215" s="243" t="s">
        <v>418</v>
      </c>
      <c r="CO215" s="527" t="s">
        <v>413</v>
      </c>
      <c r="CP215" s="527"/>
      <c r="CQ215" s="244" t="s">
        <v>48</v>
      </c>
      <c r="CR215" s="527" t="s">
        <v>402</v>
      </c>
      <c r="CS215" s="527" t="s">
        <v>656</v>
      </c>
      <c r="CT215" s="527" t="s">
        <v>403</v>
      </c>
      <c r="CU215" s="527" t="s">
        <v>433</v>
      </c>
      <c r="CV215" s="527" t="s">
        <v>654</v>
      </c>
      <c r="CW215" s="527" t="s">
        <v>657</v>
      </c>
      <c r="CX215" s="527" t="s">
        <v>655</v>
      </c>
      <c r="CY215" s="527" t="s">
        <v>414</v>
      </c>
      <c r="CZ215" s="527" t="s">
        <v>466</v>
      </c>
      <c r="DA215" s="527" t="s">
        <v>465</v>
      </c>
      <c r="DB215" s="546" t="s">
        <v>420</v>
      </c>
      <c r="DC215" s="542" t="s">
        <v>425</v>
      </c>
      <c r="DE215" s="245" t="s">
        <v>417</v>
      </c>
      <c r="DF215" s="245" t="s">
        <v>464</v>
      </c>
      <c r="DG215" s="245" t="s">
        <v>423</v>
      </c>
      <c r="DH215" s="544"/>
      <c r="DI215" s="245" t="s">
        <v>463</v>
      </c>
      <c r="DJ215" s="245" t="s">
        <v>681</v>
      </c>
      <c r="DK215" s="245" t="s">
        <v>427</v>
      </c>
      <c r="DL215" s="544"/>
      <c r="DM215" s="245" t="s">
        <v>429</v>
      </c>
      <c r="DN215" s="547" t="s">
        <v>430</v>
      </c>
      <c r="DO215" s="547" t="s">
        <v>431</v>
      </c>
      <c r="DQ215" s="543" t="s">
        <v>275</v>
      </c>
      <c r="DR215" s="543" t="s">
        <v>432</v>
      </c>
      <c r="DT215" s="245" t="s">
        <v>275</v>
      </c>
      <c r="DU215" s="245" t="s">
        <v>432</v>
      </c>
      <c r="DV215" s="548"/>
      <c r="DW215" s="245" t="s">
        <v>467</v>
      </c>
      <c r="DX215" s="245" t="s">
        <v>461</v>
      </c>
      <c r="DY215" s="245" t="s">
        <v>462</v>
      </c>
      <c r="DZ215" s="245" t="s">
        <v>653</v>
      </c>
      <c r="EA215" s="245" t="s">
        <v>48</v>
      </c>
      <c r="EB215" s="548" t="s">
        <v>651</v>
      </c>
      <c r="EC215" s="544" t="s">
        <v>650</v>
      </c>
      <c r="ED215" s="544" t="s">
        <v>652</v>
      </c>
      <c r="EE215" s="245" t="s">
        <v>481</v>
      </c>
      <c r="EF215" s="245" t="s">
        <v>514</v>
      </c>
      <c r="EG215" s="544"/>
      <c r="EH215" s="557" t="s">
        <v>456</v>
      </c>
      <c r="EI215" s="245" t="s">
        <v>457</v>
      </c>
      <c r="EJ215" s="544"/>
      <c r="EK215" s="557" t="s">
        <v>474</v>
      </c>
      <c r="EL215" s="245" t="s">
        <v>475</v>
      </c>
      <c r="EM215" s="245" t="s">
        <v>473</v>
      </c>
      <c r="EN215" s="245" t="s">
        <v>469</v>
      </c>
      <c r="EO215" s="245" t="s">
        <v>478</v>
      </c>
      <c r="EP215" s="245" t="s">
        <v>777</v>
      </c>
      <c r="EQ215" s="245" t="s">
        <v>776</v>
      </c>
      <c r="ER215" s="245" t="s">
        <v>491</v>
      </c>
      <c r="ES215" s="557" t="s">
        <v>476</v>
      </c>
      <c r="ET215" s="245" t="s">
        <v>477</v>
      </c>
      <c r="EU215" s="245" t="s">
        <v>483</v>
      </c>
      <c r="EV215" s="245" t="s">
        <v>487</v>
      </c>
      <c r="EW215" s="557" t="s">
        <v>458</v>
      </c>
      <c r="EX215" s="245" t="s">
        <v>459</v>
      </c>
      <c r="EY215" s="245" t="s">
        <v>468</v>
      </c>
      <c r="EZ215" s="245" t="s">
        <v>666</v>
      </c>
      <c r="FA215" s="245" t="s">
        <v>484</v>
      </c>
      <c r="FB215" s="245" t="s">
        <v>667</v>
      </c>
      <c r="FC215" s="557" t="s">
        <v>482</v>
      </c>
      <c r="FD215" s="245" t="s">
        <v>223</v>
      </c>
      <c r="FE215" s="245" t="s">
        <v>47</v>
      </c>
      <c r="FF215" s="245" t="s">
        <v>485</v>
      </c>
      <c r="FG215" s="245"/>
      <c r="FI215" s="569" t="s">
        <v>664</v>
      </c>
      <c r="FJ215" s="569" t="s">
        <v>665</v>
      </c>
      <c r="FL215" t="s">
        <v>825</v>
      </c>
    </row>
    <row r="216" spans="5:168">
      <c r="E216" s="170">
        <v>0.1</v>
      </c>
      <c r="F216" s="217">
        <v>1.0000000000000001E-9</v>
      </c>
      <c r="G216" s="217"/>
      <c r="H216" s="217">
        <f t="shared" ref="H216:H247" si="603">F216*Vout</f>
        <v>1.6399999999999998E-8</v>
      </c>
      <c r="I216" s="541">
        <f t="shared" ref="I216:I247" si="604">VIN_max-F216*(Rdcr_pri+RON/1000)/CG216/Nps</f>
        <v>35.999988068482445</v>
      </c>
      <c r="J216" s="172">
        <f t="shared" ref="J216:J247" si="605">(T216+Vfwd1+F216/CG216*Rdcr_sec)*Nps</f>
        <v>16.800007158910528</v>
      </c>
      <c r="K216" s="172">
        <f t="shared" ref="K216:K247" si="606">(Vout+Vfwd1+F216/CG216*Rdcr_sec)*Nps+I216</f>
        <v>52.799995227392969</v>
      </c>
      <c r="L216" s="443"/>
      <c r="M216" s="217">
        <f t="shared" ref="M216:M247" si="607">(Vout+Vfwd1+F216/FL216*Rdcr_sec)*Nps/((Vout+Vfwd1+F216/FL216*Rdcr_sec)*Nps+I216)</f>
        <v>0.31818198364838629</v>
      </c>
      <c r="N216" s="172">
        <f t="shared" ref="N216:N247" si="608">M216*I216*(Isw_max+VIN_max/Lmag*ILIM_delay)*0.5*Efficiency</f>
        <v>38.697280025832598</v>
      </c>
      <c r="O216" s="172">
        <f t="shared" si="599"/>
        <v>1.6399999999999998E-8</v>
      </c>
      <c r="P216" s="217">
        <f t="shared" ref="P216:P247" si="609">N216/Vout</f>
        <v>2.3595902454775977</v>
      </c>
      <c r="Q216" s="217">
        <f t="shared" ref="Q216:Q247" si="610">MIN(Vout,N216/F216)</f>
        <v>16.399999999999999</v>
      </c>
      <c r="R216" s="217"/>
      <c r="S216" s="172">
        <f t="shared" ref="S216:S247" si="611">(SQRT(Isw_max^2*Nps^2*I216^2+4*Isw_max*F216/Efficiency*(Nps^2*Vfwd1*I216-Nps*I216^2)+4*(F216/Efficiency)^2*Nps^2*Vfwd1^2+8*(F216/Efficiency)^2*Nps*Vfwd1*I216+4*(F216/Efficiency)^2*I216^2)-2*F216/Efficiency*I216-2*F216/Efficiency*Nps*Vfwd1+Isw_max*Nps*I216)/(4*F216/Efficiency*Nps)</f>
        <v>119999960192.27483</v>
      </c>
      <c r="T216" s="172">
        <f t="shared" ref="T216:T247" si="612">MIN(Vout, S216)</f>
        <v>16.399999999999999</v>
      </c>
      <c r="U216" s="217">
        <f t="shared" ref="U216:U247" si="613">MIN(2*(Vout+Vfwd1+F216/FL216*Rdcr_sec)*F216/(I216*M216), Isw_max)</f>
        <v>2.9333340452074527E-9</v>
      </c>
      <c r="V216" s="217">
        <f t="shared" ref="V216:V247" si="614">L*U216/I216*1000000</f>
        <v>9.777783391352459E-10</v>
      </c>
      <c r="W216" s="217">
        <f t="shared" ref="W216:W247" si="615">L*U216/J216*1000000</f>
        <v>2.0952377108851265E-9</v>
      </c>
      <c r="X216" s="197">
        <f t="shared" ref="X216:X247" si="616">IF(1/((350000*L)*(1/I216+1/J216))&gt;Isw_min, 350, 0.001/((Isw_min*L)*(1/I216+1/J216)))</f>
        <v>350</v>
      </c>
      <c r="Y216" s="443">
        <f>MIN(1/(V216+W216+0.2)*1000, 350)</f>
        <v>350</v>
      </c>
      <c r="AA216" s="217">
        <f t="shared" ref="AA216:AA247" si="617">1/((X216*1000*L)*(1/I216+1/J216))</f>
        <v>2.7272732320493001</v>
      </c>
      <c r="AB216" s="173">
        <f t="shared" ref="AB216:AB247" si="618">L*AA216/J216*1000000</f>
        <v>1.948051478491986</v>
      </c>
      <c r="AC216" s="173">
        <f t="shared" ref="AC216:AC247" si="619">0.5*AB216*AA216*Nps*X216/1000</f>
        <v>0.92975201409041985</v>
      </c>
      <c r="AD216" s="173"/>
      <c r="AE216" s="173">
        <f t="shared" ref="AE216:AE247" si="620">L*Isw_min/J216*1000000</f>
        <v>0.95238054654719528</v>
      </c>
      <c r="AF216" s="545">
        <f t="shared" ref="AF216:AF247" si="621">MAX(12000,F216/(0.5*AE216/1000000*Isw_min*Nps))/1000</f>
        <v>12</v>
      </c>
      <c r="AG216" s="528">
        <f t="shared" ref="AG216:AG247" si="622">0.5*AE216/1000000*Isw_min*Nps*X216*1000</f>
        <v>0.22222212752767889</v>
      </c>
      <c r="AI216" s="173">
        <f t="shared" ref="AI216:AI247" si="623">SQRT(F216/(0.5*L/J216*Fsw_DCM*Nps))</f>
        <v>8.9442738156906925E-5</v>
      </c>
      <c r="AJ216" s="173">
        <f t="shared" ref="AJ216:AJ247" si="624">MAX(IF(F216&gt;AC216,U216,AI216),Isw_min)</f>
        <v>1.3333333333333335</v>
      </c>
      <c r="AK216" s="173">
        <f t="shared" ref="AK216:AK247" si="625">IF(F216&gt;AG216, (AJ216-Isw_min)/1.08*0.8+1.2, AF216*0.2/350+1)</f>
        <v>1.0068571428571429</v>
      </c>
      <c r="AM216" s="545">
        <f t="shared" ref="AM216:AM247" si="626">F216*1000</f>
        <v>1.0000000000000002E-6</v>
      </c>
      <c r="AN216" s="460">
        <f t="shared" ref="AN216:AN247" si="627">IF(F216&gt;AG216, Y216, AF216)</f>
        <v>12</v>
      </c>
      <c r="AP216">
        <f t="shared" ref="AP216:AP247" si="628">IF(H216&gt;N216, "",AM216)</f>
        <v>1.0000000000000002E-6</v>
      </c>
      <c r="AQ216">
        <f t="shared" ref="AQ216:AQ247" si="629">IF(H216&gt;N216, "",AN216)</f>
        <v>12</v>
      </c>
      <c r="AS216" s="5">
        <f t="shared" si="600"/>
        <v>83.333333333333329</v>
      </c>
      <c r="AT216" s="5">
        <f t="shared" ref="AT216:AT247" si="630">L*AJ216/I216*1000000</f>
        <v>0.44444459174717921</v>
      </c>
      <c r="AU216" s="5">
        <f t="shared" si="478"/>
        <v>82.888888741586143</v>
      </c>
      <c r="AV216" s="5"/>
      <c r="AW216" s="173">
        <f t="shared" si="479"/>
        <v>5.3333351009661511E-3</v>
      </c>
      <c r="AX216" s="173">
        <f t="shared" ref="AX216:AX279" si="631">0.5*L*AJ216^2*AN216*1000</f>
        <v>0.12800000000000003</v>
      </c>
      <c r="AY216" s="173">
        <f t="shared" ref="AY216:AY279" si="632">AJ216*Nps/2*(1-AW216)</f>
        <v>0.66311110993268929</v>
      </c>
      <c r="AZ216" s="173">
        <f t="shared" ref="AZ216:AZ279" si="633">AX216/AY216</f>
        <v>0.1930294909596568</v>
      </c>
      <c r="BA216" s="460">
        <f t="shared" si="594"/>
        <v>2.7100279984584106E-9</v>
      </c>
      <c r="BB216" s="5">
        <f t="shared" si="595"/>
        <v>3.1467088562549906E-8</v>
      </c>
      <c r="BD216" s="173">
        <f>AJ216*SQRT(AW216/3)</f>
        <v>5.6218278830346705E-2</v>
      </c>
      <c r="BE216" s="173">
        <f>AJ216*Nps*SQRT((1-AW216)/3)</f>
        <v>0.76774481288898733</v>
      </c>
      <c r="BG216" s="528">
        <f>Rdson*BD216^2</f>
        <v>6.320989749293217E-5</v>
      </c>
      <c r="BH216" s="528">
        <f t="shared" ref="BH216:BH247" si="634">0.5*K216*AJ216*AN216*1000*Tfall</f>
        <v>1.5839998568217894E-2</v>
      </c>
      <c r="BI216" s="528">
        <f t="shared" ref="BI216:BI247" si="635">Qg*Vdd*AN216*1000*0+Qg*I216*AN216*1000</f>
        <v>1.0799996420544732E-2</v>
      </c>
      <c r="BJ216" s="528">
        <f>0.5*(Coss+Csw)*K216^2*AN216*1000</f>
        <v>3.3454073952152645E-3</v>
      </c>
      <c r="BK216">
        <f>I216*IQ</f>
        <v>1.6199994630817099E-2</v>
      </c>
      <c r="BL216" s="460">
        <f>(BK216+BI216)*1000</f>
        <v>26.999991051361832</v>
      </c>
      <c r="BM216" s="528">
        <f t="shared" ref="BM216:BM247" si="636">(BH216+BI216*0+BJ216+BK216*0+BG216*(1+RdsonTC*(Ta-25)))/(1-BG216*RdsonTC*ThetaJA)</f>
        <v>1.9265971882554796E-2</v>
      </c>
      <c r="BN216" s="460">
        <f>BM216*1000</f>
        <v>19.265971882554798</v>
      </c>
      <c r="BO216" s="528">
        <f t="shared" ref="BO216:BO279" si="637">Vfwd2*F216</f>
        <v>6.9999999999999996E-10</v>
      </c>
      <c r="BR216" s="460">
        <f>SUM(BO216:BQ216)*1000</f>
        <v>6.9999999999999997E-7</v>
      </c>
      <c r="BS216" s="528">
        <f>Rdcr_pri*BD216^2</f>
        <v>9.4814846239398248E-5</v>
      </c>
      <c r="BT216" s="528">
        <f>Rdcr_sec*BE216^2</f>
        <v>1.7682962931538385E-2</v>
      </c>
      <c r="BU216" s="528">
        <f>AJ216^2.5*AN216^2.5*k_core</f>
        <v>5.1199999999999998E-5</v>
      </c>
      <c r="BV216" s="528"/>
      <c r="BW216" s="528">
        <f>0.5*Lleak*0.000000001*AJ216^2*AN216*1000</f>
        <v>1.0666666666666668E-4</v>
      </c>
      <c r="BX216" s="460">
        <f>SUM(BS216:BW216)*1000</f>
        <v>17.935644444444449</v>
      </c>
      <c r="BY216" s="173">
        <f>SUM(BG216:BK216,BO216:BQ216,BS216:BW216)</f>
        <v>6.418425205673238E-2</v>
      </c>
      <c r="BZ216" s="5">
        <f>MIN(H216,O216)</f>
        <v>1.6399999999999998E-8</v>
      </c>
      <c r="CA216" s="173">
        <f>BZ216/(BZ216+BY216)</f>
        <v>2.5551432452728654E-7</v>
      </c>
      <c r="CB216" s="5">
        <f>CA216*100</f>
        <v>2.5551432452728653E-5</v>
      </c>
      <c r="CE216" s="562">
        <f t="shared" ref="CE216:CE247" si="638">IF(ABS(F216-Ioutmax_Vinmax)&lt;Iout/200, AN216, -50)</f>
        <v>-50</v>
      </c>
      <c r="CF216">
        <f t="shared" ref="CF216:CF247" si="639">IF(ABS(F216-Ioutmax_Vinmin)&lt;Iout/200, N216*CA216, -50)</f>
        <v>-50</v>
      </c>
      <c r="CG216" s="173">
        <f t="shared" ref="CG216:CG247" si="640">MIN(SQRT(2*DU216*1000*Ls1_*CL216)/CU216,1-EA216-0.00000005*DU216*1000)</f>
        <v>4.1905817746174687E-6</v>
      </c>
      <c r="CI216" s="170">
        <v>0.1</v>
      </c>
      <c r="CJ216" s="217">
        <v>1.0000000000000001E-9</v>
      </c>
      <c r="CK216" s="217"/>
      <c r="CL216" s="217">
        <f t="shared" ref="CL216:CL279" si="641">CJ216*Vout</f>
        <v>1.6399999999999998E-8</v>
      </c>
      <c r="CM216" s="541">
        <f t="shared" ref="CM216:CM279" si="642">VIN_max</f>
        <v>36</v>
      </c>
      <c r="CN216" s="443">
        <f t="shared" ref="CN216:CN279" si="643">(CX216+Vfwd1)*Nps</f>
        <v>16.799999999999997</v>
      </c>
      <c r="CO216" s="443">
        <f t="shared" ref="CO216:CO279" si="644">(Vout+Vfwd1)*Nps+CM216</f>
        <v>52.8</v>
      </c>
      <c r="CP216" s="443"/>
      <c r="CQ216" s="217">
        <f t="shared" ref="CQ216:CQ279" si="645">(Vout+Vfwd1)*Nps/((Vout+Vfwd1)*Nps+CM216)</f>
        <v>0.31818181818181812</v>
      </c>
      <c r="CR216" s="172">
        <f t="shared" ref="CR216:CR279" si="646">CQ216*CM216*(Isw_max+VIN_max/Lmag*ILIM_delay)*0.5*Efficiency</f>
        <v>38.697272727272725</v>
      </c>
      <c r="CS216" s="172">
        <f t="shared" ref="CS216:CS279" si="647">CX216*CJ216</f>
        <v>1.6399999999999998E-8</v>
      </c>
      <c r="CT216" s="217">
        <f t="shared" ref="CT216:CT279" si="648">CR216/Vout</f>
        <v>2.3595898004434592</v>
      </c>
      <c r="CU216" s="217">
        <f t="shared" ref="CU216:CU279" si="649">MIN(Vout,CR216/CJ216)</f>
        <v>16.399999999999999</v>
      </c>
      <c r="CV216" s="217"/>
      <c r="CW216" s="172">
        <f t="shared" ref="CW216:CW279" si="650">(SQRT(Isw_max^2*Nps^2*CM216^2+4*Isw_max*CJ216/Efficiency*(Nps^2*Vfwd1*CM216-Nps*CM216^2)+4*(CJ216/Efficiency)^2*Nps^2*Vfwd1^2+8*(CJ216/Efficiency)^2*Nps*Vfwd1*CM216+4*(CJ216/Efficiency)^2*CM216^2)-2*CJ216/Efficiency*CM216-2*CJ216/Efficiency*Nps*Vfwd1+Isw_max*Nps*CM216)/(4*CJ216/Efficiency*Nps)</f>
        <v>119999999964</v>
      </c>
      <c r="CX216" s="172">
        <f t="shared" ref="CX216:CX279" si="651">MIN(Vout, CW216)</f>
        <v>16.399999999999999</v>
      </c>
      <c r="CY216" s="217">
        <f t="shared" ref="CY216:CY279" si="652">MIN(2*Vout*CJ216/(Efficiency*CM216*CQ216), Isw_max)</f>
        <v>2.8634920634920634E-9</v>
      </c>
      <c r="CZ216" s="217">
        <f t="shared" ref="CZ216:CZ279" si="653">L*CY216/CM216*1000000</f>
        <v>9.5449735449735446E-10</v>
      </c>
      <c r="DA216" s="217">
        <f t="shared" ref="DA216:DA279" si="654">L*CY216/CN216*1000000</f>
        <v>2.0453514739229027E-9</v>
      </c>
      <c r="DB216" s="197">
        <f t="shared" ref="DB216:DB279" si="655">IF(1/((350000*L)*(1/CM216+1/CN216))&gt;Isw_min, 350, 0.001/((Isw_min*L)*(1/CM216+1/CN216)))</f>
        <v>350</v>
      </c>
      <c r="DC216" s="443">
        <f t="shared" ref="DC216:DC279" si="656">MIN(1/(CZ216+DA216)*1000, 350)</f>
        <v>350</v>
      </c>
      <c r="DE216" s="217">
        <f t="shared" ref="DE216:DE279" si="657">1/((DB216*1000*L)*(1/CM216+1/CN216))</f>
        <v>2.7272727272727271</v>
      </c>
      <c r="DF216" s="173">
        <f t="shared" ref="DF216:DF279" si="658">L*DE216/CN216*1000000</f>
        <v>1.9480519480519483</v>
      </c>
      <c r="DG216" s="173">
        <f t="shared" ref="DG216:DG279" si="659">0.5*DF216*DE216*Nps*DB216/1000</f>
        <v>0.92975206611570249</v>
      </c>
      <c r="DH216" s="173"/>
      <c r="DI216" s="173">
        <f t="shared" ref="DI216:DI279" si="660">L*Isw_min/CN216*1000000</f>
        <v>0.95238095238095266</v>
      </c>
      <c r="DJ216" s="545">
        <f t="shared" ref="DJ216:DJ279" si="661">MAX(12000,CJ216/(0.5*DI216/1000000*Isw_min*Nps))/1000</f>
        <v>12</v>
      </c>
      <c r="DK216" s="528">
        <f t="shared" ref="DK216:DK279" si="662">0.5*DI216/1000000*Isw_min*Nps*DB216*1000</f>
        <v>0.22222222222222232</v>
      </c>
      <c r="DM216" s="173">
        <f t="shared" ref="DM216:DM279" si="663">SQRT(CJ216/(0.5*L/CN216*Fsw_DCM*Nps))</f>
        <v>8.9442719099991577E-5</v>
      </c>
      <c r="DN216" s="173">
        <f t="shared" ref="DN216:DN279" si="664">MAX(IF(CJ216&gt;DG216,CY216,DM216),Isw_min)</f>
        <v>1.3333333333333335</v>
      </c>
      <c r="DO216" s="173">
        <f t="shared" ref="DO216:DO279" si="665">IF(CJ216&gt;DK216, (DN216-Isw_min)/1.08*0.8+1.2, DJ216*0.2/350+1)</f>
        <v>1.0068571428571429</v>
      </c>
      <c r="DQ216" s="545">
        <f t="shared" ref="DQ216:DQ279" si="666">CJ216*1000</f>
        <v>1.0000000000000002E-6</v>
      </c>
      <c r="DR216" s="460">
        <f t="shared" ref="DR216:DR279" si="667">IF(CJ216&gt;DK216, DC216, DJ216)</f>
        <v>12</v>
      </c>
      <c r="DT216">
        <f t="shared" ref="DT216:DT279" si="668">IF(CL216&gt;CR216, "",DQ216)</f>
        <v>1.0000000000000002E-6</v>
      </c>
      <c r="DU216">
        <f t="shared" ref="DU216:DU279" si="669">IF(CL216&gt;CR216, "",DR216)</f>
        <v>12</v>
      </c>
      <c r="DW216" s="5">
        <f t="shared" ref="DW216:DW280" si="670">1/DR216*1000</f>
        <v>83.333333333333329</v>
      </c>
      <c r="DX216" s="5">
        <f t="shared" ref="DX216:DX279" si="671">L*DN216/CM216*1000000</f>
        <v>0.44444444444444453</v>
      </c>
      <c r="DY216" s="5">
        <f t="shared" ref="DY216:DY279" si="672">DW216-DX216</f>
        <v>82.888888888888886</v>
      </c>
      <c r="DZ216" s="5"/>
      <c r="EA216" s="173">
        <f t="shared" ref="EA216:EA279" si="673">DX216/DW216</f>
        <v>5.3333333333333349E-3</v>
      </c>
      <c r="EB216" s="173">
        <f>0.5*L*DN216^2*DR216*1000</f>
        <v>0.12800000000000003</v>
      </c>
      <c r="EC216" s="173">
        <f>DN216*Nps/2*(1-EA216)</f>
        <v>0.66311111111111121</v>
      </c>
      <c r="ED216" s="173">
        <f>EB216/EC216</f>
        <v>0.193029490616622</v>
      </c>
      <c r="EE216" s="460">
        <f t="shared" ref="EE216:EE279" si="674">CJ216*DX216/Vout_ripple*1000</f>
        <v>2.7100271002710041E-9</v>
      </c>
      <c r="EF216" s="5">
        <f t="shared" ref="EF216:EF279" si="675">CL216/Efficiency/CM216*DY216/Vinripple1</f>
        <v>3.14670781893004E-8</v>
      </c>
      <c r="EH216" s="173">
        <f>DN216*SQRT(EA216/3)</f>
        <v>5.6218269514104538E-2</v>
      </c>
      <c r="EI216" s="173">
        <f>DN216*Nps*SQRT((1-EA216)/3)</f>
        <v>0.76774481357117108</v>
      </c>
      <c r="EK216" s="528">
        <f>Rdson*EH216^2</f>
        <v>6.3209876543209921E-5</v>
      </c>
      <c r="EL216" s="528">
        <f>0.5*CO216*DN216*DR216*1000*Trise</f>
        <v>1.6896000000000001E-2</v>
      </c>
      <c r="EM216" s="528">
        <f>Qg*Vdd*DR216*1000</f>
        <v>1.5E-3</v>
      </c>
      <c r="EN216" s="528">
        <f>0.5*(Coss+Csw)*CO216^2*DR216*1000</f>
        <v>3.3454079999999994E-3</v>
      </c>
      <c r="EO216">
        <f>CM216*IQ</f>
        <v>1.6199999999999999E-2</v>
      </c>
      <c r="EP216" s="460">
        <f>(EO216+EM216)*1000</f>
        <v>17.7</v>
      </c>
      <c r="EQ216" s="460"/>
      <c r="ER216" s="460">
        <f>SUM(EK216:EO216)*1000</f>
        <v>38.004617876543207</v>
      </c>
      <c r="ES216" s="528">
        <f>Vfwd2*CJ216</f>
        <v>6.9999999999999996E-10</v>
      </c>
      <c r="EV216" s="460">
        <f>SUM(ES216:EU216)*1000</f>
        <v>6.9999999999999997E-7</v>
      </c>
      <c r="EW216" s="528">
        <f>Rdcr_pri*EH216^2</f>
        <v>9.4814814814814867E-5</v>
      </c>
      <c r="EX216" s="528">
        <f>Rdcr_sec*EI216^2</f>
        <v>1.7682962962962966E-2</v>
      </c>
      <c r="EY216" s="528">
        <f>DN216^2.5*DR216^2.5*k_core</f>
        <v>5.1199999999999998E-5</v>
      </c>
      <c r="EZ216" s="528"/>
      <c r="FA216" s="528">
        <f>0.5*Lleak*0.000000001*DN216^2*DR216*1000</f>
        <v>1.0666666666666668E-4</v>
      </c>
      <c r="FB216" s="460">
        <f>SUM(EW216:FA216)*1000</f>
        <v>17.935644444444449</v>
      </c>
      <c r="FC216" s="173">
        <f>SUM(EK216:EO216,ES216:EU216,EW216:FA216)</f>
        <v>5.5940263020987653E-2</v>
      </c>
      <c r="FD216" s="5">
        <f>MIN(CL216,CS216)</f>
        <v>1.6399999999999998E-8</v>
      </c>
      <c r="FE216" s="173">
        <f>FD216/(FD216+FC216)</f>
        <v>2.9316979052927383E-7</v>
      </c>
      <c r="FF216" s="5">
        <f>FE216*100</f>
        <v>2.9316979052927382E-5</v>
      </c>
      <c r="FI216" s="562">
        <f t="shared" ref="FI216:FI279" si="676">IF(ABS(CJ216-Ioutmax_Vinmax)&lt;Iout/200, DR216, -50)</f>
        <v>-50</v>
      </c>
      <c r="FJ216">
        <f t="shared" ref="FJ216:FJ279" si="677">IF(ABS(CJ216-Ioutmax_Vinmin)&lt;Iout/200, CR216*FE216, -50)</f>
        <v>-50</v>
      </c>
      <c r="FL216">
        <f t="shared" ref="FL216:FL247" si="678">MIN(SQRT(2*L*DR216*1000*CJ216*(CX216+Vfwd1))/(Nps*(CX216+Vfwd1)), 1-EA216)</f>
        <v>4.1403933560541265E-6</v>
      </c>
    </row>
    <row r="217" spans="5:168">
      <c r="E217" s="170">
        <v>1</v>
      </c>
      <c r="F217" s="217">
        <f t="shared" ref="F217:F248" si="679">IF(PLOT_TYPE=1, E217/100*Iout_max, min_I*EXP(N217*rr/100))</f>
        <v>0.01</v>
      </c>
      <c r="G217" s="217"/>
      <c r="H217" s="217">
        <f t="shared" si="603"/>
        <v>0.16399999999999998</v>
      </c>
      <c r="I217" s="541">
        <f t="shared" si="604"/>
        <v>35.967065882664691</v>
      </c>
      <c r="J217" s="172">
        <f t="shared" si="605"/>
        <v>16.819760470401185</v>
      </c>
      <c r="K217" s="172">
        <f t="shared" si="606"/>
        <v>52.786826353065877</v>
      </c>
      <c r="L217" s="443"/>
      <c r="M217" s="217">
        <f t="shared" si="607"/>
        <v>0.3186386611710445</v>
      </c>
      <c r="N217" s="172">
        <f t="shared" si="608"/>
        <v>38.717381461036403</v>
      </c>
      <c r="O217" s="172">
        <f t="shared" si="599"/>
        <v>0.16399999999999998</v>
      </c>
      <c r="P217" s="217">
        <f t="shared" si="609"/>
        <v>2.3608159427461222</v>
      </c>
      <c r="Q217" s="217">
        <f t="shared" si="610"/>
        <v>16.399999999999999</v>
      </c>
      <c r="R217" s="217"/>
      <c r="S217" s="172">
        <f t="shared" si="611"/>
        <v>11953.056098576</v>
      </c>
      <c r="T217" s="172">
        <f t="shared" si="612"/>
        <v>16.399999999999999</v>
      </c>
      <c r="U217" s="217">
        <f t="shared" si="613"/>
        <v>2.9353000911929737E-2</v>
      </c>
      <c r="V217" s="217">
        <f t="shared" si="614"/>
        <v>9.793292900017363E-3</v>
      </c>
      <c r="W217" s="217">
        <f t="shared" si="615"/>
        <v>2.0941797094138719E-2</v>
      </c>
      <c r="X217" s="197">
        <f t="shared" si="616"/>
        <v>350</v>
      </c>
      <c r="Y217" s="443">
        <f t="shared" ref="Y217:Y280" si="680">MIN(1/(V217+W217+0.2)*1000, 350)</f>
        <v>350</v>
      </c>
      <c r="AA217" s="217">
        <f t="shared" si="617"/>
        <v>2.7286634562376069</v>
      </c>
      <c r="AB217" s="173">
        <f t="shared" si="618"/>
        <v>1.9467555160772319</v>
      </c>
      <c r="AC217" s="173">
        <f t="shared" si="619"/>
        <v>0.92960711111606187</v>
      </c>
      <c r="AD217" s="173"/>
      <c r="AE217" s="173">
        <f t="shared" si="620"/>
        <v>0.95126206036977945</v>
      </c>
      <c r="AF217" s="545">
        <f t="shared" si="621"/>
        <v>15.768525441001108</v>
      </c>
      <c r="AG217" s="528">
        <f t="shared" si="622"/>
        <v>0.22196114741961523</v>
      </c>
      <c r="AI217" s="173">
        <f t="shared" si="623"/>
        <v>0.2830090060017541</v>
      </c>
      <c r="AJ217" s="173">
        <f t="shared" si="624"/>
        <v>1.3333333333333335</v>
      </c>
      <c r="AK217" s="173">
        <f t="shared" si="625"/>
        <v>1.0090105859662863</v>
      </c>
      <c r="AM217" s="545">
        <f t="shared" si="626"/>
        <v>10</v>
      </c>
      <c r="AN217" s="460">
        <f t="shared" si="627"/>
        <v>15.768525441001108</v>
      </c>
      <c r="AP217">
        <f t="shared" si="628"/>
        <v>10</v>
      </c>
      <c r="AQ217">
        <f t="shared" si="629"/>
        <v>15.768525441001108</v>
      </c>
      <c r="AS217" s="5">
        <f t="shared" si="600"/>
        <v>63.417470691318634</v>
      </c>
      <c r="AT217" s="5">
        <f t="shared" si="630"/>
        <v>0.44485141079332907</v>
      </c>
      <c r="AU217" s="5">
        <f t="shared" si="478"/>
        <v>62.972619280525308</v>
      </c>
      <c r="AV217" s="5"/>
      <c r="AW217" s="173">
        <f t="shared" si="479"/>
        <v>7.014650788559844E-3</v>
      </c>
      <c r="AX217" s="173">
        <f t="shared" si="631"/>
        <v>0.16819760470401185</v>
      </c>
      <c r="AY217" s="173">
        <f t="shared" si="632"/>
        <v>0.66199023280762681</v>
      </c>
      <c r="AZ217" s="173">
        <f t="shared" si="633"/>
        <v>0.25407868027093655</v>
      </c>
      <c r="BA217" s="460">
        <f t="shared" si="594"/>
        <v>2.7125086023983485E-2</v>
      </c>
      <c r="BB217" s="5">
        <f t="shared" si="595"/>
        <v>0.23928162492916827</v>
      </c>
      <c r="BD217" s="173">
        <f t="shared" ref="BD217:BD280" si="681">AJ217*SQRT(AW217/3)</f>
        <v>6.4473483672936066E-2</v>
      </c>
      <c r="BE217" s="173">
        <f t="shared" ref="BE217:BE280" si="682">AJ217*Nps*SQRT((1-AW217)/3)</f>
        <v>0.76709566710787003</v>
      </c>
      <c r="BG217" s="528">
        <f t="shared" ref="BG217:BG280" si="683">Rdson*BD217^2</f>
        <v>8.3136601938487063E-5</v>
      </c>
      <c r="BH217" s="528">
        <f t="shared" si="634"/>
        <v>2.0809260357450676E-2</v>
      </c>
      <c r="BI217" s="528">
        <f t="shared" si="635"/>
        <v>1.4178689835224027E-2</v>
      </c>
      <c r="BJ217" s="528">
        <f t="shared" ref="BJ217:BJ280" si="684">0.5*(Coss+Csw)*K217^2*AN217*1000</f>
        <v>4.393819252097946E-3</v>
      </c>
      <c r="BK217">
        <f t="shared" ref="BK217:BK280" si="685">I217*IQ</f>
        <v>1.6185179647199111E-2</v>
      </c>
      <c r="BL217" s="460">
        <f t="shared" ref="BL217:BL280" si="686">(BK217+BI217)*1000</f>
        <v>30.363869482423137</v>
      </c>
      <c r="BM217" s="528">
        <f t="shared" si="636"/>
        <v>2.5309163032402736E-2</v>
      </c>
      <c r="BN217" s="460">
        <f t="shared" ref="BN217:BN280" si="687">BM217*1000</f>
        <v>25.309163032402736</v>
      </c>
      <c r="BO217" s="528">
        <f t="shared" si="637"/>
        <v>6.9999999999999993E-3</v>
      </c>
      <c r="BR217" s="460">
        <f t="shared" ref="BR217:BR280" si="688">SUM(BO217:BQ217)*1000</f>
        <v>6.9999999999999991</v>
      </c>
      <c r="BS217" s="528">
        <f t="shared" ref="BS217:BS280" si="689">Rdcr_pri*BD217^2</f>
        <v>1.247049029077306E-4</v>
      </c>
      <c r="BT217" s="528">
        <f t="shared" ref="BT217:BT280" si="690">Rdcr_sec*BE217^2</f>
        <v>1.7653072874870047E-2</v>
      </c>
      <c r="BU217" s="528">
        <f t="shared" ref="BU217:BU280" si="691">AJ217^2.5*AN217^2.5*k_core</f>
        <v>1.0134318606719074E-4</v>
      </c>
      <c r="BV217" s="528"/>
      <c r="BW217" s="528">
        <f t="shared" ref="BW217:BW280" si="692">0.5*Lleak*0.000000001*AJ217^2*AN217*1000</f>
        <v>1.4016467058667654E-4</v>
      </c>
      <c r="BX217" s="460">
        <f t="shared" ref="BX217:BX280" si="693">SUM(BS217:BW217)*1000</f>
        <v>18.019285634431647</v>
      </c>
      <c r="BY217" s="173">
        <f t="shared" ref="BY217:BY280" si="694">SUM(BG217:BK217,BO217:BQ217,BS217:BW217)</f>
        <v>8.0669371328341899E-2</v>
      </c>
      <c r="BZ217" s="5">
        <f t="shared" ref="BZ217:BZ280" si="695">MIN(H217,O217)</f>
        <v>0.16399999999999998</v>
      </c>
      <c r="CA217" s="173">
        <f t="shared" ref="CA217:CA280" si="696">BZ217/(BZ217+BY217)</f>
        <v>0.6702923177904232</v>
      </c>
      <c r="CB217" s="5">
        <f t="shared" ref="CB217:CB280" si="697">CA217*100</f>
        <v>67.02923177904232</v>
      </c>
      <c r="CE217" s="562">
        <f t="shared" si="638"/>
        <v>-50</v>
      </c>
      <c r="CF217">
        <f t="shared" si="639"/>
        <v>-50</v>
      </c>
      <c r="CG217" s="173">
        <f t="shared" si="640"/>
        <v>1.5181824820424215E-2</v>
      </c>
      <c r="CI217" s="170">
        <v>1</v>
      </c>
      <c r="CJ217" s="217">
        <f t="shared" ref="CJ217:CJ280" si="698">IF(PLOT_TYPE=1, CI217/100*Iout_max, min_I*EXP(CR217*rr/100))</f>
        <v>0.01</v>
      </c>
      <c r="CK217" s="217"/>
      <c r="CL217" s="217">
        <f t="shared" si="641"/>
        <v>0.16399999999999998</v>
      </c>
      <c r="CM217" s="541">
        <f t="shared" si="642"/>
        <v>36</v>
      </c>
      <c r="CN217" s="443">
        <f t="shared" si="643"/>
        <v>16.799999999999997</v>
      </c>
      <c r="CO217" s="443">
        <f t="shared" si="644"/>
        <v>52.8</v>
      </c>
      <c r="CP217" s="443"/>
      <c r="CQ217" s="217">
        <f t="shared" si="645"/>
        <v>0.31818181818181812</v>
      </c>
      <c r="CR217" s="172">
        <f t="shared" si="646"/>
        <v>38.697272727272725</v>
      </c>
      <c r="CS217" s="172">
        <f t="shared" si="647"/>
        <v>0.16399999999999998</v>
      </c>
      <c r="CT217" s="217">
        <f t="shared" si="648"/>
        <v>2.3595898004434592</v>
      </c>
      <c r="CU217" s="217">
        <f t="shared" si="649"/>
        <v>16.399999999999999</v>
      </c>
      <c r="CV217" s="217"/>
      <c r="CW217" s="172">
        <f t="shared" si="650"/>
        <v>11964.001203570471</v>
      </c>
      <c r="CX217" s="172">
        <f t="shared" si="651"/>
        <v>16.399999999999999</v>
      </c>
      <c r="CY217" s="217">
        <f t="shared" si="652"/>
        <v>2.8634920634920635E-2</v>
      </c>
      <c r="CZ217" s="217">
        <f t="shared" si="653"/>
        <v>9.5449735449735455E-3</v>
      </c>
      <c r="DA217" s="217">
        <f t="shared" si="654"/>
        <v>2.0453514739229028E-2</v>
      </c>
      <c r="DB217" s="197">
        <f t="shared" si="655"/>
        <v>350</v>
      </c>
      <c r="DC217" s="443">
        <f t="shared" si="656"/>
        <v>350</v>
      </c>
      <c r="DE217" s="217">
        <f t="shared" si="657"/>
        <v>2.7272727272727271</v>
      </c>
      <c r="DF217" s="173">
        <f t="shared" si="658"/>
        <v>1.9480519480519483</v>
      </c>
      <c r="DG217" s="173">
        <f t="shared" si="659"/>
        <v>0.92975206611570249</v>
      </c>
      <c r="DH217" s="173"/>
      <c r="DI217" s="173">
        <f t="shared" si="660"/>
        <v>0.95238095238095266</v>
      </c>
      <c r="DJ217" s="545">
        <f t="shared" si="661"/>
        <v>15.749999999999995</v>
      </c>
      <c r="DK217" s="528">
        <f t="shared" si="662"/>
        <v>0.22222222222222232</v>
      </c>
      <c r="DM217" s="173">
        <f t="shared" si="663"/>
        <v>0.28284271247461901</v>
      </c>
      <c r="DN217" s="173">
        <f t="shared" si="664"/>
        <v>1.3333333333333335</v>
      </c>
      <c r="DO217" s="173">
        <f t="shared" si="665"/>
        <v>1.0089999999999999</v>
      </c>
      <c r="DQ217" s="545">
        <f t="shared" si="666"/>
        <v>10</v>
      </c>
      <c r="DR217" s="460">
        <f t="shared" si="667"/>
        <v>15.749999999999995</v>
      </c>
      <c r="DT217">
        <f t="shared" si="668"/>
        <v>10</v>
      </c>
      <c r="DU217">
        <f t="shared" si="669"/>
        <v>15.749999999999995</v>
      </c>
      <c r="DW217" s="5">
        <f t="shared" si="670"/>
        <v>63.492063492063515</v>
      </c>
      <c r="DX217" s="5">
        <f t="shared" si="671"/>
        <v>0.44444444444444453</v>
      </c>
      <c r="DY217" s="5">
        <f t="shared" si="672"/>
        <v>63.047619047619072</v>
      </c>
      <c r="DZ217" s="5"/>
      <c r="EA217" s="173">
        <f t="shared" si="673"/>
        <v>6.9999999999999984E-3</v>
      </c>
      <c r="EB217" s="173">
        <f t="shared" ref="EB217:EB280" si="699">0.5*L*DN217^2*DR217*1000</f>
        <v>0.16799999999999998</v>
      </c>
      <c r="EC217" s="173">
        <f t="shared" ref="EC217:EC280" si="700">DN217*Nps/2*(1-EA217)</f>
        <v>0.66200000000000003</v>
      </c>
      <c r="ED217" s="173">
        <f t="shared" ref="ED217:ED280" si="701">EB217/EC217</f>
        <v>0.25377643504531716</v>
      </c>
      <c r="EE217" s="460">
        <f t="shared" si="674"/>
        <v>2.7100271002710036E-2</v>
      </c>
      <c r="EF217" s="5">
        <f t="shared" si="675"/>
        <v>0.23934744268077601</v>
      </c>
      <c r="EH217" s="173">
        <f t="shared" ref="EH217:EH280" si="702">DN217*SQRT(EA217/3)</f>
        <v>6.4406118871953064E-2</v>
      </c>
      <c r="EI217" s="173">
        <f t="shared" ref="EI217:EI280" si="703">DN217*Nps*SQRT((1-EA217)/3)</f>
        <v>0.76710132606093473</v>
      </c>
      <c r="EK217" s="528">
        <f t="shared" ref="EK217:EK280" si="704">Rdson*EH217^2</f>
        <v>8.296296296296296E-5</v>
      </c>
      <c r="EL217" s="528">
        <f t="shared" ref="EL217:EL280" si="705">0.5*CO217*DN217*DR217*1000*Trise</f>
        <v>2.2175999999999994E-2</v>
      </c>
      <c r="EM217" s="528">
        <f t="shared" ref="EM217:EM280" si="706">Qg*Vdd*DR217*1000</f>
        <v>1.9687499999999991E-3</v>
      </c>
      <c r="EN217" s="528">
        <f t="shared" ref="EN217:EN280" si="707">0.5*(Coss+Csw)*CO217^2*DR217*1000</f>
        <v>4.3908479999999984E-3</v>
      </c>
      <c r="EO217">
        <f t="shared" ref="EO217:EO280" si="708">CM217*IQ</f>
        <v>1.6199999999999999E-2</v>
      </c>
      <c r="EP217" s="460">
        <f t="shared" ref="EP217:EP280" si="709">(EO217+EM217)*1000</f>
        <v>18.168749999999996</v>
      </c>
      <c r="EQ217" s="460"/>
      <c r="ER217" s="460">
        <f t="shared" ref="ER217:ER280" si="710">SUM(EK217:EO217)*1000</f>
        <v>44.818560962962955</v>
      </c>
      <c r="ES217" s="528">
        <f t="shared" ref="ES217:ES280" si="711">Vfwd2*CJ217</f>
        <v>6.9999999999999993E-3</v>
      </c>
      <c r="EV217" s="460">
        <f t="shared" ref="EV217:EV280" si="712">SUM(ES217:EU217)*1000</f>
        <v>6.9999999999999991</v>
      </c>
      <c r="EW217" s="528">
        <f t="shared" ref="EW217:EW280" si="713">Rdcr_pri*EH217^2</f>
        <v>1.2444444444444444E-4</v>
      </c>
      <c r="EX217" s="528">
        <f t="shared" ref="EX217:EX280" si="714">Rdcr_sec*EI217^2</f>
        <v>1.7653333333333337E-2</v>
      </c>
      <c r="EY217" s="528">
        <f t="shared" ref="EY217:EY280" si="715">DN217^2.5*DR217^2.5*k_core</f>
        <v>1.0104579407377625E-4</v>
      </c>
      <c r="EZ217" s="528"/>
      <c r="FA217" s="528">
        <f t="shared" ref="FA217:FA280" si="716">0.5*Lleak*0.000000001*DN217^2*DR217*1000</f>
        <v>1.3999999999999999E-4</v>
      </c>
      <c r="FB217" s="460">
        <f t="shared" ref="FB217:FB280" si="717">SUM(EW217:FA217)*1000</f>
        <v>18.018823571851559</v>
      </c>
      <c r="FC217" s="173">
        <f t="shared" ref="FC217:FC280" si="718">SUM(EK217:EO217,ES217:EU217,EW217:FA217)</f>
        <v>6.9837384534814514E-2</v>
      </c>
      <c r="FD217" s="5">
        <f t="shared" ref="FD217:FD280" si="719">MIN(CL217,CS217)</f>
        <v>0.16399999999999998</v>
      </c>
      <c r="FE217" s="173">
        <f t="shared" ref="FE217:FE280" si="720">FD217/(FD217+FC217)</f>
        <v>0.7013420900437034</v>
      </c>
      <c r="FF217" s="5">
        <f t="shared" ref="FF217:FF280" si="721">FE217*100</f>
        <v>70.134209004370334</v>
      </c>
      <c r="FI217" s="562">
        <f t="shared" si="676"/>
        <v>-50</v>
      </c>
      <c r="FJ217">
        <f t="shared" si="677"/>
        <v>-50</v>
      </c>
      <c r="FL217">
        <f t="shared" si="678"/>
        <v>1.4999999999999999E-2</v>
      </c>
    </row>
    <row r="218" spans="5:168">
      <c r="E218" s="170">
        <v>2</v>
      </c>
      <c r="F218" s="217">
        <f t="shared" si="679"/>
        <v>0.02</v>
      </c>
      <c r="G218" s="217"/>
      <c r="H218" s="217">
        <f t="shared" si="603"/>
        <v>0.32799999999999996</v>
      </c>
      <c r="I218" s="541">
        <f t="shared" si="604"/>
        <v>35.967065882664691</v>
      </c>
      <c r="J218" s="172">
        <f t="shared" si="605"/>
        <v>16.819760470401185</v>
      </c>
      <c r="K218" s="172">
        <f t="shared" si="606"/>
        <v>52.786826353065877</v>
      </c>
      <c r="L218" s="443"/>
      <c r="M218" s="217">
        <f t="shared" si="607"/>
        <v>0.3186386611710445</v>
      </c>
      <c r="N218" s="172">
        <f t="shared" si="608"/>
        <v>38.717381461036403</v>
      </c>
      <c r="O218" s="172">
        <f t="shared" si="599"/>
        <v>0.32799999999999996</v>
      </c>
      <c r="P218" s="217">
        <f t="shared" si="609"/>
        <v>2.3608159427461222</v>
      </c>
      <c r="Q218" s="217">
        <f t="shared" si="610"/>
        <v>16.399999999999999</v>
      </c>
      <c r="R218" s="217"/>
      <c r="S218" s="172">
        <f t="shared" si="611"/>
        <v>5958.5463288853189</v>
      </c>
      <c r="T218" s="172">
        <f t="shared" si="612"/>
        <v>16.399999999999999</v>
      </c>
      <c r="U218" s="217">
        <f t="shared" si="613"/>
        <v>5.8706001823859474E-2</v>
      </c>
      <c r="V218" s="217">
        <f t="shared" si="614"/>
        <v>1.9586585800034726E-2</v>
      </c>
      <c r="W218" s="217">
        <f t="shared" si="615"/>
        <v>4.1883594188277438E-2</v>
      </c>
      <c r="X218" s="197">
        <f t="shared" si="616"/>
        <v>350</v>
      </c>
      <c r="Y218" s="443">
        <f t="shared" si="680"/>
        <v>350</v>
      </c>
      <c r="AA218" s="217">
        <f t="shared" si="617"/>
        <v>2.7286634562376069</v>
      </c>
      <c r="AB218" s="173">
        <f t="shared" si="618"/>
        <v>1.9467555160772319</v>
      </c>
      <c r="AC218" s="173">
        <f t="shared" si="619"/>
        <v>0.92960711111606187</v>
      </c>
      <c r="AD218" s="173"/>
      <c r="AE218" s="173">
        <f t="shared" si="620"/>
        <v>0.95126206036977945</v>
      </c>
      <c r="AF218" s="545">
        <f t="shared" si="621"/>
        <v>31.537050882002216</v>
      </c>
      <c r="AG218" s="528">
        <f t="shared" si="622"/>
        <v>0.22196114741961523</v>
      </c>
      <c r="AI218" s="173">
        <f t="shared" si="623"/>
        <v>0.40023517456140933</v>
      </c>
      <c r="AJ218" s="173">
        <f t="shared" si="624"/>
        <v>1.3333333333333335</v>
      </c>
      <c r="AK218" s="173">
        <f t="shared" si="625"/>
        <v>1.0180211719325727</v>
      </c>
      <c r="AM218" s="545">
        <f t="shared" si="626"/>
        <v>20</v>
      </c>
      <c r="AN218" s="460">
        <f t="shared" si="627"/>
        <v>31.537050882002216</v>
      </c>
      <c r="AP218">
        <f t="shared" si="628"/>
        <v>20</v>
      </c>
      <c r="AQ218">
        <f t="shared" si="629"/>
        <v>31.537050882002216</v>
      </c>
      <c r="AS218" s="5">
        <f t="shared" si="600"/>
        <v>31.708735345659317</v>
      </c>
      <c r="AT218" s="5">
        <f t="shared" si="630"/>
        <v>0.44485141079332907</v>
      </c>
      <c r="AU218" s="5">
        <f t="shared" si="478"/>
        <v>31.263883934865987</v>
      </c>
      <c r="AV218" s="5"/>
      <c r="AW218" s="173">
        <f t="shared" si="479"/>
        <v>1.4029301577119688E-2</v>
      </c>
      <c r="AX218" s="173">
        <f t="shared" si="631"/>
        <v>0.3363952094080237</v>
      </c>
      <c r="AY218" s="173">
        <f t="shared" si="632"/>
        <v>0.65731379894858699</v>
      </c>
      <c r="AZ218" s="173">
        <f t="shared" si="633"/>
        <v>0.51177262662994161</v>
      </c>
      <c r="BA218" s="460">
        <f t="shared" si="594"/>
        <v>5.425017204796697E-2</v>
      </c>
      <c r="BB218" s="5">
        <f t="shared" si="595"/>
        <v>0.23759129078644378</v>
      </c>
      <c r="BD218" s="173">
        <f t="shared" si="681"/>
        <v>9.1179275023706499E-2</v>
      </c>
      <c r="BE218" s="173">
        <f t="shared" si="682"/>
        <v>0.76438140505819729</v>
      </c>
      <c r="BG218" s="528">
        <f t="shared" si="683"/>
        <v>1.6627320387697418E-4</v>
      </c>
      <c r="BH218" s="528">
        <f t="shared" si="634"/>
        <v>4.1618520714901353E-2</v>
      </c>
      <c r="BI218" s="528">
        <f t="shared" si="635"/>
        <v>2.8357379670448053E-2</v>
      </c>
      <c r="BJ218" s="528">
        <f t="shared" si="684"/>
        <v>8.787638504195892E-3</v>
      </c>
      <c r="BK218">
        <f t="shared" si="685"/>
        <v>1.6185179647199111E-2</v>
      </c>
      <c r="BL218" s="460">
        <f t="shared" si="686"/>
        <v>44.542559317647168</v>
      </c>
      <c r="BM218" s="528">
        <f t="shared" si="636"/>
        <v>5.0619325981093137E-2</v>
      </c>
      <c r="BN218" s="460">
        <f t="shared" si="687"/>
        <v>50.619325981093134</v>
      </c>
      <c r="BO218" s="528">
        <f t="shared" si="637"/>
        <v>1.3999999999999999E-2</v>
      </c>
      <c r="BR218" s="460">
        <f t="shared" si="688"/>
        <v>13.999999999999998</v>
      </c>
      <c r="BS218" s="528">
        <f t="shared" si="689"/>
        <v>2.4940980581546126E-4</v>
      </c>
      <c r="BT218" s="528">
        <f t="shared" si="690"/>
        <v>1.7528367971962316E-2</v>
      </c>
      <c r="BU218" s="528">
        <f t="shared" si="691"/>
        <v>5.7328363276128451E-4</v>
      </c>
      <c r="BV218" s="528"/>
      <c r="BW218" s="528">
        <f t="shared" si="692"/>
        <v>2.8032934117335308E-4</v>
      </c>
      <c r="BX218" s="460">
        <f t="shared" si="693"/>
        <v>18.631390751712416</v>
      </c>
      <c r="BY218" s="173">
        <f t="shared" si="694"/>
        <v>0.1277463824923338</v>
      </c>
      <c r="BZ218" s="5">
        <f t="shared" si="695"/>
        <v>0.32799999999999996</v>
      </c>
      <c r="CA218" s="173">
        <f t="shared" si="696"/>
        <v>0.71969852663727352</v>
      </c>
      <c r="CB218" s="5">
        <f t="shared" si="697"/>
        <v>71.969852663727352</v>
      </c>
      <c r="CE218" s="562">
        <f t="shared" si="638"/>
        <v>-50</v>
      </c>
      <c r="CF218">
        <f t="shared" si="639"/>
        <v>-50</v>
      </c>
      <c r="CG218" s="173">
        <f t="shared" si="640"/>
        <v>3.0363649640848429E-2</v>
      </c>
      <c r="CI218" s="170">
        <v>2</v>
      </c>
      <c r="CJ218" s="217">
        <f t="shared" si="698"/>
        <v>0.02</v>
      </c>
      <c r="CK218" s="217"/>
      <c r="CL218" s="217">
        <f t="shared" si="641"/>
        <v>0.32799999999999996</v>
      </c>
      <c r="CM218" s="541">
        <f t="shared" si="642"/>
        <v>36</v>
      </c>
      <c r="CN218" s="443">
        <f t="shared" si="643"/>
        <v>16.799999999999997</v>
      </c>
      <c r="CO218" s="443">
        <f t="shared" si="644"/>
        <v>52.8</v>
      </c>
      <c r="CP218" s="443"/>
      <c r="CQ218" s="217">
        <f t="shared" si="645"/>
        <v>0.31818181818181812</v>
      </c>
      <c r="CR218" s="172">
        <f t="shared" si="646"/>
        <v>38.697272727272725</v>
      </c>
      <c r="CS218" s="172">
        <f t="shared" si="647"/>
        <v>0.32799999999999996</v>
      </c>
      <c r="CT218" s="217">
        <f t="shared" si="648"/>
        <v>2.3595898004434592</v>
      </c>
      <c r="CU218" s="217">
        <f t="shared" si="649"/>
        <v>16.399999999999999</v>
      </c>
      <c r="CV218" s="217"/>
      <c r="CW218" s="172">
        <f t="shared" si="650"/>
        <v>5964.002414324018</v>
      </c>
      <c r="CX218" s="172">
        <f t="shared" si="651"/>
        <v>16.399999999999999</v>
      </c>
      <c r="CY218" s="217">
        <f t="shared" si="652"/>
        <v>5.7269841269841269E-2</v>
      </c>
      <c r="CZ218" s="217">
        <f t="shared" si="653"/>
        <v>1.9089947089947091E-2</v>
      </c>
      <c r="DA218" s="217">
        <f t="shared" si="654"/>
        <v>4.0907029478458055E-2</v>
      </c>
      <c r="DB218" s="197">
        <f t="shared" si="655"/>
        <v>350</v>
      </c>
      <c r="DC218" s="443">
        <f t="shared" si="656"/>
        <v>350</v>
      </c>
      <c r="DE218" s="217">
        <f t="shared" si="657"/>
        <v>2.7272727272727271</v>
      </c>
      <c r="DF218" s="173">
        <f t="shared" si="658"/>
        <v>1.9480519480519483</v>
      </c>
      <c r="DG218" s="173">
        <f t="shared" si="659"/>
        <v>0.92975206611570249</v>
      </c>
      <c r="DH218" s="173"/>
      <c r="DI218" s="173">
        <f t="shared" si="660"/>
        <v>0.95238095238095266</v>
      </c>
      <c r="DJ218" s="545">
        <f t="shared" si="661"/>
        <v>31.499999999999989</v>
      </c>
      <c r="DK218" s="528">
        <f t="shared" si="662"/>
        <v>0.22222222222222232</v>
      </c>
      <c r="DM218" s="173">
        <f t="shared" si="663"/>
        <v>0.39999999999999997</v>
      </c>
      <c r="DN218" s="173">
        <f t="shared" si="664"/>
        <v>1.3333333333333335</v>
      </c>
      <c r="DO218" s="173">
        <f t="shared" si="665"/>
        <v>1.018</v>
      </c>
      <c r="DQ218" s="545">
        <f t="shared" si="666"/>
        <v>20</v>
      </c>
      <c r="DR218" s="460">
        <f t="shared" si="667"/>
        <v>31.499999999999989</v>
      </c>
      <c r="DT218">
        <f t="shared" si="668"/>
        <v>20</v>
      </c>
      <c r="DU218">
        <f t="shared" si="669"/>
        <v>31.499999999999989</v>
      </c>
      <c r="DW218" s="5">
        <f t="shared" si="670"/>
        <v>31.746031746031758</v>
      </c>
      <c r="DX218" s="5">
        <f t="shared" si="671"/>
        <v>0.44444444444444453</v>
      </c>
      <c r="DY218" s="5">
        <f t="shared" si="672"/>
        <v>31.301587301587315</v>
      </c>
      <c r="DZ218" s="5"/>
      <c r="EA218" s="173">
        <f t="shared" si="673"/>
        <v>1.3999999999999997E-2</v>
      </c>
      <c r="EB218" s="173">
        <f t="shared" si="699"/>
        <v>0.33599999999999997</v>
      </c>
      <c r="EC218" s="173">
        <f t="shared" si="700"/>
        <v>0.65733333333333344</v>
      </c>
      <c r="ED218" s="173">
        <f t="shared" si="701"/>
        <v>0.51115618661257589</v>
      </c>
      <c r="EE218" s="460">
        <f t="shared" si="674"/>
        <v>5.4200542005420072E-2</v>
      </c>
      <c r="EF218" s="5">
        <f t="shared" si="675"/>
        <v>0.23766019988242215</v>
      </c>
      <c r="EH218" s="173">
        <f t="shared" si="702"/>
        <v>9.1084006808529766E-2</v>
      </c>
      <c r="EI218" s="173">
        <f t="shared" si="703"/>
        <v>0.76439276311088677</v>
      </c>
      <c r="EK218" s="528">
        <f t="shared" si="704"/>
        <v>1.6592592592592592E-4</v>
      </c>
      <c r="EL218" s="528">
        <f t="shared" si="705"/>
        <v>4.4351999999999989E-2</v>
      </c>
      <c r="EM218" s="528">
        <f t="shared" si="706"/>
        <v>3.9374999999999983E-3</v>
      </c>
      <c r="EN218" s="528">
        <f t="shared" si="707"/>
        <v>8.7816959999999968E-3</v>
      </c>
      <c r="EO218">
        <f t="shared" si="708"/>
        <v>1.6199999999999999E-2</v>
      </c>
      <c r="EP218" s="460">
        <f t="shared" si="709"/>
        <v>20.137499999999996</v>
      </c>
      <c r="EQ218" s="460"/>
      <c r="ER218" s="460">
        <f t="shared" si="710"/>
        <v>73.437121925925908</v>
      </c>
      <c r="ES218" s="528">
        <f t="shared" si="711"/>
        <v>1.3999999999999999E-2</v>
      </c>
      <c r="EV218" s="460">
        <f t="shared" si="712"/>
        <v>13.999999999999998</v>
      </c>
      <c r="EW218" s="528">
        <f t="shared" si="713"/>
        <v>2.4888888888888888E-4</v>
      </c>
      <c r="EX218" s="528">
        <f t="shared" si="714"/>
        <v>1.7528888888888889E-2</v>
      </c>
      <c r="EY218" s="528">
        <f t="shared" si="715"/>
        <v>5.7160132959957271E-4</v>
      </c>
      <c r="EZ218" s="528"/>
      <c r="FA218" s="528">
        <f t="shared" si="716"/>
        <v>2.7999999999999998E-4</v>
      </c>
      <c r="FB218" s="460">
        <f t="shared" si="717"/>
        <v>18.62937910737735</v>
      </c>
      <c r="FC218" s="173">
        <f t="shared" si="718"/>
        <v>0.10606650103330327</v>
      </c>
      <c r="FD218" s="5">
        <f t="shared" si="719"/>
        <v>0.32799999999999996</v>
      </c>
      <c r="FE218" s="173">
        <f t="shared" si="720"/>
        <v>0.75564458261393119</v>
      </c>
      <c r="FF218" s="5">
        <f t="shared" si="721"/>
        <v>75.564458261393114</v>
      </c>
      <c r="FI218" s="562">
        <f t="shared" si="676"/>
        <v>-50</v>
      </c>
      <c r="FJ218">
        <f t="shared" si="677"/>
        <v>-50</v>
      </c>
      <c r="FL218">
        <f t="shared" si="678"/>
        <v>0.03</v>
      </c>
    </row>
    <row r="219" spans="5:168">
      <c r="E219" s="170">
        <v>3</v>
      </c>
      <c r="F219" s="217">
        <f t="shared" si="679"/>
        <v>0.03</v>
      </c>
      <c r="G219" s="217"/>
      <c r="H219" s="217">
        <f t="shared" si="603"/>
        <v>0.49199999999999994</v>
      </c>
      <c r="I219" s="541">
        <f t="shared" si="604"/>
        <v>35.967065882664691</v>
      </c>
      <c r="J219" s="172">
        <f t="shared" si="605"/>
        <v>16.819760470401185</v>
      </c>
      <c r="K219" s="172">
        <f t="shared" si="606"/>
        <v>52.786826353065877</v>
      </c>
      <c r="L219" s="443"/>
      <c r="M219" s="217">
        <f t="shared" si="607"/>
        <v>0.3186386611710445</v>
      </c>
      <c r="N219" s="172">
        <f t="shared" si="608"/>
        <v>38.717381461036403</v>
      </c>
      <c r="O219" s="172">
        <f t="shared" si="599"/>
        <v>0.49199999999999994</v>
      </c>
      <c r="P219" s="217">
        <f t="shared" si="609"/>
        <v>2.3608159427461222</v>
      </c>
      <c r="Q219" s="217">
        <f t="shared" si="610"/>
        <v>16.399999999999999</v>
      </c>
      <c r="R219" s="217"/>
      <c r="S219" s="172">
        <f t="shared" si="611"/>
        <v>3960.3772200707958</v>
      </c>
      <c r="T219" s="172">
        <f t="shared" si="612"/>
        <v>16.399999999999999</v>
      </c>
      <c r="U219" s="217">
        <f t="shared" si="613"/>
        <v>8.8059002735789232E-2</v>
      </c>
      <c r="V219" s="217">
        <f t="shared" si="614"/>
        <v>2.9379878700052098E-2</v>
      </c>
      <c r="W219" s="217">
        <f t="shared" si="615"/>
        <v>6.2825391282416168E-2</v>
      </c>
      <c r="X219" s="197">
        <f t="shared" si="616"/>
        <v>350</v>
      </c>
      <c r="Y219" s="443">
        <f t="shared" si="680"/>
        <v>350</v>
      </c>
      <c r="AA219" s="217">
        <f t="shared" si="617"/>
        <v>2.7286634562376069</v>
      </c>
      <c r="AB219" s="173">
        <f t="shared" si="618"/>
        <v>1.9467555160772319</v>
      </c>
      <c r="AC219" s="173">
        <f t="shared" si="619"/>
        <v>0.92960711111606187</v>
      </c>
      <c r="AD219" s="173"/>
      <c r="AE219" s="173">
        <f t="shared" si="620"/>
        <v>0.95126206036977945</v>
      </c>
      <c r="AF219" s="545">
        <f t="shared" si="621"/>
        <v>47.305576323003322</v>
      </c>
      <c r="AG219" s="528">
        <f t="shared" si="622"/>
        <v>0.22196114741961523</v>
      </c>
      <c r="AI219" s="173">
        <f t="shared" si="623"/>
        <v>0.4901859773946034</v>
      </c>
      <c r="AJ219" s="173">
        <f t="shared" si="624"/>
        <v>1.3333333333333335</v>
      </c>
      <c r="AK219" s="173">
        <f t="shared" si="625"/>
        <v>1.027031757898859</v>
      </c>
      <c r="AM219" s="545">
        <f t="shared" si="626"/>
        <v>30</v>
      </c>
      <c r="AN219" s="460">
        <f t="shared" si="627"/>
        <v>47.305576323003322</v>
      </c>
      <c r="AP219">
        <f t="shared" si="628"/>
        <v>30</v>
      </c>
      <c r="AQ219">
        <f t="shared" si="629"/>
        <v>47.305576323003322</v>
      </c>
      <c r="AS219" s="5">
        <f t="shared" si="600"/>
        <v>21.139156897106211</v>
      </c>
      <c r="AT219" s="5">
        <f t="shared" si="630"/>
        <v>0.44485141079332907</v>
      </c>
      <c r="AU219" s="5">
        <f t="shared" si="478"/>
        <v>20.694305486312881</v>
      </c>
      <c r="AV219" s="5"/>
      <c r="AW219" s="173">
        <f t="shared" si="479"/>
        <v>2.1043952365679533E-2</v>
      </c>
      <c r="AX219" s="173">
        <f t="shared" si="631"/>
        <v>0.5045928141120356</v>
      </c>
      <c r="AY219" s="173">
        <f t="shared" si="632"/>
        <v>0.65263736508954706</v>
      </c>
      <c r="AZ219" s="173">
        <f t="shared" si="633"/>
        <v>0.77315955399335956</v>
      </c>
      <c r="BA219" s="460">
        <f t="shared" si="594"/>
        <v>8.1375258071950465E-2</v>
      </c>
      <c r="BB219" s="5">
        <f t="shared" si="595"/>
        <v>0.2359009566437193</v>
      </c>
      <c r="BD219" s="173">
        <f t="shared" si="681"/>
        <v>0.11167134946248775</v>
      </c>
      <c r="BE219" s="173">
        <f t="shared" si="682"/>
        <v>0.76165747045625409</v>
      </c>
      <c r="BG219" s="528">
        <f t="shared" si="683"/>
        <v>2.4940980581546126E-4</v>
      </c>
      <c r="BH219" s="528">
        <f t="shared" si="634"/>
        <v>6.2427781072352036E-2</v>
      </c>
      <c r="BI219" s="528">
        <f t="shared" si="635"/>
        <v>4.2536069505672083E-2</v>
      </c>
      <c r="BJ219" s="528">
        <f t="shared" si="684"/>
        <v>1.3181457756293835E-2</v>
      </c>
      <c r="BK219">
        <f t="shared" si="685"/>
        <v>1.6185179647199111E-2</v>
      </c>
      <c r="BL219" s="460">
        <f t="shared" si="686"/>
        <v>58.721249152871188</v>
      </c>
      <c r="BM219" s="528">
        <f t="shared" si="636"/>
        <v>7.5930488905329524E-2</v>
      </c>
      <c r="BN219" s="460">
        <f t="shared" si="687"/>
        <v>75.930488905329526</v>
      </c>
      <c r="BO219" s="528">
        <f t="shared" si="637"/>
        <v>2.0999999999999998E-2</v>
      </c>
      <c r="BR219" s="460">
        <f t="shared" si="688"/>
        <v>20.999999999999996</v>
      </c>
      <c r="BS219" s="528">
        <f t="shared" si="689"/>
        <v>3.7411470872319189E-4</v>
      </c>
      <c r="BT219" s="528">
        <f t="shared" si="690"/>
        <v>1.7403663069054588E-2</v>
      </c>
      <c r="BU219" s="528">
        <f t="shared" si="691"/>
        <v>1.5797839254235255E-3</v>
      </c>
      <c r="BV219" s="528"/>
      <c r="BW219" s="528">
        <f t="shared" si="692"/>
        <v>4.2049401176002963E-4</v>
      </c>
      <c r="BX219" s="460">
        <f t="shared" si="693"/>
        <v>19.778055714961337</v>
      </c>
      <c r="BY219" s="173">
        <f t="shared" si="694"/>
        <v>0.17535795350229386</v>
      </c>
      <c r="BZ219" s="5">
        <f t="shared" si="695"/>
        <v>0.49199999999999994</v>
      </c>
      <c r="CA219" s="173">
        <f t="shared" si="696"/>
        <v>0.7372355381665634</v>
      </c>
      <c r="CB219" s="5">
        <f t="shared" si="697"/>
        <v>73.723553816656334</v>
      </c>
      <c r="CE219" s="562">
        <f t="shared" si="638"/>
        <v>-50</v>
      </c>
      <c r="CF219">
        <f t="shared" si="639"/>
        <v>-50</v>
      </c>
      <c r="CG219" s="173">
        <f t="shared" si="640"/>
        <v>4.5545474461272641E-2</v>
      </c>
      <c r="CI219" s="170">
        <v>3</v>
      </c>
      <c r="CJ219" s="217">
        <f t="shared" si="698"/>
        <v>0.03</v>
      </c>
      <c r="CK219" s="217"/>
      <c r="CL219" s="217">
        <f t="shared" si="641"/>
        <v>0.49199999999999994</v>
      </c>
      <c r="CM219" s="541">
        <f t="shared" si="642"/>
        <v>36</v>
      </c>
      <c r="CN219" s="443">
        <f t="shared" si="643"/>
        <v>16.799999999999997</v>
      </c>
      <c r="CO219" s="443">
        <f t="shared" si="644"/>
        <v>52.8</v>
      </c>
      <c r="CP219" s="443"/>
      <c r="CQ219" s="217">
        <f t="shared" si="645"/>
        <v>0.31818181818181812</v>
      </c>
      <c r="CR219" s="172">
        <f t="shared" si="646"/>
        <v>38.697272727272725</v>
      </c>
      <c r="CS219" s="172">
        <f t="shared" si="647"/>
        <v>0.49199999999999994</v>
      </c>
      <c r="CT219" s="217">
        <f t="shared" si="648"/>
        <v>2.3595898004434592</v>
      </c>
      <c r="CU219" s="217">
        <f t="shared" si="649"/>
        <v>16.399999999999999</v>
      </c>
      <c r="CV219" s="217"/>
      <c r="CW219" s="172">
        <f t="shared" si="650"/>
        <v>3964.0036323243894</v>
      </c>
      <c r="CX219" s="172">
        <f t="shared" si="651"/>
        <v>16.399999999999999</v>
      </c>
      <c r="CY219" s="217">
        <f t="shared" si="652"/>
        <v>8.59047619047619E-2</v>
      </c>
      <c r="CZ219" s="217">
        <f t="shared" si="653"/>
        <v>2.8634920634920635E-2</v>
      </c>
      <c r="DA219" s="217">
        <f t="shared" si="654"/>
        <v>6.1360544217687087E-2</v>
      </c>
      <c r="DB219" s="197">
        <f t="shared" si="655"/>
        <v>350</v>
      </c>
      <c r="DC219" s="443">
        <f t="shared" si="656"/>
        <v>350</v>
      </c>
      <c r="DE219" s="217">
        <f t="shared" si="657"/>
        <v>2.7272727272727271</v>
      </c>
      <c r="DF219" s="173">
        <f t="shared" si="658"/>
        <v>1.9480519480519483</v>
      </c>
      <c r="DG219" s="173">
        <f t="shared" si="659"/>
        <v>0.92975206611570249</v>
      </c>
      <c r="DH219" s="173"/>
      <c r="DI219" s="173">
        <f t="shared" si="660"/>
        <v>0.95238095238095266</v>
      </c>
      <c r="DJ219" s="545">
        <f t="shared" si="661"/>
        <v>47.249999999999979</v>
      </c>
      <c r="DK219" s="528">
        <f t="shared" si="662"/>
        <v>0.22222222222222232</v>
      </c>
      <c r="DM219" s="173">
        <f t="shared" si="663"/>
        <v>0.48989794855663554</v>
      </c>
      <c r="DN219" s="173">
        <f t="shared" si="664"/>
        <v>1.3333333333333335</v>
      </c>
      <c r="DO219" s="173">
        <f t="shared" si="665"/>
        <v>1.0269999999999999</v>
      </c>
      <c r="DQ219" s="545">
        <f t="shared" si="666"/>
        <v>30</v>
      </c>
      <c r="DR219" s="460">
        <f t="shared" si="667"/>
        <v>47.249999999999979</v>
      </c>
      <c r="DT219">
        <f t="shared" si="668"/>
        <v>30</v>
      </c>
      <c r="DU219">
        <f t="shared" si="669"/>
        <v>47.249999999999979</v>
      </c>
      <c r="DW219" s="5">
        <f t="shared" si="670"/>
        <v>21.164021164021172</v>
      </c>
      <c r="DX219" s="5">
        <f t="shared" si="671"/>
        <v>0.44444444444444453</v>
      </c>
      <c r="DY219" s="5">
        <f t="shared" si="672"/>
        <v>20.719576719576729</v>
      </c>
      <c r="DZ219" s="5"/>
      <c r="EA219" s="173">
        <f t="shared" si="673"/>
        <v>2.0999999999999998E-2</v>
      </c>
      <c r="EB219" s="173">
        <f t="shared" si="699"/>
        <v>0.50399999999999989</v>
      </c>
      <c r="EC219" s="173">
        <f t="shared" si="700"/>
        <v>0.65266666666666673</v>
      </c>
      <c r="ED219" s="173">
        <f t="shared" si="701"/>
        <v>0.77221654749744617</v>
      </c>
      <c r="EE219" s="460">
        <f t="shared" si="674"/>
        <v>8.1300813008130107E-2</v>
      </c>
      <c r="EF219" s="5">
        <f t="shared" si="675"/>
        <v>0.23597295708406824</v>
      </c>
      <c r="EH219" s="173">
        <f t="shared" si="702"/>
        <v>0.11155467020454342</v>
      </c>
      <c r="EI219" s="173">
        <f t="shared" si="703"/>
        <v>0.76167456840053949</v>
      </c>
      <c r="EK219" s="528">
        <f t="shared" si="704"/>
        <v>2.4888888888888893E-4</v>
      </c>
      <c r="EL219" s="528">
        <f t="shared" si="705"/>
        <v>6.6527999999999976E-2</v>
      </c>
      <c r="EM219" s="528">
        <f t="shared" si="706"/>
        <v>5.9062499999999974E-3</v>
      </c>
      <c r="EN219" s="528">
        <f t="shared" si="707"/>
        <v>1.3172543999999991E-2</v>
      </c>
      <c r="EO219">
        <f t="shared" si="708"/>
        <v>1.6199999999999999E-2</v>
      </c>
      <c r="EP219" s="460">
        <f t="shared" si="709"/>
        <v>22.106249999999996</v>
      </c>
      <c r="EQ219" s="460"/>
      <c r="ER219" s="460">
        <f t="shared" si="710"/>
        <v>102.05568288888885</v>
      </c>
      <c r="ES219" s="528">
        <f t="shared" si="711"/>
        <v>2.0999999999999998E-2</v>
      </c>
      <c r="EV219" s="460">
        <f t="shared" si="712"/>
        <v>20.999999999999996</v>
      </c>
      <c r="EW219" s="528">
        <f t="shared" si="713"/>
        <v>3.7333333333333343E-4</v>
      </c>
      <c r="EX219" s="528">
        <f t="shared" si="714"/>
        <v>1.7404444444444441E-2</v>
      </c>
      <c r="EY219" s="528">
        <f t="shared" si="715"/>
        <v>1.5751480430423028E-3</v>
      </c>
      <c r="EZ219" s="528"/>
      <c r="FA219" s="528">
        <f t="shared" si="716"/>
        <v>4.1999999999999991E-4</v>
      </c>
      <c r="FB219" s="460">
        <f t="shared" si="717"/>
        <v>19.772925820820078</v>
      </c>
      <c r="FC219" s="173">
        <f t="shared" si="718"/>
        <v>0.14282860870970893</v>
      </c>
      <c r="FD219" s="5">
        <f t="shared" si="719"/>
        <v>0.49199999999999994</v>
      </c>
      <c r="FE219" s="173">
        <f t="shared" si="720"/>
        <v>0.77501233128102331</v>
      </c>
      <c r="FF219" s="5">
        <f t="shared" si="721"/>
        <v>77.501233128102328</v>
      </c>
      <c r="FI219" s="562">
        <f t="shared" si="676"/>
        <v>-50</v>
      </c>
      <c r="FJ219">
        <f t="shared" si="677"/>
        <v>-50</v>
      </c>
      <c r="FL219">
        <f t="shared" si="678"/>
        <v>4.4999999999999991E-2</v>
      </c>
    </row>
    <row r="220" spans="5:168">
      <c r="E220" s="170">
        <v>4</v>
      </c>
      <c r="F220" s="217">
        <f t="shared" si="679"/>
        <v>0.04</v>
      </c>
      <c r="G220" s="217"/>
      <c r="H220" s="217">
        <f t="shared" si="603"/>
        <v>0.65599999999999992</v>
      </c>
      <c r="I220" s="541">
        <f t="shared" si="604"/>
        <v>35.967065882664691</v>
      </c>
      <c r="J220" s="172">
        <f t="shared" si="605"/>
        <v>16.819760470401185</v>
      </c>
      <c r="K220" s="172">
        <f t="shared" si="606"/>
        <v>52.786826353065877</v>
      </c>
      <c r="L220" s="443"/>
      <c r="M220" s="217">
        <f t="shared" si="607"/>
        <v>0.3186386611710445</v>
      </c>
      <c r="N220" s="172">
        <f t="shared" si="608"/>
        <v>38.717381461036403</v>
      </c>
      <c r="O220" s="172">
        <f t="shared" si="599"/>
        <v>0.65599999999999992</v>
      </c>
      <c r="P220" s="217">
        <f t="shared" si="609"/>
        <v>2.3608159427461222</v>
      </c>
      <c r="Q220" s="217">
        <f t="shared" si="610"/>
        <v>16.399999999999999</v>
      </c>
      <c r="R220" s="217"/>
      <c r="S220" s="172">
        <f t="shared" si="611"/>
        <v>2961.2932819748676</v>
      </c>
      <c r="T220" s="172">
        <f t="shared" si="612"/>
        <v>16.399999999999999</v>
      </c>
      <c r="U220" s="217">
        <f t="shared" si="613"/>
        <v>0.11741200364771895</v>
      </c>
      <c r="V220" s="217">
        <f t="shared" si="614"/>
        <v>3.9173171600069452E-2</v>
      </c>
      <c r="W220" s="217">
        <f t="shared" si="615"/>
        <v>8.3767188376554877E-2</v>
      </c>
      <c r="X220" s="197">
        <f t="shared" si="616"/>
        <v>350</v>
      </c>
      <c r="Y220" s="443">
        <f t="shared" si="680"/>
        <v>350</v>
      </c>
      <c r="AA220" s="217">
        <f t="shared" si="617"/>
        <v>2.7286634562376069</v>
      </c>
      <c r="AB220" s="173">
        <f t="shared" si="618"/>
        <v>1.9467555160772319</v>
      </c>
      <c r="AC220" s="173">
        <f t="shared" si="619"/>
        <v>0.92960711111606187</v>
      </c>
      <c r="AD220" s="173"/>
      <c r="AE220" s="173">
        <f t="shared" si="620"/>
        <v>0.95126206036977945</v>
      </c>
      <c r="AF220" s="545">
        <f t="shared" si="621"/>
        <v>63.074101764004432</v>
      </c>
      <c r="AG220" s="528">
        <f t="shared" si="622"/>
        <v>0.22196114741961523</v>
      </c>
      <c r="AI220" s="173">
        <f t="shared" si="623"/>
        <v>0.56601801200350821</v>
      </c>
      <c r="AJ220" s="173">
        <f t="shared" si="624"/>
        <v>1.3333333333333335</v>
      </c>
      <c r="AK220" s="173">
        <f t="shared" si="625"/>
        <v>1.0360423438651454</v>
      </c>
      <c r="AM220" s="545">
        <f t="shared" si="626"/>
        <v>40</v>
      </c>
      <c r="AN220" s="460">
        <f t="shared" si="627"/>
        <v>63.074101764004432</v>
      </c>
      <c r="AP220">
        <f t="shared" si="628"/>
        <v>40</v>
      </c>
      <c r="AQ220">
        <f t="shared" si="629"/>
        <v>63.074101764004432</v>
      </c>
      <c r="AS220" s="5">
        <f t="shared" si="600"/>
        <v>15.854367672829659</v>
      </c>
      <c r="AT220" s="5">
        <f t="shared" si="630"/>
        <v>0.44485141079332907</v>
      </c>
      <c r="AU220" s="5">
        <f t="shared" si="478"/>
        <v>15.409516262036329</v>
      </c>
      <c r="AV220" s="5"/>
      <c r="AW220" s="173">
        <f t="shared" si="479"/>
        <v>2.8058603154239376E-2</v>
      </c>
      <c r="AX220" s="173">
        <f t="shared" si="631"/>
        <v>0.6727904188160474</v>
      </c>
      <c r="AY220" s="173">
        <f t="shared" si="632"/>
        <v>0.64796093123050713</v>
      </c>
      <c r="AZ220" s="173">
        <f t="shared" si="633"/>
        <v>1.0383194207996274</v>
      </c>
      <c r="BA220" s="460">
        <f t="shared" si="594"/>
        <v>0.10850034409593394</v>
      </c>
      <c r="BB220" s="5">
        <f t="shared" si="595"/>
        <v>0.23421062250099486</v>
      </c>
      <c r="BD220" s="173">
        <f t="shared" si="681"/>
        <v>0.12894696734587213</v>
      </c>
      <c r="BE220" s="173">
        <f t="shared" si="682"/>
        <v>0.75892375915166554</v>
      </c>
      <c r="BG220" s="528">
        <f t="shared" si="683"/>
        <v>3.3254640775394825E-4</v>
      </c>
      <c r="BH220" s="528">
        <f t="shared" si="634"/>
        <v>8.3237041429802705E-2</v>
      </c>
      <c r="BI220" s="528">
        <f t="shared" si="635"/>
        <v>5.6714759340896106E-2</v>
      </c>
      <c r="BJ220" s="528">
        <f t="shared" si="684"/>
        <v>1.7575277008391784E-2</v>
      </c>
      <c r="BK220">
        <f t="shared" si="685"/>
        <v>1.6185179647199111E-2</v>
      </c>
      <c r="BL220" s="460">
        <f t="shared" si="686"/>
        <v>72.899938988095215</v>
      </c>
      <c r="BM220" s="528">
        <f t="shared" si="636"/>
        <v>0.10124265186437492</v>
      </c>
      <c r="BN220" s="460">
        <f t="shared" si="687"/>
        <v>101.24265186437492</v>
      </c>
      <c r="BO220" s="528">
        <f t="shared" si="637"/>
        <v>2.7999999999999997E-2</v>
      </c>
      <c r="BR220" s="460">
        <f t="shared" si="688"/>
        <v>27.999999999999996</v>
      </c>
      <c r="BS220" s="528">
        <f t="shared" si="689"/>
        <v>4.9881961163092241E-4</v>
      </c>
      <c r="BT220" s="528">
        <f t="shared" si="690"/>
        <v>1.7278958166146857E-2</v>
      </c>
      <c r="BU220" s="528">
        <f t="shared" si="691"/>
        <v>3.2429819541500995E-3</v>
      </c>
      <c r="BV220" s="528"/>
      <c r="BW220" s="528">
        <f t="shared" si="692"/>
        <v>5.6065868234670617E-4</v>
      </c>
      <c r="BX220" s="460">
        <f t="shared" si="693"/>
        <v>21.581418414274584</v>
      </c>
      <c r="BY220" s="173">
        <f t="shared" si="694"/>
        <v>0.22362622224831824</v>
      </c>
      <c r="BZ220" s="5">
        <f t="shared" si="695"/>
        <v>0.65599999999999992</v>
      </c>
      <c r="CA220" s="173">
        <f t="shared" si="696"/>
        <v>0.74577130991305451</v>
      </c>
      <c r="CB220" s="5">
        <f t="shared" si="697"/>
        <v>74.577130991305452</v>
      </c>
      <c r="CE220" s="562">
        <f t="shared" si="638"/>
        <v>-50</v>
      </c>
      <c r="CF220">
        <f t="shared" si="639"/>
        <v>-50</v>
      </c>
      <c r="CG220" s="173">
        <f t="shared" si="640"/>
        <v>6.0727299281696859E-2</v>
      </c>
      <c r="CI220" s="170">
        <v>4</v>
      </c>
      <c r="CJ220" s="217">
        <f t="shared" si="698"/>
        <v>0.04</v>
      </c>
      <c r="CK220" s="217"/>
      <c r="CL220" s="217">
        <f t="shared" si="641"/>
        <v>0.65599999999999992</v>
      </c>
      <c r="CM220" s="541">
        <f t="shared" si="642"/>
        <v>36</v>
      </c>
      <c r="CN220" s="443">
        <f t="shared" si="643"/>
        <v>16.799999999999997</v>
      </c>
      <c r="CO220" s="443">
        <f t="shared" si="644"/>
        <v>52.8</v>
      </c>
      <c r="CP220" s="443"/>
      <c r="CQ220" s="217">
        <f t="shared" si="645"/>
        <v>0.31818181818181812</v>
      </c>
      <c r="CR220" s="172">
        <f t="shared" si="646"/>
        <v>38.697272727272725</v>
      </c>
      <c r="CS220" s="172">
        <f t="shared" si="647"/>
        <v>0.65599999999999992</v>
      </c>
      <c r="CT220" s="217">
        <f t="shared" si="648"/>
        <v>2.3595898004434592</v>
      </c>
      <c r="CU220" s="217">
        <f t="shared" si="649"/>
        <v>16.399999999999999</v>
      </c>
      <c r="CV220" s="217"/>
      <c r="CW220" s="172">
        <f t="shared" si="650"/>
        <v>2964.0048576360823</v>
      </c>
      <c r="CX220" s="172">
        <f t="shared" si="651"/>
        <v>16.399999999999999</v>
      </c>
      <c r="CY220" s="217">
        <f t="shared" si="652"/>
        <v>0.11453968253968254</v>
      </c>
      <c r="CZ220" s="217">
        <f t="shared" si="653"/>
        <v>3.8179894179894182E-2</v>
      </c>
      <c r="DA220" s="217">
        <f t="shared" si="654"/>
        <v>8.1814058956916111E-2</v>
      </c>
      <c r="DB220" s="197">
        <f t="shared" si="655"/>
        <v>350</v>
      </c>
      <c r="DC220" s="443">
        <f t="shared" si="656"/>
        <v>350</v>
      </c>
      <c r="DE220" s="217">
        <f t="shared" si="657"/>
        <v>2.7272727272727271</v>
      </c>
      <c r="DF220" s="173">
        <f t="shared" si="658"/>
        <v>1.9480519480519483</v>
      </c>
      <c r="DG220" s="173">
        <f t="shared" si="659"/>
        <v>0.92975206611570249</v>
      </c>
      <c r="DH220" s="173"/>
      <c r="DI220" s="173">
        <f t="shared" si="660"/>
        <v>0.95238095238095266</v>
      </c>
      <c r="DJ220" s="545">
        <f t="shared" si="661"/>
        <v>62.999999999999979</v>
      </c>
      <c r="DK220" s="528">
        <f t="shared" si="662"/>
        <v>0.22222222222222232</v>
      </c>
      <c r="DM220" s="173">
        <f t="shared" si="663"/>
        <v>0.56568542494923801</v>
      </c>
      <c r="DN220" s="173">
        <f t="shared" si="664"/>
        <v>1.3333333333333335</v>
      </c>
      <c r="DO220" s="173">
        <f t="shared" si="665"/>
        <v>1.036</v>
      </c>
      <c r="DQ220" s="545">
        <f t="shared" si="666"/>
        <v>40</v>
      </c>
      <c r="DR220" s="460">
        <f t="shared" si="667"/>
        <v>62.999999999999979</v>
      </c>
      <c r="DT220">
        <f t="shared" si="668"/>
        <v>40</v>
      </c>
      <c r="DU220">
        <f t="shared" si="669"/>
        <v>62.999999999999979</v>
      </c>
      <c r="DW220" s="5">
        <f t="shared" si="670"/>
        <v>15.873015873015879</v>
      </c>
      <c r="DX220" s="5">
        <f t="shared" si="671"/>
        <v>0.44444444444444453</v>
      </c>
      <c r="DY220" s="5">
        <f t="shared" si="672"/>
        <v>15.428571428571434</v>
      </c>
      <c r="DZ220" s="5"/>
      <c r="EA220" s="173">
        <f t="shared" si="673"/>
        <v>2.7999999999999994E-2</v>
      </c>
      <c r="EB220" s="173">
        <f t="shared" si="699"/>
        <v>0.67199999999999993</v>
      </c>
      <c r="EC220" s="173">
        <f t="shared" si="700"/>
        <v>0.64800000000000002</v>
      </c>
      <c r="ED220" s="173">
        <f t="shared" si="701"/>
        <v>1.037037037037037</v>
      </c>
      <c r="EE220" s="460">
        <f t="shared" si="674"/>
        <v>0.10840108401084014</v>
      </c>
      <c r="EF220" s="5">
        <f t="shared" si="675"/>
        <v>0.23428571428571429</v>
      </c>
      <c r="EH220" s="173">
        <f t="shared" si="702"/>
        <v>0.12881223774390613</v>
      </c>
      <c r="EI220" s="173">
        <f t="shared" si="703"/>
        <v>0.75894663844041121</v>
      </c>
      <c r="EK220" s="528">
        <f t="shared" si="704"/>
        <v>3.3185185185185184E-4</v>
      </c>
      <c r="EL220" s="528">
        <f t="shared" si="705"/>
        <v>8.8703999999999977E-2</v>
      </c>
      <c r="EM220" s="528">
        <f t="shared" si="706"/>
        <v>7.8749999999999966E-3</v>
      </c>
      <c r="EN220" s="528">
        <f t="shared" si="707"/>
        <v>1.7563391999999994E-2</v>
      </c>
      <c r="EO220">
        <f t="shared" si="708"/>
        <v>1.6199999999999999E-2</v>
      </c>
      <c r="EP220" s="460">
        <f t="shared" si="709"/>
        <v>24.074999999999996</v>
      </c>
      <c r="EQ220" s="460"/>
      <c r="ER220" s="460">
        <f t="shared" si="710"/>
        <v>130.6742438518518</v>
      </c>
      <c r="ES220" s="528">
        <f t="shared" si="711"/>
        <v>2.7999999999999997E-2</v>
      </c>
      <c r="EV220" s="460">
        <f t="shared" si="712"/>
        <v>27.999999999999996</v>
      </c>
      <c r="EW220" s="528">
        <f t="shared" si="713"/>
        <v>4.9777777777777776E-4</v>
      </c>
      <c r="EX220" s="528">
        <f t="shared" si="714"/>
        <v>1.7280000000000007E-2</v>
      </c>
      <c r="EY220" s="528">
        <f t="shared" si="715"/>
        <v>3.2334654103608417E-3</v>
      </c>
      <c r="EZ220" s="528"/>
      <c r="FA220" s="528">
        <f t="shared" si="716"/>
        <v>5.5999999999999995E-4</v>
      </c>
      <c r="FB220" s="460">
        <f t="shared" si="717"/>
        <v>21.571243188138627</v>
      </c>
      <c r="FC220" s="173">
        <f t="shared" si="718"/>
        <v>0.18024548703999047</v>
      </c>
      <c r="FD220" s="5">
        <f t="shared" si="719"/>
        <v>0.65599999999999992</v>
      </c>
      <c r="FE220" s="173">
        <f t="shared" si="720"/>
        <v>0.78445864302599122</v>
      </c>
      <c r="FF220" s="5">
        <f t="shared" si="721"/>
        <v>78.445864302599119</v>
      </c>
      <c r="FI220" s="562">
        <f t="shared" si="676"/>
        <v>-50</v>
      </c>
      <c r="FJ220">
        <f t="shared" si="677"/>
        <v>-50</v>
      </c>
      <c r="FL220">
        <f t="shared" si="678"/>
        <v>0.06</v>
      </c>
    </row>
    <row r="221" spans="5:168">
      <c r="E221" s="170">
        <v>5</v>
      </c>
      <c r="F221" s="217">
        <f t="shared" si="679"/>
        <v>0.05</v>
      </c>
      <c r="G221" s="217"/>
      <c r="H221" s="217">
        <f t="shared" si="603"/>
        <v>0.82</v>
      </c>
      <c r="I221" s="541">
        <f t="shared" si="604"/>
        <v>35.967065882664691</v>
      </c>
      <c r="J221" s="172">
        <f t="shared" si="605"/>
        <v>16.819760470401185</v>
      </c>
      <c r="K221" s="172">
        <f t="shared" si="606"/>
        <v>52.786826353065877</v>
      </c>
      <c r="L221" s="443"/>
      <c r="M221" s="217">
        <f t="shared" si="607"/>
        <v>0.3186386611710445</v>
      </c>
      <c r="N221" s="172">
        <f t="shared" si="608"/>
        <v>38.717381461036403</v>
      </c>
      <c r="O221" s="172">
        <f t="shared" si="599"/>
        <v>0.82</v>
      </c>
      <c r="P221" s="217">
        <f t="shared" si="609"/>
        <v>2.3608159427461222</v>
      </c>
      <c r="Q221" s="217">
        <f t="shared" si="610"/>
        <v>16.399999999999999</v>
      </c>
      <c r="R221" s="217"/>
      <c r="S221" s="172">
        <f t="shared" si="611"/>
        <v>2361.8434166183797</v>
      </c>
      <c r="T221" s="172">
        <f t="shared" si="612"/>
        <v>16.399999999999999</v>
      </c>
      <c r="U221" s="217">
        <f t="shared" si="613"/>
        <v>0.14676500455964869</v>
      </c>
      <c r="V221" s="217">
        <f t="shared" si="614"/>
        <v>4.896646450008682E-2</v>
      </c>
      <c r="W221" s="217">
        <f t="shared" si="615"/>
        <v>0.1047089854706936</v>
      </c>
      <c r="X221" s="197">
        <f t="shared" si="616"/>
        <v>350</v>
      </c>
      <c r="Y221" s="443">
        <f t="shared" si="680"/>
        <v>350</v>
      </c>
      <c r="AA221" s="217">
        <f t="shared" si="617"/>
        <v>2.7286634562376069</v>
      </c>
      <c r="AB221" s="173">
        <f t="shared" si="618"/>
        <v>1.9467555160772319</v>
      </c>
      <c r="AC221" s="173">
        <f t="shared" si="619"/>
        <v>0.92960711111606187</v>
      </c>
      <c r="AD221" s="173"/>
      <c r="AE221" s="173">
        <f t="shared" si="620"/>
        <v>0.95126206036977945</v>
      </c>
      <c r="AF221" s="545">
        <f t="shared" si="621"/>
        <v>78.842627205005542</v>
      </c>
      <c r="AG221" s="528">
        <f t="shared" si="622"/>
        <v>0.22196114741961523</v>
      </c>
      <c r="AI221" s="173">
        <f t="shared" si="623"/>
        <v>0.63282737566456815</v>
      </c>
      <c r="AJ221" s="173">
        <f t="shared" si="624"/>
        <v>1.3333333333333335</v>
      </c>
      <c r="AK221" s="173">
        <f t="shared" si="625"/>
        <v>1.0450529298314317</v>
      </c>
      <c r="AM221" s="545">
        <f t="shared" si="626"/>
        <v>50</v>
      </c>
      <c r="AN221" s="460">
        <f t="shared" si="627"/>
        <v>78.842627205005542</v>
      </c>
      <c r="AP221">
        <f t="shared" si="628"/>
        <v>50</v>
      </c>
      <c r="AQ221">
        <f t="shared" si="629"/>
        <v>78.842627205005542</v>
      </c>
      <c r="AS221" s="5">
        <f t="shared" si="600"/>
        <v>12.683494138263727</v>
      </c>
      <c r="AT221" s="5">
        <f t="shared" si="630"/>
        <v>0.44485141079332907</v>
      </c>
      <c r="AU221" s="5">
        <f t="shared" si="478"/>
        <v>12.238642727470397</v>
      </c>
      <c r="AV221" s="5"/>
      <c r="AW221" s="173">
        <f t="shared" si="479"/>
        <v>3.5073253942799219E-2</v>
      </c>
      <c r="AX221" s="173">
        <f t="shared" si="631"/>
        <v>0.8409880235200593</v>
      </c>
      <c r="AY221" s="173">
        <f t="shared" si="632"/>
        <v>0.6432844973714672</v>
      </c>
      <c r="AZ221" s="173">
        <f t="shared" si="633"/>
        <v>1.3073345105570411</v>
      </c>
      <c r="BA221" s="460">
        <f t="shared" si="594"/>
        <v>0.13562543011991743</v>
      </c>
      <c r="BB221" s="5">
        <f t="shared" si="595"/>
        <v>0.23252028835827038</v>
      </c>
      <c r="BD221" s="173">
        <f t="shared" si="681"/>
        <v>0.14416709223890786</v>
      </c>
      <c r="BE221" s="173">
        <f t="shared" si="682"/>
        <v>0.75618016511144426</v>
      </c>
      <c r="BG221" s="528">
        <f t="shared" si="683"/>
        <v>4.1568300969243536E-4</v>
      </c>
      <c r="BH221" s="528">
        <f t="shared" si="634"/>
        <v>0.1040463017872534</v>
      </c>
      <c r="BI221" s="528">
        <f t="shared" si="635"/>
        <v>7.0893449176120144E-2</v>
      </c>
      <c r="BJ221" s="528">
        <f t="shared" si="684"/>
        <v>2.1969096260489727E-2</v>
      </c>
      <c r="BK221">
        <f t="shared" si="685"/>
        <v>1.6185179647199111E-2</v>
      </c>
      <c r="BL221" s="460">
        <f t="shared" si="686"/>
        <v>87.078628823319249</v>
      </c>
      <c r="BM221" s="528">
        <f t="shared" si="636"/>
        <v>0.12655581491749698</v>
      </c>
      <c r="BN221" s="460">
        <f t="shared" si="687"/>
        <v>126.55581491749699</v>
      </c>
      <c r="BO221" s="528">
        <f t="shared" si="637"/>
        <v>3.4999999999999996E-2</v>
      </c>
      <c r="BR221" s="460">
        <f t="shared" si="688"/>
        <v>34.999999999999993</v>
      </c>
      <c r="BS221" s="528">
        <f t="shared" si="689"/>
        <v>6.2352451453865298E-4</v>
      </c>
      <c r="BT221" s="528">
        <f t="shared" si="690"/>
        <v>1.7154253263239133E-2</v>
      </c>
      <c r="BU221" s="528">
        <f t="shared" si="691"/>
        <v>5.6652563275661908E-3</v>
      </c>
      <c r="BV221" s="528"/>
      <c r="BW221" s="528">
        <f t="shared" si="692"/>
        <v>7.0082335293338266E-4</v>
      </c>
      <c r="BX221" s="460">
        <f t="shared" si="693"/>
        <v>24.14385745827736</v>
      </c>
      <c r="BY221" s="173">
        <f t="shared" si="694"/>
        <v>0.27265356733903218</v>
      </c>
      <c r="BZ221" s="5">
        <f t="shared" si="695"/>
        <v>0.82</v>
      </c>
      <c r="CA221" s="173">
        <f t="shared" si="696"/>
        <v>0.75046659299064711</v>
      </c>
      <c r="CB221" s="5">
        <f t="shared" si="697"/>
        <v>75.046659299064714</v>
      </c>
      <c r="CE221" s="562">
        <f t="shared" si="638"/>
        <v>-50</v>
      </c>
      <c r="CF221">
        <f t="shared" si="639"/>
        <v>-50</v>
      </c>
      <c r="CG221" s="173">
        <f t="shared" si="640"/>
        <v>7.590912410212107E-2</v>
      </c>
      <c r="CI221" s="170">
        <v>5</v>
      </c>
      <c r="CJ221" s="217">
        <f t="shared" si="698"/>
        <v>0.05</v>
      </c>
      <c r="CK221" s="217"/>
      <c r="CL221" s="217">
        <f t="shared" si="641"/>
        <v>0.82</v>
      </c>
      <c r="CM221" s="541">
        <f t="shared" si="642"/>
        <v>36</v>
      </c>
      <c r="CN221" s="443">
        <f t="shared" si="643"/>
        <v>16.799999999999997</v>
      </c>
      <c r="CO221" s="443">
        <f t="shared" si="644"/>
        <v>52.8</v>
      </c>
      <c r="CP221" s="443"/>
      <c r="CQ221" s="217">
        <f t="shared" si="645"/>
        <v>0.31818181818181812</v>
      </c>
      <c r="CR221" s="172">
        <f t="shared" si="646"/>
        <v>38.697272727272725</v>
      </c>
      <c r="CS221" s="172">
        <f t="shared" si="647"/>
        <v>0.82</v>
      </c>
      <c r="CT221" s="217">
        <f t="shared" si="648"/>
        <v>2.3595898004434592</v>
      </c>
      <c r="CU221" s="217">
        <f t="shared" si="649"/>
        <v>16.399999999999999</v>
      </c>
      <c r="CV221" s="217"/>
      <c r="CW221" s="172">
        <f t="shared" si="650"/>
        <v>2364.0060903243561</v>
      </c>
      <c r="CX221" s="172">
        <f t="shared" si="651"/>
        <v>16.399999999999999</v>
      </c>
      <c r="CY221" s="217">
        <f t="shared" si="652"/>
        <v>0.14317460317460318</v>
      </c>
      <c r="CZ221" s="217">
        <f t="shared" si="653"/>
        <v>4.7724867724867726E-2</v>
      </c>
      <c r="DA221" s="217">
        <f t="shared" si="654"/>
        <v>0.10226757369614516</v>
      </c>
      <c r="DB221" s="197">
        <f t="shared" si="655"/>
        <v>350</v>
      </c>
      <c r="DC221" s="443">
        <f t="shared" si="656"/>
        <v>350</v>
      </c>
      <c r="DE221" s="217">
        <f t="shared" si="657"/>
        <v>2.7272727272727271</v>
      </c>
      <c r="DF221" s="173">
        <f t="shared" si="658"/>
        <v>1.9480519480519483</v>
      </c>
      <c r="DG221" s="173">
        <f t="shared" si="659"/>
        <v>0.92975206611570249</v>
      </c>
      <c r="DH221" s="173"/>
      <c r="DI221" s="173">
        <f t="shared" si="660"/>
        <v>0.95238095238095266</v>
      </c>
      <c r="DJ221" s="545">
        <f t="shared" si="661"/>
        <v>78.749999999999972</v>
      </c>
      <c r="DK221" s="528">
        <f t="shared" si="662"/>
        <v>0.22222222222222232</v>
      </c>
      <c r="DM221" s="173">
        <f t="shared" si="663"/>
        <v>0.63245553203367577</v>
      </c>
      <c r="DN221" s="173">
        <f t="shared" si="664"/>
        <v>1.3333333333333335</v>
      </c>
      <c r="DO221" s="173">
        <f t="shared" si="665"/>
        <v>1.0449999999999999</v>
      </c>
      <c r="DQ221" s="545">
        <f t="shared" si="666"/>
        <v>50</v>
      </c>
      <c r="DR221" s="460">
        <f t="shared" si="667"/>
        <v>78.749999999999972</v>
      </c>
      <c r="DT221">
        <f t="shared" si="668"/>
        <v>50</v>
      </c>
      <c r="DU221">
        <f t="shared" si="669"/>
        <v>78.749999999999972</v>
      </c>
      <c r="DW221" s="5">
        <f t="shared" si="670"/>
        <v>12.698412698412703</v>
      </c>
      <c r="DX221" s="5">
        <f t="shared" si="671"/>
        <v>0.44444444444444453</v>
      </c>
      <c r="DY221" s="5">
        <f t="shared" si="672"/>
        <v>12.253968253968258</v>
      </c>
      <c r="DZ221" s="5"/>
      <c r="EA221" s="173">
        <f t="shared" si="673"/>
        <v>3.4999999999999996E-2</v>
      </c>
      <c r="EB221" s="173">
        <f t="shared" si="699"/>
        <v>0.84</v>
      </c>
      <c r="EC221" s="173">
        <f t="shared" si="700"/>
        <v>0.64333333333333342</v>
      </c>
      <c r="ED221" s="173">
        <f t="shared" si="701"/>
        <v>1.3056994818652847</v>
      </c>
      <c r="EE221" s="460">
        <f t="shared" si="674"/>
        <v>0.13550135501355018</v>
      </c>
      <c r="EF221" s="5">
        <f t="shared" si="675"/>
        <v>0.23259847148736038</v>
      </c>
      <c r="EH221" s="173">
        <f t="shared" si="702"/>
        <v>0.14401645996461912</v>
      </c>
      <c r="EI221" s="173">
        <f t="shared" si="703"/>
        <v>0.75620886787438024</v>
      </c>
      <c r="EK221" s="528">
        <f t="shared" si="704"/>
        <v>4.148148148148148E-4</v>
      </c>
      <c r="EL221" s="528">
        <f t="shared" si="705"/>
        <v>0.11087999999999996</v>
      </c>
      <c r="EM221" s="528">
        <f t="shared" si="706"/>
        <v>9.8437499999999949E-3</v>
      </c>
      <c r="EN221" s="528">
        <f t="shared" si="707"/>
        <v>2.1954239999999989E-2</v>
      </c>
      <c r="EO221">
        <f t="shared" si="708"/>
        <v>1.6199999999999999E-2</v>
      </c>
      <c r="EP221" s="460">
        <f t="shared" si="709"/>
        <v>26.043749999999996</v>
      </c>
      <c r="EQ221" s="460"/>
      <c r="ER221" s="460">
        <f t="shared" si="710"/>
        <v>159.29280481481476</v>
      </c>
      <c r="ES221" s="528">
        <f t="shared" si="711"/>
        <v>3.4999999999999996E-2</v>
      </c>
      <c r="EV221" s="460">
        <f t="shared" si="712"/>
        <v>34.999999999999993</v>
      </c>
      <c r="EW221" s="528">
        <f t="shared" si="713"/>
        <v>6.2222222222222214E-4</v>
      </c>
      <c r="EX221" s="528">
        <f t="shared" si="714"/>
        <v>1.7155555555555556E-2</v>
      </c>
      <c r="EY221" s="528">
        <f t="shared" si="715"/>
        <v>5.648631609735227E-3</v>
      </c>
      <c r="EZ221" s="528"/>
      <c r="FA221" s="528">
        <f t="shared" si="716"/>
        <v>6.9999999999999988E-4</v>
      </c>
      <c r="FB221" s="460">
        <f t="shared" si="717"/>
        <v>24.126409387513004</v>
      </c>
      <c r="FC221" s="173">
        <f t="shared" si="718"/>
        <v>0.21841921420232777</v>
      </c>
      <c r="FD221" s="5">
        <f t="shared" si="719"/>
        <v>0.82</v>
      </c>
      <c r="FE221" s="173">
        <f t="shared" si="720"/>
        <v>0.78966181363457466</v>
      </c>
      <c r="FF221" s="5">
        <f t="shared" si="721"/>
        <v>78.966181363457466</v>
      </c>
      <c r="FI221" s="562">
        <f t="shared" si="676"/>
        <v>-50</v>
      </c>
      <c r="FJ221">
        <f t="shared" si="677"/>
        <v>-50</v>
      </c>
      <c r="FL221">
        <f t="shared" si="678"/>
        <v>7.4999999999999997E-2</v>
      </c>
    </row>
    <row r="222" spans="5:168">
      <c r="E222" s="170">
        <v>6</v>
      </c>
      <c r="F222" s="217">
        <f t="shared" si="679"/>
        <v>0.06</v>
      </c>
      <c r="G222" s="217"/>
      <c r="H222" s="217">
        <f t="shared" si="603"/>
        <v>0.98399999999999987</v>
      </c>
      <c r="I222" s="541">
        <f t="shared" si="604"/>
        <v>35.967065882664691</v>
      </c>
      <c r="J222" s="172">
        <f t="shared" si="605"/>
        <v>16.819760470401185</v>
      </c>
      <c r="K222" s="172">
        <f t="shared" si="606"/>
        <v>52.786826353065877</v>
      </c>
      <c r="L222" s="443"/>
      <c r="M222" s="217">
        <f t="shared" si="607"/>
        <v>0.3186386611710445</v>
      </c>
      <c r="N222" s="172">
        <f t="shared" si="608"/>
        <v>38.717381461036403</v>
      </c>
      <c r="O222" s="172">
        <f t="shared" si="599"/>
        <v>0.98399999999999987</v>
      </c>
      <c r="P222" s="217">
        <f t="shared" si="609"/>
        <v>2.3608159427461222</v>
      </c>
      <c r="Q222" s="217">
        <f t="shared" si="610"/>
        <v>16.399999999999999</v>
      </c>
      <c r="R222" s="217"/>
      <c r="S222" s="172">
        <f t="shared" si="611"/>
        <v>1962.2105913858841</v>
      </c>
      <c r="T222" s="172">
        <f t="shared" si="612"/>
        <v>16.399999999999999</v>
      </c>
      <c r="U222" s="217">
        <f t="shared" si="613"/>
        <v>0.17611800547157846</v>
      </c>
      <c r="V222" s="217">
        <f t="shared" si="614"/>
        <v>5.8759757400104196E-2</v>
      </c>
      <c r="W222" s="217">
        <f t="shared" si="615"/>
        <v>0.12565078256483234</v>
      </c>
      <c r="X222" s="197">
        <f t="shared" si="616"/>
        <v>350</v>
      </c>
      <c r="Y222" s="443">
        <f t="shared" si="680"/>
        <v>350</v>
      </c>
      <c r="AA222" s="217">
        <f t="shared" si="617"/>
        <v>2.7286634562376069</v>
      </c>
      <c r="AB222" s="173">
        <f t="shared" si="618"/>
        <v>1.9467555160772319</v>
      </c>
      <c r="AC222" s="173">
        <f t="shared" si="619"/>
        <v>0.92960711111606187</v>
      </c>
      <c r="AD222" s="173"/>
      <c r="AE222" s="173">
        <f t="shared" si="620"/>
        <v>0.95126206036977945</v>
      </c>
      <c r="AF222" s="545">
        <f t="shared" si="621"/>
        <v>94.611152646006644</v>
      </c>
      <c r="AG222" s="528">
        <f t="shared" si="622"/>
        <v>0.22196114741961523</v>
      </c>
      <c r="AI222" s="173">
        <f t="shared" si="623"/>
        <v>0.69322765731655955</v>
      </c>
      <c r="AJ222" s="173">
        <f t="shared" si="624"/>
        <v>1.3333333333333335</v>
      </c>
      <c r="AK222" s="173">
        <f t="shared" si="625"/>
        <v>1.0540635157977181</v>
      </c>
      <c r="AM222" s="545">
        <f t="shared" si="626"/>
        <v>60</v>
      </c>
      <c r="AN222" s="460">
        <f t="shared" si="627"/>
        <v>94.611152646006644</v>
      </c>
      <c r="AP222">
        <f t="shared" si="628"/>
        <v>60</v>
      </c>
      <c r="AQ222">
        <f t="shared" si="629"/>
        <v>94.611152646006644</v>
      </c>
      <c r="AS222" s="5">
        <f t="shared" si="600"/>
        <v>10.569578448553106</v>
      </c>
      <c r="AT222" s="5">
        <f t="shared" si="630"/>
        <v>0.44485141079332907</v>
      </c>
      <c r="AU222" s="5">
        <f t="shared" si="478"/>
        <v>10.124727037759776</v>
      </c>
      <c r="AV222" s="5"/>
      <c r="AW222" s="173">
        <f t="shared" si="479"/>
        <v>4.2087904731359066E-2</v>
      </c>
      <c r="AX222" s="173">
        <f t="shared" si="631"/>
        <v>1.0091856282240712</v>
      </c>
      <c r="AY222" s="173">
        <f t="shared" si="632"/>
        <v>0.63860806351242738</v>
      </c>
      <c r="AZ222" s="173">
        <f t="shared" si="633"/>
        <v>1.5802895169744946</v>
      </c>
      <c r="BA222" s="460">
        <f t="shared" si="594"/>
        <v>0.16275051614390093</v>
      </c>
      <c r="BB222" s="5">
        <f t="shared" si="595"/>
        <v>0.23082995421554589</v>
      </c>
      <c r="BD222" s="173">
        <f t="shared" si="681"/>
        <v>0.15792713693835558</v>
      </c>
      <c r="BE222" s="173">
        <f t="shared" si="682"/>
        <v>0.7534265803720005</v>
      </c>
      <c r="BG222" s="528">
        <f t="shared" si="683"/>
        <v>4.988196116309223E-4</v>
      </c>
      <c r="BH222" s="528">
        <f t="shared" si="634"/>
        <v>0.12485556214470407</v>
      </c>
      <c r="BI222" s="528">
        <f t="shared" si="635"/>
        <v>8.5072139011344167E-2</v>
      </c>
      <c r="BJ222" s="528">
        <f t="shared" si="684"/>
        <v>2.6362915512587671E-2</v>
      </c>
      <c r="BK222">
        <f t="shared" si="685"/>
        <v>1.6185179647199111E-2</v>
      </c>
      <c r="BL222" s="460">
        <f t="shared" si="686"/>
        <v>101.25731865854327</v>
      </c>
      <c r="BM222" s="528">
        <f t="shared" si="636"/>
        <v>0.1518699781239681</v>
      </c>
      <c r="BN222" s="460">
        <f t="shared" si="687"/>
        <v>151.86997812396811</v>
      </c>
      <c r="BO222" s="528">
        <f t="shared" si="637"/>
        <v>4.1999999999999996E-2</v>
      </c>
      <c r="BR222" s="460">
        <f t="shared" si="688"/>
        <v>41.999999999999993</v>
      </c>
      <c r="BS222" s="528">
        <f t="shared" si="689"/>
        <v>7.4822941744638344E-4</v>
      </c>
      <c r="BT222" s="528">
        <f t="shared" si="690"/>
        <v>1.7029548360331395E-2</v>
      </c>
      <c r="BU222" s="528">
        <f t="shared" si="691"/>
        <v>8.9366074118118356E-3</v>
      </c>
      <c r="BV222" s="528"/>
      <c r="BW222" s="528">
        <f t="shared" si="692"/>
        <v>8.4098802352005925E-4</v>
      </c>
      <c r="BX222" s="460">
        <f t="shared" si="693"/>
        <v>27.555373213109672</v>
      </c>
      <c r="BY222" s="173">
        <f t="shared" si="694"/>
        <v>0.32252998914057562</v>
      </c>
      <c r="BZ222" s="5">
        <f t="shared" si="695"/>
        <v>0.98399999999999987</v>
      </c>
      <c r="CA222" s="173">
        <f t="shared" si="696"/>
        <v>0.75314000304521667</v>
      </c>
      <c r="CB222" s="5">
        <f t="shared" si="697"/>
        <v>75.31400030452167</v>
      </c>
      <c r="CE222" s="562">
        <f t="shared" si="638"/>
        <v>-50</v>
      </c>
      <c r="CF222">
        <f t="shared" si="639"/>
        <v>-50</v>
      </c>
      <c r="CG222" s="173">
        <f t="shared" si="640"/>
        <v>9.1090948922545281E-2</v>
      </c>
      <c r="CI222" s="170">
        <v>6</v>
      </c>
      <c r="CJ222" s="217">
        <f t="shared" si="698"/>
        <v>0.06</v>
      </c>
      <c r="CK222" s="217"/>
      <c r="CL222" s="217">
        <f t="shared" si="641"/>
        <v>0.98399999999999987</v>
      </c>
      <c r="CM222" s="541">
        <f t="shared" si="642"/>
        <v>36</v>
      </c>
      <c r="CN222" s="443">
        <f t="shared" si="643"/>
        <v>16.799999999999997</v>
      </c>
      <c r="CO222" s="443">
        <f t="shared" si="644"/>
        <v>52.8</v>
      </c>
      <c r="CP222" s="443"/>
      <c r="CQ222" s="217">
        <f t="shared" si="645"/>
        <v>0.31818181818181812</v>
      </c>
      <c r="CR222" s="172">
        <f t="shared" si="646"/>
        <v>38.697272727272725</v>
      </c>
      <c r="CS222" s="172">
        <f t="shared" si="647"/>
        <v>0.98399999999999987</v>
      </c>
      <c r="CT222" s="217">
        <f t="shared" si="648"/>
        <v>2.3595898004434592</v>
      </c>
      <c r="CU222" s="217">
        <f t="shared" si="649"/>
        <v>16.399999999999999</v>
      </c>
      <c r="CV222" s="217"/>
      <c r="CW222" s="172">
        <f t="shared" si="650"/>
        <v>1964.0073304552354</v>
      </c>
      <c r="CX222" s="172">
        <f t="shared" si="651"/>
        <v>16.399999999999999</v>
      </c>
      <c r="CY222" s="217">
        <f t="shared" si="652"/>
        <v>0.1718095238095238</v>
      </c>
      <c r="CZ222" s="217">
        <f t="shared" si="653"/>
        <v>5.7269841269841269E-2</v>
      </c>
      <c r="DA222" s="217">
        <f t="shared" si="654"/>
        <v>0.12272108843537417</v>
      </c>
      <c r="DB222" s="197">
        <f t="shared" si="655"/>
        <v>350</v>
      </c>
      <c r="DC222" s="443">
        <f t="shared" si="656"/>
        <v>350</v>
      </c>
      <c r="DE222" s="217">
        <f t="shared" si="657"/>
        <v>2.7272727272727271</v>
      </c>
      <c r="DF222" s="173">
        <f t="shared" si="658"/>
        <v>1.9480519480519483</v>
      </c>
      <c r="DG222" s="173">
        <f t="shared" si="659"/>
        <v>0.92975206611570249</v>
      </c>
      <c r="DH222" s="173"/>
      <c r="DI222" s="173">
        <f t="shared" si="660"/>
        <v>0.95238095238095266</v>
      </c>
      <c r="DJ222" s="545">
        <f t="shared" si="661"/>
        <v>94.499999999999957</v>
      </c>
      <c r="DK222" s="528">
        <f t="shared" si="662"/>
        <v>0.22222222222222232</v>
      </c>
      <c r="DM222" s="173">
        <f t="shared" si="663"/>
        <v>0.69282032302755081</v>
      </c>
      <c r="DN222" s="173">
        <f t="shared" si="664"/>
        <v>1.3333333333333335</v>
      </c>
      <c r="DO222" s="173">
        <f t="shared" si="665"/>
        <v>1.054</v>
      </c>
      <c r="DQ222" s="545">
        <f t="shared" si="666"/>
        <v>60</v>
      </c>
      <c r="DR222" s="460">
        <f t="shared" si="667"/>
        <v>94.499999999999957</v>
      </c>
      <c r="DT222">
        <f t="shared" si="668"/>
        <v>60</v>
      </c>
      <c r="DU222">
        <f t="shared" si="669"/>
        <v>94.499999999999957</v>
      </c>
      <c r="DW222" s="5">
        <f t="shared" si="670"/>
        <v>10.582010582010586</v>
      </c>
      <c r="DX222" s="5">
        <f t="shared" si="671"/>
        <v>0.44444444444444453</v>
      </c>
      <c r="DY222" s="5">
        <f t="shared" si="672"/>
        <v>10.137566137566141</v>
      </c>
      <c r="DZ222" s="5"/>
      <c r="EA222" s="173">
        <f t="shared" si="673"/>
        <v>4.1999999999999996E-2</v>
      </c>
      <c r="EB222" s="173">
        <f t="shared" si="699"/>
        <v>1.0079999999999998</v>
      </c>
      <c r="EC222" s="173">
        <f t="shared" si="700"/>
        <v>0.63866666666666672</v>
      </c>
      <c r="ED222" s="173">
        <f t="shared" si="701"/>
        <v>1.5782881002087679</v>
      </c>
      <c r="EE222" s="460">
        <f t="shared" si="674"/>
        <v>0.16260162601626021</v>
      </c>
      <c r="EF222" s="5">
        <f t="shared" si="675"/>
        <v>0.23091122868900649</v>
      </c>
      <c r="EH222" s="173">
        <f t="shared" si="702"/>
        <v>0.15776212754932309</v>
      </c>
      <c r="EI222" s="173">
        <f t="shared" si="703"/>
        <v>0.75346114943220777</v>
      </c>
      <c r="EK222" s="528">
        <f t="shared" si="704"/>
        <v>4.9777777777777776E-4</v>
      </c>
      <c r="EL222" s="528">
        <f t="shared" si="705"/>
        <v>0.13305599999999995</v>
      </c>
      <c r="EM222" s="528">
        <f t="shared" si="706"/>
        <v>1.1812499999999995E-2</v>
      </c>
      <c r="EN222" s="528">
        <f t="shared" si="707"/>
        <v>2.6345087999999982E-2</v>
      </c>
      <c r="EO222">
        <f t="shared" si="708"/>
        <v>1.6199999999999999E-2</v>
      </c>
      <c r="EP222" s="460">
        <f t="shared" si="709"/>
        <v>28.012499999999996</v>
      </c>
      <c r="EQ222" s="460"/>
      <c r="ER222" s="460">
        <f t="shared" si="710"/>
        <v>187.91136577777772</v>
      </c>
      <c r="ES222" s="528">
        <f t="shared" si="711"/>
        <v>4.1999999999999996E-2</v>
      </c>
      <c r="EV222" s="460">
        <f t="shared" si="712"/>
        <v>41.999999999999993</v>
      </c>
      <c r="EW222" s="528">
        <f t="shared" si="713"/>
        <v>7.4666666666666664E-4</v>
      </c>
      <c r="EX222" s="528">
        <f t="shared" si="714"/>
        <v>1.7031111111111111E-2</v>
      </c>
      <c r="EY222" s="528">
        <f t="shared" si="715"/>
        <v>8.9103829008634512E-3</v>
      </c>
      <c r="EZ222" s="528"/>
      <c r="FA222" s="528">
        <f t="shared" si="716"/>
        <v>8.3999999999999982E-4</v>
      </c>
      <c r="FB222" s="460">
        <f t="shared" si="717"/>
        <v>27.528160678641228</v>
      </c>
      <c r="FC222" s="173">
        <f t="shared" si="718"/>
        <v>0.25743952645641893</v>
      </c>
      <c r="FD222" s="5">
        <f t="shared" si="719"/>
        <v>0.98399999999999987</v>
      </c>
      <c r="FE222" s="173">
        <f t="shared" si="720"/>
        <v>0.7926282183142197</v>
      </c>
      <c r="FF222" s="5">
        <f t="shared" si="721"/>
        <v>79.262821831421974</v>
      </c>
      <c r="FI222" s="562">
        <f t="shared" si="676"/>
        <v>-50</v>
      </c>
      <c r="FJ222">
        <f t="shared" si="677"/>
        <v>-50</v>
      </c>
      <c r="FL222">
        <f t="shared" si="678"/>
        <v>8.9999999999999983E-2</v>
      </c>
    </row>
    <row r="223" spans="5:168">
      <c r="E223" s="170">
        <v>7</v>
      </c>
      <c r="F223" s="217">
        <f t="shared" si="679"/>
        <v>7.0000000000000007E-2</v>
      </c>
      <c r="G223" s="217"/>
      <c r="H223" s="217">
        <f t="shared" si="603"/>
        <v>1.1479999999999999</v>
      </c>
      <c r="I223" s="541">
        <f t="shared" si="604"/>
        <v>35.967065882664691</v>
      </c>
      <c r="J223" s="172">
        <f t="shared" si="605"/>
        <v>16.819760470401185</v>
      </c>
      <c r="K223" s="172">
        <f t="shared" si="606"/>
        <v>52.786826353065877</v>
      </c>
      <c r="L223" s="443"/>
      <c r="M223" s="217">
        <f t="shared" si="607"/>
        <v>0.3186386611710445</v>
      </c>
      <c r="N223" s="172">
        <f t="shared" si="608"/>
        <v>38.717381461036403</v>
      </c>
      <c r="O223" s="172">
        <f t="shared" si="599"/>
        <v>1.1479999999999999</v>
      </c>
      <c r="P223" s="217">
        <f t="shared" si="609"/>
        <v>2.3608159427461222</v>
      </c>
      <c r="Q223" s="217">
        <f t="shared" si="610"/>
        <v>16.399999999999999</v>
      </c>
      <c r="R223" s="217"/>
      <c r="S223" s="172">
        <f t="shared" si="611"/>
        <v>1676.758935194983</v>
      </c>
      <c r="T223" s="172">
        <f t="shared" si="612"/>
        <v>16.399999999999999</v>
      </c>
      <c r="U223" s="217">
        <f t="shared" si="613"/>
        <v>0.20547100638350818</v>
      </c>
      <c r="V223" s="217">
        <f t="shared" si="614"/>
        <v>6.8553050300121543E-2</v>
      </c>
      <c r="W223" s="217">
        <f t="shared" si="615"/>
        <v>0.14659257965897107</v>
      </c>
      <c r="X223" s="197">
        <f t="shared" si="616"/>
        <v>350</v>
      </c>
      <c r="Y223" s="443">
        <f t="shared" si="680"/>
        <v>350</v>
      </c>
      <c r="AA223" s="217">
        <f t="shared" si="617"/>
        <v>2.7286634562376069</v>
      </c>
      <c r="AB223" s="173">
        <f t="shared" si="618"/>
        <v>1.9467555160772319</v>
      </c>
      <c r="AC223" s="173">
        <f t="shared" si="619"/>
        <v>0.92960711111606187</v>
      </c>
      <c r="AD223" s="173"/>
      <c r="AE223" s="173">
        <f t="shared" si="620"/>
        <v>0.95126206036977945</v>
      </c>
      <c r="AF223" s="545">
        <f t="shared" si="621"/>
        <v>110.37967808700776</v>
      </c>
      <c r="AG223" s="528">
        <f t="shared" si="622"/>
        <v>0.22196114741961523</v>
      </c>
      <c r="AI223" s="173">
        <f t="shared" si="623"/>
        <v>0.74877144867222756</v>
      </c>
      <c r="AJ223" s="173">
        <f t="shared" si="624"/>
        <v>1.3333333333333335</v>
      </c>
      <c r="AK223" s="173">
        <f t="shared" si="625"/>
        <v>1.0630741017640044</v>
      </c>
      <c r="AM223" s="545">
        <f t="shared" si="626"/>
        <v>70</v>
      </c>
      <c r="AN223" s="460">
        <f t="shared" si="627"/>
        <v>110.37967808700776</v>
      </c>
      <c r="AP223">
        <f t="shared" si="628"/>
        <v>70</v>
      </c>
      <c r="AQ223">
        <f t="shared" si="629"/>
        <v>110.37967808700776</v>
      </c>
      <c r="AS223" s="5">
        <f t="shared" si="600"/>
        <v>9.0596386701883755</v>
      </c>
      <c r="AT223" s="5">
        <f t="shared" si="630"/>
        <v>0.44485141079332907</v>
      </c>
      <c r="AU223" s="5">
        <f t="shared" si="478"/>
        <v>8.6147872593950456</v>
      </c>
      <c r="AV223" s="5"/>
      <c r="AW223" s="173">
        <f t="shared" si="479"/>
        <v>4.9102555519918913E-2</v>
      </c>
      <c r="AX223" s="173">
        <f t="shared" si="631"/>
        <v>1.1773832329280831</v>
      </c>
      <c r="AY223" s="173">
        <f t="shared" si="632"/>
        <v>0.63393162965338745</v>
      </c>
      <c r="AZ223" s="173">
        <f t="shared" si="633"/>
        <v>1.8572716328602137</v>
      </c>
      <c r="BA223" s="460">
        <f t="shared" si="594"/>
        <v>0.18987560216788441</v>
      </c>
      <c r="BB223" s="5">
        <f t="shared" si="595"/>
        <v>0.2291396200728214</v>
      </c>
      <c r="BD223" s="173">
        <f t="shared" si="681"/>
        <v>0.17058080395657207</v>
      </c>
      <c r="BE223" s="173">
        <f t="shared" si="682"/>
        <v>0.75066289498956995</v>
      </c>
      <c r="BG223" s="528">
        <f t="shared" si="683"/>
        <v>5.8195621356940956E-4</v>
      </c>
      <c r="BH223" s="528">
        <f t="shared" si="634"/>
        <v>0.14566482250215476</v>
      </c>
      <c r="BI223" s="528">
        <f t="shared" si="635"/>
        <v>9.9250828846568204E-2</v>
      </c>
      <c r="BJ223" s="528">
        <f t="shared" si="684"/>
        <v>3.0756734764685621E-2</v>
      </c>
      <c r="BK223">
        <f t="shared" si="685"/>
        <v>1.6185179647199111E-2</v>
      </c>
      <c r="BL223" s="460">
        <f t="shared" si="686"/>
        <v>115.43600849376732</v>
      </c>
      <c r="BM223" s="528">
        <f t="shared" si="636"/>
        <v>0.17718514154306533</v>
      </c>
      <c r="BN223" s="460">
        <f t="shared" si="687"/>
        <v>177.18514154306533</v>
      </c>
      <c r="BO223" s="528">
        <f t="shared" si="637"/>
        <v>4.9000000000000002E-2</v>
      </c>
      <c r="BR223" s="460">
        <f t="shared" si="688"/>
        <v>49</v>
      </c>
      <c r="BS223" s="528">
        <f t="shared" si="689"/>
        <v>8.7293432035411424E-4</v>
      </c>
      <c r="BT223" s="528">
        <f t="shared" si="690"/>
        <v>1.6904843457423664E-2</v>
      </c>
      <c r="BU223" s="528">
        <f t="shared" si="691"/>
        <v>1.3138314502831894E-2</v>
      </c>
      <c r="BV223" s="528"/>
      <c r="BW223" s="528">
        <f t="shared" si="692"/>
        <v>9.8115269410673574E-4</v>
      </c>
      <c r="BX223" s="460">
        <f t="shared" si="693"/>
        <v>31.897244974716411</v>
      </c>
      <c r="BY223" s="173">
        <f t="shared" si="694"/>
        <v>0.37333676694889351</v>
      </c>
      <c r="BZ223" s="5">
        <f t="shared" si="695"/>
        <v>1.1479999999999999</v>
      </c>
      <c r="CA223" s="173">
        <f t="shared" si="696"/>
        <v>0.75459952387949147</v>
      </c>
      <c r="CB223" s="5">
        <f t="shared" si="697"/>
        <v>75.459952387949144</v>
      </c>
      <c r="CE223" s="562">
        <f t="shared" si="638"/>
        <v>-50</v>
      </c>
      <c r="CF223">
        <f t="shared" si="639"/>
        <v>-50</v>
      </c>
      <c r="CG223" s="173">
        <f t="shared" si="640"/>
        <v>0.10627277374296951</v>
      </c>
      <c r="CI223" s="170">
        <v>7</v>
      </c>
      <c r="CJ223" s="217">
        <f t="shared" si="698"/>
        <v>7.0000000000000007E-2</v>
      </c>
      <c r="CK223" s="217"/>
      <c r="CL223" s="217">
        <f t="shared" si="641"/>
        <v>1.1479999999999999</v>
      </c>
      <c r="CM223" s="541">
        <f t="shared" si="642"/>
        <v>36</v>
      </c>
      <c r="CN223" s="443">
        <f t="shared" si="643"/>
        <v>16.799999999999997</v>
      </c>
      <c r="CO223" s="443">
        <f t="shared" si="644"/>
        <v>52.8</v>
      </c>
      <c r="CP223" s="443"/>
      <c r="CQ223" s="217">
        <f t="shared" si="645"/>
        <v>0.31818181818181812</v>
      </c>
      <c r="CR223" s="172">
        <f t="shared" si="646"/>
        <v>38.697272727272725</v>
      </c>
      <c r="CS223" s="172">
        <f t="shared" si="647"/>
        <v>1.1479999999999999</v>
      </c>
      <c r="CT223" s="217">
        <f t="shared" si="648"/>
        <v>2.3595898004434592</v>
      </c>
      <c r="CU223" s="217">
        <f t="shared" si="649"/>
        <v>16.399999999999999</v>
      </c>
      <c r="CV223" s="217"/>
      <c r="CW223" s="172">
        <f t="shared" si="650"/>
        <v>1678.2942923812409</v>
      </c>
      <c r="CX223" s="172">
        <f t="shared" si="651"/>
        <v>16.399999999999999</v>
      </c>
      <c r="CY223" s="217">
        <f t="shared" si="652"/>
        <v>0.20044444444444445</v>
      </c>
      <c r="CZ223" s="217">
        <f t="shared" si="653"/>
        <v>6.6814814814814827E-2</v>
      </c>
      <c r="DA223" s="217">
        <f t="shared" si="654"/>
        <v>0.1431746031746032</v>
      </c>
      <c r="DB223" s="197">
        <f t="shared" si="655"/>
        <v>350</v>
      </c>
      <c r="DC223" s="443">
        <f t="shared" si="656"/>
        <v>350</v>
      </c>
      <c r="DE223" s="217">
        <f t="shared" si="657"/>
        <v>2.7272727272727271</v>
      </c>
      <c r="DF223" s="173">
        <f t="shared" si="658"/>
        <v>1.9480519480519483</v>
      </c>
      <c r="DG223" s="173">
        <f t="shared" si="659"/>
        <v>0.92975206611570249</v>
      </c>
      <c r="DH223" s="173"/>
      <c r="DI223" s="173">
        <f t="shared" si="660"/>
        <v>0.95238095238095266</v>
      </c>
      <c r="DJ223" s="545">
        <f t="shared" si="661"/>
        <v>110.24999999999997</v>
      </c>
      <c r="DK223" s="528">
        <f t="shared" si="662"/>
        <v>0.22222222222222232</v>
      </c>
      <c r="DM223" s="173">
        <f t="shared" si="663"/>
        <v>0.74833147735478822</v>
      </c>
      <c r="DN223" s="173">
        <f t="shared" si="664"/>
        <v>1.3333333333333335</v>
      </c>
      <c r="DO223" s="173">
        <f t="shared" si="665"/>
        <v>1.0629999999999999</v>
      </c>
      <c r="DQ223" s="545">
        <f t="shared" si="666"/>
        <v>70</v>
      </c>
      <c r="DR223" s="460">
        <f t="shared" si="667"/>
        <v>110.24999999999997</v>
      </c>
      <c r="DT223">
        <f t="shared" si="668"/>
        <v>70</v>
      </c>
      <c r="DU223">
        <f t="shared" si="669"/>
        <v>110.24999999999997</v>
      </c>
      <c r="DW223" s="5">
        <f t="shared" si="670"/>
        <v>9.0702947845805006</v>
      </c>
      <c r="DX223" s="5">
        <f t="shared" si="671"/>
        <v>0.44444444444444453</v>
      </c>
      <c r="DY223" s="5">
        <f t="shared" si="672"/>
        <v>8.625850340136056</v>
      </c>
      <c r="DZ223" s="5"/>
      <c r="EA223" s="173">
        <f t="shared" si="673"/>
        <v>4.9000000000000002E-2</v>
      </c>
      <c r="EB223" s="173">
        <f t="shared" si="699"/>
        <v>1.1759999999999999</v>
      </c>
      <c r="EC223" s="173">
        <f t="shared" si="700"/>
        <v>0.63400000000000001</v>
      </c>
      <c r="ED223" s="173">
        <f t="shared" si="701"/>
        <v>1.8548895899053626</v>
      </c>
      <c r="EE223" s="460">
        <f t="shared" si="674"/>
        <v>0.18970189701897028</v>
      </c>
      <c r="EF223" s="5">
        <f t="shared" si="675"/>
        <v>0.22922398589065252</v>
      </c>
      <c r="EH223" s="173">
        <f t="shared" si="702"/>
        <v>0.17040257344605172</v>
      </c>
      <c r="EI223" s="173">
        <f t="shared" si="703"/>
        <v>0.75070337388049324</v>
      </c>
      <c r="EK223" s="528">
        <f t="shared" si="704"/>
        <v>5.8074074074074104E-4</v>
      </c>
      <c r="EL223" s="528">
        <f t="shared" si="705"/>
        <v>0.15523199999999995</v>
      </c>
      <c r="EM223" s="528">
        <f t="shared" si="706"/>
        <v>1.3781249999999997E-2</v>
      </c>
      <c r="EN223" s="528">
        <f t="shared" si="707"/>
        <v>3.0735935999999991E-2</v>
      </c>
      <c r="EO223">
        <f t="shared" si="708"/>
        <v>1.6199999999999999E-2</v>
      </c>
      <c r="EP223" s="460">
        <f t="shared" si="709"/>
        <v>29.981249999999996</v>
      </c>
      <c r="EQ223" s="460"/>
      <c r="ER223" s="460">
        <f t="shared" si="710"/>
        <v>216.52992674074068</v>
      </c>
      <c r="ES223" s="528">
        <f t="shared" si="711"/>
        <v>4.9000000000000002E-2</v>
      </c>
      <c r="EV223" s="460">
        <f t="shared" si="712"/>
        <v>49</v>
      </c>
      <c r="EW223" s="528">
        <f t="shared" si="713"/>
        <v>8.7111111111111156E-4</v>
      </c>
      <c r="EX223" s="528">
        <f t="shared" si="714"/>
        <v>1.6906666666666667E-2</v>
      </c>
      <c r="EY223" s="528">
        <f t="shared" si="715"/>
        <v>1.3099760065264546E-2</v>
      </c>
      <c r="EZ223" s="528"/>
      <c r="FA223" s="528">
        <f t="shared" si="716"/>
        <v>9.7999999999999997E-4</v>
      </c>
      <c r="FB223" s="460">
        <f t="shared" si="717"/>
        <v>31.857537843042323</v>
      </c>
      <c r="FC223" s="173">
        <f t="shared" si="718"/>
        <v>0.29738746458378296</v>
      </c>
      <c r="FD223" s="5">
        <f t="shared" si="719"/>
        <v>1.1479999999999999</v>
      </c>
      <c r="FE223" s="173">
        <f t="shared" si="720"/>
        <v>0.79425069618310318</v>
      </c>
      <c r="FF223" s="5">
        <f t="shared" si="721"/>
        <v>79.425069618310317</v>
      </c>
      <c r="FI223" s="562">
        <f t="shared" si="676"/>
        <v>-50</v>
      </c>
      <c r="FJ223">
        <f t="shared" si="677"/>
        <v>-50</v>
      </c>
      <c r="FL223">
        <f t="shared" si="678"/>
        <v>0.10500000000000001</v>
      </c>
    </row>
    <row r="224" spans="5:168">
      <c r="E224" s="170">
        <v>8</v>
      </c>
      <c r="F224" s="217">
        <f t="shared" si="679"/>
        <v>0.08</v>
      </c>
      <c r="G224" s="217"/>
      <c r="H224" s="217">
        <f t="shared" si="603"/>
        <v>1.3119999999999998</v>
      </c>
      <c r="I224" s="541">
        <f t="shared" si="604"/>
        <v>35.967065882664691</v>
      </c>
      <c r="J224" s="172">
        <f t="shared" si="605"/>
        <v>16.819760470401185</v>
      </c>
      <c r="K224" s="172">
        <f t="shared" si="606"/>
        <v>52.786826353065877</v>
      </c>
      <c r="L224" s="443"/>
      <c r="M224" s="217">
        <f t="shared" si="607"/>
        <v>0.3186386611710445</v>
      </c>
      <c r="N224" s="172">
        <f t="shared" si="608"/>
        <v>38.717381461036403</v>
      </c>
      <c r="O224" s="172">
        <f t="shared" si="599"/>
        <v>1.3119999999999998</v>
      </c>
      <c r="P224" s="217">
        <f t="shared" si="609"/>
        <v>2.3608159427461222</v>
      </c>
      <c r="Q224" s="217">
        <f t="shared" si="610"/>
        <v>16.399999999999999</v>
      </c>
      <c r="R224" s="217"/>
      <c r="S224" s="172">
        <f t="shared" si="611"/>
        <v>1462.6705125386727</v>
      </c>
      <c r="T224" s="172">
        <f t="shared" si="612"/>
        <v>16.399999999999999</v>
      </c>
      <c r="U224" s="217">
        <f t="shared" si="613"/>
        <v>0.2348240072954379</v>
      </c>
      <c r="V224" s="217">
        <f t="shared" si="614"/>
        <v>7.8346343200138904E-2</v>
      </c>
      <c r="W224" s="217">
        <f t="shared" si="615"/>
        <v>0.16753437675310975</v>
      </c>
      <c r="X224" s="197">
        <f t="shared" si="616"/>
        <v>350</v>
      </c>
      <c r="Y224" s="443">
        <f t="shared" si="680"/>
        <v>350</v>
      </c>
      <c r="AA224" s="217">
        <f t="shared" si="617"/>
        <v>2.7286634562376069</v>
      </c>
      <c r="AB224" s="173">
        <f t="shared" si="618"/>
        <v>1.9467555160772319</v>
      </c>
      <c r="AC224" s="173">
        <f t="shared" si="619"/>
        <v>0.92960711111606187</v>
      </c>
      <c r="AD224" s="173"/>
      <c r="AE224" s="173">
        <f t="shared" si="620"/>
        <v>0.95126206036977945</v>
      </c>
      <c r="AF224" s="545">
        <f t="shared" si="621"/>
        <v>126.14820352800886</v>
      </c>
      <c r="AG224" s="528">
        <f t="shared" si="622"/>
        <v>0.22196114741961523</v>
      </c>
      <c r="AI224" s="173">
        <f t="shared" si="623"/>
        <v>0.80047034912281867</v>
      </c>
      <c r="AJ224" s="173">
        <f t="shared" si="624"/>
        <v>1.3333333333333335</v>
      </c>
      <c r="AK224" s="173">
        <f t="shared" si="625"/>
        <v>1.0720846877302908</v>
      </c>
      <c r="AM224" s="545">
        <f t="shared" si="626"/>
        <v>80</v>
      </c>
      <c r="AN224" s="460">
        <f t="shared" si="627"/>
        <v>126.14820352800886</v>
      </c>
      <c r="AP224">
        <f t="shared" si="628"/>
        <v>80</v>
      </c>
      <c r="AQ224">
        <f t="shared" si="629"/>
        <v>126.14820352800886</v>
      </c>
      <c r="AS224" s="5">
        <f t="shared" si="600"/>
        <v>7.9271838364148293</v>
      </c>
      <c r="AT224" s="5">
        <f t="shared" si="630"/>
        <v>0.44485141079332907</v>
      </c>
      <c r="AU224" s="5">
        <f t="shared" si="478"/>
        <v>7.4823324256215002</v>
      </c>
      <c r="AV224" s="5"/>
      <c r="AW224" s="173">
        <f t="shared" si="479"/>
        <v>5.6117206308478752E-2</v>
      </c>
      <c r="AX224" s="173">
        <f t="shared" si="631"/>
        <v>1.3455808376320948</v>
      </c>
      <c r="AY224" s="173">
        <f t="shared" si="632"/>
        <v>0.62925519579434763</v>
      </c>
      <c r="AZ224" s="173">
        <f t="shared" si="633"/>
        <v>2.1383706429844973</v>
      </c>
      <c r="BA224" s="460">
        <f t="shared" si="594"/>
        <v>0.21700068819186788</v>
      </c>
      <c r="BB224" s="5">
        <f t="shared" si="595"/>
        <v>0.227449285930097</v>
      </c>
      <c r="BD224" s="173">
        <f t="shared" si="681"/>
        <v>0.182358550047413</v>
      </c>
      <c r="BE224" s="173">
        <f t="shared" si="682"/>
        <v>0.74788899698899025</v>
      </c>
      <c r="BG224" s="528">
        <f t="shared" si="683"/>
        <v>6.6509281550789672E-4</v>
      </c>
      <c r="BH224" s="528">
        <f t="shared" si="634"/>
        <v>0.16647408285960541</v>
      </c>
      <c r="BI224" s="528">
        <f t="shared" si="635"/>
        <v>0.11342951868179221</v>
      </c>
      <c r="BJ224" s="528">
        <f t="shared" si="684"/>
        <v>3.5150554016783568E-2</v>
      </c>
      <c r="BK224">
        <f t="shared" si="685"/>
        <v>1.6185179647199111E-2</v>
      </c>
      <c r="BL224" s="460">
        <f t="shared" si="686"/>
        <v>129.61469832899132</v>
      </c>
      <c r="BM224" s="528">
        <f t="shared" si="636"/>
        <v>0.20250130523407037</v>
      </c>
      <c r="BN224" s="460">
        <f t="shared" si="687"/>
        <v>202.50130523407037</v>
      </c>
      <c r="BO224" s="528">
        <f t="shared" si="637"/>
        <v>5.5999999999999994E-2</v>
      </c>
      <c r="BR224" s="460">
        <f t="shared" si="688"/>
        <v>55.999999999999993</v>
      </c>
      <c r="BS224" s="528">
        <f t="shared" si="689"/>
        <v>9.9763922326184503E-4</v>
      </c>
      <c r="BT224" s="528">
        <f t="shared" si="690"/>
        <v>1.6780138554515937E-2</v>
      </c>
      <c r="BU224" s="528">
        <f t="shared" si="691"/>
        <v>1.8345076248361115E-2</v>
      </c>
      <c r="BV224" s="528"/>
      <c r="BW224" s="528">
        <f t="shared" si="692"/>
        <v>1.1213173646934123E-3</v>
      </c>
      <c r="BX224" s="460">
        <f t="shared" si="693"/>
        <v>37.244171390832307</v>
      </c>
      <c r="BY224" s="173">
        <f t="shared" si="694"/>
        <v>0.42514859941172051</v>
      </c>
      <c r="BZ224" s="5">
        <f t="shared" si="695"/>
        <v>1.3119999999999998</v>
      </c>
      <c r="CA224" s="173">
        <f t="shared" si="696"/>
        <v>0.75526066131838365</v>
      </c>
      <c r="CB224" s="5">
        <f t="shared" si="697"/>
        <v>75.526066131838363</v>
      </c>
      <c r="CE224" s="562">
        <f t="shared" si="638"/>
        <v>-50</v>
      </c>
      <c r="CF224">
        <f t="shared" si="639"/>
        <v>-50</v>
      </c>
      <c r="CG224" s="173">
        <f t="shared" si="640"/>
        <v>0.12145459856339372</v>
      </c>
      <c r="CI224" s="170">
        <v>8</v>
      </c>
      <c r="CJ224" s="217">
        <f t="shared" si="698"/>
        <v>0.08</v>
      </c>
      <c r="CK224" s="217"/>
      <c r="CL224" s="217">
        <f t="shared" si="641"/>
        <v>1.3119999999999998</v>
      </c>
      <c r="CM224" s="541">
        <f t="shared" si="642"/>
        <v>36</v>
      </c>
      <c r="CN224" s="443">
        <f t="shared" si="643"/>
        <v>16.799999999999997</v>
      </c>
      <c r="CO224" s="443">
        <f t="shared" si="644"/>
        <v>52.8</v>
      </c>
      <c r="CP224" s="443"/>
      <c r="CQ224" s="217">
        <f t="shared" si="645"/>
        <v>0.31818181818181812</v>
      </c>
      <c r="CR224" s="172">
        <f t="shared" si="646"/>
        <v>38.697272727272725</v>
      </c>
      <c r="CS224" s="172">
        <f t="shared" si="647"/>
        <v>1.3119999999999998</v>
      </c>
      <c r="CT224" s="217">
        <f t="shared" si="648"/>
        <v>2.3595898004434592</v>
      </c>
      <c r="CU224" s="217">
        <f t="shared" si="649"/>
        <v>16.399999999999999</v>
      </c>
      <c r="CV224" s="217"/>
      <c r="CW224" s="172">
        <f t="shared" si="650"/>
        <v>1464.0098333128285</v>
      </c>
      <c r="CX224" s="172">
        <f t="shared" si="651"/>
        <v>16.399999999999999</v>
      </c>
      <c r="CY224" s="217">
        <f t="shared" si="652"/>
        <v>0.22907936507936508</v>
      </c>
      <c r="CZ224" s="217">
        <f t="shared" si="653"/>
        <v>7.6359788359788364E-2</v>
      </c>
      <c r="DA224" s="217">
        <f t="shared" si="654"/>
        <v>0.16362811791383222</v>
      </c>
      <c r="DB224" s="197">
        <f t="shared" si="655"/>
        <v>350</v>
      </c>
      <c r="DC224" s="443">
        <f t="shared" si="656"/>
        <v>350</v>
      </c>
      <c r="DE224" s="217">
        <f t="shared" si="657"/>
        <v>2.7272727272727271</v>
      </c>
      <c r="DF224" s="173">
        <f t="shared" si="658"/>
        <v>1.9480519480519483</v>
      </c>
      <c r="DG224" s="173">
        <f t="shared" si="659"/>
        <v>0.92975206611570249</v>
      </c>
      <c r="DH224" s="173"/>
      <c r="DI224" s="173">
        <f t="shared" si="660"/>
        <v>0.95238095238095266</v>
      </c>
      <c r="DJ224" s="545">
        <f t="shared" si="661"/>
        <v>125.99999999999996</v>
      </c>
      <c r="DK224" s="528">
        <f t="shared" si="662"/>
        <v>0.22222222222222232</v>
      </c>
      <c r="DM224" s="173">
        <f t="shared" si="663"/>
        <v>0.79999999999999993</v>
      </c>
      <c r="DN224" s="173">
        <f t="shared" si="664"/>
        <v>1.3333333333333335</v>
      </c>
      <c r="DO224" s="173">
        <f t="shared" si="665"/>
        <v>1.0720000000000001</v>
      </c>
      <c r="DQ224" s="545">
        <f t="shared" si="666"/>
        <v>80</v>
      </c>
      <c r="DR224" s="460">
        <f t="shared" si="667"/>
        <v>125.99999999999996</v>
      </c>
      <c r="DT224">
        <f t="shared" si="668"/>
        <v>80</v>
      </c>
      <c r="DU224">
        <f t="shared" si="669"/>
        <v>125.99999999999996</v>
      </c>
      <c r="DW224" s="5">
        <f t="shared" si="670"/>
        <v>7.9365079365079394</v>
      </c>
      <c r="DX224" s="5">
        <f t="shared" si="671"/>
        <v>0.44444444444444453</v>
      </c>
      <c r="DY224" s="5">
        <f t="shared" si="672"/>
        <v>7.4920634920634948</v>
      </c>
      <c r="DZ224" s="5"/>
      <c r="EA224" s="173">
        <f t="shared" si="673"/>
        <v>5.5999999999999987E-2</v>
      </c>
      <c r="EB224" s="173">
        <f t="shared" si="699"/>
        <v>1.3439999999999999</v>
      </c>
      <c r="EC224" s="173">
        <f t="shared" si="700"/>
        <v>0.62933333333333341</v>
      </c>
      <c r="ED224" s="173">
        <f t="shared" si="701"/>
        <v>2.1355932203389827</v>
      </c>
      <c r="EE224" s="460">
        <f t="shared" si="674"/>
        <v>0.21680216802168029</v>
      </c>
      <c r="EF224" s="5">
        <f t="shared" si="675"/>
        <v>0.22753674309229865</v>
      </c>
      <c r="EH224" s="173">
        <f t="shared" si="702"/>
        <v>0.18216801361705953</v>
      </c>
      <c r="EI224" s="173">
        <f t="shared" si="703"/>
        <v>0.74793542997200479</v>
      </c>
      <c r="EK224" s="528">
        <f t="shared" si="704"/>
        <v>6.6370370370370368E-4</v>
      </c>
      <c r="EL224" s="528">
        <f t="shared" si="705"/>
        <v>0.17740799999999995</v>
      </c>
      <c r="EM224" s="528">
        <f t="shared" si="706"/>
        <v>1.5749999999999993E-2</v>
      </c>
      <c r="EN224" s="528">
        <f t="shared" si="707"/>
        <v>3.5126783999999987E-2</v>
      </c>
      <c r="EO224">
        <f t="shared" si="708"/>
        <v>1.6199999999999999E-2</v>
      </c>
      <c r="EP224" s="460">
        <f t="shared" si="709"/>
        <v>31.949999999999992</v>
      </c>
      <c r="EQ224" s="460"/>
      <c r="ER224" s="460">
        <f t="shared" si="710"/>
        <v>245.14848770370361</v>
      </c>
      <c r="ES224" s="528">
        <f t="shared" si="711"/>
        <v>5.5999999999999994E-2</v>
      </c>
      <c r="EV224" s="460">
        <f t="shared" si="712"/>
        <v>55.999999999999993</v>
      </c>
      <c r="EW224" s="528">
        <f t="shared" si="713"/>
        <v>9.9555555555555552E-4</v>
      </c>
      <c r="EX224" s="528">
        <f t="shared" si="714"/>
        <v>1.678222222222223E-2</v>
      </c>
      <c r="EY224" s="528">
        <f t="shared" si="715"/>
        <v>1.8291242547186337E-2</v>
      </c>
      <c r="EZ224" s="528"/>
      <c r="FA224" s="528">
        <f t="shared" si="716"/>
        <v>1.1199999999999999E-3</v>
      </c>
      <c r="FB224" s="460">
        <f t="shared" si="717"/>
        <v>37.189020324964119</v>
      </c>
      <c r="FC224" s="173">
        <f t="shared" si="718"/>
        <v>0.3383375080286678</v>
      </c>
      <c r="FD224" s="5">
        <f t="shared" si="719"/>
        <v>1.3119999999999998</v>
      </c>
      <c r="FE224" s="173">
        <f t="shared" si="720"/>
        <v>0.79498889991731891</v>
      </c>
      <c r="FF224" s="5">
        <f t="shared" si="721"/>
        <v>79.498889991731886</v>
      </c>
      <c r="FI224" s="562">
        <f t="shared" si="676"/>
        <v>-50</v>
      </c>
      <c r="FJ224">
        <f t="shared" si="677"/>
        <v>-50</v>
      </c>
      <c r="FL224">
        <f t="shared" si="678"/>
        <v>0.12</v>
      </c>
    </row>
    <row r="225" spans="5:168">
      <c r="E225" s="170">
        <v>9</v>
      </c>
      <c r="F225" s="217">
        <f t="shared" si="679"/>
        <v>0.09</v>
      </c>
      <c r="G225" s="217"/>
      <c r="H225" s="217">
        <f t="shared" si="603"/>
        <v>1.4759999999999998</v>
      </c>
      <c r="I225" s="541">
        <f t="shared" si="604"/>
        <v>35.967065882664691</v>
      </c>
      <c r="J225" s="172">
        <f t="shared" si="605"/>
        <v>16.819760470401185</v>
      </c>
      <c r="K225" s="172">
        <f t="shared" si="606"/>
        <v>52.786826353065877</v>
      </c>
      <c r="L225" s="443"/>
      <c r="M225" s="217">
        <f t="shared" si="607"/>
        <v>0.3186386611710445</v>
      </c>
      <c r="N225" s="172">
        <f t="shared" si="608"/>
        <v>38.717381461036403</v>
      </c>
      <c r="O225" s="172">
        <f t="shared" si="599"/>
        <v>1.4759999999999998</v>
      </c>
      <c r="P225" s="217">
        <f t="shared" si="609"/>
        <v>2.3608159427461222</v>
      </c>
      <c r="Q225" s="217">
        <f t="shared" si="610"/>
        <v>16.399999999999999</v>
      </c>
      <c r="R225" s="217"/>
      <c r="S225" s="172">
        <f t="shared" si="611"/>
        <v>1296.1575814994633</v>
      </c>
      <c r="T225" s="172">
        <f t="shared" si="612"/>
        <v>16.399999999999999</v>
      </c>
      <c r="U225" s="217">
        <f t="shared" si="613"/>
        <v>0.26417700820736761</v>
      </c>
      <c r="V225" s="217">
        <f t="shared" si="614"/>
        <v>8.8139636100156252E-2</v>
      </c>
      <c r="W225" s="217">
        <f t="shared" si="615"/>
        <v>0.18847617384724846</v>
      </c>
      <c r="X225" s="197">
        <f t="shared" si="616"/>
        <v>350</v>
      </c>
      <c r="Y225" s="443">
        <f t="shared" si="680"/>
        <v>350</v>
      </c>
      <c r="AA225" s="217">
        <f t="shared" si="617"/>
        <v>2.7286634562376069</v>
      </c>
      <c r="AB225" s="173">
        <f t="shared" si="618"/>
        <v>1.9467555160772319</v>
      </c>
      <c r="AC225" s="173">
        <f t="shared" si="619"/>
        <v>0.92960711111606187</v>
      </c>
      <c r="AD225" s="173"/>
      <c r="AE225" s="173">
        <f t="shared" si="620"/>
        <v>0.95126206036977945</v>
      </c>
      <c r="AF225" s="545">
        <f t="shared" si="621"/>
        <v>141.91672896900997</v>
      </c>
      <c r="AG225" s="528">
        <f t="shared" si="622"/>
        <v>0.22196114741961523</v>
      </c>
      <c r="AI225" s="173">
        <f t="shared" si="623"/>
        <v>0.84902701800526226</v>
      </c>
      <c r="AJ225" s="173">
        <f t="shared" si="624"/>
        <v>1.3333333333333335</v>
      </c>
      <c r="AK225" s="173">
        <f t="shared" si="625"/>
        <v>1.0810952736965771</v>
      </c>
      <c r="AM225" s="545">
        <f t="shared" si="626"/>
        <v>90</v>
      </c>
      <c r="AN225" s="460">
        <f t="shared" si="627"/>
        <v>141.91672896900997</v>
      </c>
      <c r="AP225">
        <f t="shared" si="628"/>
        <v>90</v>
      </c>
      <c r="AQ225">
        <f t="shared" si="629"/>
        <v>141.91672896900997</v>
      </c>
      <c r="AS225" s="5">
        <f t="shared" si="600"/>
        <v>7.0463856323687377</v>
      </c>
      <c r="AT225" s="5">
        <f t="shared" si="630"/>
        <v>0.44485141079332907</v>
      </c>
      <c r="AU225" s="5">
        <f t="shared" si="478"/>
        <v>6.6015342215754087</v>
      </c>
      <c r="AV225" s="5"/>
      <c r="AW225" s="173">
        <f t="shared" si="479"/>
        <v>6.3131857097038599E-2</v>
      </c>
      <c r="AX225" s="173">
        <f t="shared" si="631"/>
        <v>1.5137784423361067</v>
      </c>
      <c r="AY225" s="173">
        <f t="shared" si="632"/>
        <v>0.6245787619353077</v>
      </c>
      <c r="AZ225" s="173">
        <f t="shared" si="633"/>
        <v>2.4236790211142338</v>
      </c>
      <c r="BA225" s="460">
        <f t="shared" si="594"/>
        <v>0.24412577421585133</v>
      </c>
      <c r="BB225" s="5">
        <f t="shared" si="595"/>
        <v>0.22575895178737257</v>
      </c>
      <c r="BD225" s="173">
        <f t="shared" si="681"/>
        <v>0.19342045101880817</v>
      </c>
      <c r="BE225" s="173">
        <f t="shared" si="682"/>
        <v>0.74510477231076266</v>
      </c>
      <c r="BG225" s="528">
        <f t="shared" si="683"/>
        <v>7.4822941744638344E-4</v>
      </c>
      <c r="BH225" s="528">
        <f t="shared" si="634"/>
        <v>0.18728334321705609</v>
      </c>
      <c r="BI225" s="528">
        <f t="shared" si="635"/>
        <v>0.12760820851701624</v>
      </c>
      <c r="BJ225" s="528">
        <f t="shared" si="684"/>
        <v>3.9544373268881508E-2</v>
      </c>
      <c r="BK225">
        <f t="shared" si="685"/>
        <v>1.6185179647199111E-2</v>
      </c>
      <c r="BL225" s="460">
        <f t="shared" si="686"/>
        <v>143.79338816421534</v>
      </c>
      <c r="BM225" s="528">
        <f t="shared" si="636"/>
        <v>0.22781846925626967</v>
      </c>
      <c r="BN225" s="460">
        <f t="shared" si="687"/>
        <v>227.81846925626968</v>
      </c>
      <c r="BO225" s="528">
        <f t="shared" si="637"/>
        <v>6.3E-2</v>
      </c>
      <c r="BR225" s="460">
        <f t="shared" si="688"/>
        <v>63</v>
      </c>
      <c r="BS225" s="528">
        <f t="shared" si="689"/>
        <v>1.1223441261695752E-3</v>
      </c>
      <c r="BT225" s="528">
        <f t="shared" si="690"/>
        <v>1.6655433651608202E-2</v>
      </c>
      <c r="BU225" s="528">
        <f t="shared" si="691"/>
        <v>2.4626394214327368E-2</v>
      </c>
      <c r="BV225" s="528"/>
      <c r="BW225" s="528">
        <f t="shared" si="692"/>
        <v>1.2614820352800889E-3</v>
      </c>
      <c r="BX225" s="460">
        <f t="shared" si="693"/>
        <v>43.66565402738523</v>
      </c>
      <c r="BY225" s="173">
        <f t="shared" si="694"/>
        <v>0.47803498809498457</v>
      </c>
      <c r="BZ225" s="5">
        <f t="shared" si="695"/>
        <v>1.4759999999999998</v>
      </c>
      <c r="CA225" s="173">
        <f t="shared" si="696"/>
        <v>0.75536006724166826</v>
      </c>
      <c r="CB225" s="5">
        <f t="shared" si="697"/>
        <v>75.536006724166825</v>
      </c>
      <c r="CE225" s="562">
        <f t="shared" si="638"/>
        <v>-50</v>
      </c>
      <c r="CF225">
        <f t="shared" si="639"/>
        <v>-50</v>
      </c>
      <c r="CG225" s="173">
        <f t="shared" si="640"/>
        <v>0.1366364233838179</v>
      </c>
      <c r="CI225" s="170">
        <v>9</v>
      </c>
      <c r="CJ225" s="217">
        <f t="shared" si="698"/>
        <v>0.09</v>
      </c>
      <c r="CK225" s="217"/>
      <c r="CL225" s="217">
        <f t="shared" si="641"/>
        <v>1.4759999999999998</v>
      </c>
      <c r="CM225" s="541">
        <f t="shared" si="642"/>
        <v>36</v>
      </c>
      <c r="CN225" s="443">
        <f t="shared" si="643"/>
        <v>16.799999999999997</v>
      </c>
      <c r="CO225" s="443">
        <f t="shared" si="644"/>
        <v>52.8</v>
      </c>
      <c r="CP225" s="443"/>
      <c r="CQ225" s="217">
        <f t="shared" si="645"/>
        <v>0.31818181818181812</v>
      </c>
      <c r="CR225" s="172">
        <f t="shared" si="646"/>
        <v>38.697272727272725</v>
      </c>
      <c r="CS225" s="172">
        <f t="shared" si="647"/>
        <v>1.4759999999999998</v>
      </c>
      <c r="CT225" s="217">
        <f t="shared" si="648"/>
        <v>2.3595898004434592</v>
      </c>
      <c r="CU225" s="217">
        <f t="shared" si="649"/>
        <v>16.399999999999999</v>
      </c>
      <c r="CV225" s="217"/>
      <c r="CW225" s="172">
        <f t="shared" si="650"/>
        <v>1297.3444295088766</v>
      </c>
      <c r="CX225" s="172">
        <f t="shared" si="651"/>
        <v>16.399999999999999</v>
      </c>
      <c r="CY225" s="217">
        <f t="shared" si="652"/>
        <v>0.25771428571428567</v>
      </c>
      <c r="CZ225" s="217">
        <f t="shared" si="653"/>
        <v>8.59047619047619E-2</v>
      </c>
      <c r="DA225" s="217">
        <f t="shared" si="654"/>
        <v>0.18408163265306124</v>
      </c>
      <c r="DB225" s="197">
        <f t="shared" si="655"/>
        <v>350</v>
      </c>
      <c r="DC225" s="443">
        <f t="shared" si="656"/>
        <v>350</v>
      </c>
      <c r="DE225" s="217">
        <f t="shared" si="657"/>
        <v>2.7272727272727271</v>
      </c>
      <c r="DF225" s="173">
        <f t="shared" si="658"/>
        <v>1.9480519480519483</v>
      </c>
      <c r="DG225" s="173">
        <f t="shared" si="659"/>
        <v>0.92975206611570249</v>
      </c>
      <c r="DH225" s="173"/>
      <c r="DI225" s="173">
        <f t="shared" si="660"/>
        <v>0.95238095238095266</v>
      </c>
      <c r="DJ225" s="545">
        <f t="shared" si="661"/>
        <v>141.74999999999994</v>
      </c>
      <c r="DK225" s="528">
        <f t="shared" si="662"/>
        <v>0.22222222222222232</v>
      </c>
      <c r="DM225" s="173">
        <f t="shared" si="663"/>
        <v>0.84852813742385691</v>
      </c>
      <c r="DN225" s="173">
        <f t="shared" si="664"/>
        <v>1.3333333333333335</v>
      </c>
      <c r="DO225" s="173">
        <f t="shared" si="665"/>
        <v>1.081</v>
      </c>
      <c r="DQ225" s="545">
        <f t="shared" si="666"/>
        <v>90</v>
      </c>
      <c r="DR225" s="460">
        <f t="shared" si="667"/>
        <v>141.74999999999994</v>
      </c>
      <c r="DT225">
        <f t="shared" si="668"/>
        <v>90</v>
      </c>
      <c r="DU225">
        <f t="shared" si="669"/>
        <v>141.74999999999994</v>
      </c>
      <c r="DW225" s="5">
        <f t="shared" si="670"/>
        <v>7.0546737213403912</v>
      </c>
      <c r="DX225" s="5">
        <f t="shared" si="671"/>
        <v>0.44444444444444453</v>
      </c>
      <c r="DY225" s="5">
        <f t="shared" si="672"/>
        <v>6.6102292768959465</v>
      </c>
      <c r="DZ225" s="5"/>
      <c r="EA225" s="173">
        <f t="shared" si="673"/>
        <v>6.2999999999999987E-2</v>
      </c>
      <c r="EB225" s="173">
        <f t="shared" si="699"/>
        <v>1.5119999999999996</v>
      </c>
      <c r="EC225" s="173">
        <f t="shared" si="700"/>
        <v>0.62466666666666681</v>
      </c>
      <c r="ED225" s="173">
        <f t="shared" si="701"/>
        <v>2.4204909284951963</v>
      </c>
      <c r="EE225" s="460">
        <f t="shared" si="674"/>
        <v>0.24390243902439032</v>
      </c>
      <c r="EF225" s="5">
        <f t="shared" si="675"/>
        <v>0.22584950029394477</v>
      </c>
      <c r="EH225" s="173">
        <f t="shared" si="702"/>
        <v>0.19321835661585915</v>
      </c>
      <c r="EI225" s="173">
        <f t="shared" si="703"/>
        <v>0.74515720439331423</v>
      </c>
      <c r="EK225" s="528">
        <f t="shared" si="704"/>
        <v>7.4666666666666642E-4</v>
      </c>
      <c r="EL225" s="528">
        <f t="shared" si="705"/>
        <v>0.19958399999999993</v>
      </c>
      <c r="EM225" s="528">
        <f t="shared" si="706"/>
        <v>1.7718749999999995E-2</v>
      </c>
      <c r="EN225" s="528">
        <f t="shared" si="707"/>
        <v>3.9517631999999976E-2</v>
      </c>
      <c r="EO225">
        <f t="shared" si="708"/>
        <v>1.6199999999999999E-2</v>
      </c>
      <c r="EP225" s="460">
        <f t="shared" si="709"/>
        <v>33.918749999999996</v>
      </c>
      <c r="EQ225" s="460"/>
      <c r="ER225" s="460">
        <f t="shared" si="710"/>
        <v>273.7670486666666</v>
      </c>
      <c r="ES225" s="528">
        <f t="shared" si="711"/>
        <v>6.3E-2</v>
      </c>
      <c r="EV225" s="460">
        <f t="shared" si="712"/>
        <v>63</v>
      </c>
      <c r="EW225" s="528">
        <f t="shared" si="713"/>
        <v>1.1199999999999997E-3</v>
      </c>
      <c r="EX225" s="528">
        <f t="shared" si="714"/>
        <v>1.6657777777777782E-2</v>
      </c>
      <c r="EY225" s="528">
        <f t="shared" si="715"/>
        <v>2.4554127959927601E-2</v>
      </c>
      <c r="EZ225" s="528"/>
      <c r="FA225" s="528">
        <f t="shared" si="716"/>
        <v>1.2599999999999996E-3</v>
      </c>
      <c r="FB225" s="460">
        <f t="shared" si="717"/>
        <v>43.591905737705382</v>
      </c>
      <c r="FC225" s="173">
        <f t="shared" si="718"/>
        <v>0.38035895440437195</v>
      </c>
      <c r="FD225" s="5">
        <f t="shared" si="719"/>
        <v>1.4759999999999998</v>
      </c>
      <c r="FE225" s="173">
        <f t="shared" si="720"/>
        <v>0.79510484569703643</v>
      </c>
      <c r="FF225" s="5">
        <f t="shared" si="721"/>
        <v>79.51048456970365</v>
      </c>
      <c r="FI225" s="562">
        <f t="shared" si="676"/>
        <v>-50</v>
      </c>
      <c r="FJ225">
        <f t="shared" si="677"/>
        <v>-50</v>
      </c>
      <c r="FL225">
        <f t="shared" si="678"/>
        <v>0.13499999999999998</v>
      </c>
    </row>
    <row r="226" spans="5:168">
      <c r="E226" s="170">
        <v>10</v>
      </c>
      <c r="F226" s="217">
        <f t="shared" si="679"/>
        <v>0.1</v>
      </c>
      <c r="G226" s="217"/>
      <c r="H226" s="217">
        <f t="shared" si="603"/>
        <v>1.64</v>
      </c>
      <c r="I226" s="541">
        <f t="shared" si="604"/>
        <v>35.967065882664691</v>
      </c>
      <c r="J226" s="172">
        <f t="shared" si="605"/>
        <v>16.819760470401185</v>
      </c>
      <c r="K226" s="172">
        <f t="shared" si="606"/>
        <v>52.786826353065877</v>
      </c>
      <c r="L226" s="443"/>
      <c r="M226" s="217">
        <f t="shared" si="607"/>
        <v>0.3186386611710445</v>
      </c>
      <c r="N226" s="172">
        <f t="shared" si="608"/>
        <v>38.717381461036403</v>
      </c>
      <c r="O226" s="172">
        <f t="shared" si="599"/>
        <v>1.64</v>
      </c>
      <c r="P226" s="217">
        <f t="shared" si="609"/>
        <v>2.3608159427461222</v>
      </c>
      <c r="Q226" s="217">
        <f t="shared" si="610"/>
        <v>16.399999999999999</v>
      </c>
      <c r="R226" s="217"/>
      <c r="S226" s="172">
        <f t="shared" si="611"/>
        <v>1162.9474969550365</v>
      </c>
      <c r="T226" s="172">
        <f t="shared" si="612"/>
        <v>16.399999999999999</v>
      </c>
      <c r="U226" s="217">
        <f t="shared" si="613"/>
        <v>0.29353000911929739</v>
      </c>
      <c r="V226" s="217">
        <f t="shared" si="614"/>
        <v>9.7932929000173641E-2</v>
      </c>
      <c r="W226" s="217">
        <f t="shared" si="615"/>
        <v>0.2094179709413872</v>
      </c>
      <c r="X226" s="197">
        <f t="shared" si="616"/>
        <v>350</v>
      </c>
      <c r="Y226" s="443">
        <f t="shared" si="680"/>
        <v>350</v>
      </c>
      <c r="AA226" s="217">
        <f t="shared" si="617"/>
        <v>2.7286634562376069</v>
      </c>
      <c r="AB226" s="173">
        <f t="shared" si="618"/>
        <v>1.9467555160772319</v>
      </c>
      <c r="AC226" s="173">
        <f t="shared" si="619"/>
        <v>0.92960711111606187</v>
      </c>
      <c r="AD226" s="173"/>
      <c r="AE226" s="173">
        <f t="shared" si="620"/>
        <v>0.95126206036977945</v>
      </c>
      <c r="AF226" s="545">
        <f t="shared" si="621"/>
        <v>157.68525441001108</v>
      </c>
      <c r="AG226" s="528">
        <f t="shared" si="622"/>
        <v>0.22196114741961523</v>
      </c>
      <c r="AI226" s="173">
        <f t="shared" si="623"/>
        <v>0.89495305730580577</v>
      </c>
      <c r="AJ226" s="173">
        <f t="shared" si="624"/>
        <v>1.3333333333333335</v>
      </c>
      <c r="AK226" s="173">
        <f t="shared" si="625"/>
        <v>1.0901058596628634</v>
      </c>
      <c r="AM226" s="545">
        <f t="shared" si="626"/>
        <v>100</v>
      </c>
      <c r="AN226" s="460">
        <f t="shared" si="627"/>
        <v>157.68525441001108</v>
      </c>
      <c r="AP226">
        <f t="shared" si="628"/>
        <v>100</v>
      </c>
      <c r="AQ226">
        <f t="shared" si="629"/>
        <v>157.68525441001108</v>
      </c>
      <c r="AS226" s="5">
        <f t="shared" si="600"/>
        <v>6.3417470691318636</v>
      </c>
      <c r="AT226" s="5">
        <f t="shared" si="630"/>
        <v>0.44485141079332907</v>
      </c>
      <c r="AU226" s="5">
        <f t="shared" si="478"/>
        <v>5.8968956583385346</v>
      </c>
      <c r="AV226" s="5"/>
      <c r="AW226" s="173">
        <f t="shared" si="479"/>
        <v>7.0146507885598439E-2</v>
      </c>
      <c r="AX226" s="173">
        <f t="shared" si="631"/>
        <v>1.6819760470401186</v>
      </c>
      <c r="AY226" s="173">
        <f t="shared" si="632"/>
        <v>0.61990232807626777</v>
      </c>
      <c r="AZ226" s="173">
        <f t="shared" si="633"/>
        <v>2.7132920314394786</v>
      </c>
      <c r="BA226" s="460">
        <f t="shared" si="594"/>
        <v>0.27125086023983486</v>
      </c>
      <c r="BB226" s="5">
        <f t="shared" si="595"/>
        <v>0.22406861764464808</v>
      </c>
      <c r="BD226" s="173">
        <f t="shared" si="681"/>
        <v>0.20388305709215646</v>
      </c>
      <c r="BE226" s="173">
        <f t="shared" si="682"/>
        <v>0.74231010475632708</v>
      </c>
      <c r="BG226" s="528">
        <f t="shared" si="683"/>
        <v>8.313660193848706E-4</v>
      </c>
      <c r="BH226" s="528">
        <f t="shared" si="634"/>
        <v>0.20809260357450679</v>
      </c>
      <c r="BI226" s="528">
        <f t="shared" si="635"/>
        <v>0.14178689835224029</v>
      </c>
      <c r="BJ226" s="528">
        <f t="shared" si="684"/>
        <v>4.3938192520979455E-2</v>
      </c>
      <c r="BK226">
        <f t="shared" si="685"/>
        <v>1.6185179647199111E-2</v>
      </c>
      <c r="BL226" s="460">
        <f t="shared" si="686"/>
        <v>157.97207799943942</v>
      </c>
      <c r="BM226" s="528">
        <f t="shared" si="636"/>
        <v>0.25313663366895434</v>
      </c>
      <c r="BN226" s="460">
        <f t="shared" si="687"/>
        <v>253.13663366895435</v>
      </c>
      <c r="BO226" s="528">
        <f t="shared" si="637"/>
        <v>6.9999999999999993E-2</v>
      </c>
      <c r="BR226" s="460">
        <f t="shared" si="688"/>
        <v>69.999999999999986</v>
      </c>
      <c r="BS226" s="528">
        <f t="shared" si="689"/>
        <v>1.2470490290773057E-3</v>
      </c>
      <c r="BT226" s="528">
        <f t="shared" si="690"/>
        <v>1.6530728748700478E-2</v>
      </c>
      <c r="BU226" s="528">
        <f t="shared" si="691"/>
        <v>3.2047529331056437E-2</v>
      </c>
      <c r="BV226" s="528"/>
      <c r="BW226" s="528">
        <f t="shared" si="692"/>
        <v>1.4016467058667653E-3</v>
      </c>
      <c r="BX226" s="460">
        <f t="shared" si="693"/>
        <v>51.226953814700984</v>
      </c>
      <c r="BY226" s="173">
        <f t="shared" si="694"/>
        <v>0.53206119392901152</v>
      </c>
      <c r="BZ226" s="5">
        <f t="shared" si="695"/>
        <v>1.64</v>
      </c>
      <c r="CA226" s="173">
        <f t="shared" si="696"/>
        <v>0.75504318413489391</v>
      </c>
      <c r="CB226" s="5">
        <f t="shared" si="697"/>
        <v>75.504318413489386</v>
      </c>
      <c r="CE226" s="562">
        <f t="shared" si="638"/>
        <v>-50</v>
      </c>
      <c r="CF226">
        <f t="shared" si="639"/>
        <v>-50</v>
      </c>
      <c r="CG226" s="173">
        <f t="shared" si="640"/>
        <v>0.15181824820424214</v>
      </c>
      <c r="CI226" s="170">
        <v>10</v>
      </c>
      <c r="CJ226" s="217">
        <f t="shared" si="698"/>
        <v>0.1</v>
      </c>
      <c r="CK226" s="217"/>
      <c r="CL226" s="217">
        <f t="shared" si="641"/>
        <v>1.64</v>
      </c>
      <c r="CM226" s="541">
        <f t="shared" si="642"/>
        <v>36</v>
      </c>
      <c r="CN226" s="443">
        <f t="shared" si="643"/>
        <v>16.799999999999997</v>
      </c>
      <c r="CO226" s="443">
        <f t="shared" si="644"/>
        <v>52.8</v>
      </c>
      <c r="CP226" s="443"/>
      <c r="CQ226" s="217">
        <f t="shared" si="645"/>
        <v>0.31818181818181812</v>
      </c>
      <c r="CR226" s="172">
        <f t="shared" si="646"/>
        <v>38.697272727272725</v>
      </c>
      <c r="CS226" s="172">
        <f t="shared" si="647"/>
        <v>1.64</v>
      </c>
      <c r="CT226" s="217">
        <f t="shared" si="648"/>
        <v>2.3595898004434592</v>
      </c>
      <c r="CU226" s="217">
        <f t="shared" si="649"/>
        <v>16.399999999999999</v>
      </c>
      <c r="CV226" s="217"/>
      <c r="CW226" s="172">
        <f t="shared" si="650"/>
        <v>1164.0123667528885</v>
      </c>
      <c r="CX226" s="172">
        <f t="shared" si="651"/>
        <v>16.399999999999999</v>
      </c>
      <c r="CY226" s="217">
        <f t="shared" si="652"/>
        <v>0.28634920634920635</v>
      </c>
      <c r="CZ226" s="217">
        <f t="shared" si="653"/>
        <v>9.5449735449735451E-2</v>
      </c>
      <c r="DA226" s="217">
        <f t="shared" si="654"/>
        <v>0.20453514739229031</v>
      </c>
      <c r="DB226" s="197">
        <f t="shared" si="655"/>
        <v>350</v>
      </c>
      <c r="DC226" s="443">
        <f t="shared" si="656"/>
        <v>350</v>
      </c>
      <c r="DE226" s="217">
        <f t="shared" si="657"/>
        <v>2.7272727272727271</v>
      </c>
      <c r="DF226" s="173">
        <f t="shared" si="658"/>
        <v>1.9480519480519483</v>
      </c>
      <c r="DG226" s="173">
        <f t="shared" si="659"/>
        <v>0.92975206611570249</v>
      </c>
      <c r="DH226" s="173"/>
      <c r="DI226" s="173">
        <f t="shared" si="660"/>
        <v>0.95238095238095266</v>
      </c>
      <c r="DJ226" s="545">
        <f t="shared" si="661"/>
        <v>157.49999999999994</v>
      </c>
      <c r="DK226" s="528">
        <f t="shared" si="662"/>
        <v>0.22222222222222232</v>
      </c>
      <c r="DM226" s="173">
        <f t="shared" si="663"/>
        <v>0.89442719099991574</v>
      </c>
      <c r="DN226" s="173">
        <f t="shared" si="664"/>
        <v>1.3333333333333335</v>
      </c>
      <c r="DO226" s="173">
        <f t="shared" si="665"/>
        <v>1.0899999999999999</v>
      </c>
      <c r="DQ226" s="545">
        <f t="shared" si="666"/>
        <v>100</v>
      </c>
      <c r="DR226" s="460">
        <f t="shared" si="667"/>
        <v>157.49999999999994</v>
      </c>
      <c r="DT226">
        <f t="shared" si="668"/>
        <v>100</v>
      </c>
      <c r="DU226">
        <f t="shared" si="669"/>
        <v>157.49999999999994</v>
      </c>
      <c r="DW226" s="5">
        <f t="shared" si="670"/>
        <v>6.3492063492063515</v>
      </c>
      <c r="DX226" s="5">
        <f t="shared" si="671"/>
        <v>0.44444444444444453</v>
      </c>
      <c r="DY226" s="5">
        <f t="shared" si="672"/>
        <v>5.9047619047619069</v>
      </c>
      <c r="DZ226" s="5"/>
      <c r="EA226" s="173">
        <f t="shared" si="673"/>
        <v>6.9999999999999993E-2</v>
      </c>
      <c r="EB226" s="173">
        <f t="shared" si="699"/>
        <v>1.68</v>
      </c>
      <c r="EC226" s="173">
        <f t="shared" si="700"/>
        <v>0.62000000000000011</v>
      </c>
      <c r="ED226" s="173">
        <f t="shared" si="701"/>
        <v>2.7096774193548381</v>
      </c>
      <c r="EE226" s="460">
        <f t="shared" si="674"/>
        <v>0.27100271002710036</v>
      </c>
      <c r="EF226" s="5">
        <f t="shared" si="675"/>
        <v>0.22416225749559085</v>
      </c>
      <c r="EH226" s="173">
        <f t="shared" si="702"/>
        <v>0.20367003088692623</v>
      </c>
      <c r="EI226" s="173">
        <f t="shared" si="703"/>
        <v>0.74236858171066966</v>
      </c>
      <c r="EK226" s="528">
        <f t="shared" si="704"/>
        <v>8.2962962962962981E-4</v>
      </c>
      <c r="EL226" s="528">
        <f t="shared" si="705"/>
        <v>0.22175999999999993</v>
      </c>
      <c r="EM226" s="528">
        <f t="shared" si="706"/>
        <v>1.968749999999999E-2</v>
      </c>
      <c r="EN226" s="528">
        <f t="shared" si="707"/>
        <v>4.3908479999999979E-2</v>
      </c>
      <c r="EO226">
        <f t="shared" si="708"/>
        <v>1.6199999999999999E-2</v>
      </c>
      <c r="EP226" s="460">
        <f t="shared" si="709"/>
        <v>35.887499999999989</v>
      </c>
      <c r="EQ226" s="460"/>
      <c r="ER226" s="460">
        <f t="shared" si="710"/>
        <v>302.38560962962953</v>
      </c>
      <c r="ES226" s="528">
        <f t="shared" si="711"/>
        <v>6.9999999999999993E-2</v>
      </c>
      <c r="EV226" s="460">
        <f t="shared" si="712"/>
        <v>69.999999999999986</v>
      </c>
      <c r="EW226" s="528">
        <f t="shared" si="713"/>
        <v>1.2444444444444445E-3</v>
      </c>
      <c r="EX226" s="528">
        <f t="shared" si="714"/>
        <v>1.6533333333333337E-2</v>
      </c>
      <c r="EY226" s="528">
        <f t="shared" si="715"/>
        <v>3.1953485725347681E-2</v>
      </c>
      <c r="EZ226" s="528"/>
      <c r="FA226" s="528">
        <f t="shared" si="716"/>
        <v>1.3999999999999998E-3</v>
      </c>
      <c r="FB226" s="460">
        <f t="shared" si="717"/>
        <v>51.13126350312546</v>
      </c>
      <c r="FC226" s="173">
        <f t="shared" si="718"/>
        <v>0.42351687313275499</v>
      </c>
      <c r="FD226" s="5">
        <f t="shared" si="719"/>
        <v>1.64</v>
      </c>
      <c r="FE226" s="173">
        <f t="shared" si="720"/>
        <v>0.79475967526750224</v>
      </c>
      <c r="FF226" s="5">
        <f t="shared" si="721"/>
        <v>79.475967526750225</v>
      </c>
      <c r="FI226" s="562">
        <f t="shared" si="676"/>
        <v>-50</v>
      </c>
      <c r="FJ226">
        <f t="shared" si="677"/>
        <v>-50</v>
      </c>
      <c r="FL226">
        <f t="shared" si="678"/>
        <v>0.15</v>
      </c>
    </row>
    <row r="227" spans="5:168">
      <c r="E227" s="170">
        <v>11</v>
      </c>
      <c r="F227" s="217">
        <f t="shared" si="679"/>
        <v>0.11</v>
      </c>
      <c r="G227" s="217"/>
      <c r="H227" s="217">
        <f t="shared" si="603"/>
        <v>1.8039999999999998</v>
      </c>
      <c r="I227" s="541">
        <f t="shared" si="604"/>
        <v>35.967065882664691</v>
      </c>
      <c r="J227" s="172">
        <f t="shared" si="605"/>
        <v>16.819760470401185</v>
      </c>
      <c r="K227" s="172">
        <f t="shared" si="606"/>
        <v>52.786826353065877</v>
      </c>
      <c r="L227" s="443"/>
      <c r="M227" s="217">
        <f t="shared" si="607"/>
        <v>0.3186386611710445</v>
      </c>
      <c r="N227" s="172">
        <f t="shared" si="608"/>
        <v>38.717381461036403</v>
      </c>
      <c r="O227" s="172">
        <f t="shared" si="599"/>
        <v>1.8039999999999998</v>
      </c>
      <c r="P227" s="217">
        <f t="shared" si="609"/>
        <v>2.3608159427461222</v>
      </c>
      <c r="Q227" s="217">
        <f t="shared" si="610"/>
        <v>16.399999999999999</v>
      </c>
      <c r="R227" s="217"/>
      <c r="S227" s="172">
        <f t="shared" si="611"/>
        <v>1053.9576665808233</v>
      </c>
      <c r="T227" s="172">
        <f t="shared" si="612"/>
        <v>16.399999999999999</v>
      </c>
      <c r="U227" s="217">
        <f t="shared" si="613"/>
        <v>0.32288301003122716</v>
      </c>
      <c r="V227" s="217">
        <f t="shared" si="614"/>
        <v>0.10772622190019102</v>
      </c>
      <c r="W227" s="217">
        <f t="shared" si="615"/>
        <v>0.23035976803552596</v>
      </c>
      <c r="X227" s="197">
        <f t="shared" si="616"/>
        <v>350</v>
      </c>
      <c r="Y227" s="443">
        <f t="shared" si="680"/>
        <v>350</v>
      </c>
      <c r="AA227" s="217">
        <f t="shared" si="617"/>
        <v>2.7286634562376069</v>
      </c>
      <c r="AB227" s="173">
        <f t="shared" si="618"/>
        <v>1.9467555160772319</v>
      </c>
      <c r="AC227" s="173">
        <f t="shared" si="619"/>
        <v>0.92960711111606187</v>
      </c>
      <c r="AD227" s="173"/>
      <c r="AE227" s="173">
        <f t="shared" si="620"/>
        <v>0.95126206036977945</v>
      </c>
      <c r="AF227" s="545">
        <f t="shared" si="621"/>
        <v>173.4537798510122</v>
      </c>
      <c r="AG227" s="528">
        <f t="shared" si="622"/>
        <v>0.22196114741961523</v>
      </c>
      <c r="AI227" s="173">
        <f t="shared" si="623"/>
        <v>0.93863468519925786</v>
      </c>
      <c r="AJ227" s="173">
        <f t="shared" si="624"/>
        <v>1.3333333333333335</v>
      </c>
      <c r="AK227" s="173">
        <f t="shared" si="625"/>
        <v>1.0991164456291498</v>
      </c>
      <c r="AM227" s="545">
        <f t="shared" si="626"/>
        <v>110</v>
      </c>
      <c r="AN227" s="460">
        <f t="shared" si="627"/>
        <v>173.4537798510122</v>
      </c>
      <c r="AP227">
        <f t="shared" si="628"/>
        <v>110</v>
      </c>
      <c r="AQ227">
        <f t="shared" si="629"/>
        <v>173.4537798510122</v>
      </c>
      <c r="AS227" s="5">
        <f t="shared" si="600"/>
        <v>5.7652246083016943</v>
      </c>
      <c r="AT227" s="5">
        <f t="shared" si="630"/>
        <v>0.44485141079332907</v>
      </c>
      <c r="AU227" s="5">
        <f t="shared" si="478"/>
        <v>5.3203731975083652</v>
      </c>
      <c r="AV227" s="5"/>
      <c r="AW227" s="173">
        <f t="shared" si="479"/>
        <v>7.7161158674158278E-2</v>
      </c>
      <c r="AX227" s="173">
        <f t="shared" si="631"/>
        <v>1.8501736517441305</v>
      </c>
      <c r="AY227" s="173">
        <f t="shared" si="632"/>
        <v>0.61522589421722784</v>
      </c>
      <c r="AZ227" s="173">
        <f t="shared" si="633"/>
        <v>3.007307834625796</v>
      </c>
      <c r="BA227" s="460">
        <f t="shared" si="594"/>
        <v>0.2983759462638183</v>
      </c>
      <c r="BB227" s="5">
        <f t="shared" si="595"/>
        <v>0.22237828350192362</v>
      </c>
      <c r="BD227" s="173">
        <f t="shared" si="681"/>
        <v>0.21383435427023384</v>
      </c>
      <c r="BE227" s="173">
        <f t="shared" si="682"/>
        <v>0.73950487593147407</v>
      </c>
      <c r="BG227" s="528">
        <f t="shared" si="683"/>
        <v>9.1450262132335744E-4</v>
      </c>
      <c r="BH227" s="528">
        <f t="shared" si="634"/>
        <v>0.22890186393195749</v>
      </c>
      <c r="BI227" s="528">
        <f t="shared" si="635"/>
        <v>0.15596558818746434</v>
      </c>
      <c r="BJ227" s="528">
        <f t="shared" si="684"/>
        <v>4.8332011773077402E-2</v>
      </c>
      <c r="BK227">
        <f t="shared" si="685"/>
        <v>1.6185179647199111E-2</v>
      </c>
      <c r="BL227" s="460">
        <f t="shared" si="686"/>
        <v>172.15076783466347</v>
      </c>
      <c r="BM227" s="528">
        <f t="shared" si="636"/>
        <v>0.27845579853142027</v>
      </c>
      <c r="BN227" s="460">
        <f t="shared" si="687"/>
        <v>278.45579853142027</v>
      </c>
      <c r="BO227" s="528">
        <f t="shared" si="637"/>
        <v>7.6999999999999999E-2</v>
      </c>
      <c r="BR227" s="460">
        <f t="shared" si="688"/>
        <v>77</v>
      </c>
      <c r="BS227" s="528">
        <f t="shared" si="689"/>
        <v>1.3717539319850361E-3</v>
      </c>
      <c r="BT227" s="528">
        <f t="shared" si="690"/>
        <v>1.6406023845792744E-2</v>
      </c>
      <c r="BU227" s="528">
        <f t="shared" si="691"/>
        <v>4.0670196112529394E-2</v>
      </c>
      <c r="BV227" s="528"/>
      <c r="BW227" s="528">
        <f t="shared" si="692"/>
        <v>1.5418113764534419E-3</v>
      </c>
      <c r="BX227" s="460">
        <f t="shared" si="693"/>
        <v>59.98978526676062</v>
      </c>
      <c r="BY227" s="173">
        <f t="shared" si="694"/>
        <v>0.58728893142778238</v>
      </c>
      <c r="BZ227" s="5">
        <f t="shared" si="695"/>
        <v>1.8039999999999998</v>
      </c>
      <c r="CA227" s="173">
        <f t="shared" si="696"/>
        <v>0.75440486354063196</v>
      </c>
      <c r="CB227" s="5">
        <f t="shared" si="697"/>
        <v>75.440486354063196</v>
      </c>
      <c r="CE227" s="562">
        <f t="shared" si="638"/>
        <v>-50</v>
      </c>
      <c r="CF227">
        <f t="shared" si="639"/>
        <v>-50</v>
      </c>
      <c r="CG227" s="173">
        <f t="shared" si="640"/>
        <v>0.16700007302466635</v>
      </c>
      <c r="CI227" s="170">
        <v>11</v>
      </c>
      <c r="CJ227" s="217">
        <f t="shared" si="698"/>
        <v>0.11</v>
      </c>
      <c r="CK227" s="217"/>
      <c r="CL227" s="217">
        <f t="shared" si="641"/>
        <v>1.8039999999999998</v>
      </c>
      <c r="CM227" s="541">
        <f t="shared" si="642"/>
        <v>36</v>
      </c>
      <c r="CN227" s="443">
        <f t="shared" si="643"/>
        <v>16.799999999999997</v>
      </c>
      <c r="CO227" s="443">
        <f t="shared" si="644"/>
        <v>52.8</v>
      </c>
      <c r="CP227" s="443"/>
      <c r="CQ227" s="217">
        <f t="shared" si="645"/>
        <v>0.31818181818181812</v>
      </c>
      <c r="CR227" s="172">
        <f t="shared" si="646"/>
        <v>38.697272727272725</v>
      </c>
      <c r="CS227" s="172">
        <f t="shared" si="647"/>
        <v>1.8039999999999998</v>
      </c>
      <c r="CT227" s="217">
        <f t="shared" si="648"/>
        <v>2.3595898004434592</v>
      </c>
      <c r="CU227" s="217">
        <f t="shared" si="649"/>
        <v>16.399999999999999</v>
      </c>
      <c r="CV227" s="217"/>
      <c r="CW227" s="172">
        <f t="shared" si="650"/>
        <v>1054.9227360240009</v>
      </c>
      <c r="CX227" s="172">
        <f t="shared" si="651"/>
        <v>16.399999999999999</v>
      </c>
      <c r="CY227" s="217">
        <f t="shared" si="652"/>
        <v>0.31498412698412698</v>
      </c>
      <c r="CZ227" s="217">
        <f t="shared" si="653"/>
        <v>0.10499470899470899</v>
      </c>
      <c r="DA227" s="217">
        <f t="shared" si="654"/>
        <v>0.22498866213151933</v>
      </c>
      <c r="DB227" s="197">
        <f t="shared" si="655"/>
        <v>350</v>
      </c>
      <c r="DC227" s="443">
        <f t="shared" si="656"/>
        <v>350</v>
      </c>
      <c r="DE227" s="217">
        <f t="shared" si="657"/>
        <v>2.7272727272727271</v>
      </c>
      <c r="DF227" s="173">
        <f t="shared" si="658"/>
        <v>1.9480519480519483</v>
      </c>
      <c r="DG227" s="173">
        <f t="shared" si="659"/>
        <v>0.92975206611570249</v>
      </c>
      <c r="DH227" s="173"/>
      <c r="DI227" s="173">
        <f t="shared" si="660"/>
        <v>0.95238095238095266</v>
      </c>
      <c r="DJ227" s="545">
        <f t="shared" si="661"/>
        <v>173.24999999999994</v>
      </c>
      <c r="DK227" s="528">
        <f t="shared" si="662"/>
        <v>0.22222222222222232</v>
      </c>
      <c r="DM227" s="173">
        <f t="shared" si="663"/>
        <v>0.93808315196468584</v>
      </c>
      <c r="DN227" s="173">
        <f t="shared" si="664"/>
        <v>1.3333333333333335</v>
      </c>
      <c r="DO227" s="173">
        <f t="shared" si="665"/>
        <v>1.099</v>
      </c>
      <c r="DQ227" s="545">
        <f t="shared" si="666"/>
        <v>110</v>
      </c>
      <c r="DR227" s="460">
        <f t="shared" si="667"/>
        <v>173.24999999999994</v>
      </c>
      <c r="DT227">
        <f t="shared" si="668"/>
        <v>110</v>
      </c>
      <c r="DU227">
        <f t="shared" si="669"/>
        <v>173.24999999999994</v>
      </c>
      <c r="DW227" s="5">
        <f t="shared" si="670"/>
        <v>5.772005772005774</v>
      </c>
      <c r="DX227" s="5">
        <f t="shared" si="671"/>
        <v>0.44444444444444453</v>
      </c>
      <c r="DY227" s="5">
        <f t="shared" si="672"/>
        <v>5.3275613275613294</v>
      </c>
      <c r="DZ227" s="5"/>
      <c r="EA227" s="173">
        <f t="shared" si="673"/>
        <v>7.6999999999999985E-2</v>
      </c>
      <c r="EB227" s="173">
        <f t="shared" si="699"/>
        <v>1.8479999999999999</v>
      </c>
      <c r="EC227" s="173">
        <f t="shared" si="700"/>
        <v>0.6153333333333334</v>
      </c>
      <c r="ED227" s="173">
        <f t="shared" si="701"/>
        <v>3.0032502708559039</v>
      </c>
      <c r="EE227" s="460">
        <f t="shared" si="674"/>
        <v>0.29810298102981042</v>
      </c>
      <c r="EF227" s="5">
        <f t="shared" si="675"/>
        <v>0.22247501469723693</v>
      </c>
      <c r="EH227" s="173">
        <f t="shared" si="702"/>
        <v>0.21361093050129626</v>
      </c>
      <c r="EI227" s="173">
        <f t="shared" si="703"/>
        <v>0.73956944431403004</v>
      </c>
      <c r="EK227" s="528">
        <f t="shared" si="704"/>
        <v>9.1259259259259234E-4</v>
      </c>
      <c r="EL227" s="528">
        <f t="shared" si="705"/>
        <v>0.24393599999999996</v>
      </c>
      <c r="EM227" s="528">
        <f t="shared" si="706"/>
        <v>2.1656249999999991E-2</v>
      </c>
      <c r="EN227" s="528">
        <f t="shared" si="707"/>
        <v>4.8299327999999975E-2</v>
      </c>
      <c r="EO227">
        <f t="shared" si="708"/>
        <v>1.6199999999999999E-2</v>
      </c>
      <c r="EP227" s="460">
        <f t="shared" si="709"/>
        <v>37.856249999999996</v>
      </c>
      <c r="EQ227" s="460"/>
      <c r="ER227" s="460">
        <f t="shared" si="710"/>
        <v>331.00417059259252</v>
      </c>
      <c r="ES227" s="528">
        <f t="shared" si="711"/>
        <v>7.6999999999999999E-2</v>
      </c>
      <c r="EV227" s="460">
        <f t="shared" si="712"/>
        <v>77</v>
      </c>
      <c r="EW227" s="528">
        <f t="shared" si="713"/>
        <v>1.3688888888888885E-3</v>
      </c>
      <c r="EX227" s="528">
        <f t="shared" si="714"/>
        <v>1.6408888888888896E-2</v>
      </c>
      <c r="EY227" s="528">
        <f t="shared" si="715"/>
        <v>4.0550849255934177E-2</v>
      </c>
      <c r="EZ227" s="528"/>
      <c r="FA227" s="528">
        <f t="shared" si="716"/>
        <v>1.5399999999999997E-3</v>
      </c>
      <c r="FB227" s="460">
        <f t="shared" si="717"/>
        <v>59.868627033711959</v>
      </c>
      <c r="FC227" s="173">
        <f t="shared" si="718"/>
        <v>0.46787279762630446</v>
      </c>
      <c r="FD227" s="5">
        <f t="shared" si="719"/>
        <v>1.8039999999999998</v>
      </c>
      <c r="FE227" s="173">
        <f t="shared" si="720"/>
        <v>0.79405854143104015</v>
      </c>
      <c r="FF227" s="5">
        <f t="shared" si="721"/>
        <v>79.405854143104023</v>
      </c>
      <c r="FI227" s="562">
        <f t="shared" si="676"/>
        <v>-50</v>
      </c>
      <c r="FJ227">
        <f t="shared" si="677"/>
        <v>-50</v>
      </c>
      <c r="FL227">
        <f t="shared" si="678"/>
        <v>0.16499999999999998</v>
      </c>
    </row>
    <row r="228" spans="5:168">
      <c r="E228" s="170">
        <v>12</v>
      </c>
      <c r="F228" s="217">
        <f t="shared" si="679"/>
        <v>0.12</v>
      </c>
      <c r="G228" s="217"/>
      <c r="H228" s="217">
        <f t="shared" si="603"/>
        <v>1.9679999999999997</v>
      </c>
      <c r="I228" s="541">
        <f t="shared" si="604"/>
        <v>35.967065882664691</v>
      </c>
      <c r="J228" s="172">
        <f t="shared" si="605"/>
        <v>16.819760470401185</v>
      </c>
      <c r="K228" s="172">
        <f t="shared" si="606"/>
        <v>52.786826353065877</v>
      </c>
      <c r="L228" s="443"/>
      <c r="M228" s="217">
        <f t="shared" si="607"/>
        <v>0.3186386611710445</v>
      </c>
      <c r="N228" s="172">
        <f t="shared" si="608"/>
        <v>38.717381461036403</v>
      </c>
      <c r="O228" s="172">
        <f t="shared" si="599"/>
        <v>1.9679999999999997</v>
      </c>
      <c r="P228" s="217">
        <f t="shared" si="609"/>
        <v>2.3608159427461222</v>
      </c>
      <c r="Q228" s="217">
        <f t="shared" si="610"/>
        <v>16.399999999999999</v>
      </c>
      <c r="R228" s="217"/>
      <c r="S228" s="172">
        <f t="shared" si="611"/>
        <v>963.13302885129769</v>
      </c>
      <c r="T228" s="172">
        <f t="shared" si="612"/>
        <v>16.399999999999999</v>
      </c>
      <c r="U228" s="217">
        <f t="shared" si="613"/>
        <v>0.35223601094315693</v>
      </c>
      <c r="V228" s="217">
        <f t="shared" si="614"/>
        <v>0.11751951480020839</v>
      </c>
      <c r="W228" s="217">
        <f t="shared" si="615"/>
        <v>0.25130156512966467</v>
      </c>
      <c r="X228" s="197">
        <f t="shared" si="616"/>
        <v>350</v>
      </c>
      <c r="Y228" s="443">
        <f t="shared" si="680"/>
        <v>350</v>
      </c>
      <c r="AA228" s="217">
        <f t="shared" si="617"/>
        <v>2.7286634562376069</v>
      </c>
      <c r="AB228" s="173">
        <f t="shared" si="618"/>
        <v>1.9467555160772319</v>
      </c>
      <c r="AC228" s="173">
        <f t="shared" si="619"/>
        <v>0.92960711111606187</v>
      </c>
      <c r="AD228" s="173"/>
      <c r="AE228" s="173">
        <f t="shared" si="620"/>
        <v>0.95126206036977945</v>
      </c>
      <c r="AF228" s="545">
        <f t="shared" si="621"/>
        <v>189.22230529201329</v>
      </c>
      <c r="AG228" s="528">
        <f t="shared" si="622"/>
        <v>0.22196114741961523</v>
      </c>
      <c r="AI228" s="173">
        <f t="shared" si="623"/>
        <v>0.9803719547892068</v>
      </c>
      <c r="AJ228" s="173">
        <f t="shared" si="624"/>
        <v>1.3333333333333335</v>
      </c>
      <c r="AK228" s="173">
        <f t="shared" si="625"/>
        <v>1.1081270315954361</v>
      </c>
      <c r="AM228" s="545">
        <f t="shared" si="626"/>
        <v>120</v>
      </c>
      <c r="AN228" s="460">
        <f t="shared" si="627"/>
        <v>189.22230529201329</v>
      </c>
      <c r="AP228">
        <f t="shared" si="628"/>
        <v>120</v>
      </c>
      <c r="AQ228">
        <f t="shared" si="629"/>
        <v>189.22230529201329</v>
      </c>
      <c r="AS228" s="5">
        <f t="shared" si="600"/>
        <v>5.2847892242765528</v>
      </c>
      <c r="AT228" s="5">
        <f t="shared" si="630"/>
        <v>0.44485141079332907</v>
      </c>
      <c r="AU228" s="5">
        <f t="shared" si="478"/>
        <v>4.8399378134832238</v>
      </c>
      <c r="AV228" s="5"/>
      <c r="AW228" s="173">
        <f t="shared" si="479"/>
        <v>8.4175809462718132E-2</v>
      </c>
      <c r="AX228" s="173">
        <f t="shared" si="631"/>
        <v>2.0183712564481424</v>
      </c>
      <c r="AY228" s="173">
        <f t="shared" si="632"/>
        <v>0.61054946035818802</v>
      </c>
      <c r="AZ228" s="173">
        <f t="shared" si="633"/>
        <v>3.305827598740378</v>
      </c>
      <c r="BA228" s="460">
        <f t="shared" si="594"/>
        <v>0.32550103228780186</v>
      </c>
      <c r="BB228" s="5">
        <f t="shared" si="595"/>
        <v>0.22068794935919914</v>
      </c>
      <c r="BD228" s="173">
        <f t="shared" si="681"/>
        <v>0.22334269892497549</v>
      </c>
      <c r="BE228" s="173">
        <f t="shared" si="682"/>
        <v>0.73668896518781957</v>
      </c>
      <c r="BG228" s="528">
        <f t="shared" si="683"/>
        <v>9.9763922326184503E-4</v>
      </c>
      <c r="BH228" s="528">
        <f t="shared" si="634"/>
        <v>0.24971112428940814</v>
      </c>
      <c r="BI228" s="528">
        <f t="shared" si="635"/>
        <v>0.17014427802268833</v>
      </c>
      <c r="BJ228" s="528">
        <f t="shared" si="684"/>
        <v>5.2725831025175342E-2</v>
      </c>
      <c r="BK228">
        <f t="shared" si="685"/>
        <v>1.6185179647199111E-2</v>
      </c>
      <c r="BL228" s="460">
        <f t="shared" si="686"/>
        <v>186.32945766988746</v>
      </c>
      <c r="BM228" s="528">
        <f t="shared" si="636"/>
        <v>0.30377596390296774</v>
      </c>
      <c r="BN228" s="460">
        <f t="shared" si="687"/>
        <v>303.77596390296776</v>
      </c>
      <c r="BO228" s="528">
        <f t="shared" si="637"/>
        <v>8.3999999999999991E-2</v>
      </c>
      <c r="BR228" s="460">
        <f t="shared" si="688"/>
        <v>83.999999999999986</v>
      </c>
      <c r="BS228" s="528">
        <f t="shared" si="689"/>
        <v>1.4964588348927675E-3</v>
      </c>
      <c r="BT228" s="528">
        <f t="shared" si="690"/>
        <v>1.6281318942885009E-2</v>
      </c>
      <c r="BU228" s="528">
        <f t="shared" si="691"/>
        <v>5.0553085613552838E-2</v>
      </c>
      <c r="BV228" s="528"/>
      <c r="BW228" s="528">
        <f t="shared" si="692"/>
        <v>1.6819760470401185E-3</v>
      </c>
      <c r="BX228" s="460">
        <f t="shared" si="693"/>
        <v>70.012839438370733</v>
      </c>
      <c r="BY228" s="173">
        <f t="shared" si="694"/>
        <v>0.64377689164610352</v>
      </c>
      <c r="BZ228" s="5">
        <f t="shared" si="695"/>
        <v>1.9679999999999997</v>
      </c>
      <c r="CA228" s="173">
        <f t="shared" si="696"/>
        <v>0.75350999784657879</v>
      </c>
      <c r="CB228" s="5">
        <f t="shared" si="697"/>
        <v>75.350999784657873</v>
      </c>
      <c r="CE228" s="562">
        <f t="shared" si="638"/>
        <v>-50</v>
      </c>
      <c r="CF228">
        <f t="shared" si="639"/>
        <v>-50</v>
      </c>
      <c r="CG228" s="173">
        <f t="shared" si="640"/>
        <v>0.18218189784509056</v>
      </c>
      <c r="CI228" s="170">
        <v>12</v>
      </c>
      <c r="CJ228" s="217">
        <f t="shared" si="698"/>
        <v>0.12</v>
      </c>
      <c r="CK228" s="217"/>
      <c r="CL228" s="217">
        <f t="shared" si="641"/>
        <v>1.9679999999999997</v>
      </c>
      <c r="CM228" s="541">
        <f t="shared" si="642"/>
        <v>36</v>
      </c>
      <c r="CN228" s="443">
        <f t="shared" si="643"/>
        <v>16.799999999999997</v>
      </c>
      <c r="CO228" s="443">
        <f t="shared" si="644"/>
        <v>52.8</v>
      </c>
      <c r="CP228" s="443"/>
      <c r="CQ228" s="217">
        <f t="shared" si="645"/>
        <v>0.31818181818181812</v>
      </c>
      <c r="CR228" s="172">
        <f t="shared" si="646"/>
        <v>38.697272727272725</v>
      </c>
      <c r="CS228" s="172">
        <f t="shared" si="647"/>
        <v>1.9679999999999997</v>
      </c>
      <c r="CT228" s="217">
        <f t="shared" si="648"/>
        <v>2.3595898004434592</v>
      </c>
      <c r="CU228" s="217">
        <f t="shared" si="649"/>
        <v>16.399999999999999</v>
      </c>
      <c r="CV228" s="217"/>
      <c r="CW228" s="172">
        <f t="shared" si="650"/>
        <v>964.0149313324921</v>
      </c>
      <c r="CX228" s="172">
        <f t="shared" si="651"/>
        <v>16.399999999999999</v>
      </c>
      <c r="CY228" s="217">
        <f t="shared" si="652"/>
        <v>0.3436190476190476</v>
      </c>
      <c r="CZ228" s="217">
        <f t="shared" si="653"/>
        <v>0.11453968253968254</v>
      </c>
      <c r="DA228" s="217">
        <f t="shared" si="654"/>
        <v>0.24544217687074835</v>
      </c>
      <c r="DB228" s="197">
        <f t="shared" si="655"/>
        <v>350</v>
      </c>
      <c r="DC228" s="443">
        <f t="shared" si="656"/>
        <v>350</v>
      </c>
      <c r="DE228" s="217">
        <f t="shared" si="657"/>
        <v>2.7272727272727271</v>
      </c>
      <c r="DF228" s="173">
        <f t="shared" si="658"/>
        <v>1.9480519480519483</v>
      </c>
      <c r="DG228" s="173">
        <f t="shared" si="659"/>
        <v>0.92975206611570249</v>
      </c>
      <c r="DH228" s="173"/>
      <c r="DI228" s="173">
        <f t="shared" si="660"/>
        <v>0.95238095238095266</v>
      </c>
      <c r="DJ228" s="545">
        <f t="shared" si="661"/>
        <v>188.99999999999991</v>
      </c>
      <c r="DK228" s="528">
        <f t="shared" si="662"/>
        <v>0.22222222222222232</v>
      </c>
      <c r="DM228" s="173">
        <f t="shared" si="663"/>
        <v>0.97979589711327109</v>
      </c>
      <c r="DN228" s="173">
        <f t="shared" si="664"/>
        <v>1.3333333333333335</v>
      </c>
      <c r="DO228" s="173">
        <f t="shared" si="665"/>
        <v>1.1079999999999999</v>
      </c>
      <c r="DQ228" s="545">
        <f t="shared" si="666"/>
        <v>120</v>
      </c>
      <c r="DR228" s="460">
        <f t="shared" si="667"/>
        <v>188.99999999999991</v>
      </c>
      <c r="DT228">
        <f t="shared" si="668"/>
        <v>120</v>
      </c>
      <c r="DU228">
        <f t="shared" si="669"/>
        <v>188.99999999999991</v>
      </c>
      <c r="DW228" s="5">
        <f t="shared" si="670"/>
        <v>5.2910052910052929</v>
      </c>
      <c r="DX228" s="5">
        <f t="shared" si="671"/>
        <v>0.44444444444444453</v>
      </c>
      <c r="DY228" s="5">
        <f t="shared" si="672"/>
        <v>4.8465608465608483</v>
      </c>
      <c r="DZ228" s="5"/>
      <c r="EA228" s="173">
        <f t="shared" si="673"/>
        <v>8.3999999999999991E-2</v>
      </c>
      <c r="EB228" s="173">
        <f t="shared" si="699"/>
        <v>2.0159999999999996</v>
      </c>
      <c r="EC228" s="173">
        <f t="shared" si="700"/>
        <v>0.6106666666666668</v>
      </c>
      <c r="ED228" s="173">
        <f t="shared" si="701"/>
        <v>3.3013100436681206</v>
      </c>
      <c r="EE228" s="460">
        <f t="shared" si="674"/>
        <v>0.32520325203252043</v>
      </c>
      <c r="EF228" s="5">
        <f t="shared" si="675"/>
        <v>0.22078777189888305</v>
      </c>
      <c r="EH228" s="173">
        <f t="shared" si="702"/>
        <v>0.22310934040908684</v>
      </c>
      <c r="EI228" s="173">
        <f t="shared" si="703"/>
        <v>0.73675967235918594</v>
      </c>
      <c r="EK228" s="528">
        <f t="shared" si="704"/>
        <v>9.9555555555555573E-4</v>
      </c>
      <c r="EL228" s="528">
        <f t="shared" si="705"/>
        <v>0.2661119999999999</v>
      </c>
      <c r="EM228" s="528">
        <f t="shared" si="706"/>
        <v>2.362499999999999E-2</v>
      </c>
      <c r="EN228" s="528">
        <f t="shared" si="707"/>
        <v>5.2690175999999964E-2</v>
      </c>
      <c r="EO228">
        <f t="shared" si="708"/>
        <v>1.6199999999999999E-2</v>
      </c>
      <c r="EP228" s="460">
        <f t="shared" si="709"/>
        <v>39.824999999999989</v>
      </c>
      <c r="EQ228" s="460"/>
      <c r="ER228" s="460">
        <f t="shared" si="710"/>
        <v>359.62273155555545</v>
      </c>
      <c r="ES228" s="528">
        <f t="shared" si="711"/>
        <v>8.3999999999999991E-2</v>
      </c>
      <c r="EV228" s="460">
        <f t="shared" si="712"/>
        <v>83.999999999999986</v>
      </c>
      <c r="EW228" s="528">
        <f t="shared" si="713"/>
        <v>1.4933333333333337E-3</v>
      </c>
      <c r="EX228" s="528">
        <f t="shared" si="714"/>
        <v>1.6284444444444449E-2</v>
      </c>
      <c r="EY228" s="528">
        <f t="shared" si="715"/>
        <v>5.0404737377353619E-2</v>
      </c>
      <c r="EZ228" s="528"/>
      <c r="FA228" s="528">
        <f t="shared" si="716"/>
        <v>1.6799999999999996E-3</v>
      </c>
      <c r="FB228" s="460">
        <f t="shared" si="717"/>
        <v>69.862515155131405</v>
      </c>
      <c r="FC228" s="173">
        <f t="shared" si="718"/>
        <v>0.51348524671068685</v>
      </c>
      <c r="FD228" s="5">
        <f t="shared" si="719"/>
        <v>1.9679999999999997</v>
      </c>
      <c r="FE228" s="173">
        <f t="shared" si="720"/>
        <v>0.79307342351064414</v>
      </c>
      <c r="FF228" s="5">
        <f t="shared" si="721"/>
        <v>79.30734235106442</v>
      </c>
      <c r="FI228" s="562">
        <f t="shared" si="676"/>
        <v>-50</v>
      </c>
      <c r="FJ228">
        <f t="shared" si="677"/>
        <v>-50</v>
      </c>
      <c r="FL228">
        <f t="shared" si="678"/>
        <v>0.17999999999999997</v>
      </c>
    </row>
    <row r="229" spans="5:168">
      <c r="E229" s="170">
        <v>13</v>
      </c>
      <c r="F229" s="217">
        <f t="shared" si="679"/>
        <v>0.13</v>
      </c>
      <c r="G229" s="217"/>
      <c r="H229" s="217">
        <f t="shared" si="603"/>
        <v>2.1319999999999997</v>
      </c>
      <c r="I229" s="541">
        <f t="shared" si="604"/>
        <v>35.967065882664691</v>
      </c>
      <c r="J229" s="172">
        <f t="shared" si="605"/>
        <v>16.819760470401185</v>
      </c>
      <c r="K229" s="172">
        <f t="shared" si="606"/>
        <v>52.786826353065877</v>
      </c>
      <c r="L229" s="443"/>
      <c r="M229" s="217">
        <f t="shared" si="607"/>
        <v>0.3186386611710445</v>
      </c>
      <c r="N229" s="172">
        <f t="shared" si="608"/>
        <v>38.717381461036403</v>
      </c>
      <c r="O229" s="172">
        <f t="shared" si="599"/>
        <v>2.1319999999999997</v>
      </c>
      <c r="P229" s="217">
        <f t="shared" si="609"/>
        <v>2.3608159427461222</v>
      </c>
      <c r="Q229" s="217">
        <f t="shared" si="610"/>
        <v>16.399999999999999</v>
      </c>
      <c r="R229" s="217"/>
      <c r="S229" s="172">
        <f t="shared" si="611"/>
        <v>886.28161811760378</v>
      </c>
      <c r="T229" s="172">
        <f t="shared" si="612"/>
        <v>16.399999999999999</v>
      </c>
      <c r="U229" s="217">
        <f t="shared" si="613"/>
        <v>0.38158901185508659</v>
      </c>
      <c r="V229" s="217">
        <f t="shared" si="614"/>
        <v>0.12731280770022571</v>
      </c>
      <c r="W229" s="217">
        <f t="shared" si="615"/>
        <v>0.27224336222380341</v>
      </c>
      <c r="X229" s="197">
        <f t="shared" si="616"/>
        <v>350</v>
      </c>
      <c r="Y229" s="443">
        <f t="shared" si="680"/>
        <v>350</v>
      </c>
      <c r="AA229" s="217">
        <f t="shared" si="617"/>
        <v>2.7286634562376069</v>
      </c>
      <c r="AB229" s="173">
        <f t="shared" si="618"/>
        <v>1.9467555160772319</v>
      </c>
      <c r="AC229" s="173">
        <f t="shared" si="619"/>
        <v>0.92960711111606187</v>
      </c>
      <c r="AD229" s="173"/>
      <c r="AE229" s="173">
        <f t="shared" si="620"/>
        <v>0.95126206036977945</v>
      </c>
      <c r="AF229" s="545">
        <f t="shared" si="621"/>
        <v>204.99083073301438</v>
      </c>
      <c r="AG229" s="528">
        <f t="shared" si="622"/>
        <v>0.22196114741961523</v>
      </c>
      <c r="AI229" s="173">
        <f t="shared" si="623"/>
        <v>1.0204034825574204</v>
      </c>
      <c r="AJ229" s="173">
        <f t="shared" si="624"/>
        <v>1.3333333333333335</v>
      </c>
      <c r="AK229" s="173">
        <f t="shared" si="625"/>
        <v>1.1171376175617225</v>
      </c>
      <c r="AM229" s="545">
        <f t="shared" si="626"/>
        <v>130</v>
      </c>
      <c r="AN229" s="460">
        <f t="shared" si="627"/>
        <v>204.99083073301438</v>
      </c>
      <c r="AP229">
        <f t="shared" si="628"/>
        <v>130</v>
      </c>
      <c r="AQ229">
        <f t="shared" si="629"/>
        <v>204.99083073301438</v>
      </c>
      <c r="AS229" s="5">
        <f t="shared" si="600"/>
        <v>4.8782669762552802</v>
      </c>
      <c r="AT229" s="5">
        <f t="shared" si="630"/>
        <v>0.44485141079332907</v>
      </c>
      <c r="AU229" s="5">
        <f t="shared" si="478"/>
        <v>4.4334155654619511</v>
      </c>
      <c r="AV229" s="5"/>
      <c r="AW229" s="173">
        <f t="shared" si="479"/>
        <v>9.1190460251277958E-2</v>
      </c>
      <c r="AX229" s="173">
        <f t="shared" si="631"/>
        <v>2.1865688611521539</v>
      </c>
      <c r="AY229" s="173">
        <f t="shared" si="632"/>
        <v>0.60587302649914809</v>
      </c>
      <c r="AZ229" s="173">
        <f t="shared" si="633"/>
        <v>3.6089556153152635</v>
      </c>
      <c r="BA229" s="460">
        <f t="shared" si="594"/>
        <v>0.35262611831178531</v>
      </c>
      <c r="BB229" s="5">
        <f t="shared" si="595"/>
        <v>0.21899761521647471</v>
      </c>
      <c r="BD229" s="173">
        <f t="shared" si="681"/>
        <v>0.23246245129056131</v>
      </c>
      <c r="BE229" s="173">
        <f t="shared" si="682"/>
        <v>0.73386224956225676</v>
      </c>
      <c r="BG229" s="528">
        <f t="shared" si="683"/>
        <v>1.0807758252003319E-3</v>
      </c>
      <c r="BH229" s="528">
        <f t="shared" si="634"/>
        <v>0.27052038464685879</v>
      </c>
      <c r="BI229" s="528">
        <f t="shared" si="635"/>
        <v>0.18432296785791233</v>
      </c>
      <c r="BJ229" s="528">
        <f t="shared" si="684"/>
        <v>5.7119650277273289E-2</v>
      </c>
      <c r="BK229">
        <f t="shared" si="685"/>
        <v>1.6185179647199111E-2</v>
      </c>
      <c r="BL229" s="460">
        <f t="shared" si="686"/>
        <v>200.50814750511145</v>
      </c>
      <c r="BM229" s="528">
        <f t="shared" si="636"/>
        <v>0.32909712984290201</v>
      </c>
      <c r="BN229" s="460">
        <f t="shared" si="687"/>
        <v>329.09712984290201</v>
      </c>
      <c r="BO229" s="528">
        <f t="shared" si="637"/>
        <v>9.0999999999999998E-2</v>
      </c>
      <c r="BR229" s="460">
        <f t="shared" si="688"/>
        <v>91</v>
      </c>
      <c r="BS229" s="528">
        <f t="shared" si="689"/>
        <v>1.6211637378004975E-3</v>
      </c>
      <c r="BT229" s="528">
        <f t="shared" si="690"/>
        <v>1.6156614039977282E-2</v>
      </c>
      <c r="BU229" s="528">
        <f t="shared" si="691"/>
        <v>6.1752271089520375E-2</v>
      </c>
      <c r="BV229" s="528"/>
      <c r="BW229" s="528">
        <f t="shared" si="692"/>
        <v>1.8221407176267947E-3</v>
      </c>
      <c r="BX229" s="460">
        <f t="shared" si="693"/>
        <v>81.352189584924943</v>
      </c>
      <c r="BY229" s="173">
        <f t="shared" si="694"/>
        <v>0.70158114783936876</v>
      </c>
      <c r="BZ229" s="5">
        <f t="shared" si="695"/>
        <v>2.1319999999999997</v>
      </c>
      <c r="CA229" s="173">
        <f t="shared" si="696"/>
        <v>0.75240477994627719</v>
      </c>
      <c r="CB229" s="5">
        <f t="shared" si="697"/>
        <v>75.240477994627724</v>
      </c>
      <c r="CE229" s="562">
        <f t="shared" si="638"/>
        <v>-50</v>
      </c>
      <c r="CF229">
        <f t="shared" si="639"/>
        <v>-50</v>
      </c>
      <c r="CG229" s="173">
        <f t="shared" si="640"/>
        <v>0.19736372266551475</v>
      </c>
      <c r="CI229" s="170">
        <v>13</v>
      </c>
      <c r="CJ229" s="217">
        <f t="shared" si="698"/>
        <v>0.13</v>
      </c>
      <c r="CK229" s="217"/>
      <c r="CL229" s="217">
        <f t="shared" si="641"/>
        <v>2.1319999999999997</v>
      </c>
      <c r="CM229" s="541">
        <f t="shared" si="642"/>
        <v>36</v>
      </c>
      <c r="CN229" s="443">
        <f t="shared" si="643"/>
        <v>16.799999999999997</v>
      </c>
      <c r="CO229" s="443">
        <f t="shared" si="644"/>
        <v>52.8</v>
      </c>
      <c r="CP229" s="443"/>
      <c r="CQ229" s="217">
        <f t="shared" si="645"/>
        <v>0.31818181818181812</v>
      </c>
      <c r="CR229" s="172">
        <f t="shared" si="646"/>
        <v>38.697272727272725</v>
      </c>
      <c r="CS229" s="172">
        <f t="shared" si="647"/>
        <v>2.1319999999999997</v>
      </c>
      <c r="CT229" s="217">
        <f t="shared" si="648"/>
        <v>2.3595898004434592</v>
      </c>
      <c r="CU229" s="217">
        <f t="shared" si="649"/>
        <v>16.399999999999999</v>
      </c>
      <c r="CV229" s="217"/>
      <c r="CW229" s="172">
        <f t="shared" si="650"/>
        <v>887.09314855429545</v>
      </c>
      <c r="CX229" s="172">
        <f t="shared" si="651"/>
        <v>16.399999999999999</v>
      </c>
      <c r="CY229" s="217">
        <f t="shared" si="652"/>
        <v>0.37225396825396823</v>
      </c>
      <c r="CZ229" s="217">
        <f t="shared" si="653"/>
        <v>0.12408465608465609</v>
      </c>
      <c r="DA229" s="217">
        <f t="shared" si="654"/>
        <v>0.26589569160997739</v>
      </c>
      <c r="DB229" s="197">
        <f t="shared" si="655"/>
        <v>350</v>
      </c>
      <c r="DC229" s="443">
        <f t="shared" si="656"/>
        <v>350</v>
      </c>
      <c r="DE229" s="217">
        <f t="shared" si="657"/>
        <v>2.7272727272727271</v>
      </c>
      <c r="DF229" s="173">
        <f t="shared" si="658"/>
        <v>1.9480519480519483</v>
      </c>
      <c r="DG229" s="173">
        <f t="shared" si="659"/>
        <v>0.92975206611570249</v>
      </c>
      <c r="DH229" s="173"/>
      <c r="DI229" s="173">
        <f t="shared" si="660"/>
        <v>0.95238095238095266</v>
      </c>
      <c r="DJ229" s="545">
        <f t="shared" si="661"/>
        <v>204.74999999999991</v>
      </c>
      <c r="DK229" s="528">
        <f t="shared" si="662"/>
        <v>0.22222222222222232</v>
      </c>
      <c r="DM229" s="173">
        <f t="shared" si="663"/>
        <v>1.0198039027185568</v>
      </c>
      <c r="DN229" s="173">
        <f t="shared" si="664"/>
        <v>1.3333333333333335</v>
      </c>
      <c r="DO229" s="173">
        <f t="shared" si="665"/>
        <v>1.117</v>
      </c>
      <c r="DQ229" s="545">
        <f t="shared" si="666"/>
        <v>130</v>
      </c>
      <c r="DR229" s="460">
        <f t="shared" si="667"/>
        <v>204.74999999999991</v>
      </c>
      <c r="DT229">
        <f t="shared" si="668"/>
        <v>130</v>
      </c>
      <c r="DU229">
        <f t="shared" si="669"/>
        <v>204.74999999999991</v>
      </c>
      <c r="DW229" s="5">
        <f t="shared" si="670"/>
        <v>4.8840048840048853</v>
      </c>
      <c r="DX229" s="5">
        <f t="shared" si="671"/>
        <v>0.44444444444444453</v>
      </c>
      <c r="DY229" s="5">
        <f t="shared" si="672"/>
        <v>4.4395604395604407</v>
      </c>
      <c r="DZ229" s="5"/>
      <c r="EA229" s="173">
        <f t="shared" si="673"/>
        <v>9.0999999999999998E-2</v>
      </c>
      <c r="EB229" s="173">
        <f t="shared" si="699"/>
        <v>2.1839999999999997</v>
      </c>
      <c r="EC229" s="173">
        <f t="shared" si="700"/>
        <v>0.60600000000000009</v>
      </c>
      <c r="ED229" s="173">
        <f t="shared" si="701"/>
        <v>3.6039603960396027</v>
      </c>
      <c r="EE229" s="460">
        <f t="shared" si="674"/>
        <v>0.35230352303523044</v>
      </c>
      <c r="EF229" s="5">
        <f t="shared" si="675"/>
        <v>0.21910052910052907</v>
      </c>
      <c r="EH229" s="173">
        <f t="shared" si="702"/>
        <v>0.23221956404645572</v>
      </c>
      <c r="EI229" s="173">
        <f t="shared" si="703"/>
        <v>0.73393914370788715</v>
      </c>
      <c r="EK229" s="528">
        <f t="shared" si="704"/>
        <v>1.078518518518519E-3</v>
      </c>
      <c r="EL229" s="528">
        <f t="shared" si="705"/>
        <v>0.28828799999999993</v>
      </c>
      <c r="EM229" s="528">
        <f t="shared" si="706"/>
        <v>2.5593749999999988E-2</v>
      </c>
      <c r="EN229" s="528">
        <f t="shared" si="707"/>
        <v>5.7081023999999966E-2</v>
      </c>
      <c r="EO229">
        <f t="shared" si="708"/>
        <v>1.6199999999999999E-2</v>
      </c>
      <c r="EP229" s="460">
        <f t="shared" si="709"/>
        <v>41.793749999999989</v>
      </c>
      <c r="EQ229" s="460"/>
      <c r="ER229" s="460">
        <f t="shared" si="710"/>
        <v>388.24129251851843</v>
      </c>
      <c r="ES229" s="528">
        <f t="shared" si="711"/>
        <v>9.0999999999999998E-2</v>
      </c>
      <c r="EV229" s="460">
        <f t="shared" si="712"/>
        <v>91</v>
      </c>
      <c r="EW229" s="528">
        <f t="shared" si="713"/>
        <v>1.6177777777777783E-3</v>
      </c>
      <c r="EX229" s="528">
        <f t="shared" si="714"/>
        <v>1.6159999999999997E-2</v>
      </c>
      <c r="EY229" s="528">
        <f t="shared" si="715"/>
        <v>6.1571058797802808E-2</v>
      </c>
      <c r="EZ229" s="528"/>
      <c r="FA229" s="528">
        <f t="shared" si="716"/>
        <v>1.8199999999999996E-3</v>
      </c>
      <c r="FB229" s="460">
        <f t="shared" si="717"/>
        <v>81.168836575580585</v>
      </c>
      <c r="FC229" s="173">
        <f t="shared" si="718"/>
        <v>0.56041012909409904</v>
      </c>
      <c r="FD229" s="5">
        <f t="shared" si="719"/>
        <v>2.1319999999999997</v>
      </c>
      <c r="FE229" s="173">
        <f t="shared" si="720"/>
        <v>0.79185558580458271</v>
      </c>
      <c r="FF229" s="5">
        <f t="shared" si="721"/>
        <v>79.185558580458277</v>
      </c>
      <c r="FI229" s="562">
        <f t="shared" si="676"/>
        <v>-50</v>
      </c>
      <c r="FJ229">
        <f t="shared" si="677"/>
        <v>-50</v>
      </c>
      <c r="FL229">
        <f t="shared" si="678"/>
        <v>0.19499999999999998</v>
      </c>
    </row>
    <row r="230" spans="5:168">
      <c r="E230" s="170">
        <v>14</v>
      </c>
      <c r="F230" s="217">
        <f t="shared" si="679"/>
        <v>0.14000000000000001</v>
      </c>
      <c r="G230" s="217"/>
      <c r="H230" s="217">
        <f t="shared" si="603"/>
        <v>2.2959999999999998</v>
      </c>
      <c r="I230" s="541">
        <f t="shared" si="604"/>
        <v>35.967065882664691</v>
      </c>
      <c r="J230" s="172">
        <f t="shared" si="605"/>
        <v>16.819760470401185</v>
      </c>
      <c r="K230" s="172">
        <f t="shared" si="606"/>
        <v>52.786826353065877</v>
      </c>
      <c r="L230" s="443"/>
      <c r="M230" s="217">
        <f t="shared" si="607"/>
        <v>0.3186386611710445</v>
      </c>
      <c r="N230" s="172">
        <f t="shared" si="608"/>
        <v>38.717381461036403</v>
      </c>
      <c r="O230" s="172">
        <f t="shared" si="599"/>
        <v>2.2959999999999998</v>
      </c>
      <c r="P230" s="217">
        <f t="shared" si="609"/>
        <v>2.3608159427461222</v>
      </c>
      <c r="Q230" s="217">
        <f t="shared" si="610"/>
        <v>16.399999999999999</v>
      </c>
      <c r="R230" s="217"/>
      <c r="S230" s="172">
        <f t="shared" si="611"/>
        <v>820.40917322334826</v>
      </c>
      <c r="T230" s="172">
        <f t="shared" si="612"/>
        <v>16.399999999999999</v>
      </c>
      <c r="U230" s="217">
        <f t="shared" si="613"/>
        <v>0.41094201276701636</v>
      </c>
      <c r="V230" s="217">
        <f t="shared" si="614"/>
        <v>0.13710610060024309</v>
      </c>
      <c r="W230" s="217">
        <f t="shared" si="615"/>
        <v>0.29318515931794215</v>
      </c>
      <c r="X230" s="197">
        <f t="shared" si="616"/>
        <v>350</v>
      </c>
      <c r="Y230" s="443">
        <f t="shared" si="680"/>
        <v>350</v>
      </c>
      <c r="AA230" s="217">
        <f t="shared" si="617"/>
        <v>2.7286634562376069</v>
      </c>
      <c r="AB230" s="173">
        <f t="shared" si="618"/>
        <v>1.9467555160772319</v>
      </c>
      <c r="AC230" s="173">
        <f t="shared" si="619"/>
        <v>0.92960711111606187</v>
      </c>
      <c r="AD230" s="173"/>
      <c r="AE230" s="173">
        <f t="shared" si="620"/>
        <v>0.95126206036977945</v>
      </c>
      <c r="AF230" s="545">
        <f t="shared" si="621"/>
        <v>220.75935617401552</v>
      </c>
      <c r="AG230" s="528">
        <f t="shared" si="622"/>
        <v>0.22196114741961523</v>
      </c>
      <c r="AI230" s="173">
        <f t="shared" si="623"/>
        <v>1.0589227378300139</v>
      </c>
      <c r="AJ230" s="173">
        <f t="shared" si="624"/>
        <v>1.3333333333333335</v>
      </c>
      <c r="AK230" s="173">
        <f t="shared" si="625"/>
        <v>1.1261482035280088</v>
      </c>
      <c r="AM230" s="545">
        <f t="shared" si="626"/>
        <v>140</v>
      </c>
      <c r="AN230" s="460">
        <f t="shared" si="627"/>
        <v>220.75935617401552</v>
      </c>
      <c r="AP230">
        <f t="shared" si="628"/>
        <v>140</v>
      </c>
      <c r="AQ230">
        <f t="shared" si="629"/>
        <v>220.75935617401552</v>
      </c>
      <c r="AS230" s="5">
        <f t="shared" si="600"/>
        <v>4.5298193350941878</v>
      </c>
      <c r="AT230" s="5">
        <f t="shared" si="630"/>
        <v>0.44485141079332907</v>
      </c>
      <c r="AU230" s="5">
        <f t="shared" si="478"/>
        <v>4.0849679243008588</v>
      </c>
      <c r="AV230" s="5"/>
      <c r="AW230" s="173">
        <f t="shared" si="479"/>
        <v>9.8205111039837825E-2</v>
      </c>
      <c r="AX230" s="173">
        <f t="shared" si="631"/>
        <v>2.3547664658561662</v>
      </c>
      <c r="AY230" s="173">
        <f t="shared" si="632"/>
        <v>0.60119659264010816</v>
      </c>
      <c r="AZ230" s="173">
        <f t="shared" si="633"/>
        <v>3.916799420827374</v>
      </c>
      <c r="BA230" s="460">
        <f t="shared" si="594"/>
        <v>0.37975120433576881</v>
      </c>
      <c r="BB230" s="5">
        <f t="shared" si="595"/>
        <v>0.21730728107375022</v>
      </c>
      <c r="BD230" s="173">
        <f t="shared" si="681"/>
        <v>0.24123768643589033</v>
      </c>
      <c r="BE230" s="173">
        <f t="shared" si="682"/>
        <v>0.73102460371430156</v>
      </c>
      <c r="BG230" s="528">
        <f t="shared" si="683"/>
        <v>1.1639124271388189E-3</v>
      </c>
      <c r="BH230" s="528">
        <f t="shared" si="634"/>
        <v>0.29132964500430952</v>
      </c>
      <c r="BI230" s="528">
        <f t="shared" si="635"/>
        <v>0.19850165769313641</v>
      </c>
      <c r="BJ230" s="528">
        <f t="shared" si="684"/>
        <v>6.1513469529371242E-2</v>
      </c>
      <c r="BK230">
        <f t="shared" si="685"/>
        <v>1.6185179647199111E-2</v>
      </c>
      <c r="BL230" s="460">
        <f t="shared" si="686"/>
        <v>214.68683734033553</v>
      </c>
      <c r="BM230" s="528">
        <f t="shared" si="636"/>
        <v>0.3544192964105331</v>
      </c>
      <c r="BN230" s="460">
        <f t="shared" si="687"/>
        <v>354.41929641053309</v>
      </c>
      <c r="BO230" s="528">
        <f t="shared" si="637"/>
        <v>9.8000000000000004E-2</v>
      </c>
      <c r="BR230" s="460">
        <f t="shared" si="688"/>
        <v>98</v>
      </c>
      <c r="BS230" s="528">
        <f t="shared" si="689"/>
        <v>1.7458686407082283E-3</v>
      </c>
      <c r="BT230" s="528">
        <f t="shared" si="690"/>
        <v>1.6031909137069551E-2</v>
      </c>
      <c r="BU230" s="528">
        <f t="shared" si="691"/>
        <v>7.4321530226511917E-2</v>
      </c>
      <c r="BV230" s="528"/>
      <c r="BW230" s="528">
        <f t="shared" si="692"/>
        <v>1.9623053882134715E-3</v>
      </c>
      <c r="BX230" s="460">
        <f t="shared" si="693"/>
        <v>94.061613392503176</v>
      </c>
      <c r="BY230" s="173">
        <f t="shared" si="694"/>
        <v>0.76075547769365826</v>
      </c>
      <c r="BZ230" s="5">
        <f t="shared" si="695"/>
        <v>2.2959999999999998</v>
      </c>
      <c r="CA230" s="173">
        <f t="shared" si="696"/>
        <v>0.751123214386892</v>
      </c>
      <c r="CB230" s="5">
        <f t="shared" si="697"/>
        <v>75.112321438689207</v>
      </c>
      <c r="CE230" s="562">
        <f t="shared" si="638"/>
        <v>-50</v>
      </c>
      <c r="CF230">
        <f t="shared" si="639"/>
        <v>-50</v>
      </c>
      <c r="CG230" s="173">
        <f t="shared" si="640"/>
        <v>0.21254554748593901</v>
      </c>
      <c r="CI230" s="170">
        <v>14</v>
      </c>
      <c r="CJ230" s="217">
        <f t="shared" si="698"/>
        <v>0.14000000000000001</v>
      </c>
      <c r="CK230" s="217"/>
      <c r="CL230" s="217">
        <f t="shared" si="641"/>
        <v>2.2959999999999998</v>
      </c>
      <c r="CM230" s="541">
        <f t="shared" si="642"/>
        <v>36</v>
      </c>
      <c r="CN230" s="443">
        <f t="shared" si="643"/>
        <v>16.799999999999997</v>
      </c>
      <c r="CO230" s="443">
        <f t="shared" si="644"/>
        <v>52.8</v>
      </c>
      <c r="CP230" s="443"/>
      <c r="CQ230" s="217">
        <f t="shared" si="645"/>
        <v>0.31818181818181812</v>
      </c>
      <c r="CR230" s="172">
        <f t="shared" si="646"/>
        <v>38.697272727272725</v>
      </c>
      <c r="CS230" s="172">
        <f t="shared" si="647"/>
        <v>2.2959999999999998</v>
      </c>
      <c r="CT230" s="217">
        <f t="shared" si="648"/>
        <v>2.3595898004434592</v>
      </c>
      <c r="CU230" s="217">
        <f t="shared" si="649"/>
        <v>16.399999999999999</v>
      </c>
      <c r="CV230" s="217"/>
      <c r="CW230" s="172">
        <f t="shared" si="650"/>
        <v>821.16038476500989</v>
      </c>
      <c r="CX230" s="172">
        <f t="shared" si="651"/>
        <v>16.399999999999999</v>
      </c>
      <c r="CY230" s="217">
        <f t="shared" si="652"/>
        <v>0.40088888888888891</v>
      </c>
      <c r="CZ230" s="217">
        <f t="shared" si="653"/>
        <v>0.13362962962962965</v>
      </c>
      <c r="DA230" s="217">
        <f t="shared" si="654"/>
        <v>0.28634920634920641</v>
      </c>
      <c r="DB230" s="197">
        <f t="shared" si="655"/>
        <v>350</v>
      </c>
      <c r="DC230" s="443">
        <f t="shared" si="656"/>
        <v>350</v>
      </c>
      <c r="DE230" s="217">
        <f t="shared" si="657"/>
        <v>2.7272727272727271</v>
      </c>
      <c r="DF230" s="173">
        <f t="shared" si="658"/>
        <v>1.9480519480519483</v>
      </c>
      <c r="DG230" s="173">
        <f t="shared" si="659"/>
        <v>0.92975206611570249</v>
      </c>
      <c r="DH230" s="173"/>
      <c r="DI230" s="173">
        <f t="shared" si="660"/>
        <v>0.95238095238095266</v>
      </c>
      <c r="DJ230" s="545">
        <f t="shared" si="661"/>
        <v>220.49999999999994</v>
      </c>
      <c r="DK230" s="528">
        <f t="shared" si="662"/>
        <v>0.22222222222222232</v>
      </c>
      <c r="DM230" s="173">
        <f t="shared" si="663"/>
        <v>1.0583005244258361</v>
      </c>
      <c r="DN230" s="173">
        <f t="shared" si="664"/>
        <v>1.3333333333333335</v>
      </c>
      <c r="DO230" s="173">
        <f t="shared" si="665"/>
        <v>1.1259999999999999</v>
      </c>
      <c r="DQ230" s="545">
        <f t="shared" si="666"/>
        <v>140</v>
      </c>
      <c r="DR230" s="460">
        <f t="shared" si="667"/>
        <v>220.49999999999994</v>
      </c>
      <c r="DT230">
        <f t="shared" si="668"/>
        <v>140</v>
      </c>
      <c r="DU230">
        <f t="shared" si="669"/>
        <v>220.49999999999994</v>
      </c>
      <c r="DW230" s="5">
        <f t="shared" si="670"/>
        <v>4.5351473922902503</v>
      </c>
      <c r="DX230" s="5">
        <f t="shared" si="671"/>
        <v>0.44444444444444453</v>
      </c>
      <c r="DY230" s="5">
        <f t="shared" si="672"/>
        <v>4.0907029478458057</v>
      </c>
      <c r="DZ230" s="5"/>
      <c r="EA230" s="173">
        <f t="shared" si="673"/>
        <v>9.8000000000000004E-2</v>
      </c>
      <c r="EB230" s="173">
        <f t="shared" si="699"/>
        <v>2.3519999999999999</v>
      </c>
      <c r="EC230" s="173">
        <f t="shared" si="700"/>
        <v>0.60133333333333339</v>
      </c>
      <c r="ED230" s="173">
        <f t="shared" si="701"/>
        <v>3.9113082039911302</v>
      </c>
      <c r="EE230" s="460">
        <f t="shared" si="674"/>
        <v>0.37940379403794056</v>
      </c>
      <c r="EF230" s="5">
        <f t="shared" si="675"/>
        <v>0.21741328630217518</v>
      </c>
      <c r="EH230" s="173">
        <f t="shared" si="702"/>
        <v>0.24098563043068377</v>
      </c>
      <c r="EI230" s="173">
        <f t="shared" si="703"/>
        <v>0.73110773386589112</v>
      </c>
      <c r="EK230" s="528">
        <f t="shared" si="704"/>
        <v>1.1614814814814819E-3</v>
      </c>
      <c r="EL230" s="528">
        <f t="shared" si="705"/>
        <v>0.31046399999999991</v>
      </c>
      <c r="EM230" s="528">
        <f t="shared" si="706"/>
        <v>2.7562499999999993E-2</v>
      </c>
      <c r="EN230" s="528">
        <f t="shared" si="707"/>
        <v>6.1471871999999983E-2</v>
      </c>
      <c r="EO230">
        <f t="shared" si="708"/>
        <v>1.6199999999999999E-2</v>
      </c>
      <c r="EP230" s="460">
        <f t="shared" si="709"/>
        <v>43.762499999999996</v>
      </c>
      <c r="EQ230" s="460"/>
      <c r="ER230" s="460">
        <f t="shared" si="710"/>
        <v>416.85985348148137</v>
      </c>
      <c r="ES230" s="528">
        <f t="shared" si="711"/>
        <v>9.8000000000000004E-2</v>
      </c>
      <c r="EV230" s="460">
        <f t="shared" si="712"/>
        <v>98</v>
      </c>
      <c r="EW230" s="528">
        <f t="shared" si="713"/>
        <v>1.7422222222222229E-3</v>
      </c>
      <c r="EX230" s="528">
        <f t="shared" si="714"/>
        <v>1.603555555555556E-2</v>
      </c>
      <c r="EY230" s="528">
        <f t="shared" si="715"/>
        <v>7.41034333925224E-2</v>
      </c>
      <c r="EZ230" s="528"/>
      <c r="FA230" s="528">
        <f t="shared" si="716"/>
        <v>1.9599999999999999E-3</v>
      </c>
      <c r="FB230" s="460">
        <f t="shared" si="717"/>
        <v>93.841211170300184</v>
      </c>
      <c r="FC230" s="173">
        <f t="shared" si="718"/>
        <v>0.60870106465178142</v>
      </c>
      <c r="FD230" s="5">
        <f t="shared" si="719"/>
        <v>2.2959999999999998</v>
      </c>
      <c r="FE230" s="173">
        <f t="shared" si="720"/>
        <v>0.79044278529751111</v>
      </c>
      <c r="FF230" s="5">
        <f t="shared" si="721"/>
        <v>79.044278529751111</v>
      </c>
      <c r="FI230" s="562">
        <f t="shared" si="676"/>
        <v>-50</v>
      </c>
      <c r="FJ230">
        <f t="shared" si="677"/>
        <v>-50</v>
      </c>
      <c r="FL230">
        <f t="shared" si="678"/>
        <v>0.21000000000000002</v>
      </c>
    </row>
    <row r="231" spans="5:168">
      <c r="E231" s="170">
        <v>15</v>
      </c>
      <c r="F231" s="217">
        <f t="shared" si="679"/>
        <v>0.15</v>
      </c>
      <c r="G231" s="217"/>
      <c r="H231" s="217">
        <f t="shared" si="603"/>
        <v>2.4599999999999995</v>
      </c>
      <c r="I231" s="541">
        <f t="shared" si="604"/>
        <v>35.967065882664691</v>
      </c>
      <c r="J231" s="172">
        <f t="shared" si="605"/>
        <v>16.819760470401185</v>
      </c>
      <c r="K231" s="172">
        <f t="shared" si="606"/>
        <v>52.786826353065877</v>
      </c>
      <c r="L231" s="443"/>
      <c r="M231" s="217">
        <f t="shared" si="607"/>
        <v>0.3186386611710445</v>
      </c>
      <c r="N231" s="172">
        <f t="shared" si="608"/>
        <v>38.717381461036403</v>
      </c>
      <c r="O231" s="172">
        <f t="shared" si="599"/>
        <v>2.4599999999999995</v>
      </c>
      <c r="P231" s="217">
        <f t="shared" si="609"/>
        <v>2.3608159427461222</v>
      </c>
      <c r="Q231" s="217">
        <f t="shared" si="610"/>
        <v>16.399999999999999</v>
      </c>
      <c r="R231" s="217"/>
      <c r="S231" s="172">
        <f t="shared" si="611"/>
        <v>763.31990267408003</v>
      </c>
      <c r="T231" s="172">
        <f t="shared" si="612"/>
        <v>16.399999999999999</v>
      </c>
      <c r="U231" s="217">
        <f t="shared" si="613"/>
        <v>0.44029501367894602</v>
      </c>
      <c r="V231" s="217">
        <f t="shared" si="614"/>
        <v>0.14689939350026043</v>
      </c>
      <c r="W231" s="217">
        <f t="shared" si="615"/>
        <v>0.31412695641208077</v>
      </c>
      <c r="X231" s="197">
        <f t="shared" si="616"/>
        <v>350</v>
      </c>
      <c r="Y231" s="443">
        <f t="shared" si="680"/>
        <v>350</v>
      </c>
      <c r="AA231" s="217">
        <f t="shared" si="617"/>
        <v>2.7286634562376069</v>
      </c>
      <c r="AB231" s="173">
        <f t="shared" si="618"/>
        <v>1.9467555160772319</v>
      </c>
      <c r="AC231" s="173">
        <f t="shared" si="619"/>
        <v>0.92960711111606187</v>
      </c>
      <c r="AD231" s="173"/>
      <c r="AE231" s="173">
        <f t="shared" si="620"/>
        <v>0.95126206036977945</v>
      </c>
      <c r="AF231" s="545">
        <f t="shared" si="621"/>
        <v>236.52788161501661</v>
      </c>
      <c r="AG231" s="528">
        <f t="shared" si="622"/>
        <v>0.22196114741961523</v>
      </c>
      <c r="AI231" s="173">
        <f t="shared" si="623"/>
        <v>1.0960891670715085</v>
      </c>
      <c r="AJ231" s="173">
        <f t="shared" si="624"/>
        <v>1.3333333333333335</v>
      </c>
      <c r="AK231" s="173">
        <f t="shared" si="625"/>
        <v>1.1351587894942952</v>
      </c>
      <c r="AM231" s="545">
        <f t="shared" si="626"/>
        <v>150</v>
      </c>
      <c r="AN231" s="460">
        <f t="shared" si="627"/>
        <v>236.52788161501661</v>
      </c>
      <c r="AP231">
        <f t="shared" si="628"/>
        <v>150</v>
      </c>
      <c r="AQ231">
        <f t="shared" si="629"/>
        <v>236.52788161501661</v>
      </c>
      <c r="AS231" s="5">
        <f t="shared" si="600"/>
        <v>4.2278313794212421</v>
      </c>
      <c r="AT231" s="5">
        <f t="shared" si="630"/>
        <v>0.44485141079332907</v>
      </c>
      <c r="AU231" s="5">
        <f t="shared" si="478"/>
        <v>3.7829799686279131</v>
      </c>
      <c r="AV231" s="5"/>
      <c r="AW231" s="173">
        <f t="shared" si="479"/>
        <v>0.10521976182839766</v>
      </c>
      <c r="AX231" s="173">
        <f t="shared" si="631"/>
        <v>2.5229640705601777</v>
      </c>
      <c r="AY231" s="173">
        <f t="shared" si="632"/>
        <v>0.59652015878106834</v>
      </c>
      <c r="AZ231" s="173">
        <f t="shared" si="633"/>
        <v>4.2294699238926183</v>
      </c>
      <c r="BA231" s="460">
        <f t="shared" si="594"/>
        <v>0.40687629035975226</v>
      </c>
      <c r="BB231" s="5">
        <f t="shared" si="595"/>
        <v>0.21561694693102573</v>
      </c>
      <c r="BD231" s="173">
        <f t="shared" si="681"/>
        <v>0.24970472853725717</v>
      </c>
      <c r="BE231" s="173">
        <f t="shared" si="682"/>
        <v>0.72817589986124054</v>
      </c>
      <c r="BG231" s="528">
        <f t="shared" si="683"/>
        <v>1.247049029077306E-3</v>
      </c>
      <c r="BH231" s="528">
        <f t="shared" si="634"/>
        <v>0.3121389053617602</v>
      </c>
      <c r="BI231" s="528">
        <f t="shared" si="635"/>
        <v>0.21268034752836043</v>
      </c>
      <c r="BJ231" s="528">
        <f t="shared" si="684"/>
        <v>6.5907288781469189E-2</v>
      </c>
      <c r="BK231">
        <f t="shared" si="685"/>
        <v>1.6185179647199111E-2</v>
      </c>
      <c r="BL231" s="460">
        <f t="shared" si="686"/>
        <v>228.86552717555955</v>
      </c>
      <c r="BM231" s="528">
        <f t="shared" si="636"/>
        <v>0.37974246366517528</v>
      </c>
      <c r="BN231" s="460">
        <f t="shared" si="687"/>
        <v>379.74246366517525</v>
      </c>
      <c r="BO231" s="528">
        <f t="shared" si="637"/>
        <v>0.105</v>
      </c>
      <c r="BR231" s="460">
        <f t="shared" si="688"/>
        <v>105</v>
      </c>
      <c r="BS231" s="528">
        <f t="shared" si="689"/>
        <v>1.8705735436159588E-3</v>
      </c>
      <c r="BT231" s="528">
        <f t="shared" si="690"/>
        <v>1.5907204234161823E-2</v>
      </c>
      <c r="BU231" s="528">
        <f t="shared" si="691"/>
        <v>8.8312606175211528E-2</v>
      </c>
      <c r="BV231" s="528"/>
      <c r="BW231" s="528">
        <f t="shared" si="692"/>
        <v>2.1024700588001479E-3</v>
      </c>
      <c r="BX231" s="460">
        <f t="shared" si="693"/>
        <v>108.19285401178946</v>
      </c>
      <c r="BY231" s="173">
        <f t="shared" si="694"/>
        <v>0.8213516243596557</v>
      </c>
      <c r="BZ231" s="5">
        <f t="shared" si="695"/>
        <v>2.4599999999999995</v>
      </c>
      <c r="CA231" s="173">
        <f t="shared" si="696"/>
        <v>0.74969106685726195</v>
      </c>
      <c r="CB231" s="5">
        <f t="shared" si="697"/>
        <v>74.969106685726189</v>
      </c>
      <c r="CE231" s="562">
        <f t="shared" si="638"/>
        <v>-50</v>
      </c>
      <c r="CF231">
        <f t="shared" si="639"/>
        <v>-50</v>
      </c>
      <c r="CG231" s="173">
        <f t="shared" si="640"/>
        <v>0.2277273723063632</v>
      </c>
      <c r="CI231" s="170">
        <v>15</v>
      </c>
      <c r="CJ231" s="217">
        <f t="shared" si="698"/>
        <v>0.15</v>
      </c>
      <c r="CK231" s="217"/>
      <c r="CL231" s="217">
        <f t="shared" si="641"/>
        <v>2.4599999999999995</v>
      </c>
      <c r="CM231" s="541">
        <f t="shared" si="642"/>
        <v>36</v>
      </c>
      <c r="CN231" s="443">
        <f t="shared" si="643"/>
        <v>16.799999999999997</v>
      </c>
      <c r="CO231" s="443">
        <f t="shared" si="644"/>
        <v>52.8</v>
      </c>
      <c r="CP231" s="443"/>
      <c r="CQ231" s="217">
        <f t="shared" si="645"/>
        <v>0.31818181818181812</v>
      </c>
      <c r="CR231" s="172">
        <f t="shared" si="646"/>
        <v>38.697272727272725</v>
      </c>
      <c r="CS231" s="172">
        <f t="shared" si="647"/>
        <v>2.4599999999999995</v>
      </c>
      <c r="CT231" s="217">
        <f t="shared" si="648"/>
        <v>2.3595898004434592</v>
      </c>
      <c r="CU231" s="217">
        <f t="shared" si="649"/>
        <v>16.399999999999999</v>
      </c>
      <c r="CV231" s="217"/>
      <c r="CW231" s="172">
        <f t="shared" si="650"/>
        <v>764.01883784031372</v>
      </c>
      <c r="CX231" s="172">
        <f t="shared" si="651"/>
        <v>16.399999999999999</v>
      </c>
      <c r="CY231" s="217">
        <f t="shared" si="652"/>
        <v>0.42952380952380947</v>
      </c>
      <c r="CZ231" s="217">
        <f t="shared" si="653"/>
        <v>0.14317460317460315</v>
      </c>
      <c r="DA231" s="217">
        <f t="shared" si="654"/>
        <v>0.30680272108843543</v>
      </c>
      <c r="DB231" s="197">
        <f t="shared" si="655"/>
        <v>350</v>
      </c>
      <c r="DC231" s="443">
        <f t="shared" si="656"/>
        <v>350</v>
      </c>
      <c r="DE231" s="217">
        <f t="shared" si="657"/>
        <v>2.7272727272727271</v>
      </c>
      <c r="DF231" s="173">
        <f t="shared" si="658"/>
        <v>1.9480519480519483</v>
      </c>
      <c r="DG231" s="173">
        <f t="shared" si="659"/>
        <v>0.92975206611570249</v>
      </c>
      <c r="DH231" s="173"/>
      <c r="DI231" s="173">
        <f t="shared" si="660"/>
        <v>0.95238095238095266</v>
      </c>
      <c r="DJ231" s="545">
        <f t="shared" si="661"/>
        <v>236.24999999999989</v>
      </c>
      <c r="DK231" s="528">
        <f t="shared" si="662"/>
        <v>0.22222222222222232</v>
      </c>
      <c r="DM231" s="173">
        <f t="shared" si="663"/>
        <v>1.0954451150103321</v>
      </c>
      <c r="DN231" s="173">
        <f t="shared" si="664"/>
        <v>1.3333333333333335</v>
      </c>
      <c r="DO231" s="173">
        <f t="shared" si="665"/>
        <v>1.135</v>
      </c>
      <c r="DQ231" s="545">
        <f t="shared" si="666"/>
        <v>150</v>
      </c>
      <c r="DR231" s="460">
        <f t="shared" si="667"/>
        <v>236.24999999999989</v>
      </c>
      <c r="DT231">
        <f t="shared" si="668"/>
        <v>150</v>
      </c>
      <c r="DU231">
        <f t="shared" si="669"/>
        <v>236.24999999999989</v>
      </c>
      <c r="DW231" s="5">
        <f t="shared" si="670"/>
        <v>4.2328042328042352</v>
      </c>
      <c r="DX231" s="5">
        <f t="shared" si="671"/>
        <v>0.44444444444444453</v>
      </c>
      <c r="DY231" s="5">
        <f t="shared" si="672"/>
        <v>3.7883597883597906</v>
      </c>
      <c r="DZ231" s="5"/>
      <c r="EA231" s="173">
        <f t="shared" si="673"/>
        <v>0.10499999999999995</v>
      </c>
      <c r="EB231" s="173">
        <f t="shared" si="699"/>
        <v>2.5199999999999991</v>
      </c>
      <c r="EC231" s="173">
        <f t="shared" si="700"/>
        <v>0.59666666666666679</v>
      </c>
      <c r="ED231" s="173">
        <f t="shared" si="701"/>
        <v>4.2234636871508355</v>
      </c>
      <c r="EE231" s="460">
        <f t="shared" si="674"/>
        <v>0.40650406504065056</v>
      </c>
      <c r="EF231" s="5">
        <f t="shared" si="675"/>
        <v>0.21572604350382132</v>
      </c>
      <c r="EH231" s="173">
        <f t="shared" si="702"/>
        <v>0.24944382578492941</v>
      </c>
      <c r="EI231" s="173">
        <f t="shared" si="703"/>
        <v>0.7282653159188418</v>
      </c>
      <c r="EK231" s="528">
        <f t="shared" si="704"/>
        <v>1.2444444444444443E-3</v>
      </c>
      <c r="EL231" s="528">
        <f t="shared" si="705"/>
        <v>0.33263999999999988</v>
      </c>
      <c r="EM231" s="528">
        <f t="shared" si="706"/>
        <v>2.9531249999999985E-2</v>
      </c>
      <c r="EN231" s="528">
        <f t="shared" si="707"/>
        <v>6.5862719999999958E-2</v>
      </c>
      <c r="EO231">
        <f t="shared" si="708"/>
        <v>1.6199999999999999E-2</v>
      </c>
      <c r="EP231" s="460">
        <f t="shared" si="709"/>
        <v>45.731249999999989</v>
      </c>
      <c r="EQ231" s="460"/>
      <c r="ER231" s="460">
        <f t="shared" si="710"/>
        <v>445.47841444444424</v>
      </c>
      <c r="ES231" s="528">
        <f t="shared" si="711"/>
        <v>0.105</v>
      </c>
      <c r="EV231" s="460">
        <f t="shared" si="712"/>
        <v>105</v>
      </c>
      <c r="EW231" s="528">
        <f t="shared" si="713"/>
        <v>1.8666666666666664E-3</v>
      </c>
      <c r="EX231" s="528">
        <f t="shared" si="714"/>
        <v>1.5911111111111115E-2</v>
      </c>
      <c r="EY231" s="528">
        <f t="shared" si="715"/>
        <v>8.8053452471708829E-2</v>
      </c>
      <c r="EZ231" s="528"/>
      <c r="FA231" s="528">
        <f t="shared" si="716"/>
        <v>2.0999999999999994E-3</v>
      </c>
      <c r="FB231" s="460">
        <f t="shared" si="717"/>
        <v>107.93123024948662</v>
      </c>
      <c r="FC231" s="173">
        <f t="shared" si="718"/>
        <v>0.65840964469393082</v>
      </c>
      <c r="FD231" s="5">
        <f t="shared" si="719"/>
        <v>2.4599999999999995</v>
      </c>
      <c r="FE231" s="173">
        <f t="shared" si="720"/>
        <v>0.78886364534748177</v>
      </c>
      <c r="FF231" s="5">
        <f t="shared" si="721"/>
        <v>78.886364534748182</v>
      </c>
      <c r="FI231" s="562">
        <f t="shared" si="676"/>
        <v>-50</v>
      </c>
      <c r="FJ231">
        <f t="shared" si="677"/>
        <v>-50</v>
      </c>
      <c r="FL231">
        <f t="shared" si="678"/>
        <v>0.22499999999999998</v>
      </c>
    </row>
    <row r="232" spans="5:168">
      <c r="E232" s="170">
        <v>16</v>
      </c>
      <c r="F232" s="217">
        <f t="shared" si="679"/>
        <v>0.16</v>
      </c>
      <c r="G232" s="217"/>
      <c r="H232" s="217">
        <f t="shared" si="603"/>
        <v>2.6239999999999997</v>
      </c>
      <c r="I232" s="541">
        <f t="shared" si="604"/>
        <v>35.967065882664691</v>
      </c>
      <c r="J232" s="172">
        <f t="shared" si="605"/>
        <v>16.819760470401185</v>
      </c>
      <c r="K232" s="172">
        <f t="shared" si="606"/>
        <v>52.786826353065877</v>
      </c>
      <c r="L232" s="443"/>
      <c r="M232" s="217">
        <f t="shared" si="607"/>
        <v>0.3186386611710445</v>
      </c>
      <c r="N232" s="172">
        <f t="shared" si="608"/>
        <v>38.717381461036403</v>
      </c>
      <c r="O232" s="172">
        <f t="shared" si="599"/>
        <v>2.6239999999999997</v>
      </c>
      <c r="P232" s="217">
        <f t="shared" si="609"/>
        <v>2.3608159427461222</v>
      </c>
      <c r="Q232" s="217">
        <f t="shared" si="610"/>
        <v>16.399999999999999</v>
      </c>
      <c r="R232" s="217"/>
      <c r="S232" s="172">
        <f t="shared" si="611"/>
        <v>713.36696286822098</v>
      </c>
      <c r="T232" s="172">
        <f t="shared" si="612"/>
        <v>16.399999999999999</v>
      </c>
      <c r="U232" s="217">
        <f t="shared" si="613"/>
        <v>0.4696480145908758</v>
      </c>
      <c r="V232" s="217">
        <f t="shared" si="614"/>
        <v>0.15669268640027781</v>
      </c>
      <c r="W232" s="217">
        <f t="shared" si="615"/>
        <v>0.33506875350621951</v>
      </c>
      <c r="X232" s="197">
        <f t="shared" si="616"/>
        <v>350</v>
      </c>
      <c r="Y232" s="443">
        <f t="shared" si="680"/>
        <v>350</v>
      </c>
      <c r="AA232" s="217">
        <f t="shared" si="617"/>
        <v>2.7286634562376069</v>
      </c>
      <c r="AB232" s="173">
        <f t="shared" si="618"/>
        <v>1.9467555160772319</v>
      </c>
      <c r="AC232" s="173">
        <f t="shared" si="619"/>
        <v>0.92960711111606187</v>
      </c>
      <c r="AD232" s="173"/>
      <c r="AE232" s="173">
        <f t="shared" si="620"/>
        <v>0.95126206036977945</v>
      </c>
      <c r="AF232" s="545">
        <f t="shared" si="621"/>
        <v>252.29640705601773</v>
      </c>
      <c r="AG232" s="528">
        <f t="shared" si="622"/>
        <v>0.22196114741961523</v>
      </c>
      <c r="AI232" s="173">
        <f t="shared" si="623"/>
        <v>1.1320360240070164</v>
      </c>
      <c r="AJ232" s="173">
        <f t="shared" si="624"/>
        <v>1.3333333333333335</v>
      </c>
      <c r="AK232" s="173">
        <f t="shared" si="625"/>
        <v>1.1441693754605815</v>
      </c>
      <c r="AM232" s="545">
        <f t="shared" si="626"/>
        <v>160</v>
      </c>
      <c r="AN232" s="460">
        <f t="shared" si="627"/>
        <v>252.29640705601773</v>
      </c>
      <c r="AP232">
        <f t="shared" si="628"/>
        <v>160</v>
      </c>
      <c r="AQ232">
        <f t="shared" si="629"/>
        <v>252.29640705601773</v>
      </c>
      <c r="AS232" s="5">
        <f t="shared" si="600"/>
        <v>3.9635919182074146</v>
      </c>
      <c r="AT232" s="5">
        <f t="shared" si="630"/>
        <v>0.44485141079332907</v>
      </c>
      <c r="AU232" s="5">
        <f t="shared" si="478"/>
        <v>3.5187405074140856</v>
      </c>
      <c r="AV232" s="5"/>
      <c r="AW232" s="173">
        <f t="shared" si="479"/>
        <v>0.1122344126169575</v>
      </c>
      <c r="AX232" s="173">
        <f t="shared" si="631"/>
        <v>2.6911616752641896</v>
      </c>
      <c r="AY232" s="173">
        <f t="shared" si="632"/>
        <v>0.59184372492202841</v>
      </c>
      <c r="AZ232" s="173">
        <f t="shared" si="633"/>
        <v>4.5470815384901355</v>
      </c>
      <c r="BA232" s="460">
        <f t="shared" si="594"/>
        <v>0.43400137638373576</v>
      </c>
      <c r="BB232" s="5">
        <f t="shared" si="595"/>
        <v>0.2139266127883013</v>
      </c>
      <c r="BD232" s="173">
        <f t="shared" si="681"/>
        <v>0.25789393469174426</v>
      </c>
      <c r="BE232" s="173">
        <f t="shared" si="682"/>
        <v>0.72531600771098603</v>
      </c>
      <c r="BG232" s="528">
        <f t="shared" si="683"/>
        <v>1.330185631015793E-3</v>
      </c>
      <c r="BH232" s="528">
        <f t="shared" si="634"/>
        <v>0.33294816571921082</v>
      </c>
      <c r="BI232" s="528">
        <f t="shared" si="635"/>
        <v>0.22685903736358443</v>
      </c>
      <c r="BJ232" s="528">
        <f t="shared" si="684"/>
        <v>7.0301108033567136E-2</v>
      </c>
      <c r="BK232">
        <f t="shared" si="685"/>
        <v>1.6185179647199111E-2</v>
      </c>
      <c r="BL232" s="460">
        <f t="shared" si="686"/>
        <v>243.04421701078354</v>
      </c>
      <c r="BM232" s="528">
        <f t="shared" si="636"/>
        <v>0.40506663166614781</v>
      </c>
      <c r="BN232" s="460">
        <f t="shared" si="687"/>
        <v>405.06663166614783</v>
      </c>
      <c r="BO232" s="528">
        <f t="shared" si="637"/>
        <v>0.11199999999999999</v>
      </c>
      <c r="BR232" s="460">
        <f t="shared" si="688"/>
        <v>111.99999999999999</v>
      </c>
      <c r="BS232" s="528">
        <f t="shared" si="689"/>
        <v>1.9952784465236896E-3</v>
      </c>
      <c r="BT232" s="528">
        <f t="shared" si="690"/>
        <v>1.5782499331254096E-2</v>
      </c>
      <c r="BU232" s="528">
        <f t="shared" si="691"/>
        <v>0.10377542253280322</v>
      </c>
      <c r="BV232" s="528"/>
      <c r="BW232" s="528">
        <f t="shared" si="692"/>
        <v>2.2426347293868247E-3</v>
      </c>
      <c r="BX232" s="460">
        <f t="shared" si="693"/>
        <v>123.79583503996783</v>
      </c>
      <c r="BY232" s="173">
        <f t="shared" si="694"/>
        <v>0.88341951143454511</v>
      </c>
      <c r="BZ232" s="5">
        <f t="shared" si="695"/>
        <v>2.6239999999999997</v>
      </c>
      <c r="CA232" s="173">
        <f t="shared" si="696"/>
        <v>0.74812835802660393</v>
      </c>
      <c r="CB232" s="5">
        <f t="shared" si="697"/>
        <v>74.812835802660388</v>
      </c>
      <c r="CE232" s="562">
        <f t="shared" si="638"/>
        <v>-50</v>
      </c>
      <c r="CF232">
        <f t="shared" si="639"/>
        <v>-50</v>
      </c>
      <c r="CG232" s="173">
        <f t="shared" si="640"/>
        <v>0.24290919712678744</v>
      </c>
      <c r="CI232" s="170">
        <v>16</v>
      </c>
      <c r="CJ232" s="217">
        <f t="shared" si="698"/>
        <v>0.16</v>
      </c>
      <c r="CK232" s="217"/>
      <c r="CL232" s="217">
        <f t="shared" si="641"/>
        <v>2.6239999999999997</v>
      </c>
      <c r="CM232" s="541">
        <f t="shared" si="642"/>
        <v>36</v>
      </c>
      <c r="CN232" s="443">
        <f t="shared" si="643"/>
        <v>16.799999999999997</v>
      </c>
      <c r="CO232" s="443">
        <f t="shared" si="644"/>
        <v>52.8</v>
      </c>
      <c r="CP232" s="443"/>
      <c r="CQ232" s="217">
        <f t="shared" si="645"/>
        <v>0.31818181818181812</v>
      </c>
      <c r="CR232" s="172">
        <f t="shared" si="646"/>
        <v>38.697272727272725</v>
      </c>
      <c r="CS232" s="172">
        <f t="shared" si="647"/>
        <v>2.6239999999999997</v>
      </c>
      <c r="CT232" s="217">
        <f t="shared" si="648"/>
        <v>2.3595898004434592</v>
      </c>
      <c r="CU232" s="217">
        <f t="shared" si="649"/>
        <v>16.399999999999999</v>
      </c>
      <c r="CV232" s="217"/>
      <c r="CW232" s="172">
        <f t="shared" si="650"/>
        <v>714.02015620622535</v>
      </c>
      <c r="CX232" s="172">
        <f t="shared" si="651"/>
        <v>16.399999999999999</v>
      </c>
      <c r="CY232" s="217">
        <f t="shared" si="652"/>
        <v>0.45815873015873015</v>
      </c>
      <c r="CZ232" s="217">
        <f t="shared" si="653"/>
        <v>0.15271957671957673</v>
      </c>
      <c r="DA232" s="217">
        <f t="shared" si="654"/>
        <v>0.32725623582766444</v>
      </c>
      <c r="DB232" s="197">
        <f t="shared" si="655"/>
        <v>350</v>
      </c>
      <c r="DC232" s="443">
        <f t="shared" si="656"/>
        <v>350</v>
      </c>
      <c r="DE232" s="217">
        <f t="shared" si="657"/>
        <v>2.7272727272727271</v>
      </c>
      <c r="DF232" s="173">
        <f t="shared" si="658"/>
        <v>1.9480519480519483</v>
      </c>
      <c r="DG232" s="173">
        <f t="shared" si="659"/>
        <v>0.92975206611570249</v>
      </c>
      <c r="DH232" s="173"/>
      <c r="DI232" s="173">
        <f t="shared" si="660"/>
        <v>0.95238095238095266</v>
      </c>
      <c r="DJ232" s="545">
        <f t="shared" si="661"/>
        <v>251.99999999999991</v>
      </c>
      <c r="DK232" s="528">
        <f t="shared" si="662"/>
        <v>0.22222222222222232</v>
      </c>
      <c r="DM232" s="173">
        <f t="shared" si="663"/>
        <v>1.131370849898476</v>
      </c>
      <c r="DN232" s="173">
        <f t="shared" si="664"/>
        <v>1.3333333333333335</v>
      </c>
      <c r="DO232" s="173">
        <f t="shared" si="665"/>
        <v>1.1439999999999999</v>
      </c>
      <c r="DQ232" s="545">
        <f t="shared" si="666"/>
        <v>160</v>
      </c>
      <c r="DR232" s="460">
        <f t="shared" si="667"/>
        <v>251.99999999999991</v>
      </c>
      <c r="DT232">
        <f t="shared" si="668"/>
        <v>160</v>
      </c>
      <c r="DU232">
        <f t="shared" si="669"/>
        <v>251.99999999999991</v>
      </c>
      <c r="DW232" s="5">
        <f t="shared" si="670"/>
        <v>3.9682539682539697</v>
      </c>
      <c r="DX232" s="5">
        <f t="shared" si="671"/>
        <v>0.44444444444444453</v>
      </c>
      <c r="DY232" s="5">
        <f t="shared" si="672"/>
        <v>3.5238095238095251</v>
      </c>
      <c r="DZ232" s="5"/>
      <c r="EA232" s="173">
        <f t="shared" si="673"/>
        <v>0.11199999999999997</v>
      </c>
      <c r="EB232" s="173">
        <f t="shared" si="699"/>
        <v>2.6879999999999997</v>
      </c>
      <c r="EC232" s="173">
        <f t="shared" si="700"/>
        <v>0.59200000000000008</v>
      </c>
      <c r="ED232" s="173">
        <f t="shared" si="701"/>
        <v>4.5405405405405395</v>
      </c>
      <c r="EE232" s="460">
        <f t="shared" si="674"/>
        <v>0.43360433604336057</v>
      </c>
      <c r="EF232" s="5">
        <f t="shared" si="675"/>
        <v>0.21403880070546738</v>
      </c>
      <c r="EH232" s="173">
        <f t="shared" si="702"/>
        <v>0.25762447548781225</v>
      </c>
      <c r="EI232" s="173">
        <f t="shared" si="703"/>
        <v>0.7254117604658904</v>
      </c>
      <c r="EK232" s="528">
        <f t="shared" si="704"/>
        <v>1.3274074074074074E-3</v>
      </c>
      <c r="EL232" s="528">
        <f t="shared" si="705"/>
        <v>0.35481599999999991</v>
      </c>
      <c r="EM232" s="528">
        <f t="shared" si="706"/>
        <v>3.1499999999999986E-2</v>
      </c>
      <c r="EN232" s="528">
        <f t="shared" si="707"/>
        <v>7.0253567999999975E-2</v>
      </c>
      <c r="EO232">
        <f t="shared" si="708"/>
        <v>1.6199999999999999E-2</v>
      </c>
      <c r="EP232" s="460">
        <f t="shared" si="709"/>
        <v>47.699999999999989</v>
      </c>
      <c r="EQ232" s="460"/>
      <c r="ER232" s="460">
        <f t="shared" si="710"/>
        <v>474.09697540740723</v>
      </c>
      <c r="ES232" s="528">
        <f t="shared" si="711"/>
        <v>0.11199999999999999</v>
      </c>
      <c r="EV232" s="460">
        <f t="shared" si="712"/>
        <v>111.99999999999999</v>
      </c>
      <c r="EW232" s="528">
        <f t="shared" si="713"/>
        <v>1.991111111111111E-3</v>
      </c>
      <c r="EX232" s="528">
        <f t="shared" si="714"/>
        <v>1.5786666666666671E-2</v>
      </c>
      <c r="EY232" s="528">
        <f t="shared" si="715"/>
        <v>0.10347089313154698</v>
      </c>
      <c r="EZ232" s="528"/>
      <c r="FA232" s="528">
        <f t="shared" si="716"/>
        <v>2.2399999999999998E-3</v>
      </c>
      <c r="FB232" s="460">
        <f t="shared" si="717"/>
        <v>123.48867090932477</v>
      </c>
      <c r="FC232" s="173">
        <f t="shared" si="718"/>
        <v>0.70958564631673215</v>
      </c>
      <c r="FD232" s="5">
        <f t="shared" si="719"/>
        <v>2.6239999999999997</v>
      </c>
      <c r="FE232" s="173">
        <f t="shared" si="720"/>
        <v>0.78714041827581327</v>
      </c>
      <c r="FF232" s="5">
        <f t="shared" si="721"/>
        <v>78.714041827581326</v>
      </c>
      <c r="FI232" s="562">
        <f t="shared" si="676"/>
        <v>-50</v>
      </c>
      <c r="FJ232">
        <f t="shared" si="677"/>
        <v>-50</v>
      </c>
      <c r="FL232">
        <f t="shared" si="678"/>
        <v>0.24</v>
      </c>
    </row>
    <row r="233" spans="5:168">
      <c r="E233" s="170">
        <v>17</v>
      </c>
      <c r="F233" s="217">
        <f t="shared" si="679"/>
        <v>0.17</v>
      </c>
      <c r="G233" s="217"/>
      <c r="H233" s="217">
        <f t="shared" si="603"/>
        <v>2.7879999999999998</v>
      </c>
      <c r="I233" s="541">
        <f t="shared" si="604"/>
        <v>35.967065882664691</v>
      </c>
      <c r="J233" s="172">
        <f t="shared" si="605"/>
        <v>16.819760470401185</v>
      </c>
      <c r="K233" s="172">
        <f t="shared" si="606"/>
        <v>52.786826353065877</v>
      </c>
      <c r="L233" s="443"/>
      <c r="M233" s="217">
        <f t="shared" si="607"/>
        <v>0.3186386611710445</v>
      </c>
      <c r="N233" s="172">
        <f t="shared" si="608"/>
        <v>38.717381461036403</v>
      </c>
      <c r="O233" s="172">
        <f t="shared" si="599"/>
        <v>2.7879999999999998</v>
      </c>
      <c r="P233" s="217">
        <f t="shared" si="609"/>
        <v>2.3608159427461222</v>
      </c>
      <c r="Q233" s="217">
        <f t="shared" si="610"/>
        <v>16.399999999999999</v>
      </c>
      <c r="R233" s="217"/>
      <c r="S233" s="172">
        <f t="shared" si="611"/>
        <v>669.29100283473122</v>
      </c>
      <c r="T233" s="172">
        <f t="shared" si="612"/>
        <v>16.399999999999999</v>
      </c>
      <c r="U233" s="217">
        <f t="shared" si="613"/>
        <v>0.49900101550280557</v>
      </c>
      <c r="V233" s="217">
        <f t="shared" si="614"/>
        <v>0.16648597930029518</v>
      </c>
      <c r="W233" s="217">
        <f t="shared" si="615"/>
        <v>0.35601055060035824</v>
      </c>
      <c r="X233" s="197">
        <f t="shared" si="616"/>
        <v>350</v>
      </c>
      <c r="Y233" s="443">
        <f t="shared" si="680"/>
        <v>350</v>
      </c>
      <c r="AA233" s="217">
        <f t="shared" si="617"/>
        <v>2.7286634562376069</v>
      </c>
      <c r="AB233" s="173">
        <f t="shared" si="618"/>
        <v>1.9467555160772319</v>
      </c>
      <c r="AC233" s="173">
        <f t="shared" si="619"/>
        <v>0.92960711111606187</v>
      </c>
      <c r="AD233" s="173"/>
      <c r="AE233" s="173">
        <f t="shared" si="620"/>
        <v>0.95126206036977945</v>
      </c>
      <c r="AF233" s="545">
        <f t="shared" si="621"/>
        <v>268.06493249701884</v>
      </c>
      <c r="AG233" s="528">
        <f t="shared" si="622"/>
        <v>0.22196114741961523</v>
      </c>
      <c r="AI233" s="173">
        <f t="shared" si="623"/>
        <v>1.1668760247462946</v>
      </c>
      <c r="AJ233" s="173">
        <f t="shared" si="624"/>
        <v>1.3333333333333335</v>
      </c>
      <c r="AK233" s="173">
        <f t="shared" si="625"/>
        <v>1.1531799614268678</v>
      </c>
      <c r="AM233" s="545">
        <f t="shared" si="626"/>
        <v>170</v>
      </c>
      <c r="AN233" s="460">
        <f t="shared" si="627"/>
        <v>268.06493249701884</v>
      </c>
      <c r="AP233">
        <f t="shared" si="628"/>
        <v>170</v>
      </c>
      <c r="AQ233">
        <f t="shared" si="629"/>
        <v>268.06493249701884</v>
      </c>
      <c r="AS233" s="5">
        <f t="shared" si="600"/>
        <v>3.7304394524305078</v>
      </c>
      <c r="AT233" s="5">
        <f t="shared" si="630"/>
        <v>0.44485141079332907</v>
      </c>
      <c r="AU233" s="5">
        <f t="shared" si="478"/>
        <v>3.2855880416371788</v>
      </c>
      <c r="AV233" s="5"/>
      <c r="AW233" s="173">
        <f t="shared" si="479"/>
        <v>0.11924906340551736</v>
      </c>
      <c r="AX233" s="173">
        <f t="shared" si="631"/>
        <v>2.8593592799682015</v>
      </c>
      <c r="AY233" s="173">
        <f t="shared" si="632"/>
        <v>0.58716729106298848</v>
      </c>
      <c r="AZ233" s="173">
        <f t="shared" si="633"/>
        <v>4.8697523235528175</v>
      </c>
      <c r="BA233" s="460">
        <f t="shared" si="594"/>
        <v>0.46112646240771926</v>
      </c>
      <c r="BB233" s="5">
        <f t="shared" si="595"/>
        <v>0.21223627864557687</v>
      </c>
      <c r="BD233" s="173">
        <f t="shared" si="681"/>
        <v>0.26583098323505111</v>
      </c>
      <c r="BE233" s="173">
        <f t="shared" si="682"/>
        <v>0.7224447943925395</v>
      </c>
      <c r="BG233" s="528">
        <f t="shared" si="683"/>
        <v>1.4133222329542805E-3</v>
      </c>
      <c r="BH233" s="528">
        <f t="shared" si="634"/>
        <v>0.35375742607666155</v>
      </c>
      <c r="BI233" s="528">
        <f t="shared" si="635"/>
        <v>0.24103772719880848</v>
      </c>
      <c r="BJ233" s="528">
        <f t="shared" si="684"/>
        <v>7.4694927285665083E-2</v>
      </c>
      <c r="BK233">
        <f t="shared" si="685"/>
        <v>1.6185179647199111E-2</v>
      </c>
      <c r="BL233" s="460">
        <f t="shared" si="686"/>
        <v>257.22290684600756</v>
      </c>
      <c r="BM233" s="528">
        <f t="shared" si="636"/>
        <v>0.43039180047277487</v>
      </c>
      <c r="BN233" s="460">
        <f t="shared" si="687"/>
        <v>430.39180047277489</v>
      </c>
      <c r="BO233" s="528">
        <f t="shared" si="637"/>
        <v>0.11899999999999999</v>
      </c>
      <c r="BR233" s="460">
        <f t="shared" si="688"/>
        <v>119</v>
      </c>
      <c r="BS233" s="528">
        <f t="shared" si="689"/>
        <v>2.1199833494314206E-3</v>
      </c>
      <c r="BT233" s="528">
        <f t="shared" si="690"/>
        <v>1.5657794428346361E-2</v>
      </c>
      <c r="BU233" s="528">
        <f t="shared" si="691"/>
        <v>0.12075826291098704</v>
      </c>
      <c r="BV233" s="528"/>
      <c r="BW233" s="528">
        <f t="shared" si="692"/>
        <v>2.382799399973501E-3</v>
      </c>
      <c r="BX233" s="460">
        <f t="shared" si="693"/>
        <v>140.91884008873831</v>
      </c>
      <c r="BY233" s="173">
        <f t="shared" si="694"/>
        <v>0.94700742253002679</v>
      </c>
      <c r="BZ233" s="5">
        <f t="shared" si="695"/>
        <v>2.7879999999999998</v>
      </c>
      <c r="CA233" s="173">
        <f t="shared" si="696"/>
        <v>0.74645099315798924</v>
      </c>
      <c r="CB233" s="5">
        <f t="shared" si="697"/>
        <v>74.64509931579893</v>
      </c>
      <c r="CE233" s="562">
        <f t="shared" si="638"/>
        <v>-50</v>
      </c>
      <c r="CF233">
        <f t="shared" si="639"/>
        <v>-50</v>
      </c>
      <c r="CG233" s="173">
        <f t="shared" si="640"/>
        <v>0.25809102194721162</v>
      </c>
      <c r="CI233" s="170">
        <v>17</v>
      </c>
      <c r="CJ233" s="217">
        <f t="shared" si="698"/>
        <v>0.17</v>
      </c>
      <c r="CK233" s="217"/>
      <c r="CL233" s="217">
        <f t="shared" si="641"/>
        <v>2.7879999999999998</v>
      </c>
      <c r="CM233" s="541">
        <f t="shared" si="642"/>
        <v>36</v>
      </c>
      <c r="CN233" s="443">
        <f t="shared" si="643"/>
        <v>16.799999999999997</v>
      </c>
      <c r="CO233" s="443">
        <f t="shared" si="644"/>
        <v>52.8</v>
      </c>
      <c r="CP233" s="443"/>
      <c r="CQ233" s="217">
        <f t="shared" si="645"/>
        <v>0.31818181818181812</v>
      </c>
      <c r="CR233" s="172">
        <f t="shared" si="646"/>
        <v>38.697272727272725</v>
      </c>
      <c r="CS233" s="172">
        <f t="shared" si="647"/>
        <v>2.7879999999999998</v>
      </c>
      <c r="CT233" s="217">
        <f t="shared" si="648"/>
        <v>2.3595898004434592</v>
      </c>
      <c r="CU233" s="217">
        <f t="shared" si="649"/>
        <v>16.399999999999999</v>
      </c>
      <c r="CV233" s="217"/>
      <c r="CW233" s="172">
        <f t="shared" si="650"/>
        <v>669.90383573633926</v>
      </c>
      <c r="CX233" s="172">
        <f t="shared" si="651"/>
        <v>16.399999999999999</v>
      </c>
      <c r="CY233" s="217">
        <f t="shared" si="652"/>
        <v>0.48679365079365083</v>
      </c>
      <c r="CZ233" s="217">
        <f t="shared" si="653"/>
        <v>0.16226455026455031</v>
      </c>
      <c r="DA233" s="217">
        <f t="shared" si="654"/>
        <v>0.34770975056689357</v>
      </c>
      <c r="DB233" s="197">
        <f t="shared" si="655"/>
        <v>350</v>
      </c>
      <c r="DC233" s="443">
        <f t="shared" si="656"/>
        <v>350</v>
      </c>
      <c r="DE233" s="217">
        <f t="shared" si="657"/>
        <v>2.7272727272727271</v>
      </c>
      <c r="DF233" s="173">
        <f t="shared" si="658"/>
        <v>1.9480519480519483</v>
      </c>
      <c r="DG233" s="173">
        <f t="shared" si="659"/>
        <v>0.92975206611570249</v>
      </c>
      <c r="DH233" s="173"/>
      <c r="DI233" s="173">
        <f t="shared" si="660"/>
        <v>0.95238095238095266</v>
      </c>
      <c r="DJ233" s="545">
        <f t="shared" si="661"/>
        <v>267.74999999999989</v>
      </c>
      <c r="DK233" s="528">
        <f t="shared" si="662"/>
        <v>0.22222222222222232</v>
      </c>
      <c r="DM233" s="173">
        <f t="shared" si="663"/>
        <v>1.16619037896906</v>
      </c>
      <c r="DN233" s="173">
        <f t="shared" si="664"/>
        <v>1.3333333333333335</v>
      </c>
      <c r="DO233" s="173">
        <f t="shared" si="665"/>
        <v>1.153</v>
      </c>
      <c r="DQ233" s="545">
        <f t="shared" si="666"/>
        <v>170</v>
      </c>
      <c r="DR233" s="460">
        <f t="shared" si="667"/>
        <v>267.74999999999989</v>
      </c>
      <c r="DT233">
        <f t="shared" si="668"/>
        <v>170</v>
      </c>
      <c r="DU233">
        <f t="shared" si="669"/>
        <v>267.74999999999989</v>
      </c>
      <c r="DW233" s="5">
        <f t="shared" si="670"/>
        <v>3.7348272642390303</v>
      </c>
      <c r="DX233" s="5">
        <f t="shared" si="671"/>
        <v>0.44444444444444453</v>
      </c>
      <c r="DY233" s="5">
        <f t="shared" si="672"/>
        <v>3.2903828197945857</v>
      </c>
      <c r="DZ233" s="5"/>
      <c r="EA233" s="173">
        <f t="shared" si="673"/>
        <v>0.11899999999999998</v>
      </c>
      <c r="EB233" s="173">
        <f t="shared" si="699"/>
        <v>2.8559999999999994</v>
      </c>
      <c r="EC233" s="173">
        <f t="shared" si="700"/>
        <v>0.58733333333333337</v>
      </c>
      <c r="ED233" s="173">
        <f t="shared" si="701"/>
        <v>4.8626560726447208</v>
      </c>
      <c r="EE233" s="460">
        <f t="shared" si="674"/>
        <v>0.46070460704607064</v>
      </c>
      <c r="EF233" s="5">
        <f t="shared" si="675"/>
        <v>0.21235155790711352</v>
      </c>
      <c r="EH233" s="173">
        <f t="shared" si="702"/>
        <v>0.26555323104514944</v>
      </c>
      <c r="EI233" s="173">
        <f t="shared" si="703"/>
        <v>0.72254693555095384</v>
      </c>
      <c r="EK233" s="528">
        <f t="shared" si="704"/>
        <v>1.4103703703703704E-3</v>
      </c>
      <c r="EL233" s="528">
        <f t="shared" si="705"/>
        <v>0.37699199999999994</v>
      </c>
      <c r="EM233" s="528">
        <f t="shared" si="706"/>
        <v>3.3468749999999985E-2</v>
      </c>
      <c r="EN233" s="528">
        <f t="shared" si="707"/>
        <v>7.4644415999999963E-2</v>
      </c>
      <c r="EO233">
        <f t="shared" si="708"/>
        <v>1.6199999999999999E-2</v>
      </c>
      <c r="EP233" s="460">
        <f t="shared" si="709"/>
        <v>49.668749999999982</v>
      </c>
      <c r="EQ233" s="460"/>
      <c r="ER233" s="460">
        <f t="shared" si="710"/>
        <v>502.71553637037027</v>
      </c>
      <c r="ES233" s="528">
        <f t="shared" si="711"/>
        <v>0.11899999999999999</v>
      </c>
      <c r="EV233" s="460">
        <f t="shared" si="712"/>
        <v>119</v>
      </c>
      <c r="EW233" s="528">
        <f t="shared" si="713"/>
        <v>2.1155555555555554E-3</v>
      </c>
      <c r="EX233" s="528">
        <f t="shared" si="714"/>
        <v>1.5662222222222227E-2</v>
      </c>
      <c r="EY233" s="528">
        <f t="shared" si="715"/>
        <v>0.12040389729528063</v>
      </c>
      <c r="EZ233" s="528"/>
      <c r="FA233" s="528">
        <f t="shared" si="716"/>
        <v>2.3799999999999993E-3</v>
      </c>
      <c r="FB233" s="460">
        <f t="shared" si="717"/>
        <v>140.56167507305838</v>
      </c>
      <c r="FC233" s="173">
        <f t="shared" si="718"/>
        <v>0.76227721144342875</v>
      </c>
      <c r="FD233" s="5">
        <f t="shared" si="719"/>
        <v>2.7879999999999998</v>
      </c>
      <c r="FE233" s="173">
        <f t="shared" si="720"/>
        <v>0.78529079110036282</v>
      </c>
      <c r="FF233" s="5">
        <f t="shared" si="721"/>
        <v>78.529079110036278</v>
      </c>
      <c r="FI233" s="562">
        <f t="shared" si="676"/>
        <v>-50</v>
      </c>
      <c r="FJ233">
        <f t="shared" si="677"/>
        <v>-50</v>
      </c>
      <c r="FL233">
        <f t="shared" si="678"/>
        <v>0.255</v>
      </c>
    </row>
    <row r="234" spans="5:168">
      <c r="E234" s="170">
        <v>18</v>
      </c>
      <c r="F234" s="217">
        <f t="shared" si="679"/>
        <v>0.18</v>
      </c>
      <c r="G234" s="217"/>
      <c r="H234" s="217">
        <f t="shared" si="603"/>
        <v>2.9519999999999995</v>
      </c>
      <c r="I234" s="541">
        <f t="shared" si="604"/>
        <v>35.967065882664691</v>
      </c>
      <c r="J234" s="172">
        <f t="shared" si="605"/>
        <v>16.819760470401185</v>
      </c>
      <c r="K234" s="172">
        <f t="shared" si="606"/>
        <v>52.786826353065877</v>
      </c>
      <c r="L234" s="443"/>
      <c r="M234" s="217">
        <f t="shared" si="607"/>
        <v>0.3186386611710445</v>
      </c>
      <c r="N234" s="172">
        <f t="shared" si="608"/>
        <v>38.717381461036403</v>
      </c>
      <c r="O234" s="172">
        <f t="shared" si="599"/>
        <v>2.9519999999999995</v>
      </c>
      <c r="P234" s="217">
        <f t="shared" si="609"/>
        <v>2.3608159427461222</v>
      </c>
      <c r="Q234" s="217">
        <f t="shared" si="610"/>
        <v>16.399999999999999</v>
      </c>
      <c r="R234" s="217"/>
      <c r="S234" s="172">
        <f t="shared" si="611"/>
        <v>630.1125273915585</v>
      </c>
      <c r="T234" s="172">
        <f t="shared" si="612"/>
        <v>16.399999999999999</v>
      </c>
      <c r="U234" s="217">
        <f t="shared" si="613"/>
        <v>0.52835401641473523</v>
      </c>
      <c r="V234" s="217">
        <f t="shared" si="614"/>
        <v>0.1762792722003125</v>
      </c>
      <c r="W234" s="217">
        <f t="shared" si="615"/>
        <v>0.37695234769449693</v>
      </c>
      <c r="X234" s="197">
        <f t="shared" si="616"/>
        <v>350</v>
      </c>
      <c r="Y234" s="443">
        <f t="shared" si="680"/>
        <v>350</v>
      </c>
      <c r="AA234" s="217">
        <f t="shared" si="617"/>
        <v>2.7286634562376069</v>
      </c>
      <c r="AB234" s="173">
        <f t="shared" si="618"/>
        <v>1.9467555160772319</v>
      </c>
      <c r="AC234" s="173">
        <f t="shared" si="619"/>
        <v>0.92960711111606187</v>
      </c>
      <c r="AD234" s="173"/>
      <c r="AE234" s="173">
        <f t="shared" si="620"/>
        <v>0.95126206036977945</v>
      </c>
      <c r="AF234" s="545">
        <f t="shared" si="621"/>
        <v>283.83345793801993</v>
      </c>
      <c r="AG234" s="528">
        <f t="shared" si="622"/>
        <v>0.22196114741961523</v>
      </c>
      <c r="AI234" s="173">
        <f t="shared" si="623"/>
        <v>1.2007055236842279</v>
      </c>
      <c r="AJ234" s="173">
        <f t="shared" si="624"/>
        <v>1.3333333333333335</v>
      </c>
      <c r="AK234" s="173">
        <f t="shared" si="625"/>
        <v>1.1621905473931542</v>
      </c>
      <c r="AM234" s="545">
        <f t="shared" si="626"/>
        <v>180</v>
      </c>
      <c r="AN234" s="460">
        <f t="shared" si="627"/>
        <v>283.83345793801993</v>
      </c>
      <c r="AP234">
        <f t="shared" si="628"/>
        <v>180</v>
      </c>
      <c r="AQ234">
        <f t="shared" si="629"/>
        <v>283.83345793801993</v>
      </c>
      <c r="AS234" s="5">
        <f t="shared" si="600"/>
        <v>3.5231928161843689</v>
      </c>
      <c r="AT234" s="5">
        <f t="shared" si="630"/>
        <v>0.44485141079332907</v>
      </c>
      <c r="AU234" s="5">
        <f t="shared" ref="AU234:AU297" si="722">AS234-AT234</f>
        <v>3.0783414053910398</v>
      </c>
      <c r="AV234" s="5"/>
      <c r="AW234" s="173">
        <f t="shared" ref="AW234:AW297" si="723">AT234/AS234</f>
        <v>0.1262637141940772</v>
      </c>
      <c r="AX234" s="173">
        <f t="shared" si="631"/>
        <v>3.0275568846722134</v>
      </c>
      <c r="AY234" s="173">
        <f t="shared" si="632"/>
        <v>0.58249085720394855</v>
      </c>
      <c r="AZ234" s="173">
        <f t="shared" si="633"/>
        <v>5.1976041292819293</v>
      </c>
      <c r="BA234" s="460">
        <f t="shared" si="594"/>
        <v>0.48825154843170265</v>
      </c>
      <c r="BB234" s="5">
        <f t="shared" si="595"/>
        <v>0.21054594450285241</v>
      </c>
      <c r="BD234" s="173">
        <f t="shared" si="681"/>
        <v>0.27353782507111951</v>
      </c>
      <c r="BE234" s="173">
        <f t="shared" si="682"/>
        <v>0.71956212438395784</v>
      </c>
      <c r="BG234" s="528">
        <f t="shared" si="683"/>
        <v>1.4964588348927678E-3</v>
      </c>
      <c r="BH234" s="528">
        <f t="shared" si="634"/>
        <v>0.37456668643411217</v>
      </c>
      <c r="BI234" s="528">
        <f t="shared" si="635"/>
        <v>0.25521641703403247</v>
      </c>
      <c r="BJ234" s="528">
        <f t="shared" si="684"/>
        <v>7.9088746537763016E-2</v>
      </c>
      <c r="BK234">
        <f t="shared" si="685"/>
        <v>1.6185179647199111E-2</v>
      </c>
      <c r="BL234" s="460">
        <f t="shared" si="686"/>
        <v>271.40159668123158</v>
      </c>
      <c r="BM234" s="528">
        <f t="shared" si="636"/>
        <v>0.4557179701443847</v>
      </c>
      <c r="BN234" s="460">
        <f t="shared" si="687"/>
        <v>455.71797014438471</v>
      </c>
      <c r="BO234" s="528">
        <f t="shared" si="637"/>
        <v>0.126</v>
      </c>
      <c r="BR234" s="460">
        <f t="shared" si="688"/>
        <v>126</v>
      </c>
      <c r="BS234" s="528">
        <f t="shared" si="689"/>
        <v>2.2446882523391512E-3</v>
      </c>
      <c r="BT234" s="528">
        <f t="shared" si="690"/>
        <v>1.5533089525438633E-2</v>
      </c>
      <c r="BU234" s="528">
        <f t="shared" si="691"/>
        <v>0.13930792276099199</v>
      </c>
      <c r="BV234" s="528"/>
      <c r="BW234" s="528">
        <f t="shared" si="692"/>
        <v>2.5229640705601779E-3</v>
      </c>
      <c r="BX234" s="460">
        <f t="shared" si="693"/>
        <v>159.60866460932996</v>
      </c>
      <c r="BY234" s="173">
        <f t="shared" si="694"/>
        <v>1.0121621530973295</v>
      </c>
      <c r="BZ234" s="5">
        <f t="shared" si="695"/>
        <v>2.9519999999999995</v>
      </c>
      <c r="CA234" s="173">
        <f t="shared" si="696"/>
        <v>0.74467185901906308</v>
      </c>
      <c r="CB234" s="5">
        <f t="shared" si="697"/>
        <v>74.467185901906305</v>
      </c>
      <c r="CE234" s="562">
        <f t="shared" si="638"/>
        <v>-50</v>
      </c>
      <c r="CF234">
        <f t="shared" si="639"/>
        <v>-50</v>
      </c>
      <c r="CG234" s="173">
        <f t="shared" si="640"/>
        <v>0.2732728467676358</v>
      </c>
      <c r="CI234" s="170">
        <v>18</v>
      </c>
      <c r="CJ234" s="217">
        <f t="shared" si="698"/>
        <v>0.18</v>
      </c>
      <c r="CK234" s="217"/>
      <c r="CL234" s="217">
        <f t="shared" si="641"/>
        <v>2.9519999999999995</v>
      </c>
      <c r="CM234" s="541">
        <f t="shared" si="642"/>
        <v>36</v>
      </c>
      <c r="CN234" s="443">
        <f t="shared" si="643"/>
        <v>16.799999999999997</v>
      </c>
      <c r="CO234" s="443">
        <f t="shared" si="644"/>
        <v>52.8</v>
      </c>
      <c r="CP234" s="443"/>
      <c r="CQ234" s="217">
        <f t="shared" si="645"/>
        <v>0.31818181818181812</v>
      </c>
      <c r="CR234" s="172">
        <f t="shared" si="646"/>
        <v>38.697272727272725</v>
      </c>
      <c r="CS234" s="172">
        <f t="shared" si="647"/>
        <v>2.9519999999999995</v>
      </c>
      <c r="CT234" s="217">
        <f t="shared" si="648"/>
        <v>2.3595898004434592</v>
      </c>
      <c r="CU234" s="217">
        <f t="shared" si="649"/>
        <v>16.399999999999999</v>
      </c>
      <c r="CV234" s="217"/>
      <c r="CW234" s="172">
        <f t="shared" si="650"/>
        <v>630.68948434998583</v>
      </c>
      <c r="CX234" s="172">
        <f t="shared" si="651"/>
        <v>16.399999999999999</v>
      </c>
      <c r="CY234" s="217">
        <f t="shared" si="652"/>
        <v>0.51542857142857135</v>
      </c>
      <c r="CZ234" s="217">
        <f t="shared" si="653"/>
        <v>0.1718095238095238</v>
      </c>
      <c r="DA234" s="217">
        <f t="shared" si="654"/>
        <v>0.36816326530612248</v>
      </c>
      <c r="DB234" s="197">
        <f t="shared" si="655"/>
        <v>350</v>
      </c>
      <c r="DC234" s="443">
        <f t="shared" si="656"/>
        <v>350</v>
      </c>
      <c r="DE234" s="217">
        <f t="shared" si="657"/>
        <v>2.7272727272727271</v>
      </c>
      <c r="DF234" s="173">
        <f t="shared" si="658"/>
        <v>1.9480519480519483</v>
      </c>
      <c r="DG234" s="173">
        <f t="shared" si="659"/>
        <v>0.92975206611570249</v>
      </c>
      <c r="DH234" s="173"/>
      <c r="DI234" s="173">
        <f t="shared" si="660"/>
        <v>0.95238095238095266</v>
      </c>
      <c r="DJ234" s="545">
        <f t="shared" si="661"/>
        <v>283.49999999999989</v>
      </c>
      <c r="DK234" s="528">
        <f t="shared" si="662"/>
        <v>0.22222222222222232</v>
      </c>
      <c r="DM234" s="173">
        <f t="shared" si="663"/>
        <v>1.2</v>
      </c>
      <c r="DN234" s="173">
        <f t="shared" si="664"/>
        <v>1.3333333333333335</v>
      </c>
      <c r="DO234" s="173">
        <f t="shared" si="665"/>
        <v>1.1619999999999999</v>
      </c>
      <c r="DQ234" s="545">
        <f t="shared" si="666"/>
        <v>180</v>
      </c>
      <c r="DR234" s="460">
        <f t="shared" si="667"/>
        <v>283.49999999999989</v>
      </c>
      <c r="DT234">
        <f t="shared" si="668"/>
        <v>180</v>
      </c>
      <c r="DU234">
        <f t="shared" si="669"/>
        <v>283.49999999999989</v>
      </c>
      <c r="DW234" s="5">
        <f t="shared" si="670"/>
        <v>3.5273368606701956</v>
      </c>
      <c r="DX234" s="5">
        <f t="shared" si="671"/>
        <v>0.44444444444444453</v>
      </c>
      <c r="DY234" s="5">
        <f t="shared" si="672"/>
        <v>3.0828924162257509</v>
      </c>
      <c r="DZ234" s="5"/>
      <c r="EA234" s="173">
        <f t="shared" si="673"/>
        <v>0.12599999999999997</v>
      </c>
      <c r="EB234" s="173">
        <f t="shared" si="699"/>
        <v>3.0239999999999991</v>
      </c>
      <c r="EC234" s="173">
        <f t="shared" si="700"/>
        <v>0.58266666666666678</v>
      </c>
      <c r="ED234" s="173">
        <f t="shared" si="701"/>
        <v>5.1899313501144144</v>
      </c>
      <c r="EE234" s="460">
        <f t="shared" si="674"/>
        <v>0.48780487804878064</v>
      </c>
      <c r="EF234" s="5">
        <f t="shared" si="675"/>
        <v>0.2106643151087596</v>
      </c>
      <c r="EH234" s="173">
        <f t="shared" si="702"/>
        <v>0.27325202042558933</v>
      </c>
      <c r="EI234" s="173">
        <f t="shared" si="703"/>
        <v>0.71967070659151189</v>
      </c>
      <c r="EK234" s="528">
        <f t="shared" si="704"/>
        <v>1.4933333333333337E-3</v>
      </c>
      <c r="EL234" s="528">
        <f t="shared" si="705"/>
        <v>0.39916799999999986</v>
      </c>
      <c r="EM234" s="528">
        <f t="shared" si="706"/>
        <v>3.543749999999999E-2</v>
      </c>
      <c r="EN234" s="528">
        <f t="shared" si="707"/>
        <v>7.9035263999999952E-2</v>
      </c>
      <c r="EO234">
        <f t="shared" si="708"/>
        <v>1.6199999999999999E-2</v>
      </c>
      <c r="EP234" s="460">
        <f t="shared" si="709"/>
        <v>51.637499999999989</v>
      </c>
      <c r="EQ234" s="460"/>
      <c r="ER234" s="460">
        <f t="shared" si="710"/>
        <v>531.33409733333315</v>
      </c>
      <c r="ES234" s="528">
        <f t="shared" si="711"/>
        <v>0.126</v>
      </c>
      <c r="EV234" s="460">
        <f t="shared" si="712"/>
        <v>126</v>
      </c>
      <c r="EW234" s="528">
        <f t="shared" si="713"/>
        <v>2.2400000000000007E-3</v>
      </c>
      <c r="EX234" s="528">
        <f t="shared" si="714"/>
        <v>1.5537777777777781E-2</v>
      </c>
      <c r="EY234" s="528">
        <f t="shared" si="715"/>
        <v>0.13889912309269603</v>
      </c>
      <c r="EZ234" s="528"/>
      <c r="FA234" s="528">
        <f t="shared" si="716"/>
        <v>2.5199999999999992E-3</v>
      </c>
      <c r="FB234" s="460">
        <f t="shared" si="717"/>
        <v>159.1969008704738</v>
      </c>
      <c r="FC234" s="173">
        <f t="shared" si="718"/>
        <v>0.81653099820380692</v>
      </c>
      <c r="FD234" s="5">
        <f t="shared" si="719"/>
        <v>2.9519999999999995</v>
      </c>
      <c r="FE234" s="173">
        <f t="shared" si="720"/>
        <v>0.7833291012882766</v>
      </c>
      <c r="FF234" s="5">
        <f t="shared" si="721"/>
        <v>78.332910128827663</v>
      </c>
      <c r="FI234" s="562">
        <f t="shared" si="676"/>
        <v>-50</v>
      </c>
      <c r="FJ234">
        <f t="shared" si="677"/>
        <v>-50</v>
      </c>
      <c r="FL234">
        <f t="shared" si="678"/>
        <v>0.26999999999999996</v>
      </c>
    </row>
    <row r="235" spans="5:168">
      <c r="E235" s="170">
        <v>19</v>
      </c>
      <c r="F235" s="217">
        <f t="shared" si="679"/>
        <v>0.19</v>
      </c>
      <c r="G235" s="217"/>
      <c r="H235" s="217">
        <f t="shared" si="603"/>
        <v>3.1159999999999997</v>
      </c>
      <c r="I235" s="541">
        <f t="shared" si="604"/>
        <v>35.967065882664691</v>
      </c>
      <c r="J235" s="172">
        <f t="shared" si="605"/>
        <v>16.819760470401185</v>
      </c>
      <c r="K235" s="172">
        <f t="shared" si="606"/>
        <v>52.786826353065877</v>
      </c>
      <c r="L235" s="443"/>
      <c r="M235" s="217">
        <f t="shared" si="607"/>
        <v>0.3186386611710445</v>
      </c>
      <c r="N235" s="172">
        <f t="shared" si="608"/>
        <v>38.717381461036403</v>
      </c>
      <c r="O235" s="172">
        <f t="shared" si="599"/>
        <v>3.1159999999999997</v>
      </c>
      <c r="P235" s="217">
        <f t="shared" si="609"/>
        <v>2.3608159427461222</v>
      </c>
      <c r="Q235" s="217">
        <f t="shared" si="610"/>
        <v>16.399999999999999</v>
      </c>
      <c r="R235" s="217"/>
      <c r="S235" s="172">
        <f t="shared" si="611"/>
        <v>595.0582508856329</v>
      </c>
      <c r="T235" s="172">
        <f t="shared" si="612"/>
        <v>16.399999999999999</v>
      </c>
      <c r="U235" s="217">
        <f t="shared" si="613"/>
        <v>0.55770701732666506</v>
      </c>
      <c r="V235" s="217">
        <f t="shared" si="614"/>
        <v>0.18607256510032993</v>
      </c>
      <c r="W235" s="217">
        <f t="shared" si="615"/>
        <v>0.39789414478863572</v>
      </c>
      <c r="X235" s="197">
        <f t="shared" si="616"/>
        <v>350</v>
      </c>
      <c r="Y235" s="443">
        <f t="shared" si="680"/>
        <v>350</v>
      </c>
      <c r="AA235" s="217">
        <f t="shared" si="617"/>
        <v>2.7286634562376069</v>
      </c>
      <c r="AB235" s="173">
        <f t="shared" si="618"/>
        <v>1.9467555160772319</v>
      </c>
      <c r="AC235" s="173">
        <f t="shared" si="619"/>
        <v>0.92960711111606187</v>
      </c>
      <c r="AD235" s="173"/>
      <c r="AE235" s="173">
        <f t="shared" si="620"/>
        <v>0.95126206036977945</v>
      </c>
      <c r="AF235" s="545">
        <f t="shared" si="621"/>
        <v>299.60198337902108</v>
      </c>
      <c r="AG235" s="528">
        <f t="shared" si="622"/>
        <v>0.22196114741961523</v>
      </c>
      <c r="AI235" s="173">
        <f t="shared" si="623"/>
        <v>1.2336076572735422</v>
      </c>
      <c r="AJ235" s="173">
        <f t="shared" si="624"/>
        <v>1.3333333333333335</v>
      </c>
      <c r="AK235" s="173">
        <f t="shared" si="625"/>
        <v>1.1712011333594405</v>
      </c>
      <c r="AM235" s="545">
        <f t="shared" si="626"/>
        <v>190</v>
      </c>
      <c r="AN235" s="460">
        <f t="shared" si="627"/>
        <v>299.60198337902108</v>
      </c>
      <c r="AP235">
        <f t="shared" si="628"/>
        <v>190</v>
      </c>
      <c r="AQ235">
        <f t="shared" si="629"/>
        <v>299.60198337902108</v>
      </c>
      <c r="AS235" s="5">
        <f t="shared" si="600"/>
        <v>3.3377616153325596</v>
      </c>
      <c r="AT235" s="5">
        <f t="shared" si="630"/>
        <v>0.44485141079332907</v>
      </c>
      <c r="AU235" s="5">
        <f t="shared" si="722"/>
        <v>2.8929102045392305</v>
      </c>
      <c r="AV235" s="5"/>
      <c r="AW235" s="173">
        <f t="shared" si="723"/>
        <v>0.13327836498263704</v>
      </c>
      <c r="AX235" s="173">
        <f t="shared" si="631"/>
        <v>3.1957544893762257</v>
      </c>
      <c r="AY235" s="173">
        <f t="shared" si="632"/>
        <v>0.57781442334490873</v>
      </c>
      <c r="AZ235" s="173">
        <f t="shared" si="633"/>
        <v>5.5307627505667458</v>
      </c>
      <c r="BA235" s="460">
        <f t="shared" si="594"/>
        <v>0.51537663445568627</v>
      </c>
      <c r="BB235" s="5">
        <f t="shared" si="595"/>
        <v>0.2088556103601279</v>
      </c>
      <c r="BD235" s="173">
        <f t="shared" si="681"/>
        <v>0.28103339986834786</v>
      </c>
      <c r="BE235" s="173">
        <f t="shared" si="682"/>
        <v>0.71666785943771061</v>
      </c>
      <c r="BG235" s="528">
        <f t="shared" si="683"/>
        <v>1.5795954368312539E-3</v>
      </c>
      <c r="BH235" s="528">
        <f t="shared" si="634"/>
        <v>0.3953759467915629</v>
      </c>
      <c r="BI235" s="528">
        <f t="shared" si="635"/>
        <v>0.26939510686925655</v>
      </c>
      <c r="BJ235" s="528">
        <f t="shared" si="684"/>
        <v>8.3482565789860977E-2</v>
      </c>
      <c r="BK235">
        <f t="shared" si="685"/>
        <v>1.6185179647199111E-2</v>
      </c>
      <c r="BL235" s="460">
        <f t="shared" si="686"/>
        <v>285.58028651645566</v>
      </c>
      <c r="BM235" s="528">
        <f t="shared" si="636"/>
        <v>0.48104514074031102</v>
      </c>
      <c r="BN235" s="460">
        <f t="shared" si="687"/>
        <v>481.04514074031101</v>
      </c>
      <c r="BO235" s="528">
        <f t="shared" si="637"/>
        <v>0.13299999999999998</v>
      </c>
      <c r="BR235" s="460">
        <f t="shared" si="688"/>
        <v>132.99999999999997</v>
      </c>
      <c r="BS235" s="528">
        <f t="shared" si="689"/>
        <v>2.3693931552468809E-3</v>
      </c>
      <c r="BT235" s="528">
        <f t="shared" si="690"/>
        <v>1.5408384622530902E-2</v>
      </c>
      <c r="BU235" s="528">
        <f t="shared" si="691"/>
        <v>0.1594698391126799</v>
      </c>
      <c r="BV235" s="528"/>
      <c r="BW235" s="528">
        <f t="shared" si="692"/>
        <v>2.6631287411468542E-3</v>
      </c>
      <c r="BX235" s="460">
        <f t="shared" si="693"/>
        <v>179.91074563160453</v>
      </c>
      <c r="BY235" s="173">
        <f t="shared" si="694"/>
        <v>1.0789291401663155</v>
      </c>
      <c r="BZ235" s="5">
        <f t="shared" si="695"/>
        <v>3.1159999999999997</v>
      </c>
      <c r="CA235" s="173">
        <f t="shared" si="696"/>
        <v>0.74280158159631282</v>
      </c>
      <c r="CB235" s="5">
        <f t="shared" si="697"/>
        <v>74.280158159631284</v>
      </c>
      <c r="CE235" s="562">
        <f t="shared" si="638"/>
        <v>-50</v>
      </c>
      <c r="CF235">
        <f t="shared" si="639"/>
        <v>-50</v>
      </c>
      <c r="CG235" s="173">
        <f t="shared" si="640"/>
        <v>0.2884546715880601</v>
      </c>
      <c r="CI235" s="170">
        <v>19</v>
      </c>
      <c r="CJ235" s="217">
        <f t="shared" si="698"/>
        <v>0.19</v>
      </c>
      <c r="CK235" s="217"/>
      <c r="CL235" s="217">
        <f t="shared" si="641"/>
        <v>3.1159999999999997</v>
      </c>
      <c r="CM235" s="541">
        <f t="shared" si="642"/>
        <v>36</v>
      </c>
      <c r="CN235" s="443">
        <f t="shared" si="643"/>
        <v>16.799999999999997</v>
      </c>
      <c r="CO235" s="443">
        <f t="shared" si="644"/>
        <v>52.8</v>
      </c>
      <c r="CP235" s="443"/>
      <c r="CQ235" s="217">
        <f t="shared" si="645"/>
        <v>0.31818181818181812</v>
      </c>
      <c r="CR235" s="172">
        <f t="shared" si="646"/>
        <v>38.697272727272725</v>
      </c>
      <c r="CS235" s="172">
        <f t="shared" si="647"/>
        <v>3.1159999999999997</v>
      </c>
      <c r="CT235" s="217">
        <f t="shared" si="648"/>
        <v>2.3595898004434592</v>
      </c>
      <c r="CU235" s="217">
        <f t="shared" si="649"/>
        <v>16.399999999999999</v>
      </c>
      <c r="CV235" s="217"/>
      <c r="CW235" s="172">
        <f t="shared" si="650"/>
        <v>595.60310831624008</v>
      </c>
      <c r="CX235" s="172">
        <f t="shared" si="651"/>
        <v>16.399999999999999</v>
      </c>
      <c r="CY235" s="217">
        <f t="shared" si="652"/>
        <v>0.54406349206349203</v>
      </c>
      <c r="CZ235" s="217">
        <f t="shared" si="653"/>
        <v>0.18135449735449735</v>
      </c>
      <c r="DA235" s="217">
        <f t="shared" si="654"/>
        <v>0.38861678004535155</v>
      </c>
      <c r="DB235" s="197">
        <f t="shared" si="655"/>
        <v>350</v>
      </c>
      <c r="DC235" s="443">
        <f t="shared" si="656"/>
        <v>350</v>
      </c>
      <c r="DE235" s="217">
        <f t="shared" si="657"/>
        <v>2.7272727272727271</v>
      </c>
      <c r="DF235" s="173">
        <f t="shared" si="658"/>
        <v>1.9480519480519483</v>
      </c>
      <c r="DG235" s="173">
        <f t="shared" si="659"/>
        <v>0.92975206611570249</v>
      </c>
      <c r="DH235" s="173"/>
      <c r="DI235" s="173">
        <f t="shared" si="660"/>
        <v>0.95238095238095266</v>
      </c>
      <c r="DJ235" s="545">
        <f t="shared" si="661"/>
        <v>299.24999999999989</v>
      </c>
      <c r="DK235" s="528">
        <f t="shared" si="662"/>
        <v>0.22222222222222232</v>
      </c>
      <c r="DM235" s="173">
        <f t="shared" si="663"/>
        <v>1.2328828005937951</v>
      </c>
      <c r="DN235" s="173">
        <f t="shared" si="664"/>
        <v>1.3333333333333335</v>
      </c>
      <c r="DO235" s="173">
        <f t="shared" si="665"/>
        <v>1.1709999999999998</v>
      </c>
      <c r="DQ235" s="545">
        <f t="shared" si="666"/>
        <v>190</v>
      </c>
      <c r="DR235" s="460">
        <f t="shared" si="667"/>
        <v>299.24999999999989</v>
      </c>
      <c r="DT235">
        <f t="shared" si="668"/>
        <v>190</v>
      </c>
      <c r="DU235">
        <f t="shared" si="669"/>
        <v>299.24999999999989</v>
      </c>
      <c r="DW235" s="5">
        <f t="shared" si="670"/>
        <v>3.3416875522138692</v>
      </c>
      <c r="DX235" s="5">
        <f t="shared" si="671"/>
        <v>0.44444444444444453</v>
      </c>
      <c r="DY235" s="5">
        <f t="shared" si="672"/>
        <v>2.8972431077694245</v>
      </c>
      <c r="DZ235" s="5"/>
      <c r="EA235" s="173">
        <f t="shared" si="673"/>
        <v>0.13299999999999998</v>
      </c>
      <c r="EB235" s="173">
        <f t="shared" si="699"/>
        <v>3.1919999999999997</v>
      </c>
      <c r="EC235" s="173">
        <f t="shared" si="700"/>
        <v>0.57800000000000007</v>
      </c>
      <c r="ED235" s="173">
        <f t="shared" si="701"/>
        <v>5.5224913494809673</v>
      </c>
      <c r="EE235" s="460">
        <f t="shared" si="674"/>
        <v>0.51490514905149076</v>
      </c>
      <c r="EF235" s="5">
        <f t="shared" si="675"/>
        <v>0.20897707231040569</v>
      </c>
      <c r="EH235" s="173">
        <f t="shared" si="702"/>
        <v>0.28073976350851126</v>
      </c>
      <c r="EI235" s="173">
        <f t="shared" si="703"/>
        <v>0.7167829363048327</v>
      </c>
      <c r="EK235" s="528">
        <f t="shared" si="704"/>
        <v>1.5762962962962968E-3</v>
      </c>
      <c r="EL235" s="528">
        <f t="shared" si="705"/>
        <v>0.42134399999999989</v>
      </c>
      <c r="EM235" s="528">
        <f t="shared" si="706"/>
        <v>3.7406249999999981E-2</v>
      </c>
      <c r="EN235" s="528">
        <f t="shared" si="707"/>
        <v>8.3426111999999955E-2</v>
      </c>
      <c r="EO235">
        <f t="shared" si="708"/>
        <v>1.6199999999999999E-2</v>
      </c>
      <c r="EP235" s="460">
        <f t="shared" si="709"/>
        <v>53.606249999999982</v>
      </c>
      <c r="EQ235" s="460"/>
      <c r="ER235" s="460">
        <f t="shared" si="710"/>
        <v>559.95265829629614</v>
      </c>
      <c r="ES235" s="528">
        <f t="shared" si="711"/>
        <v>0.13299999999999998</v>
      </c>
      <c r="EV235" s="460">
        <f t="shared" si="712"/>
        <v>132.99999999999997</v>
      </c>
      <c r="EW235" s="528">
        <f t="shared" si="713"/>
        <v>2.3644444444444451E-3</v>
      </c>
      <c r="EX235" s="528">
        <f t="shared" si="714"/>
        <v>1.5413333333333336E-2</v>
      </c>
      <c r="EY235" s="528">
        <f t="shared" si="715"/>
        <v>0.15900187421850542</v>
      </c>
      <c r="EZ235" s="528"/>
      <c r="FA235" s="528">
        <f t="shared" si="716"/>
        <v>2.6599999999999996E-3</v>
      </c>
      <c r="FB235" s="460">
        <f t="shared" si="717"/>
        <v>179.4396519962832</v>
      </c>
      <c r="FC235" s="173">
        <f t="shared" si="718"/>
        <v>0.87239231029257935</v>
      </c>
      <c r="FD235" s="5">
        <f t="shared" si="719"/>
        <v>3.1159999999999997</v>
      </c>
      <c r="FE235" s="173">
        <f t="shared" si="720"/>
        <v>0.78126717674155211</v>
      </c>
      <c r="FF235" s="5">
        <f t="shared" si="721"/>
        <v>78.126717674155216</v>
      </c>
      <c r="FI235" s="562">
        <f t="shared" si="676"/>
        <v>-50</v>
      </c>
      <c r="FJ235">
        <f t="shared" si="677"/>
        <v>-50</v>
      </c>
      <c r="FL235">
        <f t="shared" si="678"/>
        <v>0.28499999999999998</v>
      </c>
    </row>
    <row r="236" spans="5:168">
      <c r="E236" s="170">
        <v>20</v>
      </c>
      <c r="F236" s="217">
        <f t="shared" si="679"/>
        <v>0.2</v>
      </c>
      <c r="G236" s="217"/>
      <c r="H236" s="217">
        <f t="shared" si="603"/>
        <v>3.28</v>
      </c>
      <c r="I236" s="541">
        <f t="shared" si="604"/>
        <v>35.967065882664691</v>
      </c>
      <c r="J236" s="172">
        <f t="shared" si="605"/>
        <v>16.819760470401185</v>
      </c>
      <c r="K236" s="172">
        <f t="shared" si="606"/>
        <v>52.786826353065877</v>
      </c>
      <c r="L236" s="443"/>
      <c r="M236" s="217">
        <f t="shared" si="607"/>
        <v>0.3186386611710445</v>
      </c>
      <c r="N236" s="172">
        <f t="shared" si="608"/>
        <v>38.717381461036403</v>
      </c>
      <c r="O236" s="172">
        <f t="shared" si="599"/>
        <v>3.28</v>
      </c>
      <c r="P236" s="217">
        <f t="shared" si="609"/>
        <v>2.3608159427461222</v>
      </c>
      <c r="Q236" s="217">
        <f t="shared" si="610"/>
        <v>16.399999999999999</v>
      </c>
      <c r="R236" s="217"/>
      <c r="S236" s="172">
        <f t="shared" si="611"/>
        <v>563.50954481086842</v>
      </c>
      <c r="T236" s="172">
        <f t="shared" si="612"/>
        <v>16.399999999999999</v>
      </c>
      <c r="U236" s="217">
        <f t="shared" si="613"/>
        <v>0.58706001823859477</v>
      </c>
      <c r="V236" s="217">
        <f t="shared" si="614"/>
        <v>0.19586585800034728</v>
      </c>
      <c r="W236" s="217">
        <f t="shared" si="615"/>
        <v>0.4188359418827744</v>
      </c>
      <c r="X236" s="197">
        <f t="shared" si="616"/>
        <v>350</v>
      </c>
      <c r="Y236" s="443">
        <f t="shared" si="680"/>
        <v>350</v>
      </c>
      <c r="AA236" s="217">
        <f t="shared" si="617"/>
        <v>2.7286634562376069</v>
      </c>
      <c r="AB236" s="173">
        <f t="shared" si="618"/>
        <v>1.9467555160772319</v>
      </c>
      <c r="AC236" s="173">
        <f t="shared" si="619"/>
        <v>0.92960711111606187</v>
      </c>
      <c r="AD236" s="173"/>
      <c r="AE236" s="173">
        <f t="shared" si="620"/>
        <v>0.95126206036977945</v>
      </c>
      <c r="AF236" s="545">
        <f t="shared" si="621"/>
        <v>315.37050882002217</v>
      </c>
      <c r="AG236" s="528">
        <f t="shared" si="622"/>
        <v>0.22196114741961523</v>
      </c>
      <c r="AI236" s="173">
        <f t="shared" si="623"/>
        <v>1.2656547513291363</v>
      </c>
      <c r="AJ236" s="173">
        <f t="shared" si="624"/>
        <v>1.3333333333333335</v>
      </c>
      <c r="AK236" s="173">
        <f t="shared" si="625"/>
        <v>1.1802117193257269</v>
      </c>
      <c r="AM236" s="545">
        <f t="shared" si="626"/>
        <v>200</v>
      </c>
      <c r="AN236" s="460">
        <f t="shared" si="627"/>
        <v>315.37050882002217</v>
      </c>
      <c r="AP236">
        <f t="shared" si="628"/>
        <v>200</v>
      </c>
      <c r="AQ236">
        <f t="shared" si="629"/>
        <v>315.37050882002217</v>
      </c>
      <c r="AS236" s="5">
        <f t="shared" si="600"/>
        <v>3.1708735345659318</v>
      </c>
      <c r="AT236" s="5">
        <f t="shared" si="630"/>
        <v>0.44485141079332907</v>
      </c>
      <c r="AU236" s="5">
        <f t="shared" si="722"/>
        <v>2.7260221237726028</v>
      </c>
      <c r="AV236" s="5"/>
      <c r="AW236" s="173">
        <f t="shared" si="723"/>
        <v>0.14029301577119688</v>
      </c>
      <c r="AX236" s="173">
        <f t="shared" si="631"/>
        <v>3.3639520940802372</v>
      </c>
      <c r="AY236" s="173">
        <f t="shared" si="632"/>
        <v>0.5731379894858688</v>
      </c>
      <c r="AZ236" s="173">
        <f t="shared" si="633"/>
        <v>5.8693580879150193</v>
      </c>
      <c r="BA236" s="460">
        <f t="shared" si="594"/>
        <v>0.54250172047966971</v>
      </c>
      <c r="BB236" s="5">
        <f t="shared" si="595"/>
        <v>0.20716527621740347</v>
      </c>
      <c r="BD236" s="173">
        <f t="shared" si="681"/>
        <v>0.28833418447781572</v>
      </c>
      <c r="BE236" s="173">
        <f t="shared" si="682"/>
        <v>0.71376185850331464</v>
      </c>
      <c r="BG236" s="528">
        <f t="shared" si="683"/>
        <v>1.6627320387697414E-3</v>
      </c>
      <c r="BH236" s="528">
        <f t="shared" si="634"/>
        <v>0.41618520714901358</v>
      </c>
      <c r="BI236" s="528">
        <f t="shared" si="635"/>
        <v>0.28357379670448057</v>
      </c>
      <c r="BJ236" s="528">
        <f t="shared" si="684"/>
        <v>8.787638504195891E-2</v>
      </c>
      <c r="BK236">
        <f t="shared" si="685"/>
        <v>1.6185179647199111E-2</v>
      </c>
      <c r="BL236" s="460">
        <f t="shared" si="686"/>
        <v>299.75897635167968</v>
      </c>
      <c r="BM236" s="528">
        <f t="shared" si="636"/>
        <v>0.50637331231989147</v>
      </c>
      <c r="BN236" s="460">
        <f t="shared" si="687"/>
        <v>506.37331231989145</v>
      </c>
      <c r="BO236" s="528">
        <f t="shared" si="637"/>
        <v>0.13999999999999999</v>
      </c>
      <c r="BR236" s="460">
        <f t="shared" si="688"/>
        <v>139.99999999999997</v>
      </c>
      <c r="BS236" s="528">
        <f t="shared" si="689"/>
        <v>2.4940980581546119E-3</v>
      </c>
      <c r="BT236" s="528">
        <f t="shared" si="690"/>
        <v>1.5283679719623171E-2</v>
      </c>
      <c r="BU236" s="528">
        <f t="shared" si="691"/>
        <v>0.18128820248211852</v>
      </c>
      <c r="BV236" s="528"/>
      <c r="BW236" s="528">
        <f t="shared" si="692"/>
        <v>2.8032934117335306E-3</v>
      </c>
      <c r="BX236" s="460">
        <f t="shared" si="693"/>
        <v>201.86927367162983</v>
      </c>
      <c r="BY236" s="173">
        <f t="shared" si="694"/>
        <v>1.1473525742530517</v>
      </c>
      <c r="BZ236" s="5">
        <f t="shared" si="695"/>
        <v>3.28</v>
      </c>
      <c r="CA236" s="173">
        <f t="shared" si="696"/>
        <v>0.74084906159825681</v>
      </c>
      <c r="CB236" s="5">
        <f t="shared" si="697"/>
        <v>74.084906159825678</v>
      </c>
      <c r="CE236" s="562">
        <f t="shared" si="638"/>
        <v>-50</v>
      </c>
      <c r="CF236">
        <f t="shared" si="639"/>
        <v>-50</v>
      </c>
      <c r="CG236" s="173">
        <f t="shared" si="640"/>
        <v>0.30363649640848428</v>
      </c>
      <c r="CI236" s="170">
        <v>20</v>
      </c>
      <c r="CJ236" s="217">
        <f t="shared" si="698"/>
        <v>0.2</v>
      </c>
      <c r="CK236" s="217"/>
      <c r="CL236" s="217">
        <f t="shared" si="641"/>
        <v>3.28</v>
      </c>
      <c r="CM236" s="541">
        <f t="shared" si="642"/>
        <v>36</v>
      </c>
      <c r="CN236" s="443">
        <f t="shared" si="643"/>
        <v>16.799999999999997</v>
      </c>
      <c r="CO236" s="443">
        <f t="shared" si="644"/>
        <v>52.8</v>
      </c>
      <c r="CP236" s="443"/>
      <c r="CQ236" s="217">
        <f t="shared" si="645"/>
        <v>0.31818181818181812</v>
      </c>
      <c r="CR236" s="172">
        <f t="shared" si="646"/>
        <v>38.697272727272725</v>
      </c>
      <c r="CS236" s="172">
        <f t="shared" si="647"/>
        <v>3.28</v>
      </c>
      <c r="CT236" s="217">
        <f t="shared" si="648"/>
        <v>2.3595898004434592</v>
      </c>
      <c r="CU236" s="217">
        <f t="shared" si="649"/>
        <v>16.399999999999999</v>
      </c>
      <c r="CV236" s="217"/>
      <c r="CW236" s="172">
        <f t="shared" si="650"/>
        <v>564.02551266673254</v>
      </c>
      <c r="CX236" s="172">
        <f t="shared" si="651"/>
        <v>16.399999999999999</v>
      </c>
      <c r="CY236" s="217">
        <f t="shared" si="652"/>
        <v>0.57269841269841271</v>
      </c>
      <c r="CZ236" s="217">
        <f t="shared" si="653"/>
        <v>0.1908994708994709</v>
      </c>
      <c r="DA236" s="217">
        <f t="shared" si="654"/>
        <v>0.40907029478458062</v>
      </c>
      <c r="DB236" s="197">
        <f t="shared" si="655"/>
        <v>350</v>
      </c>
      <c r="DC236" s="443">
        <f t="shared" si="656"/>
        <v>350</v>
      </c>
      <c r="DE236" s="217">
        <f t="shared" si="657"/>
        <v>2.7272727272727271</v>
      </c>
      <c r="DF236" s="173">
        <f t="shared" si="658"/>
        <v>1.9480519480519483</v>
      </c>
      <c r="DG236" s="173">
        <f t="shared" si="659"/>
        <v>0.92975206611570249</v>
      </c>
      <c r="DH236" s="173"/>
      <c r="DI236" s="173">
        <f t="shared" si="660"/>
        <v>0.95238095238095266</v>
      </c>
      <c r="DJ236" s="545">
        <f t="shared" si="661"/>
        <v>314.99999999999989</v>
      </c>
      <c r="DK236" s="528">
        <f t="shared" si="662"/>
        <v>0.22222222222222232</v>
      </c>
      <c r="DM236" s="173">
        <f t="shared" si="663"/>
        <v>1.2649110640673515</v>
      </c>
      <c r="DN236" s="173">
        <f t="shared" si="664"/>
        <v>1.3333333333333335</v>
      </c>
      <c r="DO236" s="173">
        <f t="shared" si="665"/>
        <v>1.18</v>
      </c>
      <c r="DQ236" s="545">
        <f t="shared" si="666"/>
        <v>200</v>
      </c>
      <c r="DR236" s="460">
        <f t="shared" si="667"/>
        <v>314.99999999999989</v>
      </c>
      <c r="DT236">
        <f t="shared" si="668"/>
        <v>200</v>
      </c>
      <c r="DU236">
        <f t="shared" si="669"/>
        <v>314.99999999999989</v>
      </c>
      <c r="DW236" s="5">
        <f t="shared" si="670"/>
        <v>3.1746031746031758</v>
      </c>
      <c r="DX236" s="5">
        <f t="shared" si="671"/>
        <v>0.44444444444444453</v>
      </c>
      <c r="DY236" s="5">
        <f t="shared" si="672"/>
        <v>2.7301587301587311</v>
      </c>
      <c r="DZ236" s="5"/>
      <c r="EA236" s="173">
        <f t="shared" si="673"/>
        <v>0.13999999999999999</v>
      </c>
      <c r="EB236" s="173">
        <f t="shared" si="699"/>
        <v>3.36</v>
      </c>
      <c r="EC236" s="173">
        <f t="shared" si="700"/>
        <v>0.57333333333333336</v>
      </c>
      <c r="ED236" s="173">
        <f t="shared" si="701"/>
        <v>5.8604651162790695</v>
      </c>
      <c r="EE236" s="460">
        <f t="shared" si="674"/>
        <v>0.54200542005420072</v>
      </c>
      <c r="EF236" s="5">
        <f t="shared" si="675"/>
        <v>0.20728982951205177</v>
      </c>
      <c r="EH236" s="173">
        <f t="shared" si="702"/>
        <v>0.28803291992923824</v>
      </c>
      <c r="EI236" s="173">
        <f t="shared" si="703"/>
        <v>0.71388348463151163</v>
      </c>
      <c r="EK236" s="528">
        <f t="shared" si="704"/>
        <v>1.6592592592592592E-3</v>
      </c>
      <c r="EL236" s="528">
        <f t="shared" si="705"/>
        <v>0.44351999999999986</v>
      </c>
      <c r="EM236" s="528">
        <f t="shared" si="706"/>
        <v>3.9374999999999979E-2</v>
      </c>
      <c r="EN236" s="528">
        <f t="shared" si="707"/>
        <v>8.7816959999999958E-2</v>
      </c>
      <c r="EO236">
        <f t="shared" si="708"/>
        <v>1.6199999999999999E-2</v>
      </c>
      <c r="EP236" s="460">
        <f t="shared" si="709"/>
        <v>55.574999999999982</v>
      </c>
      <c r="EQ236" s="460"/>
      <c r="ER236" s="460">
        <f t="shared" si="710"/>
        <v>588.57121925925901</v>
      </c>
      <c r="ES236" s="528">
        <f t="shared" si="711"/>
        <v>0.13999999999999999</v>
      </c>
      <c r="EV236" s="460">
        <f t="shared" si="712"/>
        <v>139.99999999999997</v>
      </c>
      <c r="EW236" s="528">
        <f t="shared" si="713"/>
        <v>2.4888888888888886E-3</v>
      </c>
      <c r="EX236" s="528">
        <f t="shared" si="714"/>
        <v>1.5288888888888888E-2</v>
      </c>
      <c r="EY236" s="528">
        <f t="shared" si="715"/>
        <v>0.18075621151152735</v>
      </c>
      <c r="EZ236" s="528"/>
      <c r="FA236" s="528">
        <f t="shared" si="716"/>
        <v>2.7999999999999995E-3</v>
      </c>
      <c r="FB236" s="460">
        <f t="shared" si="717"/>
        <v>201.33398928930512</v>
      </c>
      <c r="FC236" s="173">
        <f t="shared" si="718"/>
        <v>0.92990520854856418</v>
      </c>
      <c r="FD236" s="5">
        <f t="shared" si="719"/>
        <v>3.28</v>
      </c>
      <c r="FE236" s="173">
        <f t="shared" si="720"/>
        <v>0.77911492955700901</v>
      </c>
      <c r="FF236" s="5">
        <f t="shared" si="721"/>
        <v>77.911492955700908</v>
      </c>
      <c r="FI236" s="562">
        <f t="shared" si="676"/>
        <v>-50</v>
      </c>
      <c r="FJ236">
        <f t="shared" si="677"/>
        <v>-50</v>
      </c>
      <c r="FL236">
        <f t="shared" si="678"/>
        <v>0.3</v>
      </c>
    </row>
    <row r="237" spans="5:168">
      <c r="E237" s="170">
        <v>21</v>
      </c>
      <c r="F237" s="217">
        <f t="shared" si="679"/>
        <v>0.21</v>
      </c>
      <c r="G237" s="217"/>
      <c r="H237" s="217">
        <f t="shared" si="603"/>
        <v>3.4439999999999995</v>
      </c>
      <c r="I237" s="541">
        <f t="shared" si="604"/>
        <v>35.967065882664691</v>
      </c>
      <c r="J237" s="172">
        <f t="shared" si="605"/>
        <v>16.819760470401185</v>
      </c>
      <c r="K237" s="172">
        <f t="shared" si="606"/>
        <v>52.786826353065877</v>
      </c>
      <c r="L237" s="443"/>
      <c r="M237" s="217">
        <f t="shared" si="607"/>
        <v>0.3186386611710445</v>
      </c>
      <c r="N237" s="172">
        <f t="shared" si="608"/>
        <v>38.717381461036403</v>
      </c>
      <c r="O237" s="172">
        <f t="shared" si="599"/>
        <v>3.4439999999999995</v>
      </c>
      <c r="P237" s="217">
        <f t="shared" si="609"/>
        <v>2.3608159427461222</v>
      </c>
      <c r="Q237" s="217">
        <f t="shared" si="610"/>
        <v>16.399999999999999</v>
      </c>
      <c r="R237" s="217"/>
      <c r="S237" s="172">
        <f t="shared" si="611"/>
        <v>534.96561467816866</v>
      </c>
      <c r="T237" s="172">
        <f t="shared" si="612"/>
        <v>16.399999999999999</v>
      </c>
      <c r="U237" s="217">
        <f t="shared" si="613"/>
        <v>0.61641301915052449</v>
      </c>
      <c r="V237" s="217">
        <f t="shared" si="614"/>
        <v>0.20565915090036463</v>
      </c>
      <c r="W237" s="217">
        <f t="shared" si="615"/>
        <v>0.43977773897691314</v>
      </c>
      <c r="X237" s="197">
        <f t="shared" si="616"/>
        <v>350</v>
      </c>
      <c r="Y237" s="443">
        <f t="shared" si="680"/>
        <v>350</v>
      </c>
      <c r="AA237" s="217">
        <f t="shared" si="617"/>
        <v>2.7286634562376069</v>
      </c>
      <c r="AB237" s="173">
        <f t="shared" si="618"/>
        <v>1.9467555160772319</v>
      </c>
      <c r="AC237" s="173">
        <f t="shared" si="619"/>
        <v>0.92960711111606187</v>
      </c>
      <c r="AD237" s="173"/>
      <c r="AE237" s="173">
        <f t="shared" si="620"/>
        <v>0.95126206036977945</v>
      </c>
      <c r="AF237" s="545">
        <f t="shared" si="621"/>
        <v>331.1390342610232</v>
      </c>
      <c r="AG237" s="528">
        <f t="shared" si="622"/>
        <v>0.22196114741961523</v>
      </c>
      <c r="AI237" s="173">
        <f t="shared" si="623"/>
        <v>1.2969101923572497</v>
      </c>
      <c r="AJ237" s="173">
        <f t="shared" si="624"/>
        <v>1.3333333333333335</v>
      </c>
      <c r="AK237" s="173">
        <f t="shared" si="625"/>
        <v>1.1892223052920132</v>
      </c>
      <c r="AM237" s="545">
        <f t="shared" si="626"/>
        <v>210</v>
      </c>
      <c r="AN237" s="460">
        <f t="shared" si="627"/>
        <v>331.1390342610232</v>
      </c>
      <c r="AP237">
        <f t="shared" si="628"/>
        <v>210</v>
      </c>
      <c r="AQ237">
        <f t="shared" si="629"/>
        <v>331.1390342610232</v>
      </c>
      <c r="AS237" s="5">
        <f t="shared" si="600"/>
        <v>3.0198795567294594</v>
      </c>
      <c r="AT237" s="5">
        <f t="shared" si="630"/>
        <v>0.44485141079332907</v>
      </c>
      <c r="AU237" s="5">
        <f t="shared" si="722"/>
        <v>2.5750281459361304</v>
      </c>
      <c r="AV237" s="5"/>
      <c r="AW237" s="173">
        <f t="shared" si="723"/>
        <v>0.14730766655975669</v>
      </c>
      <c r="AX237" s="173">
        <f t="shared" si="631"/>
        <v>3.5321496987842482</v>
      </c>
      <c r="AY237" s="173">
        <f t="shared" si="632"/>
        <v>0.56846155562682898</v>
      </c>
      <c r="AZ237" s="173">
        <f t="shared" si="633"/>
        <v>6.2135243163267759</v>
      </c>
      <c r="BA237" s="460">
        <f t="shared" si="594"/>
        <v>0.56962680650365316</v>
      </c>
      <c r="BB237" s="5">
        <f t="shared" si="595"/>
        <v>0.20547494207467903</v>
      </c>
      <c r="BD237" s="173">
        <f t="shared" si="681"/>
        <v>0.29545461924872896</v>
      </c>
      <c r="BE237" s="173">
        <f t="shared" si="682"/>
        <v>0.71084397764712148</v>
      </c>
      <c r="BG237" s="528">
        <f t="shared" si="683"/>
        <v>1.745868640708228E-3</v>
      </c>
      <c r="BH237" s="528">
        <f t="shared" si="634"/>
        <v>0.43699446750646415</v>
      </c>
      <c r="BI237" s="528">
        <f t="shared" si="635"/>
        <v>0.29775248653970454</v>
      </c>
      <c r="BJ237" s="528">
        <f t="shared" si="684"/>
        <v>9.2270204294056843E-2</v>
      </c>
      <c r="BK237">
        <f t="shared" si="685"/>
        <v>1.6185179647199111E-2</v>
      </c>
      <c r="BL237" s="460">
        <f t="shared" si="686"/>
        <v>313.93766618690364</v>
      </c>
      <c r="BM237" s="528">
        <f t="shared" si="636"/>
        <v>0.53170248494246874</v>
      </c>
      <c r="BN237" s="460">
        <f t="shared" si="687"/>
        <v>531.7024849424688</v>
      </c>
      <c r="BO237" s="528">
        <f t="shared" si="637"/>
        <v>0.14699999999999999</v>
      </c>
      <c r="BR237" s="460">
        <f t="shared" si="688"/>
        <v>147</v>
      </c>
      <c r="BS237" s="528">
        <f t="shared" si="689"/>
        <v>2.6188029610623421E-3</v>
      </c>
      <c r="BT237" s="528">
        <f t="shared" si="690"/>
        <v>1.515897481671544E-2</v>
      </c>
      <c r="BU237" s="528">
        <f t="shared" si="691"/>
        <v>0.2048060542025151</v>
      </c>
      <c r="BV237" s="528"/>
      <c r="BW237" s="528">
        <f t="shared" si="692"/>
        <v>2.9434580823202066E-3</v>
      </c>
      <c r="BX237" s="460">
        <f t="shared" si="693"/>
        <v>225.5272900626131</v>
      </c>
      <c r="BY237" s="173">
        <f t="shared" si="694"/>
        <v>1.2174754966907462</v>
      </c>
      <c r="BZ237" s="5">
        <f t="shared" si="695"/>
        <v>3.4439999999999995</v>
      </c>
      <c r="CA237" s="173">
        <f t="shared" si="696"/>
        <v>0.738821860684444</v>
      </c>
      <c r="CB237" s="5">
        <f t="shared" si="697"/>
        <v>73.882186068444398</v>
      </c>
      <c r="CE237" s="562">
        <f t="shared" si="638"/>
        <v>-50</v>
      </c>
      <c r="CF237">
        <f t="shared" si="639"/>
        <v>-50</v>
      </c>
      <c r="CG237" s="173">
        <f t="shared" si="640"/>
        <v>0.31881832122890846</v>
      </c>
      <c r="CI237" s="170">
        <v>21</v>
      </c>
      <c r="CJ237" s="217">
        <f t="shared" si="698"/>
        <v>0.21</v>
      </c>
      <c r="CK237" s="217"/>
      <c r="CL237" s="217">
        <f t="shared" si="641"/>
        <v>3.4439999999999995</v>
      </c>
      <c r="CM237" s="541">
        <f t="shared" si="642"/>
        <v>36</v>
      </c>
      <c r="CN237" s="443">
        <f t="shared" si="643"/>
        <v>16.799999999999997</v>
      </c>
      <c r="CO237" s="443">
        <f t="shared" si="644"/>
        <v>52.8</v>
      </c>
      <c r="CP237" s="443"/>
      <c r="CQ237" s="217">
        <f t="shared" si="645"/>
        <v>0.31818181818181812</v>
      </c>
      <c r="CR237" s="172">
        <f t="shared" si="646"/>
        <v>38.697272727272725</v>
      </c>
      <c r="CS237" s="172">
        <f t="shared" si="647"/>
        <v>3.4439999999999995</v>
      </c>
      <c r="CT237" s="217">
        <f t="shared" si="648"/>
        <v>2.3595898004434592</v>
      </c>
      <c r="CU237" s="217">
        <f t="shared" si="649"/>
        <v>16.399999999999999</v>
      </c>
      <c r="CV237" s="217"/>
      <c r="CW237" s="172">
        <f t="shared" si="650"/>
        <v>535.45544434766168</v>
      </c>
      <c r="CX237" s="172">
        <f t="shared" si="651"/>
        <v>16.399999999999999</v>
      </c>
      <c r="CY237" s="217">
        <f t="shared" si="652"/>
        <v>0.60133333333333328</v>
      </c>
      <c r="CZ237" s="217">
        <f t="shared" si="653"/>
        <v>0.20044444444444443</v>
      </c>
      <c r="DA237" s="217">
        <f t="shared" si="654"/>
        <v>0.42952380952380959</v>
      </c>
      <c r="DB237" s="197">
        <f t="shared" si="655"/>
        <v>350</v>
      </c>
      <c r="DC237" s="443">
        <f t="shared" si="656"/>
        <v>350</v>
      </c>
      <c r="DE237" s="217">
        <f t="shared" si="657"/>
        <v>2.7272727272727271</v>
      </c>
      <c r="DF237" s="173">
        <f t="shared" si="658"/>
        <v>1.9480519480519483</v>
      </c>
      <c r="DG237" s="173">
        <f t="shared" si="659"/>
        <v>0.92975206611570249</v>
      </c>
      <c r="DH237" s="173"/>
      <c r="DI237" s="173">
        <f t="shared" si="660"/>
        <v>0.95238095238095266</v>
      </c>
      <c r="DJ237" s="545">
        <f t="shared" si="661"/>
        <v>330.74999999999983</v>
      </c>
      <c r="DK237" s="528">
        <f t="shared" si="662"/>
        <v>0.22222222222222232</v>
      </c>
      <c r="DM237" s="173">
        <f t="shared" si="663"/>
        <v>1.2961481396815719</v>
      </c>
      <c r="DN237" s="173">
        <f t="shared" si="664"/>
        <v>1.3333333333333335</v>
      </c>
      <c r="DO237" s="173">
        <f t="shared" si="665"/>
        <v>1.1889999999999998</v>
      </c>
      <c r="DQ237" s="545">
        <f t="shared" si="666"/>
        <v>210</v>
      </c>
      <c r="DR237" s="460">
        <f t="shared" si="667"/>
        <v>330.74999999999983</v>
      </c>
      <c r="DT237">
        <f t="shared" si="668"/>
        <v>210</v>
      </c>
      <c r="DU237">
        <f t="shared" si="669"/>
        <v>330.74999999999983</v>
      </c>
      <c r="DW237" s="5">
        <f t="shared" si="670"/>
        <v>3.0234315948601678</v>
      </c>
      <c r="DX237" s="5">
        <f t="shared" si="671"/>
        <v>0.44444444444444453</v>
      </c>
      <c r="DY237" s="5">
        <f t="shared" si="672"/>
        <v>2.5789871504157231</v>
      </c>
      <c r="DZ237" s="5"/>
      <c r="EA237" s="173">
        <f t="shared" si="673"/>
        <v>0.14699999999999996</v>
      </c>
      <c r="EB237" s="173">
        <f t="shared" si="699"/>
        <v>3.5279999999999991</v>
      </c>
      <c r="EC237" s="173">
        <f t="shared" si="700"/>
        <v>0.56866666666666676</v>
      </c>
      <c r="ED237" s="173">
        <f t="shared" si="701"/>
        <v>6.2039859320046871</v>
      </c>
      <c r="EE237" s="460">
        <f t="shared" si="674"/>
        <v>0.56910569105691078</v>
      </c>
      <c r="EF237" s="5">
        <f t="shared" si="675"/>
        <v>0.20560258671369785</v>
      </c>
      <c r="EH237" s="173">
        <f t="shared" si="702"/>
        <v>0.29514591494904874</v>
      </c>
      <c r="EI237" s="173">
        <f t="shared" si="703"/>
        <v>0.71097220865620447</v>
      </c>
      <c r="EK237" s="528">
        <f t="shared" si="704"/>
        <v>1.7422222222222223E-3</v>
      </c>
      <c r="EL237" s="528">
        <f t="shared" si="705"/>
        <v>0.46569599999999978</v>
      </c>
      <c r="EM237" s="528">
        <f t="shared" si="706"/>
        <v>4.1343749999999978E-2</v>
      </c>
      <c r="EN237" s="528">
        <f t="shared" si="707"/>
        <v>9.2207807999999933E-2</v>
      </c>
      <c r="EO237">
        <f t="shared" si="708"/>
        <v>1.6199999999999999E-2</v>
      </c>
      <c r="EP237" s="460">
        <f t="shared" si="709"/>
        <v>57.543749999999974</v>
      </c>
      <c r="EQ237" s="460"/>
      <c r="ER237" s="460">
        <f t="shared" si="710"/>
        <v>617.18978022222188</v>
      </c>
      <c r="ES237" s="528">
        <f t="shared" si="711"/>
        <v>0.14699999999999999</v>
      </c>
      <c r="EV237" s="460">
        <f t="shared" si="712"/>
        <v>147</v>
      </c>
      <c r="EW237" s="528">
        <f t="shared" si="713"/>
        <v>2.6133333333333334E-3</v>
      </c>
      <c r="EX237" s="528">
        <f t="shared" si="714"/>
        <v>1.5164444444444446E-2</v>
      </c>
      <c r="EY237" s="528">
        <f t="shared" si="715"/>
        <v>0.20420504999999972</v>
      </c>
      <c r="EZ237" s="528"/>
      <c r="FA237" s="528">
        <f t="shared" si="716"/>
        <v>2.939999999999999E-3</v>
      </c>
      <c r="FB237" s="460">
        <f t="shared" si="717"/>
        <v>224.92282777777751</v>
      </c>
      <c r="FC237" s="173">
        <f t="shared" si="718"/>
        <v>0.98911260799999956</v>
      </c>
      <c r="FD237" s="5">
        <f t="shared" si="719"/>
        <v>3.4439999999999995</v>
      </c>
      <c r="FE237" s="173">
        <f t="shared" si="720"/>
        <v>0.77688078434663577</v>
      </c>
      <c r="FF237" s="5">
        <f t="shared" si="721"/>
        <v>77.688078434663581</v>
      </c>
      <c r="FI237" s="562">
        <f t="shared" si="676"/>
        <v>-50</v>
      </c>
      <c r="FJ237">
        <f t="shared" si="677"/>
        <v>-50</v>
      </c>
      <c r="FL237">
        <f t="shared" si="678"/>
        <v>0.31499999999999995</v>
      </c>
    </row>
    <row r="238" spans="5:168">
      <c r="E238" s="170">
        <v>22</v>
      </c>
      <c r="F238" s="217">
        <f t="shared" si="679"/>
        <v>0.22</v>
      </c>
      <c r="G238" s="217"/>
      <c r="H238" s="217">
        <f t="shared" si="603"/>
        <v>3.6079999999999997</v>
      </c>
      <c r="I238" s="541">
        <f t="shared" si="604"/>
        <v>35.967065882664691</v>
      </c>
      <c r="J238" s="172">
        <f t="shared" si="605"/>
        <v>16.819760470401185</v>
      </c>
      <c r="K238" s="172">
        <f t="shared" si="606"/>
        <v>52.786826353065877</v>
      </c>
      <c r="L238" s="443"/>
      <c r="M238" s="217">
        <f t="shared" si="607"/>
        <v>0.3186386611710445</v>
      </c>
      <c r="N238" s="172">
        <f t="shared" si="608"/>
        <v>38.717381461036403</v>
      </c>
      <c r="O238" s="172">
        <f t="shared" si="599"/>
        <v>3.6079999999999997</v>
      </c>
      <c r="P238" s="217">
        <f t="shared" si="609"/>
        <v>2.3608159427461222</v>
      </c>
      <c r="Q238" s="217">
        <f t="shared" si="610"/>
        <v>16.399999999999999</v>
      </c>
      <c r="R238" s="217"/>
      <c r="S238" s="172">
        <f t="shared" si="611"/>
        <v>509.01671955725192</v>
      </c>
      <c r="T238" s="172">
        <f t="shared" si="612"/>
        <v>16.399999999999999</v>
      </c>
      <c r="U238" s="217">
        <f t="shared" si="613"/>
        <v>0.64576602006245432</v>
      </c>
      <c r="V238" s="217">
        <f t="shared" si="614"/>
        <v>0.21545244380038203</v>
      </c>
      <c r="W238" s="217">
        <f t="shared" si="615"/>
        <v>0.46071953607105193</v>
      </c>
      <c r="X238" s="197">
        <f t="shared" si="616"/>
        <v>350</v>
      </c>
      <c r="Y238" s="443">
        <f t="shared" si="680"/>
        <v>350</v>
      </c>
      <c r="AA238" s="217">
        <f t="shared" si="617"/>
        <v>2.7286634562376069</v>
      </c>
      <c r="AB238" s="173">
        <f t="shared" si="618"/>
        <v>1.9467555160772319</v>
      </c>
      <c r="AC238" s="173">
        <f t="shared" si="619"/>
        <v>0.92960711111606187</v>
      </c>
      <c r="AD238" s="173"/>
      <c r="AE238" s="173">
        <f t="shared" si="620"/>
        <v>0.95126206036977945</v>
      </c>
      <c r="AF238" s="545">
        <f t="shared" si="621"/>
        <v>346.9075597020244</v>
      </c>
      <c r="AG238" s="528">
        <f t="shared" si="622"/>
        <v>0.22196114741961523</v>
      </c>
      <c r="AI238" s="173">
        <f t="shared" si="623"/>
        <v>1.327429901922591</v>
      </c>
      <c r="AJ238" s="173">
        <f t="shared" si="624"/>
        <v>1.3333333333333335</v>
      </c>
      <c r="AK238" s="173">
        <f t="shared" si="625"/>
        <v>1.1982328912582996</v>
      </c>
      <c r="AM238" s="545">
        <f t="shared" si="626"/>
        <v>220</v>
      </c>
      <c r="AN238" s="460">
        <f t="shared" si="627"/>
        <v>346.9075597020244</v>
      </c>
      <c r="AP238">
        <f t="shared" si="628"/>
        <v>220</v>
      </c>
      <c r="AQ238">
        <f t="shared" si="629"/>
        <v>346.9075597020244</v>
      </c>
      <c r="AS238" s="5">
        <f t="shared" si="600"/>
        <v>2.8826123041508471</v>
      </c>
      <c r="AT238" s="5">
        <f t="shared" si="630"/>
        <v>0.44485141079332907</v>
      </c>
      <c r="AU238" s="5">
        <f t="shared" si="722"/>
        <v>2.4377608933575181</v>
      </c>
      <c r="AV238" s="5"/>
      <c r="AW238" s="173">
        <f t="shared" si="723"/>
        <v>0.15432231734831656</v>
      </c>
      <c r="AX238" s="173">
        <f t="shared" si="631"/>
        <v>3.700347303488261</v>
      </c>
      <c r="AY238" s="173">
        <f t="shared" si="632"/>
        <v>0.56378512176778905</v>
      </c>
      <c r="AZ238" s="173">
        <f t="shared" si="633"/>
        <v>6.5634000625726951</v>
      </c>
      <c r="BA238" s="460">
        <f t="shared" si="594"/>
        <v>0.59675189252763661</v>
      </c>
      <c r="BB238" s="5">
        <f t="shared" si="595"/>
        <v>0.20378460793195455</v>
      </c>
      <c r="BD238" s="173">
        <f t="shared" si="681"/>
        <v>0.30240744391025787</v>
      </c>
      <c r="BE238" s="173">
        <f t="shared" si="682"/>
        <v>0.70791406996912909</v>
      </c>
      <c r="BG238" s="528">
        <f t="shared" si="683"/>
        <v>1.8290052426467151E-3</v>
      </c>
      <c r="BH238" s="528">
        <f t="shared" si="634"/>
        <v>0.45780372786391499</v>
      </c>
      <c r="BI238" s="528">
        <f t="shared" si="635"/>
        <v>0.31193117637492868</v>
      </c>
      <c r="BJ238" s="528">
        <f t="shared" si="684"/>
        <v>9.6664023546154804E-2</v>
      </c>
      <c r="BK238">
        <f t="shared" si="685"/>
        <v>1.6185179647199111E-2</v>
      </c>
      <c r="BL238" s="460">
        <f t="shared" si="686"/>
        <v>328.11635602212777</v>
      </c>
      <c r="BM238" s="528">
        <f t="shared" si="636"/>
        <v>0.5570326586673906</v>
      </c>
      <c r="BN238" s="460">
        <f t="shared" si="687"/>
        <v>557.03265866739059</v>
      </c>
      <c r="BO238" s="528">
        <f t="shared" si="637"/>
        <v>0.154</v>
      </c>
      <c r="BR238" s="460">
        <f t="shared" si="688"/>
        <v>154</v>
      </c>
      <c r="BS238" s="528">
        <f t="shared" si="689"/>
        <v>2.7435078639700726E-3</v>
      </c>
      <c r="BT238" s="528">
        <f t="shared" si="690"/>
        <v>1.5034269913807709E-2</v>
      </c>
      <c r="BU238" s="528">
        <f t="shared" si="691"/>
        <v>0.23006537170685026</v>
      </c>
      <c r="BV238" s="528"/>
      <c r="BW238" s="528">
        <f t="shared" si="692"/>
        <v>3.0836227529068838E-3</v>
      </c>
      <c r="BX238" s="460">
        <f t="shared" si="693"/>
        <v>250.92677223753489</v>
      </c>
      <c r="BY238" s="173">
        <f t="shared" si="694"/>
        <v>1.2893398849123792</v>
      </c>
      <c r="BZ238" s="5">
        <f t="shared" si="695"/>
        <v>3.6079999999999997</v>
      </c>
      <c r="CA238" s="173">
        <f t="shared" si="696"/>
        <v>0.73672648515073458</v>
      </c>
      <c r="CB238" s="5">
        <f t="shared" si="697"/>
        <v>73.672648515073462</v>
      </c>
      <c r="CE238" s="562">
        <f t="shared" si="638"/>
        <v>-50</v>
      </c>
      <c r="CF238">
        <f t="shared" si="639"/>
        <v>-50</v>
      </c>
      <c r="CG238" s="173">
        <f t="shared" si="640"/>
        <v>0.3340001460493327</v>
      </c>
      <c r="CI238" s="170">
        <v>22</v>
      </c>
      <c r="CJ238" s="217">
        <f t="shared" si="698"/>
        <v>0.22</v>
      </c>
      <c r="CK238" s="217"/>
      <c r="CL238" s="217">
        <f t="shared" si="641"/>
        <v>3.6079999999999997</v>
      </c>
      <c r="CM238" s="541">
        <f t="shared" si="642"/>
        <v>36</v>
      </c>
      <c r="CN238" s="443">
        <f t="shared" si="643"/>
        <v>16.799999999999997</v>
      </c>
      <c r="CO238" s="443">
        <f t="shared" si="644"/>
        <v>52.8</v>
      </c>
      <c r="CP238" s="443"/>
      <c r="CQ238" s="217">
        <f t="shared" si="645"/>
        <v>0.31818181818181812</v>
      </c>
      <c r="CR238" s="172">
        <f t="shared" si="646"/>
        <v>38.697272727272725</v>
      </c>
      <c r="CS238" s="172">
        <f t="shared" si="647"/>
        <v>3.6079999999999997</v>
      </c>
      <c r="CT238" s="217">
        <f t="shared" si="648"/>
        <v>2.3595898004434592</v>
      </c>
      <c r="CU238" s="217">
        <f t="shared" si="649"/>
        <v>16.399999999999999</v>
      </c>
      <c r="CV238" s="217"/>
      <c r="CW238" s="172">
        <f t="shared" si="650"/>
        <v>509.4827872394427</v>
      </c>
      <c r="CX238" s="172">
        <f t="shared" si="651"/>
        <v>16.399999999999999</v>
      </c>
      <c r="CY238" s="217">
        <f t="shared" si="652"/>
        <v>0.62996825396825396</v>
      </c>
      <c r="CZ238" s="217">
        <f t="shared" si="653"/>
        <v>0.20998941798941798</v>
      </c>
      <c r="DA238" s="217">
        <f t="shared" si="654"/>
        <v>0.44997732426303866</v>
      </c>
      <c r="DB238" s="197">
        <f t="shared" si="655"/>
        <v>350</v>
      </c>
      <c r="DC238" s="443">
        <f t="shared" si="656"/>
        <v>350</v>
      </c>
      <c r="DE238" s="217">
        <f t="shared" si="657"/>
        <v>2.7272727272727271</v>
      </c>
      <c r="DF238" s="173">
        <f t="shared" si="658"/>
        <v>1.9480519480519483</v>
      </c>
      <c r="DG238" s="173">
        <f t="shared" si="659"/>
        <v>0.92975206611570249</v>
      </c>
      <c r="DH238" s="173"/>
      <c r="DI238" s="173">
        <f t="shared" si="660"/>
        <v>0.95238095238095266</v>
      </c>
      <c r="DJ238" s="545">
        <f t="shared" si="661"/>
        <v>346.49999999999989</v>
      </c>
      <c r="DK238" s="528">
        <f t="shared" si="662"/>
        <v>0.22222222222222232</v>
      </c>
      <c r="DM238" s="173">
        <f t="shared" si="663"/>
        <v>1.3266499161421599</v>
      </c>
      <c r="DN238" s="173">
        <f t="shared" si="664"/>
        <v>1.3333333333333335</v>
      </c>
      <c r="DO238" s="173">
        <f t="shared" si="665"/>
        <v>1.198</v>
      </c>
      <c r="DQ238" s="545">
        <f t="shared" si="666"/>
        <v>220</v>
      </c>
      <c r="DR238" s="460">
        <f t="shared" si="667"/>
        <v>346.49999999999989</v>
      </c>
      <c r="DT238">
        <f t="shared" si="668"/>
        <v>220</v>
      </c>
      <c r="DU238">
        <f t="shared" si="669"/>
        <v>346.49999999999989</v>
      </c>
      <c r="DW238" s="5">
        <f t="shared" si="670"/>
        <v>2.886002886002887</v>
      </c>
      <c r="DX238" s="5">
        <f t="shared" si="671"/>
        <v>0.44444444444444453</v>
      </c>
      <c r="DY238" s="5">
        <f t="shared" si="672"/>
        <v>2.4415584415584424</v>
      </c>
      <c r="DZ238" s="5"/>
      <c r="EA238" s="173">
        <f t="shared" si="673"/>
        <v>0.15399999999999997</v>
      </c>
      <c r="EB238" s="173">
        <f t="shared" si="699"/>
        <v>3.6959999999999997</v>
      </c>
      <c r="EC238" s="173">
        <f t="shared" si="700"/>
        <v>0.56400000000000017</v>
      </c>
      <c r="ED238" s="173">
        <f t="shared" si="701"/>
        <v>6.5531914893616996</v>
      </c>
      <c r="EE238" s="460">
        <f t="shared" si="674"/>
        <v>0.59620596205962084</v>
      </c>
      <c r="EF238" s="5">
        <f t="shared" si="675"/>
        <v>0.20391534391534394</v>
      </c>
      <c r="EH238" s="173">
        <f t="shared" si="702"/>
        <v>0.30209147498606986</v>
      </c>
      <c r="EI238" s="173">
        <f t="shared" si="703"/>
        <v>0.70804896252542693</v>
      </c>
      <c r="EK238" s="528">
        <f t="shared" si="704"/>
        <v>1.8251851851851855E-3</v>
      </c>
      <c r="EL238" s="528">
        <f t="shared" si="705"/>
        <v>0.48787199999999992</v>
      </c>
      <c r="EM238" s="528">
        <f t="shared" si="706"/>
        <v>4.3312499999999983E-2</v>
      </c>
      <c r="EN238" s="528">
        <f t="shared" si="707"/>
        <v>9.6598655999999949E-2</v>
      </c>
      <c r="EO238">
        <f t="shared" si="708"/>
        <v>1.6199999999999999E-2</v>
      </c>
      <c r="EP238" s="460">
        <f t="shared" si="709"/>
        <v>59.512499999999982</v>
      </c>
      <c r="EQ238" s="460"/>
      <c r="ER238" s="460">
        <f t="shared" si="710"/>
        <v>645.80834118518499</v>
      </c>
      <c r="ES238" s="528">
        <f t="shared" si="711"/>
        <v>0.154</v>
      </c>
      <c r="EV238" s="460">
        <f t="shared" si="712"/>
        <v>154</v>
      </c>
      <c r="EW238" s="528">
        <f t="shared" si="713"/>
        <v>2.7377777777777782E-3</v>
      </c>
      <c r="EX238" s="528">
        <f t="shared" si="714"/>
        <v>1.5040000000000001E-2</v>
      </c>
      <c r="EY238" s="528">
        <f t="shared" si="715"/>
        <v>0.22939024393395646</v>
      </c>
      <c r="EZ238" s="528"/>
      <c r="FA238" s="528">
        <f t="shared" si="716"/>
        <v>3.0799999999999994E-3</v>
      </c>
      <c r="FB238" s="460">
        <f t="shared" si="717"/>
        <v>250.24802171173422</v>
      </c>
      <c r="FC238" s="173">
        <f t="shared" si="718"/>
        <v>1.0500563628969193</v>
      </c>
      <c r="FD238" s="5">
        <f t="shared" si="719"/>
        <v>3.6079999999999997</v>
      </c>
      <c r="FE238" s="173">
        <f t="shared" si="720"/>
        <v>0.77457199288935341</v>
      </c>
      <c r="FF238" s="5">
        <f t="shared" si="721"/>
        <v>77.457199288935342</v>
      </c>
      <c r="FI238" s="562">
        <f t="shared" si="676"/>
        <v>-50</v>
      </c>
      <c r="FJ238">
        <f t="shared" si="677"/>
        <v>-50</v>
      </c>
      <c r="FL238">
        <f t="shared" si="678"/>
        <v>0.32999999999999996</v>
      </c>
    </row>
    <row r="239" spans="5:168">
      <c r="E239" s="170">
        <v>23</v>
      </c>
      <c r="F239" s="217">
        <f t="shared" si="679"/>
        <v>0.23</v>
      </c>
      <c r="G239" s="217"/>
      <c r="H239" s="217">
        <f t="shared" si="603"/>
        <v>3.7719999999999998</v>
      </c>
      <c r="I239" s="541">
        <f t="shared" si="604"/>
        <v>35.966494492279345</v>
      </c>
      <c r="J239" s="172">
        <f t="shared" si="605"/>
        <v>16.82010330463239</v>
      </c>
      <c r="K239" s="172">
        <f t="shared" si="606"/>
        <v>52.786597796911735</v>
      </c>
      <c r="L239" s="443"/>
      <c r="M239" s="217">
        <f t="shared" si="607"/>
        <v>0.31864658914309413</v>
      </c>
      <c r="N239" s="172">
        <f t="shared" si="608"/>
        <v>38.717729680365252</v>
      </c>
      <c r="O239" s="172">
        <f t="shared" si="599"/>
        <v>3.7719999999999998</v>
      </c>
      <c r="P239" s="217">
        <f t="shared" si="609"/>
        <v>2.3608371756320277</v>
      </c>
      <c r="Q239" s="217">
        <f t="shared" si="610"/>
        <v>16.399999999999999</v>
      </c>
      <c r="R239" s="217"/>
      <c r="S239" s="172">
        <f t="shared" si="611"/>
        <v>485.31666819485457</v>
      </c>
      <c r="T239" s="172">
        <f t="shared" si="612"/>
        <v>16.399999999999999</v>
      </c>
      <c r="U239" s="217">
        <f t="shared" si="613"/>
        <v>0.6751268764054178</v>
      </c>
      <c r="V239" s="217">
        <f t="shared" si="614"/>
        <v>0.22525193603741692</v>
      </c>
      <c r="W239" s="217">
        <f t="shared" si="615"/>
        <v>0.48165712006262112</v>
      </c>
      <c r="X239" s="197">
        <f t="shared" si="616"/>
        <v>350</v>
      </c>
      <c r="Y239" s="443">
        <f t="shared" si="680"/>
        <v>350</v>
      </c>
      <c r="AA239" s="217">
        <f t="shared" si="617"/>
        <v>2.7286875390006826</v>
      </c>
      <c r="AB239" s="173">
        <f t="shared" si="618"/>
        <v>1.9467330179232707</v>
      </c>
      <c r="AC239" s="173">
        <f t="shared" si="619"/>
        <v>0.92960457235947369</v>
      </c>
      <c r="AD239" s="173"/>
      <c r="AE239" s="173">
        <f t="shared" si="620"/>
        <v>0.95124267135704665</v>
      </c>
      <c r="AF239" s="545">
        <f t="shared" si="621"/>
        <v>362.68347750613583</v>
      </c>
      <c r="AG239" s="528">
        <f t="shared" si="622"/>
        <v>0.22195662331664426</v>
      </c>
      <c r="AI239" s="173">
        <f t="shared" si="623"/>
        <v>1.35727734472633</v>
      </c>
      <c r="AJ239" s="173">
        <f t="shared" si="624"/>
        <v>1.35727734472633</v>
      </c>
      <c r="AK239" s="173">
        <f t="shared" si="625"/>
        <v>1.2177363047355529</v>
      </c>
      <c r="AM239" s="545">
        <f t="shared" si="626"/>
        <v>230</v>
      </c>
      <c r="AN239" s="460">
        <f t="shared" si="627"/>
        <v>350</v>
      </c>
      <c r="AP239">
        <f t="shared" si="628"/>
        <v>230</v>
      </c>
      <c r="AQ239">
        <f t="shared" si="629"/>
        <v>350</v>
      </c>
      <c r="AS239" s="5">
        <f t="shared" si="600"/>
        <v>2.8571428571428572</v>
      </c>
      <c r="AT239" s="5">
        <f t="shared" si="630"/>
        <v>0.45284725038222001</v>
      </c>
      <c r="AU239" s="5">
        <f t="shared" si="722"/>
        <v>2.4042956067606371</v>
      </c>
      <c r="AV239" s="5"/>
      <c r="AW239" s="173">
        <f t="shared" si="723"/>
        <v>0.158496537633777</v>
      </c>
      <c r="AX239" s="173">
        <f t="shared" si="631"/>
        <v>3.8686237600654496</v>
      </c>
      <c r="AY239" s="173">
        <f t="shared" si="632"/>
        <v>0.57107679248922016</v>
      </c>
      <c r="AZ239" s="173">
        <f t="shared" si="633"/>
        <v>6.7742619047831036</v>
      </c>
      <c r="BA239" s="460">
        <f t="shared" si="594"/>
        <v>0.63509065602384529</v>
      </c>
      <c r="BB239" s="5">
        <f t="shared" si="595"/>
        <v>0.21012619190730175</v>
      </c>
      <c r="BD239" s="173">
        <f t="shared" si="681"/>
        <v>0.31197361288959502</v>
      </c>
      <c r="BE239" s="173">
        <f t="shared" si="682"/>
        <v>0.71884610895731049</v>
      </c>
      <c r="BG239" s="528">
        <f t="shared" si="683"/>
        <v>1.9465507027877377E-3</v>
      </c>
      <c r="BH239" s="528">
        <f t="shared" si="634"/>
        <v>0.47017722474797219</v>
      </c>
      <c r="BI239" s="528">
        <f t="shared" si="635"/>
        <v>0.31470682680744422</v>
      </c>
      <c r="BJ239" s="528">
        <f t="shared" si="684"/>
        <v>9.752487174405243E-2</v>
      </c>
      <c r="BK239">
        <f t="shared" si="685"/>
        <v>1.6184922521525705E-2</v>
      </c>
      <c r="BL239" s="460">
        <f t="shared" si="686"/>
        <v>330.89174932896992</v>
      </c>
      <c r="BM239" s="528">
        <f t="shared" si="636"/>
        <v>0.57043804373476814</v>
      </c>
      <c r="BN239" s="460">
        <f t="shared" si="687"/>
        <v>570.43804373476814</v>
      </c>
      <c r="BO239" s="528">
        <f t="shared" si="637"/>
        <v>0.161</v>
      </c>
      <c r="BR239" s="460">
        <f t="shared" si="688"/>
        <v>161</v>
      </c>
      <c r="BS239" s="528">
        <f t="shared" si="689"/>
        <v>2.9198260541816066E-3</v>
      </c>
      <c r="BT239" s="528">
        <f t="shared" si="690"/>
        <v>1.5502191850891963E-2</v>
      </c>
      <c r="BU239" s="528">
        <f t="shared" si="691"/>
        <v>0.24593005975302606</v>
      </c>
      <c r="BV239" s="528"/>
      <c r="BW239" s="528">
        <f t="shared" si="692"/>
        <v>3.223853133387875E-3</v>
      </c>
      <c r="BX239" s="460">
        <f t="shared" si="693"/>
        <v>267.57593079148751</v>
      </c>
      <c r="BY239" s="173">
        <f t="shared" si="694"/>
        <v>1.3291163273152697</v>
      </c>
      <c r="BZ239" s="5">
        <f t="shared" si="695"/>
        <v>3.7719999999999998</v>
      </c>
      <c r="CA239" s="173">
        <f t="shared" si="696"/>
        <v>0.73944598749921331</v>
      </c>
      <c r="CB239" s="5">
        <f t="shared" si="697"/>
        <v>73.944598749921326</v>
      </c>
      <c r="CE239" s="562">
        <f t="shared" si="638"/>
        <v>-50</v>
      </c>
      <c r="CF239">
        <f t="shared" si="639"/>
        <v>-50</v>
      </c>
      <c r="CG239" s="173">
        <f t="shared" si="640"/>
        <v>0.34322715226039519</v>
      </c>
      <c r="CI239" s="170">
        <v>23</v>
      </c>
      <c r="CJ239" s="217">
        <f t="shared" si="698"/>
        <v>0.23</v>
      </c>
      <c r="CK239" s="217"/>
      <c r="CL239" s="217">
        <f t="shared" si="641"/>
        <v>3.7719999999999998</v>
      </c>
      <c r="CM239" s="541">
        <f t="shared" si="642"/>
        <v>36</v>
      </c>
      <c r="CN239" s="443">
        <f t="shared" si="643"/>
        <v>16.799999999999997</v>
      </c>
      <c r="CO239" s="443">
        <f t="shared" si="644"/>
        <v>52.8</v>
      </c>
      <c r="CP239" s="443"/>
      <c r="CQ239" s="217">
        <f t="shared" si="645"/>
        <v>0.31818181818181812</v>
      </c>
      <c r="CR239" s="172">
        <f t="shared" si="646"/>
        <v>38.697272727272725</v>
      </c>
      <c r="CS239" s="172">
        <f t="shared" si="647"/>
        <v>3.7719999999999998</v>
      </c>
      <c r="CT239" s="217">
        <f t="shared" si="648"/>
        <v>2.3595898004434592</v>
      </c>
      <c r="CU239" s="217">
        <f t="shared" si="649"/>
        <v>16.399999999999999</v>
      </c>
      <c r="CV239" s="217"/>
      <c r="CW239" s="172">
        <f t="shared" si="650"/>
        <v>485.76874977993077</v>
      </c>
      <c r="CX239" s="172">
        <f t="shared" si="651"/>
        <v>16.399999999999999</v>
      </c>
      <c r="CY239" s="217">
        <f t="shared" si="652"/>
        <v>0.65860317460317463</v>
      </c>
      <c r="CZ239" s="217">
        <f t="shared" si="653"/>
        <v>0.21953439153439155</v>
      </c>
      <c r="DA239" s="217">
        <f t="shared" si="654"/>
        <v>0.47043083900226768</v>
      </c>
      <c r="DB239" s="197">
        <f t="shared" si="655"/>
        <v>350</v>
      </c>
      <c r="DC239" s="443">
        <f t="shared" si="656"/>
        <v>350</v>
      </c>
      <c r="DE239" s="217">
        <f t="shared" si="657"/>
        <v>2.7272727272727271</v>
      </c>
      <c r="DF239" s="173">
        <f t="shared" si="658"/>
        <v>1.9480519480519483</v>
      </c>
      <c r="DG239" s="173">
        <f t="shared" si="659"/>
        <v>0.92975206611570249</v>
      </c>
      <c r="DH239" s="173"/>
      <c r="DI239" s="173">
        <f t="shared" si="660"/>
        <v>0.95238095238095266</v>
      </c>
      <c r="DJ239" s="545">
        <f t="shared" si="661"/>
        <v>362.24999999999989</v>
      </c>
      <c r="DK239" s="528">
        <f t="shared" si="662"/>
        <v>0.22222222222222232</v>
      </c>
      <c r="DM239" s="173">
        <f t="shared" si="663"/>
        <v>1.3564659966250534</v>
      </c>
      <c r="DN239" s="173">
        <f t="shared" si="664"/>
        <v>1.3564659966250534</v>
      </c>
      <c r="DO239" s="173">
        <f t="shared" si="665"/>
        <v>1.2171353061420147</v>
      </c>
      <c r="DQ239" s="545">
        <f t="shared" si="666"/>
        <v>230</v>
      </c>
      <c r="DR239" s="460">
        <f t="shared" si="667"/>
        <v>350</v>
      </c>
      <c r="DT239">
        <f t="shared" si="668"/>
        <v>230</v>
      </c>
      <c r="DU239">
        <f t="shared" si="669"/>
        <v>350</v>
      </c>
      <c r="DW239" s="5">
        <f t="shared" si="670"/>
        <v>2.8571428571428572</v>
      </c>
      <c r="DX239" s="5">
        <f t="shared" si="671"/>
        <v>0.45215533220835108</v>
      </c>
      <c r="DY239" s="5">
        <f t="shared" si="672"/>
        <v>2.4049875249345063</v>
      </c>
      <c r="DZ239" s="5"/>
      <c r="EA239" s="173">
        <f t="shared" si="673"/>
        <v>0.15825436627292289</v>
      </c>
      <c r="EB239" s="173">
        <f t="shared" si="699"/>
        <v>3.8639999999999985</v>
      </c>
      <c r="EC239" s="173">
        <f t="shared" si="700"/>
        <v>0.57089966497919342</v>
      </c>
      <c r="ED239" s="173">
        <f t="shared" si="701"/>
        <v>6.76826461290851</v>
      </c>
      <c r="EE239" s="460">
        <f t="shared" si="674"/>
        <v>0.63412028297512668</v>
      </c>
      <c r="EF239" s="5">
        <f t="shared" si="675"/>
        <v>0.20999104037159619</v>
      </c>
      <c r="EH239" s="173">
        <f t="shared" si="702"/>
        <v>0.31154883723218418</v>
      </c>
      <c r="EI239" s="173">
        <f t="shared" si="703"/>
        <v>0.71851976684890673</v>
      </c>
      <c r="EK239" s="528">
        <f t="shared" si="704"/>
        <v>1.9412535596145201E-3</v>
      </c>
      <c r="EL239" s="528">
        <f t="shared" si="705"/>
        <v>0.50134983235261965</v>
      </c>
      <c r="EM239" s="528">
        <f t="shared" si="706"/>
        <v>4.3749999999999997E-2</v>
      </c>
      <c r="EN239" s="528">
        <f t="shared" si="707"/>
        <v>9.7574399999999992E-2</v>
      </c>
      <c r="EO239">
        <f t="shared" si="708"/>
        <v>1.6199999999999999E-2</v>
      </c>
      <c r="EP239" s="460">
        <f t="shared" si="709"/>
        <v>59.949999999999996</v>
      </c>
      <c r="EQ239" s="460"/>
      <c r="ER239" s="460">
        <f t="shared" si="710"/>
        <v>660.81548591223407</v>
      </c>
      <c r="ES239" s="528">
        <f t="shared" si="711"/>
        <v>0.161</v>
      </c>
      <c r="EV239" s="460">
        <f t="shared" si="712"/>
        <v>161</v>
      </c>
      <c r="EW239" s="528">
        <f t="shared" si="713"/>
        <v>2.9118803394217801E-3</v>
      </c>
      <c r="EX239" s="528">
        <f t="shared" si="714"/>
        <v>1.5488119660578219E-2</v>
      </c>
      <c r="EY239" s="528">
        <f t="shared" si="715"/>
        <v>0.24556269666616337</v>
      </c>
      <c r="EZ239" s="528"/>
      <c r="FA239" s="528">
        <f t="shared" si="716"/>
        <v>3.2199999999999993E-3</v>
      </c>
      <c r="FB239" s="460">
        <f t="shared" si="717"/>
        <v>267.18269666616334</v>
      </c>
      <c r="FC239" s="173">
        <f t="shared" si="718"/>
        <v>1.0889981825783974</v>
      </c>
      <c r="FD239" s="5">
        <f t="shared" si="719"/>
        <v>3.7719999999999998</v>
      </c>
      <c r="FE239" s="173">
        <f t="shared" si="720"/>
        <v>0.77597231233672981</v>
      </c>
      <c r="FF239" s="5">
        <f t="shared" si="721"/>
        <v>77.597231233672986</v>
      </c>
      <c r="FI239" s="562">
        <f t="shared" si="676"/>
        <v>-50</v>
      </c>
      <c r="FJ239">
        <f t="shared" si="677"/>
        <v>-50</v>
      </c>
      <c r="FL239">
        <f t="shared" si="678"/>
        <v>0.33911649915626346</v>
      </c>
    </row>
    <row r="240" spans="5:168">
      <c r="E240" s="170">
        <v>24</v>
      </c>
      <c r="F240" s="217">
        <f t="shared" si="679"/>
        <v>0.24</v>
      </c>
      <c r="G240" s="217"/>
      <c r="H240" s="217">
        <f t="shared" si="603"/>
        <v>3.9359999999999995</v>
      </c>
      <c r="I240" s="541">
        <f t="shared" si="604"/>
        <v>35.965773861283679</v>
      </c>
      <c r="J240" s="172">
        <f t="shared" si="605"/>
        <v>16.820535683229789</v>
      </c>
      <c r="K240" s="172">
        <f t="shared" si="606"/>
        <v>52.786309544513472</v>
      </c>
      <c r="L240" s="443"/>
      <c r="M240" s="217">
        <f t="shared" si="607"/>
        <v>0.31865658790655937</v>
      </c>
      <c r="N240" s="172">
        <f t="shared" si="608"/>
        <v>38.718168818621095</v>
      </c>
      <c r="O240" s="172">
        <f t="shared" si="599"/>
        <v>3.9359999999999995</v>
      </c>
      <c r="P240" s="217">
        <f t="shared" si="609"/>
        <v>2.3608639523549448</v>
      </c>
      <c r="Q240" s="217">
        <f t="shared" si="610"/>
        <v>16.399999999999999</v>
      </c>
      <c r="R240" s="217"/>
      <c r="S240" s="172">
        <f t="shared" si="611"/>
        <v>463.58986875545168</v>
      </c>
      <c r="T240" s="172">
        <f t="shared" si="612"/>
        <v>16.399999999999999</v>
      </c>
      <c r="U240" s="217">
        <f t="shared" si="613"/>
        <v>0.70449055715559172</v>
      </c>
      <c r="V240" s="217">
        <f t="shared" si="614"/>
        <v>0.23505365735971315</v>
      </c>
      <c r="W240" s="217">
        <f t="shared" si="615"/>
        <v>0.50259318995979985</v>
      </c>
      <c r="X240" s="197">
        <f t="shared" si="616"/>
        <v>350</v>
      </c>
      <c r="Y240" s="443">
        <f t="shared" si="680"/>
        <v>350</v>
      </c>
      <c r="AA240" s="217">
        <f t="shared" si="617"/>
        <v>2.7287179096826395</v>
      </c>
      <c r="AB240" s="173">
        <f t="shared" si="618"/>
        <v>1.9467046432319226</v>
      </c>
      <c r="AC240" s="173">
        <f t="shared" si="619"/>
        <v>0.92960136934862758</v>
      </c>
      <c r="AD240" s="173"/>
      <c r="AE240" s="173">
        <f t="shared" si="620"/>
        <v>0.95121821928371364</v>
      </c>
      <c r="AF240" s="545">
        <f t="shared" si="621"/>
        <v>378.4620528726702</v>
      </c>
      <c r="AG240" s="528">
        <f t="shared" si="622"/>
        <v>0.22195091783286652</v>
      </c>
      <c r="AI240" s="173">
        <f t="shared" si="623"/>
        <v>1.3864872647183824</v>
      </c>
      <c r="AJ240" s="173">
        <f t="shared" si="624"/>
        <v>1.3864872647183824</v>
      </c>
      <c r="AK240" s="173">
        <f t="shared" si="625"/>
        <v>1.2393732825074435</v>
      </c>
      <c r="AM240" s="545">
        <f t="shared" si="626"/>
        <v>240</v>
      </c>
      <c r="AN240" s="460">
        <f t="shared" si="627"/>
        <v>350</v>
      </c>
      <c r="AP240">
        <f t="shared" si="628"/>
        <v>240</v>
      </c>
      <c r="AQ240">
        <f t="shared" si="629"/>
        <v>350</v>
      </c>
      <c r="AS240" s="5">
        <f t="shared" si="600"/>
        <v>2.8571428571428572</v>
      </c>
      <c r="AT240" s="5">
        <f t="shared" si="630"/>
        <v>0.46260222957501401</v>
      </c>
      <c r="AU240" s="5">
        <f t="shared" si="722"/>
        <v>2.3945406275678431</v>
      </c>
      <c r="AV240" s="5"/>
      <c r="AW240" s="173">
        <f t="shared" si="723"/>
        <v>0.16191078035125489</v>
      </c>
      <c r="AX240" s="173">
        <f t="shared" si="631"/>
        <v>4.0369285639751489</v>
      </c>
      <c r="AY240" s="173">
        <f t="shared" si="632"/>
        <v>0.581000014870376</v>
      </c>
      <c r="AZ240" s="173">
        <f t="shared" si="633"/>
        <v>6.9482417567163193</v>
      </c>
      <c r="BA240" s="460">
        <f t="shared" si="594"/>
        <v>0.67697887254880107</v>
      </c>
      <c r="BB240" s="5">
        <f t="shared" si="595"/>
        <v>0.21837687376656928</v>
      </c>
      <c r="BD240" s="173">
        <f t="shared" si="681"/>
        <v>0.32210179156509272</v>
      </c>
      <c r="BE240" s="173">
        <f t="shared" si="682"/>
        <v>0.73282518216328019</v>
      </c>
      <c r="BG240" s="528">
        <f t="shared" si="683"/>
        <v>2.0749912825888486E-3</v>
      </c>
      <c r="BH240" s="528">
        <f t="shared" si="634"/>
        <v>0.48029327019811147</v>
      </c>
      <c r="BI240" s="528">
        <f t="shared" si="635"/>
        <v>0.31470052128623216</v>
      </c>
      <c r="BJ240" s="528">
        <f t="shared" si="684"/>
        <v>9.7523806636521798E-2</v>
      </c>
      <c r="BK240">
        <f t="shared" si="685"/>
        <v>1.6184598237577657E-2</v>
      </c>
      <c r="BL240" s="460">
        <f t="shared" si="686"/>
        <v>330.88511952380986</v>
      </c>
      <c r="BM240" s="528">
        <f t="shared" si="636"/>
        <v>0.58073863032018269</v>
      </c>
      <c r="BN240" s="460">
        <f t="shared" si="687"/>
        <v>580.73863032018266</v>
      </c>
      <c r="BO240" s="528">
        <f t="shared" si="637"/>
        <v>0.16799999999999998</v>
      </c>
      <c r="BR240" s="460">
        <f t="shared" si="688"/>
        <v>167.99999999999997</v>
      </c>
      <c r="BS240" s="528">
        <f t="shared" si="689"/>
        <v>3.1124869238832726E-3</v>
      </c>
      <c r="BT240" s="528">
        <f t="shared" si="690"/>
        <v>1.6110982428379342E-2</v>
      </c>
      <c r="BU240" s="528">
        <f t="shared" si="691"/>
        <v>0.25937602317493613</v>
      </c>
      <c r="BV240" s="528"/>
      <c r="BW240" s="528">
        <f t="shared" si="692"/>
        <v>3.3641071366459579E-3</v>
      </c>
      <c r="BX240" s="460">
        <f t="shared" si="693"/>
        <v>281.96359966384472</v>
      </c>
      <c r="BY240" s="173">
        <f t="shared" si="694"/>
        <v>1.3607407873048765</v>
      </c>
      <c r="BZ240" s="5">
        <f t="shared" si="695"/>
        <v>3.9359999999999995</v>
      </c>
      <c r="CA240" s="173">
        <f t="shared" si="696"/>
        <v>0.74309847471368173</v>
      </c>
      <c r="CB240" s="5">
        <f t="shared" si="697"/>
        <v>74.309847471368172</v>
      </c>
      <c r="CE240" s="562">
        <f t="shared" si="638"/>
        <v>-50</v>
      </c>
      <c r="CF240">
        <f t="shared" si="639"/>
        <v>-50</v>
      </c>
      <c r="CG240" s="173">
        <f t="shared" si="640"/>
        <v>0.35060922587446652</v>
      </c>
      <c r="CI240" s="170">
        <v>24</v>
      </c>
      <c r="CJ240" s="217">
        <f t="shared" si="698"/>
        <v>0.24</v>
      </c>
      <c r="CK240" s="217"/>
      <c r="CL240" s="217">
        <f t="shared" si="641"/>
        <v>3.9359999999999995</v>
      </c>
      <c r="CM240" s="541">
        <f t="shared" si="642"/>
        <v>36</v>
      </c>
      <c r="CN240" s="443">
        <f t="shared" si="643"/>
        <v>16.799999999999997</v>
      </c>
      <c r="CO240" s="443">
        <f t="shared" si="644"/>
        <v>52.8</v>
      </c>
      <c r="CP240" s="443"/>
      <c r="CQ240" s="217">
        <f t="shared" si="645"/>
        <v>0.31818181818181812</v>
      </c>
      <c r="CR240" s="172">
        <f t="shared" si="646"/>
        <v>38.697272727272725</v>
      </c>
      <c r="CS240" s="172">
        <f t="shared" si="647"/>
        <v>3.9359999999999995</v>
      </c>
      <c r="CT240" s="217">
        <f t="shared" si="648"/>
        <v>2.3595898004434592</v>
      </c>
      <c r="CU240" s="217">
        <f t="shared" si="649"/>
        <v>16.399999999999999</v>
      </c>
      <c r="CV240" s="217"/>
      <c r="CW240" s="172">
        <f t="shared" si="650"/>
        <v>464.03100568184266</v>
      </c>
      <c r="CX240" s="172">
        <f t="shared" si="651"/>
        <v>16.399999999999999</v>
      </c>
      <c r="CY240" s="217">
        <f t="shared" si="652"/>
        <v>0.6872380952380952</v>
      </c>
      <c r="CZ240" s="217">
        <f t="shared" si="653"/>
        <v>0.22907936507936508</v>
      </c>
      <c r="DA240" s="217">
        <f t="shared" si="654"/>
        <v>0.49088435374149669</v>
      </c>
      <c r="DB240" s="197">
        <f t="shared" si="655"/>
        <v>350</v>
      </c>
      <c r="DC240" s="443">
        <f t="shared" si="656"/>
        <v>350</v>
      </c>
      <c r="DE240" s="217">
        <f t="shared" si="657"/>
        <v>2.7272727272727271</v>
      </c>
      <c r="DF240" s="173">
        <f t="shared" si="658"/>
        <v>1.9480519480519483</v>
      </c>
      <c r="DG240" s="173">
        <f t="shared" si="659"/>
        <v>0.92975206611570249</v>
      </c>
      <c r="DH240" s="173"/>
      <c r="DI240" s="173">
        <f t="shared" si="660"/>
        <v>0.95238095238095266</v>
      </c>
      <c r="DJ240" s="545">
        <f t="shared" si="661"/>
        <v>377.99999999999983</v>
      </c>
      <c r="DK240" s="528">
        <f t="shared" si="662"/>
        <v>0.22222222222222232</v>
      </c>
      <c r="DM240" s="173">
        <f t="shared" si="663"/>
        <v>1.3856406460551016</v>
      </c>
      <c r="DN240" s="173">
        <f t="shared" si="664"/>
        <v>1.3856406460551016</v>
      </c>
      <c r="DO240" s="173">
        <f t="shared" si="665"/>
        <v>1.2387461575716801</v>
      </c>
      <c r="DQ240" s="545">
        <f t="shared" si="666"/>
        <v>240</v>
      </c>
      <c r="DR240" s="460">
        <f t="shared" si="667"/>
        <v>350</v>
      </c>
      <c r="DT240">
        <f t="shared" si="668"/>
        <v>240</v>
      </c>
      <c r="DU240">
        <f t="shared" si="669"/>
        <v>350</v>
      </c>
      <c r="DW240" s="5">
        <f t="shared" si="670"/>
        <v>2.8571428571428572</v>
      </c>
      <c r="DX240" s="5">
        <f t="shared" si="671"/>
        <v>0.46188021535170054</v>
      </c>
      <c r="DY240" s="5">
        <f t="shared" si="672"/>
        <v>2.3952626417911569</v>
      </c>
      <c r="DZ240" s="5"/>
      <c r="EA240" s="173">
        <f t="shared" si="673"/>
        <v>0.16165807537309518</v>
      </c>
      <c r="EB240" s="173">
        <f t="shared" si="699"/>
        <v>4.0319999999999991</v>
      </c>
      <c r="EC240" s="173">
        <f t="shared" si="700"/>
        <v>0.58082032302755082</v>
      </c>
      <c r="ED240" s="173">
        <f t="shared" si="701"/>
        <v>6.9419058530580102</v>
      </c>
      <c r="EE240" s="460">
        <f t="shared" si="674"/>
        <v>0.67592226636834229</v>
      </c>
      <c r="EF240" s="5">
        <f t="shared" si="675"/>
        <v>0.21823504069652755</v>
      </c>
      <c r="EH240" s="173">
        <f t="shared" si="702"/>
        <v>0.32165380184101799</v>
      </c>
      <c r="EI240" s="173">
        <f t="shared" si="703"/>
        <v>0.7324881103207197</v>
      </c>
      <c r="EK240" s="528">
        <f t="shared" si="704"/>
        <v>2.0692233647756175E-3</v>
      </c>
      <c r="EL240" s="528">
        <f t="shared" si="705"/>
        <v>0.5121327827819655</v>
      </c>
      <c r="EM240" s="528">
        <f t="shared" si="706"/>
        <v>4.3749999999999997E-2</v>
      </c>
      <c r="EN240" s="528">
        <f t="shared" si="707"/>
        <v>9.7574399999999992E-2</v>
      </c>
      <c r="EO240">
        <f t="shared" si="708"/>
        <v>1.6199999999999999E-2</v>
      </c>
      <c r="EP240" s="460">
        <f t="shared" si="709"/>
        <v>59.949999999999996</v>
      </c>
      <c r="EQ240" s="460"/>
      <c r="ER240" s="460">
        <f t="shared" si="710"/>
        <v>671.72640614674106</v>
      </c>
      <c r="ES240" s="528">
        <f t="shared" si="711"/>
        <v>0.16799999999999998</v>
      </c>
      <c r="EV240" s="460">
        <f t="shared" si="712"/>
        <v>167.99999999999997</v>
      </c>
      <c r="EW240" s="528">
        <f t="shared" si="713"/>
        <v>3.103835047163426E-3</v>
      </c>
      <c r="EX240" s="528">
        <f t="shared" si="714"/>
        <v>1.6096164952836566E-2</v>
      </c>
      <c r="EY240" s="528">
        <f t="shared" si="715"/>
        <v>0.25898025317416434</v>
      </c>
      <c r="EZ240" s="528"/>
      <c r="FA240" s="528">
        <f t="shared" si="716"/>
        <v>3.3599999999999997E-3</v>
      </c>
      <c r="FB240" s="460">
        <f t="shared" si="717"/>
        <v>281.54025317416432</v>
      </c>
      <c r="FC240" s="173">
        <f t="shared" si="718"/>
        <v>1.1212666593209055</v>
      </c>
      <c r="FD240" s="5">
        <f t="shared" si="719"/>
        <v>3.9359999999999995</v>
      </c>
      <c r="FE240" s="173">
        <f t="shared" si="720"/>
        <v>0.77828603179262246</v>
      </c>
      <c r="FF240" s="5">
        <f t="shared" si="721"/>
        <v>77.828603179262245</v>
      </c>
      <c r="FI240" s="562">
        <f t="shared" si="676"/>
        <v>-50</v>
      </c>
      <c r="FJ240">
        <f t="shared" si="677"/>
        <v>-50</v>
      </c>
      <c r="FL240">
        <f t="shared" si="678"/>
        <v>0.34641016151377552</v>
      </c>
    </row>
    <row r="241" spans="5:168">
      <c r="E241" s="170">
        <v>25</v>
      </c>
      <c r="F241" s="217">
        <f t="shared" si="679"/>
        <v>0.25</v>
      </c>
      <c r="G241" s="217"/>
      <c r="H241" s="217">
        <f t="shared" si="603"/>
        <v>4.0999999999999996</v>
      </c>
      <c r="I241" s="541">
        <f t="shared" si="604"/>
        <v>35.965068093449709</v>
      </c>
      <c r="J241" s="172">
        <f t="shared" si="605"/>
        <v>16.820959143930171</v>
      </c>
      <c r="K241" s="172">
        <f t="shared" si="606"/>
        <v>52.786027237379884</v>
      </c>
      <c r="L241" s="443"/>
      <c r="M241" s="217">
        <f t="shared" si="607"/>
        <v>0.31866638054740448</v>
      </c>
      <c r="N241" s="172">
        <f t="shared" si="608"/>
        <v>38.718598864998498</v>
      </c>
      <c r="O241" s="172">
        <f t="shared" si="599"/>
        <v>4.0999999999999996</v>
      </c>
      <c r="P241" s="217">
        <f t="shared" si="609"/>
        <v>2.3608901746950304</v>
      </c>
      <c r="Q241" s="217">
        <f t="shared" si="610"/>
        <v>16.399999999999999</v>
      </c>
      <c r="R241" s="217"/>
      <c r="S241" s="172">
        <f t="shared" si="611"/>
        <v>443.60157399993034</v>
      </c>
      <c r="T241" s="172">
        <f t="shared" si="612"/>
        <v>16.399999999999999</v>
      </c>
      <c r="U241" s="217">
        <f t="shared" si="613"/>
        <v>0.73385487773481006</v>
      </c>
      <c r="V241" s="217">
        <f t="shared" si="614"/>
        <v>0.24485588376855036</v>
      </c>
      <c r="W241" s="217">
        <f t="shared" si="615"/>
        <v>0.52352891755256725</v>
      </c>
      <c r="X241" s="197">
        <f t="shared" si="616"/>
        <v>350</v>
      </c>
      <c r="Y241" s="443">
        <f t="shared" si="680"/>
        <v>350</v>
      </c>
      <c r="AA241" s="217">
        <f t="shared" si="617"/>
        <v>2.7287476515600786</v>
      </c>
      <c r="AB241" s="173">
        <f t="shared" si="618"/>
        <v>1.9466768534740151</v>
      </c>
      <c r="AC241" s="173">
        <f t="shared" si="619"/>
        <v>0.92959823114612683</v>
      </c>
      <c r="AD241" s="173"/>
      <c r="AE241" s="173">
        <f t="shared" si="620"/>
        <v>0.95119427275784019</v>
      </c>
      <c r="AF241" s="545">
        <f t="shared" si="621"/>
        <v>394.24122993586337</v>
      </c>
      <c r="AG241" s="528">
        <f t="shared" si="622"/>
        <v>0.22194533031016273</v>
      </c>
      <c r="AI241" s="173">
        <f t="shared" si="623"/>
        <v>1.4150954512619152</v>
      </c>
      <c r="AJ241" s="173">
        <f t="shared" si="624"/>
        <v>1.4150954512619152</v>
      </c>
      <c r="AK241" s="173">
        <f t="shared" si="625"/>
        <v>1.2605645317989493</v>
      </c>
      <c r="AM241" s="545">
        <f t="shared" si="626"/>
        <v>250</v>
      </c>
      <c r="AN241" s="460">
        <f t="shared" si="627"/>
        <v>350</v>
      </c>
      <c r="AP241">
        <f t="shared" si="628"/>
        <v>250</v>
      </c>
      <c r="AQ241">
        <f t="shared" si="629"/>
        <v>350</v>
      </c>
      <c r="AS241" s="5">
        <f t="shared" si="600"/>
        <v>2.8571428571428572</v>
      </c>
      <c r="AT241" s="5">
        <f t="shared" si="630"/>
        <v>0.47215663184677098</v>
      </c>
      <c r="AU241" s="5">
        <f t="shared" si="722"/>
        <v>2.3849862252960863</v>
      </c>
      <c r="AV241" s="5"/>
      <c r="AW241" s="173">
        <f t="shared" si="723"/>
        <v>0.16525482114636983</v>
      </c>
      <c r="AX241" s="173">
        <f t="shared" si="631"/>
        <v>4.2052397859825437</v>
      </c>
      <c r="AY241" s="173">
        <f t="shared" si="632"/>
        <v>0.59062205277929292</v>
      </c>
      <c r="AZ241" s="173">
        <f t="shared" si="633"/>
        <v>7.1200182353400576</v>
      </c>
      <c r="BA241" s="460">
        <f t="shared" si="594"/>
        <v>0.71975096318105347</v>
      </c>
      <c r="BB241" s="5">
        <f t="shared" si="595"/>
        <v>0.22657270980983937</v>
      </c>
      <c r="BD241" s="173">
        <f t="shared" si="681"/>
        <v>0.33212546603969756</v>
      </c>
      <c r="BE241" s="173">
        <f t="shared" si="682"/>
        <v>0.74645231162834613</v>
      </c>
      <c r="BG241" s="528">
        <f t="shared" si="683"/>
        <v>2.2061465038417261E-3</v>
      </c>
      <c r="BH241" s="528">
        <f t="shared" si="634"/>
        <v>0.49020081490933759</v>
      </c>
      <c r="BI241" s="528">
        <f t="shared" si="635"/>
        <v>0.31469434581768496</v>
      </c>
      <c r="BJ241" s="528">
        <f t="shared" si="684"/>
        <v>9.7522763502689375E-2</v>
      </c>
      <c r="BK241">
        <f t="shared" si="685"/>
        <v>1.6184280642052368E-2</v>
      </c>
      <c r="BL241" s="460">
        <f t="shared" si="686"/>
        <v>330.87862645973729</v>
      </c>
      <c r="BM241" s="528">
        <f t="shared" si="636"/>
        <v>0.59083508865051115</v>
      </c>
      <c r="BN241" s="460">
        <f t="shared" si="687"/>
        <v>590.83508865051112</v>
      </c>
      <c r="BO241" s="528">
        <f t="shared" si="637"/>
        <v>0.17499999999999999</v>
      </c>
      <c r="BR241" s="460">
        <f t="shared" si="688"/>
        <v>175</v>
      </c>
      <c r="BS241" s="528">
        <f t="shared" si="689"/>
        <v>3.3092197557625888E-3</v>
      </c>
      <c r="BT241" s="528">
        <f t="shared" si="690"/>
        <v>1.6715731606059044E-2</v>
      </c>
      <c r="BU241" s="528">
        <f t="shared" si="691"/>
        <v>0.27296342109052218</v>
      </c>
      <c r="BV241" s="528"/>
      <c r="BW241" s="528">
        <f t="shared" si="692"/>
        <v>3.5043664883187861E-3</v>
      </c>
      <c r="BX241" s="460">
        <f t="shared" si="693"/>
        <v>296.49273894066266</v>
      </c>
      <c r="BY241" s="173">
        <f t="shared" si="694"/>
        <v>1.3923010903162685</v>
      </c>
      <c r="BZ241" s="5">
        <f t="shared" si="695"/>
        <v>4.0999999999999996</v>
      </c>
      <c r="CA241" s="173">
        <f t="shared" si="696"/>
        <v>0.74649949676446192</v>
      </c>
      <c r="CB241" s="5">
        <f t="shared" si="697"/>
        <v>74.649949676446198</v>
      </c>
      <c r="CE241" s="562">
        <f t="shared" si="638"/>
        <v>-50</v>
      </c>
      <c r="CF241">
        <f t="shared" si="639"/>
        <v>-50</v>
      </c>
      <c r="CG241" s="173">
        <f t="shared" si="640"/>
        <v>0.35783904271027339</v>
      </c>
      <c r="CI241" s="170">
        <v>25</v>
      </c>
      <c r="CJ241" s="217">
        <f t="shared" si="698"/>
        <v>0.25</v>
      </c>
      <c r="CK241" s="217"/>
      <c r="CL241" s="217">
        <f t="shared" si="641"/>
        <v>4.0999999999999996</v>
      </c>
      <c r="CM241" s="541">
        <f t="shared" si="642"/>
        <v>36</v>
      </c>
      <c r="CN241" s="443">
        <f t="shared" si="643"/>
        <v>16.799999999999997</v>
      </c>
      <c r="CO241" s="443">
        <f t="shared" si="644"/>
        <v>52.8</v>
      </c>
      <c r="CP241" s="443"/>
      <c r="CQ241" s="217">
        <f t="shared" si="645"/>
        <v>0.31818181818181812</v>
      </c>
      <c r="CR241" s="172">
        <f t="shared" si="646"/>
        <v>38.697272727272725</v>
      </c>
      <c r="CS241" s="172">
        <f t="shared" si="647"/>
        <v>4.0999999999999996</v>
      </c>
      <c r="CT241" s="217">
        <f t="shared" si="648"/>
        <v>2.3595898004434592</v>
      </c>
      <c r="CU241" s="217">
        <f t="shared" si="649"/>
        <v>16.399999999999999</v>
      </c>
      <c r="CV241" s="217"/>
      <c r="CW241" s="172">
        <f t="shared" si="650"/>
        <v>444.03240087799981</v>
      </c>
      <c r="CX241" s="172">
        <f t="shared" si="651"/>
        <v>16.399999999999999</v>
      </c>
      <c r="CY241" s="217">
        <f t="shared" si="652"/>
        <v>0.71587301587301588</v>
      </c>
      <c r="CZ241" s="217">
        <f t="shared" si="653"/>
        <v>0.23862433862433863</v>
      </c>
      <c r="DA241" s="217">
        <f t="shared" si="654"/>
        <v>0.51133786848072571</v>
      </c>
      <c r="DB241" s="197">
        <f t="shared" si="655"/>
        <v>350</v>
      </c>
      <c r="DC241" s="443">
        <f t="shared" si="656"/>
        <v>350</v>
      </c>
      <c r="DE241" s="217">
        <f t="shared" si="657"/>
        <v>2.7272727272727271</v>
      </c>
      <c r="DF241" s="173">
        <f t="shared" si="658"/>
        <v>1.9480519480519483</v>
      </c>
      <c r="DG241" s="173">
        <f t="shared" si="659"/>
        <v>0.92975206611570249</v>
      </c>
      <c r="DH241" s="173"/>
      <c r="DI241" s="173">
        <f t="shared" si="660"/>
        <v>0.95238095238095266</v>
      </c>
      <c r="DJ241" s="545">
        <f t="shared" si="661"/>
        <v>393.74999999999983</v>
      </c>
      <c r="DK241" s="528">
        <f t="shared" si="662"/>
        <v>0.22222222222222232</v>
      </c>
      <c r="DM241" s="173">
        <f t="shared" si="663"/>
        <v>1.4142135623730949</v>
      </c>
      <c r="DN241" s="173">
        <f t="shared" si="664"/>
        <v>1.4142135623730949</v>
      </c>
      <c r="DO241" s="173">
        <f t="shared" si="665"/>
        <v>1.2599112807701935</v>
      </c>
      <c r="DQ241" s="545">
        <f t="shared" si="666"/>
        <v>250</v>
      </c>
      <c r="DR241" s="460">
        <f t="shared" si="667"/>
        <v>350</v>
      </c>
      <c r="DT241">
        <f t="shared" si="668"/>
        <v>250</v>
      </c>
      <c r="DU241">
        <f t="shared" si="669"/>
        <v>350</v>
      </c>
      <c r="DW241" s="5">
        <f t="shared" si="670"/>
        <v>2.8571428571428572</v>
      </c>
      <c r="DX241" s="5">
        <f t="shared" si="671"/>
        <v>0.47140452079103168</v>
      </c>
      <c r="DY241" s="5">
        <f t="shared" si="672"/>
        <v>2.3857383363518254</v>
      </c>
      <c r="DZ241" s="5"/>
      <c r="EA241" s="173">
        <f t="shared" si="673"/>
        <v>0.16499158227686109</v>
      </c>
      <c r="EB241" s="173">
        <f t="shared" si="699"/>
        <v>4.1999999999999993</v>
      </c>
      <c r="EC241" s="173">
        <f t="shared" si="700"/>
        <v>0.59044011451988088</v>
      </c>
      <c r="ED241" s="173">
        <f t="shared" si="701"/>
        <v>7.1133378249803521</v>
      </c>
      <c r="EE241" s="460">
        <f t="shared" si="674"/>
        <v>0.71860445242535331</v>
      </c>
      <c r="EF241" s="5">
        <f t="shared" si="675"/>
        <v>0.22642424025561297</v>
      </c>
      <c r="EH241" s="173">
        <f t="shared" si="702"/>
        <v>0.33165401879756268</v>
      </c>
      <c r="EI241" s="173">
        <f t="shared" si="703"/>
        <v>0.74610473693851631</v>
      </c>
      <c r="EK241" s="528">
        <f t="shared" si="704"/>
        <v>2.1998877636914813E-3</v>
      </c>
      <c r="EL241" s="528">
        <f t="shared" si="705"/>
        <v>0.52269333265309592</v>
      </c>
      <c r="EM241" s="528">
        <f t="shared" si="706"/>
        <v>4.3749999999999997E-2</v>
      </c>
      <c r="EN241" s="528">
        <f t="shared" si="707"/>
        <v>9.7574399999999992E-2</v>
      </c>
      <c r="EO241">
        <f t="shared" si="708"/>
        <v>1.6199999999999999E-2</v>
      </c>
      <c r="EP241" s="460">
        <f t="shared" si="709"/>
        <v>59.949999999999996</v>
      </c>
      <c r="EQ241" s="460"/>
      <c r="ER241" s="460">
        <f t="shared" si="710"/>
        <v>682.41762041678737</v>
      </c>
      <c r="ES241" s="528">
        <f t="shared" si="711"/>
        <v>0.17499999999999999</v>
      </c>
      <c r="EV241" s="460">
        <f t="shared" si="712"/>
        <v>175</v>
      </c>
      <c r="EW241" s="528">
        <f t="shared" si="713"/>
        <v>3.2998316455372218E-3</v>
      </c>
      <c r="EX241" s="528">
        <f t="shared" si="714"/>
        <v>1.670016835446278E-2</v>
      </c>
      <c r="EY241" s="528">
        <f t="shared" si="715"/>
        <v>0.27253834215806072</v>
      </c>
      <c r="EZ241" s="528"/>
      <c r="FA241" s="528">
        <f t="shared" si="716"/>
        <v>3.4999999999999996E-3</v>
      </c>
      <c r="FB241" s="460">
        <f t="shared" si="717"/>
        <v>296.03834215806074</v>
      </c>
      <c r="FC241" s="173">
        <f t="shared" si="718"/>
        <v>1.1534559625748482</v>
      </c>
      <c r="FD241" s="5">
        <f t="shared" si="719"/>
        <v>4.0999999999999996</v>
      </c>
      <c r="FE241" s="173">
        <f t="shared" si="720"/>
        <v>0.78043863491157706</v>
      </c>
      <c r="FF241" s="5">
        <f t="shared" si="721"/>
        <v>78.043863491157708</v>
      </c>
      <c r="FI241" s="562">
        <f t="shared" si="676"/>
        <v>-50</v>
      </c>
      <c r="FJ241">
        <f t="shared" si="677"/>
        <v>-50</v>
      </c>
      <c r="FL241">
        <f t="shared" si="678"/>
        <v>0.35355339059327379</v>
      </c>
    </row>
    <row r="242" spans="5:168">
      <c r="E242" s="170">
        <v>26</v>
      </c>
      <c r="F242" s="217">
        <f t="shared" si="679"/>
        <v>0.26</v>
      </c>
      <c r="G242" s="217"/>
      <c r="H242" s="217">
        <f t="shared" si="603"/>
        <v>4.2639999999999993</v>
      </c>
      <c r="I242" s="541">
        <f t="shared" si="604"/>
        <v>35.964376305370614</v>
      </c>
      <c r="J242" s="172">
        <f t="shared" si="605"/>
        <v>16.821374216777627</v>
      </c>
      <c r="K242" s="172">
        <f t="shared" si="606"/>
        <v>52.785750522148241</v>
      </c>
      <c r="L242" s="443"/>
      <c r="M242" s="217">
        <f t="shared" si="607"/>
        <v>0.3186759793167343</v>
      </c>
      <c r="N242" s="172">
        <f t="shared" si="608"/>
        <v>38.719020359881782</v>
      </c>
      <c r="O242" s="172">
        <f t="shared" si="599"/>
        <v>4.2639999999999993</v>
      </c>
      <c r="P242" s="217">
        <f t="shared" si="609"/>
        <v>2.3609158756025477</v>
      </c>
      <c r="Q242" s="217">
        <f t="shared" si="610"/>
        <v>16.399999999999999</v>
      </c>
      <c r="R242" s="217"/>
      <c r="S242" s="172">
        <f t="shared" si="611"/>
        <v>425.15117618295812</v>
      </c>
      <c r="T242" s="172">
        <f t="shared" si="612"/>
        <v>16.399999999999999</v>
      </c>
      <c r="U242" s="217">
        <f t="shared" si="613"/>
        <v>0.76321982524338139</v>
      </c>
      <c r="V242" s="217">
        <f t="shared" si="614"/>
        <v>0.25465860509175303</v>
      </c>
      <c r="W242" s="217">
        <f t="shared" si="615"/>
        <v>0.5444643098056613</v>
      </c>
      <c r="X242" s="197">
        <f t="shared" si="616"/>
        <v>350</v>
      </c>
      <c r="Y242" s="443">
        <f t="shared" si="680"/>
        <v>350</v>
      </c>
      <c r="AA242" s="217">
        <f t="shared" si="617"/>
        <v>2.728776802006585</v>
      </c>
      <c r="AB242" s="173">
        <f t="shared" si="618"/>
        <v>1.9466496138834397</v>
      </c>
      <c r="AC242" s="173">
        <f t="shared" si="619"/>
        <v>0.929595153900036</v>
      </c>
      <c r="AD242" s="173"/>
      <c r="AE242" s="173">
        <f t="shared" si="620"/>
        <v>0.9511708017316215</v>
      </c>
      <c r="AF242" s="545">
        <f t="shared" si="621"/>
        <v>410.02099653395459</v>
      </c>
      <c r="AG242" s="528">
        <f t="shared" si="622"/>
        <v>0.22193985373737837</v>
      </c>
      <c r="AI242" s="173">
        <f t="shared" si="623"/>
        <v>1.4431376689703028</v>
      </c>
      <c r="AJ242" s="173">
        <f t="shared" si="624"/>
        <v>1.4431376689703028</v>
      </c>
      <c r="AK242" s="173">
        <f t="shared" si="625"/>
        <v>1.2813365449162735</v>
      </c>
      <c r="AM242" s="545">
        <f t="shared" si="626"/>
        <v>260</v>
      </c>
      <c r="AN242" s="460">
        <f t="shared" si="627"/>
        <v>350</v>
      </c>
      <c r="AP242">
        <f t="shared" si="628"/>
        <v>260</v>
      </c>
      <c r="AQ242">
        <f t="shared" si="629"/>
        <v>350</v>
      </c>
      <c r="AS242" s="5">
        <f t="shared" si="600"/>
        <v>2.8571428571428572</v>
      </c>
      <c r="AT242" s="5">
        <f t="shared" si="630"/>
        <v>0.48152237871722986</v>
      </c>
      <c r="AU242" s="5">
        <f t="shared" si="722"/>
        <v>2.3756204784256272</v>
      </c>
      <c r="AV242" s="5"/>
      <c r="AW242" s="173">
        <f t="shared" si="723"/>
        <v>0.16853283255103044</v>
      </c>
      <c r="AX242" s="173">
        <f t="shared" si="631"/>
        <v>4.3735572963621836</v>
      </c>
      <c r="AY242" s="173">
        <f t="shared" si="632"/>
        <v>0.59996079492882315</v>
      </c>
      <c r="AZ242" s="173">
        <f t="shared" si="633"/>
        <v>7.2897384851305898</v>
      </c>
      <c r="BA242" s="460">
        <f t="shared" si="594"/>
        <v>0.7633891369907303</v>
      </c>
      <c r="BB242" s="5">
        <f t="shared" si="595"/>
        <v>0.23471480115946003</v>
      </c>
      <c r="BD242" s="173">
        <f t="shared" si="681"/>
        <v>0.34204984308661596</v>
      </c>
      <c r="BE242" s="173">
        <f t="shared" si="682"/>
        <v>0.75974821402319503</v>
      </c>
      <c r="BG242" s="528">
        <f t="shared" si="683"/>
        <v>2.3399619031115723E-3</v>
      </c>
      <c r="BH242" s="528">
        <f t="shared" si="634"/>
        <v>0.49991225132218753</v>
      </c>
      <c r="BI242" s="528">
        <f t="shared" si="635"/>
        <v>0.31468829267199283</v>
      </c>
      <c r="BJ242" s="528">
        <f t="shared" si="684"/>
        <v>9.7521741036526569E-2</v>
      </c>
      <c r="BK242">
        <f t="shared" si="685"/>
        <v>1.6183969337416775E-2</v>
      </c>
      <c r="BL242" s="460">
        <f t="shared" si="686"/>
        <v>330.87226200940961</v>
      </c>
      <c r="BM242" s="528">
        <f t="shared" si="636"/>
        <v>0.6007397402216047</v>
      </c>
      <c r="BN242" s="460">
        <f t="shared" si="687"/>
        <v>600.73974022160473</v>
      </c>
      <c r="BO242" s="528">
        <f t="shared" si="637"/>
        <v>0.182</v>
      </c>
      <c r="BR242" s="460">
        <f t="shared" si="688"/>
        <v>182</v>
      </c>
      <c r="BS242" s="528">
        <f t="shared" si="689"/>
        <v>3.509942854667358E-3</v>
      </c>
      <c r="BT242" s="528">
        <f t="shared" si="690"/>
        <v>1.7316520461343039E-2</v>
      </c>
      <c r="BU242" s="528">
        <f t="shared" si="691"/>
        <v>0.28668800489932639</v>
      </c>
      <c r="BV242" s="528"/>
      <c r="BW242" s="528">
        <f t="shared" si="692"/>
        <v>3.6446310803018192E-3</v>
      </c>
      <c r="BX242" s="460">
        <f t="shared" si="693"/>
        <v>311.15909929563861</v>
      </c>
      <c r="BY242" s="173">
        <f t="shared" si="694"/>
        <v>1.4238053155668737</v>
      </c>
      <c r="BZ242" s="5">
        <f t="shared" si="695"/>
        <v>4.2639999999999993</v>
      </c>
      <c r="CA242" s="173">
        <f t="shared" si="696"/>
        <v>0.74967404181889252</v>
      </c>
      <c r="CB242" s="5">
        <f t="shared" si="697"/>
        <v>74.96740418188925</v>
      </c>
      <c r="CE242" s="562">
        <f t="shared" si="638"/>
        <v>-50</v>
      </c>
      <c r="CF242">
        <f t="shared" si="639"/>
        <v>-50</v>
      </c>
      <c r="CG242" s="173">
        <f t="shared" si="640"/>
        <v>0.36492565230100926</v>
      </c>
      <c r="CI242" s="170">
        <v>26</v>
      </c>
      <c r="CJ242" s="217">
        <f t="shared" si="698"/>
        <v>0.26</v>
      </c>
      <c r="CK242" s="217"/>
      <c r="CL242" s="217">
        <f t="shared" si="641"/>
        <v>4.2639999999999993</v>
      </c>
      <c r="CM242" s="541">
        <f t="shared" si="642"/>
        <v>36</v>
      </c>
      <c r="CN242" s="443">
        <f t="shared" si="643"/>
        <v>16.799999999999997</v>
      </c>
      <c r="CO242" s="443">
        <f t="shared" si="644"/>
        <v>52.8</v>
      </c>
      <c r="CP242" s="443"/>
      <c r="CQ242" s="217">
        <f t="shared" si="645"/>
        <v>0.31818181818181812</v>
      </c>
      <c r="CR242" s="172">
        <f t="shared" si="646"/>
        <v>38.697272727272725</v>
      </c>
      <c r="CS242" s="172">
        <f t="shared" si="647"/>
        <v>4.2639999999999993</v>
      </c>
      <c r="CT242" s="217">
        <f t="shared" si="648"/>
        <v>2.3595898004434592</v>
      </c>
      <c r="CU242" s="217">
        <f t="shared" si="649"/>
        <v>16.399999999999999</v>
      </c>
      <c r="CV242" s="217"/>
      <c r="CW242" s="172">
        <f t="shared" si="650"/>
        <v>425.57226655613658</v>
      </c>
      <c r="CX242" s="172">
        <f t="shared" si="651"/>
        <v>16.399999999999999</v>
      </c>
      <c r="CY242" s="217">
        <f t="shared" si="652"/>
        <v>0.74450793650793645</v>
      </c>
      <c r="CZ242" s="217">
        <f t="shared" si="653"/>
        <v>0.24816931216931218</v>
      </c>
      <c r="DA242" s="217">
        <f t="shared" si="654"/>
        <v>0.53179138321995478</v>
      </c>
      <c r="DB242" s="197">
        <f t="shared" si="655"/>
        <v>350</v>
      </c>
      <c r="DC242" s="443">
        <f t="shared" si="656"/>
        <v>350</v>
      </c>
      <c r="DE242" s="217">
        <f t="shared" si="657"/>
        <v>2.7272727272727271</v>
      </c>
      <c r="DF242" s="173">
        <f t="shared" si="658"/>
        <v>1.9480519480519483</v>
      </c>
      <c r="DG242" s="173">
        <f t="shared" si="659"/>
        <v>0.92975206611570249</v>
      </c>
      <c r="DH242" s="173"/>
      <c r="DI242" s="173">
        <f t="shared" si="660"/>
        <v>0.95238095238095266</v>
      </c>
      <c r="DJ242" s="545">
        <f t="shared" si="661"/>
        <v>409.49999999999983</v>
      </c>
      <c r="DK242" s="528">
        <f t="shared" si="662"/>
        <v>0.22222222222222232</v>
      </c>
      <c r="DM242" s="173">
        <f t="shared" si="663"/>
        <v>1.4422205101855956</v>
      </c>
      <c r="DN242" s="173">
        <f t="shared" si="664"/>
        <v>1.4422205101855956</v>
      </c>
      <c r="DO242" s="173">
        <f t="shared" si="665"/>
        <v>1.2806571680387127</v>
      </c>
      <c r="DQ242" s="545">
        <f t="shared" si="666"/>
        <v>260</v>
      </c>
      <c r="DR242" s="460">
        <f t="shared" si="667"/>
        <v>350</v>
      </c>
      <c r="DT242">
        <f t="shared" si="668"/>
        <v>260</v>
      </c>
      <c r="DU242">
        <f t="shared" si="669"/>
        <v>350</v>
      </c>
      <c r="DW242" s="5">
        <f t="shared" si="670"/>
        <v>2.8571428571428572</v>
      </c>
      <c r="DX242" s="5">
        <f t="shared" si="671"/>
        <v>0.4807401700618652</v>
      </c>
      <c r="DY242" s="5">
        <f t="shared" si="672"/>
        <v>2.3764026870809918</v>
      </c>
      <c r="DZ242" s="5"/>
      <c r="EA242" s="173">
        <f t="shared" si="673"/>
        <v>0.16825905952165282</v>
      </c>
      <c r="EB242" s="173">
        <f t="shared" si="699"/>
        <v>4.3679999999999994</v>
      </c>
      <c r="EC242" s="173">
        <f t="shared" si="700"/>
        <v>0.5997769217594644</v>
      </c>
      <c r="ED242" s="173">
        <f t="shared" si="701"/>
        <v>7.2827076893627956</v>
      </c>
      <c r="EE242" s="460">
        <f t="shared" si="674"/>
        <v>0.76214905009807921</v>
      </c>
      <c r="EF242" s="5">
        <f t="shared" si="675"/>
        <v>0.23455974670632745</v>
      </c>
      <c r="EH242" s="173">
        <f t="shared" si="702"/>
        <v>0.34155470220987921</v>
      </c>
      <c r="EI242" s="173">
        <f t="shared" si="703"/>
        <v>0.75939035991488191</v>
      </c>
      <c r="EK242" s="528">
        <f t="shared" si="704"/>
        <v>2.3331922920335857E-3</v>
      </c>
      <c r="EL242" s="528">
        <f t="shared" si="705"/>
        <v>0.53304470056459619</v>
      </c>
      <c r="EM242" s="528">
        <f t="shared" si="706"/>
        <v>4.3749999999999997E-2</v>
      </c>
      <c r="EN242" s="528">
        <f t="shared" si="707"/>
        <v>9.7574399999999992E-2</v>
      </c>
      <c r="EO242">
        <f t="shared" si="708"/>
        <v>1.6199999999999999E-2</v>
      </c>
      <c r="EP242" s="460">
        <f t="shared" si="709"/>
        <v>59.949999999999996</v>
      </c>
      <c r="EQ242" s="460"/>
      <c r="ER242" s="460">
        <f t="shared" si="710"/>
        <v>692.90229285662963</v>
      </c>
      <c r="ES242" s="528">
        <f t="shared" si="711"/>
        <v>0.182</v>
      </c>
      <c r="EV242" s="460">
        <f t="shared" si="712"/>
        <v>182</v>
      </c>
      <c r="EW242" s="528">
        <f t="shared" si="713"/>
        <v>3.4997884380503779E-3</v>
      </c>
      <c r="EX242" s="528">
        <f t="shared" si="714"/>
        <v>1.7300211561949615E-2</v>
      </c>
      <c r="EY242" s="528">
        <f t="shared" si="715"/>
        <v>0.28623272417326706</v>
      </c>
      <c r="EZ242" s="528"/>
      <c r="FA242" s="528">
        <f t="shared" si="716"/>
        <v>3.6399999999999996E-3</v>
      </c>
      <c r="FB242" s="460">
        <f t="shared" si="717"/>
        <v>310.672724173267</v>
      </c>
      <c r="FC242" s="173">
        <f t="shared" si="718"/>
        <v>1.1855750170298969</v>
      </c>
      <c r="FD242" s="5">
        <f t="shared" si="719"/>
        <v>4.2639999999999993</v>
      </c>
      <c r="FE242" s="173">
        <f t="shared" si="720"/>
        <v>0.7824463351132922</v>
      </c>
      <c r="FF242" s="5">
        <f t="shared" si="721"/>
        <v>78.244633511329226</v>
      </c>
      <c r="FI242" s="562">
        <f t="shared" si="676"/>
        <v>-50</v>
      </c>
      <c r="FJ242">
        <f t="shared" si="677"/>
        <v>-50</v>
      </c>
      <c r="FL242">
        <f t="shared" si="678"/>
        <v>0.36055512754639896</v>
      </c>
    </row>
    <row r="243" spans="5:168">
      <c r="E243" s="170">
        <v>27</v>
      </c>
      <c r="F243" s="217">
        <f t="shared" si="679"/>
        <v>0.27</v>
      </c>
      <c r="G243" s="217"/>
      <c r="H243" s="217">
        <f t="shared" si="603"/>
        <v>4.4279999999999999</v>
      </c>
      <c r="I243" s="541">
        <f t="shared" si="604"/>
        <v>35.963697697829794</v>
      </c>
      <c r="J243" s="172">
        <f t="shared" si="605"/>
        <v>16.821781381302124</v>
      </c>
      <c r="K243" s="172">
        <f t="shared" si="606"/>
        <v>52.785479079131918</v>
      </c>
      <c r="L243" s="443"/>
      <c r="M243" s="217">
        <f t="shared" si="607"/>
        <v>0.31868539529810175</v>
      </c>
      <c r="N243" s="172">
        <f t="shared" si="608"/>
        <v>38.719433792155712</v>
      </c>
      <c r="O243" s="172">
        <f t="shared" si="599"/>
        <v>4.4279999999999999</v>
      </c>
      <c r="P243" s="217">
        <f t="shared" si="609"/>
        <v>2.3609410848875436</v>
      </c>
      <c r="Q243" s="217">
        <f t="shared" si="610"/>
        <v>16.399999999999999</v>
      </c>
      <c r="R243" s="217"/>
      <c r="S243" s="172">
        <f t="shared" si="611"/>
        <v>408.06778832475089</v>
      </c>
      <c r="T243" s="172">
        <f t="shared" si="612"/>
        <v>16.399999999999999</v>
      </c>
      <c r="U243" s="217">
        <f t="shared" si="613"/>
        <v>0.79258538753366536</v>
      </c>
      <c r="V243" s="217">
        <f t="shared" si="614"/>
        <v>0.26446181175018385</v>
      </c>
      <c r="W243" s="217">
        <f t="shared" si="615"/>
        <v>0.56539937327777612</v>
      </c>
      <c r="X243" s="197">
        <f t="shared" si="616"/>
        <v>350</v>
      </c>
      <c r="Y243" s="443">
        <f t="shared" si="680"/>
        <v>350</v>
      </c>
      <c r="AA243" s="217">
        <f t="shared" si="617"/>
        <v>2.7288053948339774</v>
      </c>
      <c r="AB243" s="173">
        <f t="shared" si="618"/>
        <v>1.9466228930073626</v>
      </c>
      <c r="AC243" s="173">
        <f t="shared" si="619"/>
        <v>0.92959213412551778</v>
      </c>
      <c r="AD243" s="173"/>
      <c r="AE243" s="173">
        <f t="shared" si="620"/>
        <v>0.95114777902086201</v>
      </c>
      <c r="AF243" s="545">
        <f t="shared" si="621"/>
        <v>425.80134121420991</v>
      </c>
      <c r="AG243" s="528">
        <f t="shared" si="622"/>
        <v>0.22193448177153449</v>
      </c>
      <c r="AI243" s="173">
        <f t="shared" si="623"/>
        <v>1.4706462740272634</v>
      </c>
      <c r="AJ243" s="173">
        <f t="shared" si="624"/>
        <v>1.4706462740272634</v>
      </c>
      <c r="AK243" s="173">
        <f t="shared" si="625"/>
        <v>1.3017132894029111</v>
      </c>
      <c r="AM243" s="545">
        <f t="shared" si="626"/>
        <v>270</v>
      </c>
      <c r="AN243" s="460">
        <f t="shared" si="627"/>
        <v>350</v>
      </c>
      <c r="AP243">
        <f t="shared" si="628"/>
        <v>270</v>
      </c>
      <c r="AQ243">
        <f t="shared" si="629"/>
        <v>350</v>
      </c>
      <c r="AS243" s="5">
        <f t="shared" si="600"/>
        <v>2.8571428571428572</v>
      </c>
      <c r="AT243" s="5">
        <f t="shared" si="630"/>
        <v>0.49071025556396297</v>
      </c>
      <c r="AU243" s="5">
        <f t="shared" si="722"/>
        <v>2.3664326015788943</v>
      </c>
      <c r="AV243" s="5"/>
      <c r="AW243" s="173">
        <f t="shared" si="723"/>
        <v>0.17174858944738702</v>
      </c>
      <c r="AX243" s="173">
        <f t="shared" si="631"/>
        <v>4.5418809729515726</v>
      </c>
      <c r="AY243" s="173">
        <f t="shared" si="632"/>
        <v>0.60903242544351277</v>
      </c>
      <c r="AZ243" s="173">
        <f t="shared" si="633"/>
        <v>7.4575355649480572</v>
      </c>
      <c r="BA243" s="460">
        <f t="shared" si="594"/>
        <v>0.80787664025774408</v>
      </c>
      <c r="BB243" s="5">
        <f t="shared" si="595"/>
        <v>0.2428041847419114</v>
      </c>
      <c r="BD243" s="173">
        <f t="shared" si="681"/>
        <v>0.35187968058684232</v>
      </c>
      <c r="BE243" s="173">
        <f t="shared" si="682"/>
        <v>0.77273163398439493</v>
      </c>
      <c r="BG243" s="528">
        <f t="shared" si="683"/>
        <v>2.4763861921979634E-3</v>
      </c>
      <c r="BH243" s="528">
        <f t="shared" si="634"/>
        <v>0.50943879085620558</v>
      </c>
      <c r="BI243" s="528">
        <f t="shared" si="635"/>
        <v>0.31468235485601065</v>
      </c>
      <c r="BJ243" s="528">
        <f t="shared" si="684"/>
        <v>9.7520738056471587E-2</v>
      </c>
      <c r="BK243">
        <f t="shared" si="685"/>
        <v>1.6183663964023407E-2</v>
      </c>
      <c r="BL243" s="460">
        <f t="shared" si="686"/>
        <v>330.86601882003407</v>
      </c>
      <c r="BM243" s="528">
        <f t="shared" si="636"/>
        <v>0.61046372973956531</v>
      </c>
      <c r="BN243" s="460">
        <f t="shared" si="687"/>
        <v>610.46372973956534</v>
      </c>
      <c r="BO243" s="528">
        <f t="shared" si="637"/>
        <v>0.189</v>
      </c>
      <c r="BR243" s="460">
        <f t="shared" si="688"/>
        <v>189</v>
      </c>
      <c r="BS243" s="528">
        <f t="shared" si="689"/>
        <v>3.7145792882969453E-3</v>
      </c>
      <c r="BT243" s="528">
        <f t="shared" si="690"/>
        <v>1.7913425344805785E-2</v>
      </c>
      <c r="BU243" s="528">
        <f t="shared" si="691"/>
        <v>0.30054581340273928</v>
      </c>
      <c r="BV243" s="528"/>
      <c r="BW243" s="528">
        <f t="shared" si="692"/>
        <v>3.7849008107929774E-3</v>
      </c>
      <c r="BX243" s="460">
        <f t="shared" si="693"/>
        <v>325.95871884663495</v>
      </c>
      <c r="BY243" s="173">
        <f t="shared" si="694"/>
        <v>1.4552606527715441</v>
      </c>
      <c r="BZ243" s="5">
        <f t="shared" si="695"/>
        <v>4.4279999999999999</v>
      </c>
      <c r="CA243" s="173">
        <f t="shared" si="696"/>
        <v>0.75264385879520979</v>
      </c>
      <c r="CB243" s="5">
        <f t="shared" si="697"/>
        <v>75.264385879520972</v>
      </c>
      <c r="CE243" s="562">
        <f t="shared" si="638"/>
        <v>-50</v>
      </c>
      <c r="CF243">
        <f t="shared" si="639"/>
        <v>-50</v>
      </c>
      <c r="CG243" s="173">
        <f t="shared" si="640"/>
        <v>0.37187724174360182</v>
      </c>
      <c r="CI243" s="170">
        <v>27</v>
      </c>
      <c r="CJ243" s="217">
        <f t="shared" si="698"/>
        <v>0.27</v>
      </c>
      <c r="CK243" s="217"/>
      <c r="CL243" s="217">
        <f t="shared" si="641"/>
        <v>4.4279999999999999</v>
      </c>
      <c r="CM243" s="541">
        <f t="shared" si="642"/>
        <v>36</v>
      </c>
      <c r="CN243" s="443">
        <f t="shared" si="643"/>
        <v>16.799999999999997</v>
      </c>
      <c r="CO243" s="443">
        <f t="shared" si="644"/>
        <v>52.8</v>
      </c>
      <c r="CP243" s="443"/>
      <c r="CQ243" s="217">
        <f t="shared" si="645"/>
        <v>0.31818181818181812</v>
      </c>
      <c r="CR243" s="172">
        <f t="shared" si="646"/>
        <v>38.697272727272725</v>
      </c>
      <c r="CS243" s="172">
        <f t="shared" si="647"/>
        <v>4.4279999999999999</v>
      </c>
      <c r="CT243" s="217">
        <f t="shared" si="648"/>
        <v>2.3595898004434592</v>
      </c>
      <c r="CU243" s="217">
        <f t="shared" si="649"/>
        <v>16.399999999999999</v>
      </c>
      <c r="CV243" s="217"/>
      <c r="CW243" s="172">
        <f t="shared" si="650"/>
        <v>408.47966263041963</v>
      </c>
      <c r="CX243" s="172">
        <f t="shared" si="651"/>
        <v>16.399999999999999</v>
      </c>
      <c r="CY243" s="217">
        <f t="shared" si="652"/>
        <v>0.77314285714285724</v>
      </c>
      <c r="CZ243" s="217">
        <f t="shared" si="653"/>
        <v>0.25771428571428578</v>
      </c>
      <c r="DA243" s="217">
        <f t="shared" si="654"/>
        <v>0.55224489795918386</v>
      </c>
      <c r="DB243" s="197">
        <f t="shared" si="655"/>
        <v>350</v>
      </c>
      <c r="DC243" s="443">
        <f t="shared" si="656"/>
        <v>350</v>
      </c>
      <c r="DE243" s="217">
        <f t="shared" si="657"/>
        <v>2.7272727272727271</v>
      </c>
      <c r="DF243" s="173">
        <f t="shared" si="658"/>
        <v>1.9480519480519483</v>
      </c>
      <c r="DG243" s="173">
        <f t="shared" si="659"/>
        <v>0.92975206611570249</v>
      </c>
      <c r="DH243" s="173"/>
      <c r="DI243" s="173">
        <f t="shared" si="660"/>
        <v>0.95238095238095266</v>
      </c>
      <c r="DJ243" s="545">
        <f t="shared" si="661"/>
        <v>425.24999999999983</v>
      </c>
      <c r="DK243" s="528">
        <f t="shared" si="662"/>
        <v>0.22222222222222232</v>
      </c>
      <c r="DM243" s="173">
        <f t="shared" si="663"/>
        <v>1.4696938456699067</v>
      </c>
      <c r="DN243" s="173">
        <f t="shared" si="664"/>
        <v>1.4696938456699067</v>
      </c>
      <c r="DO243" s="173">
        <f t="shared" si="665"/>
        <v>1.3010077869159802</v>
      </c>
      <c r="DQ243" s="545">
        <f t="shared" si="666"/>
        <v>270</v>
      </c>
      <c r="DR243" s="460">
        <f t="shared" si="667"/>
        <v>350</v>
      </c>
      <c r="DT243">
        <f t="shared" si="668"/>
        <v>270</v>
      </c>
      <c r="DU243">
        <f t="shared" si="669"/>
        <v>350</v>
      </c>
      <c r="DW243" s="5">
        <f t="shared" si="670"/>
        <v>2.8571428571428572</v>
      </c>
      <c r="DX243" s="5">
        <f t="shared" si="671"/>
        <v>0.48989794855663554</v>
      </c>
      <c r="DY243" s="5">
        <f t="shared" si="672"/>
        <v>2.3672449085862217</v>
      </c>
      <c r="DZ243" s="5"/>
      <c r="EA243" s="173">
        <f t="shared" si="673"/>
        <v>0.17146428199482244</v>
      </c>
      <c r="EB243" s="173">
        <f t="shared" si="699"/>
        <v>4.5359999999999996</v>
      </c>
      <c r="EC243" s="173">
        <f t="shared" si="700"/>
        <v>0.60884692283495334</v>
      </c>
      <c r="ED243" s="173">
        <f t="shared" si="701"/>
        <v>7.4501485182501641</v>
      </c>
      <c r="EE243" s="460">
        <f t="shared" si="674"/>
        <v>0.80653930555055875</v>
      </c>
      <c r="EF243" s="5">
        <f t="shared" si="675"/>
        <v>0.24264260313008768</v>
      </c>
      <c r="EH243" s="173">
        <f t="shared" si="702"/>
        <v>0.35136061679743241</v>
      </c>
      <c r="EI243" s="173">
        <f t="shared" si="703"/>
        <v>0.77236372064185388</v>
      </c>
      <c r="EK243" s="528">
        <f t="shared" si="704"/>
        <v>2.4690856607254429E-3</v>
      </c>
      <c r="EL243" s="528">
        <f t="shared" si="705"/>
        <v>0.54319884535959762</v>
      </c>
      <c r="EM243" s="528">
        <f t="shared" si="706"/>
        <v>4.3749999999999997E-2</v>
      </c>
      <c r="EN243" s="528">
        <f t="shared" si="707"/>
        <v>9.7574399999999992E-2</v>
      </c>
      <c r="EO243">
        <f t="shared" si="708"/>
        <v>1.6199999999999999E-2</v>
      </c>
      <c r="EP243" s="460">
        <f t="shared" si="709"/>
        <v>59.949999999999996</v>
      </c>
      <c r="EQ243" s="460"/>
      <c r="ER243" s="460">
        <f t="shared" si="710"/>
        <v>703.19233102032297</v>
      </c>
      <c r="ES243" s="528">
        <f t="shared" si="711"/>
        <v>0.189</v>
      </c>
      <c r="EV243" s="460">
        <f t="shared" si="712"/>
        <v>189</v>
      </c>
      <c r="EW243" s="528">
        <f t="shared" si="713"/>
        <v>3.7036284910881645E-3</v>
      </c>
      <c r="EX243" s="528">
        <f t="shared" si="714"/>
        <v>1.7896371508911831E-2</v>
      </c>
      <c r="EY243" s="528">
        <f t="shared" si="715"/>
        <v>0.30005944673000112</v>
      </c>
      <c r="EZ243" s="528"/>
      <c r="FA243" s="528">
        <f t="shared" si="716"/>
        <v>3.7799999999999999E-3</v>
      </c>
      <c r="FB243" s="460">
        <f t="shared" si="717"/>
        <v>325.43944673000112</v>
      </c>
      <c r="FC243" s="173">
        <f t="shared" si="718"/>
        <v>1.2176317777503241</v>
      </c>
      <c r="FD243" s="5">
        <f t="shared" si="719"/>
        <v>4.4279999999999999</v>
      </c>
      <c r="FE243" s="173">
        <f t="shared" si="720"/>
        <v>0.78432320319772475</v>
      </c>
      <c r="FF243" s="5">
        <f t="shared" si="721"/>
        <v>78.432320319772472</v>
      </c>
      <c r="FI243" s="562">
        <f t="shared" si="676"/>
        <v>-50</v>
      </c>
      <c r="FJ243">
        <f t="shared" si="677"/>
        <v>-50</v>
      </c>
      <c r="FL243">
        <f t="shared" si="678"/>
        <v>0.36742346141747678</v>
      </c>
    </row>
    <row r="244" spans="5:168">
      <c r="E244" s="170">
        <v>28</v>
      </c>
      <c r="F244" s="217">
        <f t="shared" si="679"/>
        <v>0.28000000000000003</v>
      </c>
      <c r="G244" s="217"/>
      <c r="H244" s="217">
        <f t="shared" si="603"/>
        <v>4.5919999999999996</v>
      </c>
      <c r="I244" s="541">
        <f t="shared" si="604"/>
        <v>35.963031544978634</v>
      </c>
      <c r="J244" s="172">
        <f t="shared" si="605"/>
        <v>16.822181073012818</v>
      </c>
      <c r="K244" s="172">
        <f t="shared" si="606"/>
        <v>52.785212617991448</v>
      </c>
      <c r="L244" s="443"/>
      <c r="M244" s="217">
        <f t="shared" si="607"/>
        <v>0.318694638557591</v>
      </c>
      <c r="N244" s="172">
        <f t="shared" si="608"/>
        <v>38.719839605825499</v>
      </c>
      <c r="O244" s="172">
        <f t="shared" si="599"/>
        <v>4.5919999999999996</v>
      </c>
      <c r="P244" s="217">
        <f t="shared" si="609"/>
        <v>2.3609658296235061</v>
      </c>
      <c r="Q244" s="217">
        <f t="shared" si="610"/>
        <v>16.399999999999999</v>
      </c>
      <c r="R244" s="217"/>
      <c r="S244" s="172">
        <f t="shared" si="611"/>
        <v>392.20493679866638</v>
      </c>
      <c r="T244" s="172">
        <f t="shared" si="612"/>
        <v>16.399999999999999</v>
      </c>
      <c r="U244" s="217">
        <f t="shared" si="613"/>
        <v>0.82195155313971058</v>
      </c>
      <c r="V244" s="217">
        <f t="shared" si="614"/>
        <v>0.27426549470225947</v>
      </c>
      <c r="W244" s="217">
        <f t="shared" si="615"/>
        <v>0.5863341141595505</v>
      </c>
      <c r="X244" s="197">
        <f t="shared" si="616"/>
        <v>350</v>
      </c>
      <c r="Y244" s="443">
        <f t="shared" si="680"/>
        <v>350</v>
      </c>
      <c r="AA244" s="217">
        <f t="shared" si="617"/>
        <v>2.7288334607501534</v>
      </c>
      <c r="AB244" s="173">
        <f t="shared" si="618"/>
        <v>1.946596662280315</v>
      </c>
      <c r="AC244" s="173">
        <f t="shared" si="619"/>
        <v>0.92958916865764074</v>
      </c>
      <c r="AD244" s="173"/>
      <c r="AE244" s="173">
        <f t="shared" si="620"/>
        <v>0.95112517993687462</v>
      </c>
      <c r="AF244" s="545">
        <f t="shared" si="621"/>
        <v>441.58225316658633</v>
      </c>
      <c r="AG244" s="528">
        <f t="shared" si="622"/>
        <v>0.22192920865193744</v>
      </c>
      <c r="AI244" s="173">
        <f t="shared" si="623"/>
        <v>1.4976506523223996</v>
      </c>
      <c r="AJ244" s="173">
        <f t="shared" si="624"/>
        <v>1.4976506523223996</v>
      </c>
      <c r="AK244" s="173">
        <f t="shared" si="625"/>
        <v>1.3217165325844933</v>
      </c>
      <c r="AM244" s="545">
        <f t="shared" si="626"/>
        <v>280</v>
      </c>
      <c r="AN244" s="460">
        <f t="shared" si="627"/>
        <v>350</v>
      </c>
      <c r="AP244">
        <f t="shared" si="628"/>
        <v>280</v>
      </c>
      <c r="AQ244">
        <f t="shared" si="629"/>
        <v>350</v>
      </c>
      <c r="AS244" s="5">
        <f t="shared" si="600"/>
        <v>2.8571428571428572</v>
      </c>
      <c r="AT244" s="5">
        <f t="shared" si="630"/>
        <v>0.49973005766745832</v>
      </c>
      <c r="AU244" s="5">
        <f t="shared" si="722"/>
        <v>2.3574127994753988</v>
      </c>
      <c r="AV244" s="5"/>
      <c r="AW244" s="173">
        <f t="shared" si="723"/>
        <v>0.17490552018361041</v>
      </c>
      <c r="AX244" s="173">
        <f t="shared" si="631"/>
        <v>4.7102107004435885</v>
      </c>
      <c r="AY244" s="173">
        <f t="shared" si="632"/>
        <v>0.61785164296231343</v>
      </c>
      <c r="AZ244" s="173">
        <f t="shared" si="633"/>
        <v>7.623530266683928</v>
      </c>
      <c r="BA244" s="460">
        <f t="shared" si="594"/>
        <v>0.85319765943224612</v>
      </c>
      <c r="BB244" s="5">
        <f t="shared" si="595"/>
        <v>0.25084183929386861</v>
      </c>
      <c r="BD244" s="173">
        <f t="shared" si="681"/>
        <v>0.36161934137052598</v>
      </c>
      <c r="BE244" s="173">
        <f t="shared" si="682"/>
        <v>0.78541959746408796</v>
      </c>
      <c r="BG244" s="528">
        <f t="shared" si="683"/>
        <v>2.6153709610650601E-3</v>
      </c>
      <c r="BH244" s="528">
        <f t="shared" si="634"/>
        <v>0.51879061572391882</v>
      </c>
      <c r="BI244" s="528">
        <f t="shared" si="635"/>
        <v>0.31467652601856305</v>
      </c>
      <c r="BJ244" s="528">
        <f t="shared" si="684"/>
        <v>9.7519753489429734E-2</v>
      </c>
      <c r="BK244">
        <f t="shared" si="685"/>
        <v>1.6183364195240385E-2</v>
      </c>
      <c r="BL244" s="460">
        <f t="shared" si="686"/>
        <v>330.85989021380345</v>
      </c>
      <c r="BM244" s="528">
        <f t="shared" si="636"/>
        <v>0.62001717653462474</v>
      </c>
      <c r="BN244" s="460">
        <f t="shared" si="687"/>
        <v>620.0171765346247</v>
      </c>
      <c r="BO244" s="528">
        <f t="shared" si="637"/>
        <v>0.19600000000000001</v>
      </c>
      <c r="BR244" s="460">
        <f t="shared" si="688"/>
        <v>196</v>
      </c>
      <c r="BS244" s="528">
        <f t="shared" si="689"/>
        <v>3.9230564415975895E-3</v>
      </c>
      <c r="BT244" s="528">
        <f t="shared" si="690"/>
        <v>1.8506518322419497E-2</v>
      </c>
      <c r="BU244" s="528">
        <f t="shared" si="691"/>
        <v>0.31453314337313376</v>
      </c>
      <c r="BV244" s="528"/>
      <c r="BW244" s="528">
        <f t="shared" si="692"/>
        <v>3.92517558370299E-3</v>
      </c>
      <c r="BX244" s="460">
        <f t="shared" si="693"/>
        <v>340.88789372085381</v>
      </c>
      <c r="BY244" s="173">
        <f t="shared" si="694"/>
        <v>1.4866735241090709</v>
      </c>
      <c r="BZ244" s="5">
        <f t="shared" si="695"/>
        <v>4.5919999999999996</v>
      </c>
      <c r="CA244" s="173">
        <f t="shared" si="696"/>
        <v>0.75542796989957317</v>
      </c>
      <c r="CB244" s="5">
        <f t="shared" si="697"/>
        <v>75.54279698995731</v>
      </c>
      <c r="CE244" s="562">
        <f t="shared" si="638"/>
        <v>-50</v>
      </c>
      <c r="CF244">
        <f t="shared" si="639"/>
        <v>-50</v>
      </c>
      <c r="CG244" s="173">
        <f t="shared" si="640"/>
        <v>0.37870124656032161</v>
      </c>
      <c r="CI244" s="170">
        <v>28</v>
      </c>
      <c r="CJ244" s="217">
        <f t="shared" si="698"/>
        <v>0.28000000000000003</v>
      </c>
      <c r="CK244" s="217"/>
      <c r="CL244" s="217">
        <f t="shared" si="641"/>
        <v>4.5919999999999996</v>
      </c>
      <c r="CM244" s="541">
        <f t="shared" si="642"/>
        <v>36</v>
      </c>
      <c r="CN244" s="443">
        <f t="shared" si="643"/>
        <v>16.799999999999997</v>
      </c>
      <c r="CO244" s="443">
        <f t="shared" si="644"/>
        <v>52.8</v>
      </c>
      <c r="CP244" s="443"/>
      <c r="CQ244" s="217">
        <f t="shared" si="645"/>
        <v>0.31818181818181812</v>
      </c>
      <c r="CR244" s="172">
        <f t="shared" si="646"/>
        <v>38.697272727272725</v>
      </c>
      <c r="CS244" s="172">
        <f t="shared" si="647"/>
        <v>4.5919999999999996</v>
      </c>
      <c r="CT244" s="217">
        <f t="shared" si="648"/>
        <v>2.3595898004434592</v>
      </c>
      <c r="CU244" s="217">
        <f t="shared" si="649"/>
        <v>16.399999999999999</v>
      </c>
      <c r="CV244" s="217"/>
      <c r="CW244" s="172">
        <f t="shared" si="650"/>
        <v>392.60806904050384</v>
      </c>
      <c r="CX244" s="172">
        <f t="shared" si="651"/>
        <v>16.399999999999999</v>
      </c>
      <c r="CY244" s="217">
        <f t="shared" si="652"/>
        <v>0.80177777777777781</v>
      </c>
      <c r="CZ244" s="217">
        <f t="shared" si="653"/>
        <v>0.26725925925925931</v>
      </c>
      <c r="DA244" s="217">
        <f t="shared" si="654"/>
        <v>0.57269841269841282</v>
      </c>
      <c r="DB244" s="197">
        <f t="shared" si="655"/>
        <v>350</v>
      </c>
      <c r="DC244" s="443">
        <f t="shared" si="656"/>
        <v>350</v>
      </c>
      <c r="DE244" s="217">
        <f t="shared" si="657"/>
        <v>2.7272727272727271</v>
      </c>
      <c r="DF244" s="173">
        <f t="shared" si="658"/>
        <v>1.9480519480519483</v>
      </c>
      <c r="DG244" s="173">
        <f t="shared" si="659"/>
        <v>0.92975206611570249</v>
      </c>
      <c r="DH244" s="173"/>
      <c r="DI244" s="173">
        <f t="shared" si="660"/>
        <v>0.95238095238095266</v>
      </c>
      <c r="DJ244" s="545">
        <f t="shared" si="661"/>
        <v>440.99999999999989</v>
      </c>
      <c r="DK244" s="528">
        <f t="shared" si="662"/>
        <v>0.22222222222222232</v>
      </c>
      <c r="DM244" s="173">
        <f t="shared" si="663"/>
        <v>1.4966629547095764</v>
      </c>
      <c r="DN244" s="173">
        <f t="shared" si="664"/>
        <v>1.4966629547095764</v>
      </c>
      <c r="DO244" s="173">
        <f t="shared" si="665"/>
        <v>1.3209849047231428</v>
      </c>
      <c r="DQ244" s="545">
        <f t="shared" si="666"/>
        <v>280</v>
      </c>
      <c r="DR244" s="460">
        <f t="shared" si="667"/>
        <v>350</v>
      </c>
      <c r="DT244">
        <f t="shared" si="668"/>
        <v>280</v>
      </c>
      <c r="DU244">
        <f t="shared" si="669"/>
        <v>350</v>
      </c>
      <c r="DW244" s="5">
        <f t="shared" si="670"/>
        <v>2.8571428571428572</v>
      </c>
      <c r="DX244" s="5">
        <f t="shared" si="671"/>
        <v>0.49888765156985876</v>
      </c>
      <c r="DY244" s="5">
        <f t="shared" si="672"/>
        <v>2.3582552055729984</v>
      </c>
      <c r="DZ244" s="5"/>
      <c r="EA244" s="173">
        <f t="shared" si="673"/>
        <v>0.17461067804945057</v>
      </c>
      <c r="EB244" s="173">
        <f t="shared" si="699"/>
        <v>4.7039999999999997</v>
      </c>
      <c r="EC244" s="173">
        <f t="shared" si="700"/>
        <v>0.61766481068812162</v>
      </c>
      <c r="ED244" s="173">
        <f t="shared" si="701"/>
        <v>7.6157811139660296</v>
      </c>
      <c r="EE244" s="460">
        <f t="shared" si="674"/>
        <v>0.8517594051192714</v>
      </c>
      <c r="EF244" s="5">
        <f t="shared" si="675"/>
        <v>0.25067379407387047</v>
      </c>
      <c r="EH244" s="173">
        <f t="shared" si="702"/>
        <v>0.36107613178329823</v>
      </c>
      <c r="EI244" s="173">
        <f t="shared" si="703"/>
        <v>0.78504184202058735</v>
      </c>
      <c r="EK244" s="528">
        <f t="shared" si="704"/>
        <v>2.6075194588717947E-3</v>
      </c>
      <c r="EL244" s="528">
        <f t="shared" si="705"/>
        <v>0.55316662806065942</v>
      </c>
      <c r="EM244" s="528">
        <f t="shared" si="706"/>
        <v>4.3749999999999997E-2</v>
      </c>
      <c r="EN244" s="528">
        <f t="shared" si="707"/>
        <v>9.7574399999999992E-2</v>
      </c>
      <c r="EO244">
        <f t="shared" si="708"/>
        <v>1.6199999999999999E-2</v>
      </c>
      <c r="EP244" s="460">
        <f t="shared" si="709"/>
        <v>59.949999999999996</v>
      </c>
      <c r="EQ244" s="460"/>
      <c r="ER244" s="460">
        <f t="shared" si="710"/>
        <v>713.2985475195311</v>
      </c>
      <c r="ES244" s="528">
        <f t="shared" si="711"/>
        <v>0.19600000000000001</v>
      </c>
      <c r="EV244" s="460">
        <f t="shared" si="712"/>
        <v>196</v>
      </c>
      <c r="EW244" s="528">
        <f t="shared" si="713"/>
        <v>3.9112791883076925E-3</v>
      </c>
      <c r="EX244" s="528">
        <f t="shared" si="714"/>
        <v>1.8488720811692307E-2</v>
      </c>
      <c r="EY244" s="528">
        <f t="shared" si="715"/>
        <v>0.31401481490023803</v>
      </c>
      <c r="EZ244" s="528"/>
      <c r="FA244" s="528">
        <f t="shared" si="716"/>
        <v>3.9199999999999999E-3</v>
      </c>
      <c r="FB244" s="460">
        <f t="shared" si="717"/>
        <v>340.33481490023797</v>
      </c>
      <c r="FC244" s="173">
        <f t="shared" si="718"/>
        <v>1.2496333624197691</v>
      </c>
      <c r="FD244" s="5">
        <f t="shared" si="719"/>
        <v>4.5919999999999996</v>
      </c>
      <c r="FE244" s="173">
        <f t="shared" si="720"/>
        <v>0.78608151438279661</v>
      </c>
      <c r="FF244" s="5">
        <f t="shared" si="721"/>
        <v>78.608151438279663</v>
      </c>
      <c r="FI244" s="562">
        <f t="shared" si="676"/>
        <v>-50</v>
      </c>
      <c r="FJ244">
        <f t="shared" si="677"/>
        <v>-50</v>
      </c>
      <c r="FL244">
        <f t="shared" si="678"/>
        <v>0.37416573867739417</v>
      </c>
    </row>
    <row r="245" spans="5:168">
      <c r="E245" s="170">
        <v>29</v>
      </c>
      <c r="F245" s="217">
        <f t="shared" si="679"/>
        <v>0.28999999999999998</v>
      </c>
      <c r="G245" s="217"/>
      <c r="H245" s="217">
        <f t="shared" si="603"/>
        <v>4.7559999999999993</v>
      </c>
      <c r="I245" s="541">
        <f t="shared" si="604"/>
        <v>35.962377185239852</v>
      </c>
      <c r="J245" s="172">
        <f t="shared" si="605"/>
        <v>16.822573688856085</v>
      </c>
      <c r="K245" s="172">
        <f t="shared" si="606"/>
        <v>52.784950874095941</v>
      </c>
      <c r="L245" s="443"/>
      <c r="M245" s="217">
        <f t="shared" si="607"/>
        <v>0.31870371826996996</v>
      </c>
      <c r="N245" s="172">
        <f t="shared" si="608"/>
        <v>38.720238205581261</v>
      </c>
      <c r="O245" s="172">
        <f t="shared" si="599"/>
        <v>4.7559999999999993</v>
      </c>
      <c r="P245" s="217">
        <f t="shared" si="609"/>
        <v>2.3609901344866624</v>
      </c>
      <c r="Q245" s="217">
        <f t="shared" si="610"/>
        <v>16.399999999999999</v>
      </c>
      <c r="R245" s="217"/>
      <c r="S245" s="172">
        <f t="shared" si="611"/>
        <v>377.43635202447558</v>
      </c>
      <c r="T245" s="172">
        <f t="shared" si="612"/>
        <v>16.399999999999999</v>
      </c>
      <c r="U245" s="217">
        <f t="shared" si="613"/>
        <v>0.85131831121578072</v>
      </c>
      <c r="V245" s="217">
        <f t="shared" si="614"/>
        <v>0.28406964539547397</v>
      </c>
      <c r="W245" s="217">
        <f t="shared" si="615"/>
        <v>0.60726853830675853</v>
      </c>
      <c r="X245" s="197">
        <f t="shared" si="616"/>
        <v>350</v>
      </c>
      <c r="Y245" s="443">
        <f t="shared" si="680"/>
        <v>350</v>
      </c>
      <c r="AA245" s="217">
        <f t="shared" si="617"/>
        <v>2.7288610277439362</v>
      </c>
      <c r="AB245" s="173">
        <f t="shared" si="618"/>
        <v>1.9465708956662</v>
      </c>
      <c r="AC245" s="173">
        <f t="shared" si="619"/>
        <v>0.92958625461171762</v>
      </c>
      <c r="AD245" s="173"/>
      <c r="AE245" s="173">
        <f t="shared" si="620"/>
        <v>0.95110298197706888</v>
      </c>
      <c r="AF245" s="545">
        <f t="shared" si="621"/>
        <v>457.36372216577467</v>
      </c>
      <c r="AG245" s="528">
        <f t="shared" si="622"/>
        <v>0.22192402912798276</v>
      </c>
      <c r="AI245" s="173">
        <f t="shared" si="623"/>
        <v>1.5241775877296151</v>
      </c>
      <c r="AJ245" s="173">
        <f t="shared" si="624"/>
        <v>1.5241775877296151</v>
      </c>
      <c r="AK245" s="173">
        <f t="shared" si="625"/>
        <v>1.3413661143676159</v>
      </c>
      <c r="AM245" s="545">
        <f t="shared" si="626"/>
        <v>290</v>
      </c>
      <c r="AN245" s="460">
        <f t="shared" si="627"/>
        <v>350</v>
      </c>
      <c r="AP245">
        <f t="shared" si="628"/>
        <v>290</v>
      </c>
      <c r="AQ245">
        <f t="shared" si="629"/>
        <v>350</v>
      </c>
      <c r="AS245" s="5">
        <f t="shared" si="600"/>
        <v>2.8571428571428572</v>
      </c>
      <c r="AT245" s="5">
        <f t="shared" si="630"/>
        <v>0.50859071297050562</v>
      </c>
      <c r="AU245" s="5">
        <f t="shared" si="722"/>
        <v>2.3485521441723516</v>
      </c>
      <c r="AV245" s="5"/>
      <c r="AW245" s="173">
        <f t="shared" si="723"/>
        <v>0.17800674953967696</v>
      </c>
      <c r="AX245" s="173">
        <f t="shared" si="631"/>
        <v>4.8785463697682641</v>
      </c>
      <c r="AY245" s="173">
        <f t="shared" si="632"/>
        <v>0.62643184480832026</v>
      </c>
      <c r="AZ245" s="173">
        <f t="shared" si="633"/>
        <v>7.7878326432479401</v>
      </c>
      <c r="BA245" s="460">
        <f t="shared" ref="BA245:BA308" si="724">F245*AT245/Vout_ripple*1000</f>
        <v>0.8993372363502844</v>
      </c>
      <c r="BB245" s="5">
        <f t="shared" ref="BB245:BB308" si="725">H245/Efficiency/I245*AU245/Vinripple1</f>
        <v>0.25882869060975477</v>
      </c>
      <c r="BD245" s="173">
        <f t="shared" si="681"/>
        <v>0.37127283891290885</v>
      </c>
      <c r="BE245" s="173">
        <f t="shared" si="682"/>
        <v>0.79782762469803303</v>
      </c>
      <c r="BG245" s="528">
        <f t="shared" si="683"/>
        <v>2.7568704182890152E-3</v>
      </c>
      <c r="BH245" s="528">
        <f t="shared" si="634"/>
        <v>0.52797700653931923</v>
      </c>
      <c r="BI245" s="528">
        <f t="shared" si="635"/>
        <v>0.31467080037084866</v>
      </c>
      <c r="BJ245" s="528">
        <f t="shared" si="684"/>
        <v>9.7518786357325277E-2</v>
      </c>
      <c r="BK245">
        <f t="shared" si="685"/>
        <v>1.6183069733357931E-2</v>
      </c>
      <c r="BL245" s="460">
        <f t="shared" si="686"/>
        <v>330.85387010420658</v>
      </c>
      <c r="BM245" s="528">
        <f t="shared" si="636"/>
        <v>0.6294093018205914</v>
      </c>
      <c r="BN245" s="460">
        <f t="shared" si="687"/>
        <v>629.40930182059139</v>
      </c>
      <c r="BO245" s="528">
        <f t="shared" si="637"/>
        <v>0.20299999999999999</v>
      </c>
      <c r="BR245" s="460">
        <f t="shared" si="688"/>
        <v>203</v>
      </c>
      <c r="BS245" s="528">
        <f t="shared" si="689"/>
        <v>4.1353056274335224E-3</v>
      </c>
      <c r="BT245" s="528">
        <f t="shared" si="690"/>
        <v>1.9095867561939164E-2</v>
      </c>
      <c r="BU245" s="528">
        <f t="shared" si="691"/>
        <v>0.32864652408655665</v>
      </c>
      <c r="BV245" s="528"/>
      <c r="BW245" s="528">
        <f t="shared" si="692"/>
        <v>4.0654553081402199E-3</v>
      </c>
      <c r="BX245" s="460">
        <f t="shared" si="693"/>
        <v>355.94315258406954</v>
      </c>
      <c r="BY245" s="173">
        <f t="shared" si="694"/>
        <v>1.5180496860032098</v>
      </c>
      <c r="BZ245" s="5">
        <f t="shared" si="695"/>
        <v>4.7559999999999993</v>
      </c>
      <c r="CA245" s="173">
        <f t="shared" si="696"/>
        <v>0.758043088279994</v>
      </c>
      <c r="CB245" s="5">
        <f t="shared" si="697"/>
        <v>75.804308827999407</v>
      </c>
      <c r="CE245" s="562">
        <f t="shared" si="638"/>
        <v>-50</v>
      </c>
      <c r="CF245">
        <f t="shared" si="639"/>
        <v>-50</v>
      </c>
      <c r="CG245" s="173">
        <f t="shared" si="640"/>
        <v>0.38540444388441303</v>
      </c>
      <c r="CI245" s="170">
        <v>29</v>
      </c>
      <c r="CJ245" s="217">
        <f t="shared" si="698"/>
        <v>0.28999999999999998</v>
      </c>
      <c r="CK245" s="217"/>
      <c r="CL245" s="217">
        <f t="shared" si="641"/>
        <v>4.7559999999999993</v>
      </c>
      <c r="CM245" s="541">
        <f t="shared" si="642"/>
        <v>36</v>
      </c>
      <c r="CN245" s="443">
        <f t="shared" si="643"/>
        <v>16.799999999999997</v>
      </c>
      <c r="CO245" s="443">
        <f t="shared" si="644"/>
        <v>52.8</v>
      </c>
      <c r="CP245" s="443"/>
      <c r="CQ245" s="217">
        <f t="shared" si="645"/>
        <v>0.31818181818181812</v>
      </c>
      <c r="CR245" s="172">
        <f t="shared" si="646"/>
        <v>38.697272727272725</v>
      </c>
      <c r="CS245" s="172">
        <f t="shared" si="647"/>
        <v>4.7559999999999993</v>
      </c>
      <c r="CT245" s="217">
        <f t="shared" si="648"/>
        <v>2.3595898004434592</v>
      </c>
      <c r="CU245" s="217">
        <f t="shared" si="649"/>
        <v>16.399999999999999</v>
      </c>
      <c r="CV245" s="217"/>
      <c r="CW245" s="172">
        <f t="shared" si="650"/>
        <v>377.83117540251044</v>
      </c>
      <c r="CX245" s="172">
        <f t="shared" si="651"/>
        <v>16.399999999999999</v>
      </c>
      <c r="CY245" s="217">
        <f t="shared" si="652"/>
        <v>0.83041269841269838</v>
      </c>
      <c r="CZ245" s="217">
        <f t="shared" si="653"/>
        <v>0.27680423280423277</v>
      </c>
      <c r="DA245" s="217">
        <f t="shared" si="654"/>
        <v>0.59315192743764178</v>
      </c>
      <c r="DB245" s="197">
        <f t="shared" si="655"/>
        <v>350</v>
      </c>
      <c r="DC245" s="443">
        <f t="shared" si="656"/>
        <v>350</v>
      </c>
      <c r="DE245" s="217">
        <f t="shared" si="657"/>
        <v>2.7272727272727271</v>
      </c>
      <c r="DF245" s="173">
        <f t="shared" si="658"/>
        <v>1.9480519480519483</v>
      </c>
      <c r="DG245" s="173">
        <f t="shared" si="659"/>
        <v>0.92975206611570249</v>
      </c>
      <c r="DH245" s="173"/>
      <c r="DI245" s="173">
        <f t="shared" si="660"/>
        <v>0.95238095238095266</v>
      </c>
      <c r="DJ245" s="545">
        <f t="shared" si="661"/>
        <v>456.74999999999977</v>
      </c>
      <c r="DK245" s="528">
        <f t="shared" si="662"/>
        <v>0.22222222222222232</v>
      </c>
      <c r="DM245" s="173">
        <f t="shared" si="663"/>
        <v>1.5231546211727816</v>
      </c>
      <c r="DN245" s="173">
        <f t="shared" si="664"/>
        <v>1.5231546211727816</v>
      </c>
      <c r="DO245" s="173">
        <f t="shared" si="665"/>
        <v>1.3406083613625541</v>
      </c>
      <c r="DQ245" s="545">
        <f t="shared" si="666"/>
        <v>290</v>
      </c>
      <c r="DR245" s="460">
        <f t="shared" si="667"/>
        <v>350</v>
      </c>
      <c r="DT245">
        <f t="shared" si="668"/>
        <v>290</v>
      </c>
      <c r="DU245">
        <f t="shared" si="669"/>
        <v>350</v>
      </c>
      <c r="DW245" s="5">
        <f t="shared" si="670"/>
        <v>2.8571428571428572</v>
      </c>
      <c r="DX245" s="5">
        <f t="shared" si="671"/>
        <v>0.50771820705759385</v>
      </c>
      <c r="DY245" s="5">
        <f t="shared" si="672"/>
        <v>2.3494246500852634</v>
      </c>
      <c r="DZ245" s="5"/>
      <c r="EA245" s="173">
        <f t="shared" si="673"/>
        <v>0.17770137247015785</v>
      </c>
      <c r="EB245" s="173">
        <f t="shared" si="699"/>
        <v>4.8719999999999999</v>
      </c>
      <c r="EC245" s="173">
        <f t="shared" si="700"/>
        <v>0.62624397725305747</v>
      </c>
      <c r="ED245" s="173">
        <f t="shared" si="701"/>
        <v>7.7797155373380695</v>
      </c>
      <c r="EE245" s="460">
        <f t="shared" si="674"/>
        <v>0.89779439052867205</v>
      </c>
      <c r="EF245" s="5">
        <f t="shared" si="675"/>
        <v>0.25865425082883126</v>
      </c>
      <c r="EH245" s="173">
        <f t="shared" si="702"/>
        <v>0.37070526663409487</v>
      </c>
      <c r="EI245" s="173">
        <f t="shared" si="703"/>
        <v>0.79744024141190539</v>
      </c>
      <c r="EK245" s="528">
        <f t="shared" si="704"/>
        <v>2.7484478942051073E-3</v>
      </c>
      <c r="EL245" s="528">
        <f t="shared" si="705"/>
        <v>0.56295794798546006</v>
      </c>
      <c r="EM245" s="528">
        <f t="shared" si="706"/>
        <v>4.3749999999999997E-2</v>
      </c>
      <c r="EN245" s="528">
        <f t="shared" si="707"/>
        <v>9.7574399999999992E-2</v>
      </c>
      <c r="EO245">
        <f t="shared" si="708"/>
        <v>1.6199999999999999E-2</v>
      </c>
      <c r="EP245" s="460">
        <f t="shared" si="709"/>
        <v>59.949999999999996</v>
      </c>
      <c r="EQ245" s="460"/>
      <c r="ER245" s="460">
        <f t="shared" si="710"/>
        <v>723.23079587966515</v>
      </c>
      <c r="ES245" s="528">
        <f t="shared" si="711"/>
        <v>0.20299999999999999</v>
      </c>
      <c r="EV245" s="460">
        <f t="shared" si="712"/>
        <v>203</v>
      </c>
      <c r="EW245" s="528">
        <f t="shared" si="713"/>
        <v>4.1226718413076603E-3</v>
      </c>
      <c r="EX245" s="528">
        <f t="shared" si="714"/>
        <v>1.9077328158692338E-2</v>
      </c>
      <c r="EY245" s="528">
        <f t="shared" si="715"/>
        <v>0.32809536588376836</v>
      </c>
      <c r="EZ245" s="528"/>
      <c r="FA245" s="528">
        <f t="shared" si="716"/>
        <v>4.0600000000000002E-3</v>
      </c>
      <c r="FB245" s="460">
        <f t="shared" si="717"/>
        <v>355.35536588376834</v>
      </c>
      <c r="FC245" s="173">
        <f t="shared" si="718"/>
        <v>1.2815861617634334</v>
      </c>
      <c r="FD245" s="5">
        <f t="shared" si="719"/>
        <v>4.7559999999999993</v>
      </c>
      <c r="FE245" s="173">
        <f t="shared" si="720"/>
        <v>0.78773202941933451</v>
      </c>
      <c r="FF245" s="5">
        <f t="shared" si="721"/>
        <v>78.773202941933448</v>
      </c>
      <c r="FI245" s="562">
        <f t="shared" si="676"/>
        <v>-50</v>
      </c>
      <c r="FJ245">
        <f t="shared" si="677"/>
        <v>-50</v>
      </c>
      <c r="FL245">
        <f t="shared" si="678"/>
        <v>0.38078865529319544</v>
      </c>
    </row>
    <row r="246" spans="5:168">
      <c r="E246" s="170">
        <v>30</v>
      </c>
      <c r="F246" s="217">
        <f t="shared" si="679"/>
        <v>0.3</v>
      </c>
      <c r="G246" s="217"/>
      <c r="H246" s="217">
        <f t="shared" si="603"/>
        <v>4.919999999999999</v>
      </c>
      <c r="I246" s="541">
        <f t="shared" si="604"/>
        <v>35.96173401361149</v>
      </c>
      <c r="J246" s="172">
        <f t="shared" si="605"/>
        <v>16.822959591833104</v>
      </c>
      <c r="K246" s="172">
        <f t="shared" si="606"/>
        <v>52.784693605444595</v>
      </c>
      <c r="L246" s="443"/>
      <c r="M246" s="217">
        <f t="shared" si="607"/>
        <v>0.31871264282541883</v>
      </c>
      <c r="N246" s="172">
        <f t="shared" si="608"/>
        <v>38.720629961505743</v>
      </c>
      <c r="O246" s="172">
        <f t="shared" si="599"/>
        <v>4.919999999999999</v>
      </c>
      <c r="P246" s="217">
        <f t="shared" si="609"/>
        <v>2.3610140220430331</v>
      </c>
      <c r="Q246" s="217">
        <f t="shared" si="610"/>
        <v>16.399999999999999</v>
      </c>
      <c r="R246" s="217"/>
      <c r="S246" s="172">
        <f t="shared" si="611"/>
        <v>363.6526010389635</v>
      </c>
      <c r="T246" s="172">
        <f t="shared" si="612"/>
        <v>16.399999999999999</v>
      </c>
      <c r="U246" s="217">
        <f t="shared" si="613"/>
        <v>0.88068565148237277</v>
      </c>
      <c r="V246" s="217">
        <f t="shared" si="614"/>
        <v>0.29387425572383152</v>
      </c>
      <c r="W246" s="217">
        <f t="shared" si="615"/>
        <v>0.62820265126945551</v>
      </c>
      <c r="X246" s="197">
        <f t="shared" si="616"/>
        <v>350</v>
      </c>
      <c r="Y246" s="443">
        <f t="shared" si="680"/>
        <v>350</v>
      </c>
      <c r="AA246" s="217">
        <f t="shared" si="617"/>
        <v>2.7288881214106624</v>
      </c>
      <c r="AB246" s="173">
        <f t="shared" si="618"/>
        <v>1.9465455693554174</v>
      </c>
      <c r="AC246" s="173">
        <f t="shared" si="619"/>
        <v>0.92958338934974671</v>
      </c>
      <c r="AD246" s="173"/>
      <c r="AE246" s="173">
        <f t="shared" si="620"/>
        <v>0.95108116456318326</v>
      </c>
      <c r="AF246" s="545">
        <f t="shared" si="621"/>
        <v>473.14573852030594</v>
      </c>
      <c r="AG246" s="528">
        <f t="shared" si="622"/>
        <v>0.22191893839807611</v>
      </c>
      <c r="AI246" s="173">
        <f t="shared" si="623"/>
        <v>1.5502515736777833</v>
      </c>
      <c r="AJ246" s="173">
        <f t="shared" si="624"/>
        <v>1.5502515736777833</v>
      </c>
      <c r="AK246" s="173">
        <f t="shared" si="625"/>
        <v>1.3606801780329258</v>
      </c>
      <c r="AM246" s="545">
        <f t="shared" si="626"/>
        <v>300</v>
      </c>
      <c r="AN246" s="460">
        <f t="shared" si="627"/>
        <v>350</v>
      </c>
      <c r="AP246">
        <f t="shared" si="628"/>
        <v>300</v>
      </c>
      <c r="AQ246">
        <f t="shared" si="629"/>
        <v>350</v>
      </c>
      <c r="AS246" s="5">
        <f t="shared" si="600"/>
        <v>2.8571428571428572</v>
      </c>
      <c r="AT246" s="5">
        <f t="shared" si="630"/>
        <v>0.51730038593501004</v>
      </c>
      <c r="AU246" s="5">
        <f t="shared" si="722"/>
        <v>2.3398424712078469</v>
      </c>
      <c r="AV246" s="5"/>
      <c r="AW246" s="173">
        <f t="shared" si="723"/>
        <v>0.18105513507725352</v>
      </c>
      <c r="AX246" s="173">
        <f t="shared" si="631"/>
        <v>5.0468878775499331</v>
      </c>
      <c r="AY246" s="173">
        <f t="shared" si="632"/>
        <v>0.63478528280091362</v>
      </c>
      <c r="AZ246" s="173">
        <f t="shared" si="633"/>
        <v>7.950543300690823</v>
      </c>
      <c r="BA246" s="460">
        <f t="shared" si="724"/>
        <v>0.94628119378355513</v>
      </c>
      <c r="BB246" s="5">
        <f t="shared" si="725"/>
        <v>0.26676561614968541</v>
      </c>
      <c r="BD246" s="173">
        <f t="shared" si="681"/>
        <v>0.38084387635496048</v>
      </c>
      <c r="BE246" s="173">
        <f t="shared" si="682"/>
        <v>0.80996991039157884</v>
      </c>
      <c r="BG246" s="528">
        <f t="shared" si="683"/>
        <v>2.9008411631414482E-3</v>
      </c>
      <c r="BH246" s="528">
        <f t="shared" si="634"/>
        <v>0.53700645027710692</v>
      </c>
      <c r="BI246" s="528">
        <f t="shared" si="635"/>
        <v>0.31466517261910054</v>
      </c>
      <c r="BJ246" s="528">
        <f t="shared" si="684"/>
        <v>9.7517835765723218E-2</v>
      </c>
      <c r="BK246">
        <f t="shared" si="685"/>
        <v>1.6182780306125171E-2</v>
      </c>
      <c r="BL246" s="460">
        <f t="shared" si="686"/>
        <v>330.84795292522574</v>
      </c>
      <c r="BM246" s="528">
        <f t="shared" si="636"/>
        <v>0.63864853634803298</v>
      </c>
      <c r="BN246" s="460">
        <f t="shared" si="687"/>
        <v>638.64853634803296</v>
      </c>
      <c r="BO246" s="528">
        <f t="shared" si="637"/>
        <v>0.21</v>
      </c>
      <c r="BR246" s="460">
        <f t="shared" si="688"/>
        <v>210</v>
      </c>
      <c r="BS246" s="528">
        <f t="shared" si="689"/>
        <v>4.3512617447121725E-3</v>
      </c>
      <c r="BT246" s="528">
        <f t="shared" si="690"/>
        <v>1.9681537672192266E-2</v>
      </c>
      <c r="BU246" s="528">
        <f t="shared" si="691"/>
        <v>0.34288269516611231</v>
      </c>
      <c r="BV246" s="528"/>
      <c r="BW246" s="528">
        <f t="shared" si="692"/>
        <v>4.2057398979582772E-3</v>
      </c>
      <c r="BX246" s="460">
        <f t="shared" si="693"/>
        <v>371.12123448097498</v>
      </c>
      <c r="BY246" s="173">
        <f t="shared" si="694"/>
        <v>1.5493943146121723</v>
      </c>
      <c r="BZ246" s="5">
        <f t="shared" si="695"/>
        <v>4.919999999999999</v>
      </c>
      <c r="CA246" s="173">
        <f t="shared" si="696"/>
        <v>0.76050396076297044</v>
      </c>
      <c r="CB246" s="5">
        <f t="shared" si="697"/>
        <v>76.050396076297048</v>
      </c>
      <c r="CE246" s="562">
        <f t="shared" si="638"/>
        <v>-50</v>
      </c>
      <c r="CF246">
        <f t="shared" si="639"/>
        <v>-50</v>
      </c>
      <c r="CG246" s="173">
        <f t="shared" si="640"/>
        <v>0.39199303129694263</v>
      </c>
      <c r="CI246" s="170">
        <v>30</v>
      </c>
      <c r="CJ246" s="217">
        <f t="shared" si="698"/>
        <v>0.3</v>
      </c>
      <c r="CK246" s="217"/>
      <c r="CL246" s="217">
        <f t="shared" si="641"/>
        <v>4.919999999999999</v>
      </c>
      <c r="CM246" s="541">
        <f t="shared" si="642"/>
        <v>36</v>
      </c>
      <c r="CN246" s="443">
        <f t="shared" si="643"/>
        <v>16.799999999999997</v>
      </c>
      <c r="CO246" s="443">
        <f t="shared" si="644"/>
        <v>52.8</v>
      </c>
      <c r="CP246" s="443"/>
      <c r="CQ246" s="217">
        <f t="shared" si="645"/>
        <v>0.31818181818181812</v>
      </c>
      <c r="CR246" s="172">
        <f t="shared" si="646"/>
        <v>38.697272727272725</v>
      </c>
      <c r="CS246" s="172">
        <f t="shared" si="647"/>
        <v>4.919999999999999</v>
      </c>
      <c r="CT246" s="217">
        <f t="shared" si="648"/>
        <v>2.3595898004434592</v>
      </c>
      <c r="CU246" s="217">
        <f t="shared" si="649"/>
        <v>16.399999999999999</v>
      </c>
      <c r="CV246" s="217"/>
      <c r="CW246" s="172">
        <f t="shared" si="650"/>
        <v>364.03951272981396</v>
      </c>
      <c r="CX246" s="172">
        <f t="shared" si="651"/>
        <v>16.399999999999999</v>
      </c>
      <c r="CY246" s="217">
        <f t="shared" si="652"/>
        <v>0.85904761904761895</v>
      </c>
      <c r="CZ246" s="217">
        <f t="shared" si="653"/>
        <v>0.2863492063492063</v>
      </c>
      <c r="DA246" s="217">
        <f t="shared" si="654"/>
        <v>0.61360544217687085</v>
      </c>
      <c r="DB246" s="197">
        <f t="shared" si="655"/>
        <v>350</v>
      </c>
      <c r="DC246" s="443">
        <f t="shared" si="656"/>
        <v>350</v>
      </c>
      <c r="DE246" s="217">
        <f t="shared" si="657"/>
        <v>2.7272727272727271</v>
      </c>
      <c r="DF246" s="173">
        <f t="shared" si="658"/>
        <v>1.9480519480519483</v>
      </c>
      <c r="DG246" s="173">
        <f t="shared" si="659"/>
        <v>0.92975206611570249</v>
      </c>
      <c r="DH246" s="173"/>
      <c r="DI246" s="173">
        <f t="shared" si="660"/>
        <v>0.95238095238095266</v>
      </c>
      <c r="DJ246" s="545">
        <f t="shared" si="661"/>
        <v>472.49999999999977</v>
      </c>
      <c r="DK246" s="528">
        <f t="shared" si="662"/>
        <v>0.22222222222222232</v>
      </c>
      <c r="DM246" s="173">
        <f t="shared" si="663"/>
        <v>1.5491933384829666</v>
      </c>
      <c r="DN246" s="173">
        <f t="shared" si="664"/>
        <v>1.5491933384829666</v>
      </c>
      <c r="DO246" s="173">
        <f t="shared" si="665"/>
        <v>1.3598963001108393</v>
      </c>
      <c r="DQ246" s="545">
        <f t="shared" si="666"/>
        <v>300</v>
      </c>
      <c r="DR246" s="460">
        <f t="shared" si="667"/>
        <v>350</v>
      </c>
      <c r="DT246">
        <f t="shared" si="668"/>
        <v>300</v>
      </c>
      <c r="DU246">
        <f t="shared" si="669"/>
        <v>350</v>
      </c>
      <c r="DW246" s="5">
        <f t="shared" si="670"/>
        <v>2.8571428571428572</v>
      </c>
      <c r="DX246" s="5">
        <f t="shared" si="671"/>
        <v>0.5163977794943222</v>
      </c>
      <c r="DY246" s="5">
        <f t="shared" si="672"/>
        <v>2.3407450776485348</v>
      </c>
      <c r="DZ246" s="5"/>
      <c r="EA246" s="173">
        <f t="shared" si="673"/>
        <v>0.18073922282301277</v>
      </c>
      <c r="EB246" s="173">
        <f t="shared" si="699"/>
        <v>5.0399999999999991</v>
      </c>
      <c r="EC246" s="173">
        <f t="shared" si="700"/>
        <v>0.63459666924148328</v>
      </c>
      <c r="ED246" s="173">
        <f t="shared" si="701"/>
        <v>7.9420524000294215</v>
      </c>
      <c r="EE246" s="460">
        <f t="shared" si="674"/>
        <v>0.94463008444083341</v>
      </c>
      <c r="EF246" s="5">
        <f t="shared" si="675"/>
        <v>0.26658485606552745</v>
      </c>
      <c r="EH246" s="173">
        <f t="shared" si="702"/>
        <v>0.38025173011889135</v>
      </c>
      <c r="EI246" s="173">
        <f t="shared" si="703"/>
        <v>0.80957311080691752</v>
      </c>
      <c r="EK246" s="528">
        <f t="shared" si="704"/>
        <v>2.8918275651682035E-3</v>
      </c>
      <c r="EL246" s="528">
        <f t="shared" si="705"/>
        <v>0.57258185790330451</v>
      </c>
      <c r="EM246" s="528">
        <f t="shared" si="706"/>
        <v>4.3749999999999997E-2</v>
      </c>
      <c r="EN246" s="528">
        <f t="shared" si="707"/>
        <v>9.7574399999999992E-2</v>
      </c>
      <c r="EO246">
        <f t="shared" si="708"/>
        <v>1.6199999999999999E-2</v>
      </c>
      <c r="EP246" s="460">
        <f t="shared" si="709"/>
        <v>59.949999999999996</v>
      </c>
      <c r="EQ246" s="460"/>
      <c r="ER246" s="460">
        <f t="shared" si="710"/>
        <v>732.99808546847271</v>
      </c>
      <c r="ES246" s="528">
        <f t="shared" si="711"/>
        <v>0.21</v>
      </c>
      <c r="EV246" s="460">
        <f t="shared" si="712"/>
        <v>210</v>
      </c>
      <c r="EW246" s="528">
        <f t="shared" si="713"/>
        <v>4.3377413477523052E-3</v>
      </c>
      <c r="EX246" s="528">
        <f t="shared" si="714"/>
        <v>1.9662258652247685E-2</v>
      </c>
      <c r="EY246" s="528">
        <f t="shared" si="715"/>
        <v>0.34229784688115417</v>
      </c>
      <c r="EZ246" s="528"/>
      <c r="FA246" s="528">
        <f t="shared" si="716"/>
        <v>4.1999999999999997E-3</v>
      </c>
      <c r="FB246" s="460">
        <f t="shared" si="717"/>
        <v>370.49784688115409</v>
      </c>
      <c r="FC246" s="173">
        <f t="shared" si="718"/>
        <v>1.3134959323496269</v>
      </c>
      <c r="FD246" s="5">
        <f t="shared" si="719"/>
        <v>4.919999999999999</v>
      </c>
      <c r="FE246" s="173">
        <f t="shared" si="720"/>
        <v>0.78928422403661957</v>
      </c>
      <c r="FF246" s="5">
        <f t="shared" si="721"/>
        <v>78.928422403661955</v>
      </c>
      <c r="FI246" s="562">
        <f t="shared" si="676"/>
        <v>-50</v>
      </c>
      <c r="FJ246">
        <f t="shared" si="677"/>
        <v>-50</v>
      </c>
      <c r="FL246">
        <f t="shared" si="678"/>
        <v>0.3872983346207417</v>
      </c>
    </row>
    <row r="247" spans="5:168">
      <c r="E247" s="170">
        <v>31</v>
      </c>
      <c r="F247" s="217">
        <f t="shared" si="679"/>
        <v>0.31</v>
      </c>
      <c r="G247" s="217"/>
      <c r="H247" s="217">
        <f t="shared" si="603"/>
        <v>5.0839999999999996</v>
      </c>
      <c r="I247" s="541">
        <f t="shared" si="604"/>
        <v>35.96110147511672</v>
      </c>
      <c r="J247" s="172">
        <f t="shared" si="605"/>
        <v>16.823339114929965</v>
      </c>
      <c r="K247" s="172">
        <f t="shared" si="606"/>
        <v>52.784440590046685</v>
      </c>
      <c r="L247" s="443"/>
      <c r="M247" s="217">
        <f t="shared" si="607"/>
        <v>0.31872141992036801</v>
      </c>
      <c r="N247" s="172">
        <f t="shared" si="608"/>
        <v>38.721015213081039</v>
      </c>
      <c r="O247" s="172">
        <f t="shared" si="599"/>
        <v>5.0839999999999996</v>
      </c>
      <c r="P247" s="217">
        <f t="shared" si="609"/>
        <v>2.3610375129927466</v>
      </c>
      <c r="Q247" s="217">
        <f t="shared" si="610"/>
        <v>16.399999999999999</v>
      </c>
      <c r="R247" s="217"/>
      <c r="S247" s="172">
        <f t="shared" si="611"/>
        <v>350.75837183972823</v>
      </c>
      <c r="T247" s="172">
        <f t="shared" si="612"/>
        <v>16.399999999999999</v>
      </c>
      <c r="U247" s="217">
        <f t="shared" si="613"/>
        <v>0.91005356417859307</v>
      </c>
      <c r="V247" s="217">
        <f t="shared" si="614"/>
        <v>0.30367931799029163</v>
      </c>
      <c r="W247" s="217">
        <f t="shared" si="615"/>
        <v>0.64913645831769096</v>
      </c>
      <c r="X247" s="197">
        <f t="shared" si="616"/>
        <v>350</v>
      </c>
      <c r="Y247" s="443">
        <f t="shared" si="680"/>
        <v>350</v>
      </c>
      <c r="AA247" s="217">
        <f t="shared" si="617"/>
        <v>2.7289147652292933</v>
      </c>
      <c r="AB247" s="173">
        <f t="shared" si="618"/>
        <v>1.9465206615070867</v>
      </c>
      <c r="AC247" s="173">
        <f t="shared" si="619"/>
        <v>0.92958057045185161</v>
      </c>
      <c r="AD247" s="173"/>
      <c r="AE247" s="173">
        <f t="shared" si="620"/>
        <v>0.95105970881848978</v>
      </c>
      <c r="AF247" s="545">
        <f t="shared" si="621"/>
        <v>488.92829302765199</v>
      </c>
      <c r="AG247" s="528">
        <f t="shared" si="622"/>
        <v>0.22191393205764762</v>
      </c>
      <c r="AI247" s="173">
        <f t="shared" si="623"/>
        <v>1.5758950783342884</v>
      </c>
      <c r="AJ247" s="173">
        <f t="shared" si="624"/>
        <v>1.5758950783342884</v>
      </c>
      <c r="AK247" s="173">
        <f t="shared" si="625"/>
        <v>1.379675366667374</v>
      </c>
      <c r="AM247" s="545">
        <f t="shared" si="626"/>
        <v>310</v>
      </c>
      <c r="AN247" s="460">
        <f t="shared" si="627"/>
        <v>350</v>
      </c>
      <c r="AP247">
        <f t="shared" si="628"/>
        <v>310</v>
      </c>
      <c r="AQ247">
        <f t="shared" si="629"/>
        <v>350</v>
      </c>
      <c r="AS247" s="5">
        <f t="shared" si="600"/>
        <v>2.8571428571428572</v>
      </c>
      <c r="AT247" s="5">
        <f t="shared" si="630"/>
        <v>0.52586656593643955</v>
      </c>
      <c r="AU247" s="5">
        <f t="shared" si="722"/>
        <v>2.3312762912064176</v>
      </c>
      <c r="AV247" s="5"/>
      <c r="AW247" s="173">
        <f t="shared" si="723"/>
        <v>0.18405329807775384</v>
      </c>
      <c r="AX247" s="173">
        <f t="shared" si="631"/>
        <v>5.2152351256282889</v>
      </c>
      <c r="AY247" s="173">
        <f t="shared" si="632"/>
        <v>0.64292319587118119</v>
      </c>
      <c r="AZ247" s="173">
        <f t="shared" si="633"/>
        <v>8.1117544974582554</v>
      </c>
      <c r="BA247" s="460">
        <f t="shared" si="724"/>
        <v>0.99401606975790424</v>
      </c>
      <c r="BB247" s="5">
        <f t="shared" si="725"/>
        <v>0.27465344910468881</v>
      </c>
      <c r="BD247" s="173">
        <f t="shared" si="681"/>
        <v>0.39033588001341474</v>
      </c>
      <c r="BE247" s="173">
        <f t="shared" si="682"/>
        <v>0.82185947708852924</v>
      </c>
      <c r="BG247" s="528">
        <f t="shared" si="683"/>
        <v>3.047241984516938E-3</v>
      </c>
      <c r="BH247" s="528">
        <f t="shared" si="634"/>
        <v>0.54588673215879613</v>
      </c>
      <c r="BI247" s="528">
        <f t="shared" si="635"/>
        <v>0.31465963790727131</v>
      </c>
      <c r="BJ247" s="528">
        <f t="shared" si="684"/>
        <v>9.75169008941459E-2</v>
      </c>
      <c r="BK247">
        <f t="shared" si="685"/>
        <v>1.6182495663802525E-2</v>
      </c>
      <c r="BL247" s="460">
        <f t="shared" si="686"/>
        <v>330.84213357107382</v>
      </c>
      <c r="BM247" s="528">
        <f t="shared" si="636"/>
        <v>0.64774261202072303</v>
      </c>
      <c r="BN247" s="460">
        <f t="shared" si="687"/>
        <v>647.74261202072307</v>
      </c>
      <c r="BO247" s="528">
        <f t="shared" si="637"/>
        <v>0.217</v>
      </c>
      <c r="BR247" s="460">
        <f t="shared" si="688"/>
        <v>217</v>
      </c>
      <c r="BS247" s="528">
        <f t="shared" si="689"/>
        <v>4.5708629767754064E-3</v>
      </c>
      <c r="BT247" s="528">
        <f t="shared" si="690"/>
        <v>2.026359000240692E-2</v>
      </c>
      <c r="BU247" s="528">
        <f t="shared" si="691"/>
        <v>0.35723858720901569</v>
      </c>
      <c r="BV247" s="528"/>
      <c r="BW247" s="528">
        <f t="shared" si="692"/>
        <v>4.3460292713569078E-3</v>
      </c>
      <c r="BX247" s="460">
        <f t="shared" si="693"/>
        <v>386.41906945955492</v>
      </c>
      <c r="BY247" s="173">
        <f t="shared" si="694"/>
        <v>1.5807120780680872</v>
      </c>
      <c r="BZ247" s="5">
        <f t="shared" si="695"/>
        <v>5.0839999999999996</v>
      </c>
      <c r="CA247" s="173">
        <f t="shared" si="696"/>
        <v>0.7628236509616344</v>
      </c>
      <c r="CB247" s="5">
        <f t="shared" si="697"/>
        <v>76.282365096163446</v>
      </c>
      <c r="CE247" s="562">
        <f t="shared" si="638"/>
        <v>-50</v>
      </c>
      <c r="CF247">
        <f t="shared" si="639"/>
        <v>-50</v>
      </c>
      <c r="CG247" s="173">
        <f t="shared" si="640"/>
        <v>0.39847269392629409</v>
      </c>
      <c r="CI247" s="170">
        <v>31</v>
      </c>
      <c r="CJ247" s="217">
        <f t="shared" si="698"/>
        <v>0.31</v>
      </c>
      <c r="CK247" s="217"/>
      <c r="CL247" s="217">
        <f t="shared" si="641"/>
        <v>5.0839999999999996</v>
      </c>
      <c r="CM247" s="541">
        <f t="shared" si="642"/>
        <v>36</v>
      </c>
      <c r="CN247" s="443">
        <f t="shared" si="643"/>
        <v>16.799999999999997</v>
      </c>
      <c r="CO247" s="443">
        <f t="shared" si="644"/>
        <v>52.8</v>
      </c>
      <c r="CP247" s="443"/>
      <c r="CQ247" s="217">
        <f t="shared" si="645"/>
        <v>0.31818181818181812</v>
      </c>
      <c r="CR247" s="172">
        <f t="shared" si="646"/>
        <v>38.697272727272725</v>
      </c>
      <c r="CS247" s="172">
        <f t="shared" si="647"/>
        <v>5.0839999999999996</v>
      </c>
      <c r="CT247" s="217">
        <f t="shared" si="648"/>
        <v>2.3595898004434592</v>
      </c>
      <c r="CU247" s="217">
        <f t="shared" si="649"/>
        <v>16.399999999999999</v>
      </c>
      <c r="CV247" s="217"/>
      <c r="CW247" s="172">
        <f t="shared" si="650"/>
        <v>351.13773707884104</v>
      </c>
      <c r="CX247" s="172">
        <f t="shared" si="651"/>
        <v>16.399999999999999</v>
      </c>
      <c r="CY247" s="217">
        <f t="shared" si="652"/>
        <v>0.88768253968253974</v>
      </c>
      <c r="CZ247" s="217">
        <f t="shared" si="653"/>
        <v>0.29589417989417993</v>
      </c>
      <c r="DA247" s="217">
        <f t="shared" si="654"/>
        <v>0.63405895691609993</v>
      </c>
      <c r="DB247" s="197">
        <f t="shared" si="655"/>
        <v>350</v>
      </c>
      <c r="DC247" s="443">
        <f t="shared" si="656"/>
        <v>350</v>
      </c>
      <c r="DE247" s="217">
        <f t="shared" si="657"/>
        <v>2.7272727272727271</v>
      </c>
      <c r="DF247" s="173">
        <f t="shared" si="658"/>
        <v>1.9480519480519483</v>
      </c>
      <c r="DG247" s="173">
        <f t="shared" si="659"/>
        <v>0.92975206611570249</v>
      </c>
      <c r="DH247" s="173"/>
      <c r="DI247" s="173">
        <f t="shared" si="660"/>
        <v>0.95238095238095266</v>
      </c>
      <c r="DJ247" s="545">
        <f t="shared" si="661"/>
        <v>488.24999999999983</v>
      </c>
      <c r="DK247" s="528">
        <f t="shared" si="662"/>
        <v>0.22222222222222232</v>
      </c>
      <c r="DM247" s="173">
        <f t="shared" si="663"/>
        <v>1.574801574802362</v>
      </c>
      <c r="DN247" s="173">
        <f t="shared" si="664"/>
        <v>1.574801574802362</v>
      </c>
      <c r="DO247" s="173">
        <f t="shared" si="665"/>
        <v>1.3788653640511321</v>
      </c>
      <c r="DQ247" s="545">
        <f t="shared" si="666"/>
        <v>310</v>
      </c>
      <c r="DR247" s="460">
        <f t="shared" si="667"/>
        <v>350</v>
      </c>
      <c r="DT247">
        <f t="shared" si="668"/>
        <v>310</v>
      </c>
      <c r="DU247">
        <f t="shared" si="669"/>
        <v>350</v>
      </c>
      <c r="DW247" s="5">
        <f t="shared" si="670"/>
        <v>2.8571428571428572</v>
      </c>
      <c r="DX247" s="5">
        <f t="shared" si="671"/>
        <v>0.52493385826745409</v>
      </c>
      <c r="DY247" s="5">
        <f t="shared" si="672"/>
        <v>2.3322089988754033</v>
      </c>
      <c r="DZ247" s="5"/>
      <c r="EA247" s="173">
        <f t="shared" si="673"/>
        <v>0.18372685039360892</v>
      </c>
      <c r="EB247" s="173">
        <f t="shared" si="699"/>
        <v>5.2079999999999993</v>
      </c>
      <c r="EC247" s="173">
        <f t="shared" si="700"/>
        <v>0.64273412073451441</v>
      </c>
      <c r="ED247" s="173">
        <f t="shared" si="701"/>
        <v>8.1028839639761365</v>
      </c>
      <c r="EE247" s="460">
        <f t="shared" si="674"/>
        <v>0.99225302477384614</v>
      </c>
      <c r="EF247" s="5">
        <f t="shared" si="675"/>
        <v>0.27446644792320718</v>
      </c>
      <c r="EH247" s="173">
        <f t="shared" si="702"/>
        <v>0.3897189538527091</v>
      </c>
      <c r="EI247" s="173">
        <f t="shared" si="703"/>
        <v>0.82145347018234482</v>
      </c>
      <c r="EK247" s="528">
        <f t="shared" si="704"/>
        <v>3.0376172598410001E-3</v>
      </c>
      <c r="EL247" s="528">
        <f t="shared" si="705"/>
        <v>0.58204666204695299</v>
      </c>
      <c r="EM247" s="528">
        <f t="shared" si="706"/>
        <v>4.3749999999999997E-2</v>
      </c>
      <c r="EN247" s="528">
        <f t="shared" si="707"/>
        <v>9.7574399999999992E-2</v>
      </c>
      <c r="EO247">
        <f t="shared" si="708"/>
        <v>1.6199999999999999E-2</v>
      </c>
      <c r="EP247" s="460">
        <f t="shared" si="709"/>
        <v>59.949999999999996</v>
      </c>
      <c r="EQ247" s="460"/>
      <c r="ER247" s="460">
        <f t="shared" si="710"/>
        <v>742.60867930679387</v>
      </c>
      <c r="ES247" s="528">
        <f t="shared" si="711"/>
        <v>0.217</v>
      </c>
      <c r="EV247" s="460">
        <f t="shared" si="712"/>
        <v>217</v>
      </c>
      <c r="EW247" s="528">
        <f t="shared" si="713"/>
        <v>4.5564258897615E-3</v>
      </c>
      <c r="EX247" s="528">
        <f t="shared" si="714"/>
        <v>2.0243574110238496E-2</v>
      </c>
      <c r="EY247" s="528">
        <f t="shared" si="715"/>
        <v>0.35661919574710771</v>
      </c>
      <c r="EZ247" s="528"/>
      <c r="FA247" s="528">
        <f t="shared" si="716"/>
        <v>4.3399999999999992E-3</v>
      </c>
      <c r="FB247" s="460">
        <f t="shared" si="717"/>
        <v>385.7591957471077</v>
      </c>
      <c r="FC247" s="173">
        <f t="shared" si="718"/>
        <v>1.3453678750539015</v>
      </c>
      <c r="FD247" s="5">
        <f t="shared" si="719"/>
        <v>5.0839999999999996</v>
      </c>
      <c r="FE247" s="173">
        <f t="shared" si="720"/>
        <v>0.79074647753880112</v>
      </c>
      <c r="FF247" s="5">
        <f t="shared" si="721"/>
        <v>79.074647753880114</v>
      </c>
      <c r="FI247" s="562">
        <f t="shared" si="676"/>
        <v>-50</v>
      </c>
      <c r="FJ247">
        <f t="shared" si="677"/>
        <v>-50</v>
      </c>
      <c r="FL247">
        <f t="shared" si="678"/>
        <v>0.39370039370059057</v>
      </c>
    </row>
    <row r="248" spans="5:168">
      <c r="E248" s="170">
        <v>32</v>
      </c>
      <c r="F248" s="217">
        <f t="shared" si="679"/>
        <v>0.32</v>
      </c>
      <c r="G248" s="217"/>
      <c r="H248" s="217">
        <f t="shared" ref="H248:H279" si="726">F248*Vout</f>
        <v>5.2479999999999993</v>
      </c>
      <c r="I248" s="541">
        <f t="shared" ref="I248:I279" si="727">VIN_max-F248*(Rdcr_pri+RON/1000)/CG248/Nps</f>
        <v>35.960479059197624</v>
      </c>
      <c r="J248" s="172">
        <f t="shared" ref="J248:J279" si="728">(T248+Vfwd1+F248/CG248*Rdcr_sec)*Nps</f>
        <v>16.823712564481422</v>
      </c>
      <c r="K248" s="172">
        <f t="shared" ref="K248:K279" si="729">(Vout+Vfwd1+F248/CG248*Rdcr_sec)*Nps+I248</f>
        <v>52.78419162367905</v>
      </c>
      <c r="L248" s="443"/>
      <c r="M248" s="217">
        <f t="shared" ref="M248:M279" si="730">(Vout+Vfwd1+F248/FL248*Rdcr_sec)*Nps/((Vout+Vfwd1+F248/FL248*Rdcr_sec)*Nps+I248)</f>
        <v>0.31873005663524567</v>
      </c>
      <c r="N248" s="172">
        <f t="shared" ref="N248:N279" si="731">M248*I248*(Isw_max+VIN_max/Lmag*ILIM_delay)*0.5*Efficiency</f>
        <v>38.721394272618006</v>
      </c>
      <c r="O248" s="172">
        <f t="shared" si="599"/>
        <v>5.2479999999999993</v>
      </c>
      <c r="P248" s="217">
        <f t="shared" ref="P248:P279" si="732">N248/Vout</f>
        <v>2.3610606263791469</v>
      </c>
      <c r="Q248" s="217">
        <f t="shared" ref="Q248:Q279" si="733">MIN(Vout,N248/F248)</f>
        <v>16.399999999999999</v>
      </c>
      <c r="R248" s="217"/>
      <c r="S248" s="172">
        <f t="shared" ref="S248:S279" si="734">(SQRT(Isw_max^2*Nps^2*I248^2+4*Isw_max*F248/Efficiency*(Nps^2*Vfwd1*I248-Nps*I248^2)+4*(F248/Efficiency)^2*Nps^2*Vfwd1^2+8*(F248/Efficiency)^2*Nps*Vfwd1*I248+4*(F248/Efficiency)^2*I248^2)-2*F248/Efficiency*I248-2*F248/Efficiency*Nps*Vfwd1+Isw_max*Nps*I248)/(4*F248/Efficiency*Nps)</f>
        <v>338.67026692463764</v>
      </c>
      <c r="T248" s="172">
        <f t="shared" ref="T248:T279" si="735">MIN(Vout, S248)</f>
        <v>16.399999999999999</v>
      </c>
      <c r="U248" s="217">
        <f t="shared" ref="U248:U279" si="736">MIN(2*(Vout+Vfwd1+F248/FL248*Rdcr_sec)*F248/(I248*M248), Isw_max)</f>
        <v>0.93942204001995988</v>
      </c>
      <c r="V248" s="217">
        <f t="shared" ref="V248:V279" si="737">L*U248/I248*1000000</f>
        <v>0.31348482487349411</v>
      </c>
      <c r="W248" s="217">
        <f t="shared" ref="W248:W279" si="738">L*U248/J248*1000000</f>
        <v>0.67006996446429146</v>
      </c>
      <c r="X248" s="197">
        <f t="shared" ref="X248:X279" si="739">IF(1/((350000*L)*(1/I248+1/J248))&gt;Isw_min, 350, 0.001/((Isw_min*L)*(1/I248+1/J248)))</f>
        <v>350</v>
      </c>
      <c r="Y248" s="443">
        <f t="shared" si="680"/>
        <v>350</v>
      </c>
      <c r="AA248" s="217">
        <f t="shared" ref="AA248:AA279" si="740">1/((X248*1000*L)*(1/I248+1/J248))</f>
        <v>2.7289409807995995</v>
      </c>
      <c r="AB248" s="173">
        <f t="shared" ref="AB248:AB279" si="741">L*AA248/J248*1000000</f>
        <v>1.9464961520284159</v>
      </c>
      <c r="AC248" s="173">
        <f t="shared" ref="AC248:AC279" si="742">0.5*AB248*AA248*Nps*X248/1000</f>
        <v>0.92957779569183741</v>
      </c>
      <c r="AD248" s="173"/>
      <c r="AE248" s="173">
        <f t="shared" ref="AE248:AE279" si="743">L*Isw_min/J248*1000000</f>
        <v>0.95103859737710572</v>
      </c>
      <c r="AF248" s="545">
        <f t="shared" ref="AF248:AF279" si="744">MAX(12000,F248/(0.5*AE248/1000000*Isw_min*Nps))/1000</f>
        <v>504.71137693444251</v>
      </c>
      <c r="AG248" s="528">
        <f t="shared" ref="AG248:AG279" si="745">0.5*AE248/1000000*Isw_min*Nps*X248*1000</f>
        <v>0.22190900605465805</v>
      </c>
      <c r="AI248" s="173">
        <f t="shared" ref="AI248:AI279" si="746">SQRT(F248/(0.5*L/J248*Fsw_DCM*Nps))</f>
        <v>1.6011287715730655</v>
      </c>
      <c r="AJ248" s="173">
        <f t="shared" ref="AJ248:AJ279" si="747">MAX(IF(F248&gt;AC248,U248,AI248),Isw_min)</f>
        <v>1.6011287715730655</v>
      </c>
      <c r="AK248" s="173">
        <f t="shared" ref="AK248:AK279" si="748">IF(F248&gt;AG248, (AJ248-Isw_min)/1.08*0.8+1.2, AF248*0.2/350+1)</f>
        <v>1.3983669912886905</v>
      </c>
      <c r="AM248" s="545">
        <f t="shared" ref="AM248:AM279" si="749">F248*1000</f>
        <v>320</v>
      </c>
      <c r="AN248" s="460">
        <f t="shared" ref="AN248:AN279" si="750">IF(F248&gt;AG248, Y248, AF248)</f>
        <v>350</v>
      </c>
      <c r="AP248">
        <f t="shared" ref="AP248:AP279" si="751">IF(H248&gt;N248, "",AM248)</f>
        <v>320</v>
      </c>
      <c r="AQ248">
        <f t="shared" ref="AQ248:AQ279" si="752">IF(H248&gt;N248, "",AN248)</f>
        <v>350</v>
      </c>
      <c r="AS248" s="5">
        <f t="shared" si="600"/>
        <v>2.8571428571428572</v>
      </c>
      <c r="AT248" s="5">
        <f t="shared" ref="AT248:AT279" si="753">L*AJ248/I248*1000000</f>
        <v>0.53429614291977945</v>
      </c>
      <c r="AU248" s="5">
        <f t="shared" si="722"/>
        <v>2.3228467142230778</v>
      </c>
      <c r="AV248" s="5"/>
      <c r="AW248" s="173">
        <f t="shared" si="723"/>
        <v>0.18700365002192279</v>
      </c>
      <c r="AX248" s="173">
        <f t="shared" si="631"/>
        <v>5.3835880206340549</v>
      </c>
      <c r="AY248" s="173">
        <f t="shared" si="632"/>
        <v>0.65085592356689248</v>
      </c>
      <c r="AZ248" s="173">
        <f t="shared" si="633"/>
        <v>8.2715510848089409</v>
      </c>
      <c r="BA248" s="460">
        <f t="shared" si="724"/>
        <v>1.0425290593556675</v>
      </c>
      <c r="BB248" s="5">
        <f t="shared" si="725"/>
        <v>0.28249298199872919</v>
      </c>
      <c r="BD248" s="173">
        <f t="shared" si="681"/>
        <v>0.39975202831073953</v>
      </c>
      <c r="BE248" s="173">
        <f t="shared" si="682"/>
        <v>0.83350830644599727</v>
      </c>
      <c r="BG248" s="528">
        <f t="shared" si="683"/>
        <v>3.1960336827710064E-3</v>
      </c>
      <c r="BH248" s="528">
        <f t="shared" ref="BH248:BH279" si="754">0.5*K248*AJ248*AN248*1000*Tfall</f>
        <v>0.55462501429714661</v>
      </c>
      <c r="BI248" s="528">
        <f t="shared" ref="BI248:BI279" si="755">Qg*Vdd*AN248*1000*0+Qg*I248*AN248*1000</f>
        <v>0.31465419176797921</v>
      </c>
      <c r="BJ248" s="528">
        <f t="shared" si="684"/>
        <v>9.7515980987784426E-2</v>
      </c>
      <c r="BK248">
        <f t="shared" si="685"/>
        <v>1.6182215576638931E-2</v>
      </c>
      <c r="BL248" s="460">
        <f t="shared" si="686"/>
        <v>330.83640734461818</v>
      </c>
      <c r="BM248" s="528">
        <f t="shared" ref="BM248:BM279" si="756">(BH248+BI248*0+BJ248+BK248*0+BG248*(1+RdsonTC*(Ta-25)))/(1-BG248*RdsonTC*ThetaJA)</f>
        <v>0.65669864030143299</v>
      </c>
      <c r="BN248" s="460">
        <f t="shared" si="687"/>
        <v>656.69864030143299</v>
      </c>
      <c r="BO248" s="528">
        <f t="shared" si="637"/>
        <v>0.22399999999999998</v>
      </c>
      <c r="BR248" s="460">
        <f t="shared" si="688"/>
        <v>223.99999999999997</v>
      </c>
      <c r="BS248" s="528">
        <f t="shared" si="689"/>
        <v>4.7940505241565092E-3</v>
      </c>
      <c r="BT248" s="528">
        <f t="shared" si="690"/>
        <v>2.0842082907434233E-2</v>
      </c>
      <c r="BU248" s="528">
        <f t="shared" si="691"/>
        <v>0.37171130476858177</v>
      </c>
      <c r="BV248" s="528"/>
      <c r="BW248" s="528">
        <f t="shared" si="692"/>
        <v>4.4863233505283793E-3</v>
      </c>
      <c r="BX248" s="460">
        <f t="shared" si="693"/>
        <v>401.8337615507009</v>
      </c>
      <c r="BY248" s="173">
        <f t="shared" si="694"/>
        <v>1.6120071978630213</v>
      </c>
      <c r="BZ248" s="5">
        <f t="shared" si="695"/>
        <v>5.2479999999999993</v>
      </c>
      <c r="CA248" s="173">
        <f t="shared" si="696"/>
        <v>0.76501377456787767</v>
      </c>
      <c r="CB248" s="5">
        <f t="shared" si="697"/>
        <v>76.501377456787765</v>
      </c>
      <c r="CE248" s="562">
        <f t="shared" ref="CE248:CE279" si="757">IF(ABS(F248-Ioutmax_Vinmax)&lt;Iout/200, AN248, -50)</f>
        <v>-50</v>
      </c>
      <c r="CF248">
        <f t="shared" ref="CF248:CF279" si="758">IF(ABS(F248-Ioutmax_Vinmin)&lt;Iout/200, N248*CA248, -50)</f>
        <v>-50</v>
      </c>
      <c r="CG248" s="173">
        <f t="shared" ref="CG248:CG279" si="759">MIN(SQRT(2*DU248*1000*Ls1_*CL248)/CU248,1-EA248-0.00000005*DU248*1000)</f>
        <v>0.40484866187797913</v>
      </c>
      <c r="CI248" s="170">
        <v>32</v>
      </c>
      <c r="CJ248" s="217">
        <f t="shared" si="698"/>
        <v>0.32</v>
      </c>
      <c r="CK248" s="217"/>
      <c r="CL248" s="217">
        <f t="shared" si="641"/>
        <v>5.2479999999999993</v>
      </c>
      <c r="CM248" s="541">
        <f t="shared" si="642"/>
        <v>36</v>
      </c>
      <c r="CN248" s="443">
        <f t="shared" si="643"/>
        <v>16.799999999999997</v>
      </c>
      <c r="CO248" s="443">
        <f t="shared" si="644"/>
        <v>52.8</v>
      </c>
      <c r="CP248" s="443"/>
      <c r="CQ248" s="217">
        <f t="shared" si="645"/>
        <v>0.31818181818181812</v>
      </c>
      <c r="CR248" s="172">
        <f t="shared" si="646"/>
        <v>38.697272727272725</v>
      </c>
      <c r="CS248" s="172">
        <f t="shared" si="647"/>
        <v>5.2479999999999993</v>
      </c>
      <c r="CT248" s="217">
        <f t="shared" si="648"/>
        <v>2.3595898004434592</v>
      </c>
      <c r="CU248" s="217">
        <f t="shared" si="649"/>
        <v>16.399999999999999</v>
      </c>
      <c r="CV248" s="217"/>
      <c r="CW248" s="172">
        <f t="shared" si="650"/>
        <v>339.04242251128619</v>
      </c>
      <c r="CX248" s="172">
        <f t="shared" si="651"/>
        <v>16.399999999999999</v>
      </c>
      <c r="CY248" s="217">
        <f t="shared" si="652"/>
        <v>0.91631746031746031</v>
      </c>
      <c r="CZ248" s="217">
        <f t="shared" si="653"/>
        <v>0.30543915343915345</v>
      </c>
      <c r="DA248" s="217">
        <f t="shared" si="654"/>
        <v>0.65451247165532889</v>
      </c>
      <c r="DB248" s="197">
        <f t="shared" si="655"/>
        <v>350</v>
      </c>
      <c r="DC248" s="443">
        <f t="shared" si="656"/>
        <v>350</v>
      </c>
      <c r="DE248" s="217">
        <f t="shared" si="657"/>
        <v>2.7272727272727271</v>
      </c>
      <c r="DF248" s="173">
        <f t="shared" si="658"/>
        <v>1.9480519480519483</v>
      </c>
      <c r="DG248" s="173">
        <f t="shared" si="659"/>
        <v>0.92975206611570249</v>
      </c>
      <c r="DH248" s="173"/>
      <c r="DI248" s="173">
        <f t="shared" si="660"/>
        <v>0.95238095238095266</v>
      </c>
      <c r="DJ248" s="545">
        <f t="shared" si="661"/>
        <v>503.99999999999983</v>
      </c>
      <c r="DK248" s="528">
        <f t="shared" si="662"/>
        <v>0.22222222222222232</v>
      </c>
      <c r="DM248" s="173">
        <f t="shared" si="663"/>
        <v>1.5999999999999999</v>
      </c>
      <c r="DN248" s="173">
        <f t="shared" si="664"/>
        <v>1.5999999999999999</v>
      </c>
      <c r="DO248" s="173">
        <f t="shared" si="665"/>
        <v>1.3975308641975306</v>
      </c>
      <c r="DQ248" s="545">
        <f t="shared" si="666"/>
        <v>320</v>
      </c>
      <c r="DR248" s="460">
        <f t="shared" si="667"/>
        <v>350</v>
      </c>
      <c r="DT248">
        <f t="shared" si="668"/>
        <v>320</v>
      </c>
      <c r="DU248">
        <f t="shared" si="669"/>
        <v>350</v>
      </c>
      <c r="DW248" s="5">
        <f t="shared" si="670"/>
        <v>2.8571428571428572</v>
      </c>
      <c r="DX248" s="5">
        <f t="shared" si="671"/>
        <v>0.53333333333333333</v>
      </c>
      <c r="DY248" s="5">
        <f t="shared" si="672"/>
        <v>2.323809523809524</v>
      </c>
      <c r="DZ248" s="5"/>
      <c r="EA248" s="173">
        <f t="shared" si="673"/>
        <v>0.18666666666666665</v>
      </c>
      <c r="EB248" s="173">
        <f t="shared" si="699"/>
        <v>5.3759999999999994</v>
      </c>
      <c r="EC248" s="173">
        <f t="shared" si="700"/>
        <v>0.65066666666666662</v>
      </c>
      <c r="ED248" s="173">
        <f t="shared" si="701"/>
        <v>8.2622950819672134</v>
      </c>
      <c r="EE248" s="460">
        <f t="shared" si="674"/>
        <v>1.0406504065040652</v>
      </c>
      <c r="EF248" s="5">
        <f t="shared" si="675"/>
        <v>0.28229982363315687</v>
      </c>
      <c r="EH248" s="173">
        <f t="shared" si="702"/>
        <v>0.39911012125588702</v>
      </c>
      <c r="EI248" s="173">
        <f t="shared" si="703"/>
        <v>0.83309329876337646</v>
      </c>
      <c r="EK248" s="528">
        <f t="shared" si="704"/>
        <v>3.185777777777777E-3</v>
      </c>
      <c r="EL248" s="528">
        <f t="shared" si="705"/>
        <v>0.59135999999999989</v>
      </c>
      <c r="EM248" s="528">
        <f t="shared" si="706"/>
        <v>4.3749999999999997E-2</v>
      </c>
      <c r="EN248" s="528">
        <f t="shared" si="707"/>
        <v>9.7574399999999992E-2</v>
      </c>
      <c r="EO248">
        <f t="shared" si="708"/>
        <v>1.6199999999999999E-2</v>
      </c>
      <c r="EP248" s="460">
        <f t="shared" si="709"/>
        <v>59.949999999999996</v>
      </c>
      <c r="EQ248" s="460"/>
      <c r="ER248" s="460">
        <f t="shared" si="710"/>
        <v>752.07017777777753</v>
      </c>
      <c r="ES248" s="528">
        <f t="shared" si="711"/>
        <v>0.22399999999999998</v>
      </c>
      <c r="EV248" s="460">
        <f t="shared" si="712"/>
        <v>223.99999999999997</v>
      </c>
      <c r="EW248" s="528">
        <f t="shared" si="713"/>
        <v>4.7786666666666654E-3</v>
      </c>
      <c r="EX248" s="528">
        <f t="shared" si="714"/>
        <v>2.0821333333333334E-2</v>
      </c>
      <c r="EY248" s="528">
        <f t="shared" si="715"/>
        <v>0.3710565239960073</v>
      </c>
      <c r="EZ248" s="528"/>
      <c r="FA248" s="528">
        <f t="shared" si="716"/>
        <v>4.4799999999999996E-3</v>
      </c>
      <c r="FB248" s="460">
        <f t="shared" si="717"/>
        <v>401.13652399600733</v>
      </c>
      <c r="FC248" s="173">
        <f t="shared" si="718"/>
        <v>1.3772067017737848</v>
      </c>
      <c r="FD248" s="5">
        <f t="shared" si="719"/>
        <v>5.2479999999999993</v>
      </c>
      <c r="FE248" s="173">
        <f t="shared" si="720"/>
        <v>0.79212622884580164</v>
      </c>
      <c r="FF248" s="5">
        <f t="shared" si="721"/>
        <v>79.212622884580171</v>
      </c>
      <c r="FI248" s="562">
        <f t="shared" si="676"/>
        <v>-50</v>
      </c>
      <c r="FJ248">
        <f t="shared" si="677"/>
        <v>-50</v>
      </c>
      <c r="FL248">
        <f t="shared" ref="FL248:FL279" si="760">MIN(SQRT(2*L*DR248*1000*CJ248*(CX248+Vfwd1))/(Nps*(CX248+Vfwd1)), 1-EA248)</f>
        <v>0.40000000000000008</v>
      </c>
    </row>
    <row r="249" spans="5:168">
      <c r="E249" s="170">
        <v>33</v>
      </c>
      <c r="F249" s="217">
        <f t="shared" ref="F249:F280" si="761">IF(PLOT_TYPE=1, E249/100*Iout_max, min_I*EXP(N249*rr/100))</f>
        <v>0.33</v>
      </c>
      <c r="G249" s="217"/>
      <c r="H249" s="217">
        <f t="shared" si="726"/>
        <v>5.4119999999999999</v>
      </c>
      <c r="I249" s="541">
        <f t="shared" si="727"/>
        <v>35.959866294891768</v>
      </c>
      <c r="J249" s="172">
        <f t="shared" si="728"/>
        <v>16.824080223064936</v>
      </c>
      <c r="K249" s="172">
        <f t="shared" si="729"/>
        <v>52.783946517956707</v>
      </c>
      <c r="L249" s="443"/>
      <c r="M249" s="217">
        <f t="shared" si="730"/>
        <v>0.31873855950136881</v>
      </c>
      <c r="N249" s="172">
        <f t="shared" si="731"/>
        <v>38.721767428206725</v>
      </c>
      <c r="O249" s="172">
        <f t="shared" si="599"/>
        <v>5.4119999999999999</v>
      </c>
      <c r="P249" s="217">
        <f t="shared" si="732"/>
        <v>2.361083379768703</v>
      </c>
      <c r="Q249" s="217">
        <f t="shared" si="733"/>
        <v>16.399999999999999</v>
      </c>
      <c r="R249" s="217"/>
      <c r="S249" s="172">
        <f t="shared" si="734"/>
        <v>327.31499801407716</v>
      </c>
      <c r="T249" s="172">
        <f t="shared" si="735"/>
        <v>16.399999999999999</v>
      </c>
      <c r="U249" s="217">
        <f t="shared" si="736"/>
        <v>0.96879107016086308</v>
      </c>
      <c r="V249" s="217">
        <f t="shared" si="737"/>
        <v>0.32329076939815543</v>
      </c>
      <c r="W249" s="217">
        <f t="shared" si="738"/>
        <v>0.6910031744851296</v>
      </c>
      <c r="X249" s="197">
        <f t="shared" si="739"/>
        <v>350</v>
      </c>
      <c r="Y249" s="443">
        <f t="shared" si="680"/>
        <v>350</v>
      </c>
      <c r="AA249" s="217">
        <f t="shared" si="740"/>
        <v>2.7289667880462134</v>
      </c>
      <c r="AB249" s="173">
        <f t="shared" si="741"/>
        <v>1.9464720223848735</v>
      </c>
      <c r="AC249" s="173">
        <f t="shared" si="742"/>
        <v>0.92957506301615633</v>
      </c>
      <c r="AD249" s="173"/>
      <c r="AE249" s="173">
        <f t="shared" si="743"/>
        <v>0.95101781421993214</v>
      </c>
      <c r="AF249" s="545">
        <f t="shared" si="744"/>
        <v>520.49498190107136</v>
      </c>
      <c r="AG249" s="528">
        <f t="shared" si="745"/>
        <v>0.22190415665131752</v>
      </c>
      <c r="AI249" s="173">
        <f t="shared" si="746"/>
        <v>1.6259717202500974</v>
      </c>
      <c r="AJ249" s="173">
        <f t="shared" si="747"/>
        <v>1.6259717202500974</v>
      </c>
      <c r="AK249" s="173">
        <f t="shared" si="748"/>
        <v>1.4167691754938991</v>
      </c>
      <c r="AM249" s="545">
        <f t="shared" si="749"/>
        <v>330</v>
      </c>
      <c r="AN249" s="460">
        <f t="shared" si="750"/>
        <v>350</v>
      </c>
      <c r="AP249">
        <f t="shared" si="751"/>
        <v>330</v>
      </c>
      <c r="AQ249">
        <f t="shared" si="752"/>
        <v>350</v>
      </c>
      <c r="AS249" s="5">
        <f t="shared" si="600"/>
        <v>2.8571428571428572</v>
      </c>
      <c r="AT249" s="5">
        <f t="shared" si="753"/>
        <v>0.54259547249131101</v>
      </c>
      <c r="AU249" s="5">
        <f t="shared" si="722"/>
        <v>2.3145473846515463</v>
      </c>
      <c r="AV249" s="5"/>
      <c r="AW249" s="173">
        <f t="shared" si="723"/>
        <v>0.18990841537195885</v>
      </c>
      <c r="AX249" s="173">
        <f t="shared" si="631"/>
        <v>5.5519464736114283</v>
      </c>
      <c r="AY249" s="173">
        <f t="shared" si="632"/>
        <v>0.65859300370889173</v>
      </c>
      <c r="AZ249" s="173">
        <f t="shared" si="633"/>
        <v>8.4300113155551752</v>
      </c>
      <c r="BA249" s="460">
        <f t="shared" si="724"/>
        <v>1.0918079629398336</v>
      </c>
      <c r="BB249" s="5">
        <f t="shared" si="725"/>
        <v>0.29028496989326447</v>
      </c>
      <c r="BD249" s="173">
        <f t="shared" si="681"/>
        <v>0.40909527687431207</v>
      </c>
      <c r="BE249" s="173">
        <f t="shared" si="682"/>
        <v>0.84492745218558085</v>
      </c>
      <c r="BG249" s="528">
        <f t="shared" si="683"/>
        <v>3.3471789112174011E-3</v>
      </c>
      <c r="BH249" s="528">
        <f t="shared" si="754"/>
        <v>0.56322790335912976</v>
      </c>
      <c r="BI249" s="528">
        <f t="shared" si="755"/>
        <v>0.31464883008030292</v>
      </c>
      <c r="BJ249" s="528">
        <f t="shared" si="684"/>
        <v>9.7515075350367991E-2</v>
      </c>
      <c r="BK249">
        <f t="shared" si="685"/>
        <v>1.6181939832701296E-2</v>
      </c>
      <c r="BL249" s="460">
        <f t="shared" si="686"/>
        <v>330.83076991300419</v>
      </c>
      <c r="BM249" s="528">
        <f t="shared" si="756"/>
        <v>0.66552317966283381</v>
      </c>
      <c r="BN249" s="460">
        <f t="shared" si="687"/>
        <v>665.52317966283385</v>
      </c>
      <c r="BO249" s="528">
        <f t="shared" si="637"/>
        <v>0.23099999999999998</v>
      </c>
      <c r="BR249" s="460">
        <f t="shared" si="688"/>
        <v>230.99999999999997</v>
      </c>
      <c r="BS249" s="528">
        <f t="shared" si="689"/>
        <v>5.0207683668261017E-3</v>
      </c>
      <c r="BT249" s="528">
        <f t="shared" si="690"/>
        <v>2.141707198370451E-2</v>
      </c>
      <c r="BU249" s="528">
        <f t="shared" si="691"/>
        <v>0.38629811133985309</v>
      </c>
      <c r="BV249" s="528"/>
      <c r="BW249" s="528">
        <f t="shared" si="692"/>
        <v>4.6266220613428565E-3</v>
      </c>
      <c r="BX249" s="460">
        <f t="shared" si="693"/>
        <v>417.36257375172653</v>
      </c>
      <c r="BY249" s="173">
        <f t="shared" si="694"/>
        <v>1.6432835012854461</v>
      </c>
      <c r="BZ249" s="5">
        <f t="shared" si="695"/>
        <v>5.4119999999999999</v>
      </c>
      <c r="CA249" s="173">
        <f t="shared" si="696"/>
        <v>0.76708469603155616</v>
      </c>
      <c r="CB249" s="5">
        <f t="shared" si="697"/>
        <v>76.708469603155621</v>
      </c>
      <c r="CE249" s="562">
        <f t="shared" si="757"/>
        <v>-50</v>
      </c>
      <c r="CF249">
        <f t="shared" si="758"/>
        <v>-50</v>
      </c>
      <c r="CG249" s="173">
        <f t="shared" si="759"/>
        <v>0.41112575964527259</v>
      </c>
      <c r="CI249" s="170">
        <v>33</v>
      </c>
      <c r="CJ249" s="217">
        <f t="shared" si="698"/>
        <v>0.33</v>
      </c>
      <c r="CK249" s="217"/>
      <c r="CL249" s="217">
        <f t="shared" si="641"/>
        <v>5.4119999999999999</v>
      </c>
      <c r="CM249" s="541">
        <f t="shared" si="642"/>
        <v>36</v>
      </c>
      <c r="CN249" s="443">
        <f t="shared" si="643"/>
        <v>16.799999999999997</v>
      </c>
      <c r="CO249" s="443">
        <f t="shared" si="644"/>
        <v>52.8</v>
      </c>
      <c r="CP249" s="443"/>
      <c r="CQ249" s="217">
        <f t="shared" si="645"/>
        <v>0.31818181818181812</v>
      </c>
      <c r="CR249" s="172">
        <f t="shared" si="646"/>
        <v>38.697272727272725</v>
      </c>
      <c r="CS249" s="172">
        <f t="shared" si="647"/>
        <v>5.4119999999999999</v>
      </c>
      <c r="CT249" s="217">
        <f t="shared" si="648"/>
        <v>2.3595898004434592</v>
      </c>
      <c r="CU249" s="217">
        <f t="shared" si="649"/>
        <v>16.399999999999999</v>
      </c>
      <c r="CV249" s="217"/>
      <c r="CW249" s="172">
        <f t="shared" si="650"/>
        <v>327.68025533592737</v>
      </c>
      <c r="CX249" s="172">
        <f t="shared" si="651"/>
        <v>16.399999999999999</v>
      </c>
      <c r="CY249" s="217">
        <f t="shared" si="652"/>
        <v>0.9449523809523811</v>
      </c>
      <c r="CZ249" s="217">
        <f t="shared" si="653"/>
        <v>0.31498412698412703</v>
      </c>
      <c r="DA249" s="217">
        <f t="shared" si="654"/>
        <v>0.67496598639455807</v>
      </c>
      <c r="DB249" s="197">
        <f t="shared" si="655"/>
        <v>350</v>
      </c>
      <c r="DC249" s="443">
        <f t="shared" si="656"/>
        <v>350</v>
      </c>
      <c r="DE249" s="217">
        <f t="shared" si="657"/>
        <v>2.7272727272727271</v>
      </c>
      <c r="DF249" s="173">
        <f t="shared" si="658"/>
        <v>1.9480519480519483</v>
      </c>
      <c r="DG249" s="173">
        <f t="shared" si="659"/>
        <v>0.92975206611570249</v>
      </c>
      <c r="DH249" s="173"/>
      <c r="DI249" s="173">
        <f t="shared" si="660"/>
        <v>0.95238095238095266</v>
      </c>
      <c r="DJ249" s="545">
        <f t="shared" si="661"/>
        <v>519.74999999999977</v>
      </c>
      <c r="DK249" s="528">
        <f t="shared" si="662"/>
        <v>0.22222222222222232</v>
      </c>
      <c r="DM249" s="173">
        <f t="shared" si="663"/>
        <v>1.6248076809271921</v>
      </c>
      <c r="DN249" s="173">
        <f t="shared" si="664"/>
        <v>1.6248076809271921</v>
      </c>
      <c r="DO249" s="173">
        <f t="shared" si="665"/>
        <v>1.4159069241435989</v>
      </c>
      <c r="DQ249" s="545">
        <f t="shared" si="666"/>
        <v>330</v>
      </c>
      <c r="DR249" s="460">
        <f t="shared" si="667"/>
        <v>350</v>
      </c>
      <c r="DT249">
        <f t="shared" si="668"/>
        <v>330</v>
      </c>
      <c r="DU249">
        <f t="shared" si="669"/>
        <v>350</v>
      </c>
      <c r="DW249" s="5">
        <f t="shared" si="670"/>
        <v>2.8571428571428572</v>
      </c>
      <c r="DX249" s="5">
        <f t="shared" si="671"/>
        <v>0.54160256030906406</v>
      </c>
      <c r="DY249" s="5">
        <f t="shared" si="672"/>
        <v>2.315540296833793</v>
      </c>
      <c r="DZ249" s="5"/>
      <c r="EA249" s="173">
        <f t="shared" si="673"/>
        <v>0.18956089610817242</v>
      </c>
      <c r="EB249" s="173">
        <f t="shared" si="699"/>
        <v>5.5440000000000005</v>
      </c>
      <c r="EC249" s="173">
        <f t="shared" si="700"/>
        <v>0.65840384046359601</v>
      </c>
      <c r="ED249" s="173">
        <f t="shared" si="701"/>
        <v>8.4203640065288088</v>
      </c>
      <c r="EE249" s="460">
        <f t="shared" si="674"/>
        <v>1.08981002989019</v>
      </c>
      <c r="EF249" s="5">
        <f t="shared" si="675"/>
        <v>0.29008574274223342</v>
      </c>
      <c r="EH249" s="173">
        <f t="shared" si="702"/>
        <v>0.40842819267919261</v>
      </c>
      <c r="EI249" s="173">
        <f t="shared" si="703"/>
        <v>0.84450364796418032</v>
      </c>
      <c r="EK249" s="528">
        <f t="shared" si="704"/>
        <v>3.3362717715038339E-3</v>
      </c>
      <c r="EL249" s="528">
        <f t="shared" si="705"/>
        <v>0.60052891887069015</v>
      </c>
      <c r="EM249" s="528">
        <f t="shared" si="706"/>
        <v>4.3749999999999997E-2</v>
      </c>
      <c r="EN249" s="528">
        <f t="shared" si="707"/>
        <v>9.7574399999999992E-2</v>
      </c>
      <c r="EO249">
        <f t="shared" si="708"/>
        <v>1.6199999999999999E-2</v>
      </c>
      <c r="EP249" s="460">
        <f t="shared" si="709"/>
        <v>59.949999999999996</v>
      </c>
      <c r="EQ249" s="460"/>
      <c r="ER249" s="460">
        <f t="shared" si="710"/>
        <v>761.38959064219387</v>
      </c>
      <c r="ES249" s="528">
        <f t="shared" si="711"/>
        <v>0.23099999999999998</v>
      </c>
      <c r="EV249" s="460">
        <f t="shared" si="712"/>
        <v>230.99999999999997</v>
      </c>
      <c r="EW249" s="528">
        <f t="shared" si="713"/>
        <v>5.0044076572557505E-3</v>
      </c>
      <c r="EX249" s="528">
        <f t="shared" si="714"/>
        <v>2.1395592342744244E-2</v>
      </c>
      <c r="EY249" s="528">
        <f t="shared" si="715"/>
        <v>0.38560710180863361</v>
      </c>
      <c r="EZ249" s="528"/>
      <c r="FA249" s="528">
        <f t="shared" si="716"/>
        <v>4.6200000000000008E-3</v>
      </c>
      <c r="FB249" s="460">
        <f t="shared" si="717"/>
        <v>416.6271018086336</v>
      </c>
      <c r="FC249" s="173">
        <f t="shared" si="718"/>
        <v>1.4090166924508276</v>
      </c>
      <c r="FD249" s="5">
        <f t="shared" si="719"/>
        <v>5.4119999999999999</v>
      </c>
      <c r="FE249" s="173">
        <f t="shared" si="720"/>
        <v>0.79343010639304556</v>
      </c>
      <c r="FF249" s="5">
        <f t="shared" si="721"/>
        <v>79.343010639304552</v>
      </c>
      <c r="FI249" s="562">
        <f t="shared" si="676"/>
        <v>-50</v>
      </c>
      <c r="FJ249">
        <f t="shared" si="677"/>
        <v>-50</v>
      </c>
      <c r="FL249">
        <f t="shared" si="760"/>
        <v>0.40620192023179807</v>
      </c>
    </row>
    <row r="250" spans="5:168">
      <c r="E250" s="170">
        <v>34</v>
      </c>
      <c r="F250" s="217">
        <f t="shared" si="761"/>
        <v>0.34</v>
      </c>
      <c r="G250" s="217"/>
      <c r="H250" s="217">
        <f t="shared" si="726"/>
        <v>5.5759999999999996</v>
      </c>
      <c r="I250" s="541">
        <f t="shared" si="727"/>
        <v>35.959262746662006</v>
      </c>
      <c r="J250" s="172">
        <f t="shared" si="728"/>
        <v>16.824442352002794</v>
      </c>
      <c r="K250" s="172">
        <f t="shared" si="729"/>
        <v>52.783705098664797</v>
      </c>
      <c r="L250" s="443"/>
      <c r="M250" s="217">
        <f t="shared" si="730"/>
        <v>0.3187469345587759</v>
      </c>
      <c r="N250" s="172">
        <f t="shared" si="731"/>
        <v>38.722134946267488</v>
      </c>
      <c r="O250" s="172">
        <f t="shared" si="599"/>
        <v>5.5759999999999996</v>
      </c>
      <c r="P250" s="217">
        <f t="shared" si="732"/>
        <v>2.3611057894065541</v>
      </c>
      <c r="Q250" s="217">
        <f t="shared" si="733"/>
        <v>16.399999999999999</v>
      </c>
      <c r="R250" s="217"/>
      <c r="S250" s="172">
        <f t="shared" si="734"/>
        <v>316.62789935823082</v>
      </c>
      <c r="T250" s="172">
        <f t="shared" si="735"/>
        <v>16.399999999999999</v>
      </c>
      <c r="U250" s="217">
        <f t="shared" si="736"/>
        <v>0.99816064616103795</v>
      </c>
      <c r="V250" s="217">
        <f t="shared" si="737"/>
        <v>0.33309714490863224</v>
      </c>
      <c r="W250" s="217">
        <f t="shared" si="738"/>
        <v>0.7119360929372256</v>
      </c>
      <c r="X250" s="197">
        <f t="shared" si="739"/>
        <v>350</v>
      </c>
      <c r="Y250" s="443">
        <f t="shared" si="680"/>
        <v>350</v>
      </c>
      <c r="AA250" s="217">
        <f t="shared" si="740"/>
        <v>2.7289922053950604</v>
      </c>
      <c r="AB250" s="173">
        <f t="shared" si="741"/>
        <v>1.9464482554360796</v>
      </c>
      <c r="AC250" s="173">
        <f t="shared" si="742"/>
        <v>0.92957237052572794</v>
      </c>
      <c r="AD250" s="173"/>
      <c r="AE250" s="173">
        <f t="shared" si="743"/>
        <v>0.95099734453281004</v>
      </c>
      <c r="AF250" s="545">
        <f t="shared" si="744"/>
        <v>536.27909997008908</v>
      </c>
      <c r="AG250" s="528">
        <f t="shared" si="745"/>
        <v>0.22189938039098903</v>
      </c>
      <c r="AI250" s="173">
        <f t="shared" si="746"/>
        <v>1.6504415570329671</v>
      </c>
      <c r="AJ250" s="173">
        <f t="shared" si="747"/>
        <v>1.6504415570329671</v>
      </c>
      <c r="AK250" s="173">
        <f t="shared" si="748"/>
        <v>1.4348949805182472</v>
      </c>
      <c r="AM250" s="545">
        <f t="shared" si="749"/>
        <v>340</v>
      </c>
      <c r="AN250" s="460">
        <f t="shared" si="750"/>
        <v>350</v>
      </c>
      <c r="AP250">
        <f t="shared" si="751"/>
        <v>340</v>
      </c>
      <c r="AQ250">
        <f t="shared" si="752"/>
        <v>350</v>
      </c>
      <c r="AS250" s="5">
        <f t="shared" si="600"/>
        <v>2.8571428571428572</v>
      </c>
      <c r="AT250" s="5">
        <f t="shared" si="753"/>
        <v>0.5507704321950837</v>
      </c>
      <c r="AU250" s="5">
        <f t="shared" si="722"/>
        <v>2.3063724249477735</v>
      </c>
      <c r="AV250" s="5"/>
      <c r="AW250" s="173">
        <f t="shared" si="723"/>
        <v>0.1927696512682793</v>
      </c>
      <c r="AX250" s="173">
        <f t="shared" si="631"/>
        <v>5.720310399680951</v>
      </c>
      <c r="AY250" s="173">
        <f t="shared" si="632"/>
        <v>0.66614325682252307</v>
      </c>
      <c r="AZ250" s="173">
        <f t="shared" si="633"/>
        <v>8.5872075429639629</v>
      </c>
      <c r="BA250" s="460">
        <f t="shared" si="724"/>
        <v>1.1418411399166373</v>
      </c>
      <c r="BB250" s="5">
        <f t="shared" si="725"/>
        <v>0.29803013324901406</v>
      </c>
      <c r="BD250" s="173">
        <f t="shared" si="681"/>
        <v>0.41836838041254643</v>
      </c>
      <c r="BE250" s="173">
        <f t="shared" si="682"/>
        <v>0.85612713775356863</v>
      </c>
      <c r="BG250" s="528">
        <f t="shared" si="683"/>
        <v>3.5006420345803429E-3</v>
      </c>
      <c r="BH250" s="528">
        <f t="shared" si="754"/>
        <v>0.57170150906537343</v>
      </c>
      <c r="BI250" s="528">
        <f t="shared" si="755"/>
        <v>0.31464354903329256</v>
      </c>
      <c r="BJ250" s="528">
        <f t="shared" si="684"/>
        <v>9.7514183337998411E-2</v>
      </c>
      <c r="BK250">
        <f t="shared" si="685"/>
        <v>1.6181668235997902E-2</v>
      </c>
      <c r="BL250" s="460">
        <f t="shared" si="686"/>
        <v>330.82521726929048</v>
      </c>
      <c r="BM250" s="528">
        <f t="shared" si="756"/>
        <v>0.67422229389776323</v>
      </c>
      <c r="BN250" s="460">
        <f t="shared" si="687"/>
        <v>674.22229389776328</v>
      </c>
      <c r="BO250" s="528">
        <f t="shared" si="637"/>
        <v>0.23799999999999999</v>
      </c>
      <c r="BR250" s="460">
        <f t="shared" si="688"/>
        <v>238</v>
      </c>
      <c r="BS250" s="528">
        <f t="shared" si="689"/>
        <v>5.2509630518705139E-3</v>
      </c>
      <c r="BT250" s="528">
        <f t="shared" si="690"/>
        <v>2.1988610279943536E-2</v>
      </c>
      <c r="BU250" s="528">
        <f t="shared" si="691"/>
        <v>0.40099641605909142</v>
      </c>
      <c r="BV250" s="528"/>
      <c r="BW250" s="528">
        <f t="shared" si="692"/>
        <v>4.766925333067459E-3</v>
      </c>
      <c r="BX250" s="460">
        <f t="shared" si="693"/>
        <v>433.00291472397288</v>
      </c>
      <c r="BY250" s="173">
        <f t="shared" si="694"/>
        <v>1.6745444664312155</v>
      </c>
      <c r="BZ250" s="5">
        <f t="shared" si="695"/>
        <v>5.5759999999999996</v>
      </c>
      <c r="CA250" s="173">
        <f t="shared" si="696"/>
        <v>0.76904569385318977</v>
      </c>
      <c r="CB250" s="5">
        <f t="shared" si="697"/>
        <v>76.904569385318979</v>
      </c>
      <c r="CE250" s="562">
        <f t="shared" si="757"/>
        <v>-50</v>
      </c>
      <c r="CF250">
        <f t="shared" si="758"/>
        <v>-50</v>
      </c>
      <c r="CG250" s="173">
        <f t="shared" si="759"/>
        <v>0.41730844882821949</v>
      </c>
      <c r="CI250" s="170">
        <v>34</v>
      </c>
      <c r="CJ250" s="217">
        <f t="shared" si="698"/>
        <v>0.34</v>
      </c>
      <c r="CK250" s="217"/>
      <c r="CL250" s="217">
        <f t="shared" si="641"/>
        <v>5.5759999999999996</v>
      </c>
      <c r="CM250" s="541">
        <f t="shared" si="642"/>
        <v>36</v>
      </c>
      <c r="CN250" s="443">
        <f t="shared" si="643"/>
        <v>16.799999999999997</v>
      </c>
      <c r="CO250" s="443">
        <f t="shared" si="644"/>
        <v>52.8</v>
      </c>
      <c r="CP250" s="443"/>
      <c r="CQ250" s="217">
        <f t="shared" si="645"/>
        <v>0.31818181818181812</v>
      </c>
      <c r="CR250" s="172">
        <f t="shared" si="646"/>
        <v>38.697272727272725</v>
      </c>
      <c r="CS250" s="172">
        <f t="shared" si="647"/>
        <v>5.5759999999999996</v>
      </c>
      <c r="CT250" s="217">
        <f t="shared" si="648"/>
        <v>2.3595898004434592</v>
      </c>
      <c r="CU250" s="217">
        <f t="shared" si="649"/>
        <v>16.399999999999999</v>
      </c>
      <c r="CV250" s="217"/>
      <c r="CW250" s="172">
        <f t="shared" si="650"/>
        <v>316.98654701365473</v>
      </c>
      <c r="CX250" s="172">
        <f t="shared" si="651"/>
        <v>16.399999999999999</v>
      </c>
      <c r="CY250" s="217">
        <f t="shared" si="652"/>
        <v>0.97358730158730167</v>
      </c>
      <c r="CZ250" s="217">
        <f t="shared" si="653"/>
        <v>0.32452910052910061</v>
      </c>
      <c r="DA250" s="217">
        <f t="shared" si="654"/>
        <v>0.69541950113378714</v>
      </c>
      <c r="DB250" s="197">
        <f t="shared" si="655"/>
        <v>350</v>
      </c>
      <c r="DC250" s="443">
        <f t="shared" si="656"/>
        <v>350</v>
      </c>
      <c r="DE250" s="217">
        <f t="shared" si="657"/>
        <v>2.7272727272727271</v>
      </c>
      <c r="DF250" s="173">
        <f t="shared" si="658"/>
        <v>1.9480519480519483</v>
      </c>
      <c r="DG250" s="173">
        <f t="shared" si="659"/>
        <v>0.92975206611570249</v>
      </c>
      <c r="DH250" s="173"/>
      <c r="DI250" s="173">
        <f t="shared" si="660"/>
        <v>0.95238095238095266</v>
      </c>
      <c r="DJ250" s="545">
        <f t="shared" si="661"/>
        <v>535.49999999999977</v>
      </c>
      <c r="DK250" s="528">
        <f t="shared" si="662"/>
        <v>0.22222222222222232</v>
      </c>
      <c r="DM250" s="173">
        <f t="shared" si="663"/>
        <v>1.6492422502470641</v>
      </c>
      <c r="DN250" s="173">
        <f t="shared" si="664"/>
        <v>1.6492422502470641</v>
      </c>
      <c r="DO250" s="173">
        <f t="shared" si="665"/>
        <v>1.4340066051212819</v>
      </c>
      <c r="DQ250" s="545">
        <f t="shared" si="666"/>
        <v>340</v>
      </c>
      <c r="DR250" s="460">
        <f t="shared" si="667"/>
        <v>350</v>
      </c>
      <c r="DT250">
        <f t="shared" si="668"/>
        <v>340</v>
      </c>
      <c r="DU250">
        <f t="shared" si="669"/>
        <v>350</v>
      </c>
      <c r="DW250" s="5">
        <f t="shared" si="670"/>
        <v>2.8571428571428572</v>
      </c>
      <c r="DX250" s="5">
        <f t="shared" si="671"/>
        <v>0.5497474167490215</v>
      </c>
      <c r="DY250" s="5">
        <f t="shared" si="672"/>
        <v>2.3073954403938357</v>
      </c>
      <c r="DZ250" s="5"/>
      <c r="EA250" s="173">
        <f t="shared" si="673"/>
        <v>0.19241159586215753</v>
      </c>
      <c r="EB250" s="173">
        <f t="shared" si="699"/>
        <v>5.711999999999998</v>
      </c>
      <c r="EC250" s="173">
        <f t="shared" si="700"/>
        <v>0.66595445845686541</v>
      </c>
      <c r="ED250" s="173">
        <f t="shared" si="701"/>
        <v>8.5771630889531316</v>
      </c>
      <c r="EE250" s="460">
        <f t="shared" si="674"/>
        <v>1.1397202542357765</v>
      </c>
      <c r="EF250" s="5">
        <f t="shared" si="675"/>
        <v>0.29782492999157467</v>
      </c>
      <c r="EH250" s="173">
        <f t="shared" si="702"/>
        <v>0.41767592730292236</v>
      </c>
      <c r="EI250" s="173">
        <f t="shared" si="703"/>
        <v>0.85569473903858395</v>
      </c>
      <c r="EK250" s="528">
        <f t="shared" si="704"/>
        <v>3.4890636049671217E-3</v>
      </c>
      <c r="EL250" s="528">
        <f t="shared" si="705"/>
        <v>0.60955993569131484</v>
      </c>
      <c r="EM250" s="528">
        <f t="shared" si="706"/>
        <v>4.3749999999999997E-2</v>
      </c>
      <c r="EN250" s="528">
        <f t="shared" si="707"/>
        <v>9.7574399999999992E-2</v>
      </c>
      <c r="EO250">
        <f t="shared" si="708"/>
        <v>1.6199999999999999E-2</v>
      </c>
      <c r="EP250" s="460">
        <f t="shared" si="709"/>
        <v>59.949999999999996</v>
      </c>
      <c r="EQ250" s="460"/>
      <c r="ER250" s="460">
        <f t="shared" si="710"/>
        <v>770.57339929628188</v>
      </c>
      <c r="ES250" s="528">
        <f t="shared" si="711"/>
        <v>0.23799999999999999</v>
      </c>
      <c r="EV250" s="460">
        <f t="shared" si="712"/>
        <v>238</v>
      </c>
      <c r="EW250" s="528">
        <f t="shared" si="713"/>
        <v>5.2335954074506823E-3</v>
      </c>
      <c r="EX250" s="528">
        <f t="shared" si="714"/>
        <v>2.1966404592549307E-2</v>
      </c>
      <c r="EY250" s="528">
        <f t="shared" si="715"/>
        <v>0.40026834475066264</v>
      </c>
      <c r="EZ250" s="528"/>
      <c r="FA250" s="528">
        <f t="shared" si="716"/>
        <v>4.7599999999999986E-3</v>
      </c>
      <c r="FB250" s="460">
        <f t="shared" si="717"/>
        <v>432.22834475066264</v>
      </c>
      <c r="FC250" s="173">
        <f t="shared" si="718"/>
        <v>1.4408017440469449</v>
      </c>
      <c r="FD250" s="5">
        <f t="shared" si="719"/>
        <v>5.5759999999999996</v>
      </c>
      <c r="FE250" s="173">
        <f t="shared" si="720"/>
        <v>0.79466403689268816</v>
      </c>
      <c r="FF250" s="5">
        <f t="shared" si="721"/>
        <v>79.466403689268816</v>
      </c>
      <c r="FI250" s="562">
        <f t="shared" si="676"/>
        <v>-50</v>
      </c>
      <c r="FJ250">
        <f t="shared" si="677"/>
        <v>-50</v>
      </c>
      <c r="FL250">
        <f t="shared" si="760"/>
        <v>0.41231056256176607</v>
      </c>
    </row>
    <row r="251" spans="5:168">
      <c r="E251" s="170">
        <v>35</v>
      </c>
      <c r="F251" s="217">
        <f t="shared" si="761"/>
        <v>0.35</v>
      </c>
      <c r="G251" s="217"/>
      <c r="H251" s="217">
        <f t="shared" si="726"/>
        <v>5.7399999999999993</v>
      </c>
      <c r="I251" s="541">
        <f t="shared" si="727"/>
        <v>35.958668010774545</v>
      </c>
      <c r="J251" s="172">
        <f t="shared" si="728"/>
        <v>16.82479919353527</v>
      </c>
      <c r="K251" s="172">
        <f t="shared" si="729"/>
        <v>52.783467204309815</v>
      </c>
      <c r="L251" s="443"/>
      <c r="M251" s="217">
        <f t="shared" si="730"/>
        <v>0.3187551874064557</v>
      </c>
      <c r="N251" s="172">
        <f t="shared" si="731"/>
        <v>38.722497073766291</v>
      </c>
      <c r="O251" s="172">
        <f t="shared" si="599"/>
        <v>5.7399999999999993</v>
      </c>
      <c r="P251" s="217">
        <f t="shared" si="732"/>
        <v>2.3611278703516034</v>
      </c>
      <c r="Q251" s="217">
        <f t="shared" si="733"/>
        <v>16.399999999999999</v>
      </c>
      <c r="R251" s="217"/>
      <c r="S251" s="172">
        <f t="shared" si="734"/>
        <v>306.55169591136183</v>
      </c>
      <c r="T251" s="172">
        <f t="shared" si="735"/>
        <v>16.399999999999999</v>
      </c>
      <c r="U251" s="217">
        <f t="shared" si="736"/>
        <v>1.0275307599555192</v>
      </c>
      <c r="V251" s="217">
        <f t="shared" si="737"/>
        <v>0.34290394504522798</v>
      </c>
      <c r="W251" s="217">
        <f t="shared" si="738"/>
        <v>0.73286872417496851</v>
      </c>
      <c r="X251" s="197">
        <f t="shared" si="739"/>
        <v>350</v>
      </c>
      <c r="Y251" s="443">
        <f t="shared" si="680"/>
        <v>350</v>
      </c>
      <c r="AA251" s="217">
        <f t="shared" si="740"/>
        <v>2.7290172499265859</v>
      </c>
      <c r="AB251" s="173">
        <f t="shared" si="741"/>
        <v>1.946424835293258</v>
      </c>
      <c r="AC251" s="173">
        <f t="shared" si="742"/>
        <v>0.92956971646014253</v>
      </c>
      <c r="AD251" s="173"/>
      <c r="AE251" s="173">
        <f t="shared" si="743"/>
        <v>0.95097717458332653</v>
      </c>
      <c r="AF251" s="545">
        <f t="shared" si="744"/>
        <v>552.06372353787583</v>
      </c>
      <c r="AG251" s="528">
        <f t="shared" si="745"/>
        <v>0.22189467406944288</v>
      </c>
      <c r="AI251" s="173">
        <f t="shared" si="746"/>
        <v>1.6745546270344676</v>
      </c>
      <c r="AJ251" s="173">
        <f t="shared" si="747"/>
        <v>1.6745546270344676</v>
      </c>
      <c r="AK251" s="173">
        <f t="shared" si="748"/>
        <v>1.4527565138526919</v>
      </c>
      <c r="AM251" s="545">
        <f t="shared" si="749"/>
        <v>350</v>
      </c>
      <c r="AN251" s="460">
        <f t="shared" si="750"/>
        <v>350</v>
      </c>
      <c r="AP251">
        <f t="shared" si="751"/>
        <v>350</v>
      </c>
      <c r="AQ251">
        <f t="shared" si="752"/>
        <v>350</v>
      </c>
      <c r="AS251" s="5">
        <f t="shared" si="600"/>
        <v>2.8571428571428572</v>
      </c>
      <c r="AT251" s="5">
        <f t="shared" si="753"/>
        <v>0.55882647039074163</v>
      </c>
      <c r="AU251" s="5">
        <f t="shared" si="722"/>
        <v>2.2983163867521155</v>
      </c>
      <c r="AV251" s="5"/>
      <c r="AW251" s="173">
        <f t="shared" si="723"/>
        <v>0.19558926463675957</v>
      </c>
      <c r="AX251" s="173">
        <f t="shared" si="631"/>
        <v>5.888679717737344</v>
      </c>
      <c r="AY251" s="173">
        <f t="shared" si="632"/>
        <v>0.67351485946935641</v>
      </c>
      <c r="AZ251" s="173">
        <f t="shared" si="633"/>
        <v>8.7432068275032133</v>
      </c>
      <c r="BA251" s="460">
        <f t="shared" si="724"/>
        <v>1.1926174672973144</v>
      </c>
      <c r="BB251" s="5">
        <f t="shared" si="725"/>
        <v>0.30572916049069238</v>
      </c>
      <c r="BD251" s="173">
        <f t="shared" si="681"/>
        <v>0.42757391186428606</v>
      </c>
      <c r="BE251" s="173">
        <f t="shared" si="682"/>
        <v>0.8671168411469049</v>
      </c>
      <c r="BG251" s="528">
        <f t="shared" si="683"/>
        <v>3.6563890021385653E-3</v>
      </c>
      <c r="BH251" s="528">
        <f t="shared" si="754"/>
        <v>0.58005149499871267</v>
      </c>
      <c r="BI251" s="528">
        <f t="shared" si="755"/>
        <v>0.31463834509427729</v>
      </c>
      <c r="BJ251" s="528">
        <f t="shared" si="684"/>
        <v>9.7513304353795752E-2</v>
      </c>
      <c r="BK251">
        <f t="shared" si="685"/>
        <v>1.6181400604848545E-2</v>
      </c>
      <c r="BL251" s="460">
        <f t="shared" si="686"/>
        <v>330.81974569912586</v>
      </c>
      <c r="BM251" s="528">
        <f t="shared" si="756"/>
        <v>0.68280160275840651</v>
      </c>
      <c r="BN251" s="460">
        <f t="shared" si="687"/>
        <v>682.80160275840649</v>
      </c>
      <c r="BO251" s="528">
        <f t="shared" si="637"/>
        <v>0.24499999999999997</v>
      </c>
      <c r="BR251" s="460">
        <f t="shared" si="688"/>
        <v>244.99999999999997</v>
      </c>
      <c r="BS251" s="528">
        <f t="shared" si="689"/>
        <v>5.4845835032078481E-3</v>
      </c>
      <c r="BT251" s="528">
        <f t="shared" si="690"/>
        <v>2.2556748486017603E-2</v>
      </c>
      <c r="BU251" s="528">
        <f t="shared" si="691"/>
        <v>0.41580376187659507</v>
      </c>
      <c r="BV251" s="528"/>
      <c r="BW251" s="528">
        <f t="shared" si="692"/>
        <v>4.9072330981144536E-3</v>
      </c>
      <c r="BX251" s="460">
        <f t="shared" si="693"/>
        <v>448.75232696393499</v>
      </c>
      <c r="BY251" s="173">
        <f t="shared" si="694"/>
        <v>1.7057932610177076</v>
      </c>
      <c r="BZ251" s="5">
        <f t="shared" si="695"/>
        <v>5.7399999999999993</v>
      </c>
      <c r="CA251" s="173">
        <f t="shared" si="696"/>
        <v>0.77090510020626646</v>
      </c>
      <c r="CB251" s="5">
        <f t="shared" si="697"/>
        <v>77.090510020626652</v>
      </c>
      <c r="CE251" s="562">
        <f t="shared" si="757"/>
        <v>-50</v>
      </c>
      <c r="CF251">
        <f t="shared" si="758"/>
        <v>-50</v>
      </c>
      <c r="CG251" s="173">
        <f t="shared" si="759"/>
        <v>0.42340086523639375</v>
      </c>
      <c r="CI251" s="170">
        <v>35</v>
      </c>
      <c r="CJ251" s="217">
        <f t="shared" si="698"/>
        <v>0.35</v>
      </c>
      <c r="CK251" s="217"/>
      <c r="CL251" s="217">
        <f t="shared" si="641"/>
        <v>5.7399999999999993</v>
      </c>
      <c r="CM251" s="541">
        <f t="shared" si="642"/>
        <v>36</v>
      </c>
      <c r="CN251" s="443">
        <f t="shared" si="643"/>
        <v>16.799999999999997</v>
      </c>
      <c r="CO251" s="443">
        <f t="shared" si="644"/>
        <v>52.8</v>
      </c>
      <c r="CP251" s="443"/>
      <c r="CQ251" s="217">
        <f t="shared" si="645"/>
        <v>0.31818181818181812</v>
      </c>
      <c r="CR251" s="172">
        <f t="shared" si="646"/>
        <v>38.697272727272725</v>
      </c>
      <c r="CS251" s="172">
        <f t="shared" si="647"/>
        <v>5.7399999999999993</v>
      </c>
      <c r="CT251" s="217">
        <f t="shared" si="648"/>
        <v>2.3595898004434592</v>
      </c>
      <c r="CU251" s="217">
        <f t="shared" si="649"/>
        <v>16.399999999999999</v>
      </c>
      <c r="CV251" s="217"/>
      <c r="CW251" s="172">
        <f t="shared" si="650"/>
        <v>306.9040019930689</v>
      </c>
      <c r="CX251" s="172">
        <f t="shared" si="651"/>
        <v>16.399999999999999</v>
      </c>
      <c r="CY251" s="217">
        <f t="shared" si="652"/>
        <v>1.0022222222222221</v>
      </c>
      <c r="CZ251" s="217">
        <f t="shared" si="653"/>
        <v>0.33407407407407408</v>
      </c>
      <c r="DA251" s="217">
        <f t="shared" si="654"/>
        <v>0.71587301587301599</v>
      </c>
      <c r="DB251" s="197">
        <f t="shared" si="655"/>
        <v>350</v>
      </c>
      <c r="DC251" s="443">
        <f t="shared" si="656"/>
        <v>350</v>
      </c>
      <c r="DE251" s="217">
        <f t="shared" si="657"/>
        <v>2.7272727272727271</v>
      </c>
      <c r="DF251" s="173">
        <f t="shared" si="658"/>
        <v>1.9480519480519483</v>
      </c>
      <c r="DG251" s="173">
        <f t="shared" si="659"/>
        <v>0.92975206611570249</v>
      </c>
      <c r="DH251" s="173"/>
      <c r="DI251" s="173">
        <f t="shared" si="660"/>
        <v>0.95238095238095266</v>
      </c>
      <c r="DJ251" s="545">
        <f t="shared" si="661"/>
        <v>551.24999999999977</v>
      </c>
      <c r="DK251" s="528">
        <f t="shared" si="662"/>
        <v>0.22222222222222232</v>
      </c>
      <c r="DM251" s="173">
        <f t="shared" si="663"/>
        <v>1.6733200530681509</v>
      </c>
      <c r="DN251" s="173">
        <f t="shared" si="664"/>
        <v>1.6733200530681509</v>
      </c>
      <c r="DO251" s="173">
        <f t="shared" si="665"/>
        <v>1.4518420146183832</v>
      </c>
      <c r="DQ251" s="545">
        <f t="shared" si="666"/>
        <v>350</v>
      </c>
      <c r="DR251" s="460">
        <f t="shared" si="667"/>
        <v>350</v>
      </c>
      <c r="DT251">
        <f t="shared" si="668"/>
        <v>350</v>
      </c>
      <c r="DU251">
        <f t="shared" si="669"/>
        <v>350</v>
      </c>
      <c r="DW251" s="5">
        <f t="shared" si="670"/>
        <v>2.8571428571428572</v>
      </c>
      <c r="DX251" s="5">
        <f t="shared" si="671"/>
        <v>0.55777335102271697</v>
      </c>
      <c r="DY251" s="5">
        <f t="shared" si="672"/>
        <v>2.29936950612014</v>
      </c>
      <c r="DZ251" s="5"/>
      <c r="EA251" s="173">
        <f t="shared" si="673"/>
        <v>0.19522067285795094</v>
      </c>
      <c r="EB251" s="173">
        <f t="shared" si="699"/>
        <v>5.8799999999999981</v>
      </c>
      <c r="EC251" s="173">
        <f t="shared" si="700"/>
        <v>0.67332669320074212</v>
      </c>
      <c r="ED251" s="173">
        <f t="shared" si="701"/>
        <v>8.732759386158726</v>
      </c>
      <c r="EE251" s="460">
        <f t="shared" si="674"/>
        <v>1.1903699564509203</v>
      </c>
      <c r="EF251" s="5">
        <f t="shared" si="675"/>
        <v>0.30551807789651847</v>
      </c>
      <c r="EH251" s="173">
        <f t="shared" si="702"/>
        <v>0.42685590230672393</v>
      </c>
      <c r="EI251" s="173">
        <f t="shared" si="703"/>
        <v>0.86667604789750918</v>
      </c>
      <c r="EK251" s="528">
        <f t="shared" si="704"/>
        <v>3.6441192266817492E-3</v>
      </c>
      <c r="EL251" s="528">
        <f t="shared" si="705"/>
        <v>0.6184590916139886</v>
      </c>
      <c r="EM251" s="528">
        <f t="shared" si="706"/>
        <v>4.3749999999999997E-2</v>
      </c>
      <c r="EN251" s="528">
        <f t="shared" si="707"/>
        <v>9.7574399999999992E-2</v>
      </c>
      <c r="EO251">
        <f t="shared" si="708"/>
        <v>1.6199999999999999E-2</v>
      </c>
      <c r="EP251" s="460">
        <f t="shared" si="709"/>
        <v>59.949999999999996</v>
      </c>
      <c r="EQ251" s="460"/>
      <c r="ER251" s="460">
        <f t="shared" si="710"/>
        <v>779.62761084067017</v>
      </c>
      <c r="ES251" s="528">
        <f t="shared" si="711"/>
        <v>0.24499999999999997</v>
      </c>
      <c r="EV251" s="460">
        <f t="shared" si="712"/>
        <v>244.99999999999997</v>
      </c>
      <c r="EW251" s="528">
        <f t="shared" si="713"/>
        <v>5.466178840022623E-3</v>
      </c>
      <c r="EX251" s="528">
        <f t="shared" si="714"/>
        <v>2.2533821159977367E-2</v>
      </c>
      <c r="EY251" s="528">
        <f t="shared" si="715"/>
        <v>0.41503780196264933</v>
      </c>
      <c r="EZ251" s="528"/>
      <c r="FA251" s="528">
        <f t="shared" si="716"/>
        <v>4.8999999999999998E-3</v>
      </c>
      <c r="FB251" s="460">
        <f t="shared" si="717"/>
        <v>447.9378019626493</v>
      </c>
      <c r="FC251" s="173">
        <f t="shared" si="718"/>
        <v>1.4725654128033192</v>
      </c>
      <c r="FD251" s="5">
        <f t="shared" si="719"/>
        <v>5.7399999999999993</v>
      </c>
      <c r="FE251" s="173">
        <f t="shared" si="720"/>
        <v>0.79583333688879854</v>
      </c>
      <c r="FF251" s="5">
        <f t="shared" si="721"/>
        <v>79.583333688879847</v>
      </c>
      <c r="FI251" s="562">
        <f t="shared" si="676"/>
        <v>-50</v>
      </c>
      <c r="FJ251">
        <f t="shared" si="677"/>
        <v>-50</v>
      </c>
      <c r="FL251">
        <f t="shared" si="760"/>
        <v>0.41833001326703778</v>
      </c>
    </row>
    <row r="252" spans="5:168">
      <c r="E252" s="170">
        <v>36</v>
      </c>
      <c r="F252" s="217">
        <f t="shared" si="761"/>
        <v>0.36</v>
      </c>
      <c r="G252" s="217"/>
      <c r="H252" s="217">
        <f t="shared" si="726"/>
        <v>5.903999999999999</v>
      </c>
      <c r="I252" s="541">
        <f t="shared" si="727"/>
        <v>35.958081712139652</v>
      </c>
      <c r="J252" s="172">
        <f t="shared" si="728"/>
        <v>16.825150972716205</v>
      </c>
      <c r="K252" s="172">
        <f t="shared" si="729"/>
        <v>52.783232684855861</v>
      </c>
      <c r="L252" s="443"/>
      <c r="M252" s="217">
        <f t="shared" si="730"/>
        <v>0.31876332324616052</v>
      </c>
      <c r="N252" s="172">
        <f t="shared" si="731"/>
        <v>38.722854040147418</v>
      </c>
      <c r="O252" s="172">
        <f t="shared" si="599"/>
        <v>5.903999999999999</v>
      </c>
      <c r="P252" s="217">
        <f t="shared" si="732"/>
        <v>2.3611496365943547</v>
      </c>
      <c r="Q252" s="217">
        <f t="shared" si="733"/>
        <v>16.399999999999999</v>
      </c>
      <c r="R252" s="217"/>
      <c r="S252" s="172">
        <f t="shared" si="734"/>
        <v>297.03547681480916</v>
      </c>
      <c r="T252" s="172">
        <f t="shared" si="735"/>
        <v>16.399999999999999</v>
      </c>
      <c r="U252" s="217">
        <f t="shared" si="736"/>
        <v>1.0569014038276263</v>
      </c>
      <c r="V252" s="217">
        <f t="shared" si="737"/>
        <v>0.35271116372288919</v>
      </c>
      <c r="W252" s="217">
        <f t="shared" si="738"/>
        <v>0.75380107236470395</v>
      </c>
      <c r="X252" s="197">
        <f t="shared" si="739"/>
        <v>350</v>
      </c>
      <c r="Y252" s="443">
        <f t="shared" si="680"/>
        <v>350</v>
      </c>
      <c r="AA252" s="217">
        <f t="shared" si="740"/>
        <v>2.7290419375094155</v>
      </c>
      <c r="AB252" s="173">
        <f t="shared" si="741"/>
        <v>1.9464017471949113</v>
      </c>
      <c r="AC252" s="173">
        <f t="shared" si="742"/>
        <v>0.92956709918388969</v>
      </c>
      <c r="AD252" s="173"/>
      <c r="AE252" s="173">
        <f t="shared" si="743"/>
        <v>0.95095729161335474</v>
      </c>
      <c r="AF252" s="545">
        <f t="shared" si="744"/>
        <v>567.8488453291717</v>
      </c>
      <c r="AG252" s="528">
        <f t="shared" si="745"/>
        <v>0.2218900347097828</v>
      </c>
      <c r="AI252" s="173">
        <f t="shared" si="746"/>
        <v>1.6983261157159357</v>
      </c>
      <c r="AJ252" s="173">
        <f t="shared" si="747"/>
        <v>1.6983261157159357</v>
      </c>
      <c r="AK252" s="173">
        <f t="shared" si="748"/>
        <v>1.4703650239871127</v>
      </c>
      <c r="AM252" s="545">
        <f t="shared" si="749"/>
        <v>360</v>
      </c>
      <c r="AN252" s="460">
        <f t="shared" si="750"/>
        <v>350</v>
      </c>
      <c r="AP252">
        <f t="shared" si="751"/>
        <v>360</v>
      </c>
      <c r="AQ252">
        <f t="shared" si="752"/>
        <v>350</v>
      </c>
      <c r="AS252" s="5">
        <f t="shared" si="600"/>
        <v>2.8571428571428572</v>
      </c>
      <c r="AT252" s="5">
        <f t="shared" si="753"/>
        <v>0.56676864888793155</v>
      </c>
      <c r="AU252" s="5">
        <f t="shared" si="722"/>
        <v>2.2903742082549257</v>
      </c>
      <c r="AV252" s="5"/>
      <c r="AW252" s="173">
        <f t="shared" si="723"/>
        <v>0.19836902711077603</v>
      </c>
      <c r="AX252" s="173">
        <f t="shared" si="631"/>
        <v>6.0570543501778342</v>
      </c>
      <c r="AY252" s="173">
        <f t="shared" si="632"/>
        <v>0.68071540821227117</v>
      </c>
      <c r="AZ252" s="173">
        <f t="shared" si="633"/>
        <v>8.8980714658496911</v>
      </c>
      <c r="BA252" s="460">
        <f t="shared" si="724"/>
        <v>1.2441263024369231</v>
      </c>
      <c r="BB252" s="5">
        <f t="shared" si="725"/>
        <v>0.31338271031321097</v>
      </c>
      <c r="BD252" s="173">
        <f t="shared" si="681"/>
        <v>0.43671427922937966</v>
      </c>
      <c r="BE252" s="173">
        <f t="shared" si="682"/>
        <v>0.87790536890834037</v>
      </c>
      <c r="BG252" s="528">
        <f t="shared" si="683"/>
        <v>3.8143872336567322E-3</v>
      </c>
      <c r="BH252" s="528">
        <f t="shared" si="754"/>
        <v>0.58828312292269846</v>
      </c>
      <c r="BI252" s="528">
        <f t="shared" si="755"/>
        <v>0.31463321498122193</v>
      </c>
      <c r="BJ252" s="528">
        <f t="shared" si="684"/>
        <v>9.7512437843227273E-2</v>
      </c>
      <c r="BK252">
        <f t="shared" si="685"/>
        <v>1.6181136770462842E-2</v>
      </c>
      <c r="BL252" s="460">
        <f t="shared" si="686"/>
        <v>330.8143517516848</v>
      </c>
      <c r="BM252" s="528">
        <f t="shared" si="756"/>
        <v>0.69126632612265182</v>
      </c>
      <c r="BN252" s="460">
        <f t="shared" si="687"/>
        <v>691.26632612265178</v>
      </c>
      <c r="BO252" s="528">
        <f t="shared" si="637"/>
        <v>0.252</v>
      </c>
      <c r="BR252" s="460">
        <f t="shared" si="688"/>
        <v>252</v>
      </c>
      <c r="BS252" s="528">
        <f t="shared" si="689"/>
        <v>5.7215808504850977E-3</v>
      </c>
      <c r="BT252" s="528">
        <f t="shared" si="690"/>
        <v>2.3121535102742678E-2</v>
      </c>
      <c r="BU252" s="528">
        <f t="shared" si="691"/>
        <v>0.43071781500201128</v>
      </c>
      <c r="BV252" s="528"/>
      <c r="BW252" s="528">
        <f t="shared" si="692"/>
        <v>5.047545291814861E-3</v>
      </c>
      <c r="BX252" s="460">
        <f t="shared" si="693"/>
        <v>464.60847624705394</v>
      </c>
      <c r="BY252" s="173">
        <f t="shared" si="694"/>
        <v>1.7370327759983211</v>
      </c>
      <c r="BZ252" s="5">
        <f t="shared" si="695"/>
        <v>5.903999999999999</v>
      </c>
      <c r="CA252" s="173">
        <f t="shared" si="696"/>
        <v>0.7726704194419094</v>
      </c>
      <c r="CB252" s="5">
        <f t="shared" si="697"/>
        <v>77.267041944190936</v>
      </c>
      <c r="CE252" s="562">
        <f t="shared" si="757"/>
        <v>-50</v>
      </c>
      <c r="CF252">
        <f t="shared" si="758"/>
        <v>-50</v>
      </c>
      <c r="CG252" s="173">
        <f t="shared" si="759"/>
        <v>0.42940685125232808</v>
      </c>
      <c r="CI252" s="170">
        <v>36</v>
      </c>
      <c r="CJ252" s="217">
        <f t="shared" si="698"/>
        <v>0.36</v>
      </c>
      <c r="CK252" s="217"/>
      <c r="CL252" s="217">
        <f t="shared" si="641"/>
        <v>5.903999999999999</v>
      </c>
      <c r="CM252" s="541">
        <f t="shared" si="642"/>
        <v>36</v>
      </c>
      <c r="CN252" s="443">
        <f t="shared" si="643"/>
        <v>16.799999999999997</v>
      </c>
      <c r="CO252" s="443">
        <f t="shared" si="644"/>
        <v>52.8</v>
      </c>
      <c r="CP252" s="443"/>
      <c r="CQ252" s="217">
        <f t="shared" si="645"/>
        <v>0.31818181818181812</v>
      </c>
      <c r="CR252" s="172">
        <f t="shared" si="646"/>
        <v>38.697272727272725</v>
      </c>
      <c r="CS252" s="172">
        <f t="shared" si="647"/>
        <v>5.903999999999999</v>
      </c>
      <c r="CT252" s="217">
        <f t="shared" si="648"/>
        <v>2.3595898004434592</v>
      </c>
      <c r="CU252" s="217">
        <f t="shared" si="649"/>
        <v>16.399999999999999</v>
      </c>
      <c r="CV252" s="217"/>
      <c r="CW252" s="172">
        <f t="shared" si="650"/>
        <v>297.38169090681663</v>
      </c>
      <c r="CX252" s="172">
        <f t="shared" si="651"/>
        <v>16.399999999999999</v>
      </c>
      <c r="CY252" s="217">
        <f t="shared" si="652"/>
        <v>1.0308571428571427</v>
      </c>
      <c r="CZ252" s="217">
        <f t="shared" si="653"/>
        <v>0.3436190476190476</v>
      </c>
      <c r="DA252" s="217">
        <f t="shared" si="654"/>
        <v>0.73632653061224496</v>
      </c>
      <c r="DB252" s="197">
        <f t="shared" si="655"/>
        <v>350</v>
      </c>
      <c r="DC252" s="443">
        <f t="shared" si="656"/>
        <v>350</v>
      </c>
      <c r="DE252" s="217">
        <f t="shared" si="657"/>
        <v>2.7272727272727271</v>
      </c>
      <c r="DF252" s="173">
        <f t="shared" si="658"/>
        <v>1.9480519480519483</v>
      </c>
      <c r="DG252" s="173">
        <f t="shared" si="659"/>
        <v>0.92975206611570249</v>
      </c>
      <c r="DH252" s="173"/>
      <c r="DI252" s="173">
        <f t="shared" si="660"/>
        <v>0.95238095238095266</v>
      </c>
      <c r="DJ252" s="545">
        <f t="shared" si="661"/>
        <v>566.99999999999977</v>
      </c>
      <c r="DK252" s="528">
        <f t="shared" si="662"/>
        <v>0.22222222222222232</v>
      </c>
      <c r="DM252" s="173">
        <f t="shared" si="663"/>
        <v>1.6970562748477138</v>
      </c>
      <c r="DN252" s="173">
        <f t="shared" si="664"/>
        <v>1.6970562748477138</v>
      </c>
      <c r="DO252" s="173">
        <f t="shared" si="665"/>
        <v>1.4694244011217632</v>
      </c>
      <c r="DQ252" s="545">
        <f t="shared" si="666"/>
        <v>360</v>
      </c>
      <c r="DR252" s="460">
        <f t="shared" si="667"/>
        <v>350</v>
      </c>
      <c r="DT252">
        <f t="shared" si="668"/>
        <v>360</v>
      </c>
      <c r="DU252">
        <f t="shared" si="669"/>
        <v>350</v>
      </c>
      <c r="DW252" s="5">
        <f t="shared" si="670"/>
        <v>2.8571428571428572</v>
      </c>
      <c r="DX252" s="5">
        <f t="shared" si="671"/>
        <v>0.5656854249492379</v>
      </c>
      <c r="DY252" s="5">
        <f t="shared" si="672"/>
        <v>2.2914574321936194</v>
      </c>
      <c r="DZ252" s="5"/>
      <c r="EA252" s="173">
        <f t="shared" si="673"/>
        <v>0.19798989873223327</v>
      </c>
      <c r="EB252" s="173">
        <f t="shared" si="699"/>
        <v>6.0479999999999983</v>
      </c>
      <c r="EC252" s="173">
        <f t="shared" si="700"/>
        <v>0.68052813742385698</v>
      </c>
      <c r="ED252" s="173">
        <f t="shared" si="701"/>
        <v>8.88721518980058</v>
      </c>
      <c r="EE252" s="460">
        <f t="shared" si="674"/>
        <v>1.2417484937910102</v>
      </c>
      <c r="EF252" s="5">
        <f t="shared" si="675"/>
        <v>0.31316584906646122</v>
      </c>
      <c r="EH252" s="173">
        <f t="shared" si="702"/>
        <v>0.43597052971840183</v>
      </c>
      <c r="EI252" s="173">
        <f t="shared" si="703"/>
        <v>0.87745637909645169</v>
      </c>
      <c r="EK252" s="528">
        <f t="shared" si="704"/>
        <v>3.8014060556588779E-3</v>
      </c>
      <c r="EL252" s="528">
        <f t="shared" si="705"/>
        <v>0.62723199918371497</v>
      </c>
      <c r="EM252" s="528">
        <f t="shared" si="706"/>
        <v>4.3749999999999997E-2</v>
      </c>
      <c r="EN252" s="528">
        <f t="shared" si="707"/>
        <v>9.7574399999999992E-2</v>
      </c>
      <c r="EO252">
        <f t="shared" si="708"/>
        <v>1.6199999999999999E-2</v>
      </c>
      <c r="EP252" s="460">
        <f t="shared" si="709"/>
        <v>59.949999999999996</v>
      </c>
      <c r="EQ252" s="460"/>
      <c r="ER252" s="460">
        <f t="shared" si="710"/>
        <v>788.55780523937381</v>
      </c>
      <c r="ES252" s="528">
        <f t="shared" si="711"/>
        <v>0.252</v>
      </c>
      <c r="EV252" s="460">
        <f t="shared" si="712"/>
        <v>252</v>
      </c>
      <c r="EW252" s="528">
        <f t="shared" si="713"/>
        <v>5.7021090834883164E-3</v>
      </c>
      <c r="EX252" s="528">
        <f t="shared" si="714"/>
        <v>2.3097890916511678E-2</v>
      </c>
      <c r="EY252" s="528">
        <f t="shared" si="715"/>
        <v>0.42991314562088928</v>
      </c>
      <c r="EZ252" s="528"/>
      <c r="FA252" s="528">
        <f t="shared" si="716"/>
        <v>5.0399999999999985E-3</v>
      </c>
      <c r="FB252" s="460">
        <f t="shared" si="717"/>
        <v>463.75314562088926</v>
      </c>
      <c r="FC252" s="173">
        <f t="shared" si="718"/>
        <v>1.504310950860263</v>
      </c>
      <c r="FD252" s="5">
        <f t="shared" si="719"/>
        <v>5.903999999999999</v>
      </c>
      <c r="FE252" s="173">
        <f t="shared" si="720"/>
        <v>0.79694279022054537</v>
      </c>
      <c r="FF252" s="5">
        <f t="shared" si="721"/>
        <v>79.694279022054531</v>
      </c>
      <c r="FI252" s="562">
        <f t="shared" si="676"/>
        <v>-50</v>
      </c>
      <c r="FJ252">
        <f t="shared" si="677"/>
        <v>-50</v>
      </c>
      <c r="FL252">
        <f t="shared" si="760"/>
        <v>0.42426406871192857</v>
      </c>
    </row>
    <row r="253" spans="5:168">
      <c r="E253" s="170">
        <v>37</v>
      </c>
      <c r="F253" s="217">
        <f t="shared" si="761"/>
        <v>0.37</v>
      </c>
      <c r="G253" s="217"/>
      <c r="H253" s="217">
        <f t="shared" si="726"/>
        <v>6.0679999999999996</v>
      </c>
      <c r="I253" s="541">
        <f t="shared" si="727"/>
        <v>35.957503501544807</v>
      </c>
      <c r="J253" s="172">
        <f t="shared" si="728"/>
        <v>16.825497899073113</v>
      </c>
      <c r="K253" s="172">
        <f t="shared" si="729"/>
        <v>52.78300140061792</v>
      </c>
      <c r="L253" s="443"/>
      <c r="M253" s="217">
        <f t="shared" si="730"/>
        <v>0.31877134692077702</v>
      </c>
      <c r="N253" s="172">
        <f t="shared" si="731"/>
        <v>38.723206059025969</v>
      </c>
      <c r="O253" s="172">
        <f t="shared" si="599"/>
        <v>6.0679999999999996</v>
      </c>
      <c r="P253" s="217">
        <f t="shared" si="732"/>
        <v>2.3611711011601204</v>
      </c>
      <c r="Q253" s="217">
        <f t="shared" si="733"/>
        <v>16.399999999999999</v>
      </c>
      <c r="R253" s="217"/>
      <c r="S253" s="172">
        <f t="shared" si="734"/>
        <v>288.03383534585845</v>
      </c>
      <c r="T253" s="172">
        <f t="shared" si="735"/>
        <v>16.399999999999999</v>
      </c>
      <c r="U253" s="217">
        <f t="shared" si="736"/>
        <v>1.0862725703845904</v>
      </c>
      <c r="V253" s="217">
        <f t="shared" si="737"/>
        <v>0.36251879511198726</v>
      </c>
      <c r="W253" s="217">
        <f t="shared" si="738"/>
        <v>0.77473314149789141</v>
      </c>
      <c r="X253" s="197">
        <f t="shared" si="739"/>
        <v>350</v>
      </c>
      <c r="Y253" s="443">
        <f t="shared" si="680"/>
        <v>350</v>
      </c>
      <c r="AA253" s="217">
        <f t="shared" si="740"/>
        <v>2.7290662829174068</v>
      </c>
      <c r="AB253" s="173">
        <f t="shared" si="741"/>
        <v>1.9463789773979263</v>
      </c>
      <c r="AC253" s="173">
        <f t="shared" si="742"/>
        <v>0.92956451717428978</v>
      </c>
      <c r="AD253" s="173"/>
      <c r="AE253" s="173">
        <f t="shared" si="743"/>
        <v>0.9509376837449437</v>
      </c>
      <c r="AF253" s="545">
        <f t="shared" si="744"/>
        <v>583.63445837409836</v>
      </c>
      <c r="AG253" s="528">
        <f t="shared" si="745"/>
        <v>0.22188545954048688</v>
      </c>
      <c r="AI253" s="173">
        <f t="shared" si="746"/>
        <v>1.721770160904047</v>
      </c>
      <c r="AJ253" s="173">
        <f t="shared" si="747"/>
        <v>1.721770160904047</v>
      </c>
      <c r="AK253" s="173">
        <f t="shared" si="748"/>
        <v>1.4877309833857137</v>
      </c>
      <c r="AM253" s="545">
        <f t="shared" si="749"/>
        <v>370</v>
      </c>
      <c r="AN253" s="460">
        <f t="shared" si="750"/>
        <v>350</v>
      </c>
      <c r="AP253">
        <f t="shared" si="751"/>
        <v>370</v>
      </c>
      <c r="AQ253">
        <f t="shared" si="752"/>
        <v>350</v>
      </c>
      <c r="AS253" s="5">
        <f t="shared" si="600"/>
        <v>2.8571428571428572</v>
      </c>
      <c r="AT253" s="5">
        <f t="shared" si="753"/>
        <v>0.57460168028519876</v>
      </c>
      <c r="AU253" s="5">
        <f t="shared" si="722"/>
        <v>2.2825411768576584</v>
      </c>
      <c r="AV253" s="5"/>
      <c r="AW253" s="173">
        <f t="shared" si="723"/>
        <v>0.20111058809981955</v>
      </c>
      <c r="AX253" s="173">
        <f t="shared" si="631"/>
        <v>6.22543422265705</v>
      </c>
      <c r="AY253" s="173">
        <f t="shared" si="632"/>
        <v>0.68775197563595658</v>
      </c>
      <c r="AZ253" s="173">
        <f t="shared" si="633"/>
        <v>9.0518594539847896</v>
      </c>
      <c r="BA253" s="460">
        <f t="shared" si="724"/>
        <v>1.2963574494239243</v>
      </c>
      <c r="BB253" s="5">
        <f t="shared" si="725"/>
        <v>0.32099141376192469</v>
      </c>
      <c r="BD253" s="173">
        <f t="shared" si="681"/>
        <v>0.44579174041771025</v>
      </c>
      <c r="BE253" s="173">
        <f t="shared" si="682"/>
        <v>0.88850092093473088</v>
      </c>
      <c r="BG253" s="528">
        <f t="shared" si="683"/>
        <v>3.9746055164930237E-3</v>
      </c>
      <c r="BH253" s="528">
        <f t="shared" si="754"/>
        <v>0.59640129159542166</v>
      </c>
      <c r="BI253" s="528">
        <f t="shared" si="755"/>
        <v>0.31462815563851704</v>
      </c>
      <c r="BJ253" s="528">
        <f t="shared" si="684"/>
        <v>9.7511583290017162E-2</v>
      </c>
      <c r="BK253">
        <f t="shared" si="685"/>
        <v>1.6180876575695162E-2</v>
      </c>
      <c r="BL253" s="460">
        <f t="shared" si="686"/>
        <v>330.80903221421221</v>
      </c>
      <c r="BM253" s="528">
        <f t="shared" si="756"/>
        <v>0.69962132267079091</v>
      </c>
      <c r="BN253" s="460">
        <f t="shared" si="687"/>
        <v>699.62132267079096</v>
      </c>
      <c r="BO253" s="528">
        <f t="shared" si="637"/>
        <v>0.25900000000000001</v>
      </c>
      <c r="BR253" s="460">
        <f t="shared" si="688"/>
        <v>259</v>
      </c>
      <c r="BS253" s="528">
        <f t="shared" si="689"/>
        <v>5.9619082747395351E-3</v>
      </c>
      <c r="BT253" s="528">
        <f t="shared" si="690"/>
        <v>2.3683016595055943E-2</v>
      </c>
      <c r="BU253" s="528">
        <f t="shared" si="691"/>
        <v>0.44573635545352314</v>
      </c>
      <c r="BV253" s="528"/>
      <c r="BW253" s="528">
        <f t="shared" si="692"/>
        <v>5.1878618522142091E-3</v>
      </c>
      <c r="BX253" s="460">
        <f t="shared" si="693"/>
        <v>480.56914217553282</v>
      </c>
      <c r="BY253" s="173">
        <f t="shared" si="694"/>
        <v>1.7682656547916771</v>
      </c>
      <c r="BZ253" s="5">
        <f t="shared" si="695"/>
        <v>6.0679999999999996</v>
      </c>
      <c r="CA253" s="173">
        <f t="shared" si="696"/>
        <v>0.77434842912574975</v>
      </c>
      <c r="CB253" s="5">
        <f t="shared" si="697"/>
        <v>77.434842912574979</v>
      </c>
      <c r="CE253" s="562">
        <f t="shared" si="757"/>
        <v>-50</v>
      </c>
      <c r="CF253">
        <f t="shared" si="758"/>
        <v>-50</v>
      </c>
      <c r="CG253" s="173">
        <f t="shared" si="759"/>
        <v>0.43532998417516711</v>
      </c>
      <c r="CI253" s="170">
        <v>37</v>
      </c>
      <c r="CJ253" s="217">
        <f t="shared" si="698"/>
        <v>0.37</v>
      </c>
      <c r="CK253" s="217"/>
      <c r="CL253" s="217">
        <f t="shared" si="641"/>
        <v>6.0679999999999996</v>
      </c>
      <c r="CM253" s="541">
        <f t="shared" si="642"/>
        <v>36</v>
      </c>
      <c r="CN253" s="443">
        <f t="shared" si="643"/>
        <v>16.799999999999997</v>
      </c>
      <c r="CO253" s="443">
        <f t="shared" si="644"/>
        <v>52.8</v>
      </c>
      <c r="CP253" s="443"/>
      <c r="CQ253" s="217">
        <f t="shared" si="645"/>
        <v>0.31818181818181812</v>
      </c>
      <c r="CR253" s="172">
        <f t="shared" si="646"/>
        <v>38.697272727272725</v>
      </c>
      <c r="CS253" s="172">
        <f t="shared" si="647"/>
        <v>6.0679999999999996</v>
      </c>
      <c r="CT253" s="217">
        <f t="shared" si="648"/>
        <v>2.3595898004434592</v>
      </c>
      <c r="CU253" s="217">
        <f t="shared" si="649"/>
        <v>16.399999999999999</v>
      </c>
      <c r="CV253" s="217"/>
      <c r="CW253" s="172">
        <f t="shared" si="650"/>
        <v>288.37419027663191</v>
      </c>
      <c r="CX253" s="172">
        <f t="shared" si="651"/>
        <v>16.399999999999999</v>
      </c>
      <c r="CY253" s="217">
        <f t="shared" si="652"/>
        <v>1.0594920634920635</v>
      </c>
      <c r="CZ253" s="217">
        <f t="shared" si="653"/>
        <v>0.35316402116402112</v>
      </c>
      <c r="DA253" s="217">
        <f t="shared" si="654"/>
        <v>0.75678004535147403</v>
      </c>
      <c r="DB253" s="197">
        <f t="shared" si="655"/>
        <v>350</v>
      </c>
      <c r="DC253" s="443">
        <f t="shared" si="656"/>
        <v>350</v>
      </c>
      <c r="DE253" s="217">
        <f t="shared" si="657"/>
        <v>2.7272727272727271</v>
      </c>
      <c r="DF253" s="173">
        <f t="shared" si="658"/>
        <v>1.9480519480519483</v>
      </c>
      <c r="DG253" s="173">
        <f t="shared" si="659"/>
        <v>0.92975206611570249</v>
      </c>
      <c r="DH253" s="173"/>
      <c r="DI253" s="173">
        <f t="shared" si="660"/>
        <v>0.95238095238095266</v>
      </c>
      <c r="DJ253" s="545">
        <f t="shared" si="661"/>
        <v>582.74999999999977</v>
      </c>
      <c r="DK253" s="528">
        <f t="shared" si="662"/>
        <v>0.22222222222222232</v>
      </c>
      <c r="DM253" s="173">
        <f t="shared" si="663"/>
        <v>1.7204650534085253</v>
      </c>
      <c r="DN253" s="173">
        <f t="shared" si="664"/>
        <v>1.7204650534085253</v>
      </c>
      <c r="DO253" s="173">
        <f t="shared" si="665"/>
        <v>1.4867642370927348</v>
      </c>
      <c r="DQ253" s="545">
        <f t="shared" si="666"/>
        <v>370</v>
      </c>
      <c r="DR253" s="460">
        <f t="shared" si="667"/>
        <v>350</v>
      </c>
      <c r="DT253">
        <f t="shared" si="668"/>
        <v>370</v>
      </c>
      <c r="DU253">
        <f t="shared" si="669"/>
        <v>350</v>
      </c>
      <c r="DW253" s="5">
        <f t="shared" si="670"/>
        <v>2.8571428571428572</v>
      </c>
      <c r="DX253" s="5">
        <f t="shared" si="671"/>
        <v>0.57348835113617513</v>
      </c>
      <c r="DY253" s="5">
        <f t="shared" si="672"/>
        <v>2.2836545060066822</v>
      </c>
      <c r="DZ253" s="5"/>
      <c r="EA253" s="173">
        <f t="shared" si="673"/>
        <v>0.2007209228976613</v>
      </c>
      <c r="EB253" s="173">
        <f t="shared" si="699"/>
        <v>6.2160000000000002</v>
      </c>
      <c r="EC253" s="173">
        <f t="shared" si="700"/>
        <v>0.68756586003759601</v>
      </c>
      <c r="ED253" s="173">
        <f t="shared" si="701"/>
        <v>9.040588489457738</v>
      </c>
      <c r="EE253" s="460">
        <f t="shared" si="674"/>
        <v>1.2938456702462491</v>
      </c>
      <c r="EF253" s="5">
        <f t="shared" si="675"/>
        <v>0.32076887829742001</v>
      </c>
      <c r="EH253" s="173">
        <f t="shared" si="702"/>
        <v>0.4450220712792709</v>
      </c>
      <c r="EI253" s="173">
        <f t="shared" si="703"/>
        <v>0.8880439306368656</v>
      </c>
      <c r="EK253" s="528">
        <f t="shared" si="704"/>
        <v>3.9608928785138491E-3</v>
      </c>
      <c r="EL253" s="528">
        <f t="shared" si="705"/>
        <v>0.63588388373979099</v>
      </c>
      <c r="EM253" s="528">
        <f t="shared" si="706"/>
        <v>4.3749999999999997E-2</v>
      </c>
      <c r="EN253" s="528">
        <f t="shared" si="707"/>
        <v>9.7574399999999992E-2</v>
      </c>
      <c r="EO253">
        <f t="shared" si="708"/>
        <v>1.6199999999999999E-2</v>
      </c>
      <c r="EP253" s="460">
        <f t="shared" si="709"/>
        <v>59.949999999999996</v>
      </c>
      <c r="EQ253" s="460"/>
      <c r="ER253" s="460">
        <f t="shared" si="710"/>
        <v>797.36917661830478</v>
      </c>
      <c r="ES253" s="528">
        <f t="shared" si="711"/>
        <v>0.25900000000000001</v>
      </c>
      <c r="EV253" s="460">
        <f t="shared" si="712"/>
        <v>259</v>
      </c>
      <c r="EW253" s="528">
        <f t="shared" si="713"/>
        <v>5.9413393177707736E-3</v>
      </c>
      <c r="EX253" s="528">
        <f t="shared" si="714"/>
        <v>2.3658660682229223E-2</v>
      </c>
      <c r="EY253" s="528">
        <f t="shared" si="715"/>
        <v>0.44489216150073968</v>
      </c>
      <c r="EZ253" s="528"/>
      <c r="FA253" s="528">
        <f t="shared" si="716"/>
        <v>5.1800000000000006E-3</v>
      </c>
      <c r="FB253" s="460">
        <f t="shared" si="717"/>
        <v>479.67216150073972</v>
      </c>
      <c r="FC253" s="173">
        <f t="shared" si="718"/>
        <v>1.5360413381190445</v>
      </c>
      <c r="FD253" s="5">
        <f t="shared" si="719"/>
        <v>6.0679999999999996</v>
      </c>
      <c r="FE253" s="173">
        <f t="shared" si="720"/>
        <v>0.79799671387649185</v>
      </c>
      <c r="FF253" s="5">
        <f t="shared" si="721"/>
        <v>79.799671387649184</v>
      </c>
      <c r="FI253" s="562">
        <f t="shared" si="676"/>
        <v>-50</v>
      </c>
      <c r="FJ253">
        <f t="shared" si="677"/>
        <v>-50</v>
      </c>
      <c r="FL253">
        <f t="shared" si="760"/>
        <v>0.43011626335213138</v>
      </c>
    </row>
    <row r="254" spans="5:168">
      <c r="E254" s="170">
        <v>38</v>
      </c>
      <c r="F254" s="217">
        <f t="shared" si="761"/>
        <v>0.38</v>
      </c>
      <c r="G254" s="217"/>
      <c r="H254" s="217">
        <f t="shared" si="726"/>
        <v>6.2319999999999993</v>
      </c>
      <c r="I254" s="541">
        <f t="shared" si="727"/>
        <v>35.956933053222201</v>
      </c>
      <c r="J254" s="172">
        <f t="shared" si="728"/>
        <v>16.825840168066676</v>
      </c>
      <c r="K254" s="172">
        <f t="shared" si="729"/>
        <v>52.782773221288878</v>
      </c>
      <c r="L254" s="443"/>
      <c r="M254" s="217">
        <f t="shared" si="730"/>
        <v>0.31877926294806003</v>
      </c>
      <c r="N254" s="172">
        <f t="shared" si="731"/>
        <v>38.723553329675759</v>
      </c>
      <c r="O254" s="172">
        <f t="shared" si="599"/>
        <v>6.2319999999999993</v>
      </c>
      <c r="P254" s="217">
        <f t="shared" si="732"/>
        <v>2.3611922761997417</v>
      </c>
      <c r="Q254" s="217">
        <f t="shared" si="733"/>
        <v>16.399999999999999</v>
      </c>
      <c r="R254" s="217"/>
      <c r="S254" s="172">
        <f t="shared" si="734"/>
        <v>279.50614466719946</v>
      </c>
      <c r="T254" s="172">
        <f t="shared" si="735"/>
        <v>16.399999999999999</v>
      </c>
      <c r="U254" s="217">
        <f t="shared" si="736"/>
        <v>1.1156442525355088</v>
      </c>
      <c r="V254" s="217">
        <f t="shared" si="737"/>
        <v>0.37232683362093349</v>
      </c>
      <c r="W254" s="217">
        <f t="shared" si="738"/>
        <v>0.79566493540300787</v>
      </c>
      <c r="X254" s="197">
        <f t="shared" si="739"/>
        <v>350</v>
      </c>
      <c r="Y254" s="443">
        <f t="shared" si="680"/>
        <v>350</v>
      </c>
      <c r="AA254" s="217">
        <f t="shared" si="740"/>
        <v>2.7290902999325617</v>
      </c>
      <c r="AB254" s="173">
        <f t="shared" si="741"/>
        <v>1.9463565130818474</v>
      </c>
      <c r="AC254" s="173">
        <f t="shared" si="742"/>
        <v>0.92956196901089094</v>
      </c>
      <c r="AD254" s="173"/>
      <c r="AE254" s="173">
        <f t="shared" si="743"/>
        <v>0.95091833989758123</v>
      </c>
      <c r="AF254" s="545">
        <f t="shared" si="744"/>
        <v>599.42055598737522</v>
      </c>
      <c r="AG254" s="528">
        <f t="shared" si="745"/>
        <v>0.22188094597610231</v>
      </c>
      <c r="AI254" s="173">
        <f t="shared" si="746"/>
        <v>1.7448999512682308</v>
      </c>
      <c r="AJ254" s="173">
        <f t="shared" si="747"/>
        <v>1.7448999512682308</v>
      </c>
      <c r="AK254" s="173">
        <f t="shared" si="748"/>
        <v>1.5048641614332572</v>
      </c>
      <c r="AM254" s="545">
        <f t="shared" si="749"/>
        <v>380</v>
      </c>
      <c r="AN254" s="460">
        <f t="shared" si="750"/>
        <v>350</v>
      </c>
      <c r="AP254">
        <f t="shared" si="751"/>
        <v>380</v>
      </c>
      <c r="AQ254">
        <f t="shared" si="752"/>
        <v>350</v>
      </c>
      <c r="AS254" s="5">
        <f t="shared" si="600"/>
        <v>2.8571428571428572</v>
      </c>
      <c r="AT254" s="5">
        <f t="shared" si="753"/>
        <v>0.58232996079576327</v>
      </c>
      <c r="AU254" s="5">
        <f t="shared" si="722"/>
        <v>2.2748128963470942</v>
      </c>
      <c r="AV254" s="5"/>
      <c r="AW254" s="173">
        <f t="shared" si="723"/>
        <v>0.20381548627851714</v>
      </c>
      <c r="AX254" s="173">
        <f t="shared" si="631"/>
        <v>6.3938192638653364</v>
      </c>
      <c r="AY254" s="173">
        <f t="shared" si="632"/>
        <v>0.69463115959656785</v>
      </c>
      <c r="AZ254" s="173">
        <f t="shared" si="633"/>
        <v>9.2046248941363036</v>
      </c>
      <c r="BA254" s="460">
        <f t="shared" si="724"/>
        <v>1.3493011286731103</v>
      </c>
      <c r="BB254" s="5">
        <f t="shared" si="725"/>
        <v>0.32855587611461301</v>
      </c>
      <c r="BD254" s="173">
        <f t="shared" si="681"/>
        <v>0.45480841639712533</v>
      </c>
      <c r="BE254" s="173">
        <f t="shared" si="682"/>
        <v>0.89891114745542589</v>
      </c>
      <c r="BG254" s="528">
        <f t="shared" si="683"/>
        <v>4.1370139125132188E-3</v>
      </c>
      <c r="BH254" s="528">
        <f t="shared" si="754"/>
        <v>0.6044105708919405</v>
      </c>
      <c r="BI254" s="528">
        <f t="shared" si="755"/>
        <v>0.31462316421569425</v>
      </c>
      <c r="BJ254" s="528">
        <f t="shared" si="684"/>
        <v>9.7510740212550379E-2</v>
      </c>
      <c r="BK254">
        <f t="shared" si="685"/>
        <v>1.6180619873949989E-2</v>
      </c>
      <c r="BL254" s="460">
        <f t="shared" si="686"/>
        <v>330.80378408964424</v>
      </c>
      <c r="BM254" s="528">
        <f t="shared" si="756"/>
        <v>0.70787112388399787</v>
      </c>
      <c r="BN254" s="460">
        <f t="shared" si="687"/>
        <v>707.87112388399783</v>
      </c>
      <c r="BO254" s="528">
        <f t="shared" si="637"/>
        <v>0.26599999999999996</v>
      </c>
      <c r="BR254" s="460">
        <f t="shared" si="688"/>
        <v>265.99999999999994</v>
      </c>
      <c r="BS254" s="528">
        <f t="shared" si="689"/>
        <v>6.2055208687698277E-3</v>
      </c>
      <c r="BT254" s="528">
        <f t="shared" si="690"/>
        <v>2.4241237530588912E-2</v>
      </c>
      <c r="BU254" s="528">
        <f t="shared" si="691"/>
        <v>0.46085726856862202</v>
      </c>
      <c r="BV254" s="528"/>
      <c r="BW254" s="528">
        <f t="shared" si="692"/>
        <v>5.3281827198877812E-3</v>
      </c>
      <c r="BX254" s="460">
        <f t="shared" si="693"/>
        <v>496.63220968786851</v>
      </c>
      <c r="BY254" s="173">
        <f t="shared" si="694"/>
        <v>1.7994943187945172</v>
      </c>
      <c r="BZ254" s="5">
        <f t="shared" si="695"/>
        <v>6.2319999999999993</v>
      </c>
      <c r="CA254" s="173">
        <f t="shared" si="696"/>
        <v>0.77594526655101814</v>
      </c>
      <c r="CB254" s="5">
        <f t="shared" si="697"/>
        <v>77.594526655101816</v>
      </c>
      <c r="CE254" s="562">
        <f t="shared" si="757"/>
        <v>-50</v>
      </c>
      <c r="CF254">
        <f t="shared" si="758"/>
        <v>-50</v>
      </c>
      <c r="CG254" s="173">
        <f t="shared" si="759"/>
        <v>0.44117360113844467</v>
      </c>
      <c r="CI254" s="170">
        <v>38</v>
      </c>
      <c r="CJ254" s="217">
        <f t="shared" si="698"/>
        <v>0.38</v>
      </c>
      <c r="CK254" s="217"/>
      <c r="CL254" s="217">
        <f t="shared" si="641"/>
        <v>6.2319999999999993</v>
      </c>
      <c r="CM254" s="541">
        <f t="shared" si="642"/>
        <v>36</v>
      </c>
      <c r="CN254" s="443">
        <f t="shared" si="643"/>
        <v>16.799999999999997</v>
      </c>
      <c r="CO254" s="443">
        <f t="shared" si="644"/>
        <v>52.8</v>
      </c>
      <c r="CP254" s="443"/>
      <c r="CQ254" s="217">
        <f t="shared" si="645"/>
        <v>0.31818181818181812</v>
      </c>
      <c r="CR254" s="172">
        <f t="shared" si="646"/>
        <v>38.697272727272725</v>
      </c>
      <c r="CS254" s="172">
        <f t="shared" si="647"/>
        <v>6.2319999999999993</v>
      </c>
      <c r="CT254" s="217">
        <f t="shared" si="648"/>
        <v>2.3595898004434592</v>
      </c>
      <c r="CU254" s="217">
        <f t="shared" si="649"/>
        <v>16.399999999999999</v>
      </c>
      <c r="CV254" s="217"/>
      <c r="CW254" s="172">
        <f t="shared" si="650"/>
        <v>279.84085805442686</v>
      </c>
      <c r="CX254" s="172">
        <f t="shared" si="651"/>
        <v>16.399999999999999</v>
      </c>
      <c r="CY254" s="217">
        <f t="shared" si="652"/>
        <v>1.0881269841269841</v>
      </c>
      <c r="CZ254" s="217">
        <f t="shared" si="653"/>
        <v>0.3627089947089947</v>
      </c>
      <c r="DA254" s="217">
        <f t="shared" si="654"/>
        <v>0.7772335600907031</v>
      </c>
      <c r="DB254" s="197">
        <f t="shared" si="655"/>
        <v>350</v>
      </c>
      <c r="DC254" s="443">
        <f t="shared" si="656"/>
        <v>350</v>
      </c>
      <c r="DE254" s="217">
        <f t="shared" si="657"/>
        <v>2.7272727272727271</v>
      </c>
      <c r="DF254" s="173">
        <f t="shared" si="658"/>
        <v>1.9480519480519483</v>
      </c>
      <c r="DG254" s="173">
        <f t="shared" si="659"/>
        <v>0.92975206611570249</v>
      </c>
      <c r="DH254" s="173"/>
      <c r="DI254" s="173">
        <f t="shared" si="660"/>
        <v>0.95238095238095266</v>
      </c>
      <c r="DJ254" s="545">
        <f t="shared" si="661"/>
        <v>598.49999999999977</v>
      </c>
      <c r="DK254" s="528">
        <f t="shared" si="662"/>
        <v>0.22222222222222232</v>
      </c>
      <c r="DM254" s="173">
        <f t="shared" si="663"/>
        <v>1.7435595774162691</v>
      </c>
      <c r="DN254" s="173">
        <f t="shared" si="664"/>
        <v>1.7435595774162691</v>
      </c>
      <c r="DO254" s="173">
        <f t="shared" si="665"/>
        <v>1.5038712919132857</v>
      </c>
      <c r="DQ254" s="545">
        <f t="shared" si="666"/>
        <v>380</v>
      </c>
      <c r="DR254" s="460">
        <f t="shared" si="667"/>
        <v>350</v>
      </c>
      <c r="DT254">
        <f t="shared" si="668"/>
        <v>380</v>
      </c>
      <c r="DU254">
        <f t="shared" si="669"/>
        <v>350</v>
      </c>
      <c r="DW254" s="5">
        <f t="shared" si="670"/>
        <v>2.8571428571428572</v>
      </c>
      <c r="DX254" s="5">
        <f t="shared" si="671"/>
        <v>0.58118652580542307</v>
      </c>
      <c r="DY254" s="5">
        <f t="shared" si="672"/>
        <v>2.2759563313374342</v>
      </c>
      <c r="DZ254" s="5"/>
      <c r="EA254" s="173">
        <f t="shared" si="673"/>
        <v>0.20341528403189807</v>
      </c>
      <c r="EB254" s="173">
        <f t="shared" si="699"/>
        <v>6.3839999999999977</v>
      </c>
      <c r="EC254" s="173">
        <f t="shared" si="700"/>
        <v>0.69444645537480121</v>
      </c>
      <c r="ED254" s="173">
        <f t="shared" si="701"/>
        <v>9.1929333796577239</v>
      </c>
      <c r="EE254" s="460">
        <f t="shared" si="674"/>
        <v>1.3466517061345171</v>
      </c>
      <c r="EF254" s="5">
        <f t="shared" si="675"/>
        <v>0.32832777446515943</v>
      </c>
      <c r="EH254" s="173">
        <f t="shared" si="702"/>
        <v>0.45401265160674759</v>
      </c>
      <c r="EI254" s="173">
        <f t="shared" si="703"/>
        <v>0.89844635093829794</v>
      </c>
      <c r="EK254" s="528">
        <f t="shared" si="704"/>
        <v>4.1225497563797996E-3</v>
      </c>
      <c r="EL254" s="528">
        <f t="shared" si="705"/>
        <v>0.64441961981305307</v>
      </c>
      <c r="EM254" s="528">
        <f t="shared" si="706"/>
        <v>4.3749999999999997E-2</v>
      </c>
      <c r="EN254" s="528">
        <f t="shared" si="707"/>
        <v>9.7574399999999992E-2</v>
      </c>
      <c r="EO254">
        <f t="shared" si="708"/>
        <v>1.6199999999999999E-2</v>
      </c>
      <c r="EP254" s="460">
        <f t="shared" si="709"/>
        <v>59.949999999999996</v>
      </c>
      <c r="EQ254" s="460"/>
      <c r="ER254" s="460">
        <f t="shared" si="710"/>
        <v>806.06656956943277</v>
      </c>
      <c r="ES254" s="528">
        <f t="shared" si="711"/>
        <v>0.26599999999999996</v>
      </c>
      <c r="EV254" s="460">
        <f t="shared" si="712"/>
        <v>265.99999999999994</v>
      </c>
      <c r="EW254" s="528">
        <f t="shared" si="713"/>
        <v>6.1838246345696981E-3</v>
      </c>
      <c r="EX254" s="528">
        <f t="shared" si="714"/>
        <v>2.4216175365430297E-2</v>
      </c>
      <c r="EY254" s="528">
        <f t="shared" si="715"/>
        <v>0.45997274050026665</v>
      </c>
      <c r="EZ254" s="528"/>
      <c r="FA254" s="528">
        <f t="shared" si="716"/>
        <v>5.3199999999999983E-3</v>
      </c>
      <c r="FB254" s="460">
        <f t="shared" si="717"/>
        <v>495.69274050026661</v>
      </c>
      <c r="FC254" s="173">
        <f t="shared" si="718"/>
        <v>1.5677593100696994</v>
      </c>
      <c r="FD254" s="5">
        <f t="shared" si="719"/>
        <v>6.2319999999999993</v>
      </c>
      <c r="FE254" s="173">
        <f t="shared" si="720"/>
        <v>0.79899901423295461</v>
      </c>
      <c r="FF254" s="5">
        <f t="shared" si="721"/>
        <v>79.899901423295461</v>
      </c>
      <c r="FI254" s="562">
        <f t="shared" si="676"/>
        <v>-50</v>
      </c>
      <c r="FJ254">
        <f t="shared" si="677"/>
        <v>-50</v>
      </c>
      <c r="FL254">
        <f t="shared" si="760"/>
        <v>0.43588989435406739</v>
      </c>
    </row>
    <row r="255" spans="5:168">
      <c r="E255" s="170">
        <v>39</v>
      </c>
      <c r="F255" s="217">
        <f t="shared" si="761"/>
        <v>0.39</v>
      </c>
      <c r="G255" s="217"/>
      <c r="H255" s="217">
        <f t="shared" si="726"/>
        <v>6.3959999999999999</v>
      </c>
      <c r="I255" s="541">
        <f t="shared" si="727"/>
        <v>35.956370062702639</v>
      </c>
      <c r="J255" s="172">
        <f t="shared" si="728"/>
        <v>16.826177962378413</v>
      </c>
      <c r="K255" s="172">
        <f t="shared" si="729"/>
        <v>52.782548025081056</v>
      </c>
      <c r="L255" s="443"/>
      <c r="M255" s="217">
        <f t="shared" si="730"/>
        <v>0.31878707555039476</v>
      </c>
      <c r="N255" s="172">
        <f t="shared" si="731"/>
        <v>38.723896038342147</v>
      </c>
      <c r="O255" s="172">
        <f t="shared" si="599"/>
        <v>6.3959999999999999</v>
      </c>
      <c r="P255" s="217">
        <f t="shared" si="732"/>
        <v>2.3612131730696433</v>
      </c>
      <c r="Q255" s="217">
        <f t="shared" si="733"/>
        <v>16.399999999999999</v>
      </c>
      <c r="R255" s="217"/>
      <c r="S255" s="172">
        <f t="shared" si="734"/>
        <v>271.41594500208214</v>
      </c>
      <c r="T255" s="172">
        <f t="shared" si="735"/>
        <v>16.399999999999999</v>
      </c>
      <c r="U255" s="217">
        <f t="shared" si="736"/>
        <v>1.1450164434713435</v>
      </c>
      <c r="V255" s="217">
        <f t="shared" si="737"/>
        <v>0.38213527388040647</v>
      </c>
      <c r="W255" s="217">
        <f t="shared" si="738"/>
        <v>0.81659645775634704</v>
      </c>
      <c r="X255" s="197">
        <f t="shared" si="739"/>
        <v>350</v>
      </c>
      <c r="Y255" s="443">
        <f t="shared" si="680"/>
        <v>350</v>
      </c>
      <c r="AA255" s="217">
        <f t="shared" si="740"/>
        <v>2.7291140014358173</v>
      </c>
      <c r="AB255" s="173">
        <f t="shared" si="741"/>
        <v>1.9463343422644168</v>
      </c>
      <c r="AC255" s="173">
        <f t="shared" si="742"/>
        <v>0.92955945336610868</v>
      </c>
      <c r="AD255" s="173"/>
      <c r="AE255" s="173">
        <f t="shared" si="743"/>
        <v>0.95089924971519624</v>
      </c>
      <c r="AF255" s="545">
        <f t="shared" si="744"/>
        <v>615.2071317494607</v>
      </c>
      <c r="AG255" s="528">
        <f t="shared" si="745"/>
        <v>0.22187649160021244</v>
      </c>
      <c r="AI255" s="173">
        <f t="shared" si="746"/>
        <v>1.767727813206706</v>
      </c>
      <c r="AJ255" s="173">
        <f t="shared" si="747"/>
        <v>1.767727813206706</v>
      </c>
      <c r="AK255" s="173">
        <f t="shared" si="748"/>
        <v>1.5217736887950908</v>
      </c>
      <c r="AM255" s="545">
        <f t="shared" si="749"/>
        <v>390</v>
      </c>
      <c r="AN255" s="460">
        <f t="shared" si="750"/>
        <v>350</v>
      </c>
      <c r="AP255">
        <f t="shared" si="751"/>
        <v>390</v>
      </c>
      <c r="AQ255">
        <f t="shared" si="752"/>
        <v>350</v>
      </c>
      <c r="AS255" s="5">
        <f t="shared" si="600"/>
        <v>2.8571428571428572</v>
      </c>
      <c r="AT255" s="5">
        <f t="shared" si="753"/>
        <v>0.58995759920950241</v>
      </c>
      <c r="AU255" s="5">
        <f t="shared" si="722"/>
        <v>2.2671852579333547</v>
      </c>
      <c r="AV255" s="5"/>
      <c r="AW255" s="173">
        <f t="shared" si="723"/>
        <v>0.20648515972332585</v>
      </c>
      <c r="AX255" s="173">
        <f t="shared" si="631"/>
        <v>6.5622094053275823</v>
      </c>
      <c r="AY255" s="173">
        <f t="shared" si="632"/>
        <v>0.70135912667467692</v>
      </c>
      <c r="AZ255" s="173">
        <f t="shared" si="633"/>
        <v>9.3564183536624039</v>
      </c>
      <c r="BA255" s="460">
        <f t="shared" si="724"/>
        <v>1.4029479493396708</v>
      </c>
      <c r="BB255" s="5">
        <f t="shared" si="725"/>
        <v>0.33607667858885315</v>
      </c>
      <c r="BD255" s="173">
        <f t="shared" si="681"/>
        <v>0.46376630287469117</v>
      </c>
      <c r="BE255" s="173">
        <f t="shared" si="682"/>
        <v>0.90914319930697818</v>
      </c>
      <c r="BG255" s="528">
        <f t="shared" si="683"/>
        <v>4.3015836736411952E-3</v>
      </c>
      <c r="BH255" s="528">
        <f t="shared" si="754"/>
        <v>0.61231523191029502</v>
      </c>
      <c r="BI255" s="528">
        <f t="shared" si="755"/>
        <v>0.31461823804864808</v>
      </c>
      <c r="BJ255" s="528">
        <f t="shared" si="684"/>
        <v>9.7509908160699585E-2</v>
      </c>
      <c r="BK255">
        <f t="shared" si="685"/>
        <v>1.6180366528216188E-2</v>
      </c>
      <c r="BL255" s="460">
        <f t="shared" si="686"/>
        <v>330.79860457686425</v>
      </c>
      <c r="BM255" s="528">
        <f t="shared" si="756"/>
        <v>0.71601996403798307</v>
      </c>
      <c r="BN255" s="460">
        <f t="shared" si="687"/>
        <v>716.01996403798307</v>
      </c>
      <c r="BO255" s="528">
        <f t="shared" si="637"/>
        <v>0.27299999999999996</v>
      </c>
      <c r="BR255" s="460">
        <f t="shared" si="688"/>
        <v>272.99999999999994</v>
      </c>
      <c r="BS255" s="528">
        <f t="shared" si="689"/>
        <v>6.4523755104617933E-3</v>
      </c>
      <c r="BT255" s="528">
        <f t="shared" si="690"/>
        <v>2.4796240705383835E-2</v>
      </c>
      <c r="BU255" s="528">
        <f t="shared" si="691"/>
        <v>0.47607853735578237</v>
      </c>
      <c r="BV255" s="528"/>
      <c r="BW255" s="528">
        <f t="shared" si="692"/>
        <v>5.4685078377729847E-3</v>
      </c>
      <c r="BX255" s="460">
        <f t="shared" si="693"/>
        <v>512.79566140940108</v>
      </c>
      <c r="BY255" s="173">
        <f t="shared" si="694"/>
        <v>1.8307209897309007</v>
      </c>
      <c r="BZ255" s="5">
        <f t="shared" si="695"/>
        <v>6.3959999999999999</v>
      </c>
      <c r="CA255" s="173">
        <f t="shared" si="696"/>
        <v>0.77746650311635479</v>
      </c>
      <c r="CB255" s="5">
        <f t="shared" si="697"/>
        <v>77.746650311635477</v>
      </c>
      <c r="CE255" s="562">
        <f t="shared" si="757"/>
        <v>-50</v>
      </c>
      <c r="CF255">
        <f t="shared" si="758"/>
        <v>-50</v>
      </c>
      <c r="CG255" s="173">
        <f t="shared" si="759"/>
        <v>0.44694082109489131</v>
      </c>
      <c r="CI255" s="170">
        <v>39</v>
      </c>
      <c r="CJ255" s="217">
        <f t="shared" si="698"/>
        <v>0.39</v>
      </c>
      <c r="CK255" s="217"/>
      <c r="CL255" s="217">
        <f t="shared" si="641"/>
        <v>6.3959999999999999</v>
      </c>
      <c r="CM255" s="541">
        <f t="shared" si="642"/>
        <v>36</v>
      </c>
      <c r="CN255" s="443">
        <f t="shared" si="643"/>
        <v>16.799999999999997</v>
      </c>
      <c r="CO255" s="443">
        <f t="shared" si="644"/>
        <v>52.8</v>
      </c>
      <c r="CP255" s="443"/>
      <c r="CQ255" s="217">
        <f t="shared" si="645"/>
        <v>0.31818181818181812</v>
      </c>
      <c r="CR255" s="172">
        <f t="shared" si="646"/>
        <v>38.697272727272725</v>
      </c>
      <c r="CS255" s="172">
        <f t="shared" si="647"/>
        <v>6.3959999999999999</v>
      </c>
      <c r="CT255" s="217">
        <f t="shared" si="648"/>
        <v>2.3595898004434592</v>
      </c>
      <c r="CU255" s="217">
        <f t="shared" si="649"/>
        <v>16.399999999999999</v>
      </c>
      <c r="CV255" s="217"/>
      <c r="CW255" s="172">
        <f t="shared" si="650"/>
        <v>271.74522061860222</v>
      </c>
      <c r="CX255" s="172">
        <f t="shared" si="651"/>
        <v>16.399999999999999</v>
      </c>
      <c r="CY255" s="217">
        <f t="shared" si="652"/>
        <v>1.1167619047619048</v>
      </c>
      <c r="CZ255" s="217">
        <f t="shared" si="653"/>
        <v>0.37225396825396834</v>
      </c>
      <c r="DA255" s="217">
        <f t="shared" si="654"/>
        <v>0.79768707482993217</v>
      </c>
      <c r="DB255" s="197">
        <f t="shared" si="655"/>
        <v>350</v>
      </c>
      <c r="DC255" s="443">
        <f t="shared" si="656"/>
        <v>350</v>
      </c>
      <c r="DE255" s="217">
        <f t="shared" si="657"/>
        <v>2.7272727272727271</v>
      </c>
      <c r="DF255" s="173">
        <f t="shared" si="658"/>
        <v>1.9480519480519483</v>
      </c>
      <c r="DG255" s="173">
        <f t="shared" si="659"/>
        <v>0.92975206611570249</v>
      </c>
      <c r="DH255" s="173"/>
      <c r="DI255" s="173">
        <f t="shared" si="660"/>
        <v>0.95238095238095266</v>
      </c>
      <c r="DJ255" s="545">
        <f t="shared" si="661"/>
        <v>614.24999999999977</v>
      </c>
      <c r="DK255" s="528">
        <f t="shared" si="662"/>
        <v>0.22222222222222232</v>
      </c>
      <c r="DM255" s="173">
        <f t="shared" si="663"/>
        <v>1.7663521732655691</v>
      </c>
      <c r="DN255" s="173">
        <f t="shared" si="664"/>
        <v>1.7663521732655691</v>
      </c>
      <c r="DO255" s="173">
        <f t="shared" si="665"/>
        <v>1.5207546962461005</v>
      </c>
      <c r="DQ255" s="545">
        <f t="shared" si="666"/>
        <v>390</v>
      </c>
      <c r="DR255" s="460">
        <f t="shared" si="667"/>
        <v>350</v>
      </c>
      <c r="DT255">
        <f t="shared" si="668"/>
        <v>390</v>
      </c>
      <c r="DU255">
        <f t="shared" si="669"/>
        <v>350</v>
      </c>
      <c r="DW255" s="5">
        <f t="shared" si="670"/>
        <v>2.8571428571428572</v>
      </c>
      <c r="DX255" s="5">
        <f t="shared" si="671"/>
        <v>0.58878405775518972</v>
      </c>
      <c r="DY255" s="5">
        <f t="shared" si="672"/>
        <v>2.2683587993876673</v>
      </c>
      <c r="DZ255" s="5"/>
      <c r="EA255" s="173">
        <f t="shared" si="673"/>
        <v>0.20607442021431641</v>
      </c>
      <c r="EB255" s="173">
        <f t="shared" si="699"/>
        <v>6.5519999999999987</v>
      </c>
      <c r="EC255" s="173">
        <f t="shared" si="700"/>
        <v>0.70117608663278463</v>
      </c>
      <c r="ED255" s="173">
        <f t="shared" si="701"/>
        <v>9.3443004188352603</v>
      </c>
      <c r="EE255" s="460">
        <f t="shared" si="674"/>
        <v>1.4001572105153905</v>
      </c>
      <c r="EF255" s="5">
        <f t="shared" si="675"/>
        <v>0.33584312224267399</v>
      </c>
      <c r="EH255" s="173">
        <f t="shared" si="702"/>
        <v>0.4629442698888161</v>
      </c>
      <c r="EI255" s="173">
        <f t="shared" si="703"/>
        <v>0.90867078910742527</v>
      </c>
      <c r="EK255" s="528">
        <f t="shared" si="704"/>
        <v>4.2863479404577796E-3</v>
      </c>
      <c r="EL255" s="528">
        <f t="shared" si="705"/>
        <v>0.65284376323895432</v>
      </c>
      <c r="EM255" s="528">
        <f t="shared" si="706"/>
        <v>4.3749999999999997E-2</v>
      </c>
      <c r="EN255" s="528">
        <f t="shared" si="707"/>
        <v>9.7574399999999992E-2</v>
      </c>
      <c r="EO255">
        <f t="shared" si="708"/>
        <v>1.6199999999999999E-2</v>
      </c>
      <c r="EP255" s="460">
        <f t="shared" si="709"/>
        <v>59.949999999999996</v>
      </c>
      <c r="EQ255" s="460"/>
      <c r="ER255" s="460">
        <f t="shared" si="710"/>
        <v>814.654511179412</v>
      </c>
      <c r="ES255" s="528">
        <f t="shared" si="711"/>
        <v>0.27299999999999996</v>
      </c>
      <c r="EV255" s="460">
        <f t="shared" si="712"/>
        <v>272.99999999999994</v>
      </c>
      <c r="EW255" s="528">
        <f t="shared" si="713"/>
        <v>6.4295219106866698E-3</v>
      </c>
      <c r="EX255" s="528">
        <f t="shared" si="714"/>
        <v>2.4770478089313326E-2</v>
      </c>
      <c r="EY255" s="528">
        <f t="shared" si="715"/>
        <v>0.47515287100368558</v>
      </c>
      <c r="EZ255" s="528"/>
      <c r="FA255" s="528">
        <f t="shared" si="716"/>
        <v>5.4599999999999996E-3</v>
      </c>
      <c r="FB255" s="460">
        <f t="shared" si="717"/>
        <v>511.81287100368553</v>
      </c>
      <c r="FC255" s="173">
        <f t="shared" si="718"/>
        <v>1.5994673821830978</v>
      </c>
      <c r="FD255" s="5">
        <f t="shared" si="719"/>
        <v>6.3959999999999999</v>
      </c>
      <c r="FE255" s="173">
        <f t="shared" si="720"/>
        <v>0.79995323528586815</v>
      </c>
      <c r="FF255" s="5">
        <f t="shared" si="721"/>
        <v>79.995323528586809</v>
      </c>
      <c r="FI255" s="562">
        <f t="shared" si="676"/>
        <v>-50</v>
      </c>
      <c r="FJ255">
        <f t="shared" si="677"/>
        <v>-50</v>
      </c>
      <c r="FL255">
        <f t="shared" si="760"/>
        <v>0.4415880433163924</v>
      </c>
    </row>
    <row r="256" spans="5:168">
      <c r="E256" s="170">
        <v>40</v>
      </c>
      <c r="F256" s="217">
        <f t="shared" si="761"/>
        <v>0.4</v>
      </c>
      <c r="G256" s="217"/>
      <c r="H256" s="217">
        <f t="shared" si="726"/>
        <v>6.56</v>
      </c>
      <c r="I256" s="541">
        <f t="shared" si="727"/>
        <v>35.955814244915572</v>
      </c>
      <c r="J256" s="172">
        <f t="shared" si="728"/>
        <v>16.826511453050653</v>
      </c>
      <c r="K256" s="172">
        <f t="shared" si="729"/>
        <v>52.782325697966229</v>
      </c>
      <c r="L256" s="443"/>
      <c r="M256" s="217">
        <f t="shared" si="730"/>
        <v>0.31879478868114558</v>
      </c>
      <c r="N256" s="172">
        <f t="shared" si="731"/>
        <v>38.724234359404271</v>
      </c>
      <c r="O256" s="172">
        <f t="shared" si="599"/>
        <v>6.56</v>
      </c>
      <c r="P256" s="217">
        <f t="shared" si="732"/>
        <v>2.3612338024026998</v>
      </c>
      <c r="Q256" s="217">
        <f t="shared" si="733"/>
        <v>16.399999999999999</v>
      </c>
      <c r="R256" s="217"/>
      <c r="S256" s="172">
        <f t="shared" si="734"/>
        <v>263.73042273533002</v>
      </c>
      <c r="T256" s="172">
        <f t="shared" si="735"/>
        <v>16.399999999999999</v>
      </c>
      <c r="U256" s="217">
        <f t="shared" si="736"/>
        <v>1.1743891366467263</v>
      </c>
      <c r="V256" s="217">
        <f t="shared" si="737"/>
        <v>0.39194411072900476</v>
      </c>
      <c r="W256" s="217">
        <f t="shared" si="738"/>
        <v>0.83752771209184351</v>
      </c>
      <c r="X256" s="197">
        <f t="shared" si="739"/>
        <v>350</v>
      </c>
      <c r="Y256" s="443">
        <f t="shared" si="680"/>
        <v>350</v>
      </c>
      <c r="AA256" s="217">
        <f t="shared" si="740"/>
        <v>2.7291373994874304</v>
      </c>
      <c r="AB256" s="173">
        <f t="shared" si="741"/>
        <v>1.9463124537268026</v>
      </c>
      <c r="AC256" s="173">
        <f t="shared" si="742"/>
        <v>0.92955696899694396</v>
      </c>
      <c r="AD256" s="173"/>
      <c r="AE256" s="173">
        <f t="shared" si="743"/>
        <v>0.95088040350153491</v>
      </c>
      <c r="AF256" s="545">
        <f t="shared" si="744"/>
        <v>630.99417948939936</v>
      </c>
      <c r="AG256" s="528">
        <f t="shared" si="745"/>
        <v>0.22187209415035819</v>
      </c>
      <c r="AI256" s="173">
        <f t="shared" si="746"/>
        <v>1.7902652877663345</v>
      </c>
      <c r="AJ256" s="173">
        <f t="shared" si="747"/>
        <v>1.7902652877663345</v>
      </c>
      <c r="AK256" s="173">
        <f t="shared" si="748"/>
        <v>1.5384681143948156</v>
      </c>
      <c r="AM256" s="545">
        <f t="shared" si="749"/>
        <v>400</v>
      </c>
      <c r="AN256" s="460">
        <f t="shared" si="750"/>
        <v>350</v>
      </c>
      <c r="AP256">
        <f t="shared" si="751"/>
        <v>400</v>
      </c>
      <c r="AQ256">
        <f t="shared" si="752"/>
        <v>350</v>
      </c>
      <c r="AS256" s="5">
        <f t="shared" si="600"/>
        <v>2.8571428571428572</v>
      </c>
      <c r="AT256" s="5">
        <f t="shared" si="753"/>
        <v>0.59748844253287636</v>
      </c>
      <c r="AU256" s="5">
        <f t="shared" si="722"/>
        <v>2.2596544146099808</v>
      </c>
      <c r="AV256" s="5"/>
      <c r="AW256" s="173">
        <f t="shared" si="723"/>
        <v>0.20912095488650673</v>
      </c>
      <c r="AX256" s="173">
        <f t="shared" si="631"/>
        <v>6.7306045812202617</v>
      </c>
      <c r="AY256" s="173">
        <f t="shared" si="632"/>
        <v>0.70794165064423598</v>
      </c>
      <c r="AZ256" s="173">
        <f t="shared" si="633"/>
        <v>9.5072871826305541</v>
      </c>
      <c r="BA256" s="460">
        <f t="shared" si="724"/>
        <v>1.4572888842265279</v>
      </c>
      <c r="BB256" s="5">
        <f t="shared" si="725"/>
        <v>0.34355437989507737</v>
      </c>
      <c r="BD256" s="173">
        <f t="shared" si="681"/>
        <v>0.47266728070822456</v>
      </c>
      <c r="BE256" s="173">
        <f t="shared" si="682"/>
        <v>0.91920377244380258</v>
      </c>
      <c r="BG256" s="528">
        <f t="shared" si="683"/>
        <v>4.4682871650421514E-3</v>
      </c>
      <c r="BH256" s="528">
        <f t="shared" si="754"/>
        <v>0.62011927362423869</v>
      </c>
      <c r="BI256" s="528">
        <f t="shared" si="755"/>
        <v>0.31461337464301126</v>
      </c>
      <c r="BJ256" s="528">
        <f t="shared" si="684"/>
        <v>9.7509086713016516E-2</v>
      </c>
      <c r="BK256">
        <f t="shared" si="685"/>
        <v>1.6180116410212008E-2</v>
      </c>
      <c r="BL256" s="460">
        <f t="shared" si="686"/>
        <v>330.79349105322325</v>
      </c>
      <c r="BM256" s="528">
        <f t="shared" si="756"/>
        <v>0.72407180675359772</v>
      </c>
      <c r="BN256" s="460">
        <f t="shared" si="687"/>
        <v>724.07180675359768</v>
      </c>
      <c r="BO256" s="528">
        <f t="shared" si="637"/>
        <v>0.27999999999999997</v>
      </c>
      <c r="BR256" s="460">
        <f t="shared" si="688"/>
        <v>279.99999999999994</v>
      </c>
      <c r="BS256" s="528">
        <f t="shared" si="689"/>
        <v>6.7024307475632263E-3</v>
      </c>
      <c r="BT256" s="528">
        <f t="shared" si="690"/>
        <v>2.534806725824754E-2</v>
      </c>
      <c r="BU256" s="528">
        <f t="shared" si="691"/>
        <v>0.4913982355842304</v>
      </c>
      <c r="BV256" s="528"/>
      <c r="BW256" s="528">
        <f t="shared" si="692"/>
        <v>5.608837151016885E-3</v>
      </c>
      <c r="BX256" s="460">
        <f t="shared" si="693"/>
        <v>529.05757074105804</v>
      </c>
      <c r="BY256" s="173">
        <f t="shared" si="694"/>
        <v>1.8619477092965786</v>
      </c>
      <c r="BZ256" s="5">
        <f t="shared" si="695"/>
        <v>6.56</v>
      </c>
      <c r="CA256" s="173">
        <f t="shared" si="696"/>
        <v>0.77891720851682977</v>
      </c>
      <c r="CB256" s="5">
        <f t="shared" si="697"/>
        <v>77.891720851682976</v>
      </c>
      <c r="CE256" s="562">
        <f t="shared" si="757"/>
        <v>-50</v>
      </c>
      <c r="CF256">
        <f t="shared" si="758"/>
        <v>-50</v>
      </c>
      <c r="CG256" s="173">
        <f t="shared" si="759"/>
        <v>0.4526345642794945</v>
      </c>
      <c r="CI256" s="170">
        <v>40</v>
      </c>
      <c r="CJ256" s="217">
        <f t="shared" si="698"/>
        <v>0.4</v>
      </c>
      <c r="CK256" s="217"/>
      <c r="CL256" s="217">
        <f t="shared" si="641"/>
        <v>6.56</v>
      </c>
      <c r="CM256" s="541">
        <f t="shared" si="642"/>
        <v>36</v>
      </c>
      <c r="CN256" s="443">
        <f t="shared" si="643"/>
        <v>16.799999999999997</v>
      </c>
      <c r="CO256" s="443">
        <f t="shared" si="644"/>
        <v>52.8</v>
      </c>
      <c r="CP256" s="443"/>
      <c r="CQ256" s="217">
        <f t="shared" si="645"/>
        <v>0.31818181818181812</v>
      </c>
      <c r="CR256" s="172">
        <f t="shared" si="646"/>
        <v>38.697272727272725</v>
      </c>
      <c r="CS256" s="172">
        <f t="shared" si="647"/>
        <v>6.56</v>
      </c>
      <c r="CT256" s="217">
        <f t="shared" si="648"/>
        <v>2.3595898004434592</v>
      </c>
      <c r="CU256" s="217">
        <f t="shared" si="649"/>
        <v>16.399999999999999</v>
      </c>
      <c r="CV256" s="217"/>
      <c r="CW256" s="172">
        <f t="shared" si="650"/>
        <v>264.05445172091561</v>
      </c>
      <c r="CX256" s="172">
        <f t="shared" si="651"/>
        <v>16.399999999999999</v>
      </c>
      <c r="CY256" s="217">
        <f t="shared" si="652"/>
        <v>1.1453968253968254</v>
      </c>
      <c r="CZ256" s="217">
        <f t="shared" si="653"/>
        <v>0.3817989417989418</v>
      </c>
      <c r="DA256" s="217">
        <f t="shared" si="654"/>
        <v>0.81814058956916125</v>
      </c>
      <c r="DB256" s="197">
        <f t="shared" si="655"/>
        <v>350</v>
      </c>
      <c r="DC256" s="443">
        <f t="shared" si="656"/>
        <v>350</v>
      </c>
      <c r="DE256" s="217">
        <f t="shared" si="657"/>
        <v>2.7272727272727271</v>
      </c>
      <c r="DF256" s="173">
        <f t="shared" si="658"/>
        <v>1.9480519480519483</v>
      </c>
      <c r="DG256" s="173">
        <f t="shared" si="659"/>
        <v>0.92975206611570249</v>
      </c>
      <c r="DH256" s="173"/>
      <c r="DI256" s="173">
        <f t="shared" si="660"/>
        <v>0.95238095238095266</v>
      </c>
      <c r="DJ256" s="545">
        <f t="shared" si="661"/>
        <v>629.99999999999977</v>
      </c>
      <c r="DK256" s="528">
        <f t="shared" si="662"/>
        <v>0.22222222222222232</v>
      </c>
      <c r="DM256" s="173">
        <f t="shared" si="663"/>
        <v>1.7888543819998315</v>
      </c>
      <c r="DN256" s="173">
        <f t="shared" si="664"/>
        <v>1.7888543819998315</v>
      </c>
      <c r="DO256" s="173">
        <f t="shared" si="665"/>
        <v>1.5374229990122208</v>
      </c>
      <c r="DQ256" s="545">
        <f t="shared" si="666"/>
        <v>400</v>
      </c>
      <c r="DR256" s="460">
        <f t="shared" si="667"/>
        <v>350</v>
      </c>
      <c r="DT256">
        <f t="shared" si="668"/>
        <v>400</v>
      </c>
      <c r="DU256">
        <f t="shared" si="669"/>
        <v>350</v>
      </c>
      <c r="DW256" s="5">
        <f t="shared" si="670"/>
        <v>2.8571428571428572</v>
      </c>
      <c r="DX256" s="5">
        <f t="shared" si="671"/>
        <v>0.59628479399994394</v>
      </c>
      <c r="DY256" s="5">
        <f t="shared" si="672"/>
        <v>2.2608580631429134</v>
      </c>
      <c r="DZ256" s="5"/>
      <c r="EA256" s="173">
        <f t="shared" si="673"/>
        <v>0.20869967789998037</v>
      </c>
      <c r="EB256" s="173">
        <f t="shared" si="699"/>
        <v>6.719999999999998</v>
      </c>
      <c r="EC256" s="173">
        <f t="shared" si="700"/>
        <v>0.7077605243332491</v>
      </c>
      <c r="ED256" s="173">
        <f t="shared" si="701"/>
        <v>9.4947369469788132</v>
      </c>
      <c r="EE256" s="460">
        <f t="shared" si="674"/>
        <v>1.4543531560974245</v>
      </c>
      <c r="EF256" s="5">
        <f t="shared" si="675"/>
        <v>0.3433154836624423</v>
      </c>
      <c r="EH256" s="173">
        <f t="shared" si="702"/>
        <v>0.47181881030749401</v>
      </c>
      <c r="EI256" s="173">
        <f t="shared" si="703"/>
        <v>0.91872393944355624</v>
      </c>
      <c r="EK256" s="528">
        <f t="shared" si="704"/>
        <v>4.4522597951995799E-3</v>
      </c>
      <c r="EL256" s="528">
        <f t="shared" si="705"/>
        <v>0.66116057958713781</v>
      </c>
      <c r="EM256" s="528">
        <f t="shared" si="706"/>
        <v>4.3749999999999997E-2</v>
      </c>
      <c r="EN256" s="528">
        <f t="shared" si="707"/>
        <v>9.7574399999999992E-2</v>
      </c>
      <c r="EO256">
        <f t="shared" si="708"/>
        <v>1.6199999999999999E-2</v>
      </c>
      <c r="EP256" s="460">
        <f t="shared" si="709"/>
        <v>59.949999999999996</v>
      </c>
      <c r="EQ256" s="460"/>
      <c r="ER256" s="460">
        <f t="shared" si="710"/>
        <v>823.13723938233727</v>
      </c>
      <c r="ES256" s="528">
        <f t="shared" si="711"/>
        <v>0.27999999999999997</v>
      </c>
      <c r="EV256" s="460">
        <f t="shared" si="712"/>
        <v>279.99999999999994</v>
      </c>
      <c r="EW256" s="528">
        <f t="shared" si="713"/>
        <v>6.6783896927993698E-3</v>
      </c>
      <c r="EX256" s="528">
        <f t="shared" si="714"/>
        <v>2.5321610307200614E-2</v>
      </c>
      <c r="EY256" s="528">
        <f t="shared" si="715"/>
        <v>0.49043063198190262</v>
      </c>
      <c r="EZ256" s="528"/>
      <c r="FA256" s="528">
        <f t="shared" si="716"/>
        <v>5.5999999999999982E-3</v>
      </c>
      <c r="FB256" s="460">
        <f t="shared" si="717"/>
        <v>528.03063198190273</v>
      </c>
      <c r="FC256" s="173">
        <f t="shared" si="718"/>
        <v>1.6311678713642401</v>
      </c>
      <c r="FD256" s="5">
        <f t="shared" si="719"/>
        <v>6.56</v>
      </c>
      <c r="FE256" s="173">
        <f t="shared" si="720"/>
        <v>0.80086260018346211</v>
      </c>
      <c r="FF256" s="5">
        <f t="shared" si="721"/>
        <v>80.086260018346209</v>
      </c>
      <c r="FI256" s="562">
        <f t="shared" si="676"/>
        <v>-50</v>
      </c>
      <c r="FJ256">
        <f t="shared" si="677"/>
        <v>-50</v>
      </c>
      <c r="FL256">
        <f t="shared" si="760"/>
        <v>0.44721359549995798</v>
      </c>
    </row>
    <row r="257" spans="5:168">
      <c r="E257" s="170">
        <v>41</v>
      </c>
      <c r="F257" s="217">
        <f t="shared" si="761"/>
        <v>0.41</v>
      </c>
      <c r="G257" s="217"/>
      <c r="H257" s="217">
        <f t="shared" si="726"/>
        <v>6.7239999999999993</v>
      </c>
      <c r="I257" s="541">
        <f t="shared" si="727"/>
        <v>35.955265332501618</v>
      </c>
      <c r="J257" s="172">
        <f t="shared" si="728"/>
        <v>16.826840800499024</v>
      </c>
      <c r="K257" s="172">
        <f t="shared" si="729"/>
        <v>52.782106133000639</v>
      </c>
      <c r="L257" s="443"/>
      <c r="M257" s="217">
        <f t="shared" si="730"/>
        <v>0.31880240604805804</v>
      </c>
      <c r="N257" s="172">
        <f t="shared" si="731"/>
        <v>38.724568456407219</v>
      </c>
      <c r="O257" s="172">
        <f t="shared" si="599"/>
        <v>6.7239999999999993</v>
      </c>
      <c r="P257" s="217">
        <f t="shared" si="732"/>
        <v>2.3612541741711719</v>
      </c>
      <c r="Q257" s="217">
        <f t="shared" si="733"/>
        <v>16.399999999999999</v>
      </c>
      <c r="R257" s="217"/>
      <c r="S257" s="172">
        <f t="shared" si="734"/>
        <v>256.41996574526996</v>
      </c>
      <c r="T257" s="172">
        <f t="shared" si="735"/>
        <v>16.399999999999999</v>
      </c>
      <c r="U257" s="217">
        <f t="shared" si="736"/>
        <v>1.2037623257633678</v>
      </c>
      <c r="V257" s="217">
        <f t="shared" si="737"/>
        <v>0.40175333920016382</v>
      </c>
      <c r="W257" s="217">
        <f t="shared" si="738"/>
        <v>0.85845870181002859</v>
      </c>
      <c r="X257" s="197">
        <f t="shared" si="739"/>
        <v>350</v>
      </c>
      <c r="Y257" s="443">
        <f t="shared" si="680"/>
        <v>350</v>
      </c>
      <c r="AA257" s="217">
        <f t="shared" si="740"/>
        <v>2.729160505398363</v>
      </c>
      <c r="AB257" s="173">
        <f t="shared" si="741"/>
        <v>1.9462908369471892</v>
      </c>
      <c r="AC257" s="173">
        <f t="shared" si="742"/>
        <v>0.92955451473762385</v>
      </c>
      <c r="AD257" s="173"/>
      <c r="AE257" s="173">
        <f t="shared" si="743"/>
        <v>0.95086179216276301</v>
      </c>
      <c r="AF257" s="545">
        <f t="shared" si="744"/>
        <v>646.78169326918112</v>
      </c>
      <c r="AG257" s="528">
        <f t="shared" si="745"/>
        <v>0.22186775150464472</v>
      </c>
      <c r="AI257" s="173">
        <f t="shared" si="746"/>
        <v>1.8125231989588697</v>
      </c>
      <c r="AJ257" s="173">
        <f t="shared" si="747"/>
        <v>1.8125231989588697</v>
      </c>
      <c r="AK257" s="173">
        <f t="shared" si="748"/>
        <v>1.5549554560189156</v>
      </c>
      <c r="AM257" s="545">
        <f t="shared" si="749"/>
        <v>410</v>
      </c>
      <c r="AN257" s="460">
        <f t="shared" si="750"/>
        <v>350</v>
      </c>
      <c r="AP257">
        <f t="shared" si="751"/>
        <v>410</v>
      </c>
      <c r="AQ257">
        <f t="shared" si="752"/>
        <v>350</v>
      </c>
      <c r="AS257" s="5">
        <f t="shared" si="600"/>
        <v>2.8571428571428572</v>
      </c>
      <c r="AT257" s="5">
        <f t="shared" si="753"/>
        <v>0.60492609876098891</v>
      </c>
      <c r="AU257" s="5">
        <f t="shared" si="722"/>
        <v>2.2522167583818682</v>
      </c>
      <c r="AV257" s="5"/>
      <c r="AW257" s="173">
        <f t="shared" si="723"/>
        <v>0.21172413456634612</v>
      </c>
      <c r="AX257" s="173">
        <f t="shared" si="631"/>
        <v>6.8990047282045985</v>
      </c>
      <c r="AY257" s="173">
        <f t="shared" si="632"/>
        <v>0.7143841466389389</v>
      </c>
      <c r="AZ257" s="173">
        <f t="shared" si="633"/>
        <v>9.6572757957511968</v>
      </c>
      <c r="BA257" s="460">
        <f t="shared" si="724"/>
        <v>1.5123152469024723</v>
      </c>
      <c r="BB257" s="5">
        <f t="shared" si="725"/>
        <v>0.35098951765279673</v>
      </c>
      <c r="BD257" s="173">
        <f t="shared" si="681"/>
        <v>0.48151312521434991</v>
      </c>
      <c r="BE257" s="173">
        <f t="shared" si="682"/>
        <v>0.92909914747261557</v>
      </c>
      <c r="BG257" s="528">
        <f t="shared" si="683"/>
        <v>4.6370977950738043E-3</v>
      </c>
      <c r="BH257" s="528">
        <f t="shared" si="754"/>
        <v>0.62782644655482212</v>
      </c>
      <c r="BI257" s="528">
        <f t="shared" si="755"/>
        <v>0.3146085716593891</v>
      </c>
      <c r="BJ257" s="528">
        <f t="shared" si="684"/>
        <v>9.750827547423703E-2</v>
      </c>
      <c r="BK257">
        <f t="shared" si="685"/>
        <v>1.6179869399625728E-2</v>
      </c>
      <c r="BL257" s="460">
        <f t="shared" si="686"/>
        <v>330.78844105901481</v>
      </c>
      <c r="BM257" s="528">
        <f t="shared" si="756"/>
        <v>0.73203036857535497</v>
      </c>
      <c r="BN257" s="460">
        <f t="shared" si="687"/>
        <v>732.03036857535494</v>
      </c>
      <c r="BO257" s="528">
        <f t="shared" si="637"/>
        <v>0.28699999999999998</v>
      </c>
      <c r="BR257" s="460">
        <f t="shared" si="688"/>
        <v>287</v>
      </c>
      <c r="BS257" s="528">
        <f t="shared" si="689"/>
        <v>6.9556466926107069E-3</v>
      </c>
      <c r="BT257" s="528">
        <f t="shared" si="690"/>
        <v>2.5896756775030231E-2</v>
      </c>
      <c r="BU257" s="528">
        <f t="shared" si="691"/>
        <v>0.50681452152383377</v>
      </c>
      <c r="BV257" s="528"/>
      <c r="BW257" s="528">
        <f t="shared" si="692"/>
        <v>5.7491706068371652E-3</v>
      </c>
      <c r="BX257" s="460">
        <f t="shared" si="693"/>
        <v>545.41609559831193</v>
      </c>
      <c r="BY257" s="173">
        <f t="shared" si="694"/>
        <v>1.8931763564814597</v>
      </c>
      <c r="BZ257" s="5">
        <f t="shared" si="695"/>
        <v>6.7239999999999993</v>
      </c>
      <c r="CA257" s="173">
        <f t="shared" si="696"/>
        <v>0.78030200634602354</v>
      </c>
      <c r="CB257" s="5">
        <f t="shared" si="697"/>
        <v>78.030200634602352</v>
      </c>
      <c r="CE257" s="562">
        <f t="shared" si="757"/>
        <v>-50</v>
      </c>
      <c r="CF257">
        <f t="shared" si="758"/>
        <v>-50</v>
      </c>
      <c r="CG257" s="173">
        <f t="shared" si="759"/>
        <v>0.45825756949558405</v>
      </c>
      <c r="CI257" s="170">
        <v>41</v>
      </c>
      <c r="CJ257" s="217">
        <f t="shared" si="698"/>
        <v>0.41</v>
      </c>
      <c r="CK257" s="217"/>
      <c r="CL257" s="217">
        <f t="shared" si="641"/>
        <v>6.7239999999999993</v>
      </c>
      <c r="CM257" s="541">
        <f t="shared" si="642"/>
        <v>36</v>
      </c>
      <c r="CN257" s="443">
        <f t="shared" si="643"/>
        <v>16.799999999999997</v>
      </c>
      <c r="CO257" s="443">
        <f t="shared" si="644"/>
        <v>52.8</v>
      </c>
      <c r="CP257" s="443"/>
      <c r="CQ257" s="217">
        <f t="shared" si="645"/>
        <v>0.31818181818181812</v>
      </c>
      <c r="CR257" s="172">
        <f t="shared" si="646"/>
        <v>38.697272727272725</v>
      </c>
      <c r="CS257" s="172">
        <f t="shared" si="647"/>
        <v>6.7239999999999993</v>
      </c>
      <c r="CT257" s="217">
        <f t="shared" si="648"/>
        <v>2.3595898004434592</v>
      </c>
      <c r="CU257" s="217">
        <f t="shared" si="649"/>
        <v>16.399999999999999</v>
      </c>
      <c r="CV257" s="217"/>
      <c r="CW257" s="172">
        <f t="shared" si="650"/>
        <v>256.73892768502998</v>
      </c>
      <c r="CX257" s="172">
        <f t="shared" si="651"/>
        <v>16.399999999999999</v>
      </c>
      <c r="CY257" s="217">
        <f t="shared" si="652"/>
        <v>1.174031746031746</v>
      </c>
      <c r="CZ257" s="217">
        <f t="shared" si="653"/>
        <v>0.39134391534391533</v>
      </c>
      <c r="DA257" s="217">
        <f t="shared" si="654"/>
        <v>0.8385941043083901</v>
      </c>
      <c r="DB257" s="197">
        <f t="shared" si="655"/>
        <v>350</v>
      </c>
      <c r="DC257" s="443">
        <f t="shared" si="656"/>
        <v>350</v>
      </c>
      <c r="DE257" s="217">
        <f t="shared" si="657"/>
        <v>2.7272727272727271</v>
      </c>
      <c r="DF257" s="173">
        <f t="shared" si="658"/>
        <v>1.9480519480519483</v>
      </c>
      <c r="DG257" s="173">
        <f t="shared" si="659"/>
        <v>0.92975206611570249</v>
      </c>
      <c r="DH257" s="173"/>
      <c r="DI257" s="173">
        <f t="shared" si="660"/>
        <v>0.95238095238095266</v>
      </c>
      <c r="DJ257" s="545">
        <f t="shared" si="661"/>
        <v>645.74999999999966</v>
      </c>
      <c r="DK257" s="528">
        <f t="shared" si="662"/>
        <v>0.22222222222222232</v>
      </c>
      <c r="DM257" s="173">
        <f t="shared" si="663"/>
        <v>1.811077027627483</v>
      </c>
      <c r="DN257" s="173">
        <f t="shared" si="664"/>
        <v>1.811077027627483</v>
      </c>
      <c r="DO257" s="173">
        <f t="shared" si="665"/>
        <v>1.5538842179956662</v>
      </c>
      <c r="DQ257" s="545">
        <f t="shared" si="666"/>
        <v>410</v>
      </c>
      <c r="DR257" s="460">
        <f t="shared" si="667"/>
        <v>350</v>
      </c>
      <c r="DT257">
        <f t="shared" si="668"/>
        <v>410</v>
      </c>
      <c r="DU257">
        <f t="shared" si="669"/>
        <v>350</v>
      </c>
      <c r="DW257" s="5">
        <f t="shared" si="670"/>
        <v>2.8571428571428572</v>
      </c>
      <c r="DX257" s="5">
        <f t="shared" si="671"/>
        <v>0.60369234254249438</v>
      </c>
      <c r="DY257" s="5">
        <f t="shared" si="672"/>
        <v>2.2534505146003627</v>
      </c>
      <c r="DZ257" s="5"/>
      <c r="EA257" s="173">
        <f t="shared" si="673"/>
        <v>0.21129231988987301</v>
      </c>
      <c r="EB257" s="173">
        <f t="shared" si="699"/>
        <v>6.8879999999999981</v>
      </c>
      <c r="EC257" s="173">
        <f t="shared" si="700"/>
        <v>0.71420518048040815</v>
      </c>
      <c r="ED257" s="173">
        <f t="shared" si="701"/>
        <v>9.6442873676256511</v>
      </c>
      <c r="EE257" s="460">
        <f t="shared" si="674"/>
        <v>1.5092308563562362</v>
      </c>
      <c r="EF257" s="5">
        <f t="shared" si="675"/>
        <v>0.35074539954103789</v>
      </c>
      <c r="EH257" s="173">
        <f t="shared" si="702"/>
        <v>0.48063805135770066</v>
      </c>
      <c r="EI257" s="173">
        <f t="shared" si="703"/>
        <v>0.92861208096836922</v>
      </c>
      <c r="EK257" s="528">
        <f t="shared" si="704"/>
        <v>4.6202587282585536E-3</v>
      </c>
      <c r="EL257" s="528">
        <f t="shared" si="705"/>
        <v>0.66937406941111766</v>
      </c>
      <c r="EM257" s="528">
        <f t="shared" si="706"/>
        <v>4.3749999999999997E-2</v>
      </c>
      <c r="EN257" s="528">
        <f t="shared" si="707"/>
        <v>9.7574399999999992E-2</v>
      </c>
      <c r="EO257">
        <f t="shared" si="708"/>
        <v>1.6199999999999999E-2</v>
      </c>
      <c r="EP257" s="460">
        <f t="shared" si="709"/>
        <v>59.949999999999996</v>
      </c>
      <c r="EQ257" s="460"/>
      <c r="ER257" s="460">
        <f t="shared" si="710"/>
        <v>831.51872813937609</v>
      </c>
      <c r="ES257" s="528">
        <f t="shared" si="711"/>
        <v>0.28699999999999998</v>
      </c>
      <c r="EV257" s="460">
        <f t="shared" si="712"/>
        <v>287</v>
      </c>
      <c r="EW257" s="528">
        <f t="shared" si="713"/>
        <v>6.9303880923878309E-3</v>
      </c>
      <c r="EX257" s="528">
        <f t="shared" si="714"/>
        <v>2.5869611907612153E-2</v>
      </c>
      <c r="EY257" s="528">
        <f t="shared" si="715"/>
        <v>0.50580418674229133</v>
      </c>
      <c r="EZ257" s="528"/>
      <c r="FA257" s="528">
        <f t="shared" si="716"/>
        <v>5.7399999999999986E-3</v>
      </c>
      <c r="FB257" s="460">
        <f t="shared" si="717"/>
        <v>544.34418674229119</v>
      </c>
      <c r="FC257" s="173">
        <f t="shared" si="718"/>
        <v>1.6628629148816674</v>
      </c>
      <c r="FD257" s="5">
        <f t="shared" si="719"/>
        <v>6.7239999999999993</v>
      </c>
      <c r="FE257" s="173">
        <f t="shared" si="720"/>
        <v>0.80173004712750462</v>
      </c>
      <c r="FF257" s="5">
        <f t="shared" si="721"/>
        <v>80.173004712750469</v>
      </c>
      <c r="FI257" s="562">
        <f t="shared" si="676"/>
        <v>-50</v>
      </c>
      <c r="FJ257">
        <f t="shared" si="677"/>
        <v>-50</v>
      </c>
      <c r="FL257">
        <f t="shared" si="760"/>
        <v>0.45276925690687081</v>
      </c>
    </row>
    <row r="258" spans="5:168">
      <c r="E258" s="170">
        <v>42</v>
      </c>
      <c r="F258" s="217">
        <f t="shared" si="761"/>
        <v>0.42</v>
      </c>
      <c r="G258" s="217"/>
      <c r="H258" s="217">
        <f t="shared" si="726"/>
        <v>6.887999999999999</v>
      </c>
      <c r="I258" s="541">
        <f t="shared" si="727"/>
        <v>35.954723074309314</v>
      </c>
      <c r="J258" s="172">
        <f t="shared" si="728"/>
        <v>16.82716615541441</v>
      </c>
      <c r="K258" s="172">
        <f t="shared" si="729"/>
        <v>52.781889229723724</v>
      </c>
      <c r="L258" s="443"/>
      <c r="M258" s="217">
        <f t="shared" si="730"/>
        <v>0.31880993113410588</v>
      </c>
      <c r="N258" s="172">
        <f t="shared" si="731"/>
        <v>38.724898482981658</v>
      </c>
      <c r="O258" s="172">
        <f t="shared" si="599"/>
        <v>6.887999999999999</v>
      </c>
      <c r="P258" s="217">
        <f t="shared" si="732"/>
        <v>2.3612742977427841</v>
      </c>
      <c r="Q258" s="217">
        <f t="shared" si="733"/>
        <v>16.399999999999999</v>
      </c>
      <c r="R258" s="217"/>
      <c r="S258" s="172">
        <f t="shared" si="734"/>
        <v>249.45778226119407</v>
      </c>
      <c r="T258" s="172">
        <f t="shared" si="735"/>
        <v>16.399999999999999</v>
      </c>
      <c r="U258" s="217">
        <f t="shared" si="736"/>
        <v>1.233136004754894</v>
      </c>
      <c r="V258" s="217">
        <f t="shared" si="737"/>
        <v>0.41156295451019792</v>
      </c>
      <c r="W258" s="217">
        <f t="shared" si="738"/>
        <v>0.87938943018622029</v>
      </c>
      <c r="X258" s="197">
        <f t="shared" si="739"/>
        <v>350</v>
      </c>
      <c r="Y258" s="443">
        <f t="shared" si="680"/>
        <v>350</v>
      </c>
      <c r="AA258" s="217">
        <f t="shared" si="740"/>
        <v>2.7291833297938841</v>
      </c>
      <c r="AB258" s="173">
        <f t="shared" si="741"/>
        <v>1.9462694820416155</v>
      </c>
      <c r="AC258" s="173">
        <f t="shared" si="742"/>
        <v>0.92955208949304713</v>
      </c>
      <c r="AD258" s="173"/>
      <c r="AE258" s="173">
        <f t="shared" si="743"/>
        <v>0.95084340715633497</v>
      </c>
      <c r="AF258" s="545">
        <f t="shared" si="744"/>
        <v>662.56966736944219</v>
      </c>
      <c r="AG258" s="528">
        <f t="shared" si="745"/>
        <v>0.2218634616698115</v>
      </c>
      <c r="AI258" s="173">
        <f t="shared" si="746"/>
        <v>1.8345117146213272</v>
      </c>
      <c r="AJ258" s="173">
        <f t="shared" si="747"/>
        <v>1.8345117146213272</v>
      </c>
      <c r="AK258" s="173">
        <f t="shared" si="748"/>
        <v>1.5712432453985139</v>
      </c>
      <c r="AM258" s="545">
        <f t="shared" si="749"/>
        <v>420</v>
      </c>
      <c r="AN258" s="460">
        <f t="shared" si="750"/>
        <v>350</v>
      </c>
      <c r="AP258">
        <f t="shared" si="751"/>
        <v>420</v>
      </c>
      <c r="AQ258">
        <f t="shared" si="752"/>
        <v>350</v>
      </c>
      <c r="AS258" s="5">
        <f t="shared" si="600"/>
        <v>2.8571428571428572</v>
      </c>
      <c r="AT258" s="5">
        <f t="shared" si="753"/>
        <v>0.61227395716435551</v>
      </c>
      <c r="AU258" s="5">
        <f t="shared" si="722"/>
        <v>2.2448688999785018</v>
      </c>
      <c r="AV258" s="5"/>
      <c r="AW258" s="173">
        <f t="shared" si="723"/>
        <v>0.21429588500752442</v>
      </c>
      <c r="AX258" s="173">
        <f t="shared" si="631"/>
        <v>7.0674097852740525</v>
      </c>
      <c r="AY258" s="173">
        <f t="shared" si="632"/>
        <v>0.72069170158993945</v>
      </c>
      <c r="AZ258" s="173">
        <f t="shared" si="633"/>
        <v>9.8064259234322098</v>
      </c>
      <c r="BA258" s="460">
        <f t="shared" si="724"/>
        <v>1.5680186707867645</v>
      </c>
      <c r="BB258" s="5">
        <f t="shared" si="725"/>
        <v>0.35838260968511515</v>
      </c>
      <c r="BD258" s="173">
        <f t="shared" si="681"/>
        <v>0.49030551451404203</v>
      </c>
      <c r="BE258" s="173">
        <f t="shared" si="682"/>
        <v>0.93883522487428439</v>
      </c>
      <c r="BG258" s="528">
        <f t="shared" si="683"/>
        <v>4.8079899512575896E-3</v>
      </c>
      <c r="BH258" s="528">
        <f t="shared" si="754"/>
        <v>0.63544027385851309</v>
      </c>
      <c r="BI258" s="528">
        <f t="shared" si="755"/>
        <v>0.31460382690020644</v>
      </c>
      <c r="BJ258" s="528">
        <f t="shared" si="684"/>
        <v>9.7507474073058889E-2</v>
      </c>
      <c r="BK258">
        <f t="shared" si="685"/>
        <v>1.617962538343919E-2</v>
      </c>
      <c r="BL258" s="460">
        <f t="shared" si="686"/>
        <v>330.78345228364566</v>
      </c>
      <c r="BM258" s="528">
        <f t="shared" si="756"/>
        <v>0.73989913997454326</v>
      </c>
      <c r="BN258" s="460">
        <f t="shared" si="687"/>
        <v>739.89913997454323</v>
      </c>
      <c r="BO258" s="528">
        <f t="shared" si="637"/>
        <v>0.29399999999999998</v>
      </c>
      <c r="BR258" s="460">
        <f t="shared" si="688"/>
        <v>294</v>
      </c>
      <c r="BS258" s="528">
        <f t="shared" si="689"/>
        <v>7.2119849268863839E-3</v>
      </c>
      <c r="BT258" s="528">
        <f t="shared" si="690"/>
        <v>2.6442347383942442E-2</v>
      </c>
      <c r="BU258" s="528">
        <f t="shared" si="691"/>
        <v>0.52232563225951412</v>
      </c>
      <c r="BV258" s="528"/>
      <c r="BW258" s="528">
        <f t="shared" si="692"/>
        <v>5.8895081543950444E-3</v>
      </c>
      <c r="BX258" s="460">
        <f t="shared" si="693"/>
        <v>561.86947272473799</v>
      </c>
      <c r="BY258" s="173">
        <f t="shared" si="694"/>
        <v>1.9244086628912129</v>
      </c>
      <c r="BZ258" s="5">
        <f t="shared" si="695"/>
        <v>6.887999999999999</v>
      </c>
      <c r="CA258" s="173">
        <f t="shared" si="696"/>
        <v>0.78162512242596738</v>
      </c>
      <c r="CB258" s="5">
        <f t="shared" si="697"/>
        <v>78.162512242596733</v>
      </c>
      <c r="CE258" s="562">
        <f t="shared" si="757"/>
        <v>-50</v>
      </c>
      <c r="CF258">
        <f t="shared" si="758"/>
        <v>-50</v>
      </c>
      <c r="CG258" s="173">
        <f t="shared" si="759"/>
        <v>0.46381240951435548</v>
      </c>
      <c r="CI258" s="170">
        <v>42</v>
      </c>
      <c r="CJ258" s="217">
        <f t="shared" si="698"/>
        <v>0.42</v>
      </c>
      <c r="CK258" s="217"/>
      <c r="CL258" s="217">
        <f t="shared" si="641"/>
        <v>6.887999999999999</v>
      </c>
      <c r="CM258" s="541">
        <f t="shared" si="642"/>
        <v>36</v>
      </c>
      <c r="CN258" s="443">
        <f t="shared" si="643"/>
        <v>16.799999999999997</v>
      </c>
      <c r="CO258" s="443">
        <f t="shared" si="644"/>
        <v>52.8</v>
      </c>
      <c r="CP258" s="443"/>
      <c r="CQ258" s="217">
        <f t="shared" si="645"/>
        <v>0.31818181818181812</v>
      </c>
      <c r="CR258" s="172">
        <f t="shared" si="646"/>
        <v>38.697272727272725</v>
      </c>
      <c r="CS258" s="172">
        <f t="shared" si="647"/>
        <v>6.887999999999999</v>
      </c>
      <c r="CT258" s="217">
        <f t="shared" si="648"/>
        <v>2.3595898004434592</v>
      </c>
      <c r="CU258" s="217">
        <f t="shared" si="649"/>
        <v>16.399999999999999</v>
      </c>
      <c r="CV258" s="217"/>
      <c r="CW258" s="172">
        <f t="shared" si="650"/>
        <v>249.77184614813035</v>
      </c>
      <c r="CX258" s="172">
        <f t="shared" si="651"/>
        <v>16.399999999999999</v>
      </c>
      <c r="CY258" s="217">
        <f t="shared" si="652"/>
        <v>1.2026666666666666</v>
      </c>
      <c r="CZ258" s="217">
        <f t="shared" si="653"/>
        <v>0.40088888888888885</v>
      </c>
      <c r="DA258" s="217">
        <f t="shared" si="654"/>
        <v>0.85904761904761917</v>
      </c>
      <c r="DB258" s="197">
        <f t="shared" si="655"/>
        <v>350</v>
      </c>
      <c r="DC258" s="443">
        <f t="shared" si="656"/>
        <v>350</v>
      </c>
      <c r="DE258" s="217">
        <f t="shared" si="657"/>
        <v>2.7272727272727271</v>
      </c>
      <c r="DF258" s="173">
        <f t="shared" si="658"/>
        <v>1.9480519480519483</v>
      </c>
      <c r="DG258" s="173">
        <f t="shared" si="659"/>
        <v>0.92975206611570249</v>
      </c>
      <c r="DH258" s="173"/>
      <c r="DI258" s="173">
        <f t="shared" si="660"/>
        <v>0.95238095238095266</v>
      </c>
      <c r="DJ258" s="545">
        <f t="shared" si="661"/>
        <v>661.49999999999966</v>
      </c>
      <c r="DK258" s="528">
        <f t="shared" si="662"/>
        <v>0.22222222222222232</v>
      </c>
      <c r="DM258" s="173">
        <f t="shared" si="663"/>
        <v>1.8330302779823358</v>
      </c>
      <c r="DN258" s="173">
        <f t="shared" si="664"/>
        <v>1.8330302779823358</v>
      </c>
      <c r="DO258" s="173">
        <f t="shared" si="665"/>
        <v>1.5701458849251868</v>
      </c>
      <c r="DQ258" s="545">
        <f t="shared" si="666"/>
        <v>420</v>
      </c>
      <c r="DR258" s="460">
        <f t="shared" si="667"/>
        <v>350</v>
      </c>
      <c r="DT258">
        <f t="shared" si="668"/>
        <v>420</v>
      </c>
      <c r="DU258">
        <f t="shared" si="669"/>
        <v>350</v>
      </c>
      <c r="DW258" s="5">
        <f t="shared" si="670"/>
        <v>2.8571428571428572</v>
      </c>
      <c r="DX258" s="5">
        <f t="shared" si="671"/>
        <v>0.61101009266077855</v>
      </c>
      <c r="DY258" s="5">
        <f t="shared" si="672"/>
        <v>2.2461327644820788</v>
      </c>
      <c r="DZ258" s="5"/>
      <c r="EA258" s="173">
        <f t="shared" si="673"/>
        <v>0.21385353243127248</v>
      </c>
      <c r="EB258" s="173">
        <f t="shared" si="699"/>
        <v>7.0559999999999983</v>
      </c>
      <c r="EC258" s="173">
        <f t="shared" si="700"/>
        <v>0.72051513899116792</v>
      </c>
      <c r="ED258" s="173">
        <f t="shared" si="701"/>
        <v>9.7929933989721363</v>
      </c>
      <c r="EE258" s="460">
        <f t="shared" si="674"/>
        <v>1.5647819446190674</v>
      </c>
      <c r="EF258" s="5">
        <f t="shared" si="675"/>
        <v>0.35813339078130912</v>
      </c>
      <c r="EH258" s="173">
        <f t="shared" si="702"/>
        <v>0.48940367420262088</v>
      </c>
      <c r="EI258" s="173">
        <f t="shared" si="703"/>
        <v>0.93834111264346431</v>
      </c>
      <c r="EK258" s="528">
        <f t="shared" si="704"/>
        <v>4.7903191264605021E-3</v>
      </c>
      <c r="EL258" s="528">
        <f t="shared" si="705"/>
        <v>0.67748799074227128</v>
      </c>
      <c r="EM258" s="528">
        <f t="shared" si="706"/>
        <v>4.3749999999999997E-2</v>
      </c>
      <c r="EN258" s="528">
        <f t="shared" si="707"/>
        <v>9.7574399999999992E-2</v>
      </c>
      <c r="EO258">
        <f t="shared" si="708"/>
        <v>1.6199999999999999E-2</v>
      </c>
      <c r="EP258" s="460">
        <f t="shared" si="709"/>
        <v>59.949999999999996</v>
      </c>
      <c r="EQ258" s="460"/>
      <c r="ER258" s="460">
        <f t="shared" si="710"/>
        <v>839.80270986873177</v>
      </c>
      <c r="ES258" s="528">
        <f t="shared" si="711"/>
        <v>0.29399999999999998</v>
      </c>
      <c r="EV258" s="460">
        <f t="shared" si="712"/>
        <v>294</v>
      </c>
      <c r="EW258" s="528">
        <f t="shared" si="713"/>
        <v>7.1854786896907519E-3</v>
      </c>
      <c r="EX258" s="528">
        <f t="shared" si="714"/>
        <v>2.6414521310309236E-2</v>
      </c>
      <c r="EY258" s="528">
        <f t="shared" si="715"/>
        <v>0.52127177725220464</v>
      </c>
      <c r="EZ258" s="528"/>
      <c r="FA258" s="528">
        <f t="shared" si="716"/>
        <v>5.8799999999999981E-3</v>
      </c>
      <c r="FB258" s="460">
        <f t="shared" si="717"/>
        <v>560.75177725220465</v>
      </c>
      <c r="FC258" s="173">
        <f t="shared" si="718"/>
        <v>1.6945544871209366</v>
      </c>
      <c r="FD258" s="5">
        <f t="shared" si="719"/>
        <v>6.887999999999999</v>
      </c>
      <c r="FE258" s="173">
        <f t="shared" si="720"/>
        <v>0.80255826051977863</v>
      </c>
      <c r="FF258" s="5">
        <f t="shared" si="721"/>
        <v>80.255826051977863</v>
      </c>
      <c r="FI258" s="562">
        <f t="shared" si="676"/>
        <v>-50</v>
      </c>
      <c r="FJ258">
        <f t="shared" si="677"/>
        <v>-50</v>
      </c>
      <c r="FL258">
        <f t="shared" si="760"/>
        <v>0.45825756949558399</v>
      </c>
    </row>
    <row r="259" spans="5:168">
      <c r="E259" s="170">
        <v>43</v>
      </c>
      <c r="F259" s="217">
        <f t="shared" si="761"/>
        <v>0.43</v>
      </c>
      <c r="G259" s="217"/>
      <c r="H259" s="217">
        <f t="shared" si="726"/>
        <v>7.0519999999999996</v>
      </c>
      <c r="I259" s="541">
        <f t="shared" si="727"/>
        <v>35.954187234051965</v>
      </c>
      <c r="J259" s="172">
        <f t="shared" si="728"/>
        <v>16.827487659568817</v>
      </c>
      <c r="K259" s="172">
        <f t="shared" si="729"/>
        <v>52.781674893620782</v>
      </c>
      <c r="L259" s="443"/>
      <c r="M259" s="217">
        <f t="shared" si="730"/>
        <v>0.31881736721611786</v>
      </c>
      <c r="N259" s="172">
        <f t="shared" si="731"/>
        <v>38.725224583665351</v>
      </c>
      <c r="O259" s="172">
        <f t="shared" si="599"/>
        <v>7.0519999999999996</v>
      </c>
      <c r="P259" s="217">
        <f t="shared" si="732"/>
        <v>2.3612941819308144</v>
      </c>
      <c r="Q259" s="217">
        <f t="shared" si="733"/>
        <v>16.399999999999999</v>
      </c>
      <c r="R259" s="217"/>
      <c r="S259" s="172">
        <f t="shared" si="734"/>
        <v>242.81957290479588</v>
      </c>
      <c r="T259" s="172">
        <f t="shared" si="735"/>
        <v>16.399999999999999</v>
      </c>
      <c r="U259" s="217">
        <f t="shared" si="736"/>
        <v>1.2625101677729518</v>
      </c>
      <c r="V259" s="217">
        <f t="shared" si="737"/>
        <v>0.42137295204734443</v>
      </c>
      <c r="W259" s="217">
        <f t="shared" si="738"/>
        <v>0.90031990037802379</v>
      </c>
      <c r="X259" s="197">
        <f t="shared" si="739"/>
        <v>350</v>
      </c>
      <c r="Y259" s="443">
        <f t="shared" si="680"/>
        <v>350</v>
      </c>
      <c r="AA259" s="217">
        <f t="shared" si="740"/>
        <v>2.7292058826703878</v>
      </c>
      <c r="AB259" s="173">
        <f t="shared" si="741"/>
        <v>1.9462483797111183</v>
      </c>
      <c r="AC259" s="173">
        <f t="shared" si="742"/>
        <v>0.92954969223292649</v>
      </c>
      <c r="AD259" s="173"/>
      <c r="AE259" s="173">
        <f t="shared" si="743"/>
        <v>0.95082524044530969</v>
      </c>
      <c r="AF259" s="545">
        <f t="shared" si="744"/>
        <v>678.35809627636775</v>
      </c>
      <c r="AG259" s="528">
        <f t="shared" si="745"/>
        <v>0.2218592227705723</v>
      </c>
      <c r="AI259" s="173">
        <f t="shared" si="746"/>
        <v>1.8562404007915454</v>
      </c>
      <c r="AJ259" s="173">
        <f t="shared" si="747"/>
        <v>1.8562404007915454</v>
      </c>
      <c r="AK259" s="173">
        <f t="shared" si="748"/>
        <v>1.5873385684875643</v>
      </c>
      <c r="AM259" s="545">
        <f t="shared" si="749"/>
        <v>430</v>
      </c>
      <c r="AN259" s="460">
        <f t="shared" si="750"/>
        <v>350</v>
      </c>
      <c r="AP259">
        <f t="shared" si="751"/>
        <v>430</v>
      </c>
      <c r="AQ259">
        <f t="shared" si="752"/>
        <v>350</v>
      </c>
      <c r="AS259" s="5">
        <f t="shared" si="600"/>
        <v>2.8571428571428572</v>
      </c>
      <c r="AT259" s="5">
        <f t="shared" si="753"/>
        <v>0.61953520641407112</v>
      </c>
      <c r="AU259" s="5">
        <f t="shared" si="722"/>
        <v>2.2376076507287861</v>
      </c>
      <c r="AV259" s="5"/>
      <c r="AW259" s="173">
        <f t="shared" si="723"/>
        <v>0.21683732224492488</v>
      </c>
      <c r="AX259" s="173">
        <f t="shared" si="631"/>
        <v>7.23581969361459</v>
      </c>
      <c r="AY259" s="173">
        <f t="shared" si="632"/>
        <v>0.72686910142053029</v>
      </c>
      <c r="AZ259" s="173">
        <f t="shared" si="633"/>
        <v>9.9547768359853617</v>
      </c>
      <c r="BA259" s="460">
        <f t="shared" si="724"/>
        <v>1.6243910899881135</v>
      </c>
      <c r="BB259" s="5">
        <f t="shared" si="725"/>
        <v>0.36573415520465991</v>
      </c>
      <c r="BD259" s="173">
        <f t="shared" si="681"/>
        <v>0.49904603703569145</v>
      </c>
      <c r="BE259" s="173">
        <f t="shared" si="682"/>
        <v>0.94841755647458548</v>
      </c>
      <c r="BG259" s="528">
        <f t="shared" si="683"/>
        <v>4.9809389416205748E-3</v>
      </c>
      <c r="BH259" s="528">
        <f t="shared" si="754"/>
        <v>0.64296407016833046</v>
      </c>
      <c r="BI259" s="528">
        <f t="shared" si="755"/>
        <v>0.31459913829795466</v>
      </c>
      <c r="BJ259" s="528">
        <f t="shared" si="684"/>
        <v>9.7506682160155761E-2</v>
      </c>
      <c r="BK259">
        <f t="shared" si="685"/>
        <v>1.6179384255323382E-2</v>
      </c>
      <c r="BL259" s="460">
        <f t="shared" si="686"/>
        <v>330.77852255327804</v>
      </c>
      <c r="BM259" s="528">
        <f t="shared" si="756"/>
        <v>0.74768140411253314</v>
      </c>
      <c r="BN259" s="460">
        <f t="shared" si="687"/>
        <v>747.68140411253319</v>
      </c>
      <c r="BO259" s="528">
        <f t="shared" si="637"/>
        <v>0.30099999999999999</v>
      </c>
      <c r="BR259" s="460">
        <f t="shared" si="688"/>
        <v>301</v>
      </c>
      <c r="BS259" s="528">
        <f t="shared" si="689"/>
        <v>7.4714084124308617E-3</v>
      </c>
      <c r="BT259" s="528">
        <f t="shared" si="690"/>
        <v>2.6984875842876704E-2</v>
      </c>
      <c r="BU259" s="528">
        <f t="shared" si="691"/>
        <v>0.53792987851498664</v>
      </c>
      <c r="BV259" s="528"/>
      <c r="BW259" s="528">
        <f t="shared" si="692"/>
        <v>6.0298497446788241E-3</v>
      </c>
      <c r="BX259" s="460">
        <f t="shared" si="693"/>
        <v>578.41601251497298</v>
      </c>
      <c r="BY259" s="173">
        <f t="shared" si="694"/>
        <v>1.9556462263383578</v>
      </c>
      <c r="BZ259" s="5">
        <f t="shared" si="695"/>
        <v>7.0519999999999996</v>
      </c>
      <c r="CA259" s="173">
        <f t="shared" si="696"/>
        <v>0.7828904269552629</v>
      </c>
      <c r="CB259" s="5">
        <f t="shared" si="697"/>
        <v>78.289042695526291</v>
      </c>
      <c r="CE259" s="562">
        <f t="shared" si="757"/>
        <v>-50</v>
      </c>
      <c r="CF259">
        <f t="shared" si="758"/>
        <v>-50</v>
      </c>
      <c r="CG259" s="173">
        <f t="shared" si="759"/>
        <v>0.46930150483353922</v>
      </c>
      <c r="CI259" s="170">
        <v>43</v>
      </c>
      <c r="CJ259" s="217">
        <f t="shared" si="698"/>
        <v>0.43</v>
      </c>
      <c r="CK259" s="217"/>
      <c r="CL259" s="217">
        <f t="shared" si="641"/>
        <v>7.0519999999999996</v>
      </c>
      <c r="CM259" s="541">
        <f t="shared" si="642"/>
        <v>36</v>
      </c>
      <c r="CN259" s="443">
        <f t="shared" si="643"/>
        <v>16.799999999999997</v>
      </c>
      <c r="CO259" s="443">
        <f t="shared" si="644"/>
        <v>52.8</v>
      </c>
      <c r="CP259" s="443"/>
      <c r="CQ259" s="217">
        <f t="shared" si="645"/>
        <v>0.31818181818181812</v>
      </c>
      <c r="CR259" s="172">
        <f t="shared" si="646"/>
        <v>38.697272727272725</v>
      </c>
      <c r="CS259" s="172">
        <f t="shared" si="647"/>
        <v>7.0519999999999996</v>
      </c>
      <c r="CT259" s="217">
        <f t="shared" si="648"/>
        <v>2.3595898004434592</v>
      </c>
      <c r="CU259" s="217">
        <f t="shared" si="649"/>
        <v>16.399999999999999</v>
      </c>
      <c r="CV259" s="217"/>
      <c r="CW259" s="172">
        <f t="shared" si="650"/>
        <v>243.12889800138822</v>
      </c>
      <c r="CX259" s="172">
        <f t="shared" si="651"/>
        <v>16.399999999999999</v>
      </c>
      <c r="CY259" s="217">
        <f t="shared" si="652"/>
        <v>1.2313015873015873</v>
      </c>
      <c r="CZ259" s="217">
        <f t="shared" si="653"/>
        <v>0.41043386243386248</v>
      </c>
      <c r="DA259" s="217">
        <f t="shared" si="654"/>
        <v>0.87950113378684824</v>
      </c>
      <c r="DB259" s="197">
        <f t="shared" si="655"/>
        <v>350</v>
      </c>
      <c r="DC259" s="443">
        <f t="shared" si="656"/>
        <v>350</v>
      </c>
      <c r="DE259" s="217">
        <f t="shared" si="657"/>
        <v>2.7272727272727271</v>
      </c>
      <c r="DF259" s="173">
        <f t="shared" si="658"/>
        <v>1.9480519480519483</v>
      </c>
      <c r="DG259" s="173">
        <f t="shared" si="659"/>
        <v>0.92975206611570249</v>
      </c>
      <c r="DH259" s="173"/>
      <c r="DI259" s="173">
        <f t="shared" si="660"/>
        <v>0.95238095238095266</v>
      </c>
      <c r="DJ259" s="545">
        <f t="shared" si="661"/>
        <v>677.24999999999977</v>
      </c>
      <c r="DK259" s="528">
        <f t="shared" si="662"/>
        <v>0.22222222222222232</v>
      </c>
      <c r="DM259" s="173">
        <f t="shared" si="663"/>
        <v>1.8547236990991405</v>
      </c>
      <c r="DN259" s="173">
        <f t="shared" si="664"/>
        <v>1.8547236990991405</v>
      </c>
      <c r="DO259" s="173">
        <f t="shared" si="665"/>
        <v>1.5862150857524495</v>
      </c>
      <c r="DQ259" s="545">
        <f t="shared" si="666"/>
        <v>430</v>
      </c>
      <c r="DR259" s="460">
        <f t="shared" si="667"/>
        <v>350</v>
      </c>
      <c r="DT259">
        <f t="shared" si="668"/>
        <v>430</v>
      </c>
      <c r="DU259">
        <f t="shared" si="669"/>
        <v>350</v>
      </c>
      <c r="DW259" s="5">
        <f t="shared" si="670"/>
        <v>2.8571428571428572</v>
      </c>
      <c r="DX259" s="5">
        <f t="shared" si="671"/>
        <v>0.61824123303304679</v>
      </c>
      <c r="DY259" s="5">
        <f t="shared" si="672"/>
        <v>2.2389016241098103</v>
      </c>
      <c r="DZ259" s="5"/>
      <c r="EA259" s="173">
        <f t="shared" si="673"/>
        <v>0.21638443156156636</v>
      </c>
      <c r="EB259" s="173">
        <f t="shared" si="699"/>
        <v>7.2239999999999984</v>
      </c>
      <c r="EC259" s="173">
        <f t="shared" si="700"/>
        <v>0.72669518288290358</v>
      </c>
      <c r="ED259" s="173">
        <f t="shared" si="701"/>
        <v>9.9408942981311075</v>
      </c>
      <c r="EE259" s="460">
        <f t="shared" si="674"/>
        <v>1.6209983549037204</v>
      </c>
      <c r="EF259" s="5">
        <f t="shared" si="675"/>
        <v>0.36547995956533286</v>
      </c>
      <c r="EH259" s="173">
        <f t="shared" si="702"/>
        <v>0.49811727018570906</v>
      </c>
      <c r="EI259" s="173">
        <f t="shared" si="703"/>
        <v>0.94791658483719099</v>
      </c>
      <c r="EK259" s="528">
        <f t="shared" si="704"/>
        <v>4.9624162971452536E-3</v>
      </c>
      <c r="EL259" s="528">
        <f t="shared" si="705"/>
        <v>0.68550587918704231</v>
      </c>
      <c r="EM259" s="528">
        <f t="shared" si="706"/>
        <v>4.3749999999999997E-2</v>
      </c>
      <c r="EN259" s="528">
        <f t="shared" si="707"/>
        <v>9.7574399999999992E-2</v>
      </c>
      <c r="EO259">
        <f t="shared" si="708"/>
        <v>1.6199999999999999E-2</v>
      </c>
      <c r="EP259" s="460">
        <f t="shared" si="709"/>
        <v>59.949999999999996</v>
      </c>
      <c r="EQ259" s="460"/>
      <c r="ER259" s="460">
        <f t="shared" si="710"/>
        <v>847.99269548418738</v>
      </c>
      <c r="ES259" s="528">
        <f t="shared" si="711"/>
        <v>0.30099999999999999</v>
      </c>
      <c r="EV259" s="460">
        <f t="shared" si="712"/>
        <v>301</v>
      </c>
      <c r="EW259" s="528">
        <f t="shared" si="713"/>
        <v>7.4436244457178795E-3</v>
      </c>
      <c r="EX259" s="528">
        <f t="shared" si="714"/>
        <v>2.6956375554282104E-2</v>
      </c>
      <c r="EY259" s="528">
        <f t="shared" si="715"/>
        <v>0.53683171897110205</v>
      </c>
      <c r="EZ259" s="528"/>
      <c r="FA259" s="528">
        <f t="shared" si="716"/>
        <v>6.0199999999999984E-3</v>
      </c>
      <c r="FB259" s="460">
        <f t="shared" si="717"/>
        <v>577.25171897110204</v>
      </c>
      <c r="FC259" s="173">
        <f t="shared" si="718"/>
        <v>1.7262444144552893</v>
      </c>
      <c r="FD259" s="5">
        <f t="shared" si="719"/>
        <v>7.0519999999999996</v>
      </c>
      <c r="FE259" s="173">
        <f t="shared" si="720"/>
        <v>0.8033496980771403</v>
      </c>
      <c r="FF259" s="5">
        <f t="shared" si="721"/>
        <v>80.334969807714032</v>
      </c>
      <c r="FI259" s="562">
        <f t="shared" si="676"/>
        <v>-50</v>
      </c>
      <c r="FJ259">
        <f t="shared" si="677"/>
        <v>-50</v>
      </c>
      <c r="FL259">
        <f t="shared" si="760"/>
        <v>0.46368092477478523</v>
      </c>
    </row>
    <row r="260" spans="5:168">
      <c r="E260" s="170">
        <v>44</v>
      </c>
      <c r="F260" s="217">
        <f t="shared" si="761"/>
        <v>0.44</v>
      </c>
      <c r="G260" s="217"/>
      <c r="H260" s="217">
        <f t="shared" si="726"/>
        <v>7.2159999999999993</v>
      </c>
      <c r="I260" s="541">
        <f t="shared" si="727"/>
        <v>35.953657589104374</v>
      </c>
      <c r="J260" s="172">
        <f t="shared" si="728"/>
        <v>16.827805446537372</v>
      </c>
      <c r="K260" s="172">
        <f t="shared" si="729"/>
        <v>52.78146303564175</v>
      </c>
      <c r="L260" s="443"/>
      <c r="M260" s="217">
        <f t="shared" si="730"/>
        <v>0.31882471738146495</v>
      </c>
      <c r="N260" s="172">
        <f t="shared" si="731"/>
        <v>38.725546894639315</v>
      </c>
      <c r="O260" s="172">
        <f t="shared" si="599"/>
        <v>7.2159999999999993</v>
      </c>
      <c r="P260" s="217">
        <f t="shared" si="732"/>
        <v>2.3613138350389828</v>
      </c>
      <c r="Q260" s="217">
        <f t="shared" si="733"/>
        <v>16.399999999999999</v>
      </c>
      <c r="R260" s="217"/>
      <c r="S260" s="172">
        <f t="shared" si="734"/>
        <v>236.48324745433439</v>
      </c>
      <c r="T260" s="172">
        <f t="shared" si="735"/>
        <v>16.399999999999999</v>
      </c>
      <c r="U260" s="217">
        <f t="shared" si="736"/>
        <v>1.2918848091744526</v>
      </c>
      <c r="V260" s="217">
        <f t="shared" si="737"/>
        <v>0.43118332736170473</v>
      </c>
      <c r="W260" s="217">
        <f t="shared" si="738"/>
        <v>0.92125011543221635</v>
      </c>
      <c r="X260" s="197">
        <f t="shared" si="739"/>
        <v>350</v>
      </c>
      <c r="Y260" s="443">
        <f t="shared" si="680"/>
        <v>350</v>
      </c>
      <c r="AA260" s="217">
        <f t="shared" si="740"/>
        <v>2.7292281734463049</v>
      </c>
      <c r="AB260" s="173">
        <f t="shared" si="741"/>
        <v>1.9462275211943765</v>
      </c>
      <c r="AC260" s="173">
        <f t="shared" si="742"/>
        <v>0.92954732198654522</v>
      </c>
      <c r="AD260" s="173"/>
      <c r="AE260" s="173">
        <f t="shared" si="743"/>
        <v>0.95080728445742135</v>
      </c>
      <c r="AF260" s="545">
        <f t="shared" si="744"/>
        <v>694.14697466966641</v>
      </c>
      <c r="AG260" s="528">
        <f t="shared" si="745"/>
        <v>0.22185503304006499</v>
      </c>
      <c r="AI260" s="173">
        <f t="shared" si="746"/>
        <v>1.8777182704239794</v>
      </c>
      <c r="AJ260" s="173">
        <f t="shared" si="747"/>
        <v>1.8777182704239794</v>
      </c>
      <c r="AK260" s="173">
        <f t="shared" si="748"/>
        <v>1.6032481015486266</v>
      </c>
      <c r="AM260" s="545">
        <f t="shared" si="749"/>
        <v>440</v>
      </c>
      <c r="AN260" s="460">
        <f t="shared" si="750"/>
        <v>350</v>
      </c>
      <c r="AP260">
        <f t="shared" si="751"/>
        <v>440</v>
      </c>
      <c r="AQ260">
        <f t="shared" si="752"/>
        <v>350</v>
      </c>
      <c r="AS260" s="5">
        <f t="shared" si="600"/>
        <v>2.8571428571428572</v>
      </c>
      <c r="AT260" s="5">
        <f t="shared" si="753"/>
        <v>0.62671285082039008</v>
      </c>
      <c r="AU260" s="5">
        <f t="shared" si="722"/>
        <v>2.2304300063224671</v>
      </c>
      <c r="AV260" s="5"/>
      <c r="AW260" s="173">
        <f t="shared" si="723"/>
        <v>0.21934949778713653</v>
      </c>
      <c r="AX260" s="173">
        <f t="shared" si="631"/>
        <v>7.4042343964764434</v>
      </c>
      <c r="AY260" s="173">
        <f t="shared" si="632"/>
        <v>0.73292085541037444</v>
      </c>
      <c r="AZ260" s="173">
        <f t="shared" si="633"/>
        <v>10.102365544408872</v>
      </c>
      <c r="BA260" s="460">
        <f t="shared" si="724"/>
        <v>1.6814247217132421</v>
      </c>
      <c r="BB260" s="5">
        <f t="shared" si="725"/>
        <v>0.37304463590236564</v>
      </c>
      <c r="BD260" s="173">
        <f t="shared" si="681"/>
        <v>0.50773619827831762</v>
      </c>
      <c r="BE260" s="173">
        <f t="shared" si="682"/>
        <v>0.95785137364096717</v>
      </c>
      <c r="BG260" s="528">
        <f t="shared" si="683"/>
        <v>5.155920940842381E-3</v>
      </c>
      <c r="BH260" s="528">
        <f t="shared" si="754"/>
        <v>0.65040095847386903</v>
      </c>
      <c r="BI260" s="528">
        <f t="shared" si="755"/>
        <v>0.31459450390466326</v>
      </c>
      <c r="BJ260" s="528">
        <f t="shared" si="684"/>
        <v>9.7505899406398588E-2</v>
      </c>
      <c r="BK260">
        <f t="shared" si="685"/>
        <v>1.6179145915096969E-2</v>
      </c>
      <c r="BL260" s="460">
        <f t="shared" si="686"/>
        <v>330.77364981976018</v>
      </c>
      <c r="BM260" s="528">
        <f t="shared" si="756"/>
        <v>0.75538025364939565</v>
      </c>
      <c r="BN260" s="460">
        <f t="shared" si="687"/>
        <v>755.38025364939563</v>
      </c>
      <c r="BO260" s="528">
        <f t="shared" si="637"/>
        <v>0.308</v>
      </c>
      <c r="BR260" s="460">
        <f t="shared" si="688"/>
        <v>308</v>
      </c>
      <c r="BS260" s="528">
        <f t="shared" si="689"/>
        <v>7.7338814112635716E-3</v>
      </c>
      <c r="BT260" s="528">
        <f t="shared" si="690"/>
        <v>2.7524377619576629E-2</v>
      </c>
      <c r="BU260" s="528">
        <f t="shared" si="691"/>
        <v>0.55362563992937053</v>
      </c>
      <c r="BV260" s="528"/>
      <c r="BW260" s="528">
        <f t="shared" si="692"/>
        <v>6.170195330397036E-3</v>
      </c>
      <c r="BX260" s="460">
        <f t="shared" si="693"/>
        <v>595.05409429060785</v>
      </c>
      <c r="BY260" s="173">
        <f t="shared" si="694"/>
        <v>1.9868905229314782</v>
      </c>
      <c r="BZ260" s="5">
        <f t="shared" si="695"/>
        <v>7.2159999999999993</v>
      </c>
      <c r="CA260" s="173">
        <f t="shared" si="696"/>
        <v>0.78410147138221342</v>
      </c>
      <c r="CB260" s="5">
        <f t="shared" si="697"/>
        <v>78.410147138221348</v>
      </c>
      <c r="CE260" s="562">
        <f t="shared" si="757"/>
        <v>-50</v>
      </c>
      <c r="CF260">
        <f t="shared" si="758"/>
        <v>-50</v>
      </c>
      <c r="CG260" s="173">
        <f t="shared" si="759"/>
        <v>0.47472713600397504</v>
      </c>
      <c r="CI260" s="170">
        <v>44</v>
      </c>
      <c r="CJ260" s="217">
        <f t="shared" si="698"/>
        <v>0.44</v>
      </c>
      <c r="CK260" s="217"/>
      <c r="CL260" s="217">
        <f t="shared" si="641"/>
        <v>7.2159999999999993</v>
      </c>
      <c r="CM260" s="541">
        <f t="shared" si="642"/>
        <v>36</v>
      </c>
      <c r="CN260" s="443">
        <f t="shared" si="643"/>
        <v>16.799999999999997</v>
      </c>
      <c r="CO260" s="443">
        <f t="shared" si="644"/>
        <v>52.8</v>
      </c>
      <c r="CP260" s="443"/>
      <c r="CQ260" s="217">
        <f t="shared" si="645"/>
        <v>0.31818181818181812</v>
      </c>
      <c r="CR260" s="172">
        <f t="shared" si="646"/>
        <v>38.697272727272725</v>
      </c>
      <c r="CS260" s="172">
        <f t="shared" si="647"/>
        <v>7.2159999999999993</v>
      </c>
      <c r="CT260" s="217">
        <f t="shared" si="648"/>
        <v>2.3595898004434592</v>
      </c>
      <c r="CU260" s="217">
        <f t="shared" si="649"/>
        <v>16.399999999999999</v>
      </c>
      <c r="CV260" s="217"/>
      <c r="CW260" s="172">
        <f t="shared" si="650"/>
        <v>236.78798406582015</v>
      </c>
      <c r="CX260" s="172">
        <f t="shared" si="651"/>
        <v>16.399999999999999</v>
      </c>
      <c r="CY260" s="217">
        <f t="shared" si="652"/>
        <v>1.2599365079365079</v>
      </c>
      <c r="CZ260" s="217">
        <f t="shared" si="653"/>
        <v>0.41997883597883595</v>
      </c>
      <c r="DA260" s="217">
        <f t="shared" si="654"/>
        <v>0.89995464852607732</v>
      </c>
      <c r="DB260" s="197">
        <f t="shared" si="655"/>
        <v>350</v>
      </c>
      <c r="DC260" s="443">
        <f t="shared" si="656"/>
        <v>350</v>
      </c>
      <c r="DE260" s="217">
        <f t="shared" si="657"/>
        <v>2.7272727272727271</v>
      </c>
      <c r="DF260" s="173">
        <f t="shared" si="658"/>
        <v>1.9480519480519483</v>
      </c>
      <c r="DG260" s="173">
        <f t="shared" si="659"/>
        <v>0.92975206611570249</v>
      </c>
      <c r="DH260" s="173"/>
      <c r="DI260" s="173">
        <f t="shared" si="660"/>
        <v>0.95238095238095266</v>
      </c>
      <c r="DJ260" s="545">
        <f t="shared" si="661"/>
        <v>692.99999999999977</v>
      </c>
      <c r="DK260" s="528">
        <f t="shared" si="662"/>
        <v>0.22222222222222232</v>
      </c>
      <c r="DM260" s="173">
        <f t="shared" si="663"/>
        <v>1.8761663039293717</v>
      </c>
      <c r="DN260" s="173">
        <f t="shared" si="664"/>
        <v>1.8761663039293717</v>
      </c>
      <c r="DO260" s="173">
        <f t="shared" si="665"/>
        <v>1.602098496737806</v>
      </c>
      <c r="DQ260" s="545">
        <f t="shared" si="666"/>
        <v>440</v>
      </c>
      <c r="DR260" s="460">
        <f t="shared" si="667"/>
        <v>350</v>
      </c>
      <c r="DT260">
        <f t="shared" si="668"/>
        <v>440</v>
      </c>
      <c r="DU260">
        <f t="shared" si="669"/>
        <v>350</v>
      </c>
      <c r="DW260" s="5">
        <f t="shared" si="670"/>
        <v>2.8571428571428572</v>
      </c>
      <c r="DX260" s="5">
        <f t="shared" si="671"/>
        <v>0.62538876797645726</v>
      </c>
      <c r="DY260" s="5">
        <f t="shared" si="672"/>
        <v>2.2317540891664001</v>
      </c>
      <c r="DZ260" s="5"/>
      <c r="EA260" s="173">
        <f t="shared" si="673"/>
        <v>0.21888606879176004</v>
      </c>
      <c r="EB260" s="173">
        <f t="shared" si="699"/>
        <v>7.3919999999999995</v>
      </c>
      <c r="EC260" s="173">
        <f t="shared" si="700"/>
        <v>0.73274981863135258</v>
      </c>
      <c r="ED260" s="173">
        <f t="shared" si="701"/>
        <v>10.088027061960863</v>
      </c>
      <c r="EE260" s="460">
        <f t="shared" si="674"/>
        <v>1.6778723043270807</v>
      </c>
      <c r="EF260" s="5">
        <f t="shared" si="675"/>
        <v>0.37278559044964671</v>
      </c>
      <c r="EH260" s="173">
        <f t="shared" si="702"/>
        <v>0.50678034760206025</v>
      </c>
      <c r="EI260" s="173">
        <f t="shared" si="703"/>
        <v>0.95734372751779606</v>
      </c>
      <c r="EK260" s="528">
        <f t="shared" si="704"/>
        <v>5.1365264143133004E-3</v>
      </c>
      <c r="EL260" s="528">
        <f t="shared" si="705"/>
        <v>0.69343106593229575</v>
      </c>
      <c r="EM260" s="528">
        <f t="shared" si="706"/>
        <v>4.3749999999999997E-2</v>
      </c>
      <c r="EN260" s="528">
        <f t="shared" si="707"/>
        <v>9.7574399999999992E-2</v>
      </c>
      <c r="EO260">
        <f t="shared" si="708"/>
        <v>1.6199999999999999E-2</v>
      </c>
      <c r="EP260" s="460">
        <f t="shared" si="709"/>
        <v>59.949999999999996</v>
      </c>
      <c r="EQ260" s="460"/>
      <c r="ER260" s="460">
        <f t="shared" si="710"/>
        <v>856.09199234660889</v>
      </c>
      <c r="ES260" s="528">
        <f t="shared" si="711"/>
        <v>0.308</v>
      </c>
      <c r="EV260" s="460">
        <f t="shared" si="712"/>
        <v>308</v>
      </c>
      <c r="EW260" s="528">
        <f t="shared" si="713"/>
        <v>7.7047896214699502E-3</v>
      </c>
      <c r="EX260" s="528">
        <f t="shared" si="714"/>
        <v>2.7495210378530047E-2</v>
      </c>
      <c r="EY260" s="528">
        <f t="shared" si="715"/>
        <v>0.55248239613490258</v>
      </c>
      <c r="EZ260" s="528"/>
      <c r="FA260" s="528">
        <f t="shared" si="716"/>
        <v>6.1599999999999997E-3</v>
      </c>
      <c r="FB260" s="460">
        <f t="shared" si="717"/>
        <v>593.84239613490263</v>
      </c>
      <c r="FC260" s="173">
        <f t="shared" si="718"/>
        <v>1.7579343884815113</v>
      </c>
      <c r="FD260" s="5">
        <f t="shared" si="719"/>
        <v>7.2159999999999993</v>
      </c>
      <c r="FE260" s="173">
        <f t="shared" si="720"/>
        <v>0.80410661451482124</v>
      </c>
      <c r="FF260" s="5">
        <f t="shared" si="721"/>
        <v>80.410661451482127</v>
      </c>
      <c r="FI260" s="562">
        <f t="shared" si="676"/>
        <v>-50</v>
      </c>
      <c r="FJ260">
        <f t="shared" si="677"/>
        <v>-50</v>
      </c>
      <c r="FL260">
        <f t="shared" si="760"/>
        <v>0.46904157598234297</v>
      </c>
    </row>
    <row r="261" spans="5:168">
      <c r="E261" s="170">
        <v>45</v>
      </c>
      <c r="F261" s="217">
        <f t="shared" si="761"/>
        <v>0.45</v>
      </c>
      <c r="G261" s="217"/>
      <c r="H261" s="217">
        <f t="shared" si="726"/>
        <v>7.38</v>
      </c>
      <c r="I261" s="541">
        <f t="shared" si="727"/>
        <v>35.953133929421931</v>
      </c>
      <c r="J261" s="172">
        <f t="shared" si="728"/>
        <v>16.828119642346838</v>
      </c>
      <c r="K261" s="172">
        <f t="shared" si="729"/>
        <v>52.781253571768772</v>
      </c>
      <c r="L261" s="443"/>
      <c r="M261" s="217">
        <f t="shared" si="730"/>
        <v>0.31883198454305012</v>
      </c>
      <c r="N261" s="172">
        <f t="shared" si="731"/>
        <v>38.725865544388896</v>
      </c>
      <c r="O261" s="172">
        <f t="shared" si="599"/>
        <v>7.38</v>
      </c>
      <c r="P261" s="217">
        <f t="shared" si="732"/>
        <v>2.361333264901762</v>
      </c>
      <c r="Q261" s="217">
        <f t="shared" si="733"/>
        <v>16.399999999999999</v>
      </c>
      <c r="R261" s="217"/>
      <c r="S261" s="172">
        <f t="shared" si="734"/>
        <v>230.42867937452493</v>
      </c>
      <c r="T261" s="172">
        <f t="shared" si="735"/>
        <v>16.399999999999999</v>
      </c>
      <c r="U261" s="217">
        <f t="shared" si="736"/>
        <v>1.3212599235098414</v>
      </c>
      <c r="V261" s="217">
        <f t="shared" si="737"/>
        <v>0.44099407615599268</v>
      </c>
      <c r="W261" s="217">
        <f t="shared" si="738"/>
        <v>0.94218007829108552</v>
      </c>
      <c r="X261" s="197">
        <f t="shared" si="739"/>
        <v>350</v>
      </c>
      <c r="Y261" s="443">
        <f t="shared" si="680"/>
        <v>350</v>
      </c>
      <c r="AA261" s="217">
        <f t="shared" si="740"/>
        <v>2.7292502110078272</v>
      </c>
      <c r="AB261" s="173">
        <f t="shared" si="741"/>
        <v>1.9462068982251717</v>
      </c>
      <c r="AC261" s="173">
        <f t="shared" si="742"/>
        <v>0.92954497783803924</v>
      </c>
      <c r="AD261" s="173"/>
      <c r="AE261" s="173">
        <f t="shared" si="743"/>
        <v>0.95078953204831462</v>
      </c>
      <c r="AF261" s="545">
        <f t="shared" si="744"/>
        <v>709.93629741150698</v>
      </c>
      <c r="AG261" s="528">
        <f t="shared" si="745"/>
        <v>0.22185089081127346</v>
      </c>
      <c r="AI261" s="173">
        <f t="shared" si="746"/>
        <v>1.8989538271495048</v>
      </c>
      <c r="AJ261" s="173">
        <f t="shared" si="747"/>
        <v>1.8989538271495048</v>
      </c>
      <c r="AK261" s="173">
        <f t="shared" si="748"/>
        <v>1.6189781435675343</v>
      </c>
      <c r="AM261" s="545">
        <f t="shared" si="749"/>
        <v>450</v>
      </c>
      <c r="AN261" s="460">
        <f t="shared" si="750"/>
        <v>350</v>
      </c>
      <c r="AP261">
        <f t="shared" si="751"/>
        <v>450</v>
      </c>
      <c r="AQ261">
        <f t="shared" si="752"/>
        <v>350</v>
      </c>
      <c r="AS261" s="5">
        <f t="shared" si="600"/>
        <v>2.8571428571428572</v>
      </c>
      <c r="AT261" s="5">
        <f t="shared" si="753"/>
        <v>0.63380972491931087</v>
      </c>
      <c r="AU261" s="5">
        <f t="shared" si="722"/>
        <v>2.2233331322235461</v>
      </c>
      <c r="AV261" s="5"/>
      <c r="AW261" s="173">
        <f t="shared" si="723"/>
        <v>0.2218334037217588</v>
      </c>
      <c r="AX261" s="173">
        <f t="shared" si="631"/>
        <v>7.5726538390560778</v>
      </c>
      <c r="AY261" s="173">
        <f t="shared" si="632"/>
        <v>0.73885121808123477</v>
      </c>
      <c r="AZ261" s="173">
        <f t="shared" si="633"/>
        <v>10.249226980665929</v>
      </c>
      <c r="BA261" s="460">
        <f t="shared" si="724"/>
        <v>1.7391120500834754</v>
      </c>
      <c r="BB261" s="5">
        <f t="shared" si="725"/>
        <v>0.38031451694911134</v>
      </c>
      <c r="BD261" s="173">
        <f t="shared" si="681"/>
        <v>0.51637742692300903</v>
      </c>
      <c r="BE261" s="173">
        <f t="shared" si="682"/>
        <v>0.96714161261228415</v>
      </c>
      <c r="BG261" s="528">
        <f t="shared" si="683"/>
        <v>5.3329129407125508E-3</v>
      </c>
      <c r="BH261" s="528">
        <f t="shared" si="754"/>
        <v>0.65775388528407319</v>
      </c>
      <c r="BI261" s="528">
        <f t="shared" si="755"/>
        <v>0.31458992188244184</v>
      </c>
      <c r="BJ261" s="528">
        <f t="shared" si="684"/>
        <v>9.7505125501257381E-2</v>
      </c>
      <c r="BK261">
        <f t="shared" si="685"/>
        <v>1.6178910268239869E-2</v>
      </c>
      <c r="BL261" s="460">
        <f t="shared" si="686"/>
        <v>330.7688321506817</v>
      </c>
      <c r="BM261" s="528">
        <f t="shared" si="756"/>
        <v>0.76299860584102275</v>
      </c>
      <c r="BN261" s="460">
        <f t="shared" si="687"/>
        <v>762.99860584102271</v>
      </c>
      <c r="BO261" s="528">
        <f t="shared" si="637"/>
        <v>0.315</v>
      </c>
      <c r="BR261" s="460">
        <f t="shared" si="688"/>
        <v>315</v>
      </c>
      <c r="BS261" s="528">
        <f t="shared" si="689"/>
        <v>7.9993694110688258E-3</v>
      </c>
      <c r="BT261" s="528">
        <f t="shared" si="690"/>
        <v>2.8060886965388686E-2</v>
      </c>
      <c r="BU261" s="528">
        <f t="shared" si="691"/>
        <v>0.56941136073761389</v>
      </c>
      <c r="BV261" s="528"/>
      <c r="BW261" s="528">
        <f t="shared" si="692"/>
        <v>6.3105448658800642E-3</v>
      </c>
      <c r="BX261" s="460">
        <f t="shared" si="693"/>
        <v>611.78216197995152</v>
      </c>
      <c r="BY261" s="173">
        <f t="shared" si="694"/>
        <v>2.0181429178566765</v>
      </c>
      <c r="BZ261" s="5">
        <f t="shared" si="695"/>
        <v>7.38</v>
      </c>
      <c r="CA261" s="173">
        <f t="shared" si="696"/>
        <v>0.78526152076043021</v>
      </c>
      <c r="CB261" s="5">
        <f t="shared" si="697"/>
        <v>78.526152076043019</v>
      </c>
      <c r="CE261" s="562">
        <f t="shared" si="757"/>
        <v>-50</v>
      </c>
      <c r="CF261">
        <f t="shared" si="758"/>
        <v>-50</v>
      </c>
      <c r="CG261" s="173">
        <f t="shared" si="759"/>
        <v>0.48009145470217324</v>
      </c>
      <c r="CI261" s="170">
        <v>45</v>
      </c>
      <c r="CJ261" s="217">
        <f t="shared" si="698"/>
        <v>0.45</v>
      </c>
      <c r="CK261" s="217"/>
      <c r="CL261" s="217">
        <f t="shared" si="641"/>
        <v>7.38</v>
      </c>
      <c r="CM261" s="541">
        <f t="shared" si="642"/>
        <v>36</v>
      </c>
      <c r="CN261" s="443">
        <f t="shared" si="643"/>
        <v>16.799999999999997</v>
      </c>
      <c r="CO261" s="443">
        <f t="shared" si="644"/>
        <v>52.8</v>
      </c>
      <c r="CP261" s="443"/>
      <c r="CQ261" s="217">
        <f t="shared" si="645"/>
        <v>0.31818181818181812</v>
      </c>
      <c r="CR261" s="172">
        <f t="shared" si="646"/>
        <v>38.697272727272725</v>
      </c>
      <c r="CS261" s="172">
        <f t="shared" si="647"/>
        <v>7.38</v>
      </c>
      <c r="CT261" s="217">
        <f t="shared" si="648"/>
        <v>2.3595898004434592</v>
      </c>
      <c r="CU261" s="217">
        <f t="shared" si="649"/>
        <v>16.399999999999999</v>
      </c>
      <c r="CV261" s="217"/>
      <c r="CW261" s="172">
        <f t="shared" si="650"/>
        <v>230.7289695447021</v>
      </c>
      <c r="CX261" s="172">
        <f t="shared" si="651"/>
        <v>16.399999999999999</v>
      </c>
      <c r="CY261" s="217">
        <f t="shared" si="652"/>
        <v>1.2885714285714287</v>
      </c>
      <c r="CZ261" s="217">
        <f t="shared" si="653"/>
        <v>0.42952380952380959</v>
      </c>
      <c r="DA261" s="217">
        <f t="shared" si="654"/>
        <v>0.92040816326530639</v>
      </c>
      <c r="DB261" s="197">
        <f t="shared" si="655"/>
        <v>350</v>
      </c>
      <c r="DC261" s="443">
        <f t="shared" si="656"/>
        <v>350</v>
      </c>
      <c r="DE261" s="217">
        <f t="shared" si="657"/>
        <v>2.7272727272727271</v>
      </c>
      <c r="DF261" s="173">
        <f t="shared" si="658"/>
        <v>1.9480519480519483</v>
      </c>
      <c r="DG261" s="173">
        <f t="shared" si="659"/>
        <v>0.92975206611570249</v>
      </c>
      <c r="DH261" s="173"/>
      <c r="DI261" s="173">
        <f t="shared" si="660"/>
        <v>0.95238095238095266</v>
      </c>
      <c r="DJ261" s="545">
        <f t="shared" si="661"/>
        <v>708.74999999999977</v>
      </c>
      <c r="DK261" s="528">
        <f t="shared" si="662"/>
        <v>0.22222222222222232</v>
      </c>
      <c r="DM261" s="173">
        <f t="shared" si="663"/>
        <v>1.8973665961010273</v>
      </c>
      <c r="DN261" s="173">
        <f t="shared" si="664"/>
        <v>1.8973665961010273</v>
      </c>
      <c r="DO261" s="173">
        <f t="shared" si="665"/>
        <v>1.6178024168649583</v>
      </c>
      <c r="DQ261" s="545">
        <f t="shared" si="666"/>
        <v>450</v>
      </c>
      <c r="DR261" s="460">
        <f t="shared" si="667"/>
        <v>350</v>
      </c>
      <c r="DT261">
        <f t="shared" si="668"/>
        <v>450</v>
      </c>
      <c r="DU261">
        <f t="shared" si="669"/>
        <v>350</v>
      </c>
      <c r="DW261" s="5">
        <f t="shared" si="670"/>
        <v>2.8571428571428572</v>
      </c>
      <c r="DX261" s="5">
        <f t="shared" si="671"/>
        <v>0.63245553203367577</v>
      </c>
      <c r="DY261" s="5">
        <f t="shared" si="672"/>
        <v>2.2246873251091817</v>
      </c>
      <c r="DZ261" s="5"/>
      <c r="EA261" s="173">
        <f t="shared" si="673"/>
        <v>0.22135943621178653</v>
      </c>
      <c r="EB261" s="173">
        <f t="shared" si="699"/>
        <v>7.5599999999999969</v>
      </c>
      <c r="EC261" s="173">
        <f t="shared" si="700"/>
        <v>0.73868329805051369</v>
      </c>
      <c r="ED261" s="173">
        <f t="shared" si="701"/>
        <v>10.23442660738624</v>
      </c>
      <c r="EE261" s="460">
        <f t="shared" si="674"/>
        <v>1.7353962769216718</v>
      </c>
      <c r="EF261" s="5">
        <f t="shared" si="675"/>
        <v>0.38005075137281846</v>
      </c>
      <c r="EH261" s="173">
        <f t="shared" si="702"/>
        <v>0.51539433781731026</v>
      </c>
      <c r="EI261" s="173">
        <f t="shared" si="703"/>
        <v>0.96662747557984086</v>
      </c>
      <c r="EK261" s="528">
        <f t="shared" si="704"/>
        <v>5.3126264690828741E-3</v>
      </c>
      <c r="EL261" s="528">
        <f t="shared" si="705"/>
        <v>0.70126669391893959</v>
      </c>
      <c r="EM261" s="528">
        <f t="shared" si="706"/>
        <v>4.3749999999999997E-2</v>
      </c>
      <c r="EN261" s="528">
        <f t="shared" si="707"/>
        <v>9.7574399999999992E-2</v>
      </c>
      <c r="EO261">
        <f t="shared" si="708"/>
        <v>1.6199999999999999E-2</v>
      </c>
      <c r="EP261" s="460">
        <f t="shared" si="709"/>
        <v>59.949999999999996</v>
      </c>
      <c r="EQ261" s="460"/>
      <c r="ER261" s="460">
        <f t="shared" si="710"/>
        <v>864.10372038802245</v>
      </c>
      <c r="ES261" s="528">
        <f t="shared" si="711"/>
        <v>0.315</v>
      </c>
      <c r="EV261" s="460">
        <f t="shared" si="712"/>
        <v>315</v>
      </c>
      <c r="EW261" s="528">
        <f t="shared" si="713"/>
        <v>7.9689397036243111E-3</v>
      </c>
      <c r="EX261" s="528">
        <f t="shared" si="714"/>
        <v>2.8031060296375674E-2</v>
      </c>
      <c r="EY261" s="528">
        <f t="shared" si="715"/>
        <v>0.56822225744358357</v>
      </c>
      <c r="EZ261" s="528"/>
      <c r="FA261" s="528">
        <f t="shared" si="716"/>
        <v>6.2999999999999983E-3</v>
      </c>
      <c r="FB261" s="460">
        <f t="shared" si="717"/>
        <v>610.52225744358361</v>
      </c>
      <c r="FC261" s="173">
        <f t="shared" si="718"/>
        <v>1.7896259778316057</v>
      </c>
      <c r="FD261" s="5">
        <f t="shared" si="719"/>
        <v>7.38</v>
      </c>
      <c r="FE261" s="173">
        <f t="shared" si="720"/>
        <v>0.80483108229733824</v>
      </c>
      <c r="FF261" s="5">
        <f t="shared" si="721"/>
        <v>80.48310822973383</v>
      </c>
      <c r="FI261" s="562">
        <f t="shared" si="676"/>
        <v>-50</v>
      </c>
      <c r="FJ261">
        <f t="shared" si="677"/>
        <v>-50</v>
      </c>
      <c r="FL261">
        <f t="shared" si="760"/>
        <v>0.47434164902525694</v>
      </c>
    </row>
    <row r="262" spans="5:168">
      <c r="E262" s="170">
        <v>46</v>
      </c>
      <c r="F262" s="217">
        <f t="shared" si="761"/>
        <v>0.46</v>
      </c>
      <c r="G262" s="217"/>
      <c r="H262" s="217">
        <f t="shared" si="726"/>
        <v>7.5439999999999996</v>
      </c>
      <c r="I262" s="541">
        <f t="shared" si="727"/>
        <v>35.952616056567251</v>
      </c>
      <c r="J262" s="172">
        <f t="shared" si="728"/>
        <v>16.828430366059646</v>
      </c>
      <c r="K262" s="172">
        <f t="shared" si="729"/>
        <v>52.7810464226269</v>
      </c>
      <c r="L262" s="443"/>
      <c r="M262" s="217">
        <f t="shared" si="730"/>
        <v>0.31883917145280716</v>
      </c>
      <c r="N262" s="172">
        <f t="shared" si="731"/>
        <v>38.726180654299306</v>
      </c>
      <c r="O262" s="172">
        <f t="shared" ref="O262:O316" si="762">T262*F262</f>
        <v>7.5439999999999996</v>
      </c>
      <c r="P262" s="217">
        <f t="shared" si="732"/>
        <v>2.3613524789206894</v>
      </c>
      <c r="Q262" s="217">
        <f t="shared" si="733"/>
        <v>16.399999999999999</v>
      </c>
      <c r="R262" s="217"/>
      <c r="S262" s="172">
        <f t="shared" si="734"/>
        <v>224.63749236508573</v>
      </c>
      <c r="T262" s="172">
        <f t="shared" si="735"/>
        <v>16.399999999999999</v>
      </c>
      <c r="U262" s="217">
        <f t="shared" si="736"/>
        <v>1.3506355055122781</v>
      </c>
      <c r="V262" s="217">
        <f t="shared" si="737"/>
        <v>0.45080519427700416</v>
      </c>
      <c r="W262" s="217">
        <f t="shared" si="738"/>
        <v>0.96310979179826695</v>
      </c>
      <c r="X262" s="197">
        <f t="shared" si="739"/>
        <v>350</v>
      </c>
      <c r="Y262" s="443">
        <f t="shared" si="680"/>
        <v>350</v>
      </c>
      <c r="AA262" s="217">
        <f t="shared" si="740"/>
        <v>2.7292720037500913</v>
      </c>
      <c r="AB262" s="173">
        <f t="shared" si="741"/>
        <v>1.946186502994085</v>
      </c>
      <c r="AC262" s="173">
        <f t="shared" si="742"/>
        <v>0.9295426589221587</v>
      </c>
      <c r="AD262" s="173"/>
      <c r="AE262" s="173">
        <f t="shared" si="743"/>
        <v>0.9507719764684377</v>
      </c>
      <c r="AF262" s="545">
        <f t="shared" si="744"/>
        <v>725.72605953632205</v>
      </c>
      <c r="AG262" s="528">
        <f t="shared" si="745"/>
        <v>0.22184679450930214</v>
      </c>
      <c r="AI262" s="173">
        <f t="shared" si="746"/>
        <v>1.9199551046818824</v>
      </c>
      <c r="AJ262" s="173">
        <f t="shared" si="747"/>
        <v>1.9199551046818824</v>
      </c>
      <c r="AK262" s="173">
        <f t="shared" si="748"/>
        <v>1.6345346454433696</v>
      </c>
      <c r="AM262" s="545">
        <f t="shared" si="749"/>
        <v>460</v>
      </c>
      <c r="AN262" s="460">
        <f t="shared" si="750"/>
        <v>350</v>
      </c>
      <c r="AP262">
        <f t="shared" si="751"/>
        <v>460</v>
      </c>
      <c r="AQ262">
        <f t="shared" si="752"/>
        <v>350</v>
      </c>
      <c r="AS262" s="5">
        <f t="shared" si="600"/>
        <v>2.8571428571428572</v>
      </c>
      <c r="AT262" s="5">
        <f t="shared" si="753"/>
        <v>0.64082850660804991</v>
      </c>
      <c r="AU262" s="5">
        <f t="shared" si="722"/>
        <v>2.2163143505348071</v>
      </c>
      <c r="AV262" s="5"/>
      <c r="AW262" s="173">
        <f t="shared" si="723"/>
        <v>0.22428997731281747</v>
      </c>
      <c r="AX262" s="173">
        <f t="shared" si="631"/>
        <v>7.7410779683874376</v>
      </c>
      <c r="AY262" s="173">
        <f t="shared" si="632"/>
        <v>0.74466420890557738</v>
      </c>
      <c r="AZ262" s="173">
        <f t="shared" si="633"/>
        <v>10.395394159958879</v>
      </c>
      <c r="BA262" s="460">
        <f t="shared" si="724"/>
        <v>1.7974458112177012</v>
      </c>
      <c r="BB262" s="5">
        <f t="shared" si="725"/>
        <v>0.38754424791897868</v>
      </c>
      <c r="BD262" s="173">
        <f t="shared" si="681"/>
        <v>0.52497108036846485</v>
      </c>
      <c r="BE262" s="173">
        <f t="shared" si="682"/>
        <v>0.97629293731002642</v>
      </c>
      <c r="BG262" s="528">
        <f t="shared" si="683"/>
        <v>5.5118927044646637E-3</v>
      </c>
      <c r="BH262" s="528">
        <f t="shared" si="754"/>
        <v>0.66502563428157879</v>
      </c>
      <c r="BI262" s="528">
        <f t="shared" si="755"/>
        <v>0.31458539049496342</v>
      </c>
      <c r="BJ262" s="528">
        <f t="shared" si="684"/>
        <v>9.7504360151362351E-2</v>
      </c>
      <c r="BK262">
        <f t="shared" si="685"/>
        <v>1.6178677225455261E-2</v>
      </c>
      <c r="BL262" s="460">
        <f t="shared" si="686"/>
        <v>330.76406772041867</v>
      </c>
      <c r="BM262" s="528">
        <f t="shared" si="756"/>
        <v>0.77053921613298759</v>
      </c>
      <c r="BN262" s="460">
        <f t="shared" si="687"/>
        <v>770.53921613298758</v>
      </c>
      <c r="BO262" s="528">
        <f t="shared" si="637"/>
        <v>0.32200000000000001</v>
      </c>
      <c r="BR262" s="460">
        <f t="shared" si="688"/>
        <v>322</v>
      </c>
      <c r="BS262" s="528">
        <f t="shared" si="689"/>
        <v>8.2678390566969951E-3</v>
      </c>
      <c r="BT262" s="528">
        <f t="shared" si="690"/>
        <v>2.8594436983243175E-2</v>
      </c>
      <c r="BU262" s="528">
        <f t="shared" si="691"/>
        <v>0.58528554581198045</v>
      </c>
      <c r="BV262" s="528"/>
      <c r="BW262" s="528">
        <f t="shared" si="692"/>
        <v>6.4508983069895311E-3</v>
      </c>
      <c r="BX262" s="460">
        <f t="shared" si="693"/>
        <v>628.59872015891017</v>
      </c>
      <c r="BY262" s="173">
        <f t="shared" si="694"/>
        <v>2.049404675016735</v>
      </c>
      <c r="BZ262" s="5">
        <f t="shared" si="695"/>
        <v>7.5439999999999996</v>
      </c>
      <c r="CA262" s="173">
        <f t="shared" si="696"/>
        <v>0.78637358222218845</v>
      </c>
      <c r="CB262" s="5">
        <f t="shared" si="697"/>
        <v>78.63735822221885</v>
      </c>
      <c r="CE262" s="562">
        <f t="shared" si="757"/>
        <v>-50</v>
      </c>
      <c r="CF262">
        <f t="shared" si="758"/>
        <v>-50</v>
      </c>
      <c r="CG262" s="173">
        <f t="shared" si="759"/>
        <v>0.48539649370134619</v>
      </c>
      <c r="CI262" s="170">
        <v>46</v>
      </c>
      <c r="CJ262" s="217">
        <f t="shared" si="698"/>
        <v>0.46</v>
      </c>
      <c r="CK262" s="217"/>
      <c r="CL262" s="217">
        <f t="shared" si="641"/>
        <v>7.5439999999999996</v>
      </c>
      <c r="CM262" s="541">
        <f t="shared" si="642"/>
        <v>36</v>
      </c>
      <c r="CN262" s="443">
        <f t="shared" si="643"/>
        <v>16.799999999999997</v>
      </c>
      <c r="CO262" s="443">
        <f t="shared" si="644"/>
        <v>52.8</v>
      </c>
      <c r="CP262" s="443"/>
      <c r="CQ262" s="217">
        <f t="shared" si="645"/>
        <v>0.31818181818181812</v>
      </c>
      <c r="CR262" s="172">
        <f t="shared" si="646"/>
        <v>38.697272727272725</v>
      </c>
      <c r="CS262" s="172">
        <f t="shared" si="647"/>
        <v>7.5439999999999996</v>
      </c>
      <c r="CT262" s="217">
        <f t="shared" si="648"/>
        <v>2.3595898004434592</v>
      </c>
      <c r="CU262" s="217">
        <f t="shared" si="649"/>
        <v>16.399999999999999</v>
      </c>
      <c r="CV262" s="217"/>
      <c r="CW262" s="172">
        <f t="shared" si="650"/>
        <v>224.93347050393302</v>
      </c>
      <c r="CX262" s="172">
        <f t="shared" si="651"/>
        <v>16.399999999999999</v>
      </c>
      <c r="CY262" s="217">
        <f t="shared" si="652"/>
        <v>1.3172063492063493</v>
      </c>
      <c r="CZ262" s="217">
        <f t="shared" si="653"/>
        <v>0.43906878306878311</v>
      </c>
      <c r="DA262" s="217">
        <f t="shared" si="654"/>
        <v>0.94086167800453535</v>
      </c>
      <c r="DB262" s="197">
        <f t="shared" si="655"/>
        <v>350</v>
      </c>
      <c r="DC262" s="443">
        <f t="shared" si="656"/>
        <v>350</v>
      </c>
      <c r="DE262" s="217">
        <f t="shared" si="657"/>
        <v>2.7272727272727271</v>
      </c>
      <c r="DF262" s="173">
        <f t="shared" si="658"/>
        <v>1.9480519480519483</v>
      </c>
      <c r="DG262" s="173">
        <f t="shared" si="659"/>
        <v>0.92975206611570249</v>
      </c>
      <c r="DH262" s="173"/>
      <c r="DI262" s="173">
        <f t="shared" si="660"/>
        <v>0.95238095238095266</v>
      </c>
      <c r="DJ262" s="545">
        <f t="shared" si="661"/>
        <v>724.49999999999977</v>
      </c>
      <c r="DK262" s="528">
        <f t="shared" si="662"/>
        <v>0.22222222222222232</v>
      </c>
      <c r="DM262" s="173">
        <f t="shared" si="663"/>
        <v>1.9183326093250876</v>
      </c>
      <c r="DN262" s="173">
        <f t="shared" si="664"/>
        <v>1.9183326093250876</v>
      </c>
      <c r="DO262" s="173">
        <f t="shared" si="665"/>
        <v>1.633332797030929</v>
      </c>
      <c r="DQ262" s="545">
        <f t="shared" si="666"/>
        <v>460</v>
      </c>
      <c r="DR262" s="460">
        <f t="shared" si="667"/>
        <v>350</v>
      </c>
      <c r="DT262">
        <f t="shared" si="668"/>
        <v>460</v>
      </c>
      <c r="DU262">
        <f t="shared" si="669"/>
        <v>350</v>
      </c>
      <c r="DW262" s="5">
        <f t="shared" si="670"/>
        <v>2.8571428571428572</v>
      </c>
      <c r="DX262" s="5">
        <f t="shared" si="671"/>
        <v>0.63944420310836259</v>
      </c>
      <c r="DY262" s="5">
        <f t="shared" si="672"/>
        <v>2.2176986540344945</v>
      </c>
      <c r="DZ262" s="5"/>
      <c r="EA262" s="173">
        <f t="shared" si="673"/>
        <v>0.22380547108792689</v>
      </c>
      <c r="EB262" s="173">
        <f t="shared" si="699"/>
        <v>7.7279999999999989</v>
      </c>
      <c r="EC262" s="173">
        <f t="shared" si="700"/>
        <v>0.74449963799587715</v>
      </c>
      <c r="ED262" s="173">
        <f t="shared" si="701"/>
        <v>10.38012593371173</v>
      </c>
      <c r="EE262" s="460">
        <f t="shared" si="674"/>
        <v>1.7935630087185783</v>
      </c>
      <c r="EF262" s="5">
        <f t="shared" si="675"/>
        <v>0.38727589458417183</v>
      </c>
      <c r="EH262" s="173">
        <f t="shared" si="702"/>
        <v>0.5239606008100135</v>
      </c>
      <c r="EI262" s="173">
        <f t="shared" si="703"/>
        <v>0.97577249165237079</v>
      </c>
      <c r="EK262" s="528">
        <f t="shared" si="704"/>
        <v>5.4906942240238064E-3</v>
      </c>
      <c r="EL262" s="528">
        <f t="shared" si="705"/>
        <v>0.70901573240655247</v>
      </c>
      <c r="EM262" s="528">
        <f t="shared" si="706"/>
        <v>4.3749999999999997E-2</v>
      </c>
      <c r="EN262" s="528">
        <f t="shared" si="707"/>
        <v>9.7574399999999992E-2</v>
      </c>
      <c r="EO262">
        <f t="shared" si="708"/>
        <v>1.6199999999999999E-2</v>
      </c>
      <c r="EP262" s="460">
        <f t="shared" si="709"/>
        <v>59.949999999999996</v>
      </c>
      <c r="EQ262" s="460"/>
      <c r="ER262" s="460">
        <f t="shared" si="710"/>
        <v>872.03082663057614</v>
      </c>
      <c r="ES262" s="528">
        <f t="shared" si="711"/>
        <v>0.32200000000000001</v>
      </c>
      <c r="EV262" s="460">
        <f t="shared" si="712"/>
        <v>322</v>
      </c>
      <c r="EW262" s="528">
        <f t="shared" si="713"/>
        <v>8.2360413360357092E-3</v>
      </c>
      <c r="EX262" s="528">
        <f t="shared" si="714"/>
        <v>2.856395866396428E-2</v>
      </c>
      <c r="EY262" s="528">
        <f t="shared" si="715"/>
        <v>0.58404981210931306</v>
      </c>
      <c r="EZ262" s="528"/>
      <c r="FA262" s="528">
        <f t="shared" si="716"/>
        <v>6.4399999999999987E-3</v>
      </c>
      <c r="FB262" s="460">
        <f t="shared" si="717"/>
        <v>627.28981210931306</v>
      </c>
      <c r="FC262" s="173">
        <f t="shared" si="718"/>
        <v>1.821320638739889</v>
      </c>
      <c r="FD262" s="5">
        <f t="shared" si="719"/>
        <v>7.5439999999999996</v>
      </c>
      <c r="FE262" s="173">
        <f t="shared" si="720"/>
        <v>0.80552500987462738</v>
      </c>
      <c r="FF262" s="5">
        <f t="shared" si="721"/>
        <v>80.552500987462736</v>
      </c>
      <c r="FI262" s="562">
        <f t="shared" si="676"/>
        <v>-50</v>
      </c>
      <c r="FJ262">
        <f t="shared" si="677"/>
        <v>-50</v>
      </c>
      <c r="FL262">
        <f t="shared" si="760"/>
        <v>0.47958315233127208</v>
      </c>
    </row>
    <row r="263" spans="5:168">
      <c r="E263" s="170">
        <v>47</v>
      </c>
      <c r="F263" s="217">
        <f t="shared" si="761"/>
        <v>0.47</v>
      </c>
      <c r="G263" s="217"/>
      <c r="H263" s="217">
        <f t="shared" si="726"/>
        <v>7.7079999999999993</v>
      </c>
      <c r="I263" s="541">
        <f t="shared" si="727"/>
        <v>35.95210378283155</v>
      </c>
      <c r="J263" s="172">
        <f t="shared" si="728"/>
        <v>16.828737730301068</v>
      </c>
      <c r="K263" s="172">
        <f t="shared" si="729"/>
        <v>52.780841513132614</v>
      </c>
      <c r="L263" s="443"/>
      <c r="M263" s="217">
        <f t="shared" si="730"/>
        <v>0.31884628071388538</v>
      </c>
      <c r="N263" s="172">
        <f t="shared" si="731"/>
        <v>38.726492339192959</v>
      </c>
      <c r="O263" s="172">
        <f t="shared" si="762"/>
        <v>7.7079999999999993</v>
      </c>
      <c r="P263" s="217">
        <f t="shared" si="732"/>
        <v>2.3613714840971318</v>
      </c>
      <c r="Q263" s="217">
        <f t="shared" si="733"/>
        <v>16.399999999999999</v>
      </c>
      <c r="R263" s="217"/>
      <c r="S263" s="172">
        <f t="shared" si="734"/>
        <v>219.0928741591112</v>
      </c>
      <c r="T263" s="172">
        <f t="shared" si="735"/>
        <v>16.399999999999999</v>
      </c>
      <c r="U263" s="217">
        <f t="shared" si="736"/>
        <v>1.3800115500876515</v>
      </c>
      <c r="V263" s="217">
        <f t="shared" si="737"/>
        <v>0.46061667770774223</v>
      </c>
      <c r="W263" s="217">
        <f t="shared" si="738"/>
        <v>0.984039258704138</v>
      </c>
      <c r="X263" s="197">
        <f t="shared" si="739"/>
        <v>350</v>
      </c>
      <c r="Y263" s="443">
        <f t="shared" si="680"/>
        <v>350</v>
      </c>
      <c r="AA263" s="217">
        <f t="shared" si="740"/>
        <v>2.7292935596143457</v>
      </c>
      <c r="AB263" s="173">
        <f t="shared" si="741"/>
        <v>1.9461663281139161</v>
      </c>
      <c r="AC263" s="173">
        <f t="shared" si="742"/>
        <v>0.92954036442043186</v>
      </c>
      <c r="AD263" s="173"/>
      <c r="AE263" s="173">
        <f t="shared" si="743"/>
        <v>0.95075461133315564</v>
      </c>
      <c r="AF263" s="545">
        <f t="shared" si="744"/>
        <v>741.51625624139058</v>
      </c>
      <c r="AG263" s="528">
        <f t="shared" si="745"/>
        <v>0.22184274264440298</v>
      </c>
      <c r="AI263" s="173">
        <f t="shared" si="746"/>
        <v>1.9407297023887813</v>
      </c>
      <c r="AJ263" s="173">
        <f t="shared" si="747"/>
        <v>1.9407297023887813</v>
      </c>
      <c r="AK263" s="173">
        <f t="shared" si="748"/>
        <v>1.6499232363373686</v>
      </c>
      <c r="AM263" s="545">
        <f t="shared" si="749"/>
        <v>470</v>
      </c>
      <c r="AN263" s="460">
        <f t="shared" si="750"/>
        <v>350</v>
      </c>
      <c r="AP263">
        <f t="shared" si="751"/>
        <v>470</v>
      </c>
      <c r="AQ263">
        <f t="shared" si="752"/>
        <v>350</v>
      </c>
      <c r="AS263" s="5">
        <f t="shared" ref="AS263:AS316" si="763">1/AN263*1000</f>
        <v>2.8571428571428572</v>
      </c>
      <c r="AT263" s="5">
        <f t="shared" si="753"/>
        <v>0.6477717290020345</v>
      </c>
      <c r="AU263" s="5">
        <f t="shared" si="722"/>
        <v>2.2093711281408228</v>
      </c>
      <c r="AV263" s="5"/>
      <c r="AW263" s="173">
        <f t="shared" si="723"/>
        <v>0.22672010515071206</v>
      </c>
      <c r="AX263" s="173">
        <f t="shared" si="631"/>
        <v>7.9095067332415008</v>
      </c>
      <c r="AY263" s="173">
        <f t="shared" si="632"/>
        <v>0.75036363009704332</v>
      </c>
      <c r="AZ263" s="173">
        <f t="shared" si="633"/>
        <v>10.540898327146502</v>
      </c>
      <c r="BA263" s="460">
        <f t="shared" si="724"/>
        <v>1.8564189794570503</v>
      </c>
      <c r="BB263" s="5">
        <f t="shared" si="725"/>
        <v>0.39473426364184538</v>
      </c>
      <c r="BD263" s="173">
        <f t="shared" si="681"/>
        <v>0.53351844975622187</v>
      </c>
      <c r="BE263" s="173">
        <f t="shared" si="682"/>
        <v>0.98530975993055114</v>
      </c>
      <c r="BG263" s="528">
        <f t="shared" si="683"/>
        <v>5.6928387246056441E-3</v>
      </c>
      <c r="BH263" s="528">
        <f t="shared" si="754"/>
        <v>0.67221883864807419</v>
      </c>
      <c r="BI263" s="528">
        <f t="shared" si="755"/>
        <v>0.31458090809977607</v>
      </c>
      <c r="BJ263" s="528">
        <f t="shared" si="684"/>
        <v>9.7503603079204818E-2</v>
      </c>
      <c r="BK263">
        <f t="shared" si="685"/>
        <v>1.6178446702274196E-2</v>
      </c>
      <c r="BL263" s="460">
        <f t="shared" si="686"/>
        <v>330.75935480205027</v>
      </c>
      <c r="BM263" s="528">
        <f t="shared" si="756"/>
        <v>0.77800469043008236</v>
      </c>
      <c r="BN263" s="460">
        <f t="shared" si="687"/>
        <v>778.00469043008241</v>
      </c>
      <c r="BO263" s="528">
        <f t="shared" si="637"/>
        <v>0.32899999999999996</v>
      </c>
      <c r="BR263" s="460">
        <f t="shared" si="688"/>
        <v>328.99999999999994</v>
      </c>
      <c r="BS263" s="528">
        <f t="shared" si="689"/>
        <v>8.5392580869084658E-3</v>
      </c>
      <c r="BT263" s="528">
        <f t="shared" si="690"/>
        <v>2.9125059690432008E-2</v>
      </c>
      <c r="BU263" s="528">
        <f t="shared" si="691"/>
        <v>0.60124675702719221</v>
      </c>
      <c r="BV263" s="528"/>
      <c r="BW263" s="528">
        <f t="shared" si="692"/>
        <v>6.591255611034583E-3</v>
      </c>
      <c r="BX263" s="460">
        <f t="shared" si="693"/>
        <v>645.50233041556726</v>
      </c>
      <c r="BY263" s="173">
        <f t="shared" si="694"/>
        <v>2.0806769656695021</v>
      </c>
      <c r="BZ263" s="5">
        <f t="shared" si="695"/>
        <v>7.7079999999999993</v>
      </c>
      <c r="CA263" s="173">
        <f t="shared" si="696"/>
        <v>0.78744043010441767</v>
      </c>
      <c r="CB263" s="5">
        <f t="shared" si="697"/>
        <v>78.744043010441771</v>
      </c>
      <c r="CE263" s="562">
        <f t="shared" si="757"/>
        <v>-50</v>
      </c>
      <c r="CF263">
        <f t="shared" si="758"/>
        <v>-50</v>
      </c>
      <c r="CG263" s="173">
        <f t="shared" si="759"/>
        <v>0.49064417587195835</v>
      </c>
      <c r="CI263" s="170">
        <v>47</v>
      </c>
      <c r="CJ263" s="217">
        <f t="shared" si="698"/>
        <v>0.47</v>
      </c>
      <c r="CK263" s="217"/>
      <c r="CL263" s="217">
        <f t="shared" si="641"/>
        <v>7.7079999999999993</v>
      </c>
      <c r="CM263" s="541">
        <f t="shared" si="642"/>
        <v>36</v>
      </c>
      <c r="CN263" s="443">
        <f t="shared" si="643"/>
        <v>16.799999999999997</v>
      </c>
      <c r="CO263" s="443">
        <f t="shared" si="644"/>
        <v>52.8</v>
      </c>
      <c r="CP263" s="443"/>
      <c r="CQ263" s="217">
        <f t="shared" si="645"/>
        <v>0.31818181818181812</v>
      </c>
      <c r="CR263" s="172">
        <f t="shared" si="646"/>
        <v>38.697272727272725</v>
      </c>
      <c r="CS263" s="172">
        <f t="shared" si="647"/>
        <v>7.7079999999999993</v>
      </c>
      <c r="CT263" s="217">
        <f t="shared" si="648"/>
        <v>2.3595898004434592</v>
      </c>
      <c r="CU263" s="217">
        <f t="shared" si="649"/>
        <v>16.399999999999999</v>
      </c>
      <c r="CV263" s="217"/>
      <c r="CW263" s="172">
        <f t="shared" si="650"/>
        <v>219.38466761022775</v>
      </c>
      <c r="CX263" s="172">
        <f t="shared" si="651"/>
        <v>16.399999999999999</v>
      </c>
      <c r="CY263" s="217">
        <f t="shared" si="652"/>
        <v>1.3458412698412698</v>
      </c>
      <c r="CZ263" s="217">
        <f t="shared" si="653"/>
        <v>0.44861375661375663</v>
      </c>
      <c r="DA263" s="217">
        <f t="shared" si="654"/>
        <v>0.96131519274376442</v>
      </c>
      <c r="DB263" s="197">
        <f t="shared" si="655"/>
        <v>350</v>
      </c>
      <c r="DC263" s="443">
        <f t="shared" si="656"/>
        <v>350</v>
      </c>
      <c r="DE263" s="217">
        <f t="shared" si="657"/>
        <v>2.7272727272727271</v>
      </c>
      <c r="DF263" s="173">
        <f t="shared" si="658"/>
        <v>1.9480519480519483</v>
      </c>
      <c r="DG263" s="173">
        <f t="shared" si="659"/>
        <v>0.92975206611570249</v>
      </c>
      <c r="DH263" s="173"/>
      <c r="DI263" s="173">
        <f t="shared" si="660"/>
        <v>0.95238095238095266</v>
      </c>
      <c r="DJ263" s="545">
        <f t="shared" si="661"/>
        <v>740.24999999999966</v>
      </c>
      <c r="DK263" s="528">
        <f t="shared" si="662"/>
        <v>0.22222222222222232</v>
      </c>
      <c r="DM263" s="173">
        <f t="shared" si="663"/>
        <v>1.9390719429665313</v>
      </c>
      <c r="DN263" s="173">
        <f t="shared" si="664"/>
        <v>1.9390719429665313</v>
      </c>
      <c r="DO263" s="173">
        <f t="shared" si="665"/>
        <v>1.6486952663949612</v>
      </c>
      <c r="DQ263" s="545">
        <f t="shared" si="666"/>
        <v>470</v>
      </c>
      <c r="DR263" s="460">
        <f t="shared" si="667"/>
        <v>350</v>
      </c>
      <c r="DT263">
        <f t="shared" si="668"/>
        <v>470</v>
      </c>
      <c r="DU263">
        <f t="shared" si="669"/>
        <v>350</v>
      </c>
      <c r="DW263" s="5">
        <f t="shared" si="670"/>
        <v>2.8571428571428572</v>
      </c>
      <c r="DX263" s="5">
        <f t="shared" si="671"/>
        <v>0.64635731432217713</v>
      </c>
      <c r="DY263" s="5">
        <f t="shared" si="672"/>
        <v>2.21078554282068</v>
      </c>
      <c r="DZ263" s="5"/>
      <c r="EA263" s="173">
        <f t="shared" si="673"/>
        <v>0.22622506001276199</v>
      </c>
      <c r="EB263" s="173">
        <f t="shared" si="699"/>
        <v>7.8959999999999981</v>
      </c>
      <c r="EC263" s="173">
        <f t="shared" si="700"/>
        <v>0.75020263814993238</v>
      </c>
      <c r="ED263" s="173">
        <f t="shared" si="701"/>
        <v>10.525156269074511</v>
      </c>
      <c r="EE263" s="460">
        <f t="shared" si="674"/>
        <v>1.8523654739720934</v>
      </c>
      <c r="EF263" s="5">
        <f t="shared" si="675"/>
        <v>0.39446145750143047</v>
      </c>
      <c r="EH263" s="173">
        <f t="shared" si="702"/>
        <v>0.53248043020314684</v>
      </c>
      <c r="EI263" s="173">
        <f t="shared" si="703"/>
        <v>0.9847831866883211</v>
      </c>
      <c r="EK263" s="528">
        <f t="shared" si="704"/>
        <v>5.6707081709865669E-3</v>
      </c>
      <c r="EL263" s="528">
        <f t="shared" si="705"/>
        <v>0.71668099012042996</v>
      </c>
      <c r="EM263" s="528">
        <f t="shared" si="706"/>
        <v>4.3749999999999997E-2</v>
      </c>
      <c r="EN263" s="528">
        <f t="shared" si="707"/>
        <v>9.7574399999999992E-2</v>
      </c>
      <c r="EO263">
        <f t="shared" si="708"/>
        <v>1.6199999999999999E-2</v>
      </c>
      <c r="EP263" s="460">
        <f t="shared" si="709"/>
        <v>59.949999999999996</v>
      </c>
      <c r="EQ263" s="460"/>
      <c r="ER263" s="460">
        <f t="shared" si="710"/>
        <v>879.8760982914165</v>
      </c>
      <c r="ES263" s="528">
        <f t="shared" si="711"/>
        <v>0.32899999999999996</v>
      </c>
      <c r="EV263" s="460">
        <f t="shared" si="712"/>
        <v>328.99999999999994</v>
      </c>
      <c r="EW263" s="528">
        <f t="shared" si="713"/>
        <v>8.5060622564798495E-3</v>
      </c>
      <c r="EX263" s="528">
        <f t="shared" si="714"/>
        <v>2.9093937743520142E-2</v>
      </c>
      <c r="EY263" s="528">
        <f t="shared" si="715"/>
        <v>0.59996362622776289</v>
      </c>
      <c r="EZ263" s="528"/>
      <c r="FA263" s="528">
        <f t="shared" si="716"/>
        <v>6.579999999999999E-3</v>
      </c>
      <c r="FB263" s="460">
        <f t="shared" si="717"/>
        <v>644.14362622776287</v>
      </c>
      <c r="FC263" s="173">
        <f t="shared" si="718"/>
        <v>1.8530197245191795</v>
      </c>
      <c r="FD263" s="5">
        <f t="shared" si="719"/>
        <v>7.7079999999999993</v>
      </c>
      <c r="FE263" s="173">
        <f t="shared" si="720"/>
        <v>0.8061901577540812</v>
      </c>
      <c r="FF263" s="5">
        <f t="shared" si="721"/>
        <v>80.619015775408116</v>
      </c>
      <c r="FI263" s="562">
        <f t="shared" si="676"/>
        <v>-50</v>
      </c>
      <c r="FJ263">
        <f t="shared" si="677"/>
        <v>-50</v>
      </c>
      <c r="FL263">
        <f t="shared" si="760"/>
        <v>0.48476798574163299</v>
      </c>
    </row>
    <row r="264" spans="5:168">
      <c r="E264" s="170">
        <v>48</v>
      </c>
      <c r="F264" s="217">
        <f t="shared" si="761"/>
        <v>0.48</v>
      </c>
      <c r="G264" s="217"/>
      <c r="H264" s="217">
        <f t="shared" si="726"/>
        <v>7.871999999999999</v>
      </c>
      <c r="I264" s="541">
        <f t="shared" si="727"/>
        <v>35.95159693043972</v>
      </c>
      <c r="J264" s="172">
        <f t="shared" si="728"/>
        <v>16.829041841736164</v>
      </c>
      <c r="K264" s="172">
        <f t="shared" si="729"/>
        <v>52.780638772175884</v>
      </c>
      <c r="L264" s="443"/>
      <c r="M264" s="217">
        <f t="shared" si="730"/>
        <v>0.31885331479167361</v>
      </c>
      <c r="N264" s="172">
        <f t="shared" si="731"/>
        <v>38.726800707815826</v>
      </c>
      <c r="O264" s="172">
        <f t="shared" si="762"/>
        <v>7.871999999999999</v>
      </c>
      <c r="P264" s="217">
        <f t="shared" si="732"/>
        <v>2.361390287061941</v>
      </c>
      <c r="Q264" s="217">
        <f t="shared" si="733"/>
        <v>16.399999999999999</v>
      </c>
      <c r="R264" s="217"/>
      <c r="S264" s="172">
        <f t="shared" si="734"/>
        <v>213.77941359725958</v>
      </c>
      <c r="T264" s="172">
        <f t="shared" si="735"/>
        <v>16.399999999999999</v>
      </c>
      <c r="U264" s="217">
        <f t="shared" si="736"/>
        <v>1.4093880523053379</v>
      </c>
      <c r="V264" s="217">
        <f t="shared" si="737"/>
        <v>0.47042852256012979</v>
      </c>
      <c r="W264" s="217">
        <f t="shared" si="738"/>
        <v>1.0049684816708058</v>
      </c>
      <c r="X264" s="197">
        <f t="shared" si="739"/>
        <v>350</v>
      </c>
      <c r="Y264" s="443">
        <f t="shared" si="680"/>
        <v>350</v>
      </c>
      <c r="AA264" s="217">
        <f t="shared" si="740"/>
        <v>2.7293148861215824</v>
      </c>
      <c r="AB264" s="173">
        <f t="shared" si="741"/>
        <v>1.9461463665884</v>
      </c>
      <c r="AC264" s="173">
        <f t="shared" si="742"/>
        <v>0.92953809355770123</v>
      </c>
      <c r="AD264" s="173"/>
      <c r="AE264" s="173">
        <f t="shared" si="743"/>
        <v>0.95073743059571403</v>
      </c>
      <c r="AF264" s="545">
        <f t="shared" si="744"/>
        <v>757.306882878127</v>
      </c>
      <c r="AG264" s="528">
        <f t="shared" si="745"/>
        <v>0.22183873380566663</v>
      </c>
      <c r="AI264" s="173">
        <f t="shared" si="746"/>
        <v>1.9612848174739894</v>
      </c>
      <c r="AJ264" s="173">
        <f t="shared" si="747"/>
        <v>1.9612848174739894</v>
      </c>
      <c r="AK264" s="173">
        <f t="shared" si="748"/>
        <v>1.665149247511597</v>
      </c>
      <c r="AM264" s="545">
        <f t="shared" si="749"/>
        <v>480</v>
      </c>
      <c r="AN264" s="460">
        <f t="shared" si="750"/>
        <v>350</v>
      </c>
      <c r="AP264">
        <f t="shared" si="751"/>
        <v>480</v>
      </c>
      <c r="AQ264">
        <f t="shared" si="752"/>
        <v>350</v>
      </c>
      <c r="AS264" s="5">
        <f t="shared" si="763"/>
        <v>2.8571428571428572</v>
      </c>
      <c r="AT264" s="5">
        <f t="shared" si="753"/>
        <v>0.6546417911622936</v>
      </c>
      <c r="AU264" s="5">
        <f t="shared" si="722"/>
        <v>2.2025010659805635</v>
      </c>
      <c r="AV264" s="5"/>
      <c r="AW264" s="173">
        <f t="shared" si="723"/>
        <v>0.22912462690680274</v>
      </c>
      <c r="AX264" s="173">
        <f t="shared" si="631"/>
        <v>8.0779400840333597</v>
      </c>
      <c r="AY264" s="173">
        <f t="shared" si="632"/>
        <v>0.75595308270614237</v>
      </c>
      <c r="AZ264" s="173">
        <f t="shared" si="633"/>
        <v>10.685769089155833</v>
      </c>
      <c r="BA264" s="460">
        <f t="shared" si="724"/>
        <v>1.9160247546213474</v>
      </c>
      <c r="BB264" s="5">
        <f t="shared" si="725"/>
        <v>0.40188498499211939</v>
      </c>
      <c r="BD264" s="173">
        <f t="shared" si="681"/>
        <v>0.54202076454245052</v>
      </c>
      <c r="BE264" s="173">
        <f t="shared" si="682"/>
        <v>0.99419625957662106</v>
      </c>
      <c r="BG264" s="528">
        <f t="shared" si="683"/>
        <v>5.8757301839036519E-3</v>
      </c>
      <c r="BH264" s="528">
        <f t="shared" si="754"/>
        <v>0.67933599221543695</v>
      </c>
      <c r="BI264" s="528">
        <f t="shared" si="755"/>
        <v>0.31457647314134751</v>
      </c>
      <c r="BJ264" s="528">
        <f t="shared" si="684"/>
        <v>9.7502854021962071E-2</v>
      </c>
      <c r="BK264">
        <f t="shared" si="685"/>
        <v>1.6178218618697875E-2</v>
      </c>
      <c r="BL264" s="460">
        <f t="shared" si="686"/>
        <v>330.75469176004543</v>
      </c>
      <c r="BM264" s="528">
        <f t="shared" si="756"/>
        <v>0.78539749619583954</v>
      </c>
      <c r="BN264" s="460">
        <f t="shared" si="687"/>
        <v>785.39749619583949</v>
      </c>
      <c r="BO264" s="528">
        <f t="shared" si="637"/>
        <v>0.33599999999999997</v>
      </c>
      <c r="BR264" s="460">
        <f t="shared" si="688"/>
        <v>335.99999999999994</v>
      </c>
      <c r="BS264" s="528">
        <f t="shared" si="689"/>
        <v>8.8135952758554761E-3</v>
      </c>
      <c r="BT264" s="528">
        <f t="shared" si="690"/>
        <v>2.9652786076684323E-2</v>
      </c>
      <c r="BU264" s="528">
        <f t="shared" si="691"/>
        <v>0.61729360991641835</v>
      </c>
      <c r="BV264" s="528"/>
      <c r="BW264" s="528">
        <f t="shared" si="692"/>
        <v>6.7316167366944651E-3</v>
      </c>
      <c r="BX264" s="460">
        <f t="shared" si="693"/>
        <v>662.49160800565255</v>
      </c>
      <c r="BY264" s="173">
        <f t="shared" si="694"/>
        <v>2.1119608761870006</v>
      </c>
      <c r="BZ264" s="5">
        <f t="shared" si="695"/>
        <v>7.871999999999999</v>
      </c>
      <c r="CA264" s="173">
        <f t="shared" si="696"/>
        <v>0.78846462817935381</v>
      </c>
      <c r="CB264" s="5">
        <f t="shared" si="697"/>
        <v>78.846462817935375</v>
      </c>
      <c r="CE264" s="562">
        <f t="shared" si="757"/>
        <v>-50</v>
      </c>
      <c r="CF264">
        <f t="shared" si="758"/>
        <v>-50</v>
      </c>
      <c r="CG264" s="173">
        <f t="shared" si="759"/>
        <v>0.4958363223248024</v>
      </c>
      <c r="CI264" s="170">
        <v>48</v>
      </c>
      <c r="CJ264" s="217">
        <f t="shared" si="698"/>
        <v>0.48</v>
      </c>
      <c r="CK264" s="217"/>
      <c r="CL264" s="217">
        <f t="shared" si="641"/>
        <v>7.871999999999999</v>
      </c>
      <c r="CM264" s="541">
        <f t="shared" si="642"/>
        <v>36</v>
      </c>
      <c r="CN264" s="443">
        <f t="shared" si="643"/>
        <v>16.799999999999997</v>
      </c>
      <c r="CO264" s="443">
        <f t="shared" si="644"/>
        <v>52.8</v>
      </c>
      <c r="CP264" s="443"/>
      <c r="CQ264" s="217">
        <f t="shared" si="645"/>
        <v>0.31818181818181812</v>
      </c>
      <c r="CR264" s="172">
        <f t="shared" si="646"/>
        <v>38.697272727272725</v>
      </c>
      <c r="CS264" s="172">
        <f t="shared" si="647"/>
        <v>7.871999999999999</v>
      </c>
      <c r="CT264" s="217">
        <f t="shared" si="648"/>
        <v>2.3595898004434592</v>
      </c>
      <c r="CU264" s="217">
        <f t="shared" si="649"/>
        <v>16.399999999999999</v>
      </c>
      <c r="CV264" s="217"/>
      <c r="CW264" s="172">
        <f t="shared" si="650"/>
        <v>214.06714315203888</v>
      </c>
      <c r="CX264" s="172">
        <f t="shared" si="651"/>
        <v>16.399999999999999</v>
      </c>
      <c r="CY264" s="217">
        <f t="shared" si="652"/>
        <v>1.3744761904761904</v>
      </c>
      <c r="CZ264" s="217">
        <f t="shared" si="653"/>
        <v>0.45815873015873015</v>
      </c>
      <c r="DA264" s="217">
        <f t="shared" si="654"/>
        <v>0.98176870748299339</v>
      </c>
      <c r="DB264" s="197">
        <f t="shared" si="655"/>
        <v>350</v>
      </c>
      <c r="DC264" s="443">
        <f t="shared" si="656"/>
        <v>350</v>
      </c>
      <c r="DE264" s="217">
        <f t="shared" si="657"/>
        <v>2.7272727272727271</v>
      </c>
      <c r="DF264" s="173">
        <f t="shared" si="658"/>
        <v>1.9480519480519483</v>
      </c>
      <c r="DG264" s="173">
        <f t="shared" si="659"/>
        <v>0.92975206611570249</v>
      </c>
      <c r="DH264" s="173"/>
      <c r="DI264" s="173">
        <f t="shared" si="660"/>
        <v>0.95238095238095266</v>
      </c>
      <c r="DJ264" s="545">
        <f t="shared" si="661"/>
        <v>755.99999999999966</v>
      </c>
      <c r="DK264" s="528">
        <f t="shared" si="662"/>
        <v>0.22222222222222232</v>
      </c>
      <c r="DM264" s="173">
        <f t="shared" si="663"/>
        <v>1.9595917942265422</v>
      </c>
      <c r="DN264" s="173">
        <f t="shared" si="664"/>
        <v>1.9595917942265422</v>
      </c>
      <c r="DO264" s="173">
        <f t="shared" si="665"/>
        <v>1.6638951562171915</v>
      </c>
      <c r="DQ264" s="545">
        <f t="shared" si="666"/>
        <v>480</v>
      </c>
      <c r="DR264" s="460">
        <f t="shared" si="667"/>
        <v>350</v>
      </c>
      <c r="DT264">
        <f t="shared" si="668"/>
        <v>480</v>
      </c>
      <c r="DU264">
        <f t="shared" si="669"/>
        <v>350</v>
      </c>
      <c r="DW264" s="5">
        <f t="shared" si="670"/>
        <v>2.8571428571428572</v>
      </c>
      <c r="DX264" s="5">
        <f t="shared" si="671"/>
        <v>0.65319726474218076</v>
      </c>
      <c r="DY264" s="5">
        <f t="shared" si="672"/>
        <v>2.2039455924006766</v>
      </c>
      <c r="DZ264" s="5"/>
      <c r="EA264" s="173">
        <f t="shared" si="673"/>
        <v>0.22861904265976327</v>
      </c>
      <c r="EB264" s="173">
        <f t="shared" si="699"/>
        <v>8.0639999999999983</v>
      </c>
      <c r="EC264" s="173">
        <f t="shared" si="700"/>
        <v>0.75579589711327111</v>
      </c>
      <c r="ED264" s="173">
        <f t="shared" si="701"/>
        <v>10.66954720288915</v>
      </c>
      <c r="EE264" s="460">
        <f t="shared" si="674"/>
        <v>1.9117968724161392</v>
      </c>
      <c r="EF264" s="5">
        <f t="shared" si="675"/>
        <v>0.4016078635041232</v>
      </c>
      <c r="EH264" s="173">
        <f t="shared" si="702"/>
        <v>0.54095505784168141</v>
      </c>
      <c r="EI264" s="173">
        <f t="shared" si="703"/>
        <v>0.99366373859344526</v>
      </c>
      <c r="EK264" s="528">
        <f t="shared" si="704"/>
        <v>5.8526474920899373E-3</v>
      </c>
      <c r="EL264" s="528">
        <f t="shared" si="705"/>
        <v>0.72426512714612989</v>
      </c>
      <c r="EM264" s="528">
        <f t="shared" si="706"/>
        <v>4.3749999999999997E-2</v>
      </c>
      <c r="EN264" s="528">
        <f t="shared" si="707"/>
        <v>9.7574399999999992E-2</v>
      </c>
      <c r="EO264">
        <f t="shared" si="708"/>
        <v>1.6199999999999999E-2</v>
      </c>
      <c r="EP264" s="460">
        <f t="shared" si="709"/>
        <v>59.949999999999996</v>
      </c>
      <c r="EQ264" s="460"/>
      <c r="ER264" s="460">
        <f t="shared" si="710"/>
        <v>887.64217463821967</v>
      </c>
      <c r="ES264" s="528">
        <f t="shared" si="711"/>
        <v>0.33599999999999997</v>
      </c>
      <c r="EV264" s="460">
        <f t="shared" si="712"/>
        <v>335.99999999999994</v>
      </c>
      <c r="EW264" s="528">
        <f t="shared" si="713"/>
        <v>8.7789712381349059E-3</v>
      </c>
      <c r="EX264" s="528">
        <f t="shared" si="714"/>
        <v>2.9621028761865079E-2</v>
      </c>
      <c r="EY264" s="528">
        <f t="shared" si="715"/>
        <v>0.61596231943984447</v>
      </c>
      <c r="EZ264" s="528"/>
      <c r="FA264" s="528">
        <f t="shared" si="716"/>
        <v>6.7199999999999994E-3</v>
      </c>
      <c r="FB264" s="460">
        <f t="shared" si="717"/>
        <v>661.08231943984447</v>
      </c>
      <c r="FC264" s="173">
        <f t="shared" si="718"/>
        <v>1.8847244940780643</v>
      </c>
      <c r="FD264" s="5">
        <f t="shared" si="719"/>
        <v>7.871999999999999</v>
      </c>
      <c r="FE264" s="173">
        <f t="shared" si="720"/>
        <v>0.80682815270411534</v>
      </c>
      <c r="FF264" s="5">
        <f t="shared" si="721"/>
        <v>80.682815270411538</v>
      </c>
      <c r="FI264" s="562">
        <f t="shared" si="676"/>
        <v>-50</v>
      </c>
      <c r="FJ264">
        <f t="shared" si="677"/>
        <v>-50</v>
      </c>
      <c r="FL264">
        <f t="shared" si="760"/>
        <v>0.48989794855663565</v>
      </c>
    </row>
    <row r="265" spans="5:168">
      <c r="E265" s="170">
        <v>49</v>
      </c>
      <c r="F265" s="217">
        <f t="shared" si="761"/>
        <v>0.49</v>
      </c>
      <c r="G265" s="217"/>
      <c r="H265" s="217">
        <f t="shared" si="726"/>
        <v>8.0359999999999996</v>
      </c>
      <c r="I265" s="541">
        <f t="shared" si="727"/>
        <v>35.951095330829595</v>
      </c>
      <c r="J265" s="172">
        <f t="shared" si="728"/>
        <v>16.829342801502239</v>
      </c>
      <c r="K265" s="172">
        <f t="shared" si="729"/>
        <v>52.780438132331838</v>
      </c>
      <c r="L265" s="443"/>
      <c r="M265" s="217">
        <f t="shared" si="730"/>
        <v>0.31886027602379563</v>
      </c>
      <c r="N265" s="172">
        <f t="shared" si="731"/>
        <v>38.727105863278297</v>
      </c>
      <c r="O265" s="172">
        <f t="shared" si="762"/>
        <v>8.0359999999999996</v>
      </c>
      <c r="P265" s="217">
        <f t="shared" si="732"/>
        <v>2.3614088941023352</v>
      </c>
      <c r="Q265" s="217">
        <f t="shared" si="733"/>
        <v>16.399999999999999</v>
      </c>
      <c r="R265" s="217"/>
      <c r="S265" s="172">
        <f t="shared" si="734"/>
        <v>208.68295765257042</v>
      </c>
      <c r="T265" s="172">
        <f t="shared" si="735"/>
        <v>16.399999999999999</v>
      </c>
      <c r="U265" s="217">
        <f t="shared" si="736"/>
        <v>1.4387650073896383</v>
      </c>
      <c r="V265" s="217">
        <f t="shared" si="737"/>
        <v>0.48024072506825771</v>
      </c>
      <c r="W265" s="217">
        <f t="shared" si="738"/>
        <v>1.025897463276731</v>
      </c>
      <c r="X265" s="197">
        <f t="shared" si="739"/>
        <v>350</v>
      </c>
      <c r="Y265" s="443">
        <f t="shared" si="680"/>
        <v>350</v>
      </c>
      <c r="AA265" s="217">
        <f t="shared" si="740"/>
        <v>2.7293359904030301</v>
      </c>
      <c r="AB265" s="173">
        <f t="shared" si="741"/>
        <v>1.9461266117838429</v>
      </c>
      <c r="AC265" s="173">
        <f t="shared" si="742"/>
        <v>0.92953584559898095</v>
      </c>
      <c r="AD265" s="173"/>
      <c r="AE265" s="173">
        <f t="shared" si="743"/>
        <v>0.95072042852272243</v>
      </c>
      <c r="AF265" s="545">
        <f t="shared" si="744"/>
        <v>773.09793494400878</v>
      </c>
      <c r="AG265" s="528">
        <f t="shared" si="745"/>
        <v>0.22183476665530191</v>
      </c>
      <c r="AI265" s="173">
        <f t="shared" si="746"/>
        <v>1.9816272741572405</v>
      </c>
      <c r="AJ265" s="173">
        <f t="shared" si="747"/>
        <v>1.9816272741572405</v>
      </c>
      <c r="AK265" s="173">
        <f t="shared" si="748"/>
        <v>1.6802177339436348</v>
      </c>
      <c r="AM265" s="545">
        <f t="shared" si="749"/>
        <v>490</v>
      </c>
      <c r="AN265" s="460">
        <f t="shared" si="750"/>
        <v>350</v>
      </c>
      <c r="AP265">
        <f t="shared" si="751"/>
        <v>490</v>
      </c>
      <c r="AQ265">
        <f t="shared" si="752"/>
        <v>350</v>
      </c>
      <c r="AS265" s="5">
        <f t="shared" si="763"/>
        <v>2.8571428571428572</v>
      </c>
      <c r="AT265" s="5">
        <f t="shared" si="753"/>
        <v>0.66144096782205486</v>
      </c>
      <c r="AU265" s="5">
        <f t="shared" si="722"/>
        <v>2.1957018893208025</v>
      </c>
      <c r="AV265" s="5"/>
      <c r="AW265" s="173">
        <f t="shared" si="723"/>
        <v>0.2315043387377192</v>
      </c>
      <c r="AX265" s="173">
        <f t="shared" si="631"/>
        <v>8.2463779727360951</v>
      </c>
      <c r="AY265" s="173">
        <f t="shared" si="632"/>
        <v>0.7614359812144198</v>
      </c>
      <c r="AZ265" s="173">
        <f t="shared" si="633"/>
        <v>10.83003453498991</v>
      </c>
      <c r="BA265" s="460">
        <f t="shared" si="724"/>
        <v>1.9762565502000422</v>
      </c>
      <c r="BB265" s="5">
        <f t="shared" si="725"/>
        <v>0.40899681961963563</v>
      </c>
      <c r="BD265" s="173">
        <f t="shared" si="681"/>
        <v>0.55047919666580991</v>
      </c>
      <c r="BE265" s="173">
        <f t="shared" si="682"/>
        <v>1.0029563991517527</v>
      </c>
      <c r="BG265" s="528">
        <f t="shared" si="683"/>
        <v>6.0605469192367093E-3</v>
      </c>
      <c r="BH265" s="528">
        <f t="shared" si="754"/>
        <v>0.68637945957654678</v>
      </c>
      <c r="BI265" s="528">
        <f t="shared" si="755"/>
        <v>0.31457208414475896</v>
      </c>
      <c r="BJ265" s="528">
        <f t="shared" si="684"/>
        <v>9.7502112730431814E-2</v>
      </c>
      <c r="BK265">
        <f t="shared" si="685"/>
        <v>1.6177992898873318E-2</v>
      </c>
      <c r="BL265" s="460">
        <f t="shared" si="686"/>
        <v>330.7500770436323</v>
      </c>
      <c r="BM265" s="528">
        <f t="shared" si="756"/>
        <v>0.79271997251553905</v>
      </c>
      <c r="BN265" s="460">
        <f t="shared" si="687"/>
        <v>792.7199725155391</v>
      </c>
      <c r="BO265" s="528">
        <f t="shared" si="637"/>
        <v>0.34299999999999997</v>
      </c>
      <c r="BR265" s="460">
        <f t="shared" si="688"/>
        <v>343</v>
      </c>
      <c r="BS265" s="528">
        <f t="shared" si="689"/>
        <v>9.0908203788550631E-3</v>
      </c>
      <c r="BT265" s="528">
        <f t="shared" si="690"/>
        <v>3.01776461579835E-2</v>
      </c>
      <c r="BU265" s="528">
        <f t="shared" si="691"/>
        <v>0.63342477058924773</v>
      </c>
      <c r="BV265" s="528"/>
      <c r="BW265" s="528">
        <f t="shared" si="692"/>
        <v>6.8719816439467467E-3</v>
      </c>
      <c r="BX265" s="460">
        <f t="shared" si="693"/>
        <v>679.56521877003308</v>
      </c>
      <c r="BY265" s="173">
        <f t="shared" si="694"/>
        <v>2.1432574150398809</v>
      </c>
      <c r="BZ265" s="5">
        <f t="shared" si="695"/>
        <v>8.0359999999999996</v>
      </c>
      <c r="CA265" s="173">
        <f t="shared" si="696"/>
        <v>0.78944854937323694</v>
      </c>
      <c r="CB265" s="5">
        <f t="shared" si="697"/>
        <v>78.944854937323697</v>
      </c>
      <c r="CE265" s="562">
        <f t="shared" si="757"/>
        <v>-50</v>
      </c>
      <c r="CF265">
        <f t="shared" si="758"/>
        <v>-50</v>
      </c>
      <c r="CG265" s="173">
        <f t="shared" si="759"/>
        <v>0.50097465979438283</v>
      </c>
      <c r="CI265" s="170">
        <v>49</v>
      </c>
      <c r="CJ265" s="217">
        <f t="shared" si="698"/>
        <v>0.49</v>
      </c>
      <c r="CK265" s="217"/>
      <c r="CL265" s="217">
        <f t="shared" si="641"/>
        <v>8.0359999999999996</v>
      </c>
      <c r="CM265" s="541">
        <f t="shared" si="642"/>
        <v>36</v>
      </c>
      <c r="CN265" s="443">
        <f t="shared" si="643"/>
        <v>16.799999999999997</v>
      </c>
      <c r="CO265" s="443">
        <f t="shared" si="644"/>
        <v>52.8</v>
      </c>
      <c r="CP265" s="443"/>
      <c r="CQ265" s="217">
        <f t="shared" si="645"/>
        <v>0.31818181818181812</v>
      </c>
      <c r="CR265" s="172">
        <f t="shared" si="646"/>
        <v>38.697272727272725</v>
      </c>
      <c r="CS265" s="172">
        <f t="shared" si="647"/>
        <v>8.0359999999999996</v>
      </c>
      <c r="CT265" s="217">
        <f t="shared" si="648"/>
        <v>2.3595898004434592</v>
      </c>
      <c r="CU265" s="217">
        <f t="shared" si="649"/>
        <v>16.399999999999999</v>
      </c>
      <c r="CV265" s="217"/>
      <c r="CW265" s="172">
        <f t="shared" si="650"/>
        <v>208.96673801710412</v>
      </c>
      <c r="CX265" s="172">
        <f t="shared" si="651"/>
        <v>16.399999999999999</v>
      </c>
      <c r="CY265" s="217">
        <f t="shared" si="652"/>
        <v>1.4031111111111112</v>
      </c>
      <c r="CZ265" s="217">
        <f t="shared" si="653"/>
        <v>0.46770370370370379</v>
      </c>
      <c r="DA265" s="217">
        <f t="shared" si="654"/>
        <v>1.0022222222222226</v>
      </c>
      <c r="DB265" s="197">
        <f t="shared" si="655"/>
        <v>350</v>
      </c>
      <c r="DC265" s="443">
        <f t="shared" si="656"/>
        <v>350</v>
      </c>
      <c r="DE265" s="217">
        <f t="shared" si="657"/>
        <v>2.7272727272727271</v>
      </c>
      <c r="DF265" s="173">
        <f t="shared" si="658"/>
        <v>1.9480519480519483</v>
      </c>
      <c r="DG265" s="173">
        <f t="shared" si="659"/>
        <v>0.92975206611570249</v>
      </c>
      <c r="DH265" s="173"/>
      <c r="DI265" s="173">
        <f t="shared" si="660"/>
        <v>0.95238095238095266</v>
      </c>
      <c r="DJ265" s="545">
        <f t="shared" si="661"/>
        <v>771.74999999999966</v>
      </c>
      <c r="DK265" s="528">
        <f t="shared" si="662"/>
        <v>0.22222222222222232</v>
      </c>
      <c r="DM265" s="173">
        <f t="shared" si="663"/>
        <v>1.9798989873223327</v>
      </c>
      <c r="DN265" s="173">
        <f t="shared" si="664"/>
        <v>1.9798989873223327</v>
      </c>
      <c r="DO265" s="173">
        <f t="shared" si="665"/>
        <v>1.6789375214733329</v>
      </c>
      <c r="DQ265" s="545">
        <f t="shared" si="666"/>
        <v>490</v>
      </c>
      <c r="DR265" s="460">
        <f t="shared" si="667"/>
        <v>350</v>
      </c>
      <c r="DT265">
        <f t="shared" si="668"/>
        <v>490</v>
      </c>
      <c r="DU265">
        <f t="shared" si="669"/>
        <v>350</v>
      </c>
      <c r="DW265" s="5">
        <f t="shared" si="670"/>
        <v>2.8571428571428572</v>
      </c>
      <c r="DX265" s="5">
        <f t="shared" si="671"/>
        <v>0.65996632910744435</v>
      </c>
      <c r="DY265" s="5">
        <f t="shared" si="672"/>
        <v>2.197176528035413</v>
      </c>
      <c r="DZ265" s="5"/>
      <c r="EA265" s="173">
        <f t="shared" si="673"/>
        <v>0.23098821518760551</v>
      </c>
      <c r="EB265" s="173">
        <f t="shared" si="699"/>
        <v>8.2319999999999958</v>
      </c>
      <c r="EC265" s="173">
        <f t="shared" si="700"/>
        <v>0.76128282699449978</v>
      </c>
      <c r="ED265" s="173">
        <f t="shared" si="701"/>
        <v>10.813326805885602</v>
      </c>
      <c r="EE265" s="460">
        <f t="shared" si="674"/>
        <v>1.9718506174551693</v>
      </c>
      <c r="EF265" s="5">
        <f t="shared" si="675"/>
        <v>0.40871552266880962</v>
      </c>
      <c r="EH265" s="173">
        <f t="shared" si="702"/>
        <v>0.54938565796576011</v>
      </c>
      <c r="EI265" s="173">
        <f t="shared" si="703"/>
        <v>1.0024181091182438</v>
      </c>
      <c r="EK265" s="528">
        <f t="shared" si="704"/>
        <v>6.0364920235694234E-3</v>
      </c>
      <c r="EL265" s="528">
        <f t="shared" si="705"/>
        <v>0.73177066571433413</v>
      </c>
      <c r="EM265" s="528">
        <f t="shared" si="706"/>
        <v>4.3749999999999997E-2</v>
      </c>
      <c r="EN265" s="528">
        <f t="shared" si="707"/>
        <v>9.7574399999999992E-2</v>
      </c>
      <c r="EO265">
        <f t="shared" si="708"/>
        <v>1.6199999999999999E-2</v>
      </c>
      <c r="EP265" s="460">
        <f t="shared" si="709"/>
        <v>59.949999999999996</v>
      </c>
      <c r="EQ265" s="460"/>
      <c r="ER265" s="460">
        <f t="shared" si="710"/>
        <v>895.33155773790338</v>
      </c>
      <c r="ES265" s="528">
        <f t="shared" si="711"/>
        <v>0.34299999999999997</v>
      </c>
      <c r="EV265" s="460">
        <f t="shared" si="712"/>
        <v>343</v>
      </c>
      <c r="EW265" s="528">
        <f t="shared" si="713"/>
        <v>9.0547380353541342E-3</v>
      </c>
      <c r="EX265" s="528">
        <f t="shared" si="714"/>
        <v>3.0145261964645859E-2</v>
      </c>
      <c r="EY265" s="528">
        <f t="shared" si="715"/>
        <v>0.63204456185502889</v>
      </c>
      <c r="EZ265" s="528"/>
      <c r="FA265" s="528">
        <f t="shared" si="716"/>
        <v>6.859999999999998E-3</v>
      </c>
      <c r="FB265" s="460">
        <f t="shared" si="717"/>
        <v>678.10456185502892</v>
      </c>
      <c r="FC265" s="173">
        <f t="shared" si="718"/>
        <v>1.9164361195929325</v>
      </c>
      <c r="FD265" s="5">
        <f t="shared" si="719"/>
        <v>8.0359999999999996</v>
      </c>
      <c r="FE265" s="173">
        <f t="shared" si="720"/>
        <v>0.80744050033939663</v>
      </c>
      <c r="FF265" s="5">
        <f t="shared" si="721"/>
        <v>80.744050033939658</v>
      </c>
      <c r="FI265" s="562">
        <f t="shared" si="676"/>
        <v>-50</v>
      </c>
      <c r="FJ265">
        <f t="shared" si="677"/>
        <v>-50</v>
      </c>
      <c r="FL265">
        <f t="shared" si="760"/>
        <v>0.49497474683058329</v>
      </c>
    </row>
    <row r="266" spans="5:168">
      <c r="E266" s="170">
        <v>50</v>
      </c>
      <c r="F266" s="217">
        <f t="shared" si="761"/>
        <v>0.5</v>
      </c>
      <c r="G266" s="217"/>
      <c r="H266" s="217">
        <f t="shared" si="726"/>
        <v>8.1999999999999993</v>
      </c>
      <c r="I266" s="541">
        <f t="shared" si="727"/>
        <v>35.950598823997034</v>
      </c>
      <c r="J266" s="172">
        <f t="shared" si="728"/>
        <v>16.829640705601779</v>
      </c>
      <c r="K266" s="172">
        <f t="shared" si="729"/>
        <v>52.780239529598816</v>
      </c>
      <c r="L266" s="443"/>
      <c r="M266" s="217">
        <f t="shared" si="730"/>
        <v>0.31886716662919201</v>
      </c>
      <c r="N266" s="172">
        <f t="shared" si="731"/>
        <v>38.727407903455706</v>
      </c>
      <c r="O266" s="172">
        <f t="shared" si="762"/>
        <v>8.1999999999999993</v>
      </c>
      <c r="P266" s="217">
        <f t="shared" si="732"/>
        <v>2.3614273111863238</v>
      </c>
      <c r="Q266" s="217">
        <f t="shared" si="733"/>
        <v>16.399999999999999</v>
      </c>
      <c r="R266" s="217"/>
      <c r="S266" s="172">
        <f t="shared" si="734"/>
        <v>203.79048561276801</v>
      </c>
      <c r="T266" s="172">
        <f t="shared" si="735"/>
        <v>16.399999999999999</v>
      </c>
      <c r="U266" s="217">
        <f t="shared" si="736"/>
        <v>1.4681424107118342</v>
      </c>
      <c r="V266" s="217">
        <f t="shared" si="737"/>
        <v>0.49005328158211886</v>
      </c>
      <c r="W266" s="217">
        <f t="shared" si="738"/>
        <v>1.0468262060210187</v>
      </c>
      <c r="X266" s="197">
        <f t="shared" si="739"/>
        <v>350</v>
      </c>
      <c r="Y266" s="443">
        <f t="shared" si="680"/>
        <v>350</v>
      </c>
      <c r="AA266" s="217">
        <f t="shared" si="740"/>
        <v>2.72935687922786</v>
      </c>
      <c r="AB266" s="173">
        <f t="shared" si="741"/>
        <v>1.9461070574033503</v>
      </c>
      <c r="AC266" s="173">
        <f t="shared" si="742"/>
        <v>0.92953361984660132</v>
      </c>
      <c r="AD266" s="173"/>
      <c r="AE266" s="173">
        <f t="shared" si="743"/>
        <v>0.95070359967187956</v>
      </c>
      <c r="AF266" s="545">
        <f t="shared" si="744"/>
        <v>788.88940807508311</v>
      </c>
      <c r="AG266" s="528">
        <f t="shared" si="745"/>
        <v>0.22183083992343858</v>
      </c>
      <c r="AI266" s="173">
        <f t="shared" si="746"/>
        <v>2.0017635501870759</v>
      </c>
      <c r="AJ266" s="173">
        <f t="shared" si="747"/>
        <v>2.0017635501870759</v>
      </c>
      <c r="AK266" s="173">
        <f t="shared" si="748"/>
        <v>1.695133493965735</v>
      </c>
      <c r="AM266" s="545">
        <f t="shared" si="749"/>
        <v>500</v>
      </c>
      <c r="AN266" s="460">
        <f t="shared" si="750"/>
        <v>350</v>
      </c>
      <c r="AP266">
        <f t="shared" si="751"/>
        <v>500</v>
      </c>
      <c r="AQ266">
        <f t="shared" si="752"/>
        <v>350</v>
      </c>
      <c r="AS266" s="5">
        <f t="shared" si="763"/>
        <v>2.8571428571428572</v>
      </c>
      <c r="AT266" s="5">
        <f t="shared" si="753"/>
        <v>0.66817141822435455</v>
      </c>
      <c r="AU266" s="5">
        <f t="shared" si="722"/>
        <v>2.1889714389185029</v>
      </c>
      <c r="AV266" s="5"/>
      <c r="AW266" s="173">
        <f t="shared" si="723"/>
        <v>0.23385999637852409</v>
      </c>
      <c r="AX266" s="173">
        <f t="shared" si="631"/>
        <v>8.4148203528008896</v>
      </c>
      <c r="AY266" s="173">
        <f t="shared" si="632"/>
        <v>0.76681556679483243</v>
      </c>
      <c r="AZ266" s="173">
        <f t="shared" si="633"/>
        <v>10.973721344721138</v>
      </c>
      <c r="BA266" s="460">
        <f t="shared" si="724"/>
        <v>2.0371079823913254</v>
      </c>
      <c r="BB266" s="5">
        <f t="shared" si="725"/>
        <v>0.41607016262805568</v>
      </c>
      <c r="BD266" s="173">
        <f t="shared" si="681"/>
        <v>0.55889486435455482</v>
      </c>
      <c r="BE266" s="173">
        <f t="shared" si="682"/>
        <v>1.0115939407113701</v>
      </c>
      <c r="BG266" s="528">
        <f t="shared" si="683"/>
        <v>6.2472693880379253E-3</v>
      </c>
      <c r="BH266" s="528">
        <f t="shared" si="754"/>
        <v>0.69335148527199164</v>
      </c>
      <c r="BI266" s="528">
        <f t="shared" si="755"/>
        <v>0.31456773970997404</v>
      </c>
      <c r="BJ266" s="528">
        <f t="shared" si="684"/>
        <v>9.7501378968063879E-2</v>
      </c>
      <c r="BK266">
        <f t="shared" si="685"/>
        <v>1.6177769470798666E-2</v>
      </c>
      <c r="BL266" s="460">
        <f t="shared" si="686"/>
        <v>330.74550918077273</v>
      </c>
      <c r="BM266" s="528">
        <f t="shared" si="756"/>
        <v>0.79997433923855976</v>
      </c>
      <c r="BN266" s="460">
        <f t="shared" si="687"/>
        <v>799.97433923855976</v>
      </c>
      <c r="BO266" s="528">
        <f t="shared" si="637"/>
        <v>0.35</v>
      </c>
      <c r="BR266" s="460">
        <f t="shared" si="688"/>
        <v>350</v>
      </c>
      <c r="BS266" s="528">
        <f t="shared" si="689"/>
        <v>9.3709040820568867E-3</v>
      </c>
      <c r="BT266" s="528">
        <f t="shared" si="690"/>
        <v>3.0699669026518765E-2</v>
      </c>
      <c r="BU266" s="528">
        <f t="shared" si="691"/>
        <v>0.64963895288617146</v>
      </c>
      <c r="BV266" s="528"/>
      <c r="BW266" s="528">
        <f t="shared" si="692"/>
        <v>7.0123502940007409E-3</v>
      </c>
      <c r="BX266" s="460">
        <f t="shared" si="693"/>
        <v>696.72187628874781</v>
      </c>
      <c r="BY266" s="173">
        <f t="shared" si="694"/>
        <v>2.1745675190976139</v>
      </c>
      <c r="BZ266" s="5">
        <f t="shared" si="695"/>
        <v>8.1999999999999993</v>
      </c>
      <c r="CA266" s="173">
        <f t="shared" si="696"/>
        <v>0.79039439329932093</v>
      </c>
      <c r="CB266" s="5">
        <f t="shared" si="697"/>
        <v>79.039439329932094</v>
      </c>
      <c r="CE266" s="562">
        <f t="shared" si="757"/>
        <v>-50</v>
      </c>
      <c r="CF266">
        <f t="shared" si="758"/>
        <v>-50</v>
      </c>
      <c r="CG266" s="173">
        <f t="shared" si="759"/>
        <v>0.50606082734747393</v>
      </c>
      <c r="CI266" s="170">
        <v>50</v>
      </c>
      <c r="CJ266" s="217">
        <f t="shared" si="698"/>
        <v>0.5</v>
      </c>
      <c r="CK266" s="217"/>
      <c r="CL266" s="217">
        <f t="shared" si="641"/>
        <v>8.1999999999999993</v>
      </c>
      <c r="CM266" s="541">
        <f t="shared" si="642"/>
        <v>36</v>
      </c>
      <c r="CN266" s="443">
        <f t="shared" si="643"/>
        <v>16.799999999999997</v>
      </c>
      <c r="CO266" s="443">
        <f t="shared" si="644"/>
        <v>52.8</v>
      </c>
      <c r="CP266" s="443"/>
      <c r="CQ266" s="217">
        <f t="shared" si="645"/>
        <v>0.31818181818181812</v>
      </c>
      <c r="CR266" s="172">
        <f t="shared" si="646"/>
        <v>38.697272727272725</v>
      </c>
      <c r="CS266" s="172">
        <f t="shared" si="647"/>
        <v>8.1999999999999993</v>
      </c>
      <c r="CT266" s="217">
        <f t="shared" si="648"/>
        <v>2.3595898004434592</v>
      </c>
      <c r="CU266" s="217">
        <f t="shared" si="649"/>
        <v>16.399999999999999</v>
      </c>
      <c r="CV266" s="217"/>
      <c r="CW266" s="172">
        <f t="shared" si="650"/>
        <v>204.07042583269126</v>
      </c>
      <c r="CX266" s="172">
        <f t="shared" si="651"/>
        <v>16.399999999999999</v>
      </c>
      <c r="CY266" s="217">
        <f t="shared" si="652"/>
        <v>1.4317460317460318</v>
      </c>
      <c r="CZ266" s="217">
        <f t="shared" si="653"/>
        <v>0.47724867724867726</v>
      </c>
      <c r="DA266" s="217">
        <f t="shared" si="654"/>
        <v>1.0226757369614514</v>
      </c>
      <c r="DB266" s="197">
        <f t="shared" si="655"/>
        <v>350</v>
      </c>
      <c r="DC266" s="443">
        <f t="shared" si="656"/>
        <v>350</v>
      </c>
      <c r="DE266" s="217">
        <f t="shared" si="657"/>
        <v>2.7272727272727271</v>
      </c>
      <c r="DF266" s="173">
        <f t="shared" si="658"/>
        <v>1.9480519480519483</v>
      </c>
      <c r="DG266" s="173">
        <f t="shared" si="659"/>
        <v>0.92975206611570249</v>
      </c>
      <c r="DH266" s="173"/>
      <c r="DI266" s="173">
        <f t="shared" si="660"/>
        <v>0.95238095238095266</v>
      </c>
      <c r="DJ266" s="545">
        <f t="shared" si="661"/>
        <v>787.49999999999966</v>
      </c>
      <c r="DK266" s="528">
        <f t="shared" si="662"/>
        <v>0.22222222222222232</v>
      </c>
      <c r="DM266" s="173">
        <f t="shared" si="663"/>
        <v>1.9999999999999998</v>
      </c>
      <c r="DN266" s="173">
        <f t="shared" si="664"/>
        <v>1.9999999999999998</v>
      </c>
      <c r="DO266" s="173">
        <f t="shared" si="665"/>
        <v>1.6938271604938269</v>
      </c>
      <c r="DQ266" s="545">
        <f t="shared" si="666"/>
        <v>500</v>
      </c>
      <c r="DR266" s="460">
        <f t="shared" si="667"/>
        <v>350</v>
      </c>
      <c r="DT266">
        <f t="shared" si="668"/>
        <v>500</v>
      </c>
      <c r="DU266">
        <f t="shared" si="669"/>
        <v>350</v>
      </c>
      <c r="DW266" s="5">
        <f t="shared" si="670"/>
        <v>2.8571428571428572</v>
      </c>
      <c r="DX266" s="5">
        <f t="shared" si="671"/>
        <v>0.66666666666666663</v>
      </c>
      <c r="DY266" s="5">
        <f t="shared" si="672"/>
        <v>2.1904761904761907</v>
      </c>
      <c r="DZ266" s="5"/>
      <c r="EA266" s="173">
        <f t="shared" si="673"/>
        <v>0.23333333333333331</v>
      </c>
      <c r="EB266" s="173">
        <f t="shared" si="699"/>
        <v>8.3999999999999986</v>
      </c>
      <c r="EC266" s="173">
        <f t="shared" si="700"/>
        <v>0.76666666666666661</v>
      </c>
      <c r="ED266" s="173">
        <f t="shared" si="701"/>
        <v>10.956521739130434</v>
      </c>
      <c r="EE266" s="460">
        <f t="shared" si="674"/>
        <v>2.0325203252032522</v>
      </c>
      <c r="EF266" s="5">
        <f t="shared" si="675"/>
        <v>0.41578483245149905</v>
      </c>
      <c r="EH266" s="173">
        <f t="shared" si="702"/>
        <v>0.55777335102271686</v>
      </c>
      <c r="EI266" s="173">
        <f t="shared" si="703"/>
        <v>1.0110500592068732</v>
      </c>
      <c r="EK266" s="528">
        <f t="shared" si="704"/>
        <v>6.2222222222222184E-3</v>
      </c>
      <c r="EL266" s="528">
        <f t="shared" si="705"/>
        <v>0.73919999999999986</v>
      </c>
      <c r="EM266" s="528">
        <f t="shared" si="706"/>
        <v>4.3749999999999997E-2</v>
      </c>
      <c r="EN266" s="528">
        <f t="shared" si="707"/>
        <v>9.7574399999999992E-2</v>
      </c>
      <c r="EO266">
        <f t="shared" si="708"/>
        <v>1.6199999999999999E-2</v>
      </c>
      <c r="EP266" s="460">
        <f t="shared" si="709"/>
        <v>59.949999999999996</v>
      </c>
      <c r="EQ266" s="460"/>
      <c r="ER266" s="460">
        <f t="shared" si="710"/>
        <v>902.946622222222</v>
      </c>
      <c r="ES266" s="528">
        <f t="shared" si="711"/>
        <v>0.35</v>
      </c>
      <c r="EV266" s="460">
        <f t="shared" si="712"/>
        <v>350</v>
      </c>
      <c r="EW266" s="528">
        <f t="shared" si="713"/>
        <v>9.3333333333333272E-3</v>
      </c>
      <c r="EX266" s="528">
        <f t="shared" si="714"/>
        <v>3.0666666666666651E-2</v>
      </c>
      <c r="EY266" s="528">
        <f t="shared" si="715"/>
        <v>0.64820907121082361</v>
      </c>
      <c r="EZ266" s="528"/>
      <c r="FA266" s="528">
        <f t="shared" si="716"/>
        <v>6.9999999999999993E-3</v>
      </c>
      <c r="FB266" s="460">
        <f t="shared" si="717"/>
        <v>695.20907121082348</v>
      </c>
      <c r="FC266" s="173">
        <f t="shared" si="718"/>
        <v>1.9481556934330453</v>
      </c>
      <c r="FD266" s="5">
        <f t="shared" si="719"/>
        <v>8.1999999999999993</v>
      </c>
      <c r="FE266" s="173">
        <f t="shared" si="720"/>
        <v>0.80802859630014212</v>
      </c>
      <c r="FF266" s="5">
        <f t="shared" si="721"/>
        <v>80.802859630014211</v>
      </c>
      <c r="FI266" s="562">
        <f t="shared" si="676"/>
        <v>-50</v>
      </c>
      <c r="FJ266">
        <f t="shared" si="677"/>
        <v>-50</v>
      </c>
      <c r="FL266">
        <f t="shared" si="760"/>
        <v>0.5</v>
      </c>
    </row>
    <row r="267" spans="5:168">
      <c r="E267" s="170">
        <v>51</v>
      </c>
      <c r="F267" s="217">
        <f t="shared" si="761"/>
        <v>0.51</v>
      </c>
      <c r="G267" s="217"/>
      <c r="H267" s="217">
        <f t="shared" si="726"/>
        <v>8.363999999999999</v>
      </c>
      <c r="I267" s="541">
        <f t="shared" si="727"/>
        <v>35.950107257899717</v>
      </c>
      <c r="J267" s="172">
        <f t="shared" si="728"/>
        <v>16.829935645260168</v>
      </c>
      <c r="K267" s="172">
        <f t="shared" si="729"/>
        <v>52.780042903159881</v>
      </c>
      <c r="L267" s="443"/>
      <c r="M267" s="217">
        <f t="shared" si="730"/>
        <v>0.31887398871638883</v>
      </c>
      <c r="N267" s="172">
        <f t="shared" si="731"/>
        <v>38.72770692135316</v>
      </c>
      <c r="O267" s="172">
        <f t="shared" si="762"/>
        <v>8.363999999999999</v>
      </c>
      <c r="P267" s="217">
        <f t="shared" si="732"/>
        <v>2.3614455439849489</v>
      </c>
      <c r="Q267" s="217">
        <f t="shared" si="733"/>
        <v>16.399999999999999</v>
      </c>
      <c r="R267" s="217"/>
      <c r="S267" s="172">
        <f t="shared" si="734"/>
        <v>199.08999806505088</v>
      </c>
      <c r="T267" s="172">
        <f t="shared" si="735"/>
        <v>16.399999999999999</v>
      </c>
      <c r="U267" s="217">
        <f t="shared" si="736"/>
        <v>1.4975202577827944</v>
      </c>
      <c r="V267" s="217">
        <f t="shared" si="737"/>
        <v>0.49986618856178056</v>
      </c>
      <c r="W267" s="217">
        <f t="shared" si="738"/>
        <v>1.0677547123274065</v>
      </c>
      <c r="X267" s="197">
        <f t="shared" si="739"/>
        <v>350</v>
      </c>
      <c r="Y267" s="443">
        <f t="shared" si="680"/>
        <v>350</v>
      </c>
      <c r="AA267" s="217">
        <f t="shared" si="740"/>
        <v>2.7293775590284071</v>
      </c>
      <c r="AB267" s="173">
        <f t="shared" si="741"/>
        <v>1.9460876974633601</v>
      </c>
      <c r="AC267" s="173">
        <f t="shared" si="742"/>
        <v>0.92953141563760788</v>
      </c>
      <c r="AD267" s="173"/>
      <c r="AE267" s="173">
        <f t="shared" si="743"/>
        <v>0.95068693887169431</v>
      </c>
      <c r="AF267" s="545">
        <f t="shared" si="744"/>
        <v>804.68129803900149</v>
      </c>
      <c r="AG267" s="528">
        <f t="shared" si="745"/>
        <v>0.22182695240339537</v>
      </c>
      <c r="AI267" s="173">
        <f t="shared" si="746"/>
        <v>2.0216998009787384</v>
      </c>
      <c r="AJ267" s="173">
        <f t="shared" si="747"/>
        <v>2.0216998009787384</v>
      </c>
      <c r="AK267" s="173">
        <f t="shared" si="748"/>
        <v>1.7099010871447442</v>
      </c>
      <c r="AM267" s="545">
        <f t="shared" si="749"/>
        <v>510</v>
      </c>
      <c r="AN267" s="460">
        <f t="shared" si="750"/>
        <v>350</v>
      </c>
      <c r="AP267">
        <f t="shared" si="751"/>
        <v>510</v>
      </c>
      <c r="AQ267">
        <f t="shared" si="752"/>
        <v>350</v>
      </c>
      <c r="AS267" s="5">
        <f t="shared" si="763"/>
        <v>2.8571428571428572</v>
      </c>
      <c r="AT267" s="5">
        <f t="shared" si="753"/>
        <v>0.67483519416799109</v>
      </c>
      <c r="AU267" s="5">
        <f t="shared" si="722"/>
        <v>2.1823076629748659</v>
      </c>
      <c r="AV267" s="5"/>
      <c r="AW267" s="173">
        <f t="shared" si="723"/>
        <v>0.23619231795879689</v>
      </c>
      <c r="AX267" s="173">
        <f t="shared" si="631"/>
        <v>8.5832671790826875</v>
      </c>
      <c r="AY267" s="173">
        <f t="shared" si="632"/>
        <v>0.77209491938436592</v>
      </c>
      <c r="AZ267" s="173">
        <f t="shared" si="633"/>
        <v>11.116854888679493</v>
      </c>
      <c r="BA267" s="460">
        <f t="shared" si="724"/>
        <v>2.0985728599126556</v>
      </c>
      <c r="BB267" s="5">
        <f t="shared" si="725"/>
        <v>0.42310539720552287</v>
      </c>
      <c r="BD267" s="173">
        <f t="shared" si="681"/>
        <v>0.5672688356106933</v>
      </c>
      <c r="BE267" s="173">
        <f t="shared" si="682"/>
        <v>1.0201124594396664</v>
      </c>
      <c r="BG267" s="528">
        <f t="shared" si="683"/>
        <v>6.4358786371022363E-3</v>
      </c>
      <c r="BH267" s="528">
        <f t="shared" si="754"/>
        <v>0.70025420215384993</v>
      </c>
      <c r="BI267" s="528">
        <f t="shared" si="755"/>
        <v>0.31456343850662255</v>
      </c>
      <c r="BJ267" s="528">
        <f t="shared" si="684"/>
        <v>9.7500652510078931E-2</v>
      </c>
      <c r="BK267">
        <f t="shared" si="685"/>
        <v>1.6177548266054873E-2</v>
      </c>
      <c r="BL267" s="460">
        <f t="shared" si="686"/>
        <v>330.74098677267745</v>
      </c>
      <c r="BM267" s="528">
        <f t="shared" si="756"/>
        <v>0.80716270530095147</v>
      </c>
      <c r="BN267" s="460">
        <f t="shared" si="687"/>
        <v>807.16270530095142</v>
      </c>
      <c r="BO267" s="528">
        <f t="shared" si="637"/>
        <v>0.35699999999999998</v>
      </c>
      <c r="BR267" s="460">
        <f t="shared" si="688"/>
        <v>357</v>
      </c>
      <c r="BS267" s="528">
        <f t="shared" si="689"/>
        <v>9.6538179556533536E-3</v>
      </c>
      <c r="BT267" s="528">
        <f t="shared" si="690"/>
        <v>3.1218882897121349E-2</v>
      </c>
      <c r="BU267" s="528">
        <f t="shared" si="691"/>
        <v>0.66593491574704577</v>
      </c>
      <c r="BV267" s="528"/>
      <c r="BW267" s="528">
        <f t="shared" si="692"/>
        <v>7.1527226492355735E-3</v>
      </c>
      <c r="BX267" s="460">
        <f t="shared" si="693"/>
        <v>713.96033924905612</v>
      </c>
      <c r="BY267" s="173">
        <f t="shared" si="694"/>
        <v>2.2058920593227644</v>
      </c>
      <c r="BZ267" s="5">
        <f t="shared" si="695"/>
        <v>8.363999999999999</v>
      </c>
      <c r="CA267" s="173">
        <f t="shared" si="696"/>
        <v>0.79130420188377015</v>
      </c>
      <c r="CB267" s="5">
        <f t="shared" si="697"/>
        <v>79.130420188377016</v>
      </c>
      <c r="CE267" s="562">
        <f t="shared" si="757"/>
        <v>-50</v>
      </c>
      <c r="CF267">
        <f t="shared" si="758"/>
        <v>-50</v>
      </c>
      <c r="CG267" s="173">
        <f t="shared" si="759"/>
        <v>0.51109638249074119</v>
      </c>
      <c r="CI267" s="170">
        <v>51</v>
      </c>
      <c r="CJ267" s="217">
        <f t="shared" si="698"/>
        <v>0.51</v>
      </c>
      <c r="CK267" s="217"/>
      <c r="CL267" s="217">
        <f t="shared" si="641"/>
        <v>8.363999999999999</v>
      </c>
      <c r="CM267" s="541">
        <f t="shared" si="642"/>
        <v>36</v>
      </c>
      <c r="CN267" s="443">
        <f t="shared" si="643"/>
        <v>16.799999999999997</v>
      </c>
      <c r="CO267" s="443">
        <f t="shared" si="644"/>
        <v>52.8</v>
      </c>
      <c r="CP267" s="443"/>
      <c r="CQ267" s="217">
        <f t="shared" si="645"/>
        <v>0.31818181818181812</v>
      </c>
      <c r="CR267" s="172">
        <f t="shared" si="646"/>
        <v>38.697272727272725</v>
      </c>
      <c r="CS267" s="172">
        <f t="shared" si="647"/>
        <v>8.363999999999999</v>
      </c>
      <c r="CT267" s="217">
        <f t="shared" si="648"/>
        <v>2.3595898004434592</v>
      </c>
      <c r="CU267" s="217">
        <f t="shared" si="649"/>
        <v>16.399999999999999</v>
      </c>
      <c r="CV267" s="217"/>
      <c r="CW267" s="172">
        <f t="shared" si="650"/>
        <v>199.36620191287611</v>
      </c>
      <c r="CX267" s="172">
        <f t="shared" si="651"/>
        <v>16.399999999999999</v>
      </c>
      <c r="CY267" s="217">
        <f t="shared" si="652"/>
        <v>1.4603809523809523</v>
      </c>
      <c r="CZ267" s="217">
        <f t="shared" si="653"/>
        <v>0.48679365079365078</v>
      </c>
      <c r="DA267" s="217">
        <f t="shared" si="654"/>
        <v>1.0431292517006807</v>
      </c>
      <c r="DB267" s="197">
        <f t="shared" si="655"/>
        <v>350</v>
      </c>
      <c r="DC267" s="443">
        <f t="shared" si="656"/>
        <v>350</v>
      </c>
      <c r="DE267" s="217">
        <f t="shared" si="657"/>
        <v>2.7272727272727271</v>
      </c>
      <c r="DF267" s="173">
        <f t="shared" si="658"/>
        <v>1.9480519480519483</v>
      </c>
      <c r="DG267" s="173">
        <f t="shared" si="659"/>
        <v>0.92975206611570249</v>
      </c>
      <c r="DH267" s="173"/>
      <c r="DI267" s="173">
        <f t="shared" si="660"/>
        <v>0.95238095238095266</v>
      </c>
      <c r="DJ267" s="545">
        <f t="shared" si="661"/>
        <v>803.24999999999966</v>
      </c>
      <c r="DK267" s="528">
        <f t="shared" si="662"/>
        <v>0.22222222222222232</v>
      </c>
      <c r="DM267" s="173">
        <f t="shared" si="663"/>
        <v>2.0199009876724152</v>
      </c>
      <c r="DN267" s="173">
        <f t="shared" si="664"/>
        <v>2.0199009876724152</v>
      </c>
      <c r="DO267" s="173">
        <f t="shared" si="665"/>
        <v>1.7085686328437641</v>
      </c>
      <c r="DQ267" s="545">
        <f t="shared" si="666"/>
        <v>510</v>
      </c>
      <c r="DR267" s="460">
        <f t="shared" si="667"/>
        <v>350</v>
      </c>
      <c r="DT267">
        <f t="shared" si="668"/>
        <v>510</v>
      </c>
      <c r="DU267">
        <f t="shared" si="669"/>
        <v>350</v>
      </c>
      <c r="DW267" s="5">
        <f t="shared" si="670"/>
        <v>2.8571428571428572</v>
      </c>
      <c r="DX267" s="5">
        <f t="shared" si="671"/>
        <v>0.67330032922413852</v>
      </c>
      <c r="DY267" s="5">
        <f t="shared" si="672"/>
        <v>2.1838425279187188</v>
      </c>
      <c r="DZ267" s="5"/>
      <c r="EA267" s="173">
        <f t="shared" si="673"/>
        <v>0.23565511522844848</v>
      </c>
      <c r="EB267" s="173">
        <f t="shared" si="699"/>
        <v>8.5679999999999961</v>
      </c>
      <c r="EC267" s="173">
        <f t="shared" si="700"/>
        <v>0.77195049383620762</v>
      </c>
      <c r="ED267" s="173">
        <f t="shared" si="701"/>
        <v>11.099157353240781</v>
      </c>
      <c r="EE267" s="460">
        <f t="shared" si="674"/>
        <v>2.0937998042945773</v>
      </c>
      <c r="EF267" s="5">
        <f t="shared" si="675"/>
        <v>0.42281617832204071</v>
      </c>
      <c r="EH267" s="173">
        <f t="shared" si="702"/>
        <v>0.56611920715578079</v>
      </c>
      <c r="EI267" s="173">
        <f t="shared" si="703"/>
        <v>1.0195631629719217</v>
      </c>
      <c r="EK267" s="528">
        <f t="shared" si="704"/>
        <v>6.409819134213797E-3</v>
      </c>
      <c r="EL267" s="528">
        <f t="shared" si="705"/>
        <v>0.74655540504372464</v>
      </c>
      <c r="EM267" s="528">
        <f t="shared" si="706"/>
        <v>4.3749999999999997E-2</v>
      </c>
      <c r="EN267" s="528">
        <f t="shared" si="707"/>
        <v>9.7574399999999992E-2</v>
      </c>
      <c r="EO267">
        <f t="shared" si="708"/>
        <v>1.6199999999999999E-2</v>
      </c>
      <c r="EP267" s="460">
        <f t="shared" si="709"/>
        <v>59.949999999999996</v>
      </c>
      <c r="EQ267" s="460"/>
      <c r="ER267" s="460">
        <f t="shared" si="710"/>
        <v>910.48962417793837</v>
      </c>
      <c r="ES267" s="528">
        <f t="shared" si="711"/>
        <v>0.35699999999999998</v>
      </c>
      <c r="EV267" s="460">
        <f t="shared" si="712"/>
        <v>357</v>
      </c>
      <c r="EW267" s="528">
        <f t="shared" si="713"/>
        <v>9.6147287013206954E-3</v>
      </c>
      <c r="EX267" s="528">
        <f t="shared" si="714"/>
        <v>3.1185271298679283E-2</v>
      </c>
      <c r="EY267" s="528">
        <f t="shared" si="715"/>
        <v>0.66445461024590002</v>
      </c>
      <c r="EZ267" s="528"/>
      <c r="FA267" s="528">
        <f t="shared" si="716"/>
        <v>7.139999999999997E-3</v>
      </c>
      <c r="FB267" s="460">
        <f t="shared" si="717"/>
        <v>712.39461024590003</v>
      </c>
      <c r="FC267" s="173">
        <f t="shared" si="718"/>
        <v>1.9798842344238381</v>
      </c>
      <c r="FD267" s="5">
        <f t="shared" si="719"/>
        <v>8.363999999999999</v>
      </c>
      <c r="FE267" s="173">
        <f t="shared" si="720"/>
        <v>0.80859373620647257</v>
      </c>
      <c r="FF267" s="5">
        <f t="shared" si="721"/>
        <v>80.859373620647261</v>
      </c>
      <c r="FI267" s="562">
        <f t="shared" si="676"/>
        <v>-50</v>
      </c>
      <c r="FJ267">
        <f t="shared" si="677"/>
        <v>-50</v>
      </c>
      <c r="FL267">
        <f t="shared" si="760"/>
        <v>0.50497524691810391</v>
      </c>
    </row>
    <row r="268" spans="5:168">
      <c r="E268" s="170">
        <v>52</v>
      </c>
      <c r="F268" s="217">
        <f t="shared" si="761"/>
        <v>0.52</v>
      </c>
      <c r="G268" s="217"/>
      <c r="H268" s="217">
        <f t="shared" si="726"/>
        <v>8.5279999999999987</v>
      </c>
      <c r="I268" s="541">
        <f t="shared" si="727"/>
        <v>35.949620487913286</v>
      </c>
      <c r="J268" s="172">
        <f t="shared" si="728"/>
        <v>16.830227707252025</v>
      </c>
      <c r="K268" s="172">
        <f t="shared" si="729"/>
        <v>52.779848195165314</v>
      </c>
      <c r="L268" s="443"/>
      <c r="M268" s="217">
        <f t="shared" si="730"/>
        <v>0.31888074429103958</v>
      </c>
      <c r="N268" s="172">
        <f t="shared" si="731"/>
        <v>38.728003005438126</v>
      </c>
      <c r="O268" s="172">
        <f t="shared" si="762"/>
        <v>8.5279999999999987</v>
      </c>
      <c r="P268" s="217">
        <f t="shared" si="732"/>
        <v>2.3614635978925689</v>
      </c>
      <c r="Q268" s="217">
        <f t="shared" si="733"/>
        <v>16.399999999999999</v>
      </c>
      <c r="R268" s="217"/>
      <c r="S268" s="172">
        <f t="shared" si="734"/>
        <v>194.5704186906849</v>
      </c>
      <c r="T268" s="172">
        <f t="shared" si="735"/>
        <v>16.399999999999999</v>
      </c>
      <c r="U268" s="217">
        <f t="shared" si="736"/>
        <v>1.5268985442461021</v>
      </c>
      <c r="V268" s="217">
        <f t="shared" si="737"/>
        <v>0.50967944257196185</v>
      </c>
      <c r="W268" s="217">
        <f t="shared" si="738"/>
        <v>1.0886829845479791</v>
      </c>
      <c r="X268" s="197">
        <f t="shared" si="739"/>
        <v>350</v>
      </c>
      <c r="Y268" s="443">
        <f t="shared" si="680"/>
        <v>350</v>
      </c>
      <c r="AA268" s="217">
        <f t="shared" si="740"/>
        <v>2.7293980359231824</v>
      </c>
      <c r="AB268" s="173">
        <f t="shared" si="741"/>
        <v>1.9460685262722413</v>
      </c>
      <c r="AC268" s="173">
        <f t="shared" si="742"/>
        <v>0.92952923234139095</v>
      </c>
      <c r="AD268" s="173"/>
      <c r="AE268" s="173">
        <f t="shared" si="743"/>
        <v>0.95067044120298605</v>
      </c>
      <c r="AF268" s="545">
        <f t="shared" si="744"/>
        <v>820.47360072853598</v>
      </c>
      <c r="AG268" s="528">
        <f t="shared" si="745"/>
        <v>0.22182310294736343</v>
      </c>
      <c r="AI268" s="173">
        <f t="shared" si="746"/>
        <v>2.0414418816320619</v>
      </c>
      <c r="AJ268" s="173">
        <f t="shared" si="747"/>
        <v>2.0414418816320619</v>
      </c>
      <c r="AK268" s="173">
        <f t="shared" si="748"/>
        <v>1.7245248505916506</v>
      </c>
      <c r="AM268" s="545">
        <f t="shared" si="749"/>
        <v>520</v>
      </c>
      <c r="AN268" s="460">
        <f t="shared" si="750"/>
        <v>350</v>
      </c>
      <c r="AP268">
        <f t="shared" si="751"/>
        <v>520</v>
      </c>
      <c r="AQ268">
        <f t="shared" si="752"/>
        <v>350</v>
      </c>
      <c r="AS268" s="5">
        <f t="shared" si="763"/>
        <v>2.8571428571428572</v>
      </c>
      <c r="AT268" s="5">
        <f t="shared" si="753"/>
        <v>0.68143424734681257</v>
      </c>
      <c r="AU268" s="5">
        <f t="shared" si="722"/>
        <v>2.1757086097960445</v>
      </c>
      <c r="AV268" s="5"/>
      <c r="AW268" s="173">
        <f t="shared" si="723"/>
        <v>0.23850198657138438</v>
      </c>
      <c r="AX268" s="173">
        <f t="shared" si="631"/>
        <v>8.751718407771051</v>
      </c>
      <c r="AY268" s="173">
        <f t="shared" si="632"/>
        <v>0.77727696869639507</v>
      </c>
      <c r="AZ268" s="173">
        <f t="shared" si="633"/>
        <v>11.259459317891457</v>
      </c>
      <c r="BA268" s="460">
        <f t="shared" si="724"/>
        <v>2.1606451745142841</v>
      </c>
      <c r="BB268" s="5">
        <f t="shared" si="725"/>
        <v>0.43010289521180756</v>
      </c>
      <c r="BD268" s="173">
        <f t="shared" si="681"/>
        <v>0.5756021314043771</v>
      </c>
      <c r="BE268" s="173">
        <f t="shared" si="682"/>
        <v>1.0285153563996452</v>
      </c>
      <c r="BG268" s="528">
        <f t="shared" si="683"/>
        <v>6.6263562735452367E-3</v>
      </c>
      <c r="BH268" s="528">
        <f t="shared" si="754"/>
        <v>0.70708963901489053</v>
      </c>
      <c r="BI268" s="528">
        <f t="shared" si="755"/>
        <v>0.31455917926924121</v>
      </c>
      <c r="BJ268" s="528">
        <f t="shared" si="684"/>
        <v>9.7499933142664363E-2</v>
      </c>
      <c r="BK268">
        <f t="shared" si="685"/>
        <v>1.6177329219560978E-2</v>
      </c>
      <c r="BL268" s="460">
        <f t="shared" si="686"/>
        <v>330.7365084888022</v>
      </c>
      <c r="BM268" s="528">
        <f t="shared" si="756"/>
        <v>0.81428707631628117</v>
      </c>
      <c r="BN268" s="460">
        <f t="shared" si="687"/>
        <v>814.28707631628117</v>
      </c>
      <c r="BO268" s="528">
        <f t="shared" si="637"/>
        <v>0.36399999999999999</v>
      </c>
      <c r="BR268" s="460">
        <f t="shared" si="688"/>
        <v>364</v>
      </c>
      <c r="BS268" s="528">
        <f t="shared" si="689"/>
        <v>9.9395344103178542E-3</v>
      </c>
      <c r="BT268" s="528">
        <f t="shared" si="690"/>
        <v>3.1735315150496671E-2</v>
      </c>
      <c r="BU268" s="528">
        <f t="shared" si="691"/>
        <v>0.6823114607735512</v>
      </c>
      <c r="BV268" s="528"/>
      <c r="BW268" s="528">
        <f t="shared" si="692"/>
        <v>7.293098673142543E-3</v>
      </c>
      <c r="BX268" s="460">
        <f t="shared" si="693"/>
        <v>731.27940900750832</v>
      </c>
      <c r="BY268" s="173">
        <f t="shared" si="694"/>
        <v>2.2372318459274112</v>
      </c>
      <c r="BZ268" s="5">
        <f t="shared" si="695"/>
        <v>8.5279999999999987</v>
      </c>
      <c r="CA268" s="173">
        <f t="shared" si="696"/>
        <v>0.79217987332304618</v>
      </c>
      <c r="CB268" s="5">
        <f t="shared" si="697"/>
        <v>79.217987332304617</v>
      </c>
      <c r="CE268" s="562">
        <f t="shared" si="757"/>
        <v>-50</v>
      </c>
      <c r="CF268">
        <f t="shared" si="758"/>
        <v>-50</v>
      </c>
      <c r="CG268" s="173">
        <f t="shared" si="759"/>
        <v>0.51608280674193574</v>
      </c>
      <c r="CI268" s="170">
        <v>52</v>
      </c>
      <c r="CJ268" s="217">
        <f t="shared" si="698"/>
        <v>0.52</v>
      </c>
      <c r="CK268" s="217"/>
      <c r="CL268" s="217">
        <f t="shared" si="641"/>
        <v>8.5279999999999987</v>
      </c>
      <c r="CM268" s="541">
        <f t="shared" si="642"/>
        <v>36</v>
      </c>
      <c r="CN268" s="443">
        <f t="shared" si="643"/>
        <v>16.799999999999997</v>
      </c>
      <c r="CO268" s="443">
        <f t="shared" si="644"/>
        <v>52.8</v>
      </c>
      <c r="CP268" s="443"/>
      <c r="CQ268" s="217">
        <f t="shared" si="645"/>
        <v>0.31818181818181812</v>
      </c>
      <c r="CR268" s="172">
        <f t="shared" si="646"/>
        <v>38.697272727272725</v>
      </c>
      <c r="CS268" s="172">
        <f t="shared" si="647"/>
        <v>8.5279999999999987</v>
      </c>
      <c r="CT268" s="217">
        <f t="shared" si="648"/>
        <v>2.3595898004434592</v>
      </c>
      <c r="CU268" s="217">
        <f t="shared" si="649"/>
        <v>16.399999999999999</v>
      </c>
      <c r="CV268" s="217"/>
      <c r="CW268" s="172">
        <f t="shared" si="650"/>
        <v>194.84298501960015</v>
      </c>
      <c r="CX268" s="172">
        <f t="shared" si="651"/>
        <v>16.399999999999999</v>
      </c>
      <c r="CY268" s="217">
        <f t="shared" si="652"/>
        <v>1.4890158730158729</v>
      </c>
      <c r="CZ268" s="217">
        <f t="shared" si="653"/>
        <v>0.49633862433862436</v>
      </c>
      <c r="DA268" s="217">
        <f t="shared" si="654"/>
        <v>1.0635827664399096</v>
      </c>
      <c r="DB268" s="197">
        <f t="shared" si="655"/>
        <v>350</v>
      </c>
      <c r="DC268" s="443">
        <f t="shared" si="656"/>
        <v>350</v>
      </c>
      <c r="DE268" s="217">
        <f t="shared" si="657"/>
        <v>2.7272727272727271</v>
      </c>
      <c r="DF268" s="173">
        <f t="shared" si="658"/>
        <v>1.9480519480519483</v>
      </c>
      <c r="DG268" s="173">
        <f t="shared" si="659"/>
        <v>0.92975206611570249</v>
      </c>
      <c r="DH268" s="173"/>
      <c r="DI268" s="173">
        <f t="shared" si="660"/>
        <v>0.95238095238095266</v>
      </c>
      <c r="DJ268" s="545">
        <f t="shared" si="661"/>
        <v>818.99999999999966</v>
      </c>
      <c r="DK268" s="528">
        <f t="shared" si="662"/>
        <v>0.22222222222222232</v>
      </c>
      <c r="DM268" s="173">
        <f t="shared" si="663"/>
        <v>2.0396078054371136</v>
      </c>
      <c r="DN268" s="173">
        <f t="shared" si="664"/>
        <v>2.0396078054371136</v>
      </c>
      <c r="DO268" s="173">
        <f t="shared" si="665"/>
        <v>1.7231662756324297</v>
      </c>
      <c r="DQ268" s="545">
        <f t="shared" si="666"/>
        <v>520</v>
      </c>
      <c r="DR268" s="460">
        <f t="shared" si="667"/>
        <v>350</v>
      </c>
      <c r="DT268">
        <f t="shared" si="668"/>
        <v>520</v>
      </c>
      <c r="DU268">
        <f t="shared" si="669"/>
        <v>350</v>
      </c>
      <c r="DW268" s="5">
        <f t="shared" si="670"/>
        <v>2.8571428571428572</v>
      </c>
      <c r="DX268" s="5">
        <f t="shared" si="671"/>
        <v>0.67986926847903795</v>
      </c>
      <c r="DY268" s="5">
        <f t="shared" si="672"/>
        <v>2.1772735886638195</v>
      </c>
      <c r="DZ268" s="5"/>
      <c r="EA268" s="173">
        <f t="shared" si="673"/>
        <v>0.23795424396766326</v>
      </c>
      <c r="EB268" s="173">
        <f t="shared" si="699"/>
        <v>8.7359999999999971</v>
      </c>
      <c r="EC268" s="173">
        <f t="shared" si="700"/>
        <v>0.77713723605189022</v>
      </c>
      <c r="ED268" s="173">
        <f t="shared" si="701"/>
        <v>11.241257778847038</v>
      </c>
      <c r="EE268" s="460">
        <f t="shared" si="674"/>
        <v>2.1556830463969501</v>
      </c>
      <c r="EF268" s="5">
        <f t="shared" si="675"/>
        <v>0.42980993435474646</v>
      </c>
      <c r="EH268" s="173">
        <f t="shared" si="702"/>
        <v>0.57442424940267478</v>
      </c>
      <c r="EI268" s="173">
        <f t="shared" si="703"/>
        <v>1.0279608204425108</v>
      </c>
      <c r="EK268" s="528">
        <f t="shared" si="704"/>
        <v>6.5992643660365271E-3</v>
      </c>
      <c r="EL268" s="528">
        <f t="shared" si="705"/>
        <v>0.75383904488955711</v>
      </c>
      <c r="EM268" s="528">
        <f t="shared" si="706"/>
        <v>4.3749999999999997E-2</v>
      </c>
      <c r="EN268" s="528">
        <f t="shared" si="707"/>
        <v>9.7574399999999992E-2</v>
      </c>
      <c r="EO268">
        <f t="shared" si="708"/>
        <v>1.6199999999999999E-2</v>
      </c>
      <c r="EP268" s="460">
        <f t="shared" si="709"/>
        <v>59.949999999999996</v>
      </c>
      <c r="EQ268" s="460"/>
      <c r="ER268" s="460">
        <f t="shared" si="710"/>
        <v>917.9627092555935</v>
      </c>
      <c r="ES268" s="528">
        <f t="shared" si="711"/>
        <v>0.36399999999999999</v>
      </c>
      <c r="EV268" s="460">
        <f t="shared" si="712"/>
        <v>364</v>
      </c>
      <c r="EW268" s="528">
        <f t="shared" si="713"/>
        <v>9.8988965490547903E-3</v>
      </c>
      <c r="EX268" s="528">
        <f t="shared" si="714"/>
        <v>3.1701103450945192E-2</v>
      </c>
      <c r="EY268" s="528">
        <f t="shared" si="715"/>
        <v>0.68077998426692088</v>
      </c>
      <c r="EZ268" s="528"/>
      <c r="FA268" s="528">
        <f t="shared" si="716"/>
        <v>7.2799999999999974E-3</v>
      </c>
      <c r="FB268" s="460">
        <f t="shared" si="717"/>
        <v>729.65998426692079</v>
      </c>
      <c r="FC268" s="173">
        <f t="shared" si="718"/>
        <v>2.0116226935225145</v>
      </c>
      <c r="FD268" s="5">
        <f t="shared" si="719"/>
        <v>8.5279999999999987</v>
      </c>
      <c r="FE268" s="173">
        <f t="shared" si="720"/>
        <v>0.80913712454252973</v>
      </c>
      <c r="FF268" s="5">
        <f t="shared" si="721"/>
        <v>80.913712454252973</v>
      </c>
      <c r="FI268" s="562">
        <f t="shared" si="676"/>
        <v>-50</v>
      </c>
      <c r="FJ268">
        <f t="shared" si="677"/>
        <v>-50</v>
      </c>
      <c r="FL268">
        <f t="shared" si="760"/>
        <v>0.50990195135927852</v>
      </c>
    </row>
    <row r="269" spans="5:168">
      <c r="E269" s="170">
        <v>53</v>
      </c>
      <c r="F269" s="217">
        <f t="shared" si="761"/>
        <v>0.53</v>
      </c>
      <c r="G269" s="217"/>
      <c r="H269" s="217">
        <f t="shared" si="726"/>
        <v>8.6920000000000002</v>
      </c>
      <c r="I269" s="541">
        <f t="shared" si="727"/>
        <v>35.949138376334368</v>
      </c>
      <c r="J269" s="172">
        <f t="shared" si="728"/>
        <v>16.83051697419938</v>
      </c>
      <c r="K269" s="172">
        <f t="shared" si="729"/>
        <v>52.779655350533744</v>
      </c>
      <c r="L269" s="443"/>
      <c r="M269" s="217">
        <f t="shared" si="730"/>
        <v>0.31888743526281771</v>
      </c>
      <c r="N269" s="172">
        <f t="shared" si="731"/>
        <v>38.72829623994452</v>
      </c>
      <c r="O269" s="172">
        <f t="shared" si="762"/>
        <v>8.6920000000000002</v>
      </c>
      <c r="P269" s="217">
        <f t="shared" si="732"/>
        <v>2.3614814780453979</v>
      </c>
      <c r="Q269" s="217">
        <f t="shared" si="733"/>
        <v>16.399999999999999</v>
      </c>
      <c r="R269" s="217"/>
      <c r="S269" s="172">
        <f t="shared" si="734"/>
        <v>190.2215071775023</v>
      </c>
      <c r="T269" s="172">
        <f t="shared" si="735"/>
        <v>16.399999999999999</v>
      </c>
      <c r="U269" s="217">
        <f t="shared" si="736"/>
        <v>1.5562772658716366</v>
      </c>
      <c r="V269" s="217">
        <f t="shared" si="737"/>
        <v>0.51949304027697552</v>
      </c>
      <c r="W269" s="217">
        <f t="shared" si="738"/>
        <v>1.10961102496663</v>
      </c>
      <c r="X269" s="197">
        <f t="shared" si="739"/>
        <v>350</v>
      </c>
      <c r="Y269" s="443">
        <f t="shared" si="680"/>
        <v>350</v>
      </c>
      <c r="AA269" s="217">
        <f t="shared" si="740"/>
        <v>2.7294183157378962</v>
      </c>
      <c r="AB269" s="173">
        <f t="shared" si="741"/>
        <v>1.9460495384107357</v>
      </c>
      <c r="AC269" s="173">
        <f t="shared" si="742"/>
        <v>0.9295270693575195</v>
      </c>
      <c r="AD269" s="173"/>
      <c r="AE269" s="173">
        <f t="shared" si="743"/>
        <v>0.95065410198198119</v>
      </c>
      <c r="AF269" s="545">
        <f t="shared" si="744"/>
        <v>836.26631215553152</v>
      </c>
      <c r="AG269" s="528">
        <f t="shared" si="745"/>
        <v>0.22181929046246229</v>
      </c>
      <c r="AI269" s="173">
        <f t="shared" si="746"/>
        <v>2.0609953670525862</v>
      </c>
      <c r="AJ269" s="173">
        <f t="shared" si="747"/>
        <v>2.0609953670525862</v>
      </c>
      <c r="AK269" s="173">
        <f t="shared" si="748"/>
        <v>1.7390089138661131</v>
      </c>
      <c r="AM269" s="545">
        <f t="shared" si="749"/>
        <v>530</v>
      </c>
      <c r="AN269" s="460">
        <f t="shared" si="750"/>
        <v>350</v>
      </c>
      <c r="AP269">
        <f t="shared" si="751"/>
        <v>530</v>
      </c>
      <c r="AQ269">
        <f t="shared" si="752"/>
        <v>350</v>
      </c>
      <c r="AS269" s="5">
        <f t="shared" si="763"/>
        <v>2.8571428571428572</v>
      </c>
      <c r="AT269" s="5">
        <f t="shared" si="753"/>
        <v>0.68797043605674546</v>
      </c>
      <c r="AU269" s="5">
        <f t="shared" si="722"/>
        <v>2.1691724210861119</v>
      </c>
      <c r="AV269" s="5"/>
      <c r="AW269" s="173">
        <f t="shared" si="723"/>
        <v>0.24078965261986091</v>
      </c>
      <c r="AX269" s="173">
        <f t="shared" si="631"/>
        <v>8.920173996325671</v>
      </c>
      <c r="AY269" s="173">
        <f t="shared" si="632"/>
        <v>0.78236450428442561</v>
      </c>
      <c r="AZ269" s="173">
        <f t="shared" si="633"/>
        <v>11.401557646693512</v>
      </c>
      <c r="BA269" s="460">
        <f t="shared" si="724"/>
        <v>2.2233190921346049</v>
      </c>
      <c r="BB269" s="5">
        <f t="shared" si="725"/>
        <v>0.43706301772572598</v>
      </c>
      <c r="BD269" s="173">
        <f t="shared" si="681"/>
        <v>0.58389572860772432</v>
      </c>
      <c r="BE269" s="173">
        <f t="shared" si="682"/>
        <v>1.0368058701854765</v>
      </c>
      <c r="BG269" s="528">
        <f t="shared" si="683"/>
        <v>6.8186844377269053E-3</v>
      </c>
      <c r="BH269" s="528">
        <f t="shared" si="754"/>
        <v>0.71385972756053984</v>
      </c>
      <c r="BI269" s="528">
        <f t="shared" si="755"/>
        <v>0.31455496079292566</v>
      </c>
      <c r="BJ269" s="528">
        <f t="shared" si="684"/>
        <v>9.74992206622394E-2</v>
      </c>
      <c r="BK269">
        <f t="shared" si="685"/>
        <v>1.6177112269350466E-2</v>
      </c>
      <c r="BL269" s="460">
        <f t="shared" si="686"/>
        <v>330.73207306227613</v>
      </c>
      <c r="BM269" s="528">
        <f t="shared" si="756"/>
        <v>0.82134936151185678</v>
      </c>
      <c r="BN269" s="460">
        <f t="shared" si="687"/>
        <v>821.34936151185673</v>
      </c>
      <c r="BO269" s="528">
        <f t="shared" si="637"/>
        <v>0.371</v>
      </c>
      <c r="BR269" s="460">
        <f t="shared" si="688"/>
        <v>371</v>
      </c>
      <c r="BS269" s="528">
        <f t="shared" si="689"/>
        <v>1.0228026656590358E-2</v>
      </c>
      <c r="BT269" s="528">
        <f t="shared" si="690"/>
        <v>3.2248992373531897E-2</v>
      </c>
      <c r="BU269" s="528">
        <f t="shared" si="691"/>
        <v>0.69876742996787888</v>
      </c>
      <c r="BV269" s="528"/>
      <c r="BW269" s="528">
        <f t="shared" si="692"/>
        <v>7.433478330271393E-3</v>
      </c>
      <c r="BX269" s="460">
        <f t="shared" si="693"/>
        <v>748.67792732827252</v>
      </c>
      <c r="BY269" s="173">
        <f t="shared" si="694"/>
        <v>2.2685876330510544</v>
      </c>
      <c r="BZ269" s="5">
        <f t="shared" si="695"/>
        <v>8.6920000000000002</v>
      </c>
      <c r="CA269" s="173">
        <f t="shared" si="696"/>
        <v>0.79302317457777061</v>
      </c>
      <c r="CB269" s="5">
        <f t="shared" si="697"/>
        <v>79.302317457777065</v>
      </c>
      <c r="CE269" s="562">
        <f t="shared" si="757"/>
        <v>-50</v>
      </c>
      <c r="CF269">
        <f t="shared" si="758"/>
        <v>-50</v>
      </c>
      <c r="CG269" s="173">
        <f t="shared" si="759"/>
        <v>0.52102151072114711</v>
      </c>
      <c r="CI269" s="170">
        <v>53</v>
      </c>
      <c r="CJ269" s="217">
        <f t="shared" si="698"/>
        <v>0.53</v>
      </c>
      <c r="CK269" s="217"/>
      <c r="CL269" s="217">
        <f t="shared" si="641"/>
        <v>8.6920000000000002</v>
      </c>
      <c r="CM269" s="541">
        <f t="shared" si="642"/>
        <v>36</v>
      </c>
      <c r="CN269" s="443">
        <f t="shared" si="643"/>
        <v>16.799999999999997</v>
      </c>
      <c r="CO269" s="443">
        <f t="shared" si="644"/>
        <v>52.8</v>
      </c>
      <c r="CP269" s="443"/>
      <c r="CQ269" s="217">
        <f t="shared" si="645"/>
        <v>0.31818181818181812</v>
      </c>
      <c r="CR269" s="172">
        <f t="shared" si="646"/>
        <v>38.697272727272725</v>
      </c>
      <c r="CS269" s="172">
        <f t="shared" si="647"/>
        <v>8.6920000000000002</v>
      </c>
      <c r="CT269" s="217">
        <f t="shared" si="648"/>
        <v>2.3595898004434592</v>
      </c>
      <c r="CU269" s="217">
        <f t="shared" si="649"/>
        <v>16.399999999999999</v>
      </c>
      <c r="CV269" s="217"/>
      <c r="CW269" s="172">
        <f t="shared" si="650"/>
        <v>190.49053024512045</v>
      </c>
      <c r="CX269" s="172">
        <f t="shared" si="651"/>
        <v>16.399999999999999</v>
      </c>
      <c r="CY269" s="217">
        <f t="shared" si="652"/>
        <v>1.5176507936507939</v>
      </c>
      <c r="CZ269" s="217">
        <f t="shared" si="653"/>
        <v>0.50588359788359794</v>
      </c>
      <c r="DA269" s="217">
        <f t="shared" si="654"/>
        <v>1.0840362811791386</v>
      </c>
      <c r="DB269" s="197">
        <f t="shared" si="655"/>
        <v>350</v>
      </c>
      <c r="DC269" s="443">
        <f t="shared" si="656"/>
        <v>350</v>
      </c>
      <c r="DE269" s="217">
        <f t="shared" si="657"/>
        <v>2.7272727272727271</v>
      </c>
      <c r="DF269" s="173">
        <f t="shared" si="658"/>
        <v>1.9480519480519483</v>
      </c>
      <c r="DG269" s="173">
        <f t="shared" si="659"/>
        <v>0.92975206611570249</v>
      </c>
      <c r="DH269" s="173"/>
      <c r="DI269" s="173">
        <f t="shared" si="660"/>
        <v>0.95238095238095266</v>
      </c>
      <c r="DJ269" s="545">
        <f t="shared" si="661"/>
        <v>834.74999999999966</v>
      </c>
      <c r="DK269" s="528">
        <f t="shared" si="662"/>
        <v>0.22222222222222232</v>
      </c>
      <c r="DM269" s="173">
        <f t="shared" si="663"/>
        <v>2.0591260281974</v>
      </c>
      <c r="DN269" s="173">
        <f t="shared" si="664"/>
        <v>2.0591260281974</v>
      </c>
      <c r="DO269" s="173">
        <f t="shared" si="665"/>
        <v>1.737624218417827</v>
      </c>
      <c r="DQ269" s="545">
        <f t="shared" si="666"/>
        <v>530</v>
      </c>
      <c r="DR269" s="460">
        <f t="shared" si="667"/>
        <v>350</v>
      </c>
      <c r="DT269">
        <f t="shared" si="668"/>
        <v>530</v>
      </c>
      <c r="DU269">
        <f t="shared" si="669"/>
        <v>350</v>
      </c>
      <c r="DW269" s="5">
        <f t="shared" si="670"/>
        <v>2.8571428571428572</v>
      </c>
      <c r="DX269" s="5">
        <f t="shared" si="671"/>
        <v>0.6863753427324667</v>
      </c>
      <c r="DY269" s="5">
        <f t="shared" si="672"/>
        <v>2.1707675144103904</v>
      </c>
      <c r="DZ269" s="5"/>
      <c r="EA269" s="173">
        <f t="shared" si="673"/>
        <v>0.24023136995636335</v>
      </c>
      <c r="EB269" s="173">
        <f t="shared" si="699"/>
        <v>8.9039999999999981</v>
      </c>
      <c r="EC269" s="173">
        <f t="shared" si="700"/>
        <v>0.78222968076536659</v>
      </c>
      <c r="ED269" s="173">
        <f t="shared" si="701"/>
        <v>11.382846009228324</v>
      </c>
      <c r="EE269" s="460">
        <f t="shared" si="674"/>
        <v>2.2181642173671188</v>
      </c>
      <c r="EF269" s="5">
        <f t="shared" si="675"/>
        <v>0.43676646377905354</v>
      </c>
      <c r="EH269" s="173">
        <f t="shared" si="702"/>
        <v>0.58268945663334271</v>
      </c>
      <c r="EI269" s="173">
        <f t="shared" si="703"/>
        <v>1.0362462692148391</v>
      </c>
      <c r="EK269" s="528">
        <f t="shared" si="704"/>
        <v>6.7905400574332034E-3</v>
      </c>
      <c r="EL269" s="528">
        <f t="shared" si="705"/>
        <v>0.76105298002175903</v>
      </c>
      <c r="EM269" s="528">
        <f t="shared" si="706"/>
        <v>4.3749999999999997E-2</v>
      </c>
      <c r="EN269" s="528">
        <f t="shared" si="707"/>
        <v>9.7574399999999992E-2</v>
      </c>
      <c r="EO269">
        <f t="shared" si="708"/>
        <v>1.6199999999999999E-2</v>
      </c>
      <c r="EP269" s="460">
        <f t="shared" si="709"/>
        <v>59.949999999999996</v>
      </c>
      <c r="EQ269" s="460"/>
      <c r="ER269" s="460">
        <f t="shared" si="710"/>
        <v>925.36792007919212</v>
      </c>
      <c r="ES269" s="528">
        <f t="shared" si="711"/>
        <v>0.371</v>
      </c>
      <c r="EV269" s="460">
        <f t="shared" si="712"/>
        <v>371</v>
      </c>
      <c r="EW269" s="528">
        <f t="shared" si="713"/>
        <v>1.0185810086149804E-2</v>
      </c>
      <c r="EX269" s="528">
        <f t="shared" si="714"/>
        <v>3.221418991385018E-2</v>
      </c>
      <c r="EY269" s="528">
        <f t="shared" si="715"/>
        <v>0.69718403889131497</v>
      </c>
      <c r="EZ269" s="528"/>
      <c r="FA269" s="528">
        <f t="shared" si="716"/>
        <v>7.4199999999999995E-3</v>
      </c>
      <c r="FB269" s="460">
        <f t="shared" si="717"/>
        <v>747.00403889131496</v>
      </c>
      <c r="FC269" s="173">
        <f t="shared" si="718"/>
        <v>2.0433719589705071</v>
      </c>
      <c r="FD269" s="5">
        <f t="shared" si="719"/>
        <v>8.6920000000000002</v>
      </c>
      <c r="FE269" s="173">
        <f t="shared" si="720"/>
        <v>0.80965988260303734</v>
      </c>
      <c r="FF269" s="5">
        <f t="shared" si="721"/>
        <v>80.965988260303732</v>
      </c>
      <c r="FI269" s="562">
        <f t="shared" si="676"/>
        <v>-50</v>
      </c>
      <c r="FJ269">
        <f t="shared" si="677"/>
        <v>-50</v>
      </c>
      <c r="FL269">
        <f t="shared" si="760"/>
        <v>0.51478150704935011</v>
      </c>
    </row>
    <row r="270" spans="5:168">
      <c r="E270" s="170">
        <v>54</v>
      </c>
      <c r="F270" s="217">
        <f t="shared" si="761"/>
        <v>0.54</v>
      </c>
      <c r="G270" s="217"/>
      <c r="H270" s="217">
        <f t="shared" si="726"/>
        <v>8.8559999999999999</v>
      </c>
      <c r="I270" s="541">
        <f t="shared" si="727"/>
        <v>35.948660791925526</v>
      </c>
      <c r="J270" s="172">
        <f t="shared" si="728"/>
        <v>16.830803524844683</v>
      </c>
      <c r="K270" s="172">
        <f t="shared" si="729"/>
        <v>52.779464316770209</v>
      </c>
      <c r="L270" s="443"/>
      <c r="M270" s="217">
        <f t="shared" si="730"/>
        <v>0.31889406345172633</v>
      </c>
      <c r="N270" s="172">
        <f t="shared" si="731"/>
        <v>38.728586705150938</v>
      </c>
      <c r="O270" s="172">
        <f t="shared" si="762"/>
        <v>8.8559999999999999</v>
      </c>
      <c r="P270" s="217">
        <f t="shared" si="732"/>
        <v>2.3614991893384722</v>
      </c>
      <c r="Q270" s="217">
        <f t="shared" si="733"/>
        <v>16.399999999999999</v>
      </c>
      <c r="R270" s="217"/>
      <c r="S270" s="172">
        <f t="shared" si="734"/>
        <v>186.03378180906498</v>
      </c>
      <c r="T270" s="172">
        <f t="shared" si="735"/>
        <v>16.399999999999999</v>
      </c>
      <c r="U270" s="217">
        <f t="shared" si="736"/>
        <v>1.5856564185495903</v>
      </c>
      <c r="V270" s="217">
        <f t="shared" si="737"/>
        <v>0.52930697843600771</v>
      </c>
      <c r="W270" s="217">
        <f t="shared" si="738"/>
        <v>1.1305388358022959</v>
      </c>
      <c r="X270" s="197">
        <f t="shared" si="739"/>
        <v>350</v>
      </c>
      <c r="Y270" s="443">
        <f t="shared" si="680"/>
        <v>350</v>
      </c>
      <c r="AA270" s="217">
        <f t="shared" si="740"/>
        <v>2.7294384040247075</v>
      </c>
      <c r="AB270" s="173">
        <f t="shared" si="741"/>
        <v>1.9460307287140495</v>
      </c>
      <c r="AC270" s="173">
        <f t="shared" si="742"/>
        <v>0.92952492611375492</v>
      </c>
      <c r="AD270" s="173"/>
      <c r="AE270" s="173">
        <f t="shared" si="743"/>
        <v>0.95063791674483666</v>
      </c>
      <c r="AF270" s="545">
        <f t="shared" si="744"/>
        <v>852.05942844526191</v>
      </c>
      <c r="AG270" s="528">
        <f t="shared" si="745"/>
        <v>0.22181551390712856</v>
      </c>
      <c r="AI270" s="173">
        <f t="shared" si="746"/>
        <v>2.0803655703718595</v>
      </c>
      <c r="AJ270" s="173">
        <f t="shared" si="747"/>
        <v>2.0803655703718595</v>
      </c>
      <c r="AK270" s="173">
        <f t="shared" si="748"/>
        <v>1.7533572126211303</v>
      </c>
      <c r="AM270" s="545">
        <f t="shared" si="749"/>
        <v>540</v>
      </c>
      <c r="AN270" s="460">
        <f t="shared" si="750"/>
        <v>350</v>
      </c>
      <c r="AP270">
        <f t="shared" si="751"/>
        <v>540</v>
      </c>
      <c r="AQ270">
        <f t="shared" si="752"/>
        <v>350</v>
      </c>
      <c r="AS270" s="5">
        <f t="shared" si="763"/>
        <v>2.8571428571428572</v>
      </c>
      <c r="AT270" s="5">
        <f t="shared" si="753"/>
        <v>0.6944455313358876</v>
      </c>
      <c r="AU270" s="5">
        <f t="shared" si="722"/>
        <v>2.1626973258069695</v>
      </c>
      <c r="AV270" s="5"/>
      <c r="AW270" s="173">
        <f t="shared" si="723"/>
        <v>0.24305593596756064</v>
      </c>
      <c r="AX270" s="173">
        <f t="shared" si="631"/>
        <v>9.0886339034161292</v>
      </c>
      <c r="AY270" s="173">
        <f t="shared" si="632"/>
        <v>0.78736018475521963</v>
      </c>
      <c r="AZ270" s="173">
        <f t="shared" si="633"/>
        <v>11.543171828331237</v>
      </c>
      <c r="BA270" s="460">
        <f t="shared" si="724"/>
        <v>2.2865889446425571</v>
      </c>
      <c r="BB270" s="5">
        <f t="shared" si="725"/>
        <v>0.44398611555622636</v>
      </c>
      <c r="BD270" s="173">
        <f t="shared" si="681"/>
        <v>0.59215056269383115</v>
      </c>
      <c r="BE270" s="173">
        <f t="shared" si="682"/>
        <v>1.0449870875905229</v>
      </c>
      <c r="BG270" s="528">
        <f t="shared" si="683"/>
        <v>7.0128457779724176E-3</v>
      </c>
      <c r="BH270" s="528">
        <f t="shared" si="754"/>
        <v>0.72056630879151762</v>
      </c>
      <c r="BI270" s="528">
        <f t="shared" si="755"/>
        <v>0.31455078192934832</v>
      </c>
      <c r="BJ270" s="528">
        <f t="shared" si="684"/>
        <v>9.7498514874782699E-2</v>
      </c>
      <c r="BK270">
        <f t="shared" si="685"/>
        <v>1.6176897356366488E-2</v>
      </c>
      <c r="BL270" s="460">
        <f t="shared" si="686"/>
        <v>330.72767928571477</v>
      </c>
      <c r="BM270" s="528">
        <f t="shared" si="756"/>
        <v>0.82835138007800679</v>
      </c>
      <c r="BN270" s="460">
        <f t="shared" si="687"/>
        <v>828.35138007800674</v>
      </c>
      <c r="BO270" s="528">
        <f t="shared" si="637"/>
        <v>0.378</v>
      </c>
      <c r="BR270" s="460">
        <f t="shared" si="688"/>
        <v>378</v>
      </c>
      <c r="BS270" s="528">
        <f t="shared" si="689"/>
        <v>1.0519268666958626E-2</v>
      </c>
      <c r="BT270" s="528">
        <f t="shared" si="690"/>
        <v>3.27599403969277E-2</v>
      </c>
      <c r="BU270" s="528">
        <f t="shared" si="691"/>
        <v>0.71530170363180912</v>
      </c>
      <c r="BV270" s="528"/>
      <c r="BW270" s="528">
        <f t="shared" si="692"/>
        <v>7.5738615861801074E-3</v>
      </c>
      <c r="BX270" s="460">
        <f t="shared" si="693"/>
        <v>766.15477428187558</v>
      </c>
      <c r="BY270" s="173">
        <f t="shared" si="694"/>
        <v>2.2999601230118629</v>
      </c>
      <c r="BZ270" s="5">
        <f t="shared" si="695"/>
        <v>8.8559999999999999</v>
      </c>
      <c r="CA270" s="173">
        <f t="shared" si="696"/>
        <v>0.79383575257967809</v>
      </c>
      <c r="CB270" s="5">
        <f t="shared" si="697"/>
        <v>79.383575257967806</v>
      </c>
      <c r="CE270" s="562">
        <f t="shared" si="757"/>
        <v>-50</v>
      </c>
      <c r="CF270">
        <f t="shared" si="758"/>
        <v>-50</v>
      </c>
      <c r="CG270" s="173">
        <f t="shared" si="759"/>
        <v>0.52591383881169984</v>
      </c>
      <c r="CI270" s="170">
        <v>54</v>
      </c>
      <c r="CJ270" s="217">
        <f t="shared" si="698"/>
        <v>0.54</v>
      </c>
      <c r="CK270" s="217"/>
      <c r="CL270" s="217">
        <f t="shared" si="641"/>
        <v>8.8559999999999999</v>
      </c>
      <c r="CM270" s="541">
        <f t="shared" si="642"/>
        <v>36</v>
      </c>
      <c r="CN270" s="443">
        <f t="shared" si="643"/>
        <v>16.799999999999997</v>
      </c>
      <c r="CO270" s="443">
        <f t="shared" si="644"/>
        <v>52.8</v>
      </c>
      <c r="CP270" s="443"/>
      <c r="CQ270" s="217">
        <f t="shared" si="645"/>
        <v>0.31818181818181812</v>
      </c>
      <c r="CR270" s="172">
        <f t="shared" si="646"/>
        <v>38.697272727272725</v>
      </c>
      <c r="CS270" s="172">
        <f t="shared" si="647"/>
        <v>8.8559999999999999</v>
      </c>
      <c r="CT270" s="217">
        <f t="shared" si="648"/>
        <v>2.3595898004434592</v>
      </c>
      <c r="CU270" s="217">
        <f t="shared" si="649"/>
        <v>16.399999999999999</v>
      </c>
      <c r="CV270" s="217"/>
      <c r="CW270" s="172">
        <f t="shared" si="650"/>
        <v>186.29935157419149</v>
      </c>
      <c r="CX270" s="172">
        <f t="shared" si="651"/>
        <v>16.399999999999999</v>
      </c>
      <c r="CY270" s="217">
        <f t="shared" si="652"/>
        <v>1.5462857142857145</v>
      </c>
      <c r="CZ270" s="217">
        <f t="shared" si="653"/>
        <v>0.51542857142857157</v>
      </c>
      <c r="DA270" s="217">
        <f t="shared" si="654"/>
        <v>1.1044897959183677</v>
      </c>
      <c r="DB270" s="197">
        <f t="shared" si="655"/>
        <v>350</v>
      </c>
      <c r="DC270" s="443">
        <f t="shared" si="656"/>
        <v>350</v>
      </c>
      <c r="DE270" s="217">
        <f t="shared" si="657"/>
        <v>2.7272727272727271</v>
      </c>
      <c r="DF270" s="173">
        <f t="shared" si="658"/>
        <v>1.9480519480519483</v>
      </c>
      <c r="DG270" s="173">
        <f t="shared" si="659"/>
        <v>0.92975206611570249</v>
      </c>
      <c r="DH270" s="173"/>
      <c r="DI270" s="173">
        <f t="shared" si="660"/>
        <v>0.95238095238095266</v>
      </c>
      <c r="DJ270" s="545">
        <f t="shared" si="661"/>
        <v>850.49999999999966</v>
      </c>
      <c r="DK270" s="528">
        <f t="shared" si="662"/>
        <v>0.22222222222222232</v>
      </c>
      <c r="DM270" s="173">
        <f t="shared" si="663"/>
        <v>2.0784609690826525</v>
      </c>
      <c r="DN270" s="173">
        <f t="shared" si="664"/>
        <v>2.0784609690826525</v>
      </c>
      <c r="DO270" s="173">
        <f t="shared" si="665"/>
        <v>1.7519463968513473</v>
      </c>
      <c r="DQ270" s="545">
        <f t="shared" si="666"/>
        <v>540</v>
      </c>
      <c r="DR270" s="460">
        <f t="shared" si="667"/>
        <v>350</v>
      </c>
      <c r="DT270">
        <f t="shared" si="668"/>
        <v>540</v>
      </c>
      <c r="DU270">
        <f t="shared" si="669"/>
        <v>350</v>
      </c>
      <c r="DW270" s="5">
        <f t="shared" si="670"/>
        <v>2.8571428571428572</v>
      </c>
      <c r="DX270" s="5">
        <f t="shared" si="671"/>
        <v>0.69282032302755081</v>
      </c>
      <c r="DY270" s="5">
        <f t="shared" si="672"/>
        <v>2.1643225341153065</v>
      </c>
      <c r="DZ270" s="5"/>
      <c r="EA270" s="173">
        <f t="shared" si="673"/>
        <v>0.24248711305964277</v>
      </c>
      <c r="EB270" s="173">
        <f t="shared" si="699"/>
        <v>9.0719999999999992</v>
      </c>
      <c r="EC270" s="173">
        <f t="shared" si="700"/>
        <v>0.78723048454132638</v>
      </c>
      <c r="ED270" s="173">
        <f t="shared" si="701"/>
        <v>11.523943975931939</v>
      </c>
      <c r="EE270" s="460">
        <f t="shared" si="674"/>
        <v>2.2812376489931561</v>
      </c>
      <c r="EF270" s="5">
        <f t="shared" si="675"/>
        <v>0.44368611949363779</v>
      </c>
      <c r="EH270" s="173">
        <f t="shared" si="702"/>
        <v>0.59091576625259001</v>
      </c>
      <c r="EI270" s="173">
        <f t="shared" si="703"/>
        <v>1.0444225951185249</v>
      </c>
      <c r="EK270" s="528">
        <f t="shared" si="704"/>
        <v>6.9836288561177119E-3</v>
      </c>
      <c r="EL270" s="528">
        <f t="shared" si="705"/>
        <v>0.76819917417294847</v>
      </c>
      <c r="EM270" s="528">
        <f t="shared" si="706"/>
        <v>4.3749999999999997E-2</v>
      </c>
      <c r="EN270" s="528">
        <f t="shared" si="707"/>
        <v>9.7574399999999992E-2</v>
      </c>
      <c r="EO270">
        <f t="shared" si="708"/>
        <v>1.6199999999999999E-2</v>
      </c>
      <c r="EP270" s="460">
        <f t="shared" si="709"/>
        <v>59.949999999999996</v>
      </c>
      <c r="EQ270" s="460"/>
      <c r="ER270" s="460">
        <f t="shared" si="710"/>
        <v>932.70720302906602</v>
      </c>
      <c r="ES270" s="528">
        <f t="shared" si="711"/>
        <v>0.378</v>
      </c>
      <c r="EV270" s="460">
        <f t="shared" si="712"/>
        <v>378</v>
      </c>
      <c r="EW270" s="528">
        <f t="shared" si="713"/>
        <v>1.0475443284176567E-2</v>
      </c>
      <c r="EX270" s="528">
        <f t="shared" si="714"/>
        <v>3.2724556715823416E-2</v>
      </c>
      <c r="EY270" s="528">
        <f t="shared" si="715"/>
        <v>0.71366565795019454</v>
      </c>
      <c r="EZ270" s="528"/>
      <c r="FA270" s="528">
        <f t="shared" si="716"/>
        <v>7.5599999999999999E-3</v>
      </c>
      <c r="FB270" s="460">
        <f t="shared" si="717"/>
        <v>764.42565795019459</v>
      </c>
      <c r="FC270" s="173">
        <f t="shared" si="718"/>
        <v>2.0751328609792603</v>
      </c>
      <c r="FD270" s="5">
        <f t="shared" si="719"/>
        <v>8.8559999999999999</v>
      </c>
      <c r="FE270" s="173">
        <f t="shared" si="720"/>
        <v>0.81016305561641844</v>
      </c>
      <c r="FF270" s="5">
        <f t="shared" si="721"/>
        <v>81.016305561641843</v>
      </c>
      <c r="FI270" s="562">
        <f t="shared" si="676"/>
        <v>-50</v>
      </c>
      <c r="FJ270">
        <f t="shared" si="677"/>
        <v>-50</v>
      </c>
      <c r="FL270">
        <f t="shared" si="760"/>
        <v>0.51961524227066325</v>
      </c>
    </row>
    <row r="271" spans="5:168">
      <c r="E271" s="170">
        <v>55</v>
      </c>
      <c r="F271" s="217">
        <f t="shared" si="761"/>
        <v>0.55000000000000004</v>
      </c>
      <c r="G271" s="217"/>
      <c r="H271" s="217">
        <f t="shared" si="726"/>
        <v>9.02</v>
      </c>
      <c r="I271" s="541">
        <f t="shared" si="727"/>
        <v>35.948187609498078</v>
      </c>
      <c r="J271" s="172">
        <f t="shared" si="728"/>
        <v>16.83108743430115</v>
      </c>
      <c r="K271" s="172">
        <f t="shared" si="729"/>
        <v>52.779275043799231</v>
      </c>
      <c r="L271" s="443"/>
      <c r="M271" s="217">
        <f t="shared" si="730"/>
        <v>0.31890063059388496</v>
      </c>
      <c r="N271" s="172">
        <f t="shared" si="731"/>
        <v>38.728874477635991</v>
      </c>
      <c r="O271" s="172">
        <f t="shared" si="762"/>
        <v>9.02</v>
      </c>
      <c r="P271" s="217">
        <f t="shared" si="732"/>
        <v>2.3615167364412191</v>
      </c>
      <c r="Q271" s="217">
        <f t="shared" si="733"/>
        <v>16.399999999999999</v>
      </c>
      <c r="R271" s="217"/>
      <c r="S271" s="172">
        <f t="shared" si="734"/>
        <v>181.99845049889134</v>
      </c>
      <c r="T271" s="172">
        <f t="shared" si="735"/>
        <v>16.399999999999999</v>
      </c>
      <c r="U271" s="217">
        <f t="shared" si="736"/>
        <v>1.6150359982848694</v>
      </c>
      <c r="V271" s="217">
        <f t="shared" si="737"/>
        <v>0.53912125389870325</v>
      </c>
      <c r="W271" s="217">
        <f t="shared" si="738"/>
        <v>1.1514664192119763</v>
      </c>
      <c r="X271" s="197">
        <f t="shared" si="739"/>
        <v>350</v>
      </c>
      <c r="Y271" s="443">
        <f t="shared" si="680"/>
        <v>350</v>
      </c>
      <c r="AA271" s="217">
        <f t="shared" si="740"/>
        <v>2.7294583060798785</v>
      </c>
      <c r="AB271" s="173">
        <f t="shared" si="741"/>
        <v>1.9460120922554349</v>
      </c>
      <c r="AC271" s="173">
        <f t="shared" si="742"/>
        <v>0.92952280206423399</v>
      </c>
      <c r="AD271" s="173"/>
      <c r="AE271" s="173">
        <f t="shared" si="743"/>
        <v>0.95062188123344782</v>
      </c>
      <c r="AF271" s="545">
        <f t="shared" si="744"/>
        <v>867.85294583115285</v>
      </c>
      <c r="AG271" s="528">
        <f t="shared" si="745"/>
        <v>0.22181177228780449</v>
      </c>
      <c r="AI271" s="173">
        <f t="shared" si="746"/>
        <v>2.0995575598394232</v>
      </c>
      <c r="AJ271" s="173">
        <f t="shared" si="747"/>
        <v>2.0995575598394232</v>
      </c>
      <c r="AK271" s="173">
        <f t="shared" si="748"/>
        <v>1.7675735011156219</v>
      </c>
      <c r="AM271" s="545">
        <f t="shared" si="749"/>
        <v>550</v>
      </c>
      <c r="AN271" s="460">
        <f t="shared" si="750"/>
        <v>350</v>
      </c>
      <c r="AP271">
        <f t="shared" si="751"/>
        <v>550</v>
      </c>
      <c r="AQ271">
        <f t="shared" si="752"/>
        <v>350</v>
      </c>
      <c r="AS271" s="5">
        <f t="shared" si="763"/>
        <v>2.8571428571428572</v>
      </c>
      <c r="AT271" s="5">
        <f t="shared" si="753"/>
        <v>0.70086122259516204</v>
      </c>
      <c r="AU271" s="5">
        <f t="shared" si="722"/>
        <v>2.1562816345476952</v>
      </c>
      <c r="AV271" s="5"/>
      <c r="AW271" s="173">
        <f t="shared" si="723"/>
        <v>0.2453014279083067</v>
      </c>
      <c r="AX271" s="173">
        <f t="shared" si="631"/>
        <v>9.2570980888656322</v>
      </c>
      <c r="AY271" s="173">
        <f t="shared" si="632"/>
        <v>0.79226654621756631</v>
      </c>
      <c r="AZ271" s="173">
        <f t="shared" si="633"/>
        <v>11.684322824257579</v>
      </c>
      <c r="BA271" s="460">
        <f t="shared" si="724"/>
        <v>2.3504492221179221</v>
      </c>
      <c r="BB271" s="5">
        <f t="shared" si="725"/>
        <v>0.45087252972018405</v>
      </c>
      <c r="BD271" s="173">
        <f t="shared" si="681"/>
        <v>0.6003675302237651</v>
      </c>
      <c r="BE271" s="173">
        <f t="shared" si="682"/>
        <v>1.0530619533908285</v>
      </c>
      <c r="BG271" s="528">
        <f t="shared" si="683"/>
        <v>7.2088234269396699E-3</v>
      </c>
      <c r="BH271" s="528">
        <f t="shared" si="754"/>
        <v>0.72721113885690936</v>
      </c>
      <c r="BI271" s="528">
        <f t="shared" si="755"/>
        <v>0.31454664158310819</v>
      </c>
      <c r="BJ271" s="528">
        <f t="shared" si="684"/>
        <v>9.7497815595215281E-2</v>
      </c>
      <c r="BK271">
        <f t="shared" si="685"/>
        <v>1.6176684424274133E-2</v>
      </c>
      <c r="BL271" s="460">
        <f t="shared" si="686"/>
        <v>330.7233260073823</v>
      </c>
      <c r="BM271" s="528">
        <f t="shared" si="756"/>
        <v>0.83529486698997912</v>
      </c>
      <c r="BN271" s="460">
        <f t="shared" si="687"/>
        <v>835.29486698997914</v>
      </c>
      <c r="BO271" s="528">
        <f t="shared" si="637"/>
        <v>0.38500000000000001</v>
      </c>
      <c r="BR271" s="460">
        <f t="shared" si="688"/>
        <v>385</v>
      </c>
      <c r="BS271" s="528">
        <f t="shared" si="689"/>
        <v>1.0813235140409504E-2</v>
      </c>
      <c r="BT271" s="528">
        <f t="shared" si="690"/>
        <v>3.3268184330379223E-2</v>
      </c>
      <c r="BU271" s="528">
        <f t="shared" si="691"/>
        <v>0.73191319841203872</v>
      </c>
      <c r="BV271" s="528"/>
      <c r="BW271" s="528">
        <f t="shared" si="692"/>
        <v>7.7142484073880269E-3</v>
      </c>
      <c r="BX271" s="460">
        <f t="shared" si="693"/>
        <v>783.70886629021538</v>
      </c>
      <c r="BY271" s="173">
        <f t="shared" si="694"/>
        <v>2.331349970176662</v>
      </c>
      <c r="BZ271" s="5">
        <f t="shared" si="695"/>
        <v>9.02</v>
      </c>
      <c r="CA271" s="173">
        <f t="shared" si="696"/>
        <v>0.79461914430426295</v>
      </c>
      <c r="CB271" s="5">
        <f t="shared" si="697"/>
        <v>79.46191443042629</v>
      </c>
      <c r="CE271" s="562">
        <f t="shared" si="757"/>
        <v>-50</v>
      </c>
      <c r="CF271">
        <f t="shared" si="758"/>
        <v>-50</v>
      </c>
      <c r="CG271" s="173">
        <f t="shared" si="759"/>
        <v>0.53076107343433809</v>
      </c>
      <c r="CI271" s="170">
        <v>55</v>
      </c>
      <c r="CJ271" s="217">
        <f t="shared" si="698"/>
        <v>0.55000000000000004</v>
      </c>
      <c r="CK271" s="217"/>
      <c r="CL271" s="217">
        <f t="shared" si="641"/>
        <v>9.02</v>
      </c>
      <c r="CM271" s="541">
        <f t="shared" si="642"/>
        <v>36</v>
      </c>
      <c r="CN271" s="443">
        <f t="shared" si="643"/>
        <v>16.799999999999997</v>
      </c>
      <c r="CO271" s="443">
        <f t="shared" si="644"/>
        <v>52.8</v>
      </c>
      <c r="CP271" s="443"/>
      <c r="CQ271" s="217">
        <f t="shared" si="645"/>
        <v>0.31818181818181812</v>
      </c>
      <c r="CR271" s="172">
        <f t="shared" si="646"/>
        <v>38.697272727272725</v>
      </c>
      <c r="CS271" s="172">
        <f t="shared" si="647"/>
        <v>9.02</v>
      </c>
      <c r="CT271" s="217">
        <f t="shared" si="648"/>
        <v>2.3595898004434592</v>
      </c>
      <c r="CU271" s="217">
        <f t="shared" si="649"/>
        <v>16.399999999999999</v>
      </c>
      <c r="CV271" s="217"/>
      <c r="CW271" s="172">
        <f t="shared" si="650"/>
        <v>182.26065289401183</v>
      </c>
      <c r="CX271" s="172">
        <f t="shared" si="651"/>
        <v>16.399999999999999</v>
      </c>
      <c r="CY271" s="217">
        <f t="shared" si="652"/>
        <v>1.5749206349206351</v>
      </c>
      <c r="CZ271" s="217">
        <f t="shared" si="653"/>
        <v>0.52497354497354509</v>
      </c>
      <c r="DA271" s="217">
        <f t="shared" si="654"/>
        <v>1.1249433106575966</v>
      </c>
      <c r="DB271" s="197">
        <f t="shared" si="655"/>
        <v>350</v>
      </c>
      <c r="DC271" s="443">
        <f t="shared" si="656"/>
        <v>350</v>
      </c>
      <c r="DE271" s="217">
        <f t="shared" si="657"/>
        <v>2.7272727272727271</v>
      </c>
      <c r="DF271" s="173">
        <f t="shared" si="658"/>
        <v>1.9480519480519483</v>
      </c>
      <c r="DG271" s="173">
        <f t="shared" si="659"/>
        <v>0.92975206611570249</v>
      </c>
      <c r="DH271" s="173"/>
      <c r="DI271" s="173">
        <f t="shared" si="660"/>
        <v>0.95238095238095266</v>
      </c>
      <c r="DJ271" s="545">
        <f t="shared" si="661"/>
        <v>866.24999999999977</v>
      </c>
      <c r="DK271" s="528">
        <f t="shared" si="662"/>
        <v>0.22222222222222232</v>
      </c>
      <c r="DM271" s="173">
        <f t="shared" si="663"/>
        <v>2.0976176963403028</v>
      </c>
      <c r="DN271" s="173">
        <f t="shared" si="664"/>
        <v>2.0976176963403028</v>
      </c>
      <c r="DO271" s="173">
        <f t="shared" si="665"/>
        <v>1.7661365651903476</v>
      </c>
      <c r="DQ271" s="545">
        <f t="shared" si="666"/>
        <v>550</v>
      </c>
      <c r="DR271" s="460">
        <f t="shared" si="667"/>
        <v>350</v>
      </c>
      <c r="DT271">
        <f t="shared" si="668"/>
        <v>550</v>
      </c>
      <c r="DU271">
        <f t="shared" si="669"/>
        <v>350</v>
      </c>
      <c r="DW271" s="5">
        <f t="shared" si="670"/>
        <v>2.8571428571428572</v>
      </c>
      <c r="DX271" s="5">
        <f t="shared" si="671"/>
        <v>0.69920589878010098</v>
      </c>
      <c r="DY271" s="5">
        <f t="shared" si="672"/>
        <v>2.1579369583627561</v>
      </c>
      <c r="DZ271" s="5"/>
      <c r="EA271" s="173">
        <f t="shared" si="673"/>
        <v>0.24472206457303533</v>
      </c>
      <c r="EB271" s="173">
        <f t="shared" si="699"/>
        <v>9.2399999999999967</v>
      </c>
      <c r="EC271" s="173">
        <f t="shared" si="700"/>
        <v>0.79214218150348481</v>
      </c>
      <c r="ED271" s="173">
        <f t="shared" si="701"/>
        <v>11.664572618090466</v>
      </c>
      <c r="EE271" s="460">
        <f t="shared" si="674"/>
        <v>2.3448978312747295</v>
      </c>
      <c r="EF271" s="5">
        <f t="shared" si="675"/>
        <v>0.45056924454703828</v>
      </c>
      <c r="EH271" s="173">
        <f t="shared" si="702"/>
        <v>0.59910407669045151</v>
      </c>
      <c r="EI271" s="173">
        <f t="shared" si="703"/>
        <v>1.0524927419985126</v>
      </c>
      <c r="EK271" s="528">
        <f t="shared" si="704"/>
        <v>7.1785138941423687E-3</v>
      </c>
      <c r="EL271" s="528">
        <f t="shared" si="705"/>
        <v>0.77527950056737605</v>
      </c>
      <c r="EM271" s="528">
        <f t="shared" si="706"/>
        <v>4.3749999999999997E-2</v>
      </c>
      <c r="EN271" s="528">
        <f t="shared" si="707"/>
        <v>9.7574399999999992E-2</v>
      </c>
      <c r="EO271">
        <f t="shared" si="708"/>
        <v>1.6199999999999999E-2</v>
      </c>
      <c r="EP271" s="460">
        <f t="shared" si="709"/>
        <v>59.949999999999996</v>
      </c>
      <c r="EQ271" s="460"/>
      <c r="ER271" s="460">
        <f t="shared" si="710"/>
        <v>939.98241446151826</v>
      </c>
      <c r="ES271" s="528">
        <f t="shared" si="711"/>
        <v>0.38500000000000001</v>
      </c>
      <c r="EV271" s="460">
        <f t="shared" si="712"/>
        <v>385</v>
      </c>
      <c r="EW271" s="528">
        <f t="shared" si="713"/>
        <v>1.0767770841213553E-2</v>
      </c>
      <c r="EX271" s="528">
        <f t="shared" si="714"/>
        <v>3.323222915878643E-2</v>
      </c>
      <c r="EY271" s="528">
        <f t="shared" si="715"/>
        <v>0.73022376153728985</v>
      </c>
      <c r="EZ271" s="528"/>
      <c r="FA271" s="528">
        <f t="shared" si="716"/>
        <v>7.6999999999999976E-3</v>
      </c>
      <c r="FB271" s="460">
        <f t="shared" si="717"/>
        <v>781.92376153728981</v>
      </c>
      <c r="FC271" s="173">
        <f t="shared" si="718"/>
        <v>2.1069061759988079</v>
      </c>
      <c r="FD271" s="5">
        <f t="shared" si="719"/>
        <v>9.02</v>
      </c>
      <c r="FE271" s="173">
        <f t="shared" si="720"/>
        <v>0.81064761914291217</v>
      </c>
      <c r="FF271" s="5">
        <f t="shared" si="721"/>
        <v>81.064761914291211</v>
      </c>
      <c r="FI271" s="562">
        <f t="shared" si="676"/>
        <v>-50</v>
      </c>
      <c r="FJ271">
        <f t="shared" si="677"/>
        <v>-50</v>
      </c>
      <c r="FL271">
        <f t="shared" si="760"/>
        <v>0.52440442408507582</v>
      </c>
    </row>
    <row r="272" spans="5:168">
      <c r="E272" s="170">
        <v>56</v>
      </c>
      <c r="F272" s="217">
        <f t="shared" si="761"/>
        <v>0.56000000000000005</v>
      </c>
      <c r="G272" s="217"/>
      <c r="H272" s="217">
        <f t="shared" si="726"/>
        <v>9.1839999999999993</v>
      </c>
      <c r="I272" s="541">
        <f t="shared" si="727"/>
        <v>35.947718709528807</v>
      </c>
      <c r="J272" s="172">
        <f t="shared" si="728"/>
        <v>16.831368774282712</v>
      </c>
      <c r="K272" s="172">
        <f t="shared" si="729"/>
        <v>52.779087483811523</v>
      </c>
      <c r="L272" s="443"/>
      <c r="M272" s="217">
        <f t="shared" si="730"/>
        <v>0.31890713834684375</v>
      </c>
      <c r="N272" s="172">
        <f t="shared" si="731"/>
        <v>38.729159630512648</v>
      </c>
      <c r="O272" s="172">
        <f t="shared" si="762"/>
        <v>9.1839999999999993</v>
      </c>
      <c r="P272" s="217">
        <f t="shared" si="732"/>
        <v>2.3615341238117469</v>
      </c>
      <c r="Q272" s="217">
        <f t="shared" si="733"/>
        <v>16.399999999999999</v>
      </c>
      <c r="R272" s="217"/>
      <c r="S272" s="172">
        <f t="shared" si="734"/>
        <v>178.10734921408897</v>
      </c>
      <c r="T272" s="172">
        <f t="shared" si="735"/>
        <v>16.399999999999999</v>
      </c>
      <c r="U272" s="217">
        <f t="shared" si="736"/>
        <v>1.6444160011918547</v>
      </c>
      <c r="V272" s="217">
        <f t="shared" si="737"/>
        <v>0.54893586360103441</v>
      </c>
      <c r="W272" s="217">
        <f t="shared" si="738"/>
        <v>1.1723937772935642</v>
      </c>
      <c r="X272" s="197">
        <f t="shared" si="739"/>
        <v>350</v>
      </c>
      <c r="Y272" s="443">
        <f t="shared" si="680"/>
        <v>350</v>
      </c>
      <c r="AA272" s="217">
        <f t="shared" si="740"/>
        <v>2.7294780269599848</v>
      </c>
      <c r="AB272" s="173">
        <f t="shared" si="741"/>
        <v>1.9459936243311058</v>
      </c>
      <c r="AC272" s="173">
        <f t="shared" si="742"/>
        <v>0.92952069668779591</v>
      </c>
      <c r="AD272" s="173"/>
      <c r="AE272" s="173">
        <f t="shared" si="743"/>
        <v>0.95060599138241264</v>
      </c>
      <c r="AF272" s="545">
        <f t="shared" si="744"/>
        <v>883.64686064984244</v>
      </c>
      <c r="AG272" s="528">
        <f t="shared" si="745"/>
        <v>0.22180806465589628</v>
      </c>
      <c r="AI272" s="173">
        <f t="shared" si="746"/>
        <v>2.1185761743386502</v>
      </c>
      <c r="AJ272" s="173">
        <f t="shared" si="747"/>
        <v>2.1185761743386502</v>
      </c>
      <c r="AK272" s="173">
        <f t="shared" si="748"/>
        <v>1.7816613637076419</v>
      </c>
      <c r="AM272" s="545">
        <f t="shared" si="749"/>
        <v>560</v>
      </c>
      <c r="AN272" s="460">
        <f t="shared" si="750"/>
        <v>350</v>
      </c>
      <c r="AP272">
        <f t="shared" si="751"/>
        <v>560</v>
      </c>
      <c r="AQ272">
        <f t="shared" si="752"/>
        <v>350</v>
      </c>
      <c r="AS272" s="5">
        <f t="shared" si="763"/>
        <v>2.8571428571428572</v>
      </c>
      <c r="AT272" s="5">
        <f t="shared" si="753"/>
        <v>0.70721912279025501</v>
      </c>
      <c r="AU272" s="5">
        <f t="shared" si="722"/>
        <v>2.1499237343526021</v>
      </c>
      <c r="AV272" s="5"/>
      <c r="AW272" s="173">
        <f t="shared" si="723"/>
        <v>0.24752669297658925</v>
      </c>
      <c r="AX272" s="173">
        <f t="shared" si="631"/>
        <v>9.4255665135983211</v>
      </c>
      <c r="AY272" s="173">
        <f t="shared" si="632"/>
        <v>0.7970860100428051</v>
      </c>
      <c r="AZ272" s="173">
        <f t="shared" si="633"/>
        <v>11.825030667759618</v>
      </c>
      <c r="BA272" s="460">
        <f t="shared" si="724"/>
        <v>2.4148945656252612</v>
      </c>
      <c r="BB272" s="5">
        <f t="shared" si="725"/>
        <v>0.45772259188964043</v>
      </c>
      <c r="BD272" s="173">
        <f t="shared" si="681"/>
        <v>0.60854749114173523</v>
      </c>
      <c r="BE272" s="173">
        <f t="shared" si="682"/>
        <v>1.0610332793321</v>
      </c>
      <c r="BG272" s="528">
        <f t="shared" si="683"/>
        <v>7.4066009794980063E-3</v>
      </c>
      <c r="BH272" s="528">
        <f t="shared" si="754"/>
        <v>0.73379589443040794</v>
      </c>
      <c r="BI272" s="528">
        <f t="shared" si="755"/>
        <v>0.31454253870837701</v>
      </c>
      <c r="BJ272" s="528">
        <f t="shared" si="684"/>
        <v>9.7497122646834064E-2</v>
      </c>
      <c r="BK272">
        <f t="shared" si="685"/>
        <v>1.6176473419287962E-2</v>
      </c>
      <c r="BL272" s="460">
        <f t="shared" si="686"/>
        <v>330.719012127665</v>
      </c>
      <c r="BM272" s="528">
        <f t="shared" si="756"/>
        <v>0.84218147835501433</v>
      </c>
      <c r="BN272" s="460">
        <f t="shared" si="687"/>
        <v>842.18147835501429</v>
      </c>
      <c r="BO272" s="528">
        <f t="shared" si="637"/>
        <v>0.39200000000000002</v>
      </c>
      <c r="BR272" s="460">
        <f t="shared" si="688"/>
        <v>392</v>
      </c>
      <c r="BS272" s="528">
        <f t="shared" si="689"/>
        <v>1.1109901469247008E-2</v>
      </c>
      <c r="BT272" s="528">
        <f t="shared" si="690"/>
        <v>3.3773748595506907E-2</v>
      </c>
      <c r="BU272" s="528">
        <f t="shared" si="691"/>
        <v>0.74860086547909221</v>
      </c>
      <c r="BV272" s="528"/>
      <c r="BW272" s="528">
        <f t="shared" si="692"/>
        <v>7.8546387613319339E-3</v>
      </c>
      <c r="BX272" s="460">
        <f t="shared" si="693"/>
        <v>801.33915430517811</v>
      </c>
      <c r="BY272" s="173">
        <f t="shared" si="694"/>
        <v>2.3627577844895828</v>
      </c>
      <c r="BZ272" s="5">
        <f t="shared" si="695"/>
        <v>9.1839999999999993</v>
      </c>
      <c r="CA272" s="173">
        <f t="shared" si="696"/>
        <v>0.79537478584132026</v>
      </c>
      <c r="CB272" s="5">
        <f t="shared" si="697"/>
        <v>79.537478584132032</v>
      </c>
      <c r="CE272" s="562">
        <f t="shared" si="757"/>
        <v>-50</v>
      </c>
      <c r="CF272">
        <f t="shared" si="758"/>
        <v>-50</v>
      </c>
      <c r="CG272" s="173">
        <f t="shared" si="759"/>
        <v>0.53556443897320427</v>
      </c>
      <c r="CI272" s="170">
        <v>56</v>
      </c>
      <c r="CJ272" s="217">
        <f t="shared" si="698"/>
        <v>0.56000000000000005</v>
      </c>
      <c r="CK272" s="217"/>
      <c r="CL272" s="217">
        <f t="shared" si="641"/>
        <v>9.1839999999999993</v>
      </c>
      <c r="CM272" s="541">
        <f t="shared" si="642"/>
        <v>36</v>
      </c>
      <c r="CN272" s="443">
        <f t="shared" si="643"/>
        <v>16.799999999999997</v>
      </c>
      <c r="CO272" s="443">
        <f t="shared" si="644"/>
        <v>52.8</v>
      </c>
      <c r="CP272" s="443"/>
      <c r="CQ272" s="217">
        <f t="shared" si="645"/>
        <v>0.31818181818181812</v>
      </c>
      <c r="CR272" s="172">
        <f t="shared" si="646"/>
        <v>38.697272727272725</v>
      </c>
      <c r="CS272" s="172">
        <f t="shared" si="647"/>
        <v>9.1839999999999993</v>
      </c>
      <c r="CT272" s="217">
        <f t="shared" si="648"/>
        <v>2.3595898004434592</v>
      </c>
      <c r="CU272" s="217">
        <f t="shared" si="649"/>
        <v>16.399999999999999</v>
      </c>
      <c r="CV272" s="217"/>
      <c r="CW272" s="172">
        <f t="shared" si="650"/>
        <v>178.36626639596591</v>
      </c>
      <c r="CX272" s="172">
        <f t="shared" si="651"/>
        <v>16.399999999999999</v>
      </c>
      <c r="CY272" s="217">
        <f t="shared" si="652"/>
        <v>1.6035555555555556</v>
      </c>
      <c r="CZ272" s="217">
        <f t="shared" si="653"/>
        <v>0.53451851851851861</v>
      </c>
      <c r="DA272" s="217">
        <f t="shared" si="654"/>
        <v>1.1453968253968256</v>
      </c>
      <c r="DB272" s="197">
        <f t="shared" si="655"/>
        <v>350</v>
      </c>
      <c r="DC272" s="443">
        <f t="shared" si="656"/>
        <v>350</v>
      </c>
      <c r="DE272" s="217">
        <f t="shared" si="657"/>
        <v>2.7272727272727271</v>
      </c>
      <c r="DF272" s="173">
        <f t="shared" si="658"/>
        <v>1.9480519480519483</v>
      </c>
      <c r="DG272" s="173">
        <f t="shared" si="659"/>
        <v>0.92975206611570249</v>
      </c>
      <c r="DH272" s="173"/>
      <c r="DI272" s="173">
        <f t="shared" si="660"/>
        <v>0.95238095238095266</v>
      </c>
      <c r="DJ272" s="545">
        <f t="shared" si="661"/>
        <v>881.99999999999977</v>
      </c>
      <c r="DK272" s="528">
        <f t="shared" si="662"/>
        <v>0.22222222222222232</v>
      </c>
      <c r="DM272" s="173">
        <f t="shared" si="663"/>
        <v>2.1166010488516722</v>
      </c>
      <c r="DN272" s="173">
        <f t="shared" si="664"/>
        <v>2.1166010488516722</v>
      </c>
      <c r="DO272" s="173">
        <f t="shared" si="665"/>
        <v>1.7801983077913619</v>
      </c>
      <c r="DQ272" s="545">
        <f t="shared" si="666"/>
        <v>560</v>
      </c>
      <c r="DR272" s="460">
        <f t="shared" si="667"/>
        <v>350</v>
      </c>
      <c r="DT272">
        <f t="shared" si="668"/>
        <v>560</v>
      </c>
      <c r="DU272">
        <f t="shared" si="669"/>
        <v>350</v>
      </c>
      <c r="DW272" s="5">
        <f t="shared" si="670"/>
        <v>2.8571428571428572</v>
      </c>
      <c r="DX272" s="5">
        <f t="shared" si="671"/>
        <v>0.70553368295055741</v>
      </c>
      <c r="DY272" s="5">
        <f t="shared" si="672"/>
        <v>2.1516091741922998</v>
      </c>
      <c r="DZ272" s="5"/>
      <c r="EA272" s="173">
        <f t="shared" si="673"/>
        <v>0.24693678903269509</v>
      </c>
      <c r="EB272" s="173">
        <f t="shared" si="699"/>
        <v>9.4079999999999977</v>
      </c>
      <c r="EC272" s="173">
        <f t="shared" si="700"/>
        <v>0.7969671910925028</v>
      </c>
      <c r="ED272" s="173">
        <f t="shared" si="701"/>
        <v>11.804751946066027</v>
      </c>
      <c r="EE272" s="460">
        <f t="shared" si="674"/>
        <v>2.4091394051970259</v>
      </c>
      <c r="EF272" s="5">
        <f t="shared" si="675"/>
        <v>0.45741617258754802</v>
      </c>
      <c r="EH272" s="173">
        <f t="shared" si="702"/>
        <v>0.60725524970050659</v>
      </c>
      <c r="EI272" s="173">
        <f t="shared" si="703"/>
        <v>1.0604595207005822</v>
      </c>
      <c r="EK272" s="528">
        <f t="shared" si="704"/>
        <v>7.3751787657764922E-3</v>
      </c>
      <c r="EL272" s="528">
        <f t="shared" si="705"/>
        <v>0.78229574765557797</v>
      </c>
      <c r="EM272" s="528">
        <f t="shared" si="706"/>
        <v>4.3749999999999997E-2</v>
      </c>
      <c r="EN272" s="528">
        <f t="shared" si="707"/>
        <v>9.7574399999999992E-2</v>
      </c>
      <c r="EO272">
        <f t="shared" si="708"/>
        <v>1.6199999999999999E-2</v>
      </c>
      <c r="EP272" s="460">
        <f t="shared" si="709"/>
        <v>59.949999999999996</v>
      </c>
      <c r="EQ272" s="460"/>
      <c r="ER272" s="460">
        <f t="shared" si="710"/>
        <v>947.19532642135437</v>
      </c>
      <c r="ES272" s="528">
        <f t="shared" si="711"/>
        <v>0.39200000000000002</v>
      </c>
      <c r="EV272" s="460">
        <f t="shared" si="712"/>
        <v>392</v>
      </c>
      <c r="EW272" s="528">
        <f t="shared" si="713"/>
        <v>1.1062768148664737E-2</v>
      </c>
      <c r="EX272" s="528">
        <f t="shared" si="714"/>
        <v>3.3737231851335259E-2</v>
      </c>
      <c r="EY272" s="528">
        <f t="shared" si="715"/>
        <v>0.74685730419125118</v>
      </c>
      <c r="EZ272" s="528"/>
      <c r="FA272" s="528">
        <f t="shared" si="716"/>
        <v>7.839999999999998E-3</v>
      </c>
      <c r="FB272" s="460">
        <f t="shared" si="717"/>
        <v>799.49730419125115</v>
      </c>
      <c r="FC272" s="173">
        <f t="shared" si="718"/>
        <v>2.1386926306126055</v>
      </c>
      <c r="FD272" s="5">
        <f t="shared" si="719"/>
        <v>9.1839999999999993</v>
      </c>
      <c r="FE272" s="173">
        <f t="shared" si="720"/>
        <v>0.81111448483284554</v>
      </c>
      <c r="FF272" s="5">
        <f t="shared" si="721"/>
        <v>81.111448483284548</v>
      </c>
      <c r="FI272" s="562">
        <f t="shared" si="676"/>
        <v>-50</v>
      </c>
      <c r="FJ272">
        <f t="shared" si="677"/>
        <v>-50</v>
      </c>
      <c r="FL272">
        <f t="shared" si="760"/>
        <v>0.52915026221291817</v>
      </c>
    </row>
    <row r="273" spans="5:168">
      <c r="E273" s="170">
        <v>57</v>
      </c>
      <c r="F273" s="217">
        <f t="shared" si="761"/>
        <v>0.56999999999999995</v>
      </c>
      <c r="G273" s="217"/>
      <c r="H273" s="217">
        <f t="shared" si="726"/>
        <v>9.347999999999999</v>
      </c>
      <c r="I273" s="541">
        <f t="shared" si="727"/>
        <v>35.947253977807392</v>
      </c>
      <c r="J273" s="172">
        <f t="shared" si="728"/>
        <v>16.83164761331556</v>
      </c>
      <c r="K273" s="172">
        <f t="shared" si="729"/>
        <v>52.778901591122953</v>
      </c>
      <c r="L273" s="443"/>
      <c r="M273" s="217">
        <f t="shared" si="730"/>
        <v>0.31891358829447403</v>
      </c>
      <c r="N273" s="172">
        <f t="shared" si="731"/>
        <v>38.729442233643994</v>
      </c>
      <c r="O273" s="172">
        <f t="shared" si="762"/>
        <v>9.347999999999999</v>
      </c>
      <c r="P273" s="217">
        <f t="shared" si="732"/>
        <v>2.3615513557099996</v>
      </c>
      <c r="Q273" s="217">
        <f t="shared" si="733"/>
        <v>16.399999999999999</v>
      </c>
      <c r="R273" s="217"/>
      <c r="S273" s="172">
        <f t="shared" si="734"/>
        <v>174.3528868809029</v>
      </c>
      <c r="T273" s="172">
        <f t="shared" si="735"/>
        <v>16.399999999999999</v>
      </c>
      <c r="U273" s="217">
        <f t="shared" si="736"/>
        <v>1.6737964234894902</v>
      </c>
      <c r="V273" s="217">
        <f t="shared" si="737"/>
        <v>0.55875080456142823</v>
      </c>
      <c r="W273" s="217">
        <f t="shared" si="738"/>
        <v>1.193320912088496</v>
      </c>
      <c r="X273" s="197">
        <f t="shared" si="739"/>
        <v>350</v>
      </c>
      <c r="Y273" s="443">
        <f t="shared" si="680"/>
        <v>350</v>
      </c>
      <c r="AA273" s="217">
        <f t="shared" si="740"/>
        <v>2.7294975714968341</v>
      </c>
      <c r="AB273" s="173">
        <f t="shared" si="741"/>
        <v>1.9459753204463635</v>
      </c>
      <c r="AC273" s="173">
        <f t="shared" si="742"/>
        <v>0.92951860948644638</v>
      </c>
      <c r="AD273" s="173"/>
      <c r="AE273" s="173">
        <f t="shared" si="743"/>
        <v>0.95059024330704023</v>
      </c>
      <c r="AF273" s="545">
        <f t="shared" si="744"/>
        <v>899.44116933654993</v>
      </c>
      <c r="AG273" s="528">
        <f t="shared" si="745"/>
        <v>0.22180439010497607</v>
      </c>
      <c r="AI273" s="173">
        <f t="shared" si="746"/>
        <v>2.1374260376610383</v>
      </c>
      <c r="AJ273" s="173">
        <f t="shared" si="747"/>
        <v>2.1374260376610383</v>
      </c>
      <c r="AK273" s="173">
        <f t="shared" si="748"/>
        <v>1.7956242254279293</v>
      </c>
      <c r="AM273" s="545">
        <f t="shared" si="749"/>
        <v>570</v>
      </c>
      <c r="AN273" s="460">
        <f t="shared" si="750"/>
        <v>350</v>
      </c>
      <c r="AP273">
        <f t="shared" si="751"/>
        <v>570</v>
      </c>
      <c r="AQ273">
        <f t="shared" si="752"/>
        <v>350</v>
      </c>
      <c r="AS273" s="5">
        <f t="shared" si="763"/>
        <v>2.8571428571428572</v>
      </c>
      <c r="AT273" s="5">
        <f t="shared" si="753"/>
        <v>0.71352077317970786</v>
      </c>
      <c r="AU273" s="5">
        <f t="shared" si="722"/>
        <v>2.1436220839631495</v>
      </c>
      <c r="AV273" s="5"/>
      <c r="AW273" s="173">
        <f t="shared" si="723"/>
        <v>0.24973227061289774</v>
      </c>
      <c r="AX273" s="173">
        <f t="shared" si="631"/>
        <v>9.594039139589869</v>
      </c>
      <c r="AY273" s="173">
        <f t="shared" si="632"/>
        <v>0.80182089000440915</v>
      </c>
      <c r="AZ273" s="173">
        <f t="shared" si="633"/>
        <v>11.965314522470363</v>
      </c>
      <c r="BA273" s="460">
        <f t="shared" si="724"/>
        <v>2.4799197604416676</v>
      </c>
      <c r="BB273" s="5">
        <f t="shared" si="725"/>
        <v>0.46453662481095803</v>
      </c>
      <c r="BD273" s="173">
        <f t="shared" si="681"/>
        <v>0.61669127089639264</v>
      </c>
      <c r="BE273" s="173">
        <f t="shared" si="682"/>
        <v>1.0689037523980576</v>
      </c>
      <c r="BG273" s="528">
        <f t="shared" si="683"/>
        <v>7.6061624719961588E-3</v>
      </c>
      <c r="BH273" s="528">
        <f t="shared" si="754"/>
        <v>0.74032217765635366</v>
      </c>
      <c r="BI273" s="528">
        <f t="shared" si="755"/>
        <v>0.31453847230581466</v>
      </c>
      <c r="BJ273" s="528">
        <f t="shared" si="684"/>
        <v>9.7496435860790431E-2</v>
      </c>
      <c r="BK273">
        <f t="shared" si="685"/>
        <v>1.6176264290013325E-2</v>
      </c>
      <c r="BL273" s="460">
        <f t="shared" si="686"/>
        <v>330.71473659582801</v>
      </c>
      <c r="BM273" s="528">
        <f t="shared" si="756"/>
        <v>0.84901279633105942</v>
      </c>
      <c r="BN273" s="460">
        <f t="shared" si="687"/>
        <v>849.01279633105946</v>
      </c>
      <c r="BO273" s="528">
        <f t="shared" si="637"/>
        <v>0.39899999999999997</v>
      </c>
      <c r="BR273" s="460">
        <f t="shared" si="688"/>
        <v>398.99999999999994</v>
      </c>
      <c r="BS273" s="528">
        <f t="shared" si="689"/>
        <v>1.1409243707994237E-2</v>
      </c>
      <c r="BT273" s="528">
        <f t="shared" si="690"/>
        <v>3.4276656956719435E-2</v>
      </c>
      <c r="BU273" s="528">
        <f t="shared" si="691"/>
        <v>0.76536368882846295</v>
      </c>
      <c r="BV273" s="528"/>
      <c r="BW273" s="528">
        <f t="shared" si="692"/>
        <v>7.995032616324893E-3</v>
      </c>
      <c r="BX273" s="460">
        <f t="shared" si="693"/>
        <v>819.04462210950157</v>
      </c>
      <c r="BY273" s="173">
        <f t="shared" si="694"/>
        <v>2.3941841346944699</v>
      </c>
      <c r="BZ273" s="5">
        <f t="shared" si="695"/>
        <v>9.347999999999999</v>
      </c>
      <c r="CA273" s="173">
        <f t="shared" si="696"/>
        <v>0.79610402057821528</v>
      </c>
      <c r="CB273" s="5">
        <f t="shared" si="697"/>
        <v>79.610402057821531</v>
      </c>
      <c r="CE273" s="562">
        <f t="shared" si="757"/>
        <v>-50</v>
      </c>
      <c r="CF273">
        <f t="shared" si="758"/>
        <v>-50</v>
      </c>
      <c r="CG273" s="173">
        <f t="shared" si="759"/>
        <v>0.54032510538766854</v>
      </c>
      <c r="CI273" s="170">
        <v>57</v>
      </c>
      <c r="CJ273" s="217">
        <f t="shared" si="698"/>
        <v>0.56999999999999995</v>
      </c>
      <c r="CK273" s="217"/>
      <c r="CL273" s="217">
        <f t="shared" si="641"/>
        <v>9.347999999999999</v>
      </c>
      <c r="CM273" s="541">
        <f t="shared" si="642"/>
        <v>36</v>
      </c>
      <c r="CN273" s="443">
        <f t="shared" si="643"/>
        <v>16.799999999999997</v>
      </c>
      <c r="CO273" s="443">
        <f t="shared" si="644"/>
        <v>52.8</v>
      </c>
      <c r="CP273" s="443"/>
      <c r="CQ273" s="217">
        <f t="shared" si="645"/>
        <v>0.31818181818181812</v>
      </c>
      <c r="CR273" s="172">
        <f t="shared" si="646"/>
        <v>38.697272727272725</v>
      </c>
      <c r="CS273" s="172">
        <f t="shared" si="647"/>
        <v>9.347999999999999</v>
      </c>
      <c r="CT273" s="217">
        <f t="shared" si="648"/>
        <v>2.3595898004434592</v>
      </c>
      <c r="CU273" s="217">
        <f t="shared" si="649"/>
        <v>16.399999999999999</v>
      </c>
      <c r="CV273" s="217"/>
      <c r="CW273" s="172">
        <f t="shared" si="650"/>
        <v>174.60859746139658</v>
      </c>
      <c r="CX273" s="172">
        <f t="shared" si="651"/>
        <v>16.399999999999999</v>
      </c>
      <c r="CY273" s="217">
        <f t="shared" si="652"/>
        <v>1.6321904761904762</v>
      </c>
      <c r="CZ273" s="217">
        <f t="shared" si="653"/>
        <v>0.54406349206349203</v>
      </c>
      <c r="DA273" s="217">
        <f t="shared" si="654"/>
        <v>1.1658503401360547</v>
      </c>
      <c r="DB273" s="197">
        <f t="shared" si="655"/>
        <v>350</v>
      </c>
      <c r="DC273" s="443">
        <f t="shared" si="656"/>
        <v>350</v>
      </c>
      <c r="DE273" s="217">
        <f t="shared" si="657"/>
        <v>2.7272727272727271</v>
      </c>
      <c r="DF273" s="173">
        <f t="shared" si="658"/>
        <v>1.9480519480519483</v>
      </c>
      <c r="DG273" s="173">
        <f t="shared" si="659"/>
        <v>0.92975206611570249</v>
      </c>
      <c r="DH273" s="173"/>
      <c r="DI273" s="173">
        <f t="shared" si="660"/>
        <v>0.95238095238095266</v>
      </c>
      <c r="DJ273" s="545">
        <f t="shared" si="661"/>
        <v>897.74999999999955</v>
      </c>
      <c r="DK273" s="528">
        <f t="shared" si="662"/>
        <v>0.22222222222222232</v>
      </c>
      <c r="DM273" s="173">
        <f t="shared" si="663"/>
        <v>2.1354156504062618</v>
      </c>
      <c r="DN273" s="173">
        <f t="shared" si="664"/>
        <v>2.1354156504062618</v>
      </c>
      <c r="DO273" s="173">
        <f t="shared" si="665"/>
        <v>1.7941350496836506</v>
      </c>
      <c r="DQ273" s="545">
        <f t="shared" si="666"/>
        <v>570</v>
      </c>
      <c r="DR273" s="460">
        <f t="shared" si="667"/>
        <v>350</v>
      </c>
      <c r="DT273">
        <f t="shared" si="668"/>
        <v>570</v>
      </c>
      <c r="DU273">
        <f t="shared" si="669"/>
        <v>350</v>
      </c>
      <c r="DW273" s="5">
        <f t="shared" si="670"/>
        <v>2.8571428571428572</v>
      </c>
      <c r="DX273" s="5">
        <f t="shared" si="671"/>
        <v>0.71180521680208719</v>
      </c>
      <c r="DY273" s="5">
        <f t="shared" si="672"/>
        <v>2.1453376403407702</v>
      </c>
      <c r="DZ273" s="5"/>
      <c r="EA273" s="173">
        <f t="shared" si="673"/>
        <v>0.24913182588073052</v>
      </c>
      <c r="EB273" s="173">
        <f t="shared" si="699"/>
        <v>9.5759999999999952</v>
      </c>
      <c r="EC273" s="173">
        <f t="shared" si="700"/>
        <v>0.80170782520313111</v>
      </c>
      <c r="ED273" s="173">
        <f t="shared" si="701"/>
        <v>11.944501099978281</v>
      </c>
      <c r="EE273" s="460">
        <f t="shared" si="674"/>
        <v>2.4739571559584741</v>
      </c>
      <c r="EF273" s="5">
        <f t="shared" si="675"/>
        <v>0.46422722828484997</v>
      </c>
      <c r="EH273" s="173">
        <f t="shared" si="702"/>
        <v>0.61537011248411322</v>
      </c>
      <c r="EI273" s="173">
        <f t="shared" si="703"/>
        <v>1.068325617338314</v>
      </c>
      <c r="EK273" s="528">
        <f t="shared" si="704"/>
        <v>7.5736075067742029E-3</v>
      </c>
      <c r="EL273" s="528">
        <f t="shared" si="705"/>
        <v>0.78924962439015434</v>
      </c>
      <c r="EM273" s="528">
        <f t="shared" si="706"/>
        <v>4.3749999999999997E-2</v>
      </c>
      <c r="EN273" s="528">
        <f t="shared" si="707"/>
        <v>9.7574399999999992E-2</v>
      </c>
      <c r="EO273">
        <f t="shared" si="708"/>
        <v>1.6199999999999999E-2</v>
      </c>
      <c r="EP273" s="460">
        <f t="shared" si="709"/>
        <v>59.949999999999996</v>
      </c>
      <c r="EQ273" s="460"/>
      <c r="ER273" s="460">
        <f t="shared" si="710"/>
        <v>954.34763189692842</v>
      </c>
      <c r="ES273" s="528">
        <f t="shared" si="711"/>
        <v>0.39899999999999997</v>
      </c>
      <c r="EV273" s="460">
        <f t="shared" si="712"/>
        <v>398.99999999999994</v>
      </c>
      <c r="EW273" s="528">
        <f t="shared" si="713"/>
        <v>1.1360411260161303E-2</v>
      </c>
      <c r="EX273" s="528">
        <f t="shared" si="714"/>
        <v>3.4239588739838692E-2</v>
      </c>
      <c r="EY273" s="528">
        <f t="shared" si="715"/>
        <v>0.76356527319997913</v>
      </c>
      <c r="EZ273" s="528"/>
      <c r="FA273" s="528">
        <f t="shared" si="716"/>
        <v>7.9799999999999958E-3</v>
      </c>
      <c r="FB273" s="460">
        <f t="shared" si="717"/>
        <v>817.1452731999791</v>
      </c>
      <c r="FC273" s="173">
        <f t="shared" si="718"/>
        <v>2.1704929050969075</v>
      </c>
      <c r="FD273" s="5">
        <f t="shared" si="719"/>
        <v>9.347999999999999</v>
      </c>
      <c r="FE273" s="173">
        <f t="shared" si="720"/>
        <v>0.81156450561891924</v>
      </c>
      <c r="FF273" s="5">
        <f t="shared" si="721"/>
        <v>81.15645056189193</v>
      </c>
      <c r="FI273" s="562">
        <f t="shared" si="676"/>
        <v>-50</v>
      </c>
      <c r="FJ273">
        <f t="shared" si="677"/>
        <v>-50</v>
      </c>
      <c r="FL273">
        <f t="shared" si="760"/>
        <v>0.53385391260156556</v>
      </c>
    </row>
    <row r="274" spans="5:168">
      <c r="E274" s="170">
        <v>58</v>
      </c>
      <c r="F274" s="217">
        <f t="shared" si="761"/>
        <v>0.57999999999999996</v>
      </c>
      <c r="G274" s="217"/>
      <c r="H274" s="217">
        <f t="shared" si="726"/>
        <v>9.5119999999999987</v>
      </c>
      <c r="I274" s="541">
        <f t="shared" si="727"/>
        <v>35.946793305111555</v>
      </c>
      <c r="J274" s="172">
        <f t="shared" si="728"/>
        <v>16.831924016933066</v>
      </c>
      <c r="K274" s="172">
        <f t="shared" si="729"/>
        <v>52.778717322044621</v>
      </c>
      <c r="L274" s="443"/>
      <c r="M274" s="217">
        <f t="shared" si="730"/>
        <v>0.31891998195147236</v>
      </c>
      <c r="N274" s="172">
        <f t="shared" si="731"/>
        <v>38.729722353841865</v>
      </c>
      <c r="O274" s="172">
        <f t="shared" si="762"/>
        <v>9.5119999999999987</v>
      </c>
      <c r="P274" s="217">
        <f t="shared" si="732"/>
        <v>2.3615684362098701</v>
      </c>
      <c r="Q274" s="217">
        <f t="shared" si="733"/>
        <v>16.399999999999999</v>
      </c>
      <c r="R274" s="217"/>
      <c r="S274" s="172">
        <f t="shared" si="734"/>
        <v>170.72799598986114</v>
      </c>
      <c r="T274" s="172">
        <f t="shared" si="735"/>
        <v>16.399999999999999</v>
      </c>
      <c r="U274" s="217">
        <f t="shared" si="736"/>
        <v>1.7031772614966789</v>
      </c>
      <c r="V274" s="217">
        <f t="shared" si="737"/>
        <v>0.56856607387713476</v>
      </c>
      <c r="W274" s="217">
        <f t="shared" si="738"/>
        <v>1.2142478255842415</v>
      </c>
      <c r="X274" s="197">
        <f t="shared" si="739"/>
        <v>350</v>
      </c>
      <c r="Y274" s="443">
        <f t="shared" si="680"/>
        <v>350</v>
      </c>
      <c r="AA274" s="217">
        <f t="shared" si="740"/>
        <v>2.7295169443112095</v>
      </c>
      <c r="AB274" s="173">
        <f t="shared" si="741"/>
        <v>1.9459571763028098</v>
      </c>
      <c r="AC274" s="173">
        <f t="shared" si="742"/>
        <v>0.92951653998394024</v>
      </c>
      <c r="AD274" s="173"/>
      <c r="AE274" s="173">
        <f t="shared" si="743"/>
        <v>0.95057463329229974</v>
      </c>
      <c r="AF274" s="545">
        <f t="shared" si="744"/>
        <v>915.23586842073507</v>
      </c>
      <c r="AG274" s="528">
        <f t="shared" si="745"/>
        <v>0.2218007477682033</v>
      </c>
      <c r="AI274" s="173">
        <f t="shared" si="746"/>
        <v>2.1561115716582608</v>
      </c>
      <c r="AJ274" s="173">
        <f t="shared" si="747"/>
        <v>2.1561115716582608</v>
      </c>
      <c r="AK274" s="173">
        <f t="shared" si="748"/>
        <v>1.8094653617221683</v>
      </c>
      <c r="AM274" s="545">
        <f t="shared" si="749"/>
        <v>580</v>
      </c>
      <c r="AN274" s="460">
        <f t="shared" si="750"/>
        <v>350</v>
      </c>
      <c r="AP274">
        <f t="shared" si="751"/>
        <v>580</v>
      </c>
      <c r="AQ274">
        <f t="shared" si="752"/>
        <v>350</v>
      </c>
      <c r="AS274" s="5">
        <f t="shared" si="763"/>
        <v>2.8571428571428572</v>
      </c>
      <c r="AT274" s="5">
        <f t="shared" si="753"/>
        <v>0.71976764770892643</v>
      </c>
      <c r="AU274" s="5">
        <f t="shared" si="722"/>
        <v>2.1373752094339307</v>
      </c>
      <c r="AV274" s="5"/>
      <c r="AW274" s="173">
        <f t="shared" si="723"/>
        <v>0.25191867669812423</v>
      </c>
      <c r="AX274" s="173">
        <f t="shared" si="631"/>
        <v>9.762515929821177</v>
      </c>
      <c r="AY274" s="173">
        <f t="shared" si="632"/>
        <v>0.80647339885629943</v>
      </c>
      <c r="AZ274" s="173">
        <f t="shared" si="633"/>
        <v>12.105192736258743</v>
      </c>
      <c r="BA274" s="460">
        <f t="shared" si="724"/>
        <v>2.5455197297023013</v>
      </c>
      <c r="BB274" s="5">
        <f t="shared" si="725"/>
        <v>0.47131494269811447</v>
      </c>
      <c r="BD274" s="173">
        <f t="shared" si="681"/>
        <v>0.62479966240424756</v>
      </c>
      <c r="BE274" s="173">
        <f t="shared" si="682"/>
        <v>1.0766759424291772</v>
      </c>
      <c r="BG274" s="528">
        <f t="shared" si="683"/>
        <v>7.8074923628092341E-3</v>
      </c>
      <c r="BH274" s="528">
        <f t="shared" si="754"/>
        <v>0.74679152070692334</v>
      </c>
      <c r="BI274" s="528">
        <f t="shared" si="755"/>
        <v>0.31453444141972614</v>
      </c>
      <c r="BJ274" s="528">
        <f t="shared" si="684"/>
        <v>9.7495755075610258E-2</v>
      </c>
      <c r="BK274">
        <f t="shared" si="685"/>
        <v>1.6176056987300201E-2</v>
      </c>
      <c r="BL274" s="460">
        <f t="shared" si="686"/>
        <v>330.71049840702631</v>
      </c>
      <c r="BM274" s="528">
        <f t="shared" si="756"/>
        <v>0.85579033365832402</v>
      </c>
      <c r="BN274" s="460">
        <f t="shared" si="687"/>
        <v>855.79033365832402</v>
      </c>
      <c r="BO274" s="528">
        <f t="shared" si="637"/>
        <v>0.40599999999999997</v>
      </c>
      <c r="BR274" s="460">
        <f t="shared" si="688"/>
        <v>406</v>
      </c>
      <c r="BS274" s="528">
        <f t="shared" si="689"/>
        <v>1.171123854421385E-2</v>
      </c>
      <c r="BT274" s="528">
        <f t="shared" si="690"/>
        <v>3.4776932550172703E-2</v>
      </c>
      <c r="BU274" s="528">
        <f t="shared" si="691"/>
        <v>0.78220068369376938</v>
      </c>
      <c r="BV274" s="528"/>
      <c r="BW274" s="528">
        <f t="shared" si="692"/>
        <v>8.1354299415176481E-3</v>
      </c>
      <c r="BX274" s="460">
        <f t="shared" si="693"/>
        <v>836.82428472967354</v>
      </c>
      <c r="BY274" s="173">
        <f t="shared" si="694"/>
        <v>2.4256295512820425</v>
      </c>
      <c r="BZ274" s="5">
        <f t="shared" si="695"/>
        <v>9.5119999999999987</v>
      </c>
      <c r="CA274" s="173">
        <f t="shared" si="696"/>
        <v>0.7968081065958742</v>
      </c>
      <c r="CB274" s="5">
        <f t="shared" si="697"/>
        <v>79.680810659587422</v>
      </c>
      <c r="CE274" s="562">
        <f t="shared" si="757"/>
        <v>-50</v>
      </c>
      <c r="CF274">
        <f t="shared" si="758"/>
        <v>-50</v>
      </c>
      <c r="CG274" s="173">
        <f t="shared" si="759"/>
        <v>0.54504419154019734</v>
      </c>
      <c r="CI274" s="170">
        <v>58</v>
      </c>
      <c r="CJ274" s="217">
        <f t="shared" si="698"/>
        <v>0.57999999999999996</v>
      </c>
      <c r="CK274" s="217"/>
      <c r="CL274" s="217">
        <f t="shared" si="641"/>
        <v>9.5119999999999987</v>
      </c>
      <c r="CM274" s="541">
        <f t="shared" si="642"/>
        <v>36</v>
      </c>
      <c r="CN274" s="443">
        <f t="shared" si="643"/>
        <v>16.799999999999997</v>
      </c>
      <c r="CO274" s="443">
        <f t="shared" si="644"/>
        <v>52.8</v>
      </c>
      <c r="CP274" s="443"/>
      <c r="CQ274" s="217">
        <f t="shared" si="645"/>
        <v>0.31818181818181812</v>
      </c>
      <c r="CR274" s="172">
        <f t="shared" si="646"/>
        <v>38.697272727272725</v>
      </c>
      <c r="CS274" s="172">
        <f t="shared" si="647"/>
        <v>9.5119999999999987</v>
      </c>
      <c r="CT274" s="217">
        <f t="shared" si="648"/>
        <v>2.3595898004434592</v>
      </c>
      <c r="CU274" s="217">
        <f t="shared" si="649"/>
        <v>16.399999999999999</v>
      </c>
      <c r="CV274" s="217"/>
      <c r="CW274" s="172">
        <f t="shared" si="650"/>
        <v>170.9805752488524</v>
      </c>
      <c r="CX274" s="172">
        <f t="shared" si="651"/>
        <v>16.399999999999999</v>
      </c>
      <c r="CY274" s="217">
        <f t="shared" si="652"/>
        <v>1.6608253968253968</v>
      </c>
      <c r="CZ274" s="217">
        <f t="shared" si="653"/>
        <v>0.55360846560846555</v>
      </c>
      <c r="DA274" s="217">
        <f t="shared" si="654"/>
        <v>1.1863038548752836</v>
      </c>
      <c r="DB274" s="197">
        <f t="shared" si="655"/>
        <v>350</v>
      </c>
      <c r="DC274" s="443">
        <f t="shared" si="656"/>
        <v>350</v>
      </c>
      <c r="DE274" s="217">
        <f t="shared" si="657"/>
        <v>2.7272727272727271</v>
      </c>
      <c r="DF274" s="173">
        <f t="shared" si="658"/>
        <v>1.9480519480519483</v>
      </c>
      <c r="DG274" s="173">
        <f t="shared" si="659"/>
        <v>0.92975206611570249</v>
      </c>
      <c r="DH274" s="173"/>
      <c r="DI274" s="173">
        <f t="shared" si="660"/>
        <v>0.95238095238095266</v>
      </c>
      <c r="DJ274" s="545">
        <f t="shared" si="661"/>
        <v>913.49999999999955</v>
      </c>
      <c r="DK274" s="528">
        <f t="shared" si="662"/>
        <v>0.22222222222222232</v>
      </c>
      <c r="DM274" s="173">
        <f t="shared" si="663"/>
        <v>2.1540659228538015</v>
      </c>
      <c r="DN274" s="173">
        <f t="shared" si="664"/>
        <v>2.1540659228538015</v>
      </c>
      <c r="DO274" s="173">
        <f t="shared" si="665"/>
        <v>1.8079500663114578</v>
      </c>
      <c r="DQ274" s="545">
        <f t="shared" si="666"/>
        <v>580</v>
      </c>
      <c r="DR274" s="460">
        <f t="shared" si="667"/>
        <v>350</v>
      </c>
      <c r="DT274">
        <f t="shared" si="668"/>
        <v>580</v>
      </c>
      <c r="DU274">
        <f t="shared" si="669"/>
        <v>350</v>
      </c>
      <c r="DW274" s="5">
        <f t="shared" si="670"/>
        <v>2.8571428571428572</v>
      </c>
      <c r="DX274" s="5">
        <f t="shared" si="671"/>
        <v>0.71802197428460057</v>
      </c>
      <c r="DY274" s="5">
        <f t="shared" si="672"/>
        <v>2.1391208828582569</v>
      </c>
      <c r="DZ274" s="5"/>
      <c r="EA274" s="173">
        <f t="shared" si="673"/>
        <v>0.2513076909996102</v>
      </c>
      <c r="EB274" s="173">
        <f t="shared" si="699"/>
        <v>9.7439999999999998</v>
      </c>
      <c r="EC274" s="173">
        <f t="shared" si="700"/>
        <v>0.80636629476023414</v>
      </c>
      <c r="ED274" s="173">
        <f t="shared" si="701"/>
        <v>12.08383840360948</v>
      </c>
      <c r="EE274" s="460">
        <f t="shared" si="674"/>
        <v>2.5393460066162703</v>
      </c>
      <c r="EF274" s="5">
        <f t="shared" si="675"/>
        <v>0.471002727725642</v>
      </c>
      <c r="EH274" s="173">
        <f t="shared" si="702"/>
        <v>0.62344945965656562</v>
      </c>
      <c r="EI274" s="173">
        <f t="shared" si="703"/>
        <v>1.0760936009105355</v>
      </c>
      <c r="EK274" s="528">
        <f t="shared" si="704"/>
        <v>7.7737845749212735E-3</v>
      </c>
      <c r="EL274" s="528">
        <f t="shared" si="705"/>
        <v>0.79614276508676496</v>
      </c>
      <c r="EM274" s="528">
        <f t="shared" si="706"/>
        <v>4.3749999999999997E-2</v>
      </c>
      <c r="EN274" s="528">
        <f t="shared" si="707"/>
        <v>9.7574399999999992E-2</v>
      </c>
      <c r="EO274">
        <f t="shared" si="708"/>
        <v>1.6199999999999999E-2</v>
      </c>
      <c r="EP274" s="460">
        <f t="shared" si="709"/>
        <v>59.949999999999996</v>
      </c>
      <c r="EQ274" s="460"/>
      <c r="ER274" s="460">
        <f t="shared" si="710"/>
        <v>961.44094966168609</v>
      </c>
      <c r="ES274" s="528">
        <f t="shared" si="711"/>
        <v>0.40599999999999997</v>
      </c>
      <c r="EV274" s="460">
        <f t="shared" si="712"/>
        <v>406</v>
      </c>
      <c r="EW274" s="528">
        <f t="shared" si="713"/>
        <v>1.1660676862381909E-2</v>
      </c>
      <c r="EX274" s="528">
        <f t="shared" si="714"/>
        <v>3.4739323137618086E-2</v>
      </c>
      <c r="EY274" s="528">
        <f t="shared" si="715"/>
        <v>0.78034668701679666</v>
      </c>
      <c r="EZ274" s="528"/>
      <c r="FA274" s="528">
        <f t="shared" si="716"/>
        <v>8.1200000000000005E-3</v>
      </c>
      <c r="FB274" s="460">
        <f t="shared" si="717"/>
        <v>834.86668701679662</v>
      </c>
      <c r="FC274" s="173">
        <f t="shared" si="718"/>
        <v>2.2023076366784826</v>
      </c>
      <c r="FD274" s="5">
        <f t="shared" si="719"/>
        <v>9.5119999999999987</v>
      </c>
      <c r="FE274" s="173">
        <f t="shared" si="720"/>
        <v>0.81199848040674028</v>
      </c>
      <c r="FF274" s="5">
        <f t="shared" si="721"/>
        <v>81.199848040674027</v>
      </c>
      <c r="FI274" s="562">
        <f t="shared" si="676"/>
        <v>-50</v>
      </c>
      <c r="FJ274">
        <f t="shared" si="677"/>
        <v>-50</v>
      </c>
      <c r="FL274">
        <f t="shared" si="760"/>
        <v>0.53851648071345037</v>
      </c>
    </row>
    <row r="275" spans="5:168">
      <c r="E275" s="170">
        <v>59</v>
      </c>
      <c r="F275" s="217">
        <f t="shared" si="761"/>
        <v>0.59</v>
      </c>
      <c r="G275" s="217"/>
      <c r="H275" s="217">
        <f t="shared" si="726"/>
        <v>9.6759999999999984</v>
      </c>
      <c r="I275" s="541">
        <f t="shared" si="727"/>
        <v>35.946336586907265</v>
      </c>
      <c r="J275" s="172">
        <f t="shared" si="728"/>
        <v>16.832198047855641</v>
      </c>
      <c r="K275" s="172">
        <f t="shared" si="729"/>
        <v>52.778534634762906</v>
      </c>
      <c r="L275" s="443"/>
      <c r="M275" s="217">
        <f t="shared" si="730"/>
        <v>0.31892632076751898</v>
      </c>
      <c r="N275" s="172">
        <f t="shared" si="731"/>
        <v>38.73000005505029</v>
      </c>
      <c r="O275" s="172">
        <f t="shared" si="762"/>
        <v>9.6759999999999984</v>
      </c>
      <c r="P275" s="217">
        <f t="shared" si="732"/>
        <v>2.3615853692103839</v>
      </c>
      <c r="Q275" s="217">
        <f t="shared" si="733"/>
        <v>16.399999999999999</v>
      </c>
      <c r="R275" s="217"/>
      <c r="S275" s="172">
        <f t="shared" si="734"/>
        <v>167.22608822427941</v>
      </c>
      <c r="T275" s="172">
        <f t="shared" si="735"/>
        <v>16.399999999999999</v>
      </c>
      <c r="U275" s="217">
        <f t="shared" si="736"/>
        <v>1.7325585116279512</v>
      </c>
      <c r="V275" s="217">
        <f t="shared" si="737"/>
        <v>0.57838166872081231</v>
      </c>
      <c r="W275" s="217">
        <f t="shared" si="738"/>
        <v>1.2351745197166373</v>
      </c>
      <c r="X275" s="197">
        <f t="shared" si="739"/>
        <v>350</v>
      </c>
      <c r="Y275" s="443">
        <f t="shared" si="680"/>
        <v>350</v>
      </c>
      <c r="AA275" s="217">
        <f t="shared" si="740"/>
        <v>2.7295361498255524</v>
      </c>
      <c r="AB275" s="173">
        <f t="shared" si="741"/>
        <v>1.9459391877865542</v>
      </c>
      <c r="AC275" s="173">
        <f t="shared" si="742"/>
        <v>0.92951448772447542</v>
      </c>
      <c r="AD275" s="173"/>
      <c r="AE275" s="173">
        <f t="shared" si="743"/>
        <v>0.95055915778262501</v>
      </c>
      <c r="AF275" s="545">
        <f t="shared" si="744"/>
        <v>931.03095452201478</v>
      </c>
      <c r="AG275" s="528">
        <f t="shared" si="745"/>
        <v>0.22179713681594587</v>
      </c>
      <c r="AI275" s="173">
        <f t="shared" si="746"/>
        <v>2.1746370083779643</v>
      </c>
      <c r="AJ275" s="173">
        <f t="shared" si="747"/>
        <v>2.1746370083779643</v>
      </c>
      <c r="AK275" s="173">
        <f t="shared" si="748"/>
        <v>1.8231879074404671</v>
      </c>
      <c r="AM275" s="545">
        <f t="shared" si="749"/>
        <v>590</v>
      </c>
      <c r="AN275" s="460">
        <f t="shared" si="750"/>
        <v>350</v>
      </c>
      <c r="AP275">
        <f t="shared" si="751"/>
        <v>590</v>
      </c>
      <c r="AQ275">
        <f t="shared" si="752"/>
        <v>350</v>
      </c>
      <c r="AS275" s="5">
        <f t="shared" si="763"/>
        <v>2.8571428571428572</v>
      </c>
      <c r="AT275" s="5">
        <f t="shared" si="753"/>
        <v>0.72596115705544217</v>
      </c>
      <c r="AU275" s="5">
        <f t="shared" si="722"/>
        <v>2.1311817000874149</v>
      </c>
      <c r="AV275" s="5"/>
      <c r="AW275" s="173">
        <f t="shared" si="723"/>
        <v>0.25408640496940477</v>
      </c>
      <c r="AX275" s="173">
        <f t="shared" si="631"/>
        <v>9.9309968482348321</v>
      </c>
      <c r="AY275" s="173">
        <f t="shared" si="632"/>
        <v>0.811045654402893</v>
      </c>
      <c r="AZ275" s="173">
        <f t="shared" si="633"/>
        <v>12.244682890935675</v>
      </c>
      <c r="BA275" s="460">
        <f t="shared" si="724"/>
        <v>2.6116895284311643</v>
      </c>
      <c r="BB275" s="5">
        <f t="shared" si="725"/>
        <v>0.47805785160215564</v>
      </c>
      <c r="BD275" s="173">
        <f t="shared" si="681"/>
        <v>0.63287342786946776</v>
      </c>
      <c r="BE275" s="173">
        <f t="shared" si="682"/>
        <v>1.0843523091531508</v>
      </c>
      <c r="BG275" s="528">
        <f t="shared" si="683"/>
        <v>8.0105755140650083E-3</v>
      </c>
      <c r="BH275" s="528">
        <f t="shared" si="754"/>
        <v>0.75320538998718278</v>
      </c>
      <c r="BI275" s="528">
        <f t="shared" si="755"/>
        <v>0.31453044513543854</v>
      </c>
      <c r="BJ275" s="528">
        <f t="shared" si="684"/>
        <v>9.7495080136750373E-2</v>
      </c>
      <c r="BK275">
        <f t="shared" si="685"/>
        <v>1.6175851464108267E-2</v>
      </c>
      <c r="BL275" s="460">
        <f t="shared" si="686"/>
        <v>330.70629659954682</v>
      </c>
      <c r="BM275" s="528">
        <f t="shared" si="756"/>
        <v>0.86251553784026247</v>
      </c>
      <c r="BN275" s="460">
        <f t="shared" si="687"/>
        <v>862.51553784026248</v>
      </c>
      <c r="BO275" s="528">
        <f t="shared" si="637"/>
        <v>0.41299999999999998</v>
      </c>
      <c r="BR275" s="460">
        <f t="shared" si="688"/>
        <v>413</v>
      </c>
      <c r="BS275" s="528">
        <f t="shared" si="689"/>
        <v>1.2015863271097512E-2</v>
      </c>
      <c r="BT275" s="528">
        <f t="shared" si="690"/>
        <v>3.5274597910973107E-2</v>
      </c>
      <c r="BU275" s="528">
        <f t="shared" si="691"/>
        <v>0.79911089506273603</v>
      </c>
      <c r="BV275" s="528"/>
      <c r="BW275" s="528">
        <f t="shared" si="692"/>
        <v>8.2758307068623582E-3</v>
      </c>
      <c r="BX275" s="460">
        <f t="shared" si="693"/>
        <v>854.677186951669</v>
      </c>
      <c r="BY275" s="173">
        <f t="shared" si="694"/>
        <v>2.4570945291892139</v>
      </c>
      <c r="BZ275" s="5">
        <f t="shared" si="695"/>
        <v>9.6759999999999984</v>
      </c>
      <c r="CA275" s="173">
        <f t="shared" si="696"/>
        <v>0.79748822336477687</v>
      </c>
      <c r="CB275" s="5">
        <f t="shared" si="697"/>
        <v>79.748822336477687</v>
      </c>
      <c r="CE275" s="562">
        <f t="shared" si="757"/>
        <v>-50</v>
      </c>
      <c r="CF275">
        <f t="shared" si="758"/>
        <v>-50</v>
      </c>
      <c r="CG275" s="173">
        <f t="shared" si="759"/>
        <v>0.549722768267078</v>
      </c>
      <c r="CI275" s="170">
        <v>59</v>
      </c>
      <c r="CJ275" s="217">
        <f t="shared" si="698"/>
        <v>0.59</v>
      </c>
      <c r="CK275" s="217"/>
      <c r="CL275" s="217">
        <f t="shared" si="641"/>
        <v>9.6759999999999984</v>
      </c>
      <c r="CM275" s="541">
        <f t="shared" si="642"/>
        <v>36</v>
      </c>
      <c r="CN275" s="443">
        <f t="shared" si="643"/>
        <v>16.799999999999997</v>
      </c>
      <c r="CO275" s="443">
        <f t="shared" si="644"/>
        <v>52.8</v>
      </c>
      <c r="CP275" s="443"/>
      <c r="CQ275" s="217">
        <f t="shared" si="645"/>
        <v>0.31818181818181812</v>
      </c>
      <c r="CR275" s="172">
        <f t="shared" si="646"/>
        <v>38.697272727272725</v>
      </c>
      <c r="CS275" s="172">
        <f t="shared" si="647"/>
        <v>9.6759999999999984</v>
      </c>
      <c r="CT275" s="217">
        <f t="shared" si="648"/>
        <v>2.3595898004434592</v>
      </c>
      <c r="CU275" s="217">
        <f t="shared" si="649"/>
        <v>16.399999999999999</v>
      </c>
      <c r="CV275" s="217"/>
      <c r="CW275" s="172">
        <f t="shared" si="650"/>
        <v>167.47560830636479</v>
      </c>
      <c r="CX275" s="172">
        <f t="shared" si="651"/>
        <v>16.399999999999999</v>
      </c>
      <c r="CY275" s="217">
        <f t="shared" si="652"/>
        <v>1.6894603174603173</v>
      </c>
      <c r="CZ275" s="217">
        <f t="shared" si="653"/>
        <v>0.56315343915343907</v>
      </c>
      <c r="DA275" s="217">
        <f t="shared" si="654"/>
        <v>1.2067573696145126</v>
      </c>
      <c r="DB275" s="197">
        <f t="shared" si="655"/>
        <v>350</v>
      </c>
      <c r="DC275" s="443">
        <f t="shared" si="656"/>
        <v>350</v>
      </c>
      <c r="DE275" s="217">
        <f t="shared" si="657"/>
        <v>2.7272727272727271</v>
      </c>
      <c r="DF275" s="173">
        <f t="shared" si="658"/>
        <v>1.9480519480519483</v>
      </c>
      <c r="DG275" s="173">
        <f t="shared" si="659"/>
        <v>0.92975206611570249</v>
      </c>
      <c r="DH275" s="173"/>
      <c r="DI275" s="173">
        <f t="shared" si="660"/>
        <v>0.95238095238095266</v>
      </c>
      <c r="DJ275" s="545">
        <f t="shared" si="661"/>
        <v>929.24999999999955</v>
      </c>
      <c r="DK275" s="528">
        <f t="shared" si="662"/>
        <v>0.22222222222222232</v>
      </c>
      <c r="DM275" s="173">
        <f t="shared" si="663"/>
        <v>2.1725560982400429</v>
      </c>
      <c r="DN275" s="173">
        <f t="shared" si="664"/>
        <v>2.1725560982400429</v>
      </c>
      <c r="DO275" s="173">
        <f t="shared" si="665"/>
        <v>1.8216464925234885</v>
      </c>
      <c r="DQ275" s="545">
        <f t="shared" si="666"/>
        <v>590</v>
      </c>
      <c r="DR275" s="460">
        <f t="shared" si="667"/>
        <v>350</v>
      </c>
      <c r="DT275">
        <f t="shared" si="668"/>
        <v>590</v>
      </c>
      <c r="DU275">
        <f t="shared" si="669"/>
        <v>350</v>
      </c>
      <c r="DW275" s="5">
        <f t="shared" si="670"/>
        <v>2.8571428571428572</v>
      </c>
      <c r="DX275" s="5">
        <f t="shared" si="671"/>
        <v>0.72418536608001427</v>
      </c>
      <c r="DY275" s="5">
        <f t="shared" si="672"/>
        <v>2.132957491062843</v>
      </c>
      <c r="DZ275" s="5"/>
      <c r="EA275" s="173">
        <f t="shared" si="673"/>
        <v>0.253464878128005</v>
      </c>
      <c r="EB275" s="173">
        <f t="shared" si="699"/>
        <v>9.9119999999999973</v>
      </c>
      <c r="EC275" s="173">
        <f t="shared" si="700"/>
        <v>0.81094471578668814</v>
      </c>
      <c r="ED275" s="173">
        <f t="shared" si="701"/>
        <v>12.222781414124489</v>
      </c>
      <c r="EE275" s="460">
        <f t="shared" si="674"/>
        <v>2.6053010121171245</v>
      </c>
      <c r="EF275" s="5">
        <f t="shared" si="675"/>
        <v>0.47774297878527922</v>
      </c>
      <c r="EH275" s="173">
        <f t="shared" si="702"/>
        <v>0.63149405506945289</v>
      </c>
      <c r="EI275" s="173">
        <f t="shared" si="703"/>
        <v>1.0837659303305636</v>
      </c>
      <c r="EK275" s="528">
        <f t="shared" si="704"/>
        <v>7.9756948317612243E-3</v>
      </c>
      <c r="EL275" s="528">
        <f t="shared" si="705"/>
        <v>0.80297673390951974</v>
      </c>
      <c r="EM275" s="528">
        <f t="shared" si="706"/>
        <v>4.3749999999999997E-2</v>
      </c>
      <c r="EN275" s="528">
        <f t="shared" si="707"/>
        <v>9.7574399999999992E-2</v>
      </c>
      <c r="EO275">
        <f t="shared" si="708"/>
        <v>1.6199999999999999E-2</v>
      </c>
      <c r="EP275" s="460">
        <f t="shared" si="709"/>
        <v>59.949999999999996</v>
      </c>
      <c r="EQ275" s="460"/>
      <c r="ER275" s="460">
        <f t="shared" si="710"/>
        <v>968.47682874128077</v>
      </c>
      <c r="ES275" s="528">
        <f t="shared" si="711"/>
        <v>0.41299999999999998</v>
      </c>
      <c r="EV275" s="460">
        <f t="shared" si="712"/>
        <v>413</v>
      </c>
      <c r="EW275" s="528">
        <f t="shared" si="713"/>
        <v>1.1963542247641836E-2</v>
      </c>
      <c r="EX275" s="528">
        <f t="shared" si="714"/>
        <v>3.5236457752358161E-2</v>
      </c>
      <c r="EY275" s="528">
        <f t="shared" si="715"/>
        <v>0.79720059377926245</v>
      </c>
      <c r="EZ275" s="528"/>
      <c r="FA275" s="528">
        <f t="shared" si="716"/>
        <v>8.2599999999999982E-3</v>
      </c>
      <c r="FB275" s="460">
        <f t="shared" si="717"/>
        <v>852.66059377926251</v>
      </c>
      <c r="FC275" s="173">
        <f t="shared" si="718"/>
        <v>2.234137422520543</v>
      </c>
      <c r="FD275" s="5">
        <f t="shared" si="719"/>
        <v>9.6759999999999984</v>
      </c>
      <c r="FE275" s="173">
        <f t="shared" si="720"/>
        <v>0.81241715831959449</v>
      </c>
      <c r="FF275" s="5">
        <f t="shared" si="721"/>
        <v>81.241715831959453</v>
      </c>
      <c r="FI275" s="562">
        <f t="shared" si="676"/>
        <v>-50</v>
      </c>
      <c r="FJ275">
        <f t="shared" si="677"/>
        <v>-50</v>
      </c>
      <c r="FL275">
        <f t="shared" si="760"/>
        <v>0.54313902456001084</v>
      </c>
    </row>
    <row r="276" spans="5:168">
      <c r="E276" s="170">
        <v>60</v>
      </c>
      <c r="F276" s="217">
        <f t="shared" si="761"/>
        <v>0.6</v>
      </c>
      <c r="G276" s="217"/>
      <c r="H276" s="217">
        <f t="shared" si="726"/>
        <v>9.8399999999999981</v>
      </c>
      <c r="I276" s="541">
        <f t="shared" si="727"/>
        <v>35.94588372307178</v>
      </c>
      <c r="J276" s="172">
        <f t="shared" si="728"/>
        <v>16.832469766156926</v>
      </c>
      <c r="K276" s="172">
        <f t="shared" si="729"/>
        <v>52.778353489228707</v>
      </c>
      <c r="L276" s="443"/>
      <c r="M276" s="217">
        <f t="shared" si="730"/>
        <v>0.31893260613111785</v>
      </c>
      <c r="N276" s="172">
        <f t="shared" si="731"/>
        <v>38.730275398514884</v>
      </c>
      <c r="O276" s="172">
        <f t="shared" si="762"/>
        <v>9.8399999999999981</v>
      </c>
      <c r="P276" s="217">
        <f t="shared" si="732"/>
        <v>2.3616021584460296</v>
      </c>
      <c r="Q276" s="217">
        <f t="shared" si="733"/>
        <v>16.399999999999999</v>
      </c>
      <c r="R276" s="217"/>
      <c r="S276" s="172">
        <f t="shared" si="734"/>
        <v>163.84101452605242</v>
      </c>
      <c r="T276" s="172">
        <f t="shared" si="735"/>
        <v>16.399999999999999</v>
      </c>
      <c r="U276" s="217">
        <f t="shared" si="736"/>
        <v>1.761940170389396</v>
      </c>
      <c r="V276" s="217">
        <f t="shared" si="737"/>
        <v>0.58819758633731933</v>
      </c>
      <c r="W276" s="217">
        <f t="shared" si="738"/>
        <v>1.2561009963720875</v>
      </c>
      <c r="X276" s="197">
        <f t="shared" si="739"/>
        <v>350</v>
      </c>
      <c r="Y276" s="443">
        <f t="shared" si="680"/>
        <v>350</v>
      </c>
      <c r="AA276" s="217">
        <f t="shared" si="740"/>
        <v>2.7295551922756762</v>
      </c>
      <c r="AB276" s="173">
        <f t="shared" si="741"/>
        <v>1.9459213509573074</v>
      </c>
      <c r="AC276" s="173">
        <f t="shared" si="742"/>
        <v>0.92951245227148294</v>
      </c>
      <c r="AD276" s="173"/>
      <c r="AE276" s="173">
        <f t="shared" si="743"/>
        <v>0.95054381337249316</v>
      </c>
      <c r="AF276" s="545">
        <f t="shared" si="744"/>
        <v>946.82642434632669</v>
      </c>
      <c r="AG276" s="528">
        <f t="shared" si="745"/>
        <v>0.22179355645358179</v>
      </c>
      <c r="AI276" s="173">
        <f t="shared" si="746"/>
        <v>2.1930064012776698</v>
      </c>
      <c r="AJ276" s="173">
        <f t="shared" si="747"/>
        <v>2.1930064012776698</v>
      </c>
      <c r="AK276" s="173">
        <f t="shared" si="748"/>
        <v>1.8367948651439527</v>
      </c>
      <c r="AM276" s="545">
        <f t="shared" si="749"/>
        <v>600</v>
      </c>
      <c r="AN276" s="460">
        <f t="shared" si="750"/>
        <v>350</v>
      </c>
      <c r="AP276">
        <f t="shared" si="751"/>
        <v>600</v>
      </c>
      <c r="AQ276">
        <f t="shared" si="752"/>
        <v>350</v>
      </c>
      <c r="AS276" s="5">
        <f t="shared" si="763"/>
        <v>2.8571428571428572</v>
      </c>
      <c r="AT276" s="5">
        <f t="shared" si="753"/>
        <v>0.73210265236687244</v>
      </c>
      <c r="AU276" s="5">
        <f t="shared" si="722"/>
        <v>2.1250402047759849</v>
      </c>
      <c r="AV276" s="5"/>
      <c r="AW276" s="173">
        <f t="shared" si="723"/>
        <v>0.25623592832840536</v>
      </c>
      <c r="AX276" s="173">
        <f t="shared" si="631"/>
        <v>10.099481859694157</v>
      </c>
      <c r="AY276" s="173">
        <f t="shared" si="632"/>
        <v>0.81553968510807529</v>
      </c>
      <c r="AZ276" s="173">
        <f t="shared" si="633"/>
        <v>12.383801848166069</v>
      </c>
      <c r="BA276" s="460">
        <f t="shared" si="724"/>
        <v>2.6784243379275825</v>
      </c>
      <c r="BB276" s="5">
        <f t="shared" si="725"/>
        <v>0.4847656497586304</v>
      </c>
      <c r="BD276" s="173">
        <f t="shared" si="681"/>
        <v>0.64091330047281414</v>
      </c>
      <c r="BE276" s="173">
        <f t="shared" si="682"/>
        <v>1.0919352086816581</v>
      </c>
      <c r="BG276" s="528">
        <f t="shared" si="683"/>
        <v>8.2153971744591148E-3</v>
      </c>
      <c r="BH276" s="528">
        <f t="shared" si="754"/>
        <v>0.75956519002070566</v>
      </c>
      <c r="BI276" s="528">
        <f t="shared" si="755"/>
        <v>0.31452648257687804</v>
      </c>
      <c r="BJ276" s="528">
        <f t="shared" si="684"/>
        <v>9.7494410896189293E-2</v>
      </c>
      <c r="BK276">
        <f t="shared" si="685"/>
        <v>1.61756476753823E-2</v>
      </c>
      <c r="BL276" s="460">
        <f t="shared" si="686"/>
        <v>330.70213025226036</v>
      </c>
      <c r="BM276" s="528">
        <f t="shared" si="756"/>
        <v>0.86918979500656346</v>
      </c>
      <c r="BN276" s="460">
        <f t="shared" si="687"/>
        <v>869.18979500656349</v>
      </c>
      <c r="BO276" s="528">
        <f t="shared" si="637"/>
        <v>0.42</v>
      </c>
      <c r="BR276" s="460">
        <f t="shared" si="688"/>
        <v>420</v>
      </c>
      <c r="BS276" s="528">
        <f t="shared" si="689"/>
        <v>1.2323095761688671E-2</v>
      </c>
      <c r="BT276" s="528">
        <f t="shared" si="690"/>
        <v>3.576967499875968E-2</v>
      </c>
      <c r="BU276" s="528">
        <f t="shared" si="691"/>
        <v>0.81609339628769384</v>
      </c>
      <c r="BV276" s="528"/>
      <c r="BW276" s="528">
        <f t="shared" si="692"/>
        <v>8.4162348830784627E-3</v>
      </c>
      <c r="BX276" s="460">
        <f t="shared" si="693"/>
        <v>872.60240193122058</v>
      </c>
      <c r="BY276" s="173">
        <f t="shared" si="694"/>
        <v>2.4885795302748348</v>
      </c>
      <c r="BZ276" s="5">
        <f t="shared" si="695"/>
        <v>9.8399999999999981</v>
      </c>
      <c r="CA276" s="173">
        <f t="shared" si="696"/>
        <v>0.79814547781731682</v>
      </c>
      <c r="CB276" s="5">
        <f t="shared" si="697"/>
        <v>79.814547781731676</v>
      </c>
      <c r="CE276" s="562">
        <f t="shared" si="757"/>
        <v>-50</v>
      </c>
      <c r="CF276">
        <f t="shared" si="758"/>
        <v>-50</v>
      </c>
      <c r="CG276" s="173">
        <f t="shared" si="759"/>
        <v>0.55436186121587738</v>
      </c>
      <c r="CI276" s="170">
        <v>60</v>
      </c>
      <c r="CJ276" s="217">
        <f t="shared" si="698"/>
        <v>0.6</v>
      </c>
      <c r="CK276" s="217"/>
      <c r="CL276" s="217">
        <f t="shared" si="641"/>
        <v>9.8399999999999981</v>
      </c>
      <c r="CM276" s="541">
        <f t="shared" si="642"/>
        <v>36</v>
      </c>
      <c r="CN276" s="443">
        <f t="shared" si="643"/>
        <v>16.799999999999997</v>
      </c>
      <c r="CO276" s="443">
        <f t="shared" si="644"/>
        <v>52.8</v>
      </c>
      <c r="CP276" s="443"/>
      <c r="CQ276" s="217">
        <f t="shared" si="645"/>
        <v>0.31818181818181812</v>
      </c>
      <c r="CR276" s="172">
        <f t="shared" si="646"/>
        <v>38.697272727272725</v>
      </c>
      <c r="CS276" s="172">
        <f t="shared" si="647"/>
        <v>9.8399999999999981</v>
      </c>
      <c r="CT276" s="217">
        <f t="shared" si="648"/>
        <v>2.3595898004434592</v>
      </c>
      <c r="CU276" s="217">
        <f t="shared" si="649"/>
        <v>16.399999999999999</v>
      </c>
      <c r="CV276" s="217"/>
      <c r="CW276" s="172">
        <f t="shared" si="650"/>
        <v>164.08754462250045</v>
      </c>
      <c r="CX276" s="172">
        <f t="shared" si="651"/>
        <v>16.399999999999999</v>
      </c>
      <c r="CY276" s="217">
        <f t="shared" si="652"/>
        <v>1.7180952380952379</v>
      </c>
      <c r="CZ276" s="217">
        <f t="shared" si="653"/>
        <v>0.5726984126984126</v>
      </c>
      <c r="DA276" s="217">
        <f t="shared" si="654"/>
        <v>1.2272108843537417</v>
      </c>
      <c r="DB276" s="197">
        <f t="shared" si="655"/>
        <v>350</v>
      </c>
      <c r="DC276" s="443">
        <f t="shared" si="656"/>
        <v>350</v>
      </c>
      <c r="DE276" s="217">
        <f t="shared" si="657"/>
        <v>2.7272727272727271</v>
      </c>
      <c r="DF276" s="173">
        <f t="shared" si="658"/>
        <v>1.9480519480519483</v>
      </c>
      <c r="DG276" s="173">
        <f t="shared" si="659"/>
        <v>0.92975206611570249</v>
      </c>
      <c r="DH276" s="173"/>
      <c r="DI276" s="173">
        <f t="shared" si="660"/>
        <v>0.95238095238095266</v>
      </c>
      <c r="DJ276" s="545">
        <f t="shared" si="661"/>
        <v>944.99999999999955</v>
      </c>
      <c r="DK276" s="528">
        <f t="shared" si="662"/>
        <v>0.22222222222222232</v>
      </c>
      <c r="DM276" s="173">
        <f t="shared" si="663"/>
        <v>2.1908902300206643</v>
      </c>
      <c r="DN276" s="173">
        <f t="shared" si="664"/>
        <v>2.1908902300206643</v>
      </c>
      <c r="DO276" s="173">
        <f t="shared" si="665"/>
        <v>1.8352273308795042</v>
      </c>
      <c r="DQ276" s="545">
        <f t="shared" si="666"/>
        <v>600</v>
      </c>
      <c r="DR276" s="460">
        <f t="shared" si="667"/>
        <v>350</v>
      </c>
      <c r="DT276">
        <f t="shared" si="668"/>
        <v>600</v>
      </c>
      <c r="DU276">
        <f t="shared" si="669"/>
        <v>350</v>
      </c>
      <c r="DW276" s="5">
        <f t="shared" si="670"/>
        <v>2.8571428571428572</v>
      </c>
      <c r="DX276" s="5">
        <f t="shared" si="671"/>
        <v>0.73029674334022154</v>
      </c>
      <c r="DY276" s="5">
        <f t="shared" si="672"/>
        <v>2.1268461138026358</v>
      </c>
      <c r="DZ276" s="5"/>
      <c r="EA276" s="173">
        <f t="shared" si="673"/>
        <v>0.25560386016907755</v>
      </c>
      <c r="EB276" s="173">
        <f t="shared" si="699"/>
        <v>10.079999999999998</v>
      </c>
      <c r="EC276" s="173">
        <f t="shared" si="700"/>
        <v>0.81544511501033212</v>
      </c>
      <c r="ED276" s="173">
        <f t="shared" si="701"/>
        <v>12.361346967995853</v>
      </c>
      <c r="EE276" s="460">
        <f t="shared" si="674"/>
        <v>2.6718173536837377</v>
      </c>
      <c r="EF276" s="5">
        <f t="shared" si="675"/>
        <v>0.48444828147726682</v>
      </c>
      <c r="EH276" s="173">
        <f t="shared" si="702"/>
        <v>0.63950463350199738</v>
      </c>
      <c r="EI276" s="173">
        <f t="shared" si="703"/>
        <v>1.0913449609218324</v>
      </c>
      <c r="EK276" s="528">
        <f t="shared" si="704"/>
        <v>8.1793235254104795E-3</v>
      </c>
      <c r="EL276" s="528">
        <f t="shared" si="705"/>
        <v>0.8097530290156375</v>
      </c>
      <c r="EM276" s="528">
        <f t="shared" si="706"/>
        <v>4.3749999999999997E-2</v>
      </c>
      <c r="EN276" s="528">
        <f t="shared" si="707"/>
        <v>9.7574399999999992E-2</v>
      </c>
      <c r="EO276">
        <f t="shared" si="708"/>
        <v>1.6199999999999999E-2</v>
      </c>
      <c r="EP276" s="460">
        <f t="shared" si="709"/>
        <v>59.949999999999996</v>
      </c>
      <c r="EQ276" s="460"/>
      <c r="ER276" s="460">
        <f t="shared" si="710"/>
        <v>975.45675254104788</v>
      </c>
      <c r="ES276" s="528">
        <f t="shared" si="711"/>
        <v>0.42</v>
      </c>
      <c r="EV276" s="460">
        <f t="shared" si="712"/>
        <v>420</v>
      </c>
      <c r="EW276" s="528">
        <f t="shared" si="713"/>
        <v>1.226898528811572E-2</v>
      </c>
      <c r="EX276" s="528">
        <f t="shared" si="714"/>
        <v>3.5731014711884279E-2</v>
      </c>
      <c r="EY276" s="528">
        <f t="shared" si="715"/>
        <v>0.81412606992236092</v>
      </c>
      <c r="EZ276" s="528"/>
      <c r="FA276" s="528">
        <f t="shared" si="716"/>
        <v>8.3999999999999995E-3</v>
      </c>
      <c r="FB276" s="460">
        <f t="shared" si="717"/>
        <v>870.52606992236088</v>
      </c>
      <c r="FC276" s="173">
        <f t="shared" si="718"/>
        <v>2.2659828224634087</v>
      </c>
      <c r="FD276" s="5">
        <f t="shared" si="719"/>
        <v>9.8399999999999981</v>
      </c>
      <c r="FE276" s="173">
        <f t="shared" si="720"/>
        <v>0.81282124254639321</v>
      </c>
      <c r="FF276" s="5">
        <f t="shared" si="721"/>
        <v>81.282124254639314</v>
      </c>
      <c r="FI276" s="562">
        <f t="shared" si="676"/>
        <v>-50</v>
      </c>
      <c r="FJ276">
        <f t="shared" si="677"/>
        <v>-50</v>
      </c>
      <c r="FL276">
        <f t="shared" si="760"/>
        <v>0.54772255750516619</v>
      </c>
    </row>
    <row r="277" spans="5:168">
      <c r="E277" s="170">
        <v>61</v>
      </c>
      <c r="F277" s="217">
        <f t="shared" si="761"/>
        <v>0.61</v>
      </c>
      <c r="G277" s="217"/>
      <c r="H277" s="217">
        <f t="shared" si="726"/>
        <v>10.004</v>
      </c>
      <c r="I277" s="541">
        <f t="shared" si="727"/>
        <v>35.94543461763736</v>
      </c>
      <c r="J277" s="172">
        <f t="shared" si="728"/>
        <v>16.83273922941758</v>
      </c>
      <c r="K277" s="172">
        <f t="shared" si="729"/>
        <v>52.778173847054944</v>
      </c>
      <c r="L277" s="443"/>
      <c r="M277" s="217">
        <f t="shared" si="730"/>
        <v>0.31893883937315182</v>
      </c>
      <c r="N277" s="172">
        <f t="shared" si="731"/>
        <v>38.73054844293965</v>
      </c>
      <c r="O277" s="172">
        <f t="shared" si="762"/>
        <v>10.004</v>
      </c>
      <c r="P277" s="217">
        <f t="shared" si="732"/>
        <v>2.3616188074963205</v>
      </c>
      <c r="Q277" s="217">
        <f t="shared" si="733"/>
        <v>16.399999999999999</v>
      </c>
      <c r="R277" s="217"/>
      <c r="S277" s="172">
        <f t="shared" si="734"/>
        <v>160.56702908952306</v>
      </c>
      <c r="T277" s="172">
        <f t="shared" si="735"/>
        <v>16.399999999999999</v>
      </c>
      <c r="U277" s="217">
        <f t="shared" si="736"/>
        <v>1.791322234374829</v>
      </c>
      <c r="V277" s="217">
        <f t="shared" si="737"/>
        <v>0.59801382404069092</v>
      </c>
      <c r="W277" s="217">
        <f t="shared" si="738"/>
        <v>1.2770272573896289</v>
      </c>
      <c r="X277" s="197">
        <f t="shared" si="739"/>
        <v>350</v>
      </c>
      <c r="Y277" s="443">
        <f t="shared" si="680"/>
        <v>350</v>
      </c>
      <c r="AA277" s="217">
        <f t="shared" si="740"/>
        <v>2.7295740757216165</v>
      </c>
      <c r="AB277" s="173">
        <f t="shared" si="741"/>
        <v>1.9459036620382988</v>
      </c>
      <c r="AC277" s="173">
        <f t="shared" si="742"/>
        <v>0.92951043320651217</v>
      </c>
      <c r="AD277" s="173"/>
      <c r="AE277" s="173">
        <f t="shared" si="743"/>
        <v>0.95052859679770663</v>
      </c>
      <c r="AF277" s="545">
        <f t="shared" si="744"/>
        <v>962.62227468231765</v>
      </c>
      <c r="AG277" s="528">
        <f t="shared" si="745"/>
        <v>0.22179000591946491</v>
      </c>
      <c r="AI277" s="173">
        <f t="shared" si="746"/>
        <v>2.2112236356009638</v>
      </c>
      <c r="AJ277" s="173">
        <f t="shared" si="747"/>
        <v>2.2112236356009638</v>
      </c>
      <c r="AK277" s="173">
        <f t="shared" si="748"/>
        <v>1.8502891127908372</v>
      </c>
      <c r="AM277" s="545">
        <f t="shared" si="749"/>
        <v>610</v>
      </c>
      <c r="AN277" s="460">
        <f t="shared" si="750"/>
        <v>350</v>
      </c>
      <c r="AP277">
        <f t="shared" si="751"/>
        <v>610</v>
      </c>
      <c r="AQ277">
        <f t="shared" si="752"/>
        <v>350</v>
      </c>
      <c r="AS277" s="5">
        <f t="shared" si="763"/>
        <v>2.8571428571428572</v>
      </c>
      <c r="AT277" s="5">
        <f t="shared" si="753"/>
        <v>0.73819342871964566</v>
      </c>
      <c r="AU277" s="5">
        <f t="shared" si="722"/>
        <v>2.1189494284232113</v>
      </c>
      <c r="AV277" s="5"/>
      <c r="AW277" s="173">
        <f t="shared" si="723"/>
        <v>0.25836770005187598</v>
      </c>
      <c r="AX277" s="173">
        <f t="shared" si="631"/>
        <v>10.267970929944722</v>
      </c>
      <c r="AY277" s="173">
        <f t="shared" si="632"/>
        <v>0.8199574352851976</v>
      </c>
      <c r="AZ277" s="173">
        <f t="shared" si="633"/>
        <v>12.522565791934451</v>
      </c>
      <c r="BA277" s="460">
        <f t="shared" si="724"/>
        <v>2.7457194604816091</v>
      </c>
      <c r="BB277" s="5">
        <f t="shared" si="725"/>
        <v>0.49143862791466952</v>
      </c>
      <c r="BD277" s="173">
        <f t="shared" si="681"/>
        <v>0.64891998594115086</v>
      </c>
      <c r="BE277" s="173">
        <f t="shared" si="682"/>
        <v>1.0994268995221637</v>
      </c>
      <c r="BG277" s="528">
        <f t="shared" si="683"/>
        <v>8.4219429630772689E-3</v>
      </c>
      <c r="BH277" s="528">
        <f t="shared" si="754"/>
        <v>0.76587226704492362</v>
      </c>
      <c r="BI277" s="528">
        <f t="shared" si="755"/>
        <v>0.3145225529043269</v>
      </c>
      <c r="BJ277" s="528">
        <f t="shared" si="684"/>
        <v>9.7493747212048412E-2</v>
      </c>
      <c r="BK277">
        <f t="shared" si="685"/>
        <v>1.6175445577936813E-2</v>
      </c>
      <c r="BL277" s="460">
        <f t="shared" si="686"/>
        <v>330.6979984822637</v>
      </c>
      <c r="BM277" s="528">
        <f t="shared" si="756"/>
        <v>0.87581443348720456</v>
      </c>
      <c r="BN277" s="460">
        <f t="shared" si="687"/>
        <v>875.81443348720461</v>
      </c>
      <c r="BO277" s="528">
        <f t="shared" si="637"/>
        <v>0.42699999999999999</v>
      </c>
      <c r="BR277" s="460">
        <f t="shared" si="688"/>
        <v>427</v>
      </c>
      <c r="BS277" s="528">
        <f t="shared" si="689"/>
        <v>1.2632914444615902E-2</v>
      </c>
      <c r="BT277" s="528">
        <f t="shared" si="690"/>
        <v>3.6262185221787528E-2</v>
      </c>
      <c r="BU277" s="528">
        <f t="shared" si="691"/>
        <v>0.83314728778311653</v>
      </c>
      <c r="BV277" s="528"/>
      <c r="BW277" s="528">
        <f t="shared" si="692"/>
        <v>8.5566424416206027E-3</v>
      </c>
      <c r="BX277" s="460">
        <f t="shared" si="693"/>
        <v>890.59902989114062</v>
      </c>
      <c r="BY277" s="173">
        <f t="shared" si="694"/>
        <v>2.5200849855934542</v>
      </c>
      <c r="BZ277" s="5">
        <f t="shared" si="695"/>
        <v>10.004</v>
      </c>
      <c r="CA277" s="173">
        <f t="shared" si="696"/>
        <v>0.79878090986348893</v>
      </c>
      <c r="CB277" s="5">
        <f t="shared" si="697"/>
        <v>79.878090986348894</v>
      </c>
      <c r="CE277" s="562">
        <f t="shared" si="757"/>
        <v>-50</v>
      </c>
      <c r="CF277">
        <f t="shared" si="758"/>
        <v>-50</v>
      </c>
      <c r="CG277" s="173">
        <f t="shared" si="759"/>
        <v>0.5589624534709321</v>
      </c>
      <c r="CI277" s="170">
        <v>61</v>
      </c>
      <c r="CJ277" s="217">
        <f t="shared" si="698"/>
        <v>0.61</v>
      </c>
      <c r="CK277" s="217"/>
      <c r="CL277" s="217">
        <f t="shared" si="641"/>
        <v>10.004</v>
      </c>
      <c r="CM277" s="541">
        <f t="shared" si="642"/>
        <v>36</v>
      </c>
      <c r="CN277" s="443">
        <f t="shared" si="643"/>
        <v>16.799999999999997</v>
      </c>
      <c r="CO277" s="443">
        <f t="shared" si="644"/>
        <v>52.8</v>
      </c>
      <c r="CP277" s="443"/>
      <c r="CQ277" s="217">
        <f t="shared" si="645"/>
        <v>0.31818181818181812</v>
      </c>
      <c r="CR277" s="172">
        <f t="shared" si="646"/>
        <v>38.697272727272725</v>
      </c>
      <c r="CS277" s="172">
        <f t="shared" si="647"/>
        <v>10.004</v>
      </c>
      <c r="CT277" s="217">
        <f t="shared" si="648"/>
        <v>2.3595898004434592</v>
      </c>
      <c r="CU277" s="217">
        <f t="shared" si="649"/>
        <v>16.399999999999999</v>
      </c>
      <c r="CV277" s="217"/>
      <c r="CW277" s="172">
        <f t="shared" si="650"/>
        <v>160.81063560682213</v>
      </c>
      <c r="CX277" s="172">
        <f t="shared" si="651"/>
        <v>16.399999999999999</v>
      </c>
      <c r="CY277" s="217">
        <f t="shared" si="652"/>
        <v>1.7467301587301589</v>
      </c>
      <c r="CZ277" s="217">
        <f t="shared" si="653"/>
        <v>0.58224338624338634</v>
      </c>
      <c r="DA277" s="217">
        <f t="shared" si="654"/>
        <v>1.2476643990929708</v>
      </c>
      <c r="DB277" s="197">
        <f t="shared" si="655"/>
        <v>350</v>
      </c>
      <c r="DC277" s="443">
        <f t="shared" si="656"/>
        <v>350</v>
      </c>
      <c r="DE277" s="217">
        <f t="shared" si="657"/>
        <v>2.7272727272727271</v>
      </c>
      <c r="DF277" s="173">
        <f t="shared" si="658"/>
        <v>1.9480519480519483</v>
      </c>
      <c r="DG277" s="173">
        <f t="shared" si="659"/>
        <v>0.92975206611570249</v>
      </c>
      <c r="DH277" s="173"/>
      <c r="DI277" s="173">
        <f t="shared" si="660"/>
        <v>0.95238095238095266</v>
      </c>
      <c r="DJ277" s="545">
        <f t="shared" si="661"/>
        <v>960.74999999999955</v>
      </c>
      <c r="DK277" s="528">
        <f t="shared" si="662"/>
        <v>0.22222222222222232</v>
      </c>
      <c r="DM277" s="173">
        <f t="shared" si="663"/>
        <v>2.2090722034374521</v>
      </c>
      <c r="DN277" s="173">
        <f t="shared" si="664"/>
        <v>2.2090722034374521</v>
      </c>
      <c r="DO277" s="173">
        <f t="shared" si="665"/>
        <v>1.8486954593363842</v>
      </c>
      <c r="DQ277" s="545">
        <f t="shared" si="666"/>
        <v>610</v>
      </c>
      <c r="DR277" s="460">
        <f t="shared" si="667"/>
        <v>350</v>
      </c>
      <c r="DT277">
        <f t="shared" si="668"/>
        <v>610</v>
      </c>
      <c r="DU277">
        <f t="shared" si="669"/>
        <v>350</v>
      </c>
      <c r="DW277" s="5">
        <f t="shared" si="670"/>
        <v>2.8571428571428572</v>
      </c>
      <c r="DX277" s="5">
        <f t="shared" si="671"/>
        <v>0.73635740114581738</v>
      </c>
      <c r="DY277" s="5">
        <f t="shared" si="672"/>
        <v>2.1207854559970398</v>
      </c>
      <c r="DZ277" s="5"/>
      <c r="EA277" s="173">
        <f t="shared" si="673"/>
        <v>0.25772509040103608</v>
      </c>
      <c r="EB277" s="173">
        <f t="shared" si="699"/>
        <v>10.247999999999999</v>
      </c>
      <c r="EC277" s="173">
        <f t="shared" si="700"/>
        <v>0.81986943505205945</v>
      </c>
      <c r="ED277" s="173">
        <f t="shared" si="701"/>
        <v>12.499551223481431</v>
      </c>
      <c r="EE277" s="460">
        <f t="shared" si="674"/>
        <v>2.7388903335301746</v>
      </c>
      <c r="EF277" s="5">
        <f t="shared" si="675"/>
        <v>0.49111892828227727</v>
      </c>
      <c r="EH277" s="173">
        <f t="shared" si="702"/>
        <v>0.64748190223281044</v>
      </c>
      <c r="EI277" s="173">
        <f t="shared" si="703"/>
        <v>1.0988329504286118</v>
      </c>
      <c r="EK277" s="528">
        <f t="shared" si="704"/>
        <v>8.3846562743803751E-3</v>
      </c>
      <c r="EL277" s="528">
        <f t="shared" si="705"/>
        <v>0.81647308639048222</v>
      </c>
      <c r="EM277" s="528">
        <f t="shared" si="706"/>
        <v>4.3749999999999997E-2</v>
      </c>
      <c r="EN277" s="528">
        <f t="shared" si="707"/>
        <v>9.7574399999999992E-2</v>
      </c>
      <c r="EO277">
        <f t="shared" si="708"/>
        <v>1.6199999999999999E-2</v>
      </c>
      <c r="EP277" s="460">
        <f t="shared" si="709"/>
        <v>59.949999999999996</v>
      </c>
      <c r="EQ277" s="460"/>
      <c r="ER277" s="460">
        <f t="shared" si="710"/>
        <v>982.3821426648625</v>
      </c>
      <c r="ES277" s="528">
        <f t="shared" si="711"/>
        <v>0.42699999999999999</v>
      </c>
      <c r="EV277" s="460">
        <f t="shared" si="712"/>
        <v>427</v>
      </c>
      <c r="EW277" s="528">
        <f t="shared" si="713"/>
        <v>1.2576984411570562E-2</v>
      </c>
      <c r="EX277" s="528">
        <f t="shared" si="714"/>
        <v>3.6223015588429441E-2</v>
      </c>
      <c r="EY277" s="528">
        <f t="shared" si="715"/>
        <v>0.83112221887856919</v>
      </c>
      <c r="EZ277" s="528"/>
      <c r="FA277" s="528">
        <f t="shared" si="716"/>
        <v>8.539999999999999E-3</v>
      </c>
      <c r="FB277" s="460">
        <f t="shared" si="717"/>
        <v>888.46221887856916</v>
      </c>
      <c r="FC277" s="173">
        <f t="shared" si="718"/>
        <v>2.2978443615434316</v>
      </c>
      <c r="FD277" s="5">
        <f t="shared" si="719"/>
        <v>10.004</v>
      </c>
      <c r="FE277" s="173">
        <f t="shared" si="720"/>
        <v>0.81321139383565277</v>
      </c>
      <c r="FF277" s="5">
        <f t="shared" si="721"/>
        <v>81.321139383565281</v>
      </c>
      <c r="FI277" s="562">
        <f t="shared" si="676"/>
        <v>-50</v>
      </c>
      <c r="FJ277">
        <f t="shared" si="677"/>
        <v>-50</v>
      </c>
      <c r="FL277">
        <f t="shared" si="760"/>
        <v>0.55226805085936304</v>
      </c>
    </row>
    <row r="278" spans="5:168">
      <c r="E278" s="170">
        <v>62</v>
      </c>
      <c r="F278" s="217">
        <f t="shared" si="761"/>
        <v>0.62</v>
      </c>
      <c r="G278" s="217"/>
      <c r="H278" s="217">
        <f t="shared" si="726"/>
        <v>10.167999999999999</v>
      </c>
      <c r="I278" s="541">
        <f t="shared" si="727"/>
        <v>35.944989178553755</v>
      </c>
      <c r="J278" s="172">
        <f t="shared" si="728"/>
        <v>16.833006492867742</v>
      </c>
      <c r="K278" s="172">
        <f t="shared" si="729"/>
        <v>52.777995671421493</v>
      </c>
      <c r="L278" s="443"/>
      <c r="M278" s="217">
        <f t="shared" si="730"/>
        <v>0.31894502177017542</v>
      </c>
      <c r="N278" s="172">
        <f t="shared" si="731"/>
        <v>38.730819244632208</v>
      </c>
      <c r="O278" s="172">
        <f t="shared" si="762"/>
        <v>10.167999999999999</v>
      </c>
      <c r="P278" s="217">
        <f t="shared" si="732"/>
        <v>2.3616353197946469</v>
      </c>
      <c r="Q278" s="217">
        <f t="shared" si="733"/>
        <v>16.399999999999999</v>
      </c>
      <c r="R278" s="217"/>
      <c r="S278" s="172">
        <f t="shared" si="734"/>
        <v>157.39875683992696</v>
      </c>
      <c r="T278" s="172">
        <f t="shared" si="735"/>
        <v>16.399999999999999</v>
      </c>
      <c r="U278" s="217">
        <f t="shared" si="736"/>
        <v>1.8207047002621823</v>
      </c>
      <c r="V278" s="217">
        <f t="shared" si="737"/>
        <v>0.60783037921129401</v>
      </c>
      <c r="W278" s="217">
        <f t="shared" si="738"/>
        <v>1.297953304562885</v>
      </c>
      <c r="X278" s="197">
        <f t="shared" si="739"/>
        <v>350</v>
      </c>
      <c r="Y278" s="443">
        <f t="shared" si="680"/>
        <v>350</v>
      </c>
      <c r="AA278" s="217">
        <f t="shared" si="740"/>
        <v>2.7295928040576714</v>
      </c>
      <c r="AB278" s="173">
        <f t="shared" si="741"/>
        <v>1.9458861174069302</v>
      </c>
      <c r="AC278" s="173">
        <f t="shared" si="742"/>
        <v>0.92950843012819362</v>
      </c>
      <c r="AD278" s="173"/>
      <c r="AE278" s="173">
        <f t="shared" si="743"/>
        <v>0.95051350492731712</v>
      </c>
      <c r="AF278" s="545">
        <f t="shared" si="744"/>
        <v>978.41850239793723</v>
      </c>
      <c r="AG278" s="528">
        <f t="shared" si="745"/>
        <v>0.22178648448304067</v>
      </c>
      <c r="AI278" s="173">
        <f t="shared" si="746"/>
        <v>2.2292924379912029</v>
      </c>
      <c r="AJ278" s="173">
        <f t="shared" si="747"/>
        <v>2.2292924379912029</v>
      </c>
      <c r="AK278" s="173">
        <f t="shared" si="748"/>
        <v>1.8636734108576811</v>
      </c>
      <c r="AM278" s="545">
        <f t="shared" si="749"/>
        <v>620</v>
      </c>
      <c r="AN278" s="460">
        <f t="shared" si="750"/>
        <v>350</v>
      </c>
      <c r="AP278">
        <f t="shared" si="751"/>
        <v>620</v>
      </c>
      <c r="AQ278">
        <f t="shared" si="752"/>
        <v>350</v>
      </c>
      <c r="AS278" s="5">
        <f t="shared" si="763"/>
        <v>2.8571428571428572</v>
      </c>
      <c r="AT278" s="5">
        <f t="shared" si="753"/>
        <v>0.74423472832356485</v>
      </c>
      <c r="AU278" s="5">
        <f t="shared" si="722"/>
        <v>2.1129081288192921</v>
      </c>
      <c r="AV278" s="5"/>
      <c r="AW278" s="173">
        <f t="shared" si="723"/>
        <v>0.26048215491324767</v>
      </c>
      <c r="AX278" s="173">
        <f t="shared" si="631"/>
        <v>10.436464025577999</v>
      </c>
      <c r="AY278" s="173">
        <f t="shared" si="632"/>
        <v>0.82430076990572343</v>
      </c>
      <c r="AZ278" s="173">
        <f t="shared" si="633"/>
        <v>12.660990267874714</v>
      </c>
      <c r="BA278" s="460">
        <f t="shared" si="724"/>
        <v>2.8135703143939654</v>
      </c>
      <c r="BB278" s="5">
        <f t="shared" si="725"/>
        <v>0.49807706963721521</v>
      </c>
      <c r="BD278" s="173">
        <f t="shared" si="681"/>
        <v>0.65689416400778233</v>
      </c>
      <c r="BE278" s="173">
        <f t="shared" si="682"/>
        <v>1.1068295481482702</v>
      </c>
      <c r="BG278" s="528">
        <f t="shared" si="683"/>
        <v>8.6301988541496646E-3</v>
      </c>
      <c r="BH278" s="528">
        <f t="shared" si="754"/>
        <v>0.77212791234227496</v>
      </c>
      <c r="BI278" s="528">
        <f t="shared" si="755"/>
        <v>0.3145186553123453</v>
      </c>
      <c r="BJ278" s="528">
        <f t="shared" si="684"/>
        <v>9.7493088948240519E-2</v>
      </c>
      <c r="BK278">
        <f t="shared" si="685"/>
        <v>1.6175245130349188E-2</v>
      </c>
      <c r="BL278" s="460">
        <f t="shared" si="686"/>
        <v>330.69390044269448</v>
      </c>
      <c r="BM278" s="528">
        <f t="shared" si="756"/>
        <v>0.88239072712353661</v>
      </c>
      <c r="BN278" s="460">
        <f t="shared" si="687"/>
        <v>882.39072712353664</v>
      </c>
      <c r="BO278" s="528">
        <f t="shared" si="637"/>
        <v>0.434</v>
      </c>
      <c r="BR278" s="460">
        <f t="shared" si="688"/>
        <v>434</v>
      </c>
      <c r="BS278" s="528">
        <f t="shared" si="689"/>
        <v>1.2945298281224496E-2</v>
      </c>
      <c r="BT278" s="528">
        <f t="shared" si="690"/>
        <v>3.6752149459623122E-2</v>
      </c>
      <c r="BU278" s="528">
        <f t="shared" si="691"/>
        <v>0.85027169580338069</v>
      </c>
      <c r="BV278" s="528"/>
      <c r="BW278" s="528">
        <f t="shared" si="692"/>
        <v>8.697053354648333E-3</v>
      </c>
      <c r="BX278" s="460">
        <f t="shared" si="693"/>
        <v>908.66619689887659</v>
      </c>
      <c r="BY278" s="173">
        <f t="shared" si="694"/>
        <v>2.5516112974862364</v>
      </c>
      <c r="BZ278" s="5">
        <f t="shared" si="695"/>
        <v>10.167999999999999</v>
      </c>
      <c r="CA278" s="173">
        <f t="shared" si="696"/>
        <v>0.79939549740875271</v>
      </c>
      <c r="CB278" s="5">
        <f t="shared" si="697"/>
        <v>79.939549740875265</v>
      </c>
      <c r="CE278" s="562">
        <f t="shared" si="757"/>
        <v>-50</v>
      </c>
      <c r="CF278">
        <f t="shared" si="758"/>
        <v>-50</v>
      </c>
      <c r="CG278" s="173">
        <f t="shared" si="759"/>
        <v>0.5635254879859084</v>
      </c>
      <c r="CI278" s="170">
        <v>62</v>
      </c>
      <c r="CJ278" s="217">
        <f t="shared" si="698"/>
        <v>0.62</v>
      </c>
      <c r="CK278" s="217"/>
      <c r="CL278" s="217">
        <f t="shared" si="641"/>
        <v>10.167999999999999</v>
      </c>
      <c r="CM278" s="541">
        <f t="shared" si="642"/>
        <v>36</v>
      </c>
      <c r="CN278" s="443">
        <f t="shared" si="643"/>
        <v>16.799999999999997</v>
      </c>
      <c r="CO278" s="443">
        <f t="shared" si="644"/>
        <v>52.8</v>
      </c>
      <c r="CP278" s="443"/>
      <c r="CQ278" s="217">
        <f t="shared" si="645"/>
        <v>0.31818181818181812</v>
      </c>
      <c r="CR278" s="172">
        <f t="shared" si="646"/>
        <v>38.697272727272725</v>
      </c>
      <c r="CS278" s="172">
        <f t="shared" si="647"/>
        <v>10.167999999999999</v>
      </c>
      <c r="CT278" s="217">
        <f t="shared" si="648"/>
        <v>2.3595898004434592</v>
      </c>
      <c r="CU278" s="217">
        <f t="shared" si="649"/>
        <v>16.399999999999999</v>
      </c>
      <c r="CV278" s="217"/>
      <c r="CW278" s="172">
        <f t="shared" si="650"/>
        <v>157.63950355611493</v>
      </c>
      <c r="CX278" s="172">
        <f t="shared" si="651"/>
        <v>16.399999999999999</v>
      </c>
      <c r="CY278" s="217">
        <f t="shared" si="652"/>
        <v>1.7753650793650795</v>
      </c>
      <c r="CZ278" s="217">
        <f t="shared" si="653"/>
        <v>0.59178835978835986</v>
      </c>
      <c r="DA278" s="217">
        <f t="shared" si="654"/>
        <v>1.2681179138321999</v>
      </c>
      <c r="DB278" s="197">
        <f t="shared" si="655"/>
        <v>350</v>
      </c>
      <c r="DC278" s="443">
        <f t="shared" si="656"/>
        <v>350</v>
      </c>
      <c r="DE278" s="217">
        <f t="shared" si="657"/>
        <v>2.7272727272727271</v>
      </c>
      <c r="DF278" s="173">
        <f t="shared" si="658"/>
        <v>1.9480519480519483</v>
      </c>
      <c r="DG278" s="173">
        <f t="shared" si="659"/>
        <v>0.92975206611570249</v>
      </c>
      <c r="DH278" s="173"/>
      <c r="DI278" s="173">
        <f t="shared" si="660"/>
        <v>0.95238095238095266</v>
      </c>
      <c r="DJ278" s="545">
        <f t="shared" si="661"/>
        <v>976.49999999999966</v>
      </c>
      <c r="DK278" s="528">
        <f t="shared" si="662"/>
        <v>0.22222222222222232</v>
      </c>
      <c r="DM278" s="173">
        <f t="shared" si="663"/>
        <v>2.2271057451320084</v>
      </c>
      <c r="DN278" s="173">
        <f t="shared" si="664"/>
        <v>2.2271057451320084</v>
      </c>
      <c r="DO278" s="173">
        <f t="shared" si="665"/>
        <v>1.8620536383693889</v>
      </c>
      <c r="DQ278" s="545">
        <f t="shared" si="666"/>
        <v>620</v>
      </c>
      <c r="DR278" s="460">
        <f t="shared" si="667"/>
        <v>350</v>
      </c>
      <c r="DT278">
        <f t="shared" si="668"/>
        <v>620</v>
      </c>
      <c r="DU278">
        <f t="shared" si="669"/>
        <v>350</v>
      </c>
      <c r="DW278" s="5">
        <f t="shared" si="670"/>
        <v>2.8571428571428572</v>
      </c>
      <c r="DX278" s="5">
        <f t="shared" si="671"/>
        <v>0.74236858171066955</v>
      </c>
      <c r="DY278" s="5">
        <f t="shared" si="672"/>
        <v>2.1147742754321879</v>
      </c>
      <c r="DZ278" s="5"/>
      <c r="EA278" s="173">
        <f t="shared" si="673"/>
        <v>0.25982900359873434</v>
      </c>
      <c r="EB278" s="173">
        <f t="shared" si="699"/>
        <v>10.415999999999997</v>
      </c>
      <c r="EC278" s="173">
        <f t="shared" si="700"/>
        <v>0.82421953923267099</v>
      </c>
      <c r="ED278" s="173">
        <f t="shared" si="701"/>
        <v>12.637409699965433</v>
      </c>
      <c r="EE278" s="460">
        <f t="shared" si="674"/>
        <v>2.8065153698817999</v>
      </c>
      <c r="EF278" s="5">
        <f t="shared" si="675"/>
        <v>0.49775520445820565</v>
      </c>
      <c r="EH278" s="173">
        <f t="shared" si="702"/>
        <v>0.65542654250234178</v>
      </c>
      <c r="EI278" s="173">
        <f t="shared" si="703"/>
        <v>1.1062320645853467</v>
      </c>
      <c r="EK278" s="528">
        <f t="shared" si="704"/>
        <v>8.5916790523314808E-3</v>
      </c>
      <c r="EL278" s="528">
        <f t="shared" si="705"/>
        <v>0.82313828340079032</v>
      </c>
      <c r="EM278" s="528">
        <f t="shared" si="706"/>
        <v>4.3749999999999997E-2</v>
      </c>
      <c r="EN278" s="528">
        <f t="shared" si="707"/>
        <v>9.7574399999999992E-2</v>
      </c>
      <c r="EO278">
        <f t="shared" si="708"/>
        <v>1.6199999999999999E-2</v>
      </c>
      <c r="EP278" s="460">
        <f t="shared" si="709"/>
        <v>59.949999999999996</v>
      </c>
      <c r="EQ278" s="460"/>
      <c r="ER278" s="460">
        <f t="shared" si="710"/>
        <v>989.25436245312176</v>
      </c>
      <c r="ES278" s="528">
        <f t="shared" si="711"/>
        <v>0.434</v>
      </c>
      <c r="EV278" s="460">
        <f t="shared" si="712"/>
        <v>434</v>
      </c>
      <c r="EW278" s="528">
        <f t="shared" si="713"/>
        <v>1.2887518578497221E-2</v>
      </c>
      <c r="EX278" s="528">
        <f t="shared" si="714"/>
        <v>3.6712481421502761E-2</v>
      </c>
      <c r="EY278" s="528">
        <f t="shared" si="715"/>
        <v>0.84818816985801715</v>
      </c>
      <c r="EZ278" s="528"/>
      <c r="FA278" s="528">
        <f t="shared" si="716"/>
        <v>8.6799999999999967E-3</v>
      </c>
      <c r="FB278" s="460">
        <f t="shared" si="717"/>
        <v>906.46816985801718</v>
      </c>
      <c r="FC278" s="173">
        <f t="shared" si="718"/>
        <v>2.3297225323111386</v>
      </c>
      <c r="FD278" s="5">
        <f t="shared" si="719"/>
        <v>10.167999999999999</v>
      </c>
      <c r="FE278" s="173">
        <f t="shared" si="720"/>
        <v>0.81358823367313837</v>
      </c>
      <c r="FF278" s="5">
        <f t="shared" si="721"/>
        <v>81.358823367313832</v>
      </c>
      <c r="FI278" s="562">
        <f t="shared" si="676"/>
        <v>-50</v>
      </c>
      <c r="FJ278">
        <f t="shared" si="677"/>
        <v>-50</v>
      </c>
      <c r="FL278">
        <f t="shared" si="760"/>
        <v>0.55677643628300222</v>
      </c>
    </row>
    <row r="279" spans="5:168">
      <c r="E279" s="170">
        <v>63</v>
      </c>
      <c r="F279" s="217">
        <f t="shared" si="761"/>
        <v>0.63</v>
      </c>
      <c r="G279" s="217"/>
      <c r="H279" s="217">
        <f t="shared" si="726"/>
        <v>10.331999999999999</v>
      </c>
      <c r="I279" s="541">
        <f t="shared" si="727"/>
        <v>35.944547317467951</v>
      </c>
      <c r="J279" s="172">
        <f t="shared" si="728"/>
        <v>16.833271609519226</v>
      </c>
      <c r="K279" s="172">
        <f t="shared" si="729"/>
        <v>52.77781892698718</v>
      </c>
      <c r="L279" s="443"/>
      <c r="M279" s="217">
        <f t="shared" si="730"/>
        <v>0.31895115454747014</v>
      </c>
      <c r="N279" s="172">
        <f t="shared" si="731"/>
        <v>38.731087857638578</v>
      </c>
      <c r="O279" s="172">
        <f t="shared" si="762"/>
        <v>10.331999999999999</v>
      </c>
      <c r="P279" s="217">
        <f t="shared" si="732"/>
        <v>2.361651698636499</v>
      </c>
      <c r="Q279" s="217">
        <f t="shared" si="733"/>
        <v>16.399999999999999</v>
      </c>
      <c r="R279" s="217"/>
      <c r="S279" s="172">
        <f t="shared" si="734"/>
        <v>154.33116400922754</v>
      </c>
      <c r="T279" s="172">
        <f t="shared" si="735"/>
        <v>16.399999999999999</v>
      </c>
      <c r="U279" s="217">
        <f t="shared" si="736"/>
        <v>1.8500875648100983</v>
      </c>
      <c r="V279" s="217">
        <f t="shared" si="737"/>
        <v>0.61764724929313952</v>
      </c>
      <c r="W279" s="217">
        <f t="shared" si="738"/>
        <v>1.3188791396419026</v>
      </c>
      <c r="X279" s="197">
        <f t="shared" si="739"/>
        <v>350</v>
      </c>
      <c r="Y279" s="443">
        <f t="shared" si="680"/>
        <v>350</v>
      </c>
      <c r="AA279" s="217">
        <f t="shared" si="740"/>
        <v>2.7296113810217251</v>
      </c>
      <c r="AB279" s="173">
        <f t="shared" si="741"/>
        <v>1.9458687135861064</v>
      </c>
      <c r="AC279" s="173">
        <f t="shared" si="742"/>
        <v>0.92950644265127946</v>
      </c>
      <c r="AD279" s="173"/>
      <c r="AE279" s="173">
        <f t="shared" si="743"/>
        <v>0.950498534756131</v>
      </c>
      <c r="AF279" s="545">
        <f t="shared" si="744"/>
        <v>994.215104437229</v>
      </c>
      <c r="AG279" s="528">
        <f t="shared" si="745"/>
        <v>0.22178299144309727</v>
      </c>
      <c r="AI279" s="173">
        <f t="shared" si="746"/>
        <v>2.2472163854101295</v>
      </c>
      <c r="AJ279" s="173">
        <f t="shared" si="747"/>
        <v>2.2472163854101295</v>
      </c>
      <c r="AK279" s="173">
        <f t="shared" si="748"/>
        <v>1.8769504089457747</v>
      </c>
      <c r="AM279" s="545">
        <f t="shared" si="749"/>
        <v>630</v>
      </c>
      <c r="AN279" s="460">
        <f t="shared" si="750"/>
        <v>350</v>
      </c>
      <c r="AP279">
        <f t="shared" si="751"/>
        <v>630</v>
      </c>
      <c r="AQ279">
        <f t="shared" si="752"/>
        <v>350</v>
      </c>
      <c r="AS279" s="5">
        <f t="shared" si="763"/>
        <v>2.8571428571428572</v>
      </c>
      <c r="AT279" s="5">
        <f t="shared" si="753"/>
        <v>0.75022774349467503</v>
      </c>
      <c r="AU279" s="5">
        <f t="shared" si="722"/>
        <v>2.1069151136481823</v>
      </c>
      <c r="AV279" s="5"/>
      <c r="AW279" s="173">
        <f t="shared" si="723"/>
        <v>0.26257971022313625</v>
      </c>
      <c r="AX279" s="173">
        <f t="shared" si="631"/>
        <v>10.604961113997112</v>
      </c>
      <c r="AY279" s="173">
        <f t="shared" si="632"/>
        <v>0.8285714790602271</v>
      </c>
      <c r="AZ279" s="173">
        <f t="shared" si="633"/>
        <v>12.799090219742236</v>
      </c>
      <c r="BA279" s="460">
        <f t="shared" si="724"/>
        <v>2.8819724292783255</v>
      </c>
      <c r="BB279" s="5">
        <f t="shared" si="725"/>
        <v>0.50468125160377519</v>
      </c>
      <c r="BD279" s="173">
        <f t="shared" si="681"/>
        <v>0.66483648977285426</v>
      </c>
      <c r="BE279" s="173">
        <f t="shared" si="682"/>
        <v>1.114145234167625</v>
      </c>
      <c r="BG279" s="528">
        <f t="shared" si="683"/>
        <v>8.8401511626698109E-3</v>
      </c>
      <c r="BH279" s="528">
        <f t="shared" si="754"/>
        <v>0.77833336533050734</v>
      </c>
      <c r="BI279" s="528">
        <f t="shared" si="755"/>
        <v>0.31451478902784452</v>
      </c>
      <c r="BJ279" s="528">
        <f t="shared" si="684"/>
        <v>9.7492435974144628E-2</v>
      </c>
      <c r="BK279">
        <f t="shared" si="685"/>
        <v>1.6175046292860578E-2</v>
      </c>
      <c r="BL279" s="460">
        <f t="shared" si="686"/>
        <v>330.68983532070513</v>
      </c>
      <c r="BM279" s="528">
        <f t="shared" si="756"/>
        <v>0.88891989833966634</v>
      </c>
      <c r="BN279" s="460">
        <f t="shared" si="687"/>
        <v>888.91989833966636</v>
      </c>
      <c r="BO279" s="528">
        <f t="shared" si="637"/>
        <v>0.44099999999999995</v>
      </c>
      <c r="BR279" s="460">
        <f t="shared" si="688"/>
        <v>440.99999999999994</v>
      </c>
      <c r="BS279" s="528">
        <f t="shared" si="689"/>
        <v>1.3260226744004715E-2</v>
      </c>
      <c r="BT279" s="528">
        <f t="shared" si="690"/>
        <v>3.7239588084552959E-2</v>
      </c>
      <c r="BU279" s="528">
        <f t="shared" si="691"/>
        <v>0.86746577129460289</v>
      </c>
      <c r="BV279" s="528"/>
      <c r="BW279" s="528">
        <f t="shared" si="692"/>
        <v>8.8374675949975928E-3</v>
      </c>
      <c r="BX279" s="460">
        <f t="shared" si="693"/>
        <v>926.80305371815814</v>
      </c>
      <c r="BY279" s="173">
        <f t="shared" si="694"/>
        <v>2.5831588415061848</v>
      </c>
      <c r="BZ279" s="5">
        <f t="shared" si="695"/>
        <v>10.331999999999999</v>
      </c>
      <c r="CA279" s="173">
        <f t="shared" si="696"/>
        <v>0.79999016092589281</v>
      </c>
      <c r="CB279" s="5">
        <f t="shared" si="697"/>
        <v>79.999016092589287</v>
      </c>
      <c r="CE279" s="562">
        <f t="shared" si="757"/>
        <v>-50</v>
      </c>
      <c r="CF279">
        <f t="shared" si="758"/>
        <v>-50</v>
      </c>
      <c r="CG279" s="173">
        <f t="shared" si="759"/>
        <v>0.56805186984048239</v>
      </c>
      <c r="CI279" s="170">
        <v>63</v>
      </c>
      <c r="CJ279" s="217">
        <f t="shared" si="698"/>
        <v>0.63</v>
      </c>
      <c r="CK279" s="217"/>
      <c r="CL279" s="217">
        <f t="shared" si="641"/>
        <v>10.331999999999999</v>
      </c>
      <c r="CM279" s="541">
        <f t="shared" si="642"/>
        <v>36</v>
      </c>
      <c r="CN279" s="443">
        <f t="shared" si="643"/>
        <v>16.799999999999997</v>
      </c>
      <c r="CO279" s="443">
        <f t="shared" si="644"/>
        <v>52.8</v>
      </c>
      <c r="CP279" s="443"/>
      <c r="CQ279" s="217">
        <f t="shared" si="645"/>
        <v>0.31818181818181812</v>
      </c>
      <c r="CR279" s="172">
        <f t="shared" si="646"/>
        <v>38.697272727272725</v>
      </c>
      <c r="CS279" s="172">
        <f t="shared" si="647"/>
        <v>10.331999999999999</v>
      </c>
      <c r="CT279" s="217">
        <f t="shared" si="648"/>
        <v>2.3595898004434592</v>
      </c>
      <c r="CU279" s="217">
        <f t="shared" si="649"/>
        <v>16.399999999999999</v>
      </c>
      <c r="CV279" s="217"/>
      <c r="CW279" s="172">
        <f t="shared" si="650"/>
        <v>154.56911221907075</v>
      </c>
      <c r="CX279" s="172">
        <f t="shared" si="651"/>
        <v>16.399999999999999</v>
      </c>
      <c r="CY279" s="217">
        <f t="shared" si="652"/>
        <v>1.804</v>
      </c>
      <c r="CZ279" s="217">
        <f t="shared" si="653"/>
        <v>0.60133333333333339</v>
      </c>
      <c r="DA279" s="217">
        <f t="shared" si="654"/>
        <v>1.2885714285714287</v>
      </c>
      <c r="DB279" s="197">
        <f t="shared" si="655"/>
        <v>350</v>
      </c>
      <c r="DC279" s="443">
        <f t="shared" si="656"/>
        <v>350</v>
      </c>
      <c r="DE279" s="217">
        <f t="shared" si="657"/>
        <v>2.7272727272727271</v>
      </c>
      <c r="DF279" s="173">
        <f t="shared" si="658"/>
        <v>1.9480519480519483</v>
      </c>
      <c r="DG279" s="173">
        <f t="shared" si="659"/>
        <v>0.92975206611570249</v>
      </c>
      <c r="DH279" s="173"/>
      <c r="DI279" s="173">
        <f t="shared" si="660"/>
        <v>0.95238095238095266</v>
      </c>
      <c r="DJ279" s="545">
        <f t="shared" si="661"/>
        <v>992.24999999999966</v>
      </c>
      <c r="DK279" s="528">
        <f t="shared" si="662"/>
        <v>0.22222222222222232</v>
      </c>
      <c r="DM279" s="173">
        <f t="shared" si="663"/>
        <v>2.2449944320643644</v>
      </c>
      <c r="DN279" s="173">
        <f t="shared" si="664"/>
        <v>2.2449944320643644</v>
      </c>
      <c r="DO279" s="173">
        <f t="shared" si="665"/>
        <v>1.8753045175785414</v>
      </c>
      <c r="DQ279" s="545">
        <f t="shared" si="666"/>
        <v>630</v>
      </c>
      <c r="DR279" s="460">
        <f t="shared" si="667"/>
        <v>350</v>
      </c>
      <c r="DT279">
        <f t="shared" si="668"/>
        <v>630</v>
      </c>
      <c r="DU279">
        <f t="shared" si="669"/>
        <v>350</v>
      </c>
      <c r="DW279" s="5">
        <f t="shared" si="670"/>
        <v>2.8571428571428572</v>
      </c>
      <c r="DX279" s="5">
        <f t="shared" si="671"/>
        <v>0.74833147735478811</v>
      </c>
      <c r="DY279" s="5">
        <f t="shared" si="672"/>
        <v>2.1088113797880692</v>
      </c>
      <c r="DZ279" s="5"/>
      <c r="EA279" s="173">
        <f t="shared" si="673"/>
        <v>0.26191601707417583</v>
      </c>
      <c r="EB279" s="173">
        <f t="shared" si="699"/>
        <v>10.583999999999998</v>
      </c>
      <c r="EC279" s="173">
        <f t="shared" si="700"/>
        <v>0.82849721603218229</v>
      </c>
      <c r="ED279" s="173">
        <f t="shared" si="701"/>
        <v>12.774937314440983</v>
      </c>
      <c r="EE279" s="460">
        <f t="shared" si="674"/>
        <v>2.8746879922775399</v>
      </c>
      <c r="EF279" s="5">
        <f t="shared" si="675"/>
        <v>0.50435738833264643</v>
      </c>
      <c r="EH279" s="173">
        <f t="shared" si="702"/>
        <v>0.66333921087526193</v>
      </c>
      <c r="EI279" s="173">
        <f t="shared" si="703"/>
        <v>1.1135443822836089</v>
      </c>
      <c r="EK279" s="528">
        <f t="shared" si="704"/>
        <v>8.8003781736923047E-3</v>
      </c>
      <c r="EL279" s="528">
        <f t="shared" si="705"/>
        <v>0.82974994209098907</v>
      </c>
      <c r="EM279" s="528">
        <f t="shared" si="706"/>
        <v>4.3749999999999997E-2</v>
      </c>
      <c r="EN279" s="528">
        <f t="shared" si="707"/>
        <v>9.7574399999999992E-2</v>
      </c>
      <c r="EO279">
        <f t="shared" si="708"/>
        <v>1.6199999999999999E-2</v>
      </c>
      <c r="EP279" s="460">
        <f t="shared" si="709"/>
        <v>59.949999999999996</v>
      </c>
      <c r="EQ279" s="460"/>
      <c r="ER279" s="460">
        <f t="shared" si="710"/>
        <v>996.07472026468122</v>
      </c>
      <c r="ES279" s="528">
        <f t="shared" si="711"/>
        <v>0.44099999999999995</v>
      </c>
      <c r="EV279" s="460">
        <f t="shared" si="712"/>
        <v>440.99999999999994</v>
      </c>
      <c r="EW279" s="528">
        <f t="shared" si="713"/>
        <v>1.3200567260538457E-2</v>
      </c>
      <c r="EX279" s="528">
        <f t="shared" si="714"/>
        <v>3.7199432739461517E-2</v>
      </c>
      <c r="EY279" s="528">
        <f t="shared" si="715"/>
        <v>0.86532307670260289</v>
      </c>
      <c r="EZ279" s="528"/>
      <c r="FA279" s="528">
        <f t="shared" si="716"/>
        <v>8.8199999999999962E-3</v>
      </c>
      <c r="FB279" s="460">
        <f t="shared" si="717"/>
        <v>924.54307670260289</v>
      </c>
      <c r="FC279" s="173">
        <f t="shared" si="718"/>
        <v>2.361617796967284</v>
      </c>
      <c r="FD279" s="5">
        <f t="shared" si="719"/>
        <v>10.331999999999999</v>
      </c>
      <c r="FE279" s="173">
        <f t="shared" si="720"/>
        <v>0.81395234717627041</v>
      </c>
      <c r="FF279" s="5">
        <f t="shared" si="721"/>
        <v>81.395234717627034</v>
      </c>
      <c r="FI279" s="562">
        <f t="shared" si="676"/>
        <v>-50</v>
      </c>
      <c r="FJ279">
        <f t="shared" si="677"/>
        <v>-50</v>
      </c>
      <c r="FL279">
        <f t="shared" si="760"/>
        <v>0.56124860801609122</v>
      </c>
    </row>
    <row r="280" spans="5:168">
      <c r="E280" s="170">
        <v>64</v>
      </c>
      <c r="F280" s="217">
        <f t="shared" si="761"/>
        <v>0.64</v>
      </c>
      <c r="G280" s="217"/>
      <c r="H280" s="217">
        <f t="shared" ref="H280:H311" si="764">F280*Vout</f>
        <v>10.495999999999999</v>
      </c>
      <c r="I280" s="541">
        <f t="shared" ref="I280:I316" si="765">VIN_max-F280*(Rdcr_pri+RON/1000)/CG280/Nps</f>
        <v>35.944108949519538</v>
      </c>
      <c r="J280" s="172">
        <f t="shared" ref="J280:J316" si="766">(T280+Vfwd1+F280/CG280*Rdcr_sec)*Nps</f>
        <v>16.833534630288273</v>
      </c>
      <c r="K280" s="172">
        <f t="shared" ref="K280:K316" si="767">(Vout+Vfwd1+F280/CG280*Rdcr_sec)*Nps+I280</f>
        <v>52.777643579807815</v>
      </c>
      <c r="L280" s="443"/>
      <c r="M280" s="217">
        <f t="shared" ref="M280:M316" si="768">(Vout+Vfwd1+F280/FL280*Rdcr_sec)*Nps/((Vout+Vfwd1+F280/FL280*Rdcr_sec)*Nps+I280)</f>
        <v>0.31895723888188177</v>
      </c>
      <c r="N280" s="172">
        <f t="shared" ref="N280:N311" si="769">M280*I280*(Isw_max+VIN_max/Lmag*ILIM_delay)*0.5*Efficiency</f>
        <v>38.731354333868332</v>
      </c>
      <c r="O280" s="172">
        <f t="shared" si="762"/>
        <v>10.495999999999999</v>
      </c>
      <c r="P280" s="217">
        <f t="shared" ref="P280:P311" si="770">N280/Vout</f>
        <v>2.3616679471870934</v>
      </c>
      <c r="Q280" s="217">
        <f t="shared" ref="Q280:Q316" si="771">MIN(Vout,N280/F280)</f>
        <v>16.399999999999999</v>
      </c>
      <c r="R280" s="217"/>
      <c r="S280" s="172">
        <f t="shared" ref="S280:S316" si="772">(SQRT(Isw_max^2*Nps^2*I280^2+4*Isw_max*F280/Efficiency*(Nps^2*Vfwd1*I280-Nps*I280^2)+4*(F280/Efficiency)^2*Nps^2*Vfwd1^2+8*(F280/Efficiency)^2*Nps*Vfwd1*I280+4*(F280/Efficiency)^2*I280^2)-2*F280/Efficiency*I280-2*F280/Efficiency*Nps*Vfwd1+Isw_max*Nps*I280)/(4*F280/Efficiency*Nps)</f>
        <v>151.35953147055727</v>
      </c>
      <c r="T280" s="172">
        <f t="shared" ref="T280:T311" si="773">MIN(Vout, S280)</f>
        <v>16.399999999999999</v>
      </c>
      <c r="U280" s="217">
        <f t="shared" ref="U280:U316" si="774">MIN(2*(Vout+Vfwd1+F280/FL280*Rdcr_sec)*F280/(I280*M280), Isw_max)</f>
        <v>1.8794708248547118</v>
      </c>
      <c r="V280" s="217">
        <f t="shared" ref="V280:V311" si="775">L*U280/I280*1000000</f>
        <v>0.62746443179134692</v>
      </c>
      <c r="W280" s="217">
        <f t="shared" ref="W280:W316" si="776">L*U280/J280*1000000</f>
        <v>1.3398047643348874</v>
      </c>
      <c r="X280" s="197">
        <f t="shared" ref="X280:X316" si="777">IF(1/((350000*L)*(1/I280+1/J280))&gt;Isw_min, 350, 0.001/((Isw_min*L)*(1/I280+1/J280)))</f>
        <v>350</v>
      </c>
      <c r="Y280" s="443">
        <f t="shared" si="680"/>
        <v>350</v>
      </c>
      <c r="AA280" s="217">
        <f t="shared" ref="AA280:AA316" si="778">1/((X280*1000*L)*(1/I280+1/J280))</f>
        <v>2.7296298102039014</v>
      </c>
      <c r="AB280" s="173">
        <f t="shared" ref="AB280:AB311" si="779">L*AA280/J280*1000000</f>
        <v>1.9458514472361816</v>
      </c>
      <c r="AC280" s="173">
        <f t="shared" ref="AC280:AC311" si="780">0.5*AB280*AA280*Nps*X280/1000</f>
        <v>0.92950447040575002</v>
      </c>
      <c r="AD280" s="173"/>
      <c r="AE280" s="173">
        <f t="shared" ref="AE280:AE316" si="781">L*Isw_min/J280*1000000</f>
        <v>0.95048368339775136</v>
      </c>
      <c r="AF280" s="545">
        <f t="shared" ref="AF280:AF311" si="782">MAX(12000,F280/(0.5*AE280/1000000*Isw_min*Nps))/1000</f>
        <v>1010.0120778172961</v>
      </c>
      <c r="AG280" s="528">
        <f t="shared" ref="AG280:AG316" si="783">0.5*AE280/1000000*Isw_min*Nps*X280*1000</f>
        <v>0.22177952612614199</v>
      </c>
      <c r="AI280" s="173">
        <f t="shared" ref="AI280:AI316" si="784">SQRT(F280/(0.5*L/J280*Fsw_DCM*Nps))</f>
        <v>2.2649989134218456</v>
      </c>
      <c r="AJ280" s="173">
        <f t="shared" ref="AJ280:AJ311" si="785">MAX(IF(F280&gt;AC280,U280,AI280),Isw_min)</f>
        <v>2.2649989134218456</v>
      </c>
      <c r="AK280" s="173">
        <f t="shared" ref="AK280:AK311" si="786">IF(F280&gt;AG280, (AJ280-Isw_min)/1.08*0.8+1.2, AF280*0.2/350+1)</f>
        <v>1.8901226519174164</v>
      </c>
      <c r="AM280" s="545">
        <f t="shared" ref="AM280:AM316" si="787">F280*1000</f>
        <v>640</v>
      </c>
      <c r="AN280" s="460">
        <f t="shared" ref="AN280:AN316" si="788">IF(F280&gt;AG280, Y280, AF280)</f>
        <v>350</v>
      </c>
      <c r="AP280">
        <f t="shared" ref="AP280:AP316" si="789">IF(H280&gt;N280, "",AM280)</f>
        <v>640</v>
      </c>
      <c r="AQ280">
        <f t="shared" ref="AQ280:AQ316" si="790">IF(H280&gt;N280, "",AN280)</f>
        <v>350</v>
      </c>
      <c r="AS280" s="5">
        <f t="shared" si="763"/>
        <v>2.8571428571428572</v>
      </c>
      <c r="AT280" s="5">
        <f t="shared" ref="AT280:AT316" si="791">L*AJ280/I280*1000000</f>
        <v>0.75617361941658201</v>
      </c>
      <c r="AU280" s="5">
        <f t="shared" si="722"/>
        <v>2.1009692377262752</v>
      </c>
      <c r="AV280" s="5"/>
      <c r="AW280" s="173">
        <f t="shared" si="723"/>
        <v>0.26466076679580369</v>
      </c>
      <c r="AX280" s="173">
        <f t="shared" ref="AX280:AX316" si="792">0.5*L*AJ280^2*AN280*1000</f>
        <v>10.773462163384496</v>
      </c>
      <c r="AY280" s="173">
        <f t="shared" ref="AY280:AY316" si="793">AJ280*Nps/2*(1-AW280)</f>
        <v>0.83277128210197893</v>
      </c>
      <c r="AZ280" s="173">
        <f t="shared" ref="AZ280:AZ316" si="794">AX280/AY280</f>
        <v>12.936880023277755</v>
      </c>
      <c r="BA280" s="460">
        <f t="shared" si="724"/>
        <v>2.9509214416256864</v>
      </c>
      <c r="BB280" s="5">
        <f t="shared" si="725"/>
        <v>0.51125144387695598</v>
      </c>
      <c r="BD280" s="173">
        <f t="shared" si="681"/>
        <v>0.67274759497212677</v>
      </c>
      <c r="BE280" s="173">
        <f t="shared" si="682"/>
        <v>1.1213759551223665</v>
      </c>
      <c r="BG280" s="528">
        <f t="shared" si="683"/>
        <v>9.0517865308156146E-3</v>
      </c>
      <c r="BH280" s="528">
        <f t="shared" ref="BH280:BH316" si="795">0.5*K280*AJ280*AN280*1000*Tfall</f>
        <v>0.78448981643307281</v>
      </c>
      <c r="BI280" s="528">
        <f t="shared" ref="BI280:BI316" si="796">Qg*Vdd*AN280*1000*0+Qg*I280*AN280*1000</f>
        <v>0.31451095330829598</v>
      </c>
      <c r="BJ280" s="528">
        <f t="shared" si="684"/>
        <v>9.7491788164303025E-2</v>
      </c>
      <c r="BK280">
        <f t="shared" si="685"/>
        <v>1.6174849027283791E-2</v>
      </c>
      <c r="BL280" s="460">
        <f t="shared" si="686"/>
        <v>330.68580233557975</v>
      </c>
      <c r="BM280" s="528">
        <f t="shared" ref="BM280:BM316" si="797">(BH280+BI280*0+BJ280+BK280*0+BG280*(1+RdsonTC*(Ta-25)))/(1-BG280*RdsonTC*ThetaJA)</f>
        <v>0.89540312099499242</v>
      </c>
      <c r="BN280" s="460">
        <f t="shared" si="687"/>
        <v>895.40312099499238</v>
      </c>
      <c r="BO280" s="528">
        <f t="shared" ref="BO280:BO316" si="798">Vfwd2*F280</f>
        <v>0.44799999999999995</v>
      </c>
      <c r="BR280" s="460">
        <f t="shared" si="688"/>
        <v>447.99999999999994</v>
      </c>
      <c r="BS280" s="528">
        <f t="shared" si="689"/>
        <v>1.3577679796223421E-2</v>
      </c>
      <c r="BT280" s="528">
        <f t="shared" si="690"/>
        <v>3.7724520981797995E-2</v>
      </c>
      <c r="BU280" s="528">
        <f t="shared" si="691"/>
        <v>0.88472868881495648</v>
      </c>
      <c r="BV280" s="528"/>
      <c r="BW280" s="528">
        <f t="shared" si="692"/>
        <v>8.9778851361537459E-3</v>
      </c>
      <c r="BX280" s="460">
        <f t="shared" si="693"/>
        <v>945.00877472913157</v>
      </c>
      <c r="BY280" s="173">
        <f t="shared" si="694"/>
        <v>2.614727968192903</v>
      </c>
      <c r="BZ280" s="5">
        <f t="shared" si="695"/>
        <v>10.495999999999999</v>
      </c>
      <c r="CA280" s="173">
        <f t="shared" si="696"/>
        <v>0.8005657676266088</v>
      </c>
      <c r="CB280" s="5">
        <f t="shared" si="697"/>
        <v>80.056576762660882</v>
      </c>
      <c r="CE280" s="562">
        <f t="shared" ref="CE280:CE316" si="799">IF(ABS(F280-Ioutmax_Vinmax)&lt;Iout/200, AN280, -50)</f>
        <v>-50</v>
      </c>
      <c r="CF280">
        <f t="shared" ref="CF280:CF316" si="800">IF(ABS(F280-Ioutmax_Vinmin)&lt;Iout/200, N280*CA280, -50)</f>
        <v>-50</v>
      </c>
      <c r="CG280" s="173">
        <f t="shared" ref="CG280:CG316" si="801">MIN(SQRT(2*DU280*1000*Ls1_*CL280)/CU280,1-EA280-0.00000005*DU280*1000)</f>
        <v>0.57254246833643752</v>
      </c>
      <c r="CI280" s="170">
        <v>64</v>
      </c>
      <c r="CJ280" s="217">
        <f t="shared" si="698"/>
        <v>0.64</v>
      </c>
      <c r="CK280" s="217"/>
      <c r="CL280" s="217">
        <f t="shared" ref="CL280:CL316" si="802">CJ280*Vout</f>
        <v>10.495999999999999</v>
      </c>
      <c r="CM280" s="541">
        <f t="shared" ref="CM280:CM316" si="803">VIN_max</f>
        <v>36</v>
      </c>
      <c r="CN280" s="443">
        <f t="shared" ref="CN280:CN316" si="804">(CX280+Vfwd1)*Nps</f>
        <v>16.799999999999997</v>
      </c>
      <c r="CO280" s="443">
        <f t="shared" ref="CO280:CO316" si="805">(Vout+Vfwd1)*Nps+CM280</f>
        <v>52.8</v>
      </c>
      <c r="CP280" s="443"/>
      <c r="CQ280" s="217">
        <f t="shared" ref="CQ280:CQ316" si="806">(Vout+Vfwd1)*Nps/((Vout+Vfwd1)*Nps+CM280)</f>
        <v>0.31818181818181812</v>
      </c>
      <c r="CR280" s="172">
        <f t="shared" ref="CR280:CR316" si="807">CQ280*CM280*(Isw_max+VIN_max/Lmag*ILIM_delay)*0.5*Efficiency</f>
        <v>38.697272727272725</v>
      </c>
      <c r="CS280" s="172">
        <f t="shared" ref="CS280:CS316" si="808">CX280*CJ280</f>
        <v>10.495999999999999</v>
      </c>
      <c r="CT280" s="217">
        <f t="shared" ref="CT280:CT316" si="809">CR280/Vout</f>
        <v>2.3595898004434592</v>
      </c>
      <c r="CU280" s="217">
        <f t="shared" ref="CU280:CU316" si="810">MIN(Vout,CR280/CJ280)</f>
        <v>16.399999999999999</v>
      </c>
      <c r="CV280" s="217"/>
      <c r="CW280" s="172">
        <f t="shared" ref="CW280:CW316" si="811">(SQRT(Isw_max^2*Nps^2*CM280^2+4*Isw_max*CJ280/Efficiency*(Nps^2*Vfwd1*CM280-Nps*CM280^2)+4*(CJ280/Efficiency)^2*Nps^2*Vfwd1^2+8*(CJ280/Efficiency)^2*Nps*Vfwd1*CM280+4*(CJ280/Efficiency)^2*CM280^2)-2*CJ280/Efficiency*CM280-2*CJ280/Efficiency*Nps*Vfwd1+Isw_max*Nps*CM280)/(4*CJ280/Efficiency*Nps)</f>
        <v>151.59474012053695</v>
      </c>
      <c r="CX280" s="172">
        <f t="shared" ref="CX280:CX316" si="812">MIN(Vout, CW280)</f>
        <v>16.399999999999999</v>
      </c>
      <c r="CY280" s="217">
        <f t="shared" ref="CY280:CY316" si="813">MIN(2*Vout*CJ280/(Efficiency*CM280*CQ280), Isw_max)</f>
        <v>1.8326349206349206</v>
      </c>
      <c r="CZ280" s="217">
        <f t="shared" ref="CZ280:CZ316" si="814">L*CY280/CM280*1000000</f>
        <v>0.61087830687830691</v>
      </c>
      <c r="DA280" s="217">
        <f t="shared" ref="DA280:DA316" si="815">L*CY280/CN280*1000000</f>
        <v>1.3090249433106578</v>
      </c>
      <c r="DB280" s="197">
        <f t="shared" ref="DB280:DB316" si="816">IF(1/((350000*L)*(1/CM280+1/CN280))&gt;Isw_min, 350, 0.001/((Isw_min*L)*(1/CM280+1/CN280)))</f>
        <v>350</v>
      </c>
      <c r="DC280" s="443">
        <f t="shared" ref="DC280:DC316" si="817">MIN(1/(CZ280+DA280)*1000, 350)</f>
        <v>350</v>
      </c>
      <c r="DE280" s="217">
        <f t="shared" ref="DE280:DE316" si="818">1/((DB280*1000*L)*(1/CM280+1/CN280))</f>
        <v>2.7272727272727271</v>
      </c>
      <c r="DF280" s="173">
        <f t="shared" ref="DF280:DF316" si="819">L*DE280/CN280*1000000</f>
        <v>1.9480519480519483</v>
      </c>
      <c r="DG280" s="173">
        <f t="shared" ref="DG280:DG316" si="820">0.5*DF280*DE280*Nps*DB280/1000</f>
        <v>0.92975206611570249</v>
      </c>
      <c r="DH280" s="173"/>
      <c r="DI280" s="173">
        <f t="shared" ref="DI280:DI316" si="821">L*Isw_min/CN280*1000000</f>
        <v>0.95238095238095266</v>
      </c>
      <c r="DJ280" s="545">
        <f t="shared" ref="DJ280:DJ316" si="822">MAX(12000,CJ280/(0.5*DI280/1000000*Isw_min*Nps))/1000</f>
        <v>1007.9999999999997</v>
      </c>
      <c r="DK280" s="528">
        <f t="shared" ref="DK280:DK316" si="823">0.5*DI280/1000000*Isw_min*Nps*DB280*1000</f>
        <v>0.22222222222222232</v>
      </c>
      <c r="DM280" s="173">
        <f t="shared" ref="DM280:DM316" si="824">SQRT(CJ280/(0.5*L/CN280*Fsw_DCM*Nps))</f>
        <v>2.2627416997969521</v>
      </c>
      <c r="DN280" s="173">
        <f t="shared" ref="DN280:DN316" si="825">MAX(IF(CJ280&gt;DG280,CY280,DM280),Isw_min)</f>
        <v>2.2627416997969521</v>
      </c>
      <c r="DO280" s="173">
        <f t="shared" ref="DO280:DO316" si="826">IF(CJ280&gt;DK280, (DN280-Isw_min)/1.08*0.8+1.2, DJ280*0.2/350+1)</f>
        <v>1.8884506418249025</v>
      </c>
      <c r="DQ280" s="545">
        <f t="shared" ref="DQ280:DQ316" si="827">CJ280*1000</f>
        <v>640</v>
      </c>
      <c r="DR280" s="460">
        <f t="shared" ref="DR280:DR316" si="828">IF(CJ280&gt;DK280, DC280, DJ280)</f>
        <v>350</v>
      </c>
      <c r="DT280">
        <f t="shared" ref="DT280:DT316" si="829">IF(CL280&gt;CR280, "",DQ280)</f>
        <v>640</v>
      </c>
      <c r="DU280">
        <f t="shared" ref="DU280:DU316" si="830">IF(CL280&gt;CR280, "",DR280)</f>
        <v>350</v>
      </c>
      <c r="DW280" s="5">
        <f t="shared" si="670"/>
        <v>2.8571428571428572</v>
      </c>
      <c r="DX280" s="5">
        <f t="shared" ref="DX280:DX316" si="831">L*DN280/CM280*1000000</f>
        <v>0.7542472332656508</v>
      </c>
      <c r="DY280" s="5">
        <f t="shared" ref="DY280:DY316" si="832">DW280-DX280</f>
        <v>2.1028956238772065</v>
      </c>
      <c r="DZ280" s="5"/>
      <c r="EA280" s="173">
        <f t="shared" ref="EA280:EA316" si="833">DX280/DW280</f>
        <v>0.26398653164297775</v>
      </c>
      <c r="EB280" s="173">
        <f t="shared" si="699"/>
        <v>10.752000000000001</v>
      </c>
      <c r="EC280" s="173">
        <f t="shared" si="700"/>
        <v>0.83270418323180939</v>
      </c>
      <c r="ED280" s="173">
        <f t="shared" si="701"/>
        <v>12.912148415383719</v>
      </c>
      <c r="EE280" s="460">
        <f t="shared" ref="EE280:EE316" si="834">CJ280*DX280/Vout_ripple*1000</f>
        <v>2.9434038371342477</v>
      </c>
      <c r="EF280" s="5">
        <f t="shared" ref="EF280:EF316" si="835">CL280/Efficiency/CM280*DY280/Vinripple1</f>
        <v>0.51092575157905451</v>
      </c>
      <c r="EH280" s="173">
        <f t="shared" si="702"/>
        <v>0.67122054051110158</v>
      </c>
      <c r="EI280" s="173">
        <f t="shared" si="703"/>
        <v>1.1207719003716374</v>
      </c>
      <c r="EK280" s="528">
        <f t="shared" si="704"/>
        <v>9.0107402800803076E-3</v>
      </c>
      <c r="EL280" s="528">
        <f t="shared" si="705"/>
        <v>0.83630933224495341</v>
      </c>
      <c r="EM280" s="528">
        <f t="shared" si="706"/>
        <v>4.3749999999999997E-2</v>
      </c>
      <c r="EN280" s="528">
        <f t="shared" si="707"/>
        <v>9.7574399999999992E-2</v>
      </c>
      <c r="EO280">
        <f t="shared" si="708"/>
        <v>1.6199999999999999E-2</v>
      </c>
      <c r="EP280" s="460">
        <f t="shared" si="709"/>
        <v>59.949999999999996</v>
      </c>
      <c r="EQ280" s="460"/>
      <c r="ER280" s="460">
        <f t="shared" si="710"/>
        <v>1002.8444725250337</v>
      </c>
      <c r="ES280" s="528">
        <f t="shared" si="711"/>
        <v>0.44799999999999995</v>
      </c>
      <c r="EV280" s="460">
        <f t="shared" si="712"/>
        <v>447.99999999999994</v>
      </c>
      <c r="EW280" s="528">
        <f t="shared" si="713"/>
        <v>1.3516110420120461E-2</v>
      </c>
      <c r="EX280" s="528">
        <f t="shared" si="714"/>
        <v>3.7683889579879545E-2</v>
      </c>
      <c r="EY280" s="528">
        <f t="shared" si="715"/>
        <v>0.88252611680845972</v>
      </c>
      <c r="EZ280" s="528"/>
      <c r="FA280" s="528">
        <f t="shared" si="716"/>
        <v>8.9600000000000009E-3</v>
      </c>
      <c r="FB280" s="460">
        <f t="shared" si="717"/>
        <v>942.6861168084597</v>
      </c>
      <c r="FC280" s="173">
        <f t="shared" si="718"/>
        <v>2.3935305893334933</v>
      </c>
      <c r="FD280" s="5">
        <f t="shared" si="719"/>
        <v>10.495999999999999</v>
      </c>
      <c r="FE280" s="173">
        <f t="shared" si="720"/>
        <v>0.81430428573448443</v>
      </c>
      <c r="FF280" s="5">
        <f t="shared" si="721"/>
        <v>81.430428573448438</v>
      </c>
      <c r="FI280" s="562">
        <f t="shared" ref="FI280:FI316" si="836">IF(ABS(CJ280-Ioutmax_Vinmax)&lt;Iout/200, DR280, -50)</f>
        <v>-50</v>
      </c>
      <c r="FJ280">
        <f t="shared" ref="FJ280:FJ316" si="837">IF(ABS(CJ280-Ioutmax_Vinmin)&lt;Iout/200, CR280*FE280, -50)</f>
        <v>-50</v>
      </c>
      <c r="FL280">
        <f t="shared" ref="FL280:FL316" si="838">MIN(SQRT(2*L*DR280*1000*CJ280*(CX280+Vfwd1))/(Nps*(CX280+Vfwd1)), 1-EA280)</f>
        <v>0.56568542494923812</v>
      </c>
    </row>
    <row r="281" spans="5:168">
      <c r="E281" s="170">
        <v>65</v>
      </c>
      <c r="F281" s="217">
        <f t="shared" ref="F281:F312" si="839">IF(PLOT_TYPE=1, E281/100*Iout_max, min_I*EXP(N281*rr/100))</f>
        <v>0.65</v>
      </c>
      <c r="G281" s="217"/>
      <c r="H281" s="217">
        <f t="shared" si="764"/>
        <v>10.66</v>
      </c>
      <c r="I281" s="541">
        <f t="shared" si="765"/>
        <v>35.943673993150419</v>
      </c>
      <c r="J281" s="172">
        <f t="shared" si="766"/>
        <v>16.833795604109746</v>
      </c>
      <c r="K281" s="172">
        <f t="shared" si="767"/>
        <v>52.777469597260165</v>
      </c>
      <c r="L281" s="443"/>
      <c r="M281" s="217">
        <f t="shared" si="768"/>
        <v>0.31896327590445966</v>
      </c>
      <c r="N281" s="172">
        <f t="shared" si="769"/>
        <v>38.731618723211007</v>
      </c>
      <c r="O281" s="172">
        <f t="shared" si="762"/>
        <v>10.66</v>
      </c>
      <c r="P281" s="217">
        <f t="shared" si="770"/>
        <v>2.3616840684884761</v>
      </c>
      <c r="Q281" s="217">
        <f t="shared" si="771"/>
        <v>16.399999999999999</v>
      </c>
      <c r="R281" s="217"/>
      <c r="S281" s="172">
        <f t="shared" si="772"/>
        <v>148.47943053417612</v>
      </c>
      <c r="T281" s="172">
        <f t="shared" si="773"/>
        <v>16.399999999999999</v>
      </c>
      <c r="U281" s="217">
        <f t="shared" si="774"/>
        <v>1.9088544773066121</v>
      </c>
      <c r="V281" s="217">
        <f t="shared" si="775"/>
        <v>0.63728192426974661</v>
      </c>
      <c r="W281" s="217">
        <f t="shared" si="776"/>
        <v>1.3607301803098459</v>
      </c>
      <c r="X281" s="197">
        <f t="shared" si="777"/>
        <v>350</v>
      </c>
      <c r="Y281" s="443">
        <f t="shared" ref="Y281:Y316" si="840">MIN(1/(V281+W281+0.2)*1000, 350)</f>
        <v>350</v>
      </c>
      <c r="AA281" s="217">
        <f t="shared" si="778"/>
        <v>2.7296480950546163</v>
      </c>
      <c r="AB281" s="173">
        <f t="shared" si="779"/>
        <v>1.9458343151474711</v>
      </c>
      <c r="AC281" s="173">
        <f t="shared" si="780"/>
        <v>0.92950251303598475</v>
      </c>
      <c r="AD281" s="173"/>
      <c r="AE281" s="173">
        <f t="shared" si="781"/>
        <v>0.95046894807810411</v>
      </c>
      <c r="AF281" s="545">
        <f t="shared" si="782"/>
        <v>1025.8094196254374</v>
      </c>
      <c r="AG281" s="528">
        <f t="shared" si="783"/>
        <v>0.22177608788489098</v>
      </c>
      <c r="AI281" s="173">
        <f t="shared" si="784"/>
        <v>2.2826433238964881</v>
      </c>
      <c r="AJ281" s="173">
        <f t="shared" si="785"/>
        <v>2.2826433238964881</v>
      </c>
      <c r="AK281" s="173">
        <f t="shared" si="786"/>
        <v>1.9031925856023366</v>
      </c>
      <c r="AM281" s="545">
        <f t="shared" si="787"/>
        <v>650</v>
      </c>
      <c r="AN281" s="460">
        <f t="shared" si="788"/>
        <v>350</v>
      </c>
      <c r="AP281">
        <f t="shared" si="789"/>
        <v>650</v>
      </c>
      <c r="AQ281">
        <f t="shared" si="790"/>
        <v>350</v>
      </c>
      <c r="AS281" s="5">
        <f t="shared" si="763"/>
        <v>2.8571428571428572</v>
      </c>
      <c r="AT281" s="5">
        <f t="shared" si="791"/>
        <v>0.76207345670834148</v>
      </c>
      <c r="AU281" s="5">
        <f t="shared" si="722"/>
        <v>2.0950694004345158</v>
      </c>
      <c r="AV281" s="5"/>
      <c r="AW281" s="173">
        <f t="shared" si="723"/>
        <v>0.26672570984791949</v>
      </c>
      <c r="AX281" s="173">
        <f t="shared" si="792"/>
        <v>10.941967142671334</v>
      </c>
      <c r="AY281" s="173">
        <f t="shared" si="793"/>
        <v>0.83690183150029152</v>
      </c>
      <c r="AZ281" s="173">
        <f t="shared" si="794"/>
        <v>13.074373517687208</v>
      </c>
      <c r="BA281" s="460">
        <f t="shared" si="724"/>
        <v>3.0204130906123297</v>
      </c>
      <c r="BB281" s="5">
        <f t="shared" si="725"/>
        <v>0.51778791016392045</v>
      </c>
      <c r="BD281" s="173">
        <f t="shared" ref="BD281:BD316" si="841">AJ281*SQRT(AW281/3)</f>
        <v>0.68062808916163109</v>
      </c>
      <c r="BE281" s="173">
        <f t="shared" ref="BE281:BE316" si="842">AJ281*Nps*SQRT((1-AW281)/3)</f>
        <v>1.1285236309535522</v>
      </c>
      <c r="BG281" s="528">
        <f t="shared" ref="BG281:BG316" si="843">Rdson*BD281^2</f>
        <v>9.2650919151162654E-3</v>
      </c>
      <c r="BH281" s="528">
        <f t="shared" si="795"/>
        <v>0.79059840974845352</v>
      </c>
      <c r="BI281" s="528">
        <f t="shared" si="796"/>
        <v>0.31450714744006619</v>
      </c>
      <c r="BJ281" s="528">
        <f t="shared" ref="BJ281:BJ316" si="844">0.5*(Coss+Csw)*K281^2*AN281*1000</f>
        <v>9.7491145398140244E-2</v>
      </c>
      <c r="BK281">
        <f t="shared" ref="BK281:BK316" si="845">I281*IQ</f>
        <v>1.6174653296917689E-2</v>
      </c>
      <c r="BL281" s="460">
        <f t="shared" ref="BL281:BL316" si="846">(BK281+BI281)*1000</f>
        <v>330.68180073698392</v>
      </c>
      <c r="BM281" s="528">
        <f t="shared" si="797"/>
        <v>0.90184152303665488</v>
      </c>
      <c r="BN281" s="460">
        <f t="shared" ref="BN281:BN316" si="847">BM281*1000</f>
        <v>901.84152303665485</v>
      </c>
      <c r="BO281" s="528">
        <f t="shared" si="798"/>
        <v>0.45499999999999996</v>
      </c>
      <c r="BR281" s="460">
        <f t="shared" ref="BR281:BR316" si="848">SUM(BO281:BQ281)*1000</f>
        <v>454.99999999999994</v>
      </c>
      <c r="BS281" s="528">
        <f t="shared" ref="BS281:BS316" si="849">Rdcr_pri*BD281^2</f>
        <v>1.3897637872674397E-2</v>
      </c>
      <c r="BT281" s="528">
        <f t="shared" ref="BT281:BT316" si="850">Rdcr_sec*BE281^2</f>
        <v>3.8206967568617682E-2</v>
      </c>
      <c r="BU281" s="528">
        <f t="shared" ref="BU281:BU316" si="851">AJ281^2.5*AN281^2.5*k_core</f>
        <v>0.90205964551837026</v>
      </c>
      <c r="BV281" s="528"/>
      <c r="BW281" s="528">
        <f t="shared" ref="BW281:BW316" si="852">0.5*Lleak*0.000000001*AJ281^2*AN281*1000</f>
        <v>9.1183059522261124E-3</v>
      </c>
      <c r="BX281" s="460">
        <f t="shared" ref="BX281:BX316" si="853">SUM(BS281:BW281)*1000</f>
        <v>963.28255691188838</v>
      </c>
      <c r="BY281" s="173">
        <f t="shared" ref="BY281:BY316" si="854">SUM(BG281:BK281,BO281:BQ281,BS281:BW281)</f>
        <v>2.6463190047105822</v>
      </c>
      <c r="BZ281" s="5">
        <f t="shared" ref="BZ281:BZ316" si="855">MIN(H281,O281)</f>
        <v>10.66</v>
      </c>
      <c r="CA281" s="173">
        <f t="shared" ref="CA281:CA316" si="856">BZ281/(BZ281+BY281)</f>
        <v>0.80112313527326706</v>
      </c>
      <c r="CB281" s="5">
        <f t="shared" ref="CB281:CB316" si="857">CA281*100</f>
        <v>80.112313527326705</v>
      </c>
      <c r="CE281" s="562">
        <f t="shared" si="799"/>
        <v>-50</v>
      </c>
      <c r="CF281">
        <f t="shared" si="800"/>
        <v>-50</v>
      </c>
      <c r="CG281" s="173">
        <f t="shared" si="801"/>
        <v>0.57699811894692754</v>
      </c>
      <c r="CI281" s="170">
        <v>65</v>
      </c>
      <c r="CJ281" s="217">
        <f t="shared" ref="CJ281:CJ316" si="858">IF(PLOT_TYPE=1, CI281/100*Iout_max, min_I*EXP(CR281*rr/100))</f>
        <v>0.65</v>
      </c>
      <c r="CK281" s="217"/>
      <c r="CL281" s="217">
        <f t="shared" si="802"/>
        <v>10.66</v>
      </c>
      <c r="CM281" s="541">
        <f t="shared" si="803"/>
        <v>36</v>
      </c>
      <c r="CN281" s="443">
        <f t="shared" si="804"/>
        <v>16.799999999999997</v>
      </c>
      <c r="CO281" s="443">
        <f t="shared" si="805"/>
        <v>52.8</v>
      </c>
      <c r="CP281" s="443"/>
      <c r="CQ281" s="217">
        <f t="shared" si="806"/>
        <v>0.31818181818181812</v>
      </c>
      <c r="CR281" s="172">
        <f t="shared" si="807"/>
        <v>38.697272727272725</v>
      </c>
      <c r="CS281" s="172">
        <f t="shared" si="808"/>
        <v>10.66</v>
      </c>
      <c r="CT281" s="217">
        <f t="shared" si="809"/>
        <v>2.3595898004434592</v>
      </c>
      <c r="CU281" s="217">
        <f t="shared" si="810"/>
        <v>16.399999999999999</v>
      </c>
      <c r="CV281" s="217"/>
      <c r="CW281" s="172">
        <f t="shared" si="811"/>
        <v>148.71195634814612</v>
      </c>
      <c r="CX281" s="172">
        <f t="shared" si="812"/>
        <v>16.399999999999999</v>
      </c>
      <c r="CY281" s="217">
        <f t="shared" si="813"/>
        <v>1.8612698412698414</v>
      </c>
      <c r="CZ281" s="217">
        <f t="shared" si="814"/>
        <v>0.62042328042328043</v>
      </c>
      <c r="DA281" s="217">
        <f t="shared" si="815"/>
        <v>1.3294784580498871</v>
      </c>
      <c r="DB281" s="197">
        <f t="shared" si="816"/>
        <v>350</v>
      </c>
      <c r="DC281" s="443">
        <f t="shared" si="817"/>
        <v>350</v>
      </c>
      <c r="DE281" s="217">
        <f t="shared" si="818"/>
        <v>2.7272727272727271</v>
      </c>
      <c r="DF281" s="173">
        <f t="shared" si="819"/>
        <v>1.9480519480519483</v>
      </c>
      <c r="DG281" s="173">
        <f t="shared" si="820"/>
        <v>0.92975206611570249</v>
      </c>
      <c r="DH281" s="173"/>
      <c r="DI281" s="173">
        <f t="shared" si="821"/>
        <v>0.95238095238095266</v>
      </c>
      <c r="DJ281" s="545">
        <f t="shared" si="822"/>
        <v>1023.7499999999997</v>
      </c>
      <c r="DK281" s="528">
        <f t="shared" si="823"/>
        <v>0.22222222222222232</v>
      </c>
      <c r="DM281" s="173">
        <f t="shared" si="824"/>
        <v>2.2803508501982757</v>
      </c>
      <c r="DN281" s="173">
        <f t="shared" si="825"/>
        <v>2.2803508501982757</v>
      </c>
      <c r="DO281" s="173">
        <f t="shared" si="826"/>
        <v>1.901494456936994</v>
      </c>
      <c r="DQ281" s="545">
        <f t="shared" si="827"/>
        <v>650</v>
      </c>
      <c r="DR281" s="460">
        <f t="shared" si="828"/>
        <v>350</v>
      </c>
      <c r="DT281">
        <f t="shared" si="829"/>
        <v>650</v>
      </c>
      <c r="DU281">
        <f t="shared" si="830"/>
        <v>350</v>
      </c>
      <c r="DW281" s="5">
        <f t="shared" ref="DW281:DW316" si="859">1/DR281*1000</f>
        <v>2.8571428571428572</v>
      </c>
      <c r="DX281" s="5">
        <f t="shared" si="831"/>
        <v>0.76011695006609192</v>
      </c>
      <c r="DY281" s="5">
        <f t="shared" si="832"/>
        <v>2.0970259070767652</v>
      </c>
      <c r="DZ281" s="5"/>
      <c r="EA281" s="173">
        <f t="shared" si="833"/>
        <v>0.26604093252313216</v>
      </c>
      <c r="EB281" s="173">
        <f t="shared" ref="EB281:EB316" si="860">0.5*L*DN281^2*DR281*1000</f>
        <v>10.919999999999998</v>
      </c>
      <c r="EC281" s="173">
        <f t="shared" ref="EC281:EC316" si="861">DN281*Nps/2*(1-EA281)</f>
        <v>0.8368420917658046</v>
      </c>
      <c r="ED281" s="173">
        <f t="shared" ref="ED281:ED316" si="862">EB281/EC281</f>
        <v>13.049056814240682</v>
      </c>
      <c r="EE281" s="460">
        <f t="shared" si="834"/>
        <v>3.0126586435546332</v>
      </c>
      <c r="EF281" s="5">
        <f t="shared" si="835"/>
        <v>0.51746055947773872</v>
      </c>
      <c r="EH281" s="173">
        <f t="shared" ref="EH281:EH316" si="863">DN281*SQRT(EA281/3)</f>
        <v>0.67907114235065902</v>
      </c>
      <c r="EI281" s="173">
        <f t="shared" ref="EI281:EI316" si="864">DN281*Nps*SQRT((1-EA281)/3)</f>
        <v>1.1279165381179159</v>
      </c>
      <c r="EK281" s="528">
        <f t="shared" ref="EK281:EK316" si="865">Rdson*EH281^2</f>
        <v>9.222752327468579E-3</v>
      </c>
      <c r="EL281" s="528">
        <f t="shared" ref="EL281:EL316" si="866">0.5*CO281*DN281*DR281*1000*Trise</f>
        <v>0.8428176742332828</v>
      </c>
      <c r="EM281" s="528">
        <f t="shared" ref="EM281:EM316" si="867">Qg*Vdd*DR281*1000</f>
        <v>4.3749999999999997E-2</v>
      </c>
      <c r="EN281" s="528">
        <f t="shared" ref="EN281:EN316" si="868">0.5*(Coss+Csw)*CO281^2*DR281*1000</f>
        <v>9.7574399999999992E-2</v>
      </c>
      <c r="EO281">
        <f t="shared" ref="EO281:EO316" si="869">CM281*IQ</f>
        <v>1.6199999999999999E-2</v>
      </c>
      <c r="EP281" s="460">
        <f t="shared" ref="EP281:EP316" si="870">(EO281+EM281)*1000</f>
        <v>59.949999999999996</v>
      </c>
      <c r="EQ281" s="460"/>
      <c r="ER281" s="460">
        <f t="shared" ref="ER281:ER316" si="871">SUM(EK281:EO281)*1000</f>
        <v>1009.5648265607513</v>
      </c>
      <c r="ES281" s="528">
        <f t="shared" ref="ES281:ES316" si="872">Vfwd2*CJ281</f>
        <v>0.45499999999999996</v>
      </c>
      <c r="EV281" s="460">
        <f t="shared" ref="EV281:EV316" si="873">SUM(ES281:EU281)*1000</f>
        <v>454.99999999999994</v>
      </c>
      <c r="EW281" s="528">
        <f t="shared" ref="EW281:EW316" si="874">Rdcr_pri*EH281^2</f>
        <v>1.3834128491202869E-2</v>
      </c>
      <c r="EX281" s="528">
        <f t="shared" ref="EX281:EX316" si="875">Rdcr_sec*EI281^2</f>
        <v>3.816587150879712E-2</v>
      </c>
      <c r="EY281" s="528">
        <f t="shared" ref="EY281:EY316" si="876">DN281^2.5*DR281^2.5*k_core</f>
        <v>0.89979649011170193</v>
      </c>
      <c r="EZ281" s="528"/>
      <c r="FA281" s="528">
        <f t="shared" ref="FA281:FA316" si="877">0.5*Lleak*0.000000001*DN281^2*DR281*1000</f>
        <v>9.099999999999997E-3</v>
      </c>
      <c r="FB281" s="460">
        <f t="shared" ref="FB281:FB316" si="878">SUM(EW281:FA281)*1000</f>
        <v>960.89649011170195</v>
      </c>
      <c r="FC281" s="173">
        <f t="shared" ref="FC281:FC316" si="879">SUM(EK281:EO281,ES281:EU281,EW281:FA281)</f>
        <v>2.425461316672453</v>
      </c>
      <c r="FD281" s="5">
        <f t="shared" ref="FD281:FD316" si="880">MIN(CL281,CS281)</f>
        <v>10.66</v>
      </c>
      <c r="FE281" s="173">
        <f t="shared" ref="FE281:FE316" si="881">FD281/(FD281+FC281)</f>
        <v>0.81464456942132224</v>
      </c>
      <c r="FF281" s="5">
        <f t="shared" ref="FF281:FF316" si="882">FE281*100</f>
        <v>81.46445694213223</v>
      </c>
      <c r="FI281" s="562">
        <f t="shared" si="836"/>
        <v>-50</v>
      </c>
      <c r="FJ281">
        <f t="shared" si="837"/>
        <v>-50</v>
      </c>
      <c r="FL281">
        <f t="shared" si="838"/>
        <v>0.57008771254956903</v>
      </c>
    </row>
    <row r="282" spans="5:168">
      <c r="E282" s="170">
        <v>66</v>
      </c>
      <c r="F282" s="217">
        <f t="shared" si="839"/>
        <v>0.66</v>
      </c>
      <c r="G282" s="217"/>
      <c r="H282" s="217">
        <f t="shared" si="764"/>
        <v>10.824</v>
      </c>
      <c r="I282" s="541">
        <f t="shared" si="765"/>
        <v>35.94324236992766</v>
      </c>
      <c r="J282" s="172">
        <f t="shared" si="766"/>
        <v>16.8340545780434</v>
      </c>
      <c r="K282" s="172">
        <f t="shared" si="767"/>
        <v>52.77729694797106</v>
      </c>
      <c r="L282" s="443"/>
      <c r="M282" s="217">
        <f t="shared" si="768"/>
        <v>0.31896926670291331</v>
      </c>
      <c r="N282" s="172">
        <f t="shared" si="769"/>
        <v>38.731881073644438</v>
      </c>
      <c r="O282" s="172">
        <f t="shared" si="762"/>
        <v>10.824</v>
      </c>
      <c r="P282" s="217">
        <f t="shared" si="770"/>
        <v>2.3617000654661244</v>
      </c>
      <c r="Q282" s="217">
        <f t="shared" si="771"/>
        <v>16.399999999999999</v>
      </c>
      <c r="R282" s="217"/>
      <c r="S282" s="172">
        <f t="shared" si="772"/>
        <v>145.68670094387218</v>
      </c>
      <c r="T282" s="172">
        <f t="shared" si="773"/>
        <v>16.399999999999999</v>
      </c>
      <c r="U282" s="217">
        <f t="shared" si="774"/>
        <v>1.9382385191479683</v>
      </c>
      <c r="V282" s="217">
        <f t="shared" si="775"/>
        <v>0.64709972434861429</v>
      </c>
      <c r="W282" s="217">
        <f t="shared" si="776"/>
        <v>1.3816553891961403</v>
      </c>
      <c r="X282" s="197">
        <f t="shared" si="777"/>
        <v>350</v>
      </c>
      <c r="Y282" s="443">
        <f t="shared" si="840"/>
        <v>350</v>
      </c>
      <c r="AA282" s="217">
        <f t="shared" si="778"/>
        <v>2.7296662388920709</v>
      </c>
      <c r="AB282" s="173">
        <f t="shared" si="779"/>
        <v>1.9458173142332795</v>
      </c>
      <c r="AC282" s="173">
        <f t="shared" si="780"/>
        <v>0.92950057019998977</v>
      </c>
      <c r="AD282" s="173"/>
      <c r="AE282" s="173">
        <f t="shared" si="781"/>
        <v>0.95045432612941316</v>
      </c>
      <c r="AF282" s="545">
        <f t="shared" si="782"/>
        <v>1041.6071270164352</v>
      </c>
      <c r="AG282" s="528">
        <f t="shared" si="783"/>
        <v>0.22177267609686308</v>
      </c>
      <c r="AI282" s="173">
        <f t="shared" si="784"/>
        <v>2.3001527921825256</v>
      </c>
      <c r="AJ282" s="173">
        <f t="shared" si="785"/>
        <v>2.3001527921825256</v>
      </c>
      <c r="AK282" s="173">
        <f t="shared" si="786"/>
        <v>1.9161625621105127</v>
      </c>
      <c r="AM282" s="545">
        <f t="shared" si="787"/>
        <v>660</v>
      </c>
      <c r="AN282" s="460">
        <f t="shared" si="788"/>
        <v>350</v>
      </c>
      <c r="AP282">
        <f t="shared" si="789"/>
        <v>660</v>
      </c>
      <c r="AQ282">
        <f t="shared" si="790"/>
        <v>350</v>
      </c>
      <c r="AS282" s="5">
        <f t="shared" si="763"/>
        <v>2.8571428571428572</v>
      </c>
      <c r="AT282" s="5">
        <f t="shared" si="791"/>
        <v>0.76792831381521964</v>
      </c>
      <c r="AU282" s="5">
        <f t="shared" si="722"/>
        <v>2.0892145433276377</v>
      </c>
      <c r="AV282" s="5"/>
      <c r="AW282" s="173">
        <f t="shared" si="723"/>
        <v>0.26877490983532687</v>
      </c>
      <c r="AX282" s="173">
        <f t="shared" si="792"/>
        <v>11.110476021508646</v>
      </c>
      <c r="AY282" s="173">
        <f t="shared" si="793"/>
        <v>0.84096471642809589</v>
      </c>
      <c r="AZ282" s="173">
        <f t="shared" si="794"/>
        <v>13.21158403493925</v>
      </c>
      <c r="BA282" s="460">
        <f t="shared" si="724"/>
        <v>3.0904432141344214</v>
      </c>
      <c r="BB282" s="5">
        <f t="shared" si="725"/>
        <v>0.52429090806181544</v>
      </c>
      <c r="BD282" s="173">
        <f t="shared" si="841"/>
        <v>0.68847856082498482</v>
      </c>
      <c r="BE282" s="173">
        <f t="shared" si="842"/>
        <v>1.1355901081578894</v>
      </c>
      <c r="BG282" s="528">
        <f t="shared" si="843"/>
        <v>9.4800545743128472E-3</v>
      </c>
      <c r="BH282" s="528">
        <f t="shared" si="795"/>
        <v>0.79666024553536252</v>
      </c>
      <c r="BI282" s="528">
        <f t="shared" si="796"/>
        <v>0.31450337073686696</v>
      </c>
      <c r="BJ282" s="528">
        <f t="shared" si="844"/>
        <v>9.7490507559701026E-2</v>
      </c>
      <c r="BK282">
        <f t="shared" si="845"/>
        <v>1.6174459066467445E-2</v>
      </c>
      <c r="BL282" s="460">
        <f t="shared" si="846"/>
        <v>330.67782980333436</v>
      </c>
      <c r="BM282" s="528">
        <f t="shared" si="797"/>
        <v>0.90823618896877967</v>
      </c>
      <c r="BN282" s="460">
        <f t="shared" si="847"/>
        <v>908.23618896877963</v>
      </c>
      <c r="BO282" s="528">
        <f t="shared" si="798"/>
        <v>0.46199999999999997</v>
      </c>
      <c r="BR282" s="460">
        <f t="shared" si="848"/>
        <v>461.99999999999994</v>
      </c>
      <c r="BS282" s="528">
        <f t="shared" si="849"/>
        <v>1.4220081861469268E-2</v>
      </c>
      <c r="BT282" s="528">
        <f t="shared" si="850"/>
        <v>3.8686946812381405E-2</v>
      </c>
      <c r="BU282" s="528">
        <f t="shared" si="851"/>
        <v>0.91945786019697151</v>
      </c>
      <c r="BV282" s="528"/>
      <c r="BW282" s="528">
        <f t="shared" si="852"/>
        <v>9.2587300179238705E-3</v>
      </c>
      <c r="BX282" s="460">
        <f t="shared" si="853"/>
        <v>981.62361888874602</v>
      </c>
      <c r="BY282" s="173">
        <f t="shared" si="854"/>
        <v>2.6779322563614567</v>
      </c>
      <c r="BZ282" s="5">
        <f t="shared" si="855"/>
        <v>10.824</v>
      </c>
      <c r="CA282" s="173">
        <f t="shared" si="856"/>
        <v>0.80166303566663621</v>
      </c>
      <c r="CB282" s="5">
        <f t="shared" si="857"/>
        <v>80.166303566663615</v>
      </c>
      <c r="CE282" s="562">
        <f t="shared" si="799"/>
        <v>-50</v>
      </c>
      <c r="CF282">
        <f t="shared" si="800"/>
        <v>-50</v>
      </c>
      <c r="CG282" s="173">
        <f t="shared" si="801"/>
        <v>0.58141962513128587</v>
      </c>
      <c r="CI282" s="170">
        <v>66</v>
      </c>
      <c r="CJ282" s="217">
        <f t="shared" si="858"/>
        <v>0.66</v>
      </c>
      <c r="CK282" s="217"/>
      <c r="CL282" s="217">
        <f t="shared" si="802"/>
        <v>10.824</v>
      </c>
      <c r="CM282" s="541">
        <f t="shared" si="803"/>
        <v>36</v>
      </c>
      <c r="CN282" s="443">
        <f t="shared" si="804"/>
        <v>16.799999999999997</v>
      </c>
      <c r="CO282" s="443">
        <f t="shared" si="805"/>
        <v>52.8</v>
      </c>
      <c r="CP282" s="443"/>
      <c r="CQ282" s="217">
        <f t="shared" si="806"/>
        <v>0.31818181818181812</v>
      </c>
      <c r="CR282" s="172">
        <f t="shared" si="807"/>
        <v>38.697272727272725</v>
      </c>
      <c r="CS282" s="172">
        <f t="shared" si="808"/>
        <v>10.824</v>
      </c>
      <c r="CT282" s="217">
        <f t="shared" si="809"/>
        <v>2.3595898004434592</v>
      </c>
      <c r="CU282" s="217">
        <f t="shared" si="810"/>
        <v>16.399999999999999</v>
      </c>
      <c r="CV282" s="217"/>
      <c r="CW282" s="172">
        <f t="shared" si="811"/>
        <v>145.91659854016464</v>
      </c>
      <c r="CX282" s="172">
        <f t="shared" si="812"/>
        <v>16.399999999999999</v>
      </c>
      <c r="CY282" s="217">
        <f t="shared" si="813"/>
        <v>1.8899047619047622</v>
      </c>
      <c r="CZ282" s="217">
        <f t="shared" si="814"/>
        <v>0.62996825396825407</v>
      </c>
      <c r="DA282" s="217">
        <f t="shared" si="815"/>
        <v>1.3499319727891161</v>
      </c>
      <c r="DB282" s="197">
        <f t="shared" si="816"/>
        <v>350</v>
      </c>
      <c r="DC282" s="443">
        <f t="shared" si="817"/>
        <v>350</v>
      </c>
      <c r="DE282" s="217">
        <f t="shared" si="818"/>
        <v>2.7272727272727271</v>
      </c>
      <c r="DF282" s="173">
        <f t="shared" si="819"/>
        <v>1.9480519480519483</v>
      </c>
      <c r="DG282" s="173">
        <f t="shared" si="820"/>
        <v>0.92975206611570249</v>
      </c>
      <c r="DH282" s="173"/>
      <c r="DI282" s="173">
        <f t="shared" si="821"/>
        <v>0.95238095238095266</v>
      </c>
      <c r="DJ282" s="545">
        <f t="shared" si="822"/>
        <v>1039.4999999999995</v>
      </c>
      <c r="DK282" s="528">
        <f t="shared" si="823"/>
        <v>0.22222222222222232</v>
      </c>
      <c r="DM282" s="173">
        <f t="shared" si="824"/>
        <v>2.2978250586152114</v>
      </c>
      <c r="DN282" s="173">
        <f t="shared" si="825"/>
        <v>2.2978250586152114</v>
      </c>
      <c r="DO282" s="173">
        <f t="shared" si="826"/>
        <v>1.9144383150236133</v>
      </c>
      <c r="DQ282" s="545">
        <f t="shared" si="827"/>
        <v>660</v>
      </c>
      <c r="DR282" s="460">
        <f t="shared" si="828"/>
        <v>350</v>
      </c>
      <c r="DT282">
        <f t="shared" si="829"/>
        <v>660</v>
      </c>
      <c r="DU282">
        <f t="shared" si="830"/>
        <v>350</v>
      </c>
      <c r="DW282" s="5">
        <f t="shared" si="859"/>
        <v>2.8571428571428572</v>
      </c>
      <c r="DX282" s="5">
        <f t="shared" si="831"/>
        <v>0.76594168620507042</v>
      </c>
      <c r="DY282" s="5">
        <f t="shared" si="832"/>
        <v>2.0912011709377869</v>
      </c>
      <c r="DZ282" s="5"/>
      <c r="EA282" s="173">
        <f t="shared" si="833"/>
        <v>0.26807959017177463</v>
      </c>
      <c r="EB282" s="173">
        <f t="shared" si="860"/>
        <v>11.087999999999999</v>
      </c>
      <c r="EC282" s="173">
        <f t="shared" si="861"/>
        <v>0.84091252930760574</v>
      </c>
      <c r="ED282" s="173">
        <f t="shared" si="862"/>
        <v>13.185675814736268</v>
      </c>
      <c r="EE282" s="460">
        <f t="shared" si="834"/>
        <v>3.0824482493618697</v>
      </c>
      <c r="EF282" s="5">
        <f t="shared" si="835"/>
        <v>0.5239620711627454</v>
      </c>
      <c r="EH282" s="173">
        <f t="shared" si="863"/>
        <v>0.68689160622497292</v>
      </c>
      <c r="EI282" s="173">
        <f t="shared" si="864"/>
        <v>1.1349801413670975</v>
      </c>
      <c r="EK282" s="528">
        <f t="shared" si="865"/>
        <v>9.4364015740464654E-3</v>
      </c>
      <c r="EL282" s="528">
        <f t="shared" si="866"/>
        <v>0.84927614166418208</v>
      </c>
      <c r="EM282" s="528">
        <f t="shared" si="867"/>
        <v>4.3749999999999997E-2</v>
      </c>
      <c r="EN282" s="528">
        <f t="shared" si="868"/>
        <v>9.7574399999999992E-2</v>
      </c>
      <c r="EO282">
        <f t="shared" si="869"/>
        <v>1.6199999999999999E-2</v>
      </c>
      <c r="EP282" s="460">
        <f t="shared" si="870"/>
        <v>59.949999999999996</v>
      </c>
      <c r="EQ282" s="460"/>
      <c r="ER282" s="460">
        <f t="shared" si="871"/>
        <v>1016.2369432382286</v>
      </c>
      <c r="ES282" s="528">
        <f t="shared" si="872"/>
        <v>0.46199999999999997</v>
      </c>
      <c r="EV282" s="460">
        <f t="shared" si="873"/>
        <v>461.99999999999994</v>
      </c>
      <c r="EW282" s="528">
        <f t="shared" si="874"/>
        <v>1.4154602361069697E-2</v>
      </c>
      <c r="EX282" s="528">
        <f t="shared" si="875"/>
        <v>3.8645397638930296E-2</v>
      </c>
      <c r="EY282" s="528">
        <f t="shared" si="876"/>
        <v>0.91713341813281113</v>
      </c>
      <c r="EZ282" s="528"/>
      <c r="FA282" s="528">
        <f t="shared" si="877"/>
        <v>9.2399999999999999E-3</v>
      </c>
      <c r="FB282" s="460">
        <f t="shared" si="878"/>
        <v>979.17341813281109</v>
      </c>
      <c r="FC282" s="173">
        <f t="shared" si="879"/>
        <v>2.4574103613710396</v>
      </c>
      <c r="FD282" s="5">
        <f t="shared" si="880"/>
        <v>10.824</v>
      </c>
      <c r="FE282" s="173">
        <f t="shared" si="881"/>
        <v>0.8149736892010796</v>
      </c>
      <c r="FF282" s="5">
        <f t="shared" si="882"/>
        <v>81.497368920107959</v>
      </c>
      <c r="FI282" s="562">
        <f t="shared" si="836"/>
        <v>-50</v>
      </c>
      <c r="FJ282">
        <f t="shared" si="837"/>
        <v>-50</v>
      </c>
      <c r="FL282">
        <f t="shared" si="838"/>
        <v>0.57445626465380295</v>
      </c>
    </row>
    <row r="283" spans="5:168">
      <c r="E283" s="170">
        <v>67</v>
      </c>
      <c r="F283" s="217">
        <f t="shared" si="839"/>
        <v>0.67</v>
      </c>
      <c r="G283" s="217"/>
      <c r="H283" s="217">
        <f t="shared" si="764"/>
        <v>10.988</v>
      </c>
      <c r="I283" s="541">
        <f t="shared" si="765"/>
        <v>35.942814004378363</v>
      </c>
      <c r="J283" s="172">
        <f t="shared" si="766"/>
        <v>16.834311597372981</v>
      </c>
      <c r="K283" s="172">
        <f t="shared" si="767"/>
        <v>52.777125601751344</v>
      </c>
      <c r="L283" s="443"/>
      <c r="M283" s="217">
        <f t="shared" si="768"/>
        <v>0.31897521232390252</v>
      </c>
      <c r="N283" s="172">
        <f t="shared" si="769"/>
        <v>38.732141431335847</v>
      </c>
      <c r="O283" s="172">
        <f t="shared" si="762"/>
        <v>10.988</v>
      </c>
      <c r="P283" s="217">
        <f t="shared" si="770"/>
        <v>2.3617159409351127</v>
      </c>
      <c r="Q283" s="217">
        <f t="shared" si="771"/>
        <v>16.399999999999999</v>
      </c>
      <c r="R283" s="217"/>
      <c r="S283" s="172">
        <f t="shared" si="772"/>
        <v>142.97743084390092</v>
      </c>
      <c r="T283" s="172">
        <f t="shared" si="773"/>
        <v>16.399999999999999</v>
      </c>
      <c r="U283" s="217">
        <f t="shared" si="774"/>
        <v>1.9676229474298048</v>
      </c>
      <c r="V283" s="217">
        <f t="shared" si="775"/>
        <v>0.65691782970252222</v>
      </c>
      <c r="W283" s="217">
        <f t="shared" si="776"/>
        <v>1.402580392585953</v>
      </c>
      <c r="X283" s="197">
        <f t="shared" si="777"/>
        <v>350</v>
      </c>
      <c r="Y283" s="443">
        <f t="shared" si="840"/>
        <v>350</v>
      </c>
      <c r="AA283" s="217">
        <f t="shared" si="778"/>
        <v>2.7296842449092411</v>
      </c>
      <c r="AB283" s="173">
        <f t="shared" si="779"/>
        <v>1.9458004415234031</v>
      </c>
      <c r="AC283" s="173">
        <f t="shared" si="780"/>
        <v>0.9294986415686789</v>
      </c>
      <c r="AD283" s="173"/>
      <c r="AE283" s="173">
        <f t="shared" si="781"/>
        <v>0.95043981498458341</v>
      </c>
      <c r="AF283" s="545">
        <f t="shared" si="782"/>
        <v>1057.4051972099901</v>
      </c>
      <c r="AG283" s="528">
        <f t="shared" si="783"/>
        <v>0.22176929016306951</v>
      </c>
      <c r="AI283" s="173">
        <f t="shared" si="784"/>
        <v>2.317530373791802</v>
      </c>
      <c r="AJ283" s="173">
        <f t="shared" si="785"/>
        <v>2.317530373791802</v>
      </c>
      <c r="AK283" s="173">
        <f t="shared" si="786"/>
        <v>1.9290348447840509</v>
      </c>
      <c r="AM283" s="545">
        <f t="shared" si="787"/>
        <v>670</v>
      </c>
      <c r="AN283" s="460">
        <f t="shared" si="788"/>
        <v>350</v>
      </c>
      <c r="AP283">
        <f t="shared" si="789"/>
        <v>670</v>
      </c>
      <c r="AQ283">
        <f t="shared" si="790"/>
        <v>350</v>
      </c>
      <c r="AS283" s="5">
        <f t="shared" si="763"/>
        <v>2.8571428571428572</v>
      </c>
      <c r="AT283" s="5">
        <f t="shared" si="791"/>
        <v>0.77373920923703732</v>
      </c>
      <c r="AU283" s="5">
        <f t="shared" si="722"/>
        <v>2.0834036479058198</v>
      </c>
      <c r="AV283" s="5"/>
      <c r="AW283" s="173">
        <f t="shared" si="723"/>
        <v>0.27080872323296307</v>
      </c>
      <c r="AX283" s="173">
        <f t="shared" si="792"/>
        <v>11.278988770239897</v>
      </c>
      <c r="AY283" s="173">
        <f t="shared" si="793"/>
        <v>0.84496146610581635</v>
      </c>
      <c r="AZ283" s="173">
        <f t="shared" si="794"/>
        <v>13.34852442706234</v>
      </c>
      <c r="BA283" s="460">
        <f t="shared" si="724"/>
        <v>3.1610077450537504</v>
      </c>
      <c r="BB283" s="5">
        <f t="shared" si="725"/>
        <v>0.53076068929013431</v>
      </c>
      <c r="BD283" s="173">
        <f t="shared" si="841"/>
        <v>0.6962995784095154</v>
      </c>
      <c r="BE283" s="173">
        <f t="shared" si="842"/>
        <v>1.1425771636623006</v>
      </c>
      <c r="BG283" s="528">
        <f t="shared" si="843"/>
        <v>9.6966620578653774E-3</v>
      </c>
      <c r="BH283" s="528">
        <f t="shared" si="795"/>
        <v>0.80267638252911166</v>
      </c>
      <c r="BI283" s="528">
        <f t="shared" si="796"/>
        <v>0.31449962253831065</v>
      </c>
      <c r="BJ283" s="528">
        <f t="shared" si="844"/>
        <v>9.7489874537406304E-2</v>
      </c>
      <c r="BK283">
        <f t="shared" si="845"/>
        <v>1.6174266301970264E-2</v>
      </c>
      <c r="BL283" s="460">
        <f t="shared" si="846"/>
        <v>330.67388884028094</v>
      </c>
      <c r="BM283" s="528">
        <f t="shared" si="797"/>
        <v>0.91458816215374072</v>
      </c>
      <c r="BN283" s="460">
        <f t="shared" si="847"/>
        <v>914.58816215374077</v>
      </c>
      <c r="BO283" s="528">
        <f t="shared" si="798"/>
        <v>0.46899999999999997</v>
      </c>
      <c r="BR283" s="460">
        <f t="shared" si="848"/>
        <v>469</v>
      </c>
      <c r="BS283" s="528">
        <f t="shared" si="849"/>
        <v>1.4544993086798066E-2</v>
      </c>
      <c r="BT283" s="528">
        <f t="shared" si="850"/>
        <v>3.9164477247677625E-2</v>
      </c>
      <c r="BU283" s="528">
        <f t="shared" si="851"/>
        <v>0.93692257237803411</v>
      </c>
      <c r="BV283" s="528"/>
      <c r="BW283" s="528">
        <f t="shared" si="852"/>
        <v>9.3991573085332458E-3</v>
      </c>
      <c r="BX283" s="460">
        <f t="shared" si="853"/>
        <v>1000.0312000210432</v>
      </c>
      <c r="BY283" s="173">
        <f t="shared" si="854"/>
        <v>2.7095680079857072</v>
      </c>
      <c r="BZ283" s="5">
        <f t="shared" si="855"/>
        <v>10.988</v>
      </c>
      <c r="CA283" s="173">
        <f t="shared" si="856"/>
        <v>0.80218619784139611</v>
      </c>
      <c r="CB283" s="5">
        <f t="shared" si="857"/>
        <v>80.218619784139605</v>
      </c>
      <c r="CE283" s="562">
        <f t="shared" si="799"/>
        <v>-50</v>
      </c>
      <c r="CF283">
        <f t="shared" si="800"/>
        <v>-50</v>
      </c>
      <c r="CG283" s="173">
        <f t="shared" si="801"/>
        <v>0.58580776002654411</v>
      </c>
      <c r="CI283" s="170">
        <v>67</v>
      </c>
      <c r="CJ283" s="217">
        <f t="shared" si="858"/>
        <v>0.67</v>
      </c>
      <c r="CK283" s="217"/>
      <c r="CL283" s="217">
        <f t="shared" si="802"/>
        <v>10.988</v>
      </c>
      <c r="CM283" s="541">
        <f t="shared" si="803"/>
        <v>36</v>
      </c>
      <c r="CN283" s="443">
        <f t="shared" si="804"/>
        <v>16.799999999999997</v>
      </c>
      <c r="CO283" s="443">
        <f t="shared" si="805"/>
        <v>52.8</v>
      </c>
      <c r="CP283" s="443"/>
      <c r="CQ283" s="217">
        <f t="shared" si="806"/>
        <v>0.31818181818181812</v>
      </c>
      <c r="CR283" s="172">
        <f t="shared" si="807"/>
        <v>38.697272727272725</v>
      </c>
      <c r="CS283" s="172">
        <f t="shared" si="808"/>
        <v>10.988</v>
      </c>
      <c r="CT283" s="217">
        <f t="shared" si="809"/>
        <v>2.3595898004434592</v>
      </c>
      <c r="CU283" s="217">
        <f t="shared" si="810"/>
        <v>16.399999999999999</v>
      </c>
      <c r="CV283" s="217"/>
      <c r="CW283" s="172">
        <f t="shared" si="811"/>
        <v>143.20475284458237</v>
      </c>
      <c r="CX283" s="172">
        <f t="shared" si="812"/>
        <v>16.399999999999999</v>
      </c>
      <c r="CY283" s="217">
        <f t="shared" si="813"/>
        <v>1.9185396825396828</v>
      </c>
      <c r="CZ283" s="217">
        <f t="shared" si="814"/>
        <v>0.63951322751322759</v>
      </c>
      <c r="DA283" s="217">
        <f t="shared" si="815"/>
        <v>1.370385487528345</v>
      </c>
      <c r="DB283" s="197">
        <f t="shared" si="816"/>
        <v>350</v>
      </c>
      <c r="DC283" s="443">
        <f t="shared" si="817"/>
        <v>350</v>
      </c>
      <c r="DE283" s="217">
        <f t="shared" si="818"/>
        <v>2.7272727272727271</v>
      </c>
      <c r="DF283" s="173">
        <f t="shared" si="819"/>
        <v>1.9480519480519483</v>
      </c>
      <c r="DG283" s="173">
        <f t="shared" si="820"/>
        <v>0.92975206611570249</v>
      </c>
      <c r="DH283" s="173"/>
      <c r="DI283" s="173">
        <f t="shared" si="821"/>
        <v>0.95238095238095266</v>
      </c>
      <c r="DJ283" s="545">
        <f t="shared" si="822"/>
        <v>1055.2499999999995</v>
      </c>
      <c r="DK283" s="528">
        <f t="shared" si="823"/>
        <v>0.22222222222222232</v>
      </c>
      <c r="DM283" s="173">
        <f t="shared" si="824"/>
        <v>2.3151673805580448</v>
      </c>
      <c r="DN283" s="173">
        <f t="shared" si="825"/>
        <v>2.3151673805580448</v>
      </c>
      <c r="DO283" s="173">
        <f t="shared" si="826"/>
        <v>1.927284479425712</v>
      </c>
      <c r="DQ283" s="545">
        <f t="shared" si="827"/>
        <v>670</v>
      </c>
      <c r="DR283" s="460">
        <f t="shared" si="828"/>
        <v>350</v>
      </c>
      <c r="DT283">
        <f t="shared" si="829"/>
        <v>670</v>
      </c>
      <c r="DU283">
        <f t="shared" si="830"/>
        <v>350</v>
      </c>
      <c r="DW283" s="5">
        <f t="shared" si="859"/>
        <v>2.8571428571428572</v>
      </c>
      <c r="DX283" s="5">
        <f t="shared" si="831"/>
        <v>0.77172246018601498</v>
      </c>
      <c r="DY283" s="5">
        <f t="shared" si="832"/>
        <v>2.0854203969568421</v>
      </c>
      <c r="DZ283" s="5"/>
      <c r="EA283" s="173">
        <f t="shared" si="833"/>
        <v>0.27010286106510523</v>
      </c>
      <c r="EB283" s="173">
        <f t="shared" si="860"/>
        <v>11.255999999999997</v>
      </c>
      <c r="EC283" s="173">
        <f t="shared" si="861"/>
        <v>0.84491702361235577</v>
      </c>
      <c r="ED283" s="173">
        <f t="shared" si="862"/>
        <v>13.322018240177156</v>
      </c>
      <c r="EE283" s="460">
        <f t="shared" si="834"/>
        <v>3.1527685873453057</v>
      </c>
      <c r="EF283" s="5">
        <f t="shared" si="835"/>
        <v>0.53043053985559674</v>
      </c>
      <c r="EH283" s="173">
        <f t="shared" si="863"/>
        <v>0.69468250189300229</v>
      </c>
      <c r="EI283" s="173">
        <f t="shared" si="864"/>
        <v>1.1419644864138048</v>
      </c>
      <c r="EK283" s="528">
        <f t="shared" si="865"/>
        <v>9.651675568726422E-3</v>
      </c>
      <c r="EL283" s="528">
        <f t="shared" si="866"/>
        <v>0.85568586385425327</v>
      </c>
      <c r="EM283" s="528">
        <f t="shared" si="867"/>
        <v>4.3749999999999997E-2</v>
      </c>
      <c r="EN283" s="528">
        <f t="shared" si="868"/>
        <v>9.7574399999999992E-2</v>
      </c>
      <c r="EO283">
        <f t="shared" si="869"/>
        <v>1.6199999999999999E-2</v>
      </c>
      <c r="EP283" s="460">
        <f t="shared" si="870"/>
        <v>59.949999999999996</v>
      </c>
      <c r="EQ283" s="460"/>
      <c r="ER283" s="460">
        <f t="shared" si="871"/>
        <v>1022.8619394229796</v>
      </c>
      <c r="ES283" s="528">
        <f t="shared" si="872"/>
        <v>0.46899999999999997</v>
      </c>
      <c r="EV283" s="460">
        <f t="shared" si="873"/>
        <v>469</v>
      </c>
      <c r="EW283" s="528">
        <f t="shared" si="874"/>
        <v>1.4477513353089633E-2</v>
      </c>
      <c r="EX283" s="528">
        <f t="shared" si="875"/>
        <v>3.9122486646910343E-2</v>
      </c>
      <c r="EY283" s="528">
        <f t="shared" si="876"/>
        <v>0.93453614307542887</v>
      </c>
      <c r="EZ283" s="528"/>
      <c r="FA283" s="528">
        <f t="shared" si="877"/>
        <v>9.379999999999996E-3</v>
      </c>
      <c r="FB283" s="460">
        <f t="shared" si="878"/>
        <v>997.51614307542877</v>
      </c>
      <c r="FC283" s="173">
        <f t="shared" si="879"/>
        <v>2.4893780824984084</v>
      </c>
      <c r="FD283" s="5">
        <f t="shared" si="880"/>
        <v>10.988</v>
      </c>
      <c r="FE283" s="173">
        <f t="shared" si="881"/>
        <v>0.81529210895024973</v>
      </c>
      <c r="FF283" s="5">
        <f t="shared" si="882"/>
        <v>81.529210895024974</v>
      </c>
      <c r="FI283" s="562">
        <f t="shared" si="836"/>
        <v>-50</v>
      </c>
      <c r="FJ283">
        <f t="shared" si="837"/>
        <v>-50</v>
      </c>
      <c r="FL283">
        <f t="shared" si="838"/>
        <v>0.57879184513951132</v>
      </c>
    </row>
    <row r="284" spans="5:168">
      <c r="E284" s="170">
        <v>68</v>
      </c>
      <c r="F284" s="217">
        <f t="shared" si="839"/>
        <v>0.68</v>
      </c>
      <c r="G284" s="217"/>
      <c r="H284" s="217">
        <f t="shared" si="764"/>
        <v>11.151999999999999</v>
      </c>
      <c r="I284" s="541">
        <f t="shared" si="765"/>
        <v>35.942388823835579</v>
      </c>
      <c r="J284" s="172">
        <f t="shared" si="766"/>
        <v>16.834566705698649</v>
      </c>
      <c r="K284" s="172">
        <f t="shared" si="767"/>
        <v>52.776955529534227</v>
      </c>
      <c r="L284" s="443"/>
      <c r="M284" s="217">
        <f t="shared" si="768"/>
        <v>0.31898111377517369</v>
      </c>
      <c r="N284" s="172">
        <f t="shared" si="769"/>
        <v>38.732399840735958</v>
      </c>
      <c r="O284" s="172">
        <f t="shared" si="762"/>
        <v>11.151999999999999</v>
      </c>
      <c r="P284" s="217">
        <f t="shared" si="770"/>
        <v>2.3617316976058511</v>
      </c>
      <c r="Q284" s="217">
        <f t="shared" si="771"/>
        <v>16.399999999999999</v>
      </c>
      <c r="R284" s="217"/>
      <c r="S284" s="172">
        <f t="shared" si="772"/>
        <v>140.34793851360877</v>
      </c>
      <c r="T284" s="172">
        <f t="shared" si="773"/>
        <v>16.399999999999999</v>
      </c>
      <c r="U284" s="217">
        <f t="shared" si="774"/>
        <v>1.9970077592694255</v>
      </c>
      <c r="V284" s="217">
        <f t="shared" si="775"/>
        <v>0.66673623805830806</v>
      </c>
      <c r="W284" s="217">
        <f t="shared" si="776"/>
        <v>1.4235051920356852</v>
      </c>
      <c r="X284" s="197">
        <f t="shared" si="777"/>
        <v>350</v>
      </c>
      <c r="Y284" s="443">
        <f t="shared" si="840"/>
        <v>350</v>
      </c>
      <c r="AA284" s="217">
        <f t="shared" si="778"/>
        <v>2.729702116180392</v>
      </c>
      <c r="AB284" s="173">
        <f t="shared" si="779"/>
        <v>1.9457836941580666</v>
      </c>
      <c r="AC284" s="173">
        <f t="shared" si="780"/>
        <v>0.92949672682520068</v>
      </c>
      <c r="AD284" s="173"/>
      <c r="AE284" s="173">
        <f t="shared" si="781"/>
        <v>0.95042541217196064</v>
      </c>
      <c r="AF284" s="545">
        <f t="shared" si="782"/>
        <v>1073.2036274882885</v>
      </c>
      <c r="AG284" s="528">
        <f t="shared" si="783"/>
        <v>0.22176592950679083</v>
      </c>
      <c r="AI284" s="173">
        <f t="shared" si="784"/>
        <v>2.3347790106371829</v>
      </c>
      <c r="AJ284" s="173">
        <f t="shared" si="785"/>
        <v>2.3347790106371829</v>
      </c>
      <c r="AK284" s="173">
        <f t="shared" si="786"/>
        <v>1.9418116128176661</v>
      </c>
      <c r="AM284" s="545">
        <f t="shared" si="787"/>
        <v>680</v>
      </c>
      <c r="AN284" s="460">
        <f t="shared" si="788"/>
        <v>350</v>
      </c>
      <c r="AP284">
        <f t="shared" si="789"/>
        <v>680</v>
      </c>
      <c r="AQ284">
        <f t="shared" si="790"/>
        <v>350</v>
      </c>
      <c r="AS284" s="5">
        <f t="shared" si="763"/>
        <v>2.8571428571428572</v>
      </c>
      <c r="AT284" s="5">
        <f t="shared" si="791"/>
        <v>0.77950712360738228</v>
      </c>
      <c r="AU284" s="5">
        <f t="shared" si="722"/>
        <v>2.0776357335354749</v>
      </c>
      <c r="AV284" s="5"/>
      <c r="AW284" s="173">
        <f t="shared" si="723"/>
        <v>0.27282749326258376</v>
      </c>
      <c r="AX284" s="173">
        <f t="shared" si="792"/>
        <v>11.44750535987508</v>
      </c>
      <c r="AY284" s="173">
        <f t="shared" si="793"/>
        <v>0.84889355292147239</v>
      </c>
      <c r="AZ284" s="173">
        <f t="shared" si="794"/>
        <v>13.485207091605798</v>
      </c>
      <c r="BA284" s="460">
        <f t="shared" si="724"/>
        <v>3.2321027076403666</v>
      </c>
      <c r="BB284" s="5">
        <f t="shared" si="725"/>
        <v>0.5371974999108925</v>
      </c>
      <c r="BD284" s="173">
        <f t="shared" si="841"/>
        <v>0.70409169129675753</v>
      </c>
      <c r="BE284" s="173">
        <f t="shared" si="842"/>
        <v>1.1494865084393926</v>
      </c>
      <c r="BG284" s="528">
        <f t="shared" si="843"/>
        <v>9.91490219506257E-3</v>
      </c>
      <c r="BH284" s="528">
        <f t="shared" si="795"/>
        <v>0.80864784010295598</v>
      </c>
      <c r="BI284" s="528">
        <f t="shared" si="796"/>
        <v>0.31449590220856133</v>
      </c>
      <c r="BJ284" s="528">
        <f t="shared" si="844"/>
        <v>9.7489246223825168E-2</v>
      </c>
      <c r="BK284">
        <f t="shared" si="845"/>
        <v>1.617407497072601E-2</v>
      </c>
      <c r="BL284" s="460">
        <f t="shared" si="846"/>
        <v>330.66997717928734</v>
      </c>
      <c r="BM284" s="528">
        <f t="shared" si="797"/>
        <v>0.92089844695919554</v>
      </c>
      <c r="BN284" s="460">
        <f t="shared" si="847"/>
        <v>920.89844695919555</v>
      </c>
      <c r="BO284" s="528">
        <f t="shared" si="798"/>
        <v>0.47599999999999998</v>
      </c>
      <c r="BR284" s="460">
        <f t="shared" si="848"/>
        <v>476</v>
      </c>
      <c r="BS284" s="528">
        <f t="shared" si="849"/>
        <v>1.4872353292593855E-2</v>
      </c>
      <c r="BT284" s="528">
        <f t="shared" si="850"/>
        <v>3.9639576992525571E-2</v>
      </c>
      <c r="BU284" s="528">
        <f t="shared" si="851"/>
        <v>0.95445304147156496</v>
      </c>
      <c r="BV284" s="528"/>
      <c r="BW284" s="528">
        <f t="shared" si="852"/>
        <v>9.5395877998958982E-3</v>
      </c>
      <c r="BX284" s="460">
        <f t="shared" si="853"/>
        <v>1018.5045595565803</v>
      </c>
      <c r="BY284" s="173">
        <f t="shared" si="854"/>
        <v>2.7412265252577113</v>
      </c>
      <c r="BZ284" s="5">
        <f t="shared" si="855"/>
        <v>11.151999999999999</v>
      </c>
      <c r="CA284" s="173">
        <f t="shared" si="856"/>
        <v>0.80269331099768693</v>
      </c>
      <c r="CB284" s="5">
        <f t="shared" si="857"/>
        <v>80.269331099768692</v>
      </c>
      <c r="CE284" s="562">
        <f t="shared" si="799"/>
        <v>-50</v>
      </c>
      <c r="CF284">
        <f t="shared" si="800"/>
        <v>-50</v>
      </c>
      <c r="CG284" s="173">
        <f t="shared" si="801"/>
        <v>0.5901632680257467</v>
      </c>
      <c r="CI284" s="170">
        <v>68</v>
      </c>
      <c r="CJ284" s="217">
        <f t="shared" si="858"/>
        <v>0.68</v>
      </c>
      <c r="CK284" s="217"/>
      <c r="CL284" s="217">
        <f t="shared" si="802"/>
        <v>11.151999999999999</v>
      </c>
      <c r="CM284" s="541">
        <f t="shared" si="803"/>
        <v>36</v>
      </c>
      <c r="CN284" s="443">
        <f t="shared" si="804"/>
        <v>16.799999999999997</v>
      </c>
      <c r="CO284" s="443">
        <f t="shared" si="805"/>
        <v>52.8</v>
      </c>
      <c r="CP284" s="443"/>
      <c r="CQ284" s="217">
        <f t="shared" si="806"/>
        <v>0.31818181818181812</v>
      </c>
      <c r="CR284" s="172">
        <f t="shared" si="807"/>
        <v>38.697272727272725</v>
      </c>
      <c r="CS284" s="172">
        <f t="shared" si="808"/>
        <v>11.151999999999999</v>
      </c>
      <c r="CT284" s="217">
        <f t="shared" si="809"/>
        <v>2.3595898004434592</v>
      </c>
      <c r="CU284" s="217">
        <f t="shared" si="810"/>
        <v>16.399999999999999</v>
      </c>
      <c r="CV284" s="217"/>
      <c r="CW284" s="172">
        <f t="shared" si="811"/>
        <v>140.57273564652198</v>
      </c>
      <c r="CX284" s="172">
        <f t="shared" si="812"/>
        <v>16.399999999999999</v>
      </c>
      <c r="CY284" s="217">
        <f t="shared" si="813"/>
        <v>1.9471746031746033</v>
      </c>
      <c r="CZ284" s="217">
        <f t="shared" si="814"/>
        <v>0.64905820105820122</v>
      </c>
      <c r="DA284" s="217">
        <f t="shared" si="815"/>
        <v>1.3908390022675743</v>
      </c>
      <c r="DB284" s="197">
        <f t="shared" si="816"/>
        <v>350</v>
      </c>
      <c r="DC284" s="443">
        <f t="shared" si="817"/>
        <v>350</v>
      </c>
      <c r="DE284" s="217">
        <f t="shared" si="818"/>
        <v>2.7272727272727271</v>
      </c>
      <c r="DF284" s="173">
        <f t="shared" si="819"/>
        <v>1.9480519480519483</v>
      </c>
      <c r="DG284" s="173">
        <f t="shared" si="820"/>
        <v>0.92975206611570249</v>
      </c>
      <c r="DH284" s="173"/>
      <c r="DI284" s="173">
        <f t="shared" si="821"/>
        <v>0.95238095238095266</v>
      </c>
      <c r="DJ284" s="545">
        <f t="shared" si="822"/>
        <v>1070.9999999999995</v>
      </c>
      <c r="DK284" s="528">
        <f t="shared" si="823"/>
        <v>0.22222222222222232</v>
      </c>
      <c r="DM284" s="173">
        <f t="shared" si="824"/>
        <v>2.3323807579381199</v>
      </c>
      <c r="DN284" s="173">
        <f t="shared" si="825"/>
        <v>2.3323807579381199</v>
      </c>
      <c r="DO284" s="173">
        <f t="shared" si="826"/>
        <v>1.9400351293368789</v>
      </c>
      <c r="DQ284" s="545">
        <f t="shared" si="827"/>
        <v>680</v>
      </c>
      <c r="DR284" s="460">
        <f t="shared" si="828"/>
        <v>350</v>
      </c>
      <c r="DT284">
        <f t="shared" si="829"/>
        <v>680</v>
      </c>
      <c r="DU284">
        <f t="shared" si="830"/>
        <v>350</v>
      </c>
      <c r="DW284" s="5">
        <f t="shared" si="859"/>
        <v>2.8571428571428572</v>
      </c>
      <c r="DX284" s="5">
        <f t="shared" si="831"/>
        <v>0.77746025264604002</v>
      </c>
      <c r="DY284" s="5">
        <f t="shared" si="832"/>
        <v>2.0796826044968171</v>
      </c>
      <c r="DZ284" s="5"/>
      <c r="EA284" s="173">
        <f t="shared" si="833"/>
        <v>0.27211108842611398</v>
      </c>
      <c r="EB284" s="173">
        <f t="shared" si="860"/>
        <v>11.423999999999996</v>
      </c>
      <c r="EC284" s="173">
        <f t="shared" si="861"/>
        <v>0.84885704563572673</v>
      </c>
      <c r="ED284" s="173">
        <f t="shared" si="862"/>
        <v>13.458096458920624</v>
      </c>
      <c r="EE284" s="460">
        <f t="shared" si="834"/>
        <v>3.2236156817030936</v>
      </c>
      <c r="EF284" s="5">
        <f t="shared" si="835"/>
        <v>0.53686621308677085</v>
      </c>
      <c r="EH284" s="173">
        <f t="shared" si="863"/>
        <v>0.70244438001359699</v>
      </c>
      <c r="EI284" s="173">
        <f t="shared" si="864"/>
        <v>1.14887128361738</v>
      </c>
      <c r="EK284" s="528">
        <f t="shared" si="865"/>
        <v>9.8685621402537331E-3</v>
      </c>
      <c r="EL284" s="528">
        <f t="shared" si="866"/>
        <v>0.86204792813392905</v>
      </c>
      <c r="EM284" s="528">
        <f t="shared" si="867"/>
        <v>4.3749999999999997E-2</v>
      </c>
      <c r="EN284" s="528">
        <f t="shared" si="868"/>
        <v>9.7574399999999992E-2</v>
      </c>
      <c r="EO284">
        <f t="shared" si="869"/>
        <v>1.6199999999999999E-2</v>
      </c>
      <c r="EP284" s="460">
        <f t="shared" si="870"/>
        <v>59.949999999999996</v>
      </c>
      <c r="EQ284" s="460"/>
      <c r="ER284" s="460">
        <f t="shared" si="871"/>
        <v>1029.4408902741827</v>
      </c>
      <c r="ES284" s="528">
        <f t="shared" si="872"/>
        <v>0.47599999999999998</v>
      </c>
      <c r="EV284" s="460">
        <f t="shared" si="873"/>
        <v>476</v>
      </c>
      <c r="EW284" s="528">
        <f t="shared" si="874"/>
        <v>1.4802843210380598E-2</v>
      </c>
      <c r="EX284" s="528">
        <f t="shared" si="875"/>
        <v>3.9597156789619385E-2</v>
      </c>
      <c r="EY284" s="528">
        <f t="shared" si="876"/>
        <v>0.95200392697570035</v>
      </c>
      <c r="EZ284" s="528"/>
      <c r="FA284" s="528">
        <f t="shared" si="877"/>
        <v>9.5199999999999972E-3</v>
      </c>
      <c r="FB284" s="460">
        <f t="shared" si="878"/>
        <v>1015.9239269757003</v>
      </c>
      <c r="FC284" s="173">
        <f t="shared" si="879"/>
        <v>2.521364817249883</v>
      </c>
      <c r="FD284" s="5">
        <f t="shared" si="880"/>
        <v>11.151999999999999</v>
      </c>
      <c r="FE284" s="173">
        <f t="shared" si="881"/>
        <v>0.81560026731174395</v>
      </c>
      <c r="FF284" s="5">
        <f t="shared" si="882"/>
        <v>81.560026731174389</v>
      </c>
      <c r="FI284" s="562">
        <f t="shared" si="836"/>
        <v>-50</v>
      </c>
      <c r="FJ284">
        <f t="shared" si="837"/>
        <v>-50</v>
      </c>
      <c r="FL284">
        <f t="shared" si="838"/>
        <v>0.5830951894845301</v>
      </c>
    </row>
    <row r="285" spans="5:168">
      <c r="E285" s="170">
        <v>69</v>
      </c>
      <c r="F285" s="217">
        <f t="shared" si="839"/>
        <v>0.69</v>
      </c>
      <c r="G285" s="217"/>
      <c r="H285" s="217">
        <f t="shared" si="764"/>
        <v>11.315999999999999</v>
      </c>
      <c r="I285" s="541">
        <f t="shared" si="765"/>
        <v>35.941966758294427</v>
      </c>
      <c r="J285" s="172">
        <f t="shared" si="766"/>
        <v>16.834819945023341</v>
      </c>
      <c r="K285" s="172">
        <f t="shared" si="767"/>
        <v>52.776786703317768</v>
      </c>
      <c r="L285" s="443"/>
      <c r="M285" s="217">
        <f t="shared" si="768"/>
        <v>0.31898697202755616</v>
      </c>
      <c r="N285" s="172">
        <f t="shared" si="769"/>
        <v>38.732656344667177</v>
      </c>
      <c r="O285" s="172">
        <f t="shared" si="762"/>
        <v>11.315999999999999</v>
      </c>
      <c r="P285" s="217">
        <f t="shared" si="770"/>
        <v>2.361747338089462</v>
      </c>
      <c r="Q285" s="217">
        <f t="shared" si="771"/>
        <v>16.399999999999999</v>
      </c>
      <c r="R285" s="217"/>
      <c r="S285" s="172">
        <f t="shared" si="772"/>
        <v>137.79475569040682</v>
      </c>
      <c r="T285" s="172">
        <f t="shared" si="773"/>
        <v>16.399999999999999</v>
      </c>
      <c r="U285" s="217">
        <f t="shared" si="774"/>
        <v>2.0263929518479631</v>
      </c>
      <c r="V285" s="217">
        <f t="shared" si="775"/>
        <v>0.67655494719314224</v>
      </c>
      <c r="W285" s="217">
        <f t="shared" si="776"/>
        <v>1.4444297890672715</v>
      </c>
      <c r="X285" s="197">
        <f t="shared" si="777"/>
        <v>350</v>
      </c>
      <c r="Y285" s="443">
        <f t="shared" si="840"/>
        <v>350</v>
      </c>
      <c r="AA285" s="217">
        <f t="shared" si="778"/>
        <v>2.7297198556671654</v>
      </c>
      <c r="AB285" s="173">
        <f t="shared" si="779"/>
        <v>1.945767069382254</v>
      </c>
      <c r="AC285" s="173">
        <f t="shared" si="780"/>
        <v>0.92949482566430863</v>
      </c>
      <c r="AD285" s="173"/>
      <c r="AE285" s="173">
        <f t="shared" si="781"/>
        <v>0.95041111531043576</v>
      </c>
      <c r="AF285" s="545">
        <f t="shared" si="782"/>
        <v>1089.0024151936971</v>
      </c>
      <c r="AG285" s="528">
        <f t="shared" si="783"/>
        <v>0.22176259357243508</v>
      </c>
      <c r="AI285" s="173">
        <f t="shared" si="784"/>
        <v>2.3519015368588665</v>
      </c>
      <c r="AJ285" s="173">
        <f t="shared" si="785"/>
        <v>2.3519015368588665</v>
      </c>
      <c r="AK285" s="173">
        <f t="shared" si="786"/>
        <v>1.9544949655744688</v>
      </c>
      <c r="AM285" s="545">
        <f t="shared" si="787"/>
        <v>690</v>
      </c>
      <c r="AN285" s="460">
        <f t="shared" si="788"/>
        <v>350</v>
      </c>
      <c r="AP285">
        <f t="shared" si="789"/>
        <v>690</v>
      </c>
      <c r="AQ285">
        <f t="shared" si="790"/>
        <v>350</v>
      </c>
      <c r="AS285" s="5">
        <f t="shared" si="763"/>
        <v>2.8571428571428572</v>
      </c>
      <c r="AT285" s="5">
        <f t="shared" si="791"/>
        <v>0.78523300163570875</v>
      </c>
      <c r="AU285" s="5">
        <f t="shared" si="722"/>
        <v>2.0719098555071485</v>
      </c>
      <c r="AV285" s="5"/>
      <c r="AW285" s="173">
        <f t="shared" si="723"/>
        <v>0.27483155057249803</v>
      </c>
      <c r="AX285" s="173">
        <f t="shared" si="792"/>
        <v>11.616025762066107</v>
      </c>
      <c r="AY285" s="173">
        <f t="shared" si="793"/>
        <v>0.85276239534505149</v>
      </c>
      <c r="AZ285" s="173">
        <f t="shared" si="794"/>
        <v>13.62164399541321</v>
      </c>
      <c r="BA285" s="460">
        <f t="shared" si="724"/>
        <v>3.3037242141990184</v>
      </c>
      <c r="BB285" s="5">
        <f t="shared" si="725"/>
        <v>0.54360158053742402</v>
      </c>
      <c r="BD285" s="173">
        <f t="shared" si="841"/>
        <v>0.71185543071238555</v>
      </c>
      <c r="BE285" s="173">
        <f t="shared" si="842"/>
        <v>1.1563197908847058</v>
      </c>
      <c r="BG285" s="528">
        <f t="shared" si="843"/>
        <v>1.0134763084694319E-2</v>
      </c>
      <c r="BH285" s="528">
        <f t="shared" si="795"/>
        <v>0.81457560028691212</v>
      </c>
      <c r="BI285" s="528">
        <f t="shared" si="796"/>
        <v>0.3144922091350762</v>
      </c>
      <c r="BJ285" s="528">
        <f t="shared" si="844"/>
        <v>9.7488622515462461E-2</v>
      </c>
      <c r="BK285">
        <f t="shared" si="845"/>
        <v>1.6173885041232492E-2</v>
      </c>
      <c r="BL285" s="460">
        <f t="shared" si="846"/>
        <v>330.66609417630872</v>
      </c>
      <c r="BM285" s="528">
        <f t="shared" si="797"/>
        <v>0.92716801076333777</v>
      </c>
      <c r="BN285" s="460">
        <f t="shared" si="847"/>
        <v>927.16801076333775</v>
      </c>
      <c r="BO285" s="528">
        <f t="shared" si="798"/>
        <v>0.48299999999999993</v>
      </c>
      <c r="BR285" s="460">
        <f t="shared" si="848"/>
        <v>482.99999999999994</v>
      </c>
      <c r="BS285" s="528">
        <f t="shared" si="849"/>
        <v>1.5202144627041477E-2</v>
      </c>
      <c r="BT285" s="528">
        <f t="shared" si="850"/>
        <v>4.0112263763749489E-2</v>
      </c>
      <c r="BU285" s="528">
        <f t="shared" si="851"/>
        <v>0.97204854596498069</v>
      </c>
      <c r="BV285" s="528"/>
      <c r="BW285" s="528">
        <f t="shared" si="852"/>
        <v>9.6800214683884223E-3</v>
      </c>
      <c r="BX285" s="460">
        <f t="shared" si="853"/>
        <v>1037.0429758241601</v>
      </c>
      <c r="BY285" s="173">
        <f t="shared" si="854"/>
        <v>2.7729080558875374</v>
      </c>
      <c r="BZ285" s="5">
        <f t="shared" si="855"/>
        <v>11.315999999999999</v>
      </c>
      <c r="CA285" s="173">
        <f t="shared" si="856"/>
        <v>0.80318502719387241</v>
      </c>
      <c r="CB285" s="5">
        <f t="shared" si="857"/>
        <v>80.31850271938724</v>
      </c>
      <c r="CE285" s="562">
        <f t="shared" si="799"/>
        <v>-50</v>
      </c>
      <c r="CF285">
        <f t="shared" si="800"/>
        <v>-50</v>
      </c>
      <c r="CG285" s="173">
        <f t="shared" si="801"/>
        <v>0.5944868662521835</v>
      </c>
      <c r="CI285" s="170">
        <v>69</v>
      </c>
      <c r="CJ285" s="217">
        <f t="shared" si="858"/>
        <v>0.69</v>
      </c>
      <c r="CK285" s="217"/>
      <c r="CL285" s="217">
        <f t="shared" si="802"/>
        <v>11.315999999999999</v>
      </c>
      <c r="CM285" s="541">
        <f t="shared" si="803"/>
        <v>36</v>
      </c>
      <c r="CN285" s="443">
        <f t="shared" si="804"/>
        <v>16.799999999999997</v>
      </c>
      <c r="CO285" s="443">
        <f t="shared" si="805"/>
        <v>52.8</v>
      </c>
      <c r="CP285" s="443"/>
      <c r="CQ285" s="217">
        <f t="shared" si="806"/>
        <v>0.31818181818181812</v>
      </c>
      <c r="CR285" s="172">
        <f t="shared" si="807"/>
        <v>38.697272727272725</v>
      </c>
      <c r="CS285" s="172">
        <f t="shared" si="808"/>
        <v>11.315999999999999</v>
      </c>
      <c r="CT285" s="217">
        <f t="shared" si="809"/>
        <v>2.3595898004434592</v>
      </c>
      <c r="CU285" s="217">
        <f t="shared" si="810"/>
        <v>16.399999999999999</v>
      </c>
      <c r="CV285" s="217"/>
      <c r="CW285" s="172">
        <f t="shared" si="811"/>
        <v>138.01707688457253</v>
      </c>
      <c r="CX285" s="172">
        <f t="shared" si="812"/>
        <v>16.399999999999999</v>
      </c>
      <c r="CY285" s="217">
        <f t="shared" si="813"/>
        <v>1.9758095238095239</v>
      </c>
      <c r="CZ285" s="217">
        <f t="shared" si="814"/>
        <v>0.65860317460317475</v>
      </c>
      <c r="DA285" s="217">
        <f t="shared" si="815"/>
        <v>1.4112925170068031</v>
      </c>
      <c r="DB285" s="197">
        <f t="shared" si="816"/>
        <v>350</v>
      </c>
      <c r="DC285" s="443">
        <f t="shared" si="817"/>
        <v>350</v>
      </c>
      <c r="DE285" s="217">
        <f t="shared" si="818"/>
        <v>2.7272727272727271</v>
      </c>
      <c r="DF285" s="173">
        <f t="shared" si="819"/>
        <v>1.9480519480519483</v>
      </c>
      <c r="DG285" s="173">
        <f t="shared" si="820"/>
        <v>0.92975206611570249</v>
      </c>
      <c r="DH285" s="173"/>
      <c r="DI285" s="173">
        <f t="shared" si="821"/>
        <v>0.95238095238095266</v>
      </c>
      <c r="DJ285" s="545">
        <f t="shared" si="822"/>
        <v>1086.7499999999995</v>
      </c>
      <c r="DK285" s="528">
        <f t="shared" si="823"/>
        <v>0.22222222222222232</v>
      </c>
      <c r="DM285" s="173">
        <f t="shared" si="824"/>
        <v>2.3494680248941457</v>
      </c>
      <c r="DN285" s="173">
        <f t="shared" si="825"/>
        <v>2.3494680248941457</v>
      </c>
      <c r="DO285" s="173">
        <f t="shared" si="826"/>
        <v>1.9526923641191201</v>
      </c>
      <c r="DQ285" s="545">
        <f t="shared" si="827"/>
        <v>690</v>
      </c>
      <c r="DR285" s="460">
        <f t="shared" si="828"/>
        <v>350</v>
      </c>
      <c r="DT285">
        <f t="shared" si="829"/>
        <v>690</v>
      </c>
      <c r="DU285">
        <f t="shared" si="830"/>
        <v>350</v>
      </c>
      <c r="DW285" s="5">
        <f t="shared" si="859"/>
        <v>2.8571428571428572</v>
      </c>
      <c r="DX285" s="5">
        <f t="shared" si="831"/>
        <v>0.78315600829804866</v>
      </c>
      <c r="DY285" s="5">
        <f t="shared" si="832"/>
        <v>2.0739868488448083</v>
      </c>
      <c r="DZ285" s="5"/>
      <c r="EA285" s="173">
        <f t="shared" si="833"/>
        <v>0.27410460290431704</v>
      </c>
      <c r="EB285" s="173">
        <f t="shared" si="860"/>
        <v>11.591999999999999</v>
      </c>
      <c r="EC285" s="173">
        <f t="shared" si="861"/>
        <v>0.85273401244707292</v>
      </c>
      <c r="ED285" s="173">
        <f t="shared" si="862"/>
        <v>13.593922408154777</v>
      </c>
      <c r="EE285" s="460">
        <f t="shared" si="834"/>
        <v>3.2949856446686194</v>
      </c>
      <c r="EF285" s="5">
        <f t="shared" si="835"/>
        <v>0.5432693329057372</v>
      </c>
      <c r="EH285" s="173">
        <f t="shared" si="863"/>
        <v>0.71017777305681928</v>
      </c>
      <c r="EI285" s="173">
        <f t="shared" si="864"/>
        <v>1.1557021807784462</v>
      </c>
      <c r="EK285" s="528">
        <f t="shared" si="865"/>
        <v>1.0087049386878861E-2</v>
      </c>
      <c r="EL285" s="528">
        <f t="shared" si="866"/>
        <v>0.86836338200087637</v>
      </c>
      <c r="EM285" s="528">
        <f t="shared" si="867"/>
        <v>4.3749999999999997E-2</v>
      </c>
      <c r="EN285" s="528">
        <f t="shared" si="868"/>
        <v>9.7574399999999992E-2</v>
      </c>
      <c r="EO285">
        <f t="shared" si="869"/>
        <v>1.6199999999999999E-2</v>
      </c>
      <c r="EP285" s="460">
        <f t="shared" si="870"/>
        <v>59.949999999999996</v>
      </c>
      <c r="EQ285" s="460"/>
      <c r="ER285" s="460">
        <f t="shared" si="871"/>
        <v>1035.9748313877553</v>
      </c>
      <c r="ES285" s="528">
        <f t="shared" si="872"/>
        <v>0.48299999999999993</v>
      </c>
      <c r="EV285" s="460">
        <f t="shared" si="873"/>
        <v>482.99999999999994</v>
      </c>
      <c r="EW285" s="528">
        <f t="shared" si="874"/>
        <v>1.5130574080318291E-2</v>
      </c>
      <c r="EX285" s="528">
        <f t="shared" si="875"/>
        <v>4.0069425919681691E-2</v>
      </c>
      <c r="EY285" s="528">
        <f t="shared" si="876"/>
        <v>0.96953605089861949</v>
      </c>
      <c r="EZ285" s="528"/>
      <c r="FA285" s="528">
        <f t="shared" si="877"/>
        <v>9.6599999999999967E-3</v>
      </c>
      <c r="FB285" s="460">
        <f t="shared" si="878"/>
        <v>1034.3960508986195</v>
      </c>
      <c r="FC285" s="173">
        <f t="shared" si="879"/>
        <v>2.5533708822863743</v>
      </c>
      <c r="FD285" s="5">
        <f t="shared" si="880"/>
        <v>11.315999999999999</v>
      </c>
      <c r="FE285" s="173">
        <f t="shared" si="881"/>
        <v>0.81589857939789623</v>
      </c>
      <c r="FF285" s="5">
        <f t="shared" si="882"/>
        <v>81.589857939789624</v>
      </c>
      <c r="FI285" s="562">
        <f t="shared" si="836"/>
        <v>-50</v>
      </c>
      <c r="FJ285">
        <f t="shared" si="837"/>
        <v>-50</v>
      </c>
      <c r="FL285">
        <f t="shared" si="838"/>
        <v>0.58736700622353655</v>
      </c>
    </row>
    <row r="286" spans="5:168">
      <c r="E286" s="170">
        <v>70</v>
      </c>
      <c r="F286" s="217">
        <f t="shared" si="839"/>
        <v>0.7</v>
      </c>
      <c r="G286" s="217"/>
      <c r="H286" s="217">
        <f t="shared" si="764"/>
        <v>11.479999999999999</v>
      </c>
      <c r="I286" s="541">
        <f t="shared" si="765"/>
        <v>35.9415477402775</v>
      </c>
      <c r="J286" s="172">
        <f t="shared" si="766"/>
        <v>16.835071355833499</v>
      </c>
      <c r="K286" s="172">
        <f t="shared" si="767"/>
        <v>52.776619096110998</v>
      </c>
      <c r="L286" s="443"/>
      <c r="M286" s="217">
        <f t="shared" si="768"/>
        <v>0.3189927880168279</v>
      </c>
      <c r="N286" s="172">
        <f t="shared" si="769"/>
        <v>38.732910984405798</v>
      </c>
      <c r="O286" s="172">
        <f t="shared" si="762"/>
        <v>11.479999999999999</v>
      </c>
      <c r="P286" s="217">
        <f t="shared" si="770"/>
        <v>2.3617628649027926</v>
      </c>
      <c r="Q286" s="217">
        <f t="shared" si="771"/>
        <v>16.399999999999999</v>
      </c>
      <c r="R286" s="217"/>
      <c r="S286" s="172">
        <f t="shared" si="772"/>
        <v>135.31461232225459</v>
      </c>
      <c r="T286" s="172">
        <f t="shared" si="773"/>
        <v>16.399999999999999</v>
      </c>
      <c r="U286" s="217">
        <f t="shared" si="774"/>
        <v>2.0557785224080627</v>
      </c>
      <c r="V286" s="217">
        <f t="shared" si="775"/>
        <v>0.68637395493270104</v>
      </c>
      <c r="W286" s="217">
        <f t="shared" si="776"/>
        <v>1.4653541851694387</v>
      </c>
      <c r="X286" s="197">
        <f t="shared" si="777"/>
        <v>350</v>
      </c>
      <c r="Y286" s="443">
        <f t="shared" si="840"/>
        <v>350</v>
      </c>
      <c r="AA286" s="217">
        <f t="shared" si="778"/>
        <v>2.7297374662242779</v>
      </c>
      <c r="AB286" s="173">
        <f t="shared" si="779"/>
        <v>1.9457505645404229</v>
      </c>
      <c r="AC286" s="173">
        <f t="shared" si="780"/>
        <v>0.92949293779178066</v>
      </c>
      <c r="AD286" s="173"/>
      <c r="AE286" s="173">
        <f t="shared" si="781"/>
        <v>0.95039692210486915</v>
      </c>
      <c r="AF286" s="545">
        <f t="shared" si="782"/>
        <v>1104.801557726573</v>
      </c>
      <c r="AG286" s="528">
        <f t="shared" si="783"/>
        <v>0.2217592818244695</v>
      </c>
      <c r="AI286" s="173">
        <f t="shared" si="784"/>
        <v>2.3689006842720315</v>
      </c>
      <c r="AJ286" s="173">
        <f t="shared" si="785"/>
        <v>2.3689006842720315</v>
      </c>
      <c r="AK286" s="173">
        <f t="shared" si="786"/>
        <v>1.9670869266212576</v>
      </c>
      <c r="AM286" s="545">
        <f t="shared" si="787"/>
        <v>700</v>
      </c>
      <c r="AN286" s="460">
        <f t="shared" si="788"/>
        <v>350</v>
      </c>
      <c r="AP286">
        <f t="shared" si="789"/>
        <v>700</v>
      </c>
      <c r="AQ286">
        <f t="shared" si="790"/>
        <v>350</v>
      </c>
      <c r="AS286" s="5">
        <f t="shared" si="763"/>
        <v>2.8571428571428572</v>
      </c>
      <c r="AT286" s="5">
        <f t="shared" si="791"/>
        <v>0.79091775392321773</v>
      </c>
      <c r="AU286" s="5">
        <f t="shared" si="722"/>
        <v>2.0662251032196393</v>
      </c>
      <c r="AV286" s="5"/>
      <c r="AW286" s="173">
        <f t="shared" si="723"/>
        <v>0.27682121387312619</v>
      </c>
      <c r="AX286" s="173">
        <f t="shared" si="792"/>
        <v>11.784549949083448</v>
      </c>
      <c r="AY286" s="173">
        <f t="shared" si="793"/>
        <v>0.85656936065348421</v>
      </c>
      <c r="AZ286" s="173">
        <f t="shared" si="794"/>
        <v>13.757846696842989</v>
      </c>
      <c r="BA286" s="460">
        <f t="shared" si="724"/>
        <v>3.3758684618673929</v>
      </c>
      <c r="BB286" s="5">
        <f t="shared" si="725"/>
        <v>0.54997316653254935</v>
      </c>
      <c r="BD286" s="173">
        <f t="shared" si="841"/>
        <v>0.71959131058018122</v>
      </c>
      <c r="BE286" s="173">
        <f t="shared" si="842"/>
        <v>1.1630785999746522</v>
      </c>
      <c r="BG286" s="528">
        <f t="shared" si="843"/>
        <v>1.0356233085250058E-2</v>
      </c>
      <c r="BH286" s="528">
        <f t="shared" si="795"/>
        <v>0.82046060965536749</v>
      </c>
      <c r="BI286" s="528">
        <f t="shared" si="796"/>
        <v>0.31448854272742816</v>
      </c>
      <c r="BJ286" s="528">
        <f t="shared" si="844"/>
        <v>9.7488003312559593E-2</v>
      </c>
      <c r="BK286">
        <f t="shared" si="845"/>
        <v>1.6173696483124875E-2</v>
      </c>
      <c r="BL286" s="460">
        <f t="shared" si="846"/>
        <v>330.66223921055303</v>
      </c>
      <c r="BM286" s="528">
        <f t="shared" si="797"/>
        <v>0.9333977858296334</v>
      </c>
      <c r="BN286" s="460">
        <f t="shared" si="847"/>
        <v>933.39778582963345</v>
      </c>
      <c r="BO286" s="528">
        <f t="shared" si="798"/>
        <v>0.48999999999999994</v>
      </c>
      <c r="BR286" s="460">
        <f t="shared" si="848"/>
        <v>489.99999999999994</v>
      </c>
      <c r="BS286" s="528">
        <f t="shared" si="849"/>
        <v>1.5534349627875085E-2</v>
      </c>
      <c r="BT286" s="528">
        <f t="shared" si="850"/>
        <v>4.0582554891569915E-2</v>
      </c>
      <c r="BU286" s="528">
        <f t="shared" si="851"/>
        <v>0.98970838266162364</v>
      </c>
      <c r="BV286" s="528"/>
      <c r="BW286" s="528">
        <f t="shared" si="852"/>
        <v>9.8204582909028754E-3</v>
      </c>
      <c r="BX286" s="460">
        <f t="shared" si="853"/>
        <v>1055.6457454719716</v>
      </c>
      <c r="BY286" s="173">
        <f t="shared" si="854"/>
        <v>2.8046128307357017</v>
      </c>
      <c r="BZ286" s="5">
        <f t="shared" si="855"/>
        <v>11.479999999999999</v>
      </c>
      <c r="CA286" s="173">
        <f t="shared" si="856"/>
        <v>0.80366196382298061</v>
      </c>
      <c r="CB286" s="5">
        <f t="shared" si="857"/>
        <v>80.366196382298057</v>
      </c>
      <c r="CE286" s="562">
        <f t="shared" si="799"/>
        <v>-50</v>
      </c>
      <c r="CF286">
        <f t="shared" si="800"/>
        <v>-50</v>
      </c>
      <c r="CG286" s="173">
        <f t="shared" si="801"/>
        <v>0.59877924593781107</v>
      </c>
      <c r="CI286" s="170">
        <v>70</v>
      </c>
      <c r="CJ286" s="217">
        <f t="shared" si="858"/>
        <v>0.7</v>
      </c>
      <c r="CK286" s="217"/>
      <c r="CL286" s="217">
        <f t="shared" si="802"/>
        <v>11.479999999999999</v>
      </c>
      <c r="CM286" s="541">
        <f t="shared" si="803"/>
        <v>36</v>
      </c>
      <c r="CN286" s="443">
        <f t="shared" si="804"/>
        <v>16.799999999999997</v>
      </c>
      <c r="CO286" s="443">
        <f t="shared" si="805"/>
        <v>52.8</v>
      </c>
      <c r="CP286" s="443"/>
      <c r="CQ286" s="217">
        <f t="shared" si="806"/>
        <v>0.31818181818181812</v>
      </c>
      <c r="CR286" s="172">
        <f t="shared" si="807"/>
        <v>38.697272727272725</v>
      </c>
      <c r="CS286" s="172">
        <f t="shared" si="808"/>
        <v>11.479999999999999</v>
      </c>
      <c r="CT286" s="217">
        <f t="shared" si="809"/>
        <v>2.3595898004434592</v>
      </c>
      <c r="CU286" s="217">
        <f t="shared" si="810"/>
        <v>16.399999999999999</v>
      </c>
      <c r="CV286" s="217"/>
      <c r="CW286" s="172">
        <f t="shared" si="811"/>
        <v>135.53450479715573</v>
      </c>
      <c r="CX286" s="172">
        <f t="shared" si="812"/>
        <v>16.399999999999999</v>
      </c>
      <c r="CY286" s="217">
        <f t="shared" si="813"/>
        <v>2.0044444444444443</v>
      </c>
      <c r="CZ286" s="217">
        <f t="shared" si="814"/>
        <v>0.66814814814814816</v>
      </c>
      <c r="DA286" s="217">
        <f t="shared" si="815"/>
        <v>1.431746031746032</v>
      </c>
      <c r="DB286" s="197">
        <f t="shared" si="816"/>
        <v>350</v>
      </c>
      <c r="DC286" s="443">
        <f t="shared" si="817"/>
        <v>350</v>
      </c>
      <c r="DE286" s="217">
        <f t="shared" si="818"/>
        <v>2.7272727272727271</v>
      </c>
      <c r="DF286" s="173">
        <f t="shared" si="819"/>
        <v>1.9480519480519483</v>
      </c>
      <c r="DG286" s="173">
        <f t="shared" si="820"/>
        <v>0.92975206611570249</v>
      </c>
      <c r="DH286" s="173"/>
      <c r="DI286" s="173">
        <f t="shared" si="821"/>
        <v>0.95238095238095266</v>
      </c>
      <c r="DJ286" s="545">
        <f t="shared" si="822"/>
        <v>1102.4999999999995</v>
      </c>
      <c r="DK286" s="528">
        <f t="shared" si="823"/>
        <v>0.22222222222222232</v>
      </c>
      <c r="DM286" s="173">
        <f t="shared" si="824"/>
        <v>2.3664319132398464</v>
      </c>
      <c r="DN286" s="173">
        <f t="shared" si="825"/>
        <v>2.3664319132398464</v>
      </c>
      <c r="DO286" s="173">
        <f t="shared" si="826"/>
        <v>1.9652582073381577</v>
      </c>
      <c r="DQ286" s="545">
        <f t="shared" si="827"/>
        <v>700</v>
      </c>
      <c r="DR286" s="460">
        <f t="shared" si="828"/>
        <v>350</v>
      </c>
      <c r="DT286">
        <f t="shared" si="829"/>
        <v>700</v>
      </c>
      <c r="DU286">
        <f t="shared" si="830"/>
        <v>350</v>
      </c>
      <c r="DW286" s="5">
        <f t="shared" si="859"/>
        <v>2.8571428571428572</v>
      </c>
      <c r="DX286" s="5">
        <f t="shared" si="831"/>
        <v>0.78881063774661542</v>
      </c>
      <c r="DY286" s="5">
        <f t="shared" si="832"/>
        <v>2.0683322193962419</v>
      </c>
      <c r="DZ286" s="5"/>
      <c r="EA286" s="173">
        <f t="shared" si="833"/>
        <v>0.27608372321131541</v>
      </c>
      <c r="EB286" s="173">
        <f t="shared" si="860"/>
        <v>11.76</v>
      </c>
      <c r="EC286" s="173">
        <f t="shared" si="861"/>
        <v>0.85654928995325663</v>
      </c>
      <c r="ED286" s="173">
        <f t="shared" si="862"/>
        <v>13.729507616125353</v>
      </c>
      <c r="EE286" s="460">
        <f t="shared" si="834"/>
        <v>3.3668746733087245</v>
      </c>
      <c r="EF286" s="5">
        <f t="shared" si="835"/>
        <v>0.54964013608029749</v>
      </c>
      <c r="EH286" s="173">
        <f t="shared" si="863"/>
        <v>0.71788319615922802</v>
      </c>
      <c r="EI286" s="173">
        <f t="shared" si="864"/>
        <v>1.1624587662961976</v>
      </c>
      <c r="EK286" s="528">
        <f t="shared" si="865"/>
        <v>1.0307125666555774E-2</v>
      </c>
      <c r="EL286" s="528">
        <f t="shared" si="866"/>
        <v>0.87463323513344726</v>
      </c>
      <c r="EM286" s="528">
        <f t="shared" si="867"/>
        <v>4.3749999999999997E-2</v>
      </c>
      <c r="EN286" s="528">
        <f t="shared" si="868"/>
        <v>9.7574399999999992E-2</v>
      </c>
      <c r="EO286">
        <f t="shared" si="869"/>
        <v>1.6199999999999999E-2</v>
      </c>
      <c r="EP286" s="460">
        <f t="shared" si="870"/>
        <v>59.949999999999996</v>
      </c>
      <c r="EQ286" s="460"/>
      <c r="ER286" s="460">
        <f t="shared" si="871"/>
        <v>1042.464760800003</v>
      </c>
      <c r="ES286" s="528">
        <f t="shared" si="872"/>
        <v>0.48999999999999994</v>
      </c>
      <c r="EV286" s="460">
        <f t="shared" si="873"/>
        <v>489.99999999999994</v>
      </c>
      <c r="EW286" s="528">
        <f t="shared" si="874"/>
        <v>1.5460688499833661E-2</v>
      </c>
      <c r="EX286" s="528">
        <f t="shared" si="875"/>
        <v>4.0539311500166333E-2</v>
      </c>
      <c r="EY286" s="528">
        <f t="shared" si="876"/>
        <v>0.98713181417814633</v>
      </c>
      <c r="EZ286" s="528"/>
      <c r="FA286" s="528">
        <f t="shared" si="877"/>
        <v>9.7999999999999997E-3</v>
      </c>
      <c r="FB286" s="460">
        <f t="shared" si="878"/>
        <v>1052.9318141781464</v>
      </c>
      <c r="FC286" s="173">
        <f t="shared" si="879"/>
        <v>2.5853965749781493</v>
      </c>
      <c r="FD286" s="5">
        <f t="shared" si="880"/>
        <v>11.479999999999999</v>
      </c>
      <c r="FE286" s="173">
        <f t="shared" si="881"/>
        <v>0.81618743835652097</v>
      </c>
      <c r="FF286" s="5">
        <f t="shared" si="882"/>
        <v>81.618743835652097</v>
      </c>
      <c r="FI286" s="562">
        <f t="shared" si="836"/>
        <v>-50</v>
      </c>
      <c r="FJ286">
        <f t="shared" si="837"/>
        <v>-50</v>
      </c>
      <c r="FL286">
        <f t="shared" si="838"/>
        <v>0.59160797830996159</v>
      </c>
    </row>
    <row r="287" spans="5:168">
      <c r="E287" s="170">
        <v>71</v>
      </c>
      <c r="F287" s="217">
        <f t="shared" si="839"/>
        <v>0.71</v>
      </c>
      <c r="G287" s="217"/>
      <c r="H287" s="217">
        <f t="shared" si="764"/>
        <v>11.643999999999998</v>
      </c>
      <c r="I287" s="541">
        <f t="shared" si="765"/>
        <v>35.941131704708937</v>
      </c>
      <c r="J287" s="172">
        <f t="shared" si="766"/>
        <v>16.835320977174636</v>
      </c>
      <c r="K287" s="172">
        <f t="shared" si="767"/>
        <v>52.776452681883569</v>
      </c>
      <c r="L287" s="443"/>
      <c r="M287" s="217">
        <f t="shared" si="768"/>
        <v>0.31899856264546222</v>
      </c>
      <c r="N287" s="172">
        <f t="shared" si="769"/>
        <v>38.733163799759083</v>
      </c>
      <c r="O287" s="172">
        <f t="shared" si="762"/>
        <v>11.643999999999998</v>
      </c>
      <c r="P287" s="217">
        <f t="shared" si="770"/>
        <v>2.3617782804731151</v>
      </c>
      <c r="Q287" s="217">
        <f t="shared" si="771"/>
        <v>16.399999999999999</v>
      </c>
      <c r="R287" s="217"/>
      <c r="S287" s="172">
        <f t="shared" si="772"/>
        <v>132.90442260871407</v>
      </c>
      <c r="T287" s="172">
        <f t="shared" si="773"/>
        <v>16.399999999999999</v>
      </c>
      <c r="U287" s="217">
        <f t="shared" si="774"/>
        <v>2.0851644682516732</v>
      </c>
      <c r="V287" s="217">
        <f t="shared" si="775"/>
        <v>0.69619325914942598</v>
      </c>
      <c r="W287" s="217">
        <f t="shared" si="776"/>
        <v>1.4862783817988932</v>
      </c>
      <c r="X287" s="197">
        <f t="shared" si="777"/>
        <v>350</v>
      </c>
      <c r="Y287" s="443">
        <f t="shared" si="840"/>
        <v>350</v>
      </c>
      <c r="AA287" s="217">
        <f t="shared" si="778"/>
        <v>2.7297549506048435</v>
      </c>
      <c r="AB287" s="173">
        <f t="shared" si="779"/>
        <v>1.9457341770715399</v>
      </c>
      <c r="AC287" s="173">
        <f t="shared" si="780"/>
        <v>0.92949106292386352</v>
      </c>
      <c r="AD287" s="173"/>
      <c r="AE287" s="173">
        <f t="shared" si="781"/>
        <v>0.9503828303418056</v>
      </c>
      <c r="AF287" s="545">
        <f t="shared" si="782"/>
        <v>1120.6010525431864</v>
      </c>
      <c r="AG287" s="528">
        <f t="shared" si="783"/>
        <v>0.2217559937464213</v>
      </c>
      <c r="AI287" s="173">
        <f t="shared" si="784"/>
        <v>2.3857790874654792</v>
      </c>
      <c r="AJ287" s="173">
        <f t="shared" si="785"/>
        <v>2.3857790874654792</v>
      </c>
      <c r="AK287" s="173">
        <f t="shared" si="786"/>
        <v>1.9795894475052931</v>
      </c>
      <c r="AM287" s="545">
        <f t="shared" si="787"/>
        <v>710</v>
      </c>
      <c r="AN287" s="460">
        <f t="shared" si="788"/>
        <v>350</v>
      </c>
      <c r="AP287">
        <f t="shared" si="789"/>
        <v>710</v>
      </c>
      <c r="AQ287">
        <f t="shared" si="790"/>
        <v>350</v>
      </c>
      <c r="AS287" s="5">
        <f t="shared" si="763"/>
        <v>2.8571428571428572</v>
      </c>
      <c r="AT287" s="5">
        <f t="shared" si="791"/>
        <v>0.79656225866240016</v>
      </c>
      <c r="AU287" s="5">
        <f t="shared" si="722"/>
        <v>2.060580598480457</v>
      </c>
      <c r="AV287" s="5"/>
      <c r="AW287" s="173">
        <f t="shared" si="723"/>
        <v>0.27879679053184003</v>
      </c>
      <c r="AX287" s="173">
        <f t="shared" si="792"/>
        <v>11.953077893793992</v>
      </c>
      <c r="AY287" s="173">
        <f t="shared" si="793"/>
        <v>0.86031576748106076</v>
      </c>
      <c r="AZ287" s="173">
        <f t="shared" si="794"/>
        <v>13.893826366558056</v>
      </c>
      <c r="BA287" s="460">
        <f t="shared" si="724"/>
        <v>3.4485317295750257</v>
      </c>
      <c r="BB287" s="5">
        <f t="shared" si="725"/>
        <v>0.55631248819679546</v>
      </c>
      <c r="BD287" s="173">
        <f t="shared" si="841"/>
        <v>0.72729982832422857</v>
      </c>
      <c r="BE287" s="173">
        <f t="shared" si="842"/>
        <v>1.1697644682223081</v>
      </c>
      <c r="BG287" s="528">
        <f t="shared" si="843"/>
        <v>1.0579300805609046E-2</v>
      </c>
      <c r="BH287" s="528">
        <f t="shared" si="795"/>
        <v>0.82630378109376046</v>
      </c>
      <c r="BI287" s="528">
        <f t="shared" si="796"/>
        <v>0.31448490241620319</v>
      </c>
      <c r="BJ287" s="528">
        <f t="shared" si="844"/>
        <v>9.7487388518908327E-2</v>
      </c>
      <c r="BK287">
        <f t="shared" si="845"/>
        <v>1.617350926711902E-2</v>
      </c>
      <c r="BL287" s="460">
        <f t="shared" si="846"/>
        <v>330.65841168332224</v>
      </c>
      <c r="BM287" s="528">
        <f t="shared" si="797"/>
        <v>0.93958867106127686</v>
      </c>
      <c r="BN287" s="460">
        <f t="shared" si="847"/>
        <v>939.58867106127684</v>
      </c>
      <c r="BO287" s="528">
        <f t="shared" si="798"/>
        <v>0.49699999999999994</v>
      </c>
      <c r="BR287" s="460">
        <f t="shared" si="848"/>
        <v>496.99999999999994</v>
      </c>
      <c r="BS287" s="528">
        <f t="shared" si="849"/>
        <v>1.586895120841357E-2</v>
      </c>
      <c r="BT287" s="528">
        <f t="shared" si="850"/>
        <v>4.1050467333462577E-2</v>
      </c>
      <c r="BU287" s="528">
        <f t="shared" si="851"/>
        <v>1.0074318659601504</v>
      </c>
      <c r="BV287" s="528"/>
      <c r="BW287" s="528">
        <f t="shared" si="852"/>
        <v>9.960898244828327E-3</v>
      </c>
      <c r="BX287" s="460">
        <f t="shared" si="853"/>
        <v>1074.3121827468549</v>
      </c>
      <c r="BY287" s="173">
        <f t="shared" si="854"/>
        <v>2.8363410648484546</v>
      </c>
      <c r="BZ287" s="5">
        <f t="shared" si="855"/>
        <v>11.643999999999998</v>
      </c>
      <c r="CA287" s="173">
        <f t="shared" si="856"/>
        <v>0.80412470589288987</v>
      </c>
      <c r="CB287" s="5">
        <f t="shared" si="857"/>
        <v>80.412470589288986</v>
      </c>
      <c r="CE287" s="562">
        <f t="shared" si="799"/>
        <v>-50</v>
      </c>
      <c r="CF287">
        <f t="shared" si="800"/>
        <v>-50</v>
      </c>
      <c r="CG287" s="173">
        <f t="shared" si="801"/>
        <v>0.60304107371336313</v>
      </c>
      <c r="CI287" s="170">
        <v>71</v>
      </c>
      <c r="CJ287" s="217">
        <f t="shared" si="858"/>
        <v>0.71</v>
      </c>
      <c r="CK287" s="217"/>
      <c r="CL287" s="217">
        <f t="shared" si="802"/>
        <v>11.643999999999998</v>
      </c>
      <c r="CM287" s="541">
        <f t="shared" si="803"/>
        <v>36</v>
      </c>
      <c r="CN287" s="443">
        <f t="shared" si="804"/>
        <v>16.799999999999997</v>
      </c>
      <c r="CO287" s="443">
        <f t="shared" si="805"/>
        <v>52.8</v>
      </c>
      <c r="CP287" s="443"/>
      <c r="CQ287" s="217">
        <f t="shared" si="806"/>
        <v>0.31818181818181812</v>
      </c>
      <c r="CR287" s="172">
        <f t="shared" si="807"/>
        <v>38.697272727272725</v>
      </c>
      <c r="CS287" s="172">
        <f t="shared" si="808"/>
        <v>11.643999999999998</v>
      </c>
      <c r="CT287" s="217">
        <f t="shared" si="809"/>
        <v>2.3595898004434592</v>
      </c>
      <c r="CU287" s="217">
        <f t="shared" si="810"/>
        <v>16.399999999999999</v>
      </c>
      <c r="CV287" s="217"/>
      <c r="CW287" s="172">
        <f t="shared" si="811"/>
        <v>133.12193195793549</v>
      </c>
      <c r="CX287" s="172">
        <f t="shared" si="812"/>
        <v>16.399999999999999</v>
      </c>
      <c r="CY287" s="217">
        <f t="shared" si="813"/>
        <v>2.0330793650793648</v>
      </c>
      <c r="CZ287" s="217">
        <f t="shared" si="814"/>
        <v>0.67769312169312168</v>
      </c>
      <c r="DA287" s="217">
        <f t="shared" si="815"/>
        <v>1.4521995464852608</v>
      </c>
      <c r="DB287" s="197">
        <f t="shared" si="816"/>
        <v>350</v>
      </c>
      <c r="DC287" s="443">
        <f t="shared" si="817"/>
        <v>350</v>
      </c>
      <c r="DE287" s="217">
        <f t="shared" si="818"/>
        <v>2.7272727272727271</v>
      </c>
      <c r="DF287" s="173">
        <f t="shared" si="819"/>
        <v>1.9480519480519483</v>
      </c>
      <c r="DG287" s="173">
        <f t="shared" si="820"/>
        <v>0.92975206611570249</v>
      </c>
      <c r="DH287" s="173"/>
      <c r="DI287" s="173">
        <f t="shared" si="821"/>
        <v>0.95238095238095266</v>
      </c>
      <c r="DJ287" s="545">
        <f t="shared" si="822"/>
        <v>1118.2499999999995</v>
      </c>
      <c r="DK287" s="528">
        <f t="shared" si="823"/>
        <v>0.22222222222222232</v>
      </c>
      <c r="DM287" s="173">
        <f t="shared" si="824"/>
        <v>2.3832750575625967</v>
      </c>
      <c r="DN287" s="173">
        <f t="shared" si="825"/>
        <v>2.3832750575625967</v>
      </c>
      <c r="DO287" s="173">
        <f t="shared" si="826"/>
        <v>1.9777346105401949</v>
      </c>
      <c r="DQ287" s="545">
        <f t="shared" si="827"/>
        <v>710</v>
      </c>
      <c r="DR287" s="460">
        <f t="shared" si="828"/>
        <v>350</v>
      </c>
      <c r="DT287">
        <f t="shared" si="829"/>
        <v>710</v>
      </c>
      <c r="DU287">
        <f t="shared" si="830"/>
        <v>350</v>
      </c>
      <c r="DW287" s="5">
        <f t="shared" si="859"/>
        <v>2.8571428571428572</v>
      </c>
      <c r="DX287" s="5">
        <f t="shared" si="831"/>
        <v>0.79442501918753239</v>
      </c>
      <c r="DY287" s="5">
        <f t="shared" si="832"/>
        <v>2.0627178379553248</v>
      </c>
      <c r="DZ287" s="5"/>
      <c r="EA287" s="173">
        <f t="shared" si="833"/>
        <v>0.27804875671563634</v>
      </c>
      <c r="EB287" s="173">
        <f t="shared" si="860"/>
        <v>11.927999999999997</v>
      </c>
      <c r="EC287" s="173">
        <f t="shared" si="861"/>
        <v>0.86030419544796499</v>
      </c>
      <c r="ED287" s="173">
        <f t="shared" si="862"/>
        <v>13.864863222931307</v>
      </c>
      <c r="EE287" s="460">
        <f t="shared" si="834"/>
        <v>3.4392790464826102</v>
      </c>
      <c r="EF287" s="5">
        <f t="shared" si="835"/>
        <v>0.5559788542859212</v>
      </c>
      <c r="EH287" s="173">
        <f t="shared" si="863"/>
        <v>0.72556114792731619</v>
      </c>
      <c r="EI287" s="173">
        <f t="shared" si="864"/>
        <v>1.1691425721235746</v>
      </c>
      <c r="EK287" s="528">
        <f t="shared" si="865"/>
        <v>1.0528779587632096E-2</v>
      </c>
      <c r="EL287" s="528">
        <f t="shared" si="866"/>
        <v>0.88085846127513578</v>
      </c>
      <c r="EM287" s="528">
        <f t="shared" si="867"/>
        <v>4.3749999999999997E-2</v>
      </c>
      <c r="EN287" s="528">
        <f t="shared" si="868"/>
        <v>9.7574399999999992E-2</v>
      </c>
      <c r="EO287">
        <f t="shared" si="869"/>
        <v>1.6199999999999999E-2</v>
      </c>
      <c r="EP287" s="460">
        <f t="shared" si="870"/>
        <v>59.949999999999996</v>
      </c>
      <c r="EQ287" s="460"/>
      <c r="ER287" s="460">
        <f t="shared" si="871"/>
        <v>1048.9116408627679</v>
      </c>
      <c r="ES287" s="528">
        <f t="shared" si="872"/>
        <v>0.49699999999999994</v>
      </c>
      <c r="EV287" s="460">
        <f t="shared" si="873"/>
        <v>496.99999999999994</v>
      </c>
      <c r="EW287" s="528">
        <f t="shared" si="874"/>
        <v>1.5793169381448143E-2</v>
      </c>
      <c r="EX287" s="528">
        <f t="shared" si="875"/>
        <v>4.1006830618551836E-2</v>
      </c>
      <c r="EY287" s="528">
        <f t="shared" si="876"/>
        <v>1.0047905336981005</v>
      </c>
      <c r="EZ287" s="528"/>
      <c r="FA287" s="528">
        <f t="shared" si="877"/>
        <v>9.9399999999999974E-3</v>
      </c>
      <c r="FB287" s="460">
        <f t="shared" si="878"/>
        <v>1071.5305336981005</v>
      </c>
      <c r="FC287" s="173">
        <f t="shared" si="879"/>
        <v>2.617442174560868</v>
      </c>
      <c r="FD287" s="5">
        <f t="shared" si="880"/>
        <v>11.643999999999998</v>
      </c>
      <c r="FE287" s="173">
        <f t="shared" si="881"/>
        <v>0.81646721681277212</v>
      </c>
      <c r="FF287" s="5">
        <f t="shared" si="882"/>
        <v>81.646721681277214</v>
      </c>
      <c r="FI287" s="562">
        <f t="shared" si="836"/>
        <v>-50</v>
      </c>
      <c r="FJ287">
        <f t="shared" si="837"/>
        <v>-50</v>
      </c>
      <c r="FL287">
        <f t="shared" si="838"/>
        <v>0.59581876439064929</v>
      </c>
    </row>
    <row r="288" spans="5:168">
      <c r="E288" s="170">
        <v>72</v>
      </c>
      <c r="F288" s="217">
        <f t="shared" si="839"/>
        <v>0.72</v>
      </c>
      <c r="G288" s="217"/>
      <c r="H288" s="217">
        <f t="shared" si="764"/>
        <v>11.807999999999998</v>
      </c>
      <c r="I288" s="541">
        <f t="shared" si="765"/>
        <v>35.940718588796436</v>
      </c>
      <c r="J288" s="172">
        <f t="shared" si="766"/>
        <v>16.835568846722133</v>
      </c>
      <c r="K288" s="172">
        <f t="shared" si="767"/>
        <v>52.776287435518569</v>
      </c>
      <c r="L288" s="443"/>
      <c r="M288" s="217">
        <f t="shared" si="768"/>
        <v>0.31900429678426395</v>
      </c>
      <c r="N288" s="172">
        <f t="shared" si="769"/>
        <v>38.733414829137409</v>
      </c>
      <c r="O288" s="172">
        <f t="shared" si="762"/>
        <v>11.807999999999998</v>
      </c>
      <c r="P288" s="217">
        <f t="shared" si="770"/>
        <v>2.3617935871425253</v>
      </c>
      <c r="Q288" s="217">
        <f t="shared" si="771"/>
        <v>16.399999999999999</v>
      </c>
      <c r="R288" s="217"/>
      <c r="S288" s="172">
        <f t="shared" si="772"/>
        <v>130.56127220529166</v>
      </c>
      <c r="T288" s="172">
        <f t="shared" si="773"/>
        <v>16.399999999999999</v>
      </c>
      <c r="U288" s="217">
        <f t="shared" si="774"/>
        <v>2.1145507867379529</v>
      </c>
      <c r="V288" s="217">
        <f t="shared" si="775"/>
        <v>0.70601285776087108</v>
      </c>
      <c r="W288" s="217">
        <f t="shared" si="776"/>
        <v>1.5072023803814532</v>
      </c>
      <c r="X288" s="197">
        <f t="shared" si="777"/>
        <v>350</v>
      </c>
      <c r="Y288" s="443">
        <f t="shared" si="840"/>
        <v>350</v>
      </c>
      <c r="AA288" s="217">
        <f t="shared" si="778"/>
        <v>2.7297723114653696</v>
      </c>
      <c r="AB288" s="173">
        <f t="shared" si="779"/>
        <v>1.9457179045044408</v>
      </c>
      <c r="AC288" s="173">
        <f t="shared" si="780"/>
        <v>0.92948920078676245</v>
      </c>
      <c r="AD288" s="173"/>
      <c r="AE288" s="173">
        <f t="shared" si="781"/>
        <v>0.95036883788546211</v>
      </c>
      <c r="AF288" s="545">
        <f t="shared" si="782"/>
        <v>1136.4008971537435</v>
      </c>
      <c r="AG288" s="528">
        <f t="shared" si="783"/>
        <v>0.22175272883994121</v>
      </c>
      <c r="AI288" s="173">
        <f t="shared" si="784"/>
        <v>2.4025392885782062</v>
      </c>
      <c r="AJ288" s="173">
        <f t="shared" si="785"/>
        <v>2.4025392885782062</v>
      </c>
      <c r="AK288" s="173">
        <f t="shared" si="786"/>
        <v>1.9920044112924984</v>
      </c>
      <c r="AM288" s="545">
        <f t="shared" si="787"/>
        <v>720</v>
      </c>
      <c r="AN288" s="460">
        <f t="shared" si="788"/>
        <v>350</v>
      </c>
      <c r="AP288">
        <f t="shared" si="789"/>
        <v>720</v>
      </c>
      <c r="AQ288">
        <f t="shared" si="790"/>
        <v>350</v>
      </c>
      <c r="AS288" s="5">
        <f t="shared" si="763"/>
        <v>2.8571428571428572</v>
      </c>
      <c r="AT288" s="5">
        <f t="shared" si="791"/>
        <v>0.80216736322922633</v>
      </c>
      <c r="AU288" s="5">
        <f t="shared" si="722"/>
        <v>2.0549754939136307</v>
      </c>
      <c r="AV288" s="5"/>
      <c r="AW288" s="173">
        <f t="shared" si="723"/>
        <v>0.28075857713022923</v>
      </c>
      <c r="AX288" s="173">
        <f t="shared" si="792"/>
        <v>12.121609569639935</v>
      </c>
      <c r="AY288" s="173">
        <f t="shared" si="793"/>
        <v>0.86400288820875792</v>
      </c>
      <c r="AZ288" s="173">
        <f t="shared" si="794"/>
        <v>14.029593806995639</v>
      </c>
      <c r="BA288" s="460">
        <f t="shared" si="724"/>
        <v>3.5217103751527015</v>
      </c>
      <c r="BB288" s="5">
        <f t="shared" si="725"/>
        <v>0.56261977094730287</v>
      </c>
      <c r="BD288" s="173">
        <f t="shared" si="841"/>
        <v>0.73498146562315969</v>
      </c>
      <c r="BE288" s="173">
        <f t="shared" si="842"/>
        <v>1.1763788744466595</v>
      </c>
      <c r="BG288" s="528">
        <f t="shared" si="843"/>
        <v>1.0803955096191357E-2</v>
      </c>
      <c r="BH288" s="528">
        <f t="shared" si="795"/>
        <v>0.8321059954536637</v>
      </c>
      <c r="BI288" s="528">
        <f t="shared" si="796"/>
        <v>0.31448128765196881</v>
      </c>
      <c r="BJ288" s="528">
        <f t="shared" si="844"/>
        <v>9.7486778041676631E-2</v>
      </c>
      <c r="BK288">
        <f t="shared" si="845"/>
        <v>1.6173323364958397E-2</v>
      </c>
      <c r="BL288" s="460">
        <f t="shared" si="846"/>
        <v>330.65461101692722</v>
      </c>
      <c r="BM288" s="528">
        <f t="shared" si="797"/>
        <v>0.94574153364465829</v>
      </c>
      <c r="BN288" s="460">
        <f t="shared" si="847"/>
        <v>945.74153364465826</v>
      </c>
      <c r="BO288" s="528">
        <f t="shared" si="798"/>
        <v>0.504</v>
      </c>
      <c r="BR288" s="460">
        <f t="shared" si="848"/>
        <v>504</v>
      </c>
      <c r="BS288" s="528">
        <f t="shared" si="849"/>
        <v>1.6205932644287036E-2</v>
      </c>
      <c r="BT288" s="528">
        <f t="shared" si="850"/>
        <v>4.151601768733168E-2</v>
      </c>
      <c r="BU288" s="528">
        <f t="shared" si="851"/>
        <v>1.0252183271720363</v>
      </c>
      <c r="BV288" s="528"/>
      <c r="BW288" s="528">
        <f t="shared" si="852"/>
        <v>1.0101341308033279E-2</v>
      </c>
      <c r="BX288" s="460">
        <f t="shared" si="853"/>
        <v>1093.0416188116883</v>
      </c>
      <c r="BY288" s="173">
        <f t="shared" si="854"/>
        <v>2.8680929584201467</v>
      </c>
      <c r="BZ288" s="5">
        <f t="shared" si="855"/>
        <v>11.807999999999998</v>
      </c>
      <c r="CA288" s="173">
        <f t="shared" si="856"/>
        <v>0.80457380812822998</v>
      </c>
      <c r="CB288" s="5">
        <f t="shared" si="857"/>
        <v>80.457380812823004</v>
      </c>
      <c r="CE288" s="562">
        <f t="shared" si="799"/>
        <v>-50</v>
      </c>
      <c r="CF288">
        <f t="shared" si="800"/>
        <v>-50</v>
      </c>
      <c r="CG288" s="173">
        <f t="shared" si="801"/>
        <v>0.60727299281696867</v>
      </c>
      <c r="CI288" s="170">
        <v>72</v>
      </c>
      <c r="CJ288" s="217">
        <f t="shared" si="858"/>
        <v>0.72</v>
      </c>
      <c r="CK288" s="217"/>
      <c r="CL288" s="217">
        <f t="shared" si="802"/>
        <v>11.807999999999998</v>
      </c>
      <c r="CM288" s="541">
        <f t="shared" si="803"/>
        <v>36</v>
      </c>
      <c r="CN288" s="443">
        <f t="shared" si="804"/>
        <v>16.799999999999997</v>
      </c>
      <c r="CO288" s="443">
        <f t="shared" si="805"/>
        <v>52.8</v>
      </c>
      <c r="CP288" s="443"/>
      <c r="CQ288" s="217">
        <f t="shared" si="806"/>
        <v>0.31818181818181812</v>
      </c>
      <c r="CR288" s="172">
        <f t="shared" si="807"/>
        <v>38.697272727272725</v>
      </c>
      <c r="CS288" s="172">
        <f t="shared" si="808"/>
        <v>11.807999999999998</v>
      </c>
      <c r="CT288" s="217">
        <f t="shared" si="809"/>
        <v>2.3595898004434592</v>
      </c>
      <c r="CU288" s="217">
        <f t="shared" si="810"/>
        <v>16.399999999999999</v>
      </c>
      <c r="CV288" s="217"/>
      <c r="CW288" s="172">
        <f t="shared" si="811"/>
        <v>130.77644247494683</v>
      </c>
      <c r="CX288" s="172">
        <f t="shared" si="812"/>
        <v>16.399999999999999</v>
      </c>
      <c r="CY288" s="217">
        <f t="shared" si="813"/>
        <v>2.0617142857142854</v>
      </c>
      <c r="CZ288" s="217">
        <f t="shared" si="814"/>
        <v>0.6872380952380952</v>
      </c>
      <c r="DA288" s="217">
        <f t="shared" si="815"/>
        <v>1.4726530612244899</v>
      </c>
      <c r="DB288" s="197">
        <f t="shared" si="816"/>
        <v>350</v>
      </c>
      <c r="DC288" s="443">
        <f t="shared" si="817"/>
        <v>350</v>
      </c>
      <c r="DE288" s="217">
        <f t="shared" si="818"/>
        <v>2.7272727272727271</v>
      </c>
      <c r="DF288" s="173">
        <f t="shared" si="819"/>
        <v>1.9480519480519483</v>
      </c>
      <c r="DG288" s="173">
        <f t="shared" si="820"/>
        <v>0.92975206611570249</v>
      </c>
      <c r="DH288" s="173"/>
      <c r="DI288" s="173">
        <f t="shared" si="821"/>
        <v>0.95238095238095266</v>
      </c>
      <c r="DJ288" s="545">
        <f t="shared" si="822"/>
        <v>1133.9999999999995</v>
      </c>
      <c r="DK288" s="528">
        <f t="shared" si="823"/>
        <v>0.22222222222222232</v>
      </c>
      <c r="DM288" s="173">
        <f t="shared" si="824"/>
        <v>2.4</v>
      </c>
      <c r="DN288" s="173">
        <f t="shared" si="825"/>
        <v>2.4</v>
      </c>
      <c r="DO288" s="173">
        <f t="shared" si="826"/>
        <v>1.9901234567901231</v>
      </c>
      <c r="DQ288" s="545">
        <f t="shared" si="827"/>
        <v>720</v>
      </c>
      <c r="DR288" s="460">
        <f t="shared" si="828"/>
        <v>350</v>
      </c>
      <c r="DT288">
        <f t="shared" si="829"/>
        <v>720</v>
      </c>
      <c r="DU288">
        <f t="shared" si="830"/>
        <v>350</v>
      </c>
      <c r="DW288" s="5">
        <f t="shared" si="859"/>
        <v>2.8571428571428572</v>
      </c>
      <c r="DX288" s="5">
        <f t="shared" si="831"/>
        <v>0.79999999999999993</v>
      </c>
      <c r="DY288" s="5">
        <f t="shared" si="832"/>
        <v>2.0571428571428574</v>
      </c>
      <c r="DZ288" s="5"/>
      <c r="EA288" s="173">
        <f t="shared" si="833"/>
        <v>0.27999999999999997</v>
      </c>
      <c r="EB288" s="173">
        <f t="shared" si="860"/>
        <v>12.096</v>
      </c>
      <c r="EC288" s="173">
        <f t="shared" si="861"/>
        <v>0.86399999999999999</v>
      </c>
      <c r="ED288" s="173">
        <f t="shared" si="862"/>
        <v>14</v>
      </c>
      <c r="EE288" s="460">
        <f t="shared" si="834"/>
        <v>3.51219512195122</v>
      </c>
      <c r="EF288" s="5">
        <f t="shared" si="835"/>
        <v>0.56228571428571417</v>
      </c>
      <c r="EH288" s="173">
        <f t="shared" si="863"/>
        <v>0.73321211119293439</v>
      </c>
      <c r="EI288" s="173">
        <f t="shared" si="864"/>
        <v>1.1757550765359255</v>
      </c>
      <c r="EK288" s="528">
        <f t="shared" si="865"/>
        <v>1.0751999999999999E-2</v>
      </c>
      <c r="EL288" s="528">
        <f t="shared" si="866"/>
        <v>0.88703999999999983</v>
      </c>
      <c r="EM288" s="528">
        <f t="shared" si="867"/>
        <v>4.3749999999999997E-2</v>
      </c>
      <c r="EN288" s="528">
        <f t="shared" si="868"/>
        <v>9.7574399999999992E-2</v>
      </c>
      <c r="EO288">
        <f t="shared" si="869"/>
        <v>1.6199999999999999E-2</v>
      </c>
      <c r="EP288" s="460">
        <f t="shared" si="870"/>
        <v>59.949999999999996</v>
      </c>
      <c r="EQ288" s="460"/>
      <c r="ER288" s="460">
        <f t="shared" si="871"/>
        <v>1055.3163999999997</v>
      </c>
      <c r="ES288" s="528">
        <f t="shared" si="872"/>
        <v>0.504</v>
      </c>
      <c r="EV288" s="460">
        <f t="shared" si="873"/>
        <v>504</v>
      </c>
      <c r="EW288" s="528">
        <f t="shared" si="874"/>
        <v>1.6128E-2</v>
      </c>
      <c r="EX288" s="528">
        <f t="shared" si="875"/>
        <v>4.1472000000000002E-2</v>
      </c>
      <c r="EY288" s="528">
        <f t="shared" si="876"/>
        <v>1.0225115432111254</v>
      </c>
      <c r="EZ288" s="528"/>
      <c r="FA288" s="528">
        <f t="shared" si="877"/>
        <v>1.008E-2</v>
      </c>
      <c r="FB288" s="460">
        <f t="shared" si="878"/>
        <v>1090.1915432111255</v>
      </c>
      <c r="FC288" s="173">
        <f t="shared" si="879"/>
        <v>2.6495079432111246</v>
      </c>
      <c r="FD288" s="5">
        <f t="shared" si="880"/>
        <v>11.807999999999998</v>
      </c>
      <c r="FE288" s="173">
        <f t="shared" si="881"/>
        <v>0.81673826819820172</v>
      </c>
      <c r="FF288" s="5">
        <f t="shared" si="882"/>
        <v>81.673826819820178</v>
      </c>
      <c r="FI288" s="562">
        <f t="shared" si="836"/>
        <v>-50</v>
      </c>
      <c r="FJ288">
        <f t="shared" si="837"/>
        <v>-50</v>
      </c>
      <c r="FL288">
        <f t="shared" si="838"/>
        <v>0.6</v>
      </c>
    </row>
    <row r="289" spans="5:168">
      <c r="E289" s="170">
        <v>73</v>
      </c>
      <c r="F289" s="217">
        <f t="shared" si="839"/>
        <v>0.73</v>
      </c>
      <c r="G289" s="217"/>
      <c r="H289" s="217">
        <f t="shared" si="764"/>
        <v>11.972</v>
      </c>
      <c r="I289" s="541">
        <f t="shared" si="765"/>
        <v>35.940308331920647</v>
      </c>
      <c r="J289" s="172">
        <f t="shared" si="766"/>
        <v>16.835815000847607</v>
      </c>
      <c r="K289" s="172">
        <f t="shared" si="767"/>
        <v>52.77612333276825</v>
      </c>
      <c r="L289" s="443"/>
      <c r="M289" s="217">
        <f t="shared" si="768"/>
        <v>0.3190099912739035</v>
      </c>
      <c r="N289" s="172">
        <f t="shared" si="769"/>
        <v>38.733664109621991</v>
      </c>
      <c r="O289" s="172">
        <f t="shared" si="762"/>
        <v>11.972</v>
      </c>
      <c r="P289" s="217">
        <f t="shared" si="770"/>
        <v>2.3618087871720728</v>
      </c>
      <c r="Q289" s="217">
        <f t="shared" si="771"/>
        <v>16.399999999999999</v>
      </c>
      <c r="R289" s="217"/>
      <c r="S289" s="172">
        <f t="shared" si="772"/>
        <v>128.28240647951873</v>
      </c>
      <c r="T289" s="172">
        <f t="shared" si="773"/>
        <v>16.399999999999999</v>
      </c>
      <c r="U289" s="217">
        <f t="shared" si="774"/>
        <v>2.1439374752812737</v>
      </c>
      <c r="V289" s="217">
        <f t="shared" si="775"/>
        <v>0.71583274872813052</v>
      </c>
      <c r="W289" s="217">
        <f t="shared" si="776"/>
        <v>1.5281261823131245</v>
      </c>
      <c r="X289" s="197">
        <f t="shared" si="777"/>
        <v>350</v>
      </c>
      <c r="Y289" s="443">
        <f t="shared" si="840"/>
        <v>350</v>
      </c>
      <c r="AA289" s="217">
        <f t="shared" si="778"/>
        <v>2.7297895513704322</v>
      </c>
      <c r="AB289" s="173">
        <f t="shared" si="779"/>
        <v>1.9457017444534763</v>
      </c>
      <c r="AC289" s="173">
        <f t="shared" si="780"/>
        <v>0.92948735111615644</v>
      </c>
      <c r="AD289" s="173"/>
      <c r="AE289" s="173">
        <f t="shared" si="781"/>
        <v>0.9503549426739647</v>
      </c>
      <c r="AF289" s="545">
        <f t="shared" si="782"/>
        <v>1152.2010891205077</v>
      </c>
      <c r="AG289" s="528">
        <f t="shared" si="783"/>
        <v>0.22174948662392513</v>
      </c>
      <c r="AI289" s="173">
        <f t="shared" si="784"/>
        <v>2.4191837417784372</v>
      </c>
      <c r="AJ289" s="173">
        <f t="shared" si="785"/>
        <v>2.4191837417784372</v>
      </c>
      <c r="AK289" s="173">
        <f t="shared" si="786"/>
        <v>2.0043336358852617</v>
      </c>
      <c r="AM289" s="545">
        <f t="shared" si="787"/>
        <v>730</v>
      </c>
      <c r="AN289" s="460">
        <f t="shared" si="788"/>
        <v>350</v>
      </c>
      <c r="AP289">
        <f t="shared" si="789"/>
        <v>730</v>
      </c>
      <c r="AQ289">
        <f t="shared" si="790"/>
        <v>350</v>
      </c>
      <c r="AS289" s="5">
        <f t="shared" si="763"/>
        <v>2.8571428571428572</v>
      </c>
      <c r="AT289" s="5">
        <f t="shared" si="791"/>
        <v>0.80773388567615201</v>
      </c>
      <c r="AU289" s="5">
        <f t="shared" si="722"/>
        <v>2.049408971466705</v>
      </c>
      <c r="AV289" s="5"/>
      <c r="AW289" s="173">
        <f t="shared" si="723"/>
        <v>0.28270685998665318</v>
      </c>
      <c r="AX289" s="173">
        <f t="shared" si="792"/>
        <v>12.290144950618753</v>
      </c>
      <c r="AY289" s="173">
        <f t="shared" si="793"/>
        <v>0.86763195120474645</v>
      </c>
      <c r="AZ289" s="173">
        <f t="shared" si="794"/>
        <v>14.165159470618075</v>
      </c>
      <c r="BA289" s="460">
        <f t="shared" si="724"/>
        <v>3.5954008325828721</v>
      </c>
      <c r="BB289" s="5">
        <f t="shared" si="725"/>
        <v>0.56889523548800458</v>
      </c>
      <c r="BD289" s="173">
        <f t="shared" si="841"/>
        <v>0.74263668911993808</v>
      </c>
      <c r="BE289" s="173">
        <f t="shared" si="842"/>
        <v>1.182923246369497</v>
      </c>
      <c r="BG289" s="528">
        <f t="shared" si="843"/>
        <v>1.103018504054047E-2</v>
      </c>
      <c r="BH289" s="528">
        <f t="shared" si="795"/>
        <v>0.83786810310476834</v>
      </c>
      <c r="BI289" s="528">
        <f t="shared" si="796"/>
        <v>0.31447769790430563</v>
      </c>
      <c r="BJ289" s="528">
        <f t="shared" si="844"/>
        <v>9.7486171791244802E-2</v>
      </c>
      <c r="BK289">
        <f t="shared" si="845"/>
        <v>1.6173138749364289E-2</v>
      </c>
      <c r="BL289" s="460">
        <f t="shared" si="846"/>
        <v>330.6508366536699</v>
      </c>
      <c r="BM289" s="528">
        <f t="shared" si="797"/>
        <v>0.95185721059029949</v>
      </c>
      <c r="BN289" s="460">
        <f t="shared" si="847"/>
        <v>951.85721059029947</v>
      </c>
      <c r="BO289" s="528">
        <f t="shared" si="798"/>
        <v>0.51100000000000001</v>
      </c>
      <c r="BR289" s="460">
        <f t="shared" si="848"/>
        <v>511</v>
      </c>
      <c r="BS289" s="528">
        <f t="shared" si="849"/>
        <v>1.6545277560810704E-2</v>
      </c>
      <c r="BT289" s="528">
        <f t="shared" si="850"/>
        <v>4.1979222204040482E-2</v>
      </c>
      <c r="BU289" s="528">
        <f t="shared" si="851"/>
        <v>1.0430671138746881</v>
      </c>
      <c r="BV289" s="528"/>
      <c r="BW289" s="528">
        <f t="shared" si="852"/>
        <v>1.0241787458848961E-2</v>
      </c>
      <c r="BX289" s="460">
        <f t="shared" si="853"/>
        <v>1111.8334010983881</v>
      </c>
      <c r="BY289" s="173">
        <f t="shared" si="854"/>
        <v>2.8998686976886114</v>
      </c>
      <c r="BZ289" s="5">
        <f t="shared" si="855"/>
        <v>11.972</v>
      </c>
      <c r="CA289" s="173">
        <f t="shared" si="856"/>
        <v>0.80500979691010111</v>
      </c>
      <c r="CB289" s="5">
        <f t="shared" si="857"/>
        <v>80.500979691010116</v>
      </c>
      <c r="CE289" s="562">
        <f t="shared" si="799"/>
        <v>-50</v>
      </c>
      <c r="CF289">
        <f t="shared" si="800"/>
        <v>-50</v>
      </c>
      <c r="CG289" s="173">
        <f t="shared" si="801"/>
        <v>0.61147562422748325</v>
      </c>
      <c r="CI289" s="170">
        <v>73</v>
      </c>
      <c r="CJ289" s="217">
        <f t="shared" si="858"/>
        <v>0.73</v>
      </c>
      <c r="CK289" s="217"/>
      <c r="CL289" s="217">
        <f t="shared" si="802"/>
        <v>11.972</v>
      </c>
      <c r="CM289" s="541">
        <f t="shared" si="803"/>
        <v>36</v>
      </c>
      <c r="CN289" s="443">
        <f t="shared" si="804"/>
        <v>16.799999999999997</v>
      </c>
      <c r="CO289" s="443">
        <f t="shared" si="805"/>
        <v>52.8</v>
      </c>
      <c r="CP289" s="443"/>
      <c r="CQ289" s="217">
        <f t="shared" si="806"/>
        <v>0.31818181818181812</v>
      </c>
      <c r="CR289" s="172">
        <f t="shared" si="807"/>
        <v>38.697272727272725</v>
      </c>
      <c r="CS289" s="172">
        <f t="shared" si="808"/>
        <v>11.972</v>
      </c>
      <c r="CT289" s="217">
        <f t="shared" si="809"/>
        <v>2.3595898004434592</v>
      </c>
      <c r="CU289" s="217">
        <f t="shared" si="810"/>
        <v>16.399999999999999</v>
      </c>
      <c r="CV289" s="217"/>
      <c r="CW289" s="172">
        <f t="shared" si="811"/>
        <v>128.49528024185551</v>
      </c>
      <c r="CX289" s="172">
        <f t="shared" si="812"/>
        <v>16.399999999999999</v>
      </c>
      <c r="CY289" s="217">
        <f t="shared" si="813"/>
        <v>2.0903492063492064</v>
      </c>
      <c r="CZ289" s="217">
        <f t="shared" si="814"/>
        <v>0.69678306878306873</v>
      </c>
      <c r="DA289" s="217">
        <f t="shared" si="815"/>
        <v>1.4931065759637192</v>
      </c>
      <c r="DB289" s="197">
        <f t="shared" si="816"/>
        <v>350</v>
      </c>
      <c r="DC289" s="443">
        <f t="shared" si="817"/>
        <v>350</v>
      </c>
      <c r="DE289" s="217">
        <f t="shared" si="818"/>
        <v>2.7272727272727271</v>
      </c>
      <c r="DF289" s="173">
        <f t="shared" si="819"/>
        <v>1.9480519480519483</v>
      </c>
      <c r="DG289" s="173">
        <f t="shared" si="820"/>
        <v>0.92975206611570249</v>
      </c>
      <c r="DH289" s="173"/>
      <c r="DI289" s="173">
        <f t="shared" si="821"/>
        <v>0.95238095238095266</v>
      </c>
      <c r="DJ289" s="545">
        <f t="shared" si="822"/>
        <v>1149.7499999999995</v>
      </c>
      <c r="DK289" s="528">
        <f t="shared" si="823"/>
        <v>0.22222222222222232</v>
      </c>
      <c r="DM289" s="173">
        <f t="shared" si="824"/>
        <v>2.4166091947189141</v>
      </c>
      <c r="DN289" s="173">
        <f t="shared" si="825"/>
        <v>2.4166091947189141</v>
      </c>
      <c r="DO289" s="173">
        <f t="shared" si="826"/>
        <v>2.0024265639893191</v>
      </c>
      <c r="DQ289" s="545">
        <f t="shared" si="827"/>
        <v>730</v>
      </c>
      <c r="DR289" s="460">
        <f t="shared" si="828"/>
        <v>350</v>
      </c>
      <c r="DT289">
        <f t="shared" si="829"/>
        <v>730</v>
      </c>
      <c r="DU289">
        <f t="shared" si="830"/>
        <v>350</v>
      </c>
      <c r="DW289" s="5">
        <f t="shared" si="859"/>
        <v>2.8571428571428572</v>
      </c>
      <c r="DX289" s="5">
        <f t="shared" si="831"/>
        <v>0.80553639823963807</v>
      </c>
      <c r="DY289" s="5">
        <f t="shared" si="832"/>
        <v>2.051606458903219</v>
      </c>
      <c r="DZ289" s="5"/>
      <c r="EA289" s="173">
        <f t="shared" si="833"/>
        <v>0.28193773938387334</v>
      </c>
      <c r="EB289" s="173">
        <f t="shared" si="860"/>
        <v>12.263999999999999</v>
      </c>
      <c r="EC289" s="173">
        <f t="shared" si="861"/>
        <v>0.86763793069279049</v>
      </c>
      <c r="ED289" s="173">
        <f t="shared" si="862"/>
        <v>14.134928368343067</v>
      </c>
      <c r="EE289" s="460">
        <f t="shared" si="834"/>
        <v>3.5856193336276578</v>
      </c>
      <c r="EF289" s="5">
        <f t="shared" si="835"/>
        <v>0.56856093810160491</v>
      </c>
      <c r="EH289" s="173">
        <f t="shared" si="863"/>
        <v>0.74083655372419366</v>
      </c>
      <c r="EI289" s="173">
        <f t="shared" si="864"/>
        <v>1.1822977067273395</v>
      </c>
      <c r="EK289" s="528">
        <f t="shared" si="865"/>
        <v>1.0976775986678802E-2</v>
      </c>
      <c r="EL289" s="528">
        <f t="shared" si="866"/>
        <v>0.89317875836811056</v>
      </c>
      <c r="EM289" s="528">
        <f t="shared" si="867"/>
        <v>4.3749999999999997E-2</v>
      </c>
      <c r="EN289" s="528">
        <f t="shared" si="868"/>
        <v>9.7574399999999992E-2</v>
      </c>
      <c r="EO289">
        <f t="shared" si="869"/>
        <v>1.6199999999999999E-2</v>
      </c>
      <c r="EP289" s="460">
        <f t="shared" si="870"/>
        <v>59.949999999999996</v>
      </c>
      <c r="EQ289" s="460"/>
      <c r="ER289" s="460">
        <f t="shared" si="871"/>
        <v>1061.6799343547893</v>
      </c>
      <c r="ES289" s="528">
        <f t="shared" si="872"/>
        <v>0.51100000000000001</v>
      </c>
      <c r="EV289" s="460">
        <f t="shared" si="873"/>
        <v>511</v>
      </c>
      <c r="EW289" s="528">
        <f t="shared" si="874"/>
        <v>1.6465163980018203E-2</v>
      </c>
      <c r="EX289" s="528">
        <f t="shared" si="875"/>
        <v>4.1934836019981776E-2</v>
      </c>
      <c r="EY289" s="528">
        <f t="shared" si="876"/>
        <v>1.040294192693175</v>
      </c>
      <c r="EZ289" s="528"/>
      <c r="FA289" s="528">
        <f t="shared" si="877"/>
        <v>1.0219999999999998E-2</v>
      </c>
      <c r="FB289" s="460">
        <f t="shared" si="878"/>
        <v>1108.914192693175</v>
      </c>
      <c r="FC289" s="173">
        <f t="shared" si="879"/>
        <v>2.6815941270479642</v>
      </c>
      <c r="FD289" s="5">
        <f t="shared" si="880"/>
        <v>11.972</v>
      </c>
      <c r="FE289" s="173">
        <f t="shared" si="881"/>
        <v>0.81700092797723856</v>
      </c>
      <c r="FF289" s="5">
        <f t="shared" si="882"/>
        <v>81.700092797723855</v>
      </c>
      <c r="FI289" s="562">
        <f t="shared" si="836"/>
        <v>-50</v>
      </c>
      <c r="FJ289">
        <f t="shared" si="837"/>
        <v>-50</v>
      </c>
      <c r="FL289">
        <f t="shared" si="838"/>
        <v>0.60415229867972864</v>
      </c>
    </row>
    <row r="290" spans="5:168">
      <c r="E290" s="170">
        <v>74</v>
      </c>
      <c r="F290" s="217">
        <f t="shared" si="839"/>
        <v>0.74</v>
      </c>
      <c r="G290" s="217"/>
      <c r="H290" s="217">
        <f t="shared" si="764"/>
        <v>12.135999999999999</v>
      </c>
      <c r="I290" s="541">
        <f t="shared" si="765"/>
        <v>35.939900875531293</v>
      </c>
      <c r="J290" s="172">
        <f t="shared" si="766"/>
        <v>16.836059474681221</v>
      </c>
      <c r="K290" s="172">
        <f t="shared" si="767"/>
        <v>52.775960350212515</v>
      </c>
      <c r="L290" s="443"/>
      <c r="M290" s="217">
        <f t="shared" si="768"/>
        <v>0.31901564692635731</v>
      </c>
      <c r="N290" s="172">
        <f t="shared" si="769"/>
        <v>38.73391167702836</v>
      </c>
      <c r="O290" s="172">
        <f t="shared" si="762"/>
        <v>12.135999999999999</v>
      </c>
      <c r="P290" s="217">
        <f t="shared" si="770"/>
        <v>2.3618238827456319</v>
      </c>
      <c r="Q290" s="217">
        <f t="shared" si="771"/>
        <v>16.399999999999999</v>
      </c>
      <c r="R290" s="217"/>
      <c r="S290" s="172">
        <f t="shared" si="772"/>
        <v>126.06521971927772</v>
      </c>
      <c r="T290" s="172">
        <f t="shared" si="773"/>
        <v>16.399999999999999</v>
      </c>
      <c r="U290" s="217">
        <f t="shared" si="774"/>
        <v>2.1733245313493281</v>
      </c>
      <c r="V290" s="217">
        <f t="shared" si="775"/>
        <v>0.72565293005434328</v>
      </c>
      <c r="W290" s="217">
        <f t="shared" si="776"/>
        <v>1.5490497889611274</v>
      </c>
      <c r="X290" s="197">
        <f t="shared" si="777"/>
        <v>350</v>
      </c>
      <c r="Y290" s="443">
        <f t="shared" si="840"/>
        <v>350</v>
      </c>
      <c r="AA290" s="217">
        <f t="shared" si="778"/>
        <v>2.729806672797074</v>
      </c>
      <c r="AB290" s="173">
        <f t="shared" si="779"/>
        <v>1.9456856946144243</v>
      </c>
      <c r="AC290" s="173">
        <f t="shared" si="780"/>
        <v>0.92948551365674648</v>
      </c>
      <c r="AD290" s="173"/>
      <c r="AE290" s="173">
        <f t="shared" si="781"/>
        <v>0.9503411427158166</v>
      </c>
      <c r="AF290" s="545">
        <f t="shared" si="782"/>
        <v>1168.0016260560094</v>
      </c>
      <c r="AG290" s="528">
        <f t="shared" si="783"/>
        <v>0.22174626663369057</v>
      </c>
      <c r="AI290" s="173">
        <f t="shared" si="784"/>
        <v>2.4357148174674563</v>
      </c>
      <c r="AJ290" s="173">
        <f t="shared" si="785"/>
        <v>2.4357148174674563</v>
      </c>
      <c r="AK290" s="173">
        <f t="shared" si="786"/>
        <v>2.0165788771363875</v>
      </c>
      <c r="AM290" s="545">
        <f t="shared" si="787"/>
        <v>740</v>
      </c>
      <c r="AN290" s="460">
        <f t="shared" si="788"/>
        <v>350</v>
      </c>
      <c r="AP290">
        <f t="shared" si="789"/>
        <v>740</v>
      </c>
      <c r="AQ290">
        <f t="shared" si="790"/>
        <v>350</v>
      </c>
      <c r="AS290" s="5">
        <f t="shared" si="763"/>
        <v>2.8571428571428572</v>
      </c>
      <c r="AT290" s="5">
        <f t="shared" si="791"/>
        <v>0.81326261613339512</v>
      </c>
      <c r="AU290" s="5">
        <f t="shared" si="722"/>
        <v>2.0438802410094619</v>
      </c>
      <c r="AV290" s="5"/>
      <c r="AW290" s="173">
        <f t="shared" si="723"/>
        <v>0.28464191564668828</v>
      </c>
      <c r="AX290" s="173">
        <f t="shared" si="792"/>
        <v>12.458684011264101</v>
      </c>
      <c r="AY290" s="173">
        <f t="shared" si="793"/>
        <v>0.8712041429272479</v>
      </c>
      <c r="AZ290" s="173">
        <f t="shared" si="794"/>
        <v>14.300533477036614</v>
      </c>
      <c r="BA290" s="460">
        <f t="shared" si="724"/>
        <v>3.6695996093823928</v>
      </c>
      <c r="BB290" s="5">
        <f t="shared" si="725"/>
        <v>0.57513909797161578</v>
      </c>
      <c r="BD290" s="173">
        <f t="shared" si="841"/>
        <v>0.75026595109037997</v>
      </c>
      <c r="BE290" s="173">
        <f t="shared" si="842"/>
        <v>1.1893989630528896</v>
      </c>
      <c r="BG290" s="528">
        <f t="shared" si="843"/>
        <v>1.1257979947311049E-2</v>
      </c>
      <c r="BH290" s="528">
        <f t="shared" si="795"/>
        <v>0.84359092539151226</v>
      </c>
      <c r="BI290" s="528">
        <f t="shared" si="796"/>
        <v>0.3144741326608988</v>
      </c>
      <c r="BJ290" s="528">
        <f t="shared" si="844"/>
        <v>9.7485569681052112E-2</v>
      </c>
      <c r="BK290">
        <f t="shared" si="845"/>
        <v>1.617295539398908E-2</v>
      </c>
      <c r="BL290" s="460">
        <f t="shared" si="846"/>
        <v>330.64708805488783</v>
      </c>
      <c r="BM290" s="528">
        <f t="shared" si="797"/>
        <v>0.95793651017896986</v>
      </c>
      <c r="BN290" s="460">
        <f t="shared" si="847"/>
        <v>957.93651017896991</v>
      </c>
      <c r="BO290" s="528">
        <f t="shared" si="798"/>
        <v>0.51800000000000002</v>
      </c>
      <c r="BR290" s="460">
        <f t="shared" si="848"/>
        <v>518</v>
      </c>
      <c r="BS290" s="528">
        <f t="shared" si="849"/>
        <v>1.6886969920966572E-2</v>
      </c>
      <c r="BT290" s="528">
        <f t="shared" si="850"/>
        <v>4.2440096799338675E-2</v>
      </c>
      <c r="BU290" s="528">
        <f t="shared" si="851"/>
        <v>1.0609775892978395</v>
      </c>
      <c r="BV290" s="528"/>
      <c r="BW290" s="528">
        <f t="shared" si="852"/>
        <v>1.0382236676053418E-2</v>
      </c>
      <c r="BX290" s="460">
        <f t="shared" si="853"/>
        <v>1130.6868926941979</v>
      </c>
      <c r="BY290" s="173">
        <f t="shared" si="854"/>
        <v>2.9316684557689614</v>
      </c>
      <c r="BZ290" s="5">
        <f t="shared" si="855"/>
        <v>12.135999999999999</v>
      </c>
      <c r="CA290" s="173">
        <f t="shared" si="856"/>
        <v>0.80543317206807052</v>
      </c>
      <c r="CB290" s="5">
        <f t="shared" si="857"/>
        <v>80.543317206807046</v>
      </c>
      <c r="CE290" s="562">
        <f t="shared" si="799"/>
        <v>-50</v>
      </c>
      <c r="CF290">
        <f t="shared" si="800"/>
        <v>-50</v>
      </c>
      <c r="CG290" s="173">
        <f t="shared" si="801"/>
        <v>0.61564956772818613</v>
      </c>
      <c r="CI290" s="170">
        <v>74</v>
      </c>
      <c r="CJ290" s="217">
        <f t="shared" si="858"/>
        <v>0.74</v>
      </c>
      <c r="CK290" s="217"/>
      <c r="CL290" s="217">
        <f t="shared" si="802"/>
        <v>12.135999999999999</v>
      </c>
      <c r="CM290" s="541">
        <f t="shared" si="803"/>
        <v>36</v>
      </c>
      <c r="CN290" s="443">
        <f t="shared" si="804"/>
        <v>16.799999999999997</v>
      </c>
      <c r="CO290" s="443">
        <f t="shared" si="805"/>
        <v>52.8</v>
      </c>
      <c r="CP290" s="443"/>
      <c r="CQ290" s="217">
        <f t="shared" si="806"/>
        <v>0.31818181818181812</v>
      </c>
      <c r="CR290" s="172">
        <f t="shared" si="807"/>
        <v>38.697272727272725</v>
      </c>
      <c r="CS290" s="172">
        <f t="shared" si="808"/>
        <v>12.135999999999999</v>
      </c>
      <c r="CT290" s="217">
        <f t="shared" si="809"/>
        <v>2.3595898004434592</v>
      </c>
      <c r="CU290" s="217">
        <f t="shared" si="810"/>
        <v>16.399999999999999</v>
      </c>
      <c r="CV290" s="217"/>
      <c r="CW290" s="172">
        <f t="shared" si="811"/>
        <v>126.27583814182199</v>
      </c>
      <c r="CX290" s="172">
        <f t="shared" si="812"/>
        <v>16.399999999999999</v>
      </c>
      <c r="CY290" s="217">
        <f t="shared" si="813"/>
        <v>2.118984126984127</v>
      </c>
      <c r="CZ290" s="217">
        <f t="shared" si="814"/>
        <v>0.70632804232804225</v>
      </c>
      <c r="DA290" s="217">
        <f t="shared" si="815"/>
        <v>1.5135600907029481</v>
      </c>
      <c r="DB290" s="197">
        <f t="shared" si="816"/>
        <v>350</v>
      </c>
      <c r="DC290" s="443">
        <f t="shared" si="817"/>
        <v>350</v>
      </c>
      <c r="DE290" s="217">
        <f t="shared" si="818"/>
        <v>2.7272727272727271</v>
      </c>
      <c r="DF290" s="173">
        <f t="shared" si="819"/>
        <v>1.9480519480519483</v>
      </c>
      <c r="DG290" s="173">
        <f t="shared" si="820"/>
        <v>0.92975206611570249</v>
      </c>
      <c r="DH290" s="173"/>
      <c r="DI290" s="173">
        <f t="shared" si="821"/>
        <v>0.95238095238095266</v>
      </c>
      <c r="DJ290" s="545">
        <f t="shared" si="822"/>
        <v>1165.4999999999995</v>
      </c>
      <c r="DK290" s="528">
        <f t="shared" si="823"/>
        <v>0.22222222222222232</v>
      </c>
      <c r="DM290" s="173">
        <f t="shared" si="824"/>
        <v>2.4331050121192876</v>
      </c>
      <c r="DN290" s="173">
        <f t="shared" si="825"/>
        <v>2.4331050121192876</v>
      </c>
      <c r="DO290" s="173">
        <f t="shared" si="826"/>
        <v>2.0146456879895958</v>
      </c>
      <c r="DQ290" s="545">
        <f t="shared" si="827"/>
        <v>740</v>
      </c>
      <c r="DR290" s="460">
        <f t="shared" si="828"/>
        <v>350</v>
      </c>
      <c r="DT290">
        <f t="shared" si="829"/>
        <v>740</v>
      </c>
      <c r="DU290">
        <f t="shared" si="830"/>
        <v>350</v>
      </c>
      <c r="DW290" s="5">
        <f t="shared" si="859"/>
        <v>2.8571428571428572</v>
      </c>
      <c r="DX290" s="5">
        <f t="shared" si="831"/>
        <v>0.81103500403976259</v>
      </c>
      <c r="DY290" s="5">
        <f t="shared" si="832"/>
        <v>2.0461078531030945</v>
      </c>
      <c r="DZ290" s="5"/>
      <c r="EA290" s="173">
        <f t="shared" si="833"/>
        <v>0.28386225141391691</v>
      </c>
      <c r="EB290" s="173">
        <f t="shared" si="860"/>
        <v>12.431999999999997</v>
      </c>
      <c r="EC290" s="173">
        <f t="shared" si="861"/>
        <v>0.87121917272631055</v>
      </c>
      <c r="ED290" s="173">
        <f t="shared" si="862"/>
        <v>14.269658415684857</v>
      </c>
      <c r="EE290" s="460">
        <f t="shared" si="834"/>
        <v>3.6595481889599051</v>
      </c>
      <c r="EF290" s="5">
        <f t="shared" si="835"/>
        <v>0.57480474317729513</v>
      </c>
      <c r="EH290" s="173">
        <f t="shared" si="863"/>
        <v>0.74843492889504371</v>
      </c>
      <c r="EI290" s="173">
        <f t="shared" si="864"/>
        <v>1.1887718412475978</v>
      </c>
      <c r="EK290" s="528">
        <f t="shared" si="865"/>
        <v>1.1203096855802584E-2</v>
      </c>
      <c r="EL290" s="528">
        <f t="shared" si="866"/>
        <v>0.89927561247928878</v>
      </c>
      <c r="EM290" s="528">
        <f t="shared" si="867"/>
        <v>4.3749999999999997E-2</v>
      </c>
      <c r="EN290" s="528">
        <f t="shared" si="868"/>
        <v>9.7574399999999992E-2</v>
      </c>
      <c r="EO290">
        <f t="shared" si="869"/>
        <v>1.6199999999999999E-2</v>
      </c>
      <c r="EP290" s="460">
        <f t="shared" si="870"/>
        <v>59.949999999999996</v>
      </c>
      <c r="EQ290" s="460"/>
      <c r="ER290" s="460">
        <f t="shared" si="871"/>
        <v>1068.0031093350913</v>
      </c>
      <c r="ES290" s="528">
        <f t="shared" si="872"/>
        <v>0.51800000000000002</v>
      </c>
      <c r="EV290" s="460">
        <f t="shared" si="873"/>
        <v>518</v>
      </c>
      <c r="EW290" s="528">
        <f t="shared" si="874"/>
        <v>1.6804645283703873E-2</v>
      </c>
      <c r="EX290" s="528">
        <f t="shared" si="875"/>
        <v>4.2395354716296116E-2</v>
      </c>
      <c r="EY290" s="528">
        <f t="shared" si="876"/>
        <v>1.0581378477312382</v>
      </c>
      <c r="EZ290" s="528"/>
      <c r="FA290" s="528">
        <f t="shared" si="877"/>
        <v>1.0359999999999999E-2</v>
      </c>
      <c r="FB290" s="460">
        <f t="shared" si="878"/>
        <v>1127.697847731238</v>
      </c>
      <c r="FC290" s="173">
        <f t="shared" si="879"/>
        <v>2.7137009570663291</v>
      </c>
      <c r="FD290" s="5">
        <f t="shared" si="880"/>
        <v>12.135999999999999</v>
      </c>
      <c r="FE290" s="173">
        <f t="shared" si="881"/>
        <v>0.81725551478024905</v>
      </c>
      <c r="FF290" s="5">
        <f t="shared" si="882"/>
        <v>81.725551478024911</v>
      </c>
      <c r="FI290" s="562">
        <f t="shared" si="836"/>
        <v>-50</v>
      </c>
      <c r="FJ290">
        <f t="shared" si="837"/>
        <v>-50</v>
      </c>
      <c r="FL290">
        <f t="shared" si="838"/>
        <v>0.60827625302982202</v>
      </c>
    </row>
    <row r="291" spans="5:168">
      <c r="E291" s="170">
        <v>75</v>
      </c>
      <c r="F291" s="217">
        <f t="shared" si="839"/>
        <v>0.75</v>
      </c>
      <c r="G291" s="217"/>
      <c r="H291" s="217">
        <f t="shared" si="764"/>
        <v>12.299999999999999</v>
      </c>
      <c r="I291" s="541">
        <f t="shared" si="765"/>
        <v>35.939496163049654</v>
      </c>
      <c r="J291" s="172">
        <f t="shared" si="766"/>
        <v>16.836302302170207</v>
      </c>
      <c r="K291" s="172">
        <f t="shared" si="767"/>
        <v>52.775798465219864</v>
      </c>
      <c r="L291" s="443"/>
      <c r="M291" s="217">
        <f t="shared" si="768"/>
        <v>0.31902126452626006</v>
      </c>
      <c r="N291" s="172">
        <f t="shared" si="769"/>
        <v>38.734157565966015</v>
      </c>
      <c r="O291" s="172">
        <f t="shared" si="762"/>
        <v>12.299999999999999</v>
      </c>
      <c r="P291" s="217">
        <f t="shared" si="770"/>
        <v>2.3618388759735378</v>
      </c>
      <c r="Q291" s="217">
        <f t="shared" si="771"/>
        <v>16.399999999999999</v>
      </c>
      <c r="R291" s="217"/>
      <c r="S291" s="172">
        <f t="shared" si="772"/>
        <v>123.9072452044968</v>
      </c>
      <c r="T291" s="172">
        <f t="shared" si="773"/>
        <v>16.399999999999999</v>
      </c>
      <c r="U291" s="217">
        <f t="shared" si="774"/>
        <v>2.2027119524613168</v>
      </c>
      <c r="V291" s="217">
        <f t="shared" si="775"/>
        <v>0.73547339978326676</v>
      </c>
      <c r="W291" s="217">
        <f t="shared" si="776"/>
        <v>1.5699732016648711</v>
      </c>
      <c r="X291" s="197">
        <f t="shared" si="777"/>
        <v>350</v>
      </c>
      <c r="Y291" s="443">
        <f t="shared" si="840"/>
        <v>350</v>
      </c>
      <c r="AA291" s="217">
        <f t="shared" si="778"/>
        <v>2.7298236781389282</v>
      </c>
      <c r="AB291" s="173">
        <f t="shared" si="779"/>
        <v>1.9456697527606541</v>
      </c>
      <c r="AC291" s="173">
        <f t="shared" si="780"/>
        <v>0.9294836881618308</v>
      </c>
      <c r="AD291" s="173"/>
      <c r="AE291" s="173">
        <f t="shared" si="781"/>
        <v>0.95032743608658032</v>
      </c>
      <c r="AF291" s="545">
        <f t="shared" si="782"/>
        <v>1183.8025056213423</v>
      </c>
      <c r="AG291" s="528">
        <f t="shared" si="783"/>
        <v>0.22174306842020211</v>
      </c>
      <c r="AI291" s="173">
        <f t="shared" si="784"/>
        <v>2.4521348062286319</v>
      </c>
      <c r="AJ291" s="173">
        <f t="shared" si="785"/>
        <v>2.4521348062286319</v>
      </c>
      <c r="AK291" s="173">
        <f t="shared" si="786"/>
        <v>2.0287418317742949</v>
      </c>
      <c r="AM291" s="545">
        <f t="shared" si="787"/>
        <v>750</v>
      </c>
      <c r="AN291" s="460">
        <f t="shared" si="788"/>
        <v>350</v>
      </c>
      <c r="AP291">
        <f t="shared" si="789"/>
        <v>750</v>
      </c>
      <c r="AQ291">
        <f t="shared" si="790"/>
        <v>350</v>
      </c>
      <c r="AS291" s="5">
        <f t="shared" si="763"/>
        <v>2.8571428571428572</v>
      </c>
      <c r="AT291" s="5">
        <f t="shared" si="791"/>
        <v>0.818754318125273</v>
      </c>
      <c r="AU291" s="5">
        <f t="shared" si="722"/>
        <v>2.0383885390175842</v>
      </c>
      <c r="AV291" s="5"/>
      <c r="AW291" s="173">
        <f t="shared" si="723"/>
        <v>0.28656401134384551</v>
      </c>
      <c r="AX291" s="173">
        <f t="shared" si="792"/>
        <v>12.627226726627654</v>
      </c>
      <c r="AY291" s="173">
        <f t="shared" si="793"/>
        <v>0.87472060989994593</v>
      </c>
      <c r="AZ291" s="173">
        <f t="shared" si="794"/>
        <v>14.435725629092023</v>
      </c>
      <c r="BA291" s="460">
        <f t="shared" si="724"/>
        <v>3.7443032841094808</v>
      </c>
      <c r="BB291" s="5">
        <f t="shared" si="725"/>
        <v>0.5813515701539349</v>
      </c>
      <c r="BD291" s="173">
        <f t="shared" si="841"/>
        <v>0.75786969007333116</v>
      </c>
      <c r="BE291" s="173">
        <f t="shared" si="842"/>
        <v>1.1958073571890513</v>
      </c>
      <c r="BG291" s="528">
        <f t="shared" si="843"/>
        <v>1.1487329342636941E-2</v>
      </c>
      <c r="BH291" s="528">
        <f t="shared" si="795"/>
        <v>0.84927525600141807</v>
      </c>
      <c r="BI291" s="528">
        <f t="shared" si="796"/>
        <v>0.31447059142668443</v>
      </c>
      <c r="BJ291" s="528">
        <f t="shared" si="844"/>
        <v>9.7484971627452607E-2</v>
      </c>
      <c r="BK291">
        <f t="shared" si="845"/>
        <v>1.6172773273372344E-2</v>
      </c>
      <c r="BL291" s="460">
        <f t="shared" si="846"/>
        <v>330.64336470005679</v>
      </c>
      <c r="BM291" s="528">
        <f t="shared" si="797"/>
        <v>0.96398021332000938</v>
      </c>
      <c r="BN291" s="460">
        <f t="shared" si="847"/>
        <v>963.9802133200094</v>
      </c>
      <c r="BO291" s="528">
        <f t="shared" si="798"/>
        <v>0.52499999999999991</v>
      </c>
      <c r="BR291" s="460">
        <f t="shared" si="848"/>
        <v>524.99999999999989</v>
      </c>
      <c r="BS291" s="528">
        <f t="shared" si="849"/>
        <v>1.7230994013955409E-2</v>
      </c>
      <c r="BT291" s="528">
        <f t="shared" si="850"/>
        <v>4.2898657065223902E-2</v>
      </c>
      <c r="BU291" s="528">
        <f t="shared" si="851"/>
        <v>1.0789491317410924</v>
      </c>
      <c r="BV291" s="528"/>
      <c r="BW291" s="528">
        <f t="shared" si="852"/>
        <v>1.0522688938856379E-2</v>
      </c>
      <c r="BX291" s="460">
        <f t="shared" si="853"/>
        <v>1149.6014717591281</v>
      </c>
      <c r="BY291" s="173">
        <f t="shared" si="854"/>
        <v>2.9634923934306925</v>
      </c>
      <c r="BZ291" s="5">
        <f t="shared" si="855"/>
        <v>12.299999999999999</v>
      </c>
      <c r="CA291" s="173">
        <f t="shared" si="856"/>
        <v>0.80584440853744843</v>
      </c>
      <c r="CB291" s="5">
        <f t="shared" si="857"/>
        <v>80.584440853744837</v>
      </c>
      <c r="CE291" s="562">
        <f t="shared" si="799"/>
        <v>-50</v>
      </c>
      <c r="CF291">
        <f t="shared" si="800"/>
        <v>-50</v>
      </c>
      <c r="CG291" s="173">
        <f t="shared" si="801"/>
        <v>0.61979540290600299</v>
      </c>
      <c r="CI291" s="170">
        <v>75</v>
      </c>
      <c r="CJ291" s="217">
        <f t="shared" si="858"/>
        <v>0.75</v>
      </c>
      <c r="CK291" s="217"/>
      <c r="CL291" s="217">
        <f t="shared" si="802"/>
        <v>12.299999999999999</v>
      </c>
      <c r="CM291" s="541">
        <f t="shared" si="803"/>
        <v>36</v>
      </c>
      <c r="CN291" s="443">
        <f t="shared" si="804"/>
        <v>16.799999999999997</v>
      </c>
      <c r="CO291" s="443">
        <f t="shared" si="805"/>
        <v>52.8</v>
      </c>
      <c r="CP291" s="443"/>
      <c r="CQ291" s="217">
        <f t="shared" si="806"/>
        <v>0.31818181818181812</v>
      </c>
      <c r="CR291" s="172">
        <f t="shared" si="807"/>
        <v>38.697272727272725</v>
      </c>
      <c r="CS291" s="172">
        <f t="shared" si="808"/>
        <v>12.299999999999999</v>
      </c>
      <c r="CT291" s="217">
        <f t="shared" si="809"/>
        <v>2.3595898004434592</v>
      </c>
      <c r="CU291" s="217">
        <f t="shared" si="810"/>
        <v>16.399999999999999</v>
      </c>
      <c r="CV291" s="217"/>
      <c r="CW291" s="172">
        <f t="shared" si="811"/>
        <v>124.11564811506015</v>
      </c>
      <c r="CX291" s="172">
        <f t="shared" si="812"/>
        <v>16.399999999999999</v>
      </c>
      <c r="CY291" s="217">
        <f t="shared" si="813"/>
        <v>2.1476190476190475</v>
      </c>
      <c r="CZ291" s="217">
        <f t="shared" si="814"/>
        <v>0.71587301587301588</v>
      </c>
      <c r="DA291" s="217">
        <f t="shared" si="815"/>
        <v>1.5340136054421769</v>
      </c>
      <c r="DB291" s="197">
        <f t="shared" si="816"/>
        <v>350</v>
      </c>
      <c r="DC291" s="443">
        <f t="shared" si="817"/>
        <v>350</v>
      </c>
      <c r="DE291" s="217">
        <f t="shared" si="818"/>
        <v>2.7272727272727271</v>
      </c>
      <c r="DF291" s="173">
        <f t="shared" si="819"/>
        <v>1.9480519480519483</v>
      </c>
      <c r="DG291" s="173">
        <f t="shared" si="820"/>
        <v>0.92975206611570249</v>
      </c>
      <c r="DH291" s="173"/>
      <c r="DI291" s="173">
        <f t="shared" si="821"/>
        <v>0.95238095238095266</v>
      </c>
      <c r="DJ291" s="545">
        <f t="shared" si="822"/>
        <v>1181.2499999999995</v>
      </c>
      <c r="DK291" s="528">
        <f t="shared" si="823"/>
        <v>0.22222222222222232</v>
      </c>
      <c r="DM291" s="173">
        <f t="shared" si="824"/>
        <v>2.4494897427831779</v>
      </c>
      <c r="DN291" s="173">
        <f t="shared" si="825"/>
        <v>2.4494897427831779</v>
      </c>
      <c r="DO291" s="173">
        <f t="shared" si="826"/>
        <v>2.0267825255184033</v>
      </c>
      <c r="DQ291" s="545">
        <f t="shared" si="827"/>
        <v>750</v>
      </c>
      <c r="DR291" s="460">
        <f t="shared" si="828"/>
        <v>350</v>
      </c>
      <c r="DT291">
        <f t="shared" si="829"/>
        <v>750</v>
      </c>
      <c r="DU291">
        <f t="shared" si="830"/>
        <v>350</v>
      </c>
      <c r="DW291" s="5">
        <f t="shared" si="859"/>
        <v>2.8571428571428572</v>
      </c>
      <c r="DX291" s="5">
        <f t="shared" si="831"/>
        <v>0.81649658092772603</v>
      </c>
      <c r="DY291" s="5">
        <f t="shared" si="832"/>
        <v>2.0406462762151314</v>
      </c>
      <c r="DZ291" s="5"/>
      <c r="EA291" s="173">
        <f t="shared" si="833"/>
        <v>0.28577380332470409</v>
      </c>
      <c r="EB291" s="173">
        <f t="shared" si="860"/>
        <v>12.599999999999998</v>
      </c>
      <c r="EC291" s="173">
        <f t="shared" si="861"/>
        <v>0.87474487139158896</v>
      </c>
      <c r="ED291" s="173">
        <f t="shared" si="862"/>
        <v>14.404199912547384</v>
      </c>
      <c r="EE291" s="460">
        <f t="shared" si="834"/>
        <v>3.7339782664377719</v>
      </c>
      <c r="EF291" s="5">
        <f t="shared" si="835"/>
        <v>0.5810173425334747</v>
      </c>
      <c r="EH291" s="173">
        <f t="shared" si="863"/>
        <v>0.7560076763164566</v>
      </c>
      <c r="EI291" s="173">
        <f t="shared" si="864"/>
        <v>1.1951788122915297</v>
      </c>
      <c r="EK291" s="528">
        <f t="shared" si="865"/>
        <v>1.1430952132988163E-2</v>
      </c>
      <c r="EL291" s="528">
        <f t="shared" si="866"/>
        <v>0.90533140893266262</v>
      </c>
      <c r="EM291" s="528">
        <f t="shared" si="867"/>
        <v>4.3749999999999997E-2</v>
      </c>
      <c r="EN291" s="528">
        <f t="shared" si="868"/>
        <v>9.7574399999999992E-2</v>
      </c>
      <c r="EO291">
        <f t="shared" si="869"/>
        <v>1.6199999999999999E-2</v>
      </c>
      <c r="EP291" s="460">
        <f t="shared" si="870"/>
        <v>59.949999999999996</v>
      </c>
      <c r="EQ291" s="460"/>
      <c r="ER291" s="460">
        <f t="shared" si="871"/>
        <v>1074.2867610656508</v>
      </c>
      <c r="ES291" s="528">
        <f t="shared" si="872"/>
        <v>0.52499999999999991</v>
      </c>
      <c r="EV291" s="460">
        <f t="shared" si="873"/>
        <v>524.99999999999989</v>
      </c>
      <c r="EW291" s="528">
        <f t="shared" si="874"/>
        <v>1.7146428199482245E-2</v>
      </c>
      <c r="EX291" s="528">
        <f t="shared" si="875"/>
        <v>4.2853571800517742E-2</v>
      </c>
      <c r="EY291" s="528">
        <f t="shared" si="876"/>
        <v>1.076041888942135</v>
      </c>
      <c r="EZ291" s="528"/>
      <c r="FA291" s="528">
        <f t="shared" si="877"/>
        <v>1.0499999999999999E-2</v>
      </c>
      <c r="FB291" s="460">
        <f t="shared" si="878"/>
        <v>1146.5418889421351</v>
      </c>
      <c r="FC291" s="173">
        <f t="shared" si="879"/>
        <v>2.7458286500077858</v>
      </c>
      <c r="FD291" s="5">
        <f t="shared" si="880"/>
        <v>12.299999999999999</v>
      </c>
      <c r="FE291" s="173">
        <f t="shared" si="881"/>
        <v>0.81750233145142426</v>
      </c>
      <c r="FF291" s="5">
        <f t="shared" si="882"/>
        <v>81.750233145142431</v>
      </c>
      <c r="FI291" s="562">
        <f t="shared" si="836"/>
        <v>-50</v>
      </c>
      <c r="FJ291">
        <f t="shared" si="837"/>
        <v>-50</v>
      </c>
      <c r="FL291">
        <f t="shared" si="838"/>
        <v>0.61237243569579469</v>
      </c>
    </row>
    <row r="292" spans="5:168">
      <c r="E292" s="170">
        <v>76</v>
      </c>
      <c r="F292" s="217">
        <f t="shared" si="839"/>
        <v>0.76</v>
      </c>
      <c r="G292" s="217"/>
      <c r="H292" s="217">
        <f t="shared" si="764"/>
        <v>12.463999999999999</v>
      </c>
      <c r="I292" s="541">
        <f t="shared" si="765"/>
        <v>35.939094139776834</v>
      </c>
      <c r="J292" s="172">
        <f t="shared" si="766"/>
        <v>16.836543516133897</v>
      </c>
      <c r="K292" s="172">
        <f t="shared" si="767"/>
        <v>52.775637655910728</v>
      </c>
      <c r="L292" s="443"/>
      <c r="M292" s="217">
        <f t="shared" si="768"/>
        <v>0.31902684483217725</v>
      </c>
      <c r="N292" s="172">
        <f t="shared" si="769"/>
        <v>38.734401809894599</v>
      </c>
      <c r="O292" s="172">
        <f t="shared" si="762"/>
        <v>12.463999999999999</v>
      </c>
      <c r="P292" s="217">
        <f t="shared" si="770"/>
        <v>2.3618537688960122</v>
      </c>
      <c r="Q292" s="217">
        <f t="shared" si="771"/>
        <v>16.399999999999999</v>
      </c>
      <c r="R292" s="217"/>
      <c r="S292" s="172">
        <f t="shared" si="772"/>
        <v>121.80614606268914</v>
      </c>
      <c r="T292" s="172">
        <f t="shared" si="773"/>
        <v>16.399999999999999</v>
      </c>
      <c r="U292" s="217">
        <f t="shared" si="774"/>
        <v>2.2320997361862269</v>
      </c>
      <c r="V292" s="217">
        <f t="shared" si="775"/>
        <v>0.74529415599791882</v>
      </c>
      <c r="W292" s="217">
        <f t="shared" si="776"/>
        <v>1.5908964217368824</v>
      </c>
      <c r="X292" s="197">
        <f t="shared" si="777"/>
        <v>350</v>
      </c>
      <c r="Y292" s="443">
        <f t="shared" si="840"/>
        <v>350</v>
      </c>
      <c r="AA292" s="217">
        <f t="shared" si="778"/>
        <v>2.7298405697100989</v>
      </c>
      <c r="AB292" s="173">
        <f t="shared" si="779"/>
        <v>1.9456539167395144</v>
      </c>
      <c r="AC292" s="173">
        <f t="shared" si="780"/>
        <v>0.92948187439290419</v>
      </c>
      <c r="AD292" s="173"/>
      <c r="AE292" s="173">
        <f t="shared" si="781"/>
        <v>0.95031382092575822</v>
      </c>
      <c r="AF292" s="545">
        <f t="shared" si="782"/>
        <v>1199.6037255245399</v>
      </c>
      <c r="AG292" s="528">
        <f t="shared" si="783"/>
        <v>0.22173989154934359</v>
      </c>
      <c r="AI292" s="173">
        <f t="shared" si="784"/>
        <v>2.4684459225402531</v>
      </c>
      <c r="AJ292" s="173">
        <f t="shared" si="785"/>
        <v>2.4684459225402531</v>
      </c>
      <c r="AK292" s="173">
        <f t="shared" si="786"/>
        <v>2.0408241401532736</v>
      </c>
      <c r="AM292" s="545">
        <f t="shared" si="787"/>
        <v>760</v>
      </c>
      <c r="AN292" s="460">
        <f t="shared" si="788"/>
        <v>350</v>
      </c>
      <c r="AP292">
        <f t="shared" si="789"/>
        <v>760</v>
      </c>
      <c r="AQ292">
        <f t="shared" si="790"/>
        <v>350</v>
      </c>
      <c r="AS292" s="5">
        <f t="shared" si="763"/>
        <v>2.8571428571428572</v>
      </c>
      <c r="AT292" s="5">
        <f t="shared" si="791"/>
        <v>0.82420972980781348</v>
      </c>
      <c r="AU292" s="5">
        <f t="shared" si="722"/>
        <v>2.0329331273350437</v>
      </c>
      <c r="AV292" s="5"/>
      <c r="AW292" s="173">
        <f t="shared" si="723"/>
        <v>0.2884734054327347</v>
      </c>
      <c r="AX292" s="173">
        <f t="shared" si="792"/>
        <v>12.795773072261763</v>
      </c>
      <c r="AY292" s="173">
        <f t="shared" si="793"/>
        <v>0.87818246056925886</v>
      </c>
      <c r="AZ292" s="173">
        <f t="shared" si="794"/>
        <v>14.570745427968623</v>
      </c>
      <c r="BA292" s="460">
        <f t="shared" si="724"/>
        <v>3.8195085039874286</v>
      </c>
      <c r="BB292" s="5">
        <f t="shared" si="725"/>
        <v>0.5875328595409175</v>
      </c>
      <c r="BD292" s="173">
        <f t="shared" si="841"/>
        <v>0.76544833146518199</v>
      </c>
      <c r="BE292" s="173">
        <f t="shared" si="842"/>
        <v>1.2021497172533748</v>
      </c>
      <c r="BG292" s="528">
        <f t="shared" si="843"/>
        <v>1.1718222962856621E-2</v>
      </c>
      <c r="BH292" s="528">
        <f t="shared" si="795"/>
        <v>0.85492186225159006</v>
      </c>
      <c r="BI292" s="528">
        <f t="shared" si="796"/>
        <v>0.31446707372304727</v>
      </c>
      <c r="BJ292" s="528">
        <f t="shared" si="844"/>
        <v>9.7484377549579379E-2</v>
      </c>
      <c r="BK292">
        <f t="shared" si="845"/>
        <v>1.6172592362899574E-2</v>
      </c>
      <c r="BL292" s="460">
        <f t="shared" si="846"/>
        <v>330.63966608594689</v>
      </c>
      <c r="BM292" s="528">
        <f t="shared" si="797"/>
        <v>0.96998907482828589</v>
      </c>
      <c r="BN292" s="460">
        <f t="shared" si="847"/>
        <v>969.98907482828588</v>
      </c>
      <c r="BO292" s="528">
        <f t="shared" si="798"/>
        <v>0.53199999999999992</v>
      </c>
      <c r="BR292" s="460">
        <f t="shared" si="848"/>
        <v>531.99999999999989</v>
      </c>
      <c r="BS292" s="528">
        <f t="shared" si="849"/>
        <v>1.7577334444284932E-2</v>
      </c>
      <c r="BT292" s="528">
        <f t="shared" si="850"/>
        <v>4.3354918280771072E-2</v>
      </c>
      <c r="BU292" s="528">
        <f t="shared" si="851"/>
        <v>1.0969811340206246</v>
      </c>
      <c r="BV292" s="528"/>
      <c r="BW292" s="528">
        <f t="shared" si="852"/>
        <v>1.0663144226884802E-2</v>
      </c>
      <c r="BX292" s="460">
        <f t="shared" si="853"/>
        <v>1168.5765309725653</v>
      </c>
      <c r="BY292" s="173">
        <f t="shared" si="854"/>
        <v>2.9953406598225381</v>
      </c>
      <c r="BZ292" s="5">
        <f t="shared" si="855"/>
        <v>12.463999999999999</v>
      </c>
      <c r="CA292" s="173">
        <f t="shared" si="856"/>
        <v>0.80624395789354941</v>
      </c>
      <c r="CB292" s="5">
        <f t="shared" si="857"/>
        <v>80.624395789354935</v>
      </c>
      <c r="CE292" s="562">
        <f t="shared" si="799"/>
        <v>-50</v>
      </c>
      <c r="CF292">
        <f t="shared" si="800"/>
        <v>-50</v>
      </c>
      <c r="CG292" s="173">
        <f t="shared" si="801"/>
        <v>0.62391369009096675</v>
      </c>
      <c r="CI292" s="170">
        <v>76</v>
      </c>
      <c r="CJ292" s="217">
        <f t="shared" si="858"/>
        <v>0.76</v>
      </c>
      <c r="CK292" s="217"/>
      <c r="CL292" s="217">
        <f t="shared" si="802"/>
        <v>12.463999999999999</v>
      </c>
      <c r="CM292" s="541">
        <f t="shared" si="803"/>
        <v>36</v>
      </c>
      <c r="CN292" s="443">
        <f t="shared" si="804"/>
        <v>16.799999999999997</v>
      </c>
      <c r="CO292" s="443">
        <f t="shared" si="805"/>
        <v>52.8</v>
      </c>
      <c r="CP292" s="443"/>
      <c r="CQ292" s="217">
        <f t="shared" si="806"/>
        <v>0.31818181818181812</v>
      </c>
      <c r="CR292" s="172">
        <f t="shared" si="807"/>
        <v>38.697272727272725</v>
      </c>
      <c r="CS292" s="172">
        <f t="shared" si="808"/>
        <v>12.463999999999999</v>
      </c>
      <c r="CT292" s="217">
        <f t="shared" si="809"/>
        <v>2.3595898004434592</v>
      </c>
      <c r="CU292" s="217">
        <f t="shared" si="810"/>
        <v>16.399999999999999</v>
      </c>
      <c r="CV292" s="217"/>
      <c r="CW292" s="172">
        <f t="shared" si="811"/>
        <v>122.01237201054037</v>
      </c>
      <c r="CX292" s="172">
        <f t="shared" si="812"/>
        <v>16.399999999999999</v>
      </c>
      <c r="CY292" s="217">
        <f t="shared" si="813"/>
        <v>2.1762539682539681</v>
      </c>
      <c r="CZ292" s="217">
        <f t="shared" si="814"/>
        <v>0.72541798941798941</v>
      </c>
      <c r="DA292" s="217">
        <f t="shared" si="815"/>
        <v>1.5544671201814062</v>
      </c>
      <c r="DB292" s="197">
        <f t="shared" si="816"/>
        <v>350</v>
      </c>
      <c r="DC292" s="443">
        <f t="shared" si="817"/>
        <v>350</v>
      </c>
      <c r="DE292" s="217">
        <f t="shared" si="818"/>
        <v>2.7272727272727271</v>
      </c>
      <c r="DF292" s="173">
        <f t="shared" si="819"/>
        <v>1.9480519480519483</v>
      </c>
      <c r="DG292" s="173">
        <f t="shared" si="820"/>
        <v>0.92975206611570249</v>
      </c>
      <c r="DH292" s="173"/>
      <c r="DI292" s="173">
        <f t="shared" si="821"/>
        <v>0.95238095238095266</v>
      </c>
      <c r="DJ292" s="545">
        <f t="shared" si="822"/>
        <v>1196.9999999999995</v>
      </c>
      <c r="DK292" s="528">
        <f t="shared" si="823"/>
        <v>0.22222222222222232</v>
      </c>
      <c r="DM292" s="173">
        <f t="shared" si="824"/>
        <v>2.4657656011875901</v>
      </c>
      <c r="DN292" s="173">
        <f t="shared" si="825"/>
        <v>2.4657656011875901</v>
      </c>
      <c r="DO292" s="173">
        <f t="shared" si="826"/>
        <v>2.0388387169290789</v>
      </c>
      <c r="DQ292" s="545">
        <f t="shared" si="827"/>
        <v>760</v>
      </c>
      <c r="DR292" s="460">
        <f t="shared" si="828"/>
        <v>350</v>
      </c>
      <c r="DT292">
        <f t="shared" si="829"/>
        <v>760</v>
      </c>
      <c r="DU292">
        <f t="shared" si="830"/>
        <v>350</v>
      </c>
      <c r="DW292" s="5">
        <f t="shared" si="859"/>
        <v>2.8571428571428572</v>
      </c>
      <c r="DX292" s="5">
        <f t="shared" si="831"/>
        <v>0.82192186706253001</v>
      </c>
      <c r="DY292" s="5">
        <f t="shared" si="832"/>
        <v>2.0352209900803273</v>
      </c>
      <c r="DZ292" s="5"/>
      <c r="EA292" s="173">
        <f t="shared" si="833"/>
        <v>0.28767265347188548</v>
      </c>
      <c r="EB292" s="173">
        <f t="shared" si="860"/>
        <v>12.767999999999995</v>
      </c>
      <c r="EC292" s="173">
        <f t="shared" si="861"/>
        <v>0.87821613392712861</v>
      </c>
      <c r="ED292" s="173">
        <f t="shared" si="862"/>
        <v>14.538562327368311</v>
      </c>
      <c r="EE292" s="460">
        <f t="shared" si="834"/>
        <v>3.8089062132166029</v>
      </c>
      <c r="EF292" s="5">
        <f t="shared" si="835"/>
        <v>0.58719894491576841</v>
      </c>
      <c r="EH292" s="173">
        <f t="shared" si="863"/>
        <v>0.76355522243189533</v>
      </c>
      <c r="EI292" s="173">
        <f t="shared" si="864"/>
        <v>1.2015199078515699</v>
      </c>
      <c r="EK292" s="528">
        <f t="shared" si="865"/>
        <v>1.1660331554060424E-2</v>
      </c>
      <c r="EL292" s="528">
        <f t="shared" si="866"/>
        <v>0.91134696619893341</v>
      </c>
      <c r="EM292" s="528">
        <f t="shared" si="867"/>
        <v>4.3749999999999997E-2</v>
      </c>
      <c r="EN292" s="528">
        <f t="shared" si="868"/>
        <v>9.7574399999999992E-2</v>
      </c>
      <c r="EO292">
        <f t="shared" si="869"/>
        <v>1.6199999999999999E-2</v>
      </c>
      <c r="EP292" s="460">
        <f t="shared" si="870"/>
        <v>59.949999999999996</v>
      </c>
      <c r="EQ292" s="460"/>
      <c r="ER292" s="460">
        <f t="shared" si="871"/>
        <v>1080.5316977529938</v>
      </c>
      <c r="ES292" s="528">
        <f t="shared" si="872"/>
        <v>0.53199999999999992</v>
      </c>
      <c r="EV292" s="460">
        <f t="shared" si="873"/>
        <v>531.99999999999989</v>
      </c>
      <c r="EW292" s="528">
        <f t="shared" si="874"/>
        <v>1.7490497331090635E-2</v>
      </c>
      <c r="EX292" s="528">
        <f t="shared" si="875"/>
        <v>4.3309502668909351E-2</v>
      </c>
      <c r="EY292" s="528">
        <f t="shared" si="876"/>
        <v>1.0940057114204342</v>
      </c>
      <c r="EZ292" s="528"/>
      <c r="FA292" s="528">
        <f t="shared" si="877"/>
        <v>1.0639999999999997E-2</v>
      </c>
      <c r="FB292" s="460">
        <f t="shared" si="878"/>
        <v>1165.4457114204342</v>
      </c>
      <c r="FC292" s="173">
        <f t="shared" si="879"/>
        <v>2.7779774091734279</v>
      </c>
      <c r="FD292" s="5">
        <f t="shared" si="880"/>
        <v>12.463999999999999</v>
      </c>
      <c r="FE292" s="173">
        <f t="shared" si="881"/>
        <v>0.81774166601890552</v>
      </c>
      <c r="FF292" s="5">
        <f t="shared" si="882"/>
        <v>81.774166601890556</v>
      </c>
      <c r="FI292" s="562">
        <f t="shared" si="836"/>
        <v>-50</v>
      </c>
      <c r="FJ292">
        <f t="shared" si="837"/>
        <v>-50</v>
      </c>
      <c r="FL292">
        <f t="shared" si="838"/>
        <v>0.61644140029689765</v>
      </c>
    </row>
    <row r="293" spans="5:168">
      <c r="E293" s="170">
        <v>77</v>
      </c>
      <c r="F293" s="217">
        <f t="shared" si="839"/>
        <v>0.77</v>
      </c>
      <c r="G293" s="217"/>
      <c r="H293" s="217">
        <f t="shared" si="764"/>
        <v>12.627999999999998</v>
      </c>
      <c r="I293" s="541">
        <f t="shared" si="765"/>
        <v>35.9386947528075</v>
      </c>
      <c r="J293" s="172">
        <f t="shared" si="766"/>
        <v>16.836783148315497</v>
      </c>
      <c r="K293" s="172">
        <f t="shared" si="767"/>
        <v>52.775477901122997</v>
      </c>
      <c r="L293" s="443"/>
      <c r="M293" s="217">
        <f t="shared" si="768"/>
        <v>0.31903238857780097</v>
      </c>
      <c r="N293" s="172">
        <f t="shared" si="769"/>
        <v>38.734644441176584</v>
      </c>
      <c r="O293" s="172">
        <f t="shared" si="762"/>
        <v>12.627999999999998</v>
      </c>
      <c r="P293" s="217">
        <f t="shared" si="770"/>
        <v>2.3618685634863774</v>
      </c>
      <c r="Q293" s="217">
        <f t="shared" si="771"/>
        <v>16.399999999999999</v>
      </c>
      <c r="R293" s="217"/>
      <c r="S293" s="172">
        <f t="shared" si="772"/>
        <v>119.7597068370771</v>
      </c>
      <c r="T293" s="172">
        <f t="shared" si="773"/>
        <v>16.399999999999999</v>
      </c>
      <c r="U293" s="217">
        <f t="shared" si="774"/>
        <v>2.2614878801411922</v>
      </c>
      <c r="V293" s="217">
        <f t="shared" si="775"/>
        <v>0.7551151968192813</v>
      </c>
      <c r="W293" s="217">
        <f t="shared" si="776"/>
        <v>1.6118194504636962</v>
      </c>
      <c r="X293" s="197">
        <f t="shared" si="777"/>
        <v>350</v>
      </c>
      <c r="Y293" s="443">
        <f t="shared" si="840"/>
        <v>350</v>
      </c>
      <c r="AA293" s="217">
        <f t="shared" si="778"/>
        <v>2.7298573497488121</v>
      </c>
      <c r="AB293" s="173">
        <f t="shared" si="779"/>
        <v>1.9456381844689361</v>
      </c>
      <c r="AC293" s="173">
        <f t="shared" si="780"/>
        <v>0.92948007211928063</v>
      </c>
      <c r="AD293" s="173"/>
      <c r="AE293" s="173">
        <f t="shared" si="781"/>
        <v>0.95030029543385697</v>
      </c>
      <c r="AF293" s="545">
        <f t="shared" si="782"/>
        <v>1215.4052835190248</v>
      </c>
      <c r="AG293" s="528">
        <f t="shared" si="783"/>
        <v>0.22173673560123333</v>
      </c>
      <c r="AI293" s="173">
        <f t="shared" si="784"/>
        <v>2.4846503082692237</v>
      </c>
      <c r="AJ293" s="173">
        <f t="shared" si="785"/>
        <v>2.4846503082692237</v>
      </c>
      <c r="AK293" s="173">
        <f t="shared" si="786"/>
        <v>2.0528273888414001</v>
      </c>
      <c r="AM293" s="545">
        <f t="shared" si="787"/>
        <v>770</v>
      </c>
      <c r="AN293" s="460">
        <f t="shared" si="788"/>
        <v>350</v>
      </c>
      <c r="AP293">
        <f t="shared" si="789"/>
        <v>770</v>
      </c>
      <c r="AQ293">
        <f t="shared" si="790"/>
        <v>350</v>
      </c>
      <c r="AS293" s="5">
        <f t="shared" si="763"/>
        <v>2.8571428571428572</v>
      </c>
      <c r="AT293" s="5">
        <f t="shared" si="791"/>
        <v>0.82962956513331643</v>
      </c>
      <c r="AU293" s="5">
        <f t="shared" si="722"/>
        <v>2.0275132920095409</v>
      </c>
      <c r="AV293" s="5"/>
      <c r="AW293" s="173">
        <f t="shared" si="723"/>
        <v>0.29037034779666077</v>
      </c>
      <c r="AX293" s="173">
        <f t="shared" si="792"/>
        <v>12.964323024202931</v>
      </c>
      <c r="AY293" s="173">
        <f t="shared" si="793"/>
        <v>0.88159076705200434</v>
      </c>
      <c r="AZ293" s="173">
        <f t="shared" si="794"/>
        <v>14.705602087411807</v>
      </c>
      <c r="BA293" s="460">
        <f t="shared" si="724"/>
        <v>3.8952119826381328</v>
      </c>
      <c r="BB293" s="5">
        <f t="shared" si="725"/>
        <v>0.59368316952895539</v>
      </c>
      <c r="BD293" s="173">
        <f t="shared" si="841"/>
        <v>0.77300228808118032</v>
      </c>
      <c r="BE293" s="173">
        <f t="shared" si="842"/>
        <v>1.208427289530505</v>
      </c>
      <c r="BG293" s="528">
        <f t="shared" si="843"/>
        <v>1.1950650747574803E-2</v>
      </c>
      <c r="BH293" s="528">
        <f t="shared" si="795"/>
        <v>0.86053148629928067</v>
      </c>
      <c r="BI293" s="528">
        <f t="shared" si="796"/>
        <v>0.31446357908706557</v>
      </c>
      <c r="BJ293" s="528">
        <f t="shared" si="844"/>
        <v>9.7483787369217256E-2</v>
      </c>
      <c r="BK293">
        <f t="shared" si="845"/>
        <v>1.6172412638763376E-2</v>
      </c>
      <c r="BL293" s="460">
        <f t="shared" si="846"/>
        <v>330.63599172582894</v>
      </c>
      <c r="BM293" s="528">
        <f t="shared" si="797"/>
        <v>0.97596382462566156</v>
      </c>
      <c r="BN293" s="460">
        <f t="shared" si="847"/>
        <v>975.96382462566157</v>
      </c>
      <c r="BO293" s="528">
        <f t="shared" si="798"/>
        <v>0.53899999999999992</v>
      </c>
      <c r="BR293" s="460">
        <f t="shared" si="848"/>
        <v>538.99999999999989</v>
      </c>
      <c r="BS293" s="528">
        <f t="shared" si="849"/>
        <v>1.7925976121362205E-2</v>
      </c>
      <c r="BT293" s="528">
        <f t="shared" si="850"/>
        <v>4.3808895422461289E-2</v>
      </c>
      <c r="BU293" s="528">
        <f t="shared" si="851"/>
        <v>1.1150730029432387</v>
      </c>
      <c r="BV293" s="528"/>
      <c r="BW293" s="528">
        <f t="shared" si="852"/>
        <v>1.080360252016911E-2</v>
      </c>
      <c r="BX293" s="460">
        <f t="shared" si="853"/>
        <v>1187.6114770072315</v>
      </c>
      <c r="BY293" s="173">
        <f t="shared" si="854"/>
        <v>3.0272133931491334</v>
      </c>
      <c r="BZ293" s="5">
        <f t="shared" si="855"/>
        <v>12.627999999999998</v>
      </c>
      <c r="CA293" s="173">
        <f t="shared" si="856"/>
        <v>0.80663224977349268</v>
      </c>
      <c r="CB293" s="5">
        <f t="shared" si="857"/>
        <v>80.663224977349273</v>
      </c>
      <c r="CE293" s="562">
        <f t="shared" si="799"/>
        <v>-50</v>
      </c>
      <c r="CF293">
        <f t="shared" si="800"/>
        <v>-50</v>
      </c>
      <c r="CG293" s="173">
        <f t="shared" si="801"/>
        <v>0.62800497124022758</v>
      </c>
      <c r="CI293" s="170">
        <v>77</v>
      </c>
      <c r="CJ293" s="217">
        <f t="shared" si="858"/>
        <v>0.77</v>
      </c>
      <c r="CK293" s="217"/>
      <c r="CL293" s="217">
        <f t="shared" si="802"/>
        <v>12.627999999999998</v>
      </c>
      <c r="CM293" s="541">
        <f t="shared" si="803"/>
        <v>36</v>
      </c>
      <c r="CN293" s="443">
        <f t="shared" si="804"/>
        <v>16.799999999999997</v>
      </c>
      <c r="CO293" s="443">
        <f t="shared" si="805"/>
        <v>52.8</v>
      </c>
      <c r="CP293" s="443"/>
      <c r="CQ293" s="217">
        <f t="shared" si="806"/>
        <v>0.31818181818181812</v>
      </c>
      <c r="CR293" s="172">
        <f t="shared" si="807"/>
        <v>38.697272727272725</v>
      </c>
      <c r="CS293" s="172">
        <f t="shared" si="808"/>
        <v>12.627999999999998</v>
      </c>
      <c r="CT293" s="217">
        <f t="shared" si="809"/>
        <v>2.3595898004434592</v>
      </c>
      <c r="CU293" s="217">
        <f t="shared" si="810"/>
        <v>16.399999999999999</v>
      </c>
      <c r="CV293" s="217"/>
      <c r="CW293" s="172">
        <f t="shared" si="811"/>
        <v>119.96379315055071</v>
      </c>
      <c r="CX293" s="172">
        <f t="shared" si="812"/>
        <v>16.399999999999999</v>
      </c>
      <c r="CY293" s="217">
        <f t="shared" si="813"/>
        <v>2.2048888888888887</v>
      </c>
      <c r="CZ293" s="217">
        <f t="shared" si="814"/>
        <v>0.73496296296296293</v>
      </c>
      <c r="DA293" s="217">
        <f t="shared" si="815"/>
        <v>1.5749206349206351</v>
      </c>
      <c r="DB293" s="197">
        <f t="shared" si="816"/>
        <v>350</v>
      </c>
      <c r="DC293" s="443">
        <f t="shared" si="817"/>
        <v>350</v>
      </c>
      <c r="DE293" s="217">
        <f t="shared" si="818"/>
        <v>2.7272727272727271</v>
      </c>
      <c r="DF293" s="173">
        <f t="shared" si="819"/>
        <v>1.9480519480519483</v>
      </c>
      <c r="DG293" s="173">
        <f t="shared" si="820"/>
        <v>0.92975206611570249</v>
      </c>
      <c r="DH293" s="173"/>
      <c r="DI293" s="173">
        <f t="shared" si="821"/>
        <v>0.95238095238095266</v>
      </c>
      <c r="DJ293" s="545">
        <f t="shared" si="822"/>
        <v>1212.7499999999995</v>
      </c>
      <c r="DK293" s="528">
        <f t="shared" si="823"/>
        <v>0.22222222222222232</v>
      </c>
      <c r="DM293" s="173">
        <f t="shared" si="824"/>
        <v>2.481934729198171</v>
      </c>
      <c r="DN293" s="173">
        <f t="shared" si="825"/>
        <v>2.481934729198171</v>
      </c>
      <c r="DO293" s="173">
        <f t="shared" si="826"/>
        <v>2.0508158487887687</v>
      </c>
      <c r="DQ293" s="545">
        <f t="shared" si="827"/>
        <v>770</v>
      </c>
      <c r="DR293" s="460">
        <f t="shared" si="828"/>
        <v>350</v>
      </c>
      <c r="DT293">
        <f t="shared" si="829"/>
        <v>770</v>
      </c>
      <c r="DU293">
        <f t="shared" si="830"/>
        <v>350</v>
      </c>
      <c r="DW293" s="5">
        <f t="shared" si="859"/>
        <v>2.8571428571428572</v>
      </c>
      <c r="DX293" s="5">
        <f t="shared" si="831"/>
        <v>0.82731157639939024</v>
      </c>
      <c r="DY293" s="5">
        <f t="shared" si="832"/>
        <v>2.0298312807434669</v>
      </c>
      <c r="DZ293" s="5"/>
      <c r="EA293" s="173">
        <f t="shared" si="833"/>
        <v>0.28955905173978658</v>
      </c>
      <c r="EB293" s="173">
        <f t="shared" si="860"/>
        <v>12.935999999999998</v>
      </c>
      <c r="EC293" s="173">
        <f t="shared" si="861"/>
        <v>0.88163403126575235</v>
      </c>
      <c r="ED293" s="173">
        <f t="shared" si="862"/>
        <v>14.672754840722204</v>
      </c>
      <c r="EE293" s="460">
        <f t="shared" si="834"/>
        <v>3.8843287428507964</v>
      </c>
      <c r="EF293" s="5">
        <f t="shared" si="835"/>
        <v>0.59334975493584474</v>
      </c>
      <c r="EH293" s="173">
        <f t="shared" si="863"/>
        <v>0.77107798107953718</v>
      </c>
      <c r="EI293" s="173">
        <f t="shared" si="864"/>
        <v>1.2077963737433715</v>
      </c>
      <c r="EK293" s="528">
        <f t="shared" si="865"/>
        <v>1.1891225058113901E-2</v>
      </c>
      <c r="EL293" s="528">
        <f t="shared" si="866"/>
        <v>0.91732307591164397</v>
      </c>
      <c r="EM293" s="528">
        <f t="shared" si="867"/>
        <v>4.3749999999999997E-2</v>
      </c>
      <c r="EN293" s="528">
        <f t="shared" si="868"/>
        <v>9.7574399999999992E-2</v>
      </c>
      <c r="EO293">
        <f t="shared" si="869"/>
        <v>1.6199999999999999E-2</v>
      </c>
      <c r="EP293" s="460">
        <f t="shared" si="870"/>
        <v>59.949999999999996</v>
      </c>
      <c r="EQ293" s="460"/>
      <c r="ER293" s="460">
        <f t="shared" si="871"/>
        <v>1086.7387009697577</v>
      </c>
      <c r="ES293" s="528">
        <f t="shared" si="872"/>
        <v>0.53899999999999992</v>
      </c>
      <c r="EV293" s="460">
        <f t="shared" si="873"/>
        <v>538.99999999999989</v>
      </c>
      <c r="EW293" s="528">
        <f t="shared" si="874"/>
        <v>1.7836837587170851E-2</v>
      </c>
      <c r="EX293" s="528">
        <f t="shared" si="875"/>
        <v>4.3763162412829133E-2</v>
      </c>
      <c r="EY293" s="528">
        <f t="shared" si="876"/>
        <v>1.1120287242136624</v>
      </c>
      <c r="EZ293" s="528"/>
      <c r="FA293" s="528">
        <f t="shared" si="877"/>
        <v>1.0779999999999996E-2</v>
      </c>
      <c r="FB293" s="460">
        <f t="shared" si="878"/>
        <v>1184.4087242136623</v>
      </c>
      <c r="FC293" s="173">
        <f t="shared" si="879"/>
        <v>2.8101474251834202</v>
      </c>
      <c r="FD293" s="5">
        <f t="shared" si="880"/>
        <v>12.627999999999998</v>
      </c>
      <c r="FE293" s="173">
        <f t="shared" si="881"/>
        <v>0.81797379259383296</v>
      </c>
      <c r="FF293" s="5">
        <f t="shared" si="882"/>
        <v>81.797379259383291</v>
      </c>
      <c r="FI293" s="562">
        <f t="shared" si="836"/>
        <v>-50</v>
      </c>
      <c r="FJ293">
        <f t="shared" si="837"/>
        <v>-50</v>
      </c>
      <c r="FL293">
        <f t="shared" si="838"/>
        <v>0.62048368229954298</v>
      </c>
    </row>
    <row r="294" spans="5:168">
      <c r="E294" s="170">
        <v>78</v>
      </c>
      <c r="F294" s="217">
        <f t="shared" si="839"/>
        <v>0.78</v>
      </c>
      <c r="G294" s="217"/>
      <c r="H294" s="217">
        <f t="shared" si="764"/>
        <v>12.792</v>
      </c>
      <c r="I294" s="541">
        <f t="shared" si="765"/>
        <v>35.938297950948588</v>
      </c>
      <c r="J294" s="172">
        <f t="shared" si="766"/>
        <v>16.837021229430846</v>
      </c>
      <c r="K294" s="172">
        <f t="shared" si="767"/>
        <v>52.775319180379434</v>
      </c>
      <c r="L294" s="443"/>
      <c r="M294" s="217">
        <f t="shared" si="768"/>
        <v>0.31903789647307773</v>
      </c>
      <c r="N294" s="172">
        <f t="shared" si="769"/>
        <v>38.734885491127059</v>
      </c>
      <c r="O294" s="172">
        <f t="shared" si="762"/>
        <v>12.792</v>
      </c>
      <c r="P294" s="217">
        <f t="shared" si="770"/>
        <v>2.3618832616540892</v>
      </c>
      <c r="Q294" s="217">
        <f t="shared" si="771"/>
        <v>16.399999999999999</v>
      </c>
      <c r="R294" s="217"/>
      <c r="S294" s="172">
        <f t="shared" si="772"/>
        <v>117.76582570334925</v>
      </c>
      <c r="T294" s="172">
        <f t="shared" si="773"/>
        <v>16.399999999999999</v>
      </c>
      <c r="U294" s="217">
        <f t="shared" si="774"/>
        <v>2.2908763819899187</v>
      </c>
      <c r="V294" s="217">
        <f t="shared" si="775"/>
        <v>0.76493652040506321</v>
      </c>
      <c r="W294" s="217">
        <f t="shared" si="776"/>
        <v>1.6327422891067001</v>
      </c>
      <c r="X294" s="197">
        <f t="shared" si="777"/>
        <v>350</v>
      </c>
      <c r="Y294" s="443">
        <f t="shared" si="840"/>
        <v>350</v>
      </c>
      <c r="AA294" s="217">
        <f t="shared" si="778"/>
        <v>2.7298740204208554</v>
      </c>
      <c r="AB294" s="173">
        <f t="shared" si="779"/>
        <v>1.9456225539342404</v>
      </c>
      <c r="AC294" s="173">
        <f t="shared" si="780"/>
        <v>0.92947828111774256</v>
      </c>
      <c r="AD294" s="173"/>
      <c r="AE294" s="173">
        <f t="shared" si="781"/>
        <v>0.95028685786962463</v>
      </c>
      <c r="AF294" s="545">
        <f t="shared" si="782"/>
        <v>1231.2071774021304</v>
      </c>
      <c r="AG294" s="528">
        <f t="shared" si="783"/>
        <v>0.2217336001695791</v>
      </c>
      <c r="AI294" s="173">
        <f t="shared" si="784"/>
        <v>2.5007500359612171</v>
      </c>
      <c r="AJ294" s="173">
        <f t="shared" si="785"/>
        <v>2.5007500359612171</v>
      </c>
      <c r="AK294" s="173">
        <f t="shared" si="786"/>
        <v>2.0647531130576917</v>
      </c>
      <c r="AM294" s="545">
        <f t="shared" si="787"/>
        <v>780</v>
      </c>
      <c r="AN294" s="460">
        <f t="shared" si="788"/>
        <v>350</v>
      </c>
      <c r="AP294">
        <f t="shared" si="789"/>
        <v>780</v>
      </c>
      <c r="AQ294">
        <f t="shared" si="790"/>
        <v>350</v>
      </c>
      <c r="AS294" s="5">
        <f t="shared" si="763"/>
        <v>2.8571428571428572</v>
      </c>
      <c r="AT294" s="5">
        <f t="shared" si="791"/>
        <v>0.83501451494706969</v>
      </c>
      <c r="AU294" s="5">
        <f t="shared" si="722"/>
        <v>2.0221283421957876</v>
      </c>
      <c r="AV294" s="5"/>
      <c r="AW294" s="173">
        <f t="shared" si="723"/>
        <v>0.2922550802314744</v>
      </c>
      <c r="AX294" s="173">
        <f t="shared" si="792"/>
        <v>13.13287655895606</v>
      </c>
      <c r="AY294" s="173">
        <f t="shared" si="793"/>
        <v>0.88494656678125461</v>
      </c>
      <c r="AZ294" s="173">
        <f t="shared" si="794"/>
        <v>14.84030454711319</v>
      </c>
      <c r="BA294" s="460">
        <f t="shared" si="724"/>
        <v>3.9714104979189906</v>
      </c>
      <c r="BB294" s="5">
        <f t="shared" si="725"/>
        <v>0.59980269953875565</v>
      </c>
      <c r="BD294" s="173">
        <f t="shared" si="841"/>
        <v>0.78053196068580322</v>
      </c>
      <c r="BE294" s="173">
        <f t="shared" si="842"/>
        <v>1.2146412800224813</v>
      </c>
      <c r="BG294" s="528">
        <f t="shared" si="843"/>
        <v>1.2184602833040487E-2</v>
      </c>
      <c r="BH294" s="528">
        <f t="shared" si="795"/>
        <v>0.86610484628192808</v>
      </c>
      <c r="BI294" s="528">
        <f t="shared" si="796"/>
        <v>0.31446010707080019</v>
      </c>
      <c r="BJ294" s="528">
        <f t="shared" si="844"/>
        <v>9.7483201010682391E-2</v>
      </c>
      <c r="BK294">
        <f t="shared" si="845"/>
        <v>1.6172234077926863E-2</v>
      </c>
      <c r="BL294" s="460">
        <f t="shared" si="846"/>
        <v>330.63234114872705</v>
      </c>
      <c r="BM294" s="528">
        <f t="shared" si="797"/>
        <v>0.98190516887234669</v>
      </c>
      <c r="BN294" s="460">
        <f t="shared" si="847"/>
        <v>981.90516887234674</v>
      </c>
      <c r="BO294" s="528">
        <f t="shared" si="798"/>
        <v>0.54599999999999993</v>
      </c>
      <c r="BR294" s="460">
        <f t="shared" si="848"/>
        <v>545.99999999999989</v>
      </c>
      <c r="BS294" s="528">
        <f t="shared" si="849"/>
        <v>1.8276904249560726E-2</v>
      </c>
      <c r="BT294" s="528">
        <f t="shared" si="850"/>
        <v>4.4260603174039556E-2</v>
      </c>
      <c r="BU294" s="528">
        <f t="shared" si="851"/>
        <v>1.1332241588060694</v>
      </c>
      <c r="BV294" s="528"/>
      <c r="BW294" s="528">
        <f t="shared" si="852"/>
        <v>1.0944063799130051E-2</v>
      </c>
      <c r="BX294" s="460">
        <f t="shared" si="853"/>
        <v>1206.7057300287997</v>
      </c>
      <c r="BY294" s="173">
        <f t="shared" si="854"/>
        <v>3.0591107213031776</v>
      </c>
      <c r="BZ294" s="5">
        <f t="shared" si="855"/>
        <v>12.792</v>
      </c>
      <c r="CA294" s="173">
        <f t="shared" si="856"/>
        <v>0.80700969319507243</v>
      </c>
      <c r="CB294" s="5">
        <f t="shared" si="857"/>
        <v>80.700969319507237</v>
      </c>
      <c r="CE294" s="562">
        <f t="shared" si="799"/>
        <v>-50</v>
      </c>
      <c r="CF294">
        <f t="shared" si="800"/>
        <v>-50</v>
      </c>
      <c r="CG294" s="173">
        <f t="shared" si="801"/>
        <v>0.63206977077056248</v>
      </c>
      <c r="CI294" s="170">
        <v>78</v>
      </c>
      <c r="CJ294" s="217">
        <f t="shared" si="858"/>
        <v>0.78</v>
      </c>
      <c r="CK294" s="217"/>
      <c r="CL294" s="217">
        <f t="shared" si="802"/>
        <v>12.792</v>
      </c>
      <c r="CM294" s="541">
        <f t="shared" si="803"/>
        <v>36</v>
      </c>
      <c r="CN294" s="443">
        <f t="shared" si="804"/>
        <v>16.799999999999997</v>
      </c>
      <c r="CO294" s="443">
        <f t="shared" si="805"/>
        <v>52.8</v>
      </c>
      <c r="CP294" s="443"/>
      <c r="CQ294" s="217">
        <f t="shared" si="806"/>
        <v>0.31818181818181812</v>
      </c>
      <c r="CR294" s="172">
        <f t="shared" si="807"/>
        <v>38.697272727272725</v>
      </c>
      <c r="CS294" s="172">
        <f t="shared" si="808"/>
        <v>12.792</v>
      </c>
      <c r="CT294" s="217">
        <f t="shared" si="809"/>
        <v>2.3595898004434592</v>
      </c>
      <c r="CU294" s="217">
        <f t="shared" si="810"/>
        <v>16.399999999999999</v>
      </c>
      <c r="CV294" s="217"/>
      <c r="CW294" s="172">
        <f t="shared" si="811"/>
        <v>117.96780854414237</v>
      </c>
      <c r="CX294" s="172">
        <f t="shared" si="812"/>
        <v>16.399999999999999</v>
      </c>
      <c r="CY294" s="217">
        <f t="shared" si="813"/>
        <v>2.2335238095238097</v>
      </c>
      <c r="CZ294" s="217">
        <f t="shared" si="814"/>
        <v>0.74450793650793667</v>
      </c>
      <c r="DA294" s="217">
        <f t="shared" si="815"/>
        <v>1.5953741496598643</v>
      </c>
      <c r="DB294" s="197">
        <f t="shared" si="816"/>
        <v>350</v>
      </c>
      <c r="DC294" s="443">
        <f t="shared" si="817"/>
        <v>350</v>
      </c>
      <c r="DE294" s="217">
        <f t="shared" si="818"/>
        <v>2.7272727272727271</v>
      </c>
      <c r="DF294" s="173">
        <f t="shared" si="819"/>
        <v>1.9480519480519483</v>
      </c>
      <c r="DG294" s="173">
        <f t="shared" si="820"/>
        <v>0.92975206611570249</v>
      </c>
      <c r="DH294" s="173"/>
      <c r="DI294" s="173">
        <f t="shared" si="821"/>
        <v>0.95238095238095266</v>
      </c>
      <c r="DJ294" s="545">
        <f t="shared" si="822"/>
        <v>1228.4999999999995</v>
      </c>
      <c r="DK294" s="528">
        <f t="shared" si="823"/>
        <v>0.22222222222222232</v>
      </c>
      <c r="DM294" s="173">
        <f t="shared" si="824"/>
        <v>2.4979991993593589</v>
      </c>
      <c r="DN294" s="173">
        <f t="shared" si="825"/>
        <v>2.4979991993593589</v>
      </c>
      <c r="DO294" s="173">
        <f t="shared" si="826"/>
        <v>2.0627154563155745</v>
      </c>
      <c r="DQ294" s="545">
        <f t="shared" si="827"/>
        <v>780</v>
      </c>
      <c r="DR294" s="460">
        <f t="shared" si="828"/>
        <v>350</v>
      </c>
      <c r="DT294">
        <f t="shared" si="829"/>
        <v>780</v>
      </c>
      <c r="DU294">
        <f t="shared" si="830"/>
        <v>350</v>
      </c>
      <c r="DW294" s="5">
        <f t="shared" si="859"/>
        <v>2.8571428571428572</v>
      </c>
      <c r="DX294" s="5">
        <f t="shared" si="831"/>
        <v>0.83266639978645296</v>
      </c>
      <c r="DY294" s="5">
        <f t="shared" si="832"/>
        <v>2.0244764573564042</v>
      </c>
      <c r="DZ294" s="5"/>
      <c r="EA294" s="173">
        <f t="shared" si="833"/>
        <v>0.29143323992525855</v>
      </c>
      <c r="EB294" s="173">
        <f t="shared" si="860"/>
        <v>13.103999999999996</v>
      </c>
      <c r="EC294" s="173">
        <f t="shared" si="861"/>
        <v>0.88499959967967945</v>
      </c>
      <c r="ED294" s="173">
        <f t="shared" si="862"/>
        <v>14.80678635870899</v>
      </c>
      <c r="EE294" s="460">
        <f t="shared" si="834"/>
        <v>3.960242633130691</v>
      </c>
      <c r="EF294" s="5">
        <f t="shared" si="835"/>
        <v>0.59946997320609074</v>
      </c>
      <c r="EH294" s="173">
        <f t="shared" si="863"/>
        <v>0.77857635402350722</v>
      </c>
      <c r="EI294" s="173">
        <f t="shared" si="864"/>
        <v>1.214009415513513</v>
      </c>
      <c r="EK294" s="528">
        <f t="shared" si="865"/>
        <v>1.2123622780890754E-2</v>
      </c>
      <c r="EL294" s="528">
        <f t="shared" si="866"/>
        <v>0.92326050408321902</v>
      </c>
      <c r="EM294" s="528">
        <f t="shared" si="867"/>
        <v>4.3749999999999997E-2</v>
      </c>
      <c r="EN294" s="528">
        <f t="shared" si="868"/>
        <v>9.7574399999999992E-2</v>
      </c>
      <c r="EO294">
        <f t="shared" si="869"/>
        <v>1.6199999999999999E-2</v>
      </c>
      <c r="EP294" s="460">
        <f t="shared" si="870"/>
        <v>59.949999999999996</v>
      </c>
      <c r="EQ294" s="460"/>
      <c r="ER294" s="460">
        <f t="shared" si="871"/>
        <v>1092.9085268641097</v>
      </c>
      <c r="ES294" s="528">
        <f t="shared" si="872"/>
        <v>0.54599999999999993</v>
      </c>
      <c r="EV294" s="460">
        <f t="shared" si="873"/>
        <v>545.99999999999989</v>
      </c>
      <c r="EW294" s="528">
        <f t="shared" si="874"/>
        <v>1.818543417133613E-2</v>
      </c>
      <c r="EX294" s="528">
        <f t="shared" si="875"/>
        <v>4.421456582866385E-2</v>
      </c>
      <c r="EY294" s="528">
        <f t="shared" si="876"/>
        <v>1.130110349823106</v>
      </c>
      <c r="EZ294" s="528"/>
      <c r="FA294" s="528">
        <f t="shared" si="877"/>
        <v>1.0919999999999996E-2</v>
      </c>
      <c r="FB294" s="460">
        <f t="shared" si="878"/>
        <v>1203.4303498231061</v>
      </c>
      <c r="FC294" s="173">
        <f t="shared" si="879"/>
        <v>2.8423388766872155</v>
      </c>
      <c r="FD294" s="5">
        <f t="shared" si="880"/>
        <v>12.792</v>
      </c>
      <c r="FE294" s="173">
        <f t="shared" si="881"/>
        <v>0.81819897220435056</v>
      </c>
      <c r="FF294" s="5">
        <f t="shared" si="882"/>
        <v>81.819897220435053</v>
      </c>
      <c r="FI294" s="562">
        <f t="shared" si="836"/>
        <v>-50</v>
      </c>
      <c r="FJ294">
        <f t="shared" si="837"/>
        <v>-50</v>
      </c>
      <c r="FL294">
        <f t="shared" si="838"/>
        <v>0.62449979983983994</v>
      </c>
    </row>
    <row r="295" spans="5:168">
      <c r="E295" s="170">
        <v>79</v>
      </c>
      <c r="F295" s="217">
        <f t="shared" si="839"/>
        <v>0.79</v>
      </c>
      <c r="G295" s="217"/>
      <c r="H295" s="217">
        <f t="shared" si="764"/>
        <v>12.956</v>
      </c>
      <c r="I295" s="541">
        <f t="shared" si="765"/>
        <v>35.937903684642706</v>
      </c>
      <c r="J295" s="172">
        <f t="shared" si="766"/>
        <v>16.837257789214373</v>
      </c>
      <c r="K295" s="172">
        <f t="shared" si="767"/>
        <v>52.775161473857082</v>
      </c>
      <c r="L295" s="443"/>
      <c r="M295" s="217">
        <f t="shared" si="768"/>
        <v>0.31904336920527032</v>
      </c>
      <c r="N295" s="172">
        <f t="shared" si="769"/>
        <v>38.735124990060555</v>
      </c>
      <c r="O295" s="172">
        <f t="shared" si="762"/>
        <v>12.956</v>
      </c>
      <c r="P295" s="217">
        <f t="shared" si="770"/>
        <v>2.3618978652475948</v>
      </c>
      <c r="Q295" s="217">
        <f t="shared" si="771"/>
        <v>16.399999999999999</v>
      </c>
      <c r="R295" s="217"/>
      <c r="S295" s="172">
        <f t="shared" si="772"/>
        <v>115.82250727757514</v>
      </c>
      <c r="T295" s="172">
        <f t="shared" si="773"/>
        <v>16.399999999999999</v>
      </c>
      <c r="U295" s="217">
        <f t="shared" si="774"/>
        <v>2.3202652394411909</v>
      </c>
      <c r="V295" s="217">
        <f t="shared" si="775"/>
        <v>0.77475812494852003</v>
      </c>
      <c r="W295" s="217">
        <f t="shared" si="776"/>
        <v>1.6536649389029432</v>
      </c>
      <c r="X295" s="197">
        <f t="shared" si="777"/>
        <v>350</v>
      </c>
      <c r="Y295" s="443">
        <f t="shared" si="840"/>
        <v>350</v>
      </c>
      <c r="AA295" s="217">
        <f t="shared" si="778"/>
        <v>2.7298905838228147</v>
      </c>
      <c r="AB295" s="173">
        <f t="shared" si="779"/>
        <v>1.9456070231851159</v>
      </c>
      <c r="AC295" s="173">
        <f t="shared" si="780"/>
        <v>0.92947650117220237</v>
      </c>
      <c r="AD295" s="173"/>
      <c r="AE295" s="173">
        <f t="shared" si="781"/>
        <v>0.95027350654744369</v>
      </c>
      <c r="AF295" s="545">
        <f t="shared" si="782"/>
        <v>1247.0094050136893</v>
      </c>
      <c r="AG295" s="528">
        <f t="shared" si="783"/>
        <v>0.22173048486107022</v>
      </c>
      <c r="AI295" s="173">
        <f t="shared" si="784"/>
        <v>2.5167471119415952</v>
      </c>
      <c r="AJ295" s="173">
        <f t="shared" si="785"/>
        <v>2.5167471119415952</v>
      </c>
      <c r="AK295" s="173">
        <f t="shared" si="786"/>
        <v>2.0766027989690827</v>
      </c>
      <c r="AM295" s="545">
        <f t="shared" si="787"/>
        <v>790</v>
      </c>
      <c r="AN295" s="460">
        <f t="shared" si="788"/>
        <v>350</v>
      </c>
      <c r="AP295">
        <f t="shared" si="789"/>
        <v>790</v>
      </c>
      <c r="AQ295">
        <f t="shared" si="790"/>
        <v>350</v>
      </c>
      <c r="AS295" s="5">
        <f t="shared" si="763"/>
        <v>2.8571428571428572</v>
      </c>
      <c r="AT295" s="5">
        <f t="shared" si="791"/>
        <v>0.84036524802098789</v>
      </c>
      <c r="AU295" s="5">
        <f t="shared" si="722"/>
        <v>2.0167776091218692</v>
      </c>
      <c r="AV295" s="5"/>
      <c r="AW295" s="173">
        <f t="shared" si="723"/>
        <v>0.29412783680734578</v>
      </c>
      <c r="AX295" s="173">
        <f t="shared" si="792"/>
        <v>13.301433653479355</v>
      </c>
      <c r="AY295" s="173">
        <f t="shared" si="793"/>
        <v>0.88825086405753939</v>
      </c>
      <c r="AZ295" s="173">
        <f t="shared" si="794"/>
        <v>14.974861485322137</v>
      </c>
      <c r="BA295" s="460">
        <f t="shared" si="724"/>
        <v>4.0481008898571984</v>
      </c>
      <c r="BB295" s="5">
        <f t="shared" si="725"/>
        <v>0.60589164514319271</v>
      </c>
      <c r="BD295" s="173">
        <f t="shared" si="841"/>
        <v>0.78803773849426828</v>
      </c>
      <c r="BE295" s="173">
        <f t="shared" si="842"/>
        <v>1.2207928562472392</v>
      </c>
      <c r="BG295" s="528">
        <f t="shared" si="843"/>
        <v>1.2420069545823215E-2</v>
      </c>
      <c r="BH295" s="528">
        <f t="shared" si="795"/>
        <v>0.87164263739162617</v>
      </c>
      <c r="BI295" s="528">
        <f t="shared" si="796"/>
        <v>0.31445665724062366</v>
      </c>
      <c r="BJ295" s="528">
        <f t="shared" si="844"/>
        <v>9.7482618400709112E-2</v>
      </c>
      <c r="BK295">
        <f t="shared" si="845"/>
        <v>1.6172056658089216E-2</v>
      </c>
      <c r="BL295" s="460">
        <f t="shared" si="846"/>
        <v>330.62871389871287</v>
      </c>
      <c r="BM295" s="528">
        <f t="shared" si="797"/>
        <v>0.98781379103308065</v>
      </c>
      <c r="BN295" s="460">
        <f t="shared" si="847"/>
        <v>987.81379103308063</v>
      </c>
      <c r="BO295" s="528">
        <f t="shared" si="798"/>
        <v>0.55299999999999994</v>
      </c>
      <c r="BR295" s="460">
        <f t="shared" si="848"/>
        <v>552.99999999999989</v>
      </c>
      <c r="BS295" s="528">
        <f t="shared" si="849"/>
        <v>1.8630104318734821E-2</v>
      </c>
      <c r="BT295" s="528">
        <f t="shared" si="850"/>
        <v>4.4710055935928771E-2</v>
      </c>
      <c r="BU295" s="528">
        <f t="shared" si="851"/>
        <v>1.1514340349203693</v>
      </c>
      <c r="BV295" s="528"/>
      <c r="BW295" s="528">
        <f t="shared" si="852"/>
        <v>1.108452804456613E-2</v>
      </c>
      <c r="BX295" s="460">
        <f t="shared" si="853"/>
        <v>1225.8587232195989</v>
      </c>
      <c r="BY295" s="173">
        <f t="shared" si="854"/>
        <v>3.0910327624564706</v>
      </c>
      <c r="BZ295" s="5">
        <f t="shared" si="855"/>
        <v>12.956</v>
      </c>
      <c r="CA295" s="173">
        <f t="shared" si="856"/>
        <v>0.8073766777813135</v>
      </c>
      <c r="CB295" s="5">
        <f t="shared" si="857"/>
        <v>80.737667778131353</v>
      </c>
      <c r="CE295" s="562">
        <f t="shared" si="799"/>
        <v>-50</v>
      </c>
      <c r="CF295">
        <f t="shared" si="800"/>
        <v>-50</v>
      </c>
      <c r="CG295" s="173">
        <f t="shared" si="801"/>
        <v>0.63610859634300143</v>
      </c>
      <c r="CI295" s="170">
        <v>79</v>
      </c>
      <c r="CJ295" s="217">
        <f t="shared" si="858"/>
        <v>0.79</v>
      </c>
      <c r="CK295" s="217"/>
      <c r="CL295" s="217">
        <f t="shared" si="802"/>
        <v>12.956</v>
      </c>
      <c r="CM295" s="541">
        <f t="shared" si="803"/>
        <v>36</v>
      </c>
      <c r="CN295" s="443">
        <f t="shared" si="804"/>
        <v>16.799999999999997</v>
      </c>
      <c r="CO295" s="443">
        <f t="shared" si="805"/>
        <v>52.8</v>
      </c>
      <c r="CP295" s="443"/>
      <c r="CQ295" s="217">
        <f t="shared" si="806"/>
        <v>0.31818181818181812</v>
      </c>
      <c r="CR295" s="172">
        <f t="shared" si="807"/>
        <v>38.697272727272725</v>
      </c>
      <c r="CS295" s="172">
        <f t="shared" si="808"/>
        <v>12.956</v>
      </c>
      <c r="CT295" s="217">
        <f t="shared" si="809"/>
        <v>2.3595898004434592</v>
      </c>
      <c r="CU295" s="217">
        <f t="shared" si="810"/>
        <v>16.399999999999999</v>
      </c>
      <c r="CV295" s="217"/>
      <c r="CW295" s="172">
        <f t="shared" si="811"/>
        <v>116.02242169196299</v>
      </c>
      <c r="CX295" s="172">
        <f t="shared" si="812"/>
        <v>16.399999999999999</v>
      </c>
      <c r="CY295" s="217">
        <f t="shared" si="813"/>
        <v>2.2621587301587303</v>
      </c>
      <c r="CZ295" s="217">
        <f t="shared" si="814"/>
        <v>0.75405291005291009</v>
      </c>
      <c r="DA295" s="217">
        <f t="shared" si="815"/>
        <v>1.6158276643990934</v>
      </c>
      <c r="DB295" s="197">
        <f t="shared" si="816"/>
        <v>350</v>
      </c>
      <c r="DC295" s="443">
        <f t="shared" si="817"/>
        <v>350</v>
      </c>
      <c r="DE295" s="217">
        <f t="shared" si="818"/>
        <v>2.7272727272727271</v>
      </c>
      <c r="DF295" s="173">
        <f t="shared" si="819"/>
        <v>1.9480519480519483</v>
      </c>
      <c r="DG295" s="173">
        <f t="shared" si="820"/>
        <v>0.92975206611570249</v>
      </c>
      <c r="DH295" s="173"/>
      <c r="DI295" s="173">
        <f t="shared" si="821"/>
        <v>0.95238095238095266</v>
      </c>
      <c r="DJ295" s="545">
        <f t="shared" si="822"/>
        <v>1244.2499999999995</v>
      </c>
      <c r="DK295" s="528">
        <f t="shared" si="823"/>
        <v>0.22222222222222232</v>
      </c>
      <c r="DM295" s="173">
        <f t="shared" si="824"/>
        <v>2.5139610179953067</v>
      </c>
      <c r="DN295" s="173">
        <f t="shared" si="825"/>
        <v>2.5139610179953067</v>
      </c>
      <c r="DO295" s="173">
        <f t="shared" si="826"/>
        <v>2.0745390256755356</v>
      </c>
      <c r="DQ295" s="545">
        <f t="shared" si="827"/>
        <v>790</v>
      </c>
      <c r="DR295" s="460">
        <f t="shared" si="828"/>
        <v>350</v>
      </c>
      <c r="DT295">
        <f t="shared" si="829"/>
        <v>790</v>
      </c>
      <c r="DU295">
        <f t="shared" si="830"/>
        <v>350</v>
      </c>
      <c r="DW295" s="5">
        <f t="shared" si="859"/>
        <v>2.8571428571428572</v>
      </c>
      <c r="DX295" s="5">
        <f t="shared" si="831"/>
        <v>0.83798700599843556</v>
      </c>
      <c r="DY295" s="5">
        <f t="shared" si="832"/>
        <v>2.0191558511444216</v>
      </c>
      <c r="DZ295" s="5"/>
      <c r="EA295" s="173">
        <f t="shared" si="833"/>
        <v>0.29329545209945246</v>
      </c>
      <c r="EB295" s="173">
        <f t="shared" si="860"/>
        <v>13.271999999999995</v>
      </c>
      <c r="EC295" s="173">
        <f t="shared" si="861"/>
        <v>0.88831384233098676</v>
      </c>
      <c r="ED295" s="173">
        <f t="shared" si="862"/>
        <v>14.940665525568646</v>
      </c>
      <c r="EE295" s="460">
        <f t="shared" si="834"/>
        <v>4.0366447240168553</v>
      </c>
      <c r="EF295" s="5">
        <f t="shared" si="835"/>
        <v>0.60555979646822045</v>
      </c>
      <c r="EH295" s="173">
        <f t="shared" si="863"/>
        <v>0.7860507314562124</v>
      </c>
      <c r="EI295" s="173">
        <f t="shared" si="864"/>
        <v>1.2201602002375835</v>
      </c>
      <c r="EK295" s="528">
        <f t="shared" si="865"/>
        <v>1.2357515048456931E-2</v>
      </c>
      <c r="EL295" s="528">
        <f t="shared" si="866"/>
        <v>0.92915999225106527</v>
      </c>
      <c r="EM295" s="528">
        <f t="shared" si="867"/>
        <v>4.3749999999999997E-2</v>
      </c>
      <c r="EN295" s="528">
        <f t="shared" si="868"/>
        <v>9.7574399999999992E-2</v>
      </c>
      <c r="EO295">
        <f t="shared" si="869"/>
        <v>1.6199999999999999E-2</v>
      </c>
      <c r="EP295" s="460">
        <f t="shared" si="870"/>
        <v>59.949999999999996</v>
      </c>
      <c r="EQ295" s="460"/>
      <c r="ER295" s="460">
        <f t="shared" si="871"/>
        <v>1099.0419072995221</v>
      </c>
      <c r="ES295" s="528">
        <f t="shared" si="872"/>
        <v>0.55299999999999994</v>
      </c>
      <c r="EV295" s="460">
        <f t="shared" si="873"/>
        <v>552.99999999999989</v>
      </c>
      <c r="EW295" s="528">
        <f t="shared" si="874"/>
        <v>1.8536272572685395E-2</v>
      </c>
      <c r="EX295" s="528">
        <f t="shared" si="875"/>
        <v>4.4663727427314601E-2</v>
      </c>
      <c r="EY295" s="528">
        <f t="shared" si="876"/>
        <v>1.148250023728671</v>
      </c>
      <c r="EZ295" s="528"/>
      <c r="FA295" s="528">
        <f t="shared" si="877"/>
        <v>1.1059999999999997E-2</v>
      </c>
      <c r="FB295" s="460">
        <f t="shared" si="878"/>
        <v>1222.5100237286711</v>
      </c>
      <c r="FC295" s="173">
        <f t="shared" si="879"/>
        <v>2.8745519310281931</v>
      </c>
      <c r="FD295" s="5">
        <f t="shared" si="880"/>
        <v>12.956</v>
      </c>
      <c r="FE295" s="173">
        <f t="shared" si="881"/>
        <v>0.81841745357001638</v>
      </c>
      <c r="FF295" s="5">
        <f t="shared" si="882"/>
        <v>81.841745357001642</v>
      </c>
      <c r="FI295" s="562">
        <f t="shared" si="836"/>
        <v>-50</v>
      </c>
      <c r="FJ295">
        <f t="shared" si="837"/>
        <v>-50</v>
      </c>
      <c r="FL295">
        <f t="shared" si="838"/>
        <v>0.62849025449882689</v>
      </c>
    </row>
    <row r="296" spans="5:168">
      <c r="E296" s="170">
        <v>80</v>
      </c>
      <c r="F296" s="217">
        <f t="shared" si="839"/>
        <v>0.8</v>
      </c>
      <c r="G296" s="217"/>
      <c r="H296" s="217">
        <f t="shared" si="764"/>
        <v>13.12</v>
      </c>
      <c r="I296" s="541">
        <f t="shared" si="765"/>
        <v>35.93751190589591</v>
      </c>
      <c r="J296" s="172">
        <f t="shared" si="766"/>
        <v>16.837492856462454</v>
      </c>
      <c r="K296" s="172">
        <f t="shared" si="767"/>
        <v>52.775004762358364</v>
      </c>
      <c r="L296" s="443"/>
      <c r="M296" s="217">
        <f t="shared" si="768"/>
        <v>0.31904880743995973</v>
      </c>
      <c r="N296" s="172">
        <f t="shared" si="769"/>
        <v>38.735362967335242</v>
      </c>
      <c r="O296" s="172">
        <f t="shared" si="762"/>
        <v>13.12</v>
      </c>
      <c r="P296" s="217">
        <f t="shared" si="770"/>
        <v>2.3619123760570271</v>
      </c>
      <c r="Q296" s="217">
        <f t="shared" si="771"/>
        <v>16.399999999999999</v>
      </c>
      <c r="R296" s="217"/>
      <c r="S296" s="172">
        <f t="shared" si="772"/>
        <v>113.92785596355036</v>
      </c>
      <c r="T296" s="172">
        <f t="shared" si="773"/>
        <v>16.399999999999999</v>
      </c>
      <c r="U296" s="217">
        <f t="shared" si="774"/>
        <v>2.3496544502474404</v>
      </c>
      <c r="V296" s="217">
        <f t="shared" si="775"/>
        <v>0.78458000867732502</v>
      </c>
      <c r="W296" s="217">
        <f t="shared" si="776"/>
        <v>1.6745874010659099</v>
      </c>
      <c r="X296" s="197">
        <f t="shared" si="777"/>
        <v>350</v>
      </c>
      <c r="Y296" s="443">
        <f t="shared" si="840"/>
        <v>350</v>
      </c>
      <c r="AA296" s="217">
        <f t="shared" si="778"/>
        <v>2.7299070419851348</v>
      </c>
      <c r="AB296" s="173">
        <f t="shared" si="779"/>
        <v>1.945591590332781</v>
      </c>
      <c r="AC296" s="173">
        <f t="shared" si="780"/>
        <v>0.92947473207339038</v>
      </c>
      <c r="AD296" s="173"/>
      <c r="AE296" s="173">
        <f t="shared" si="781"/>
        <v>0.95026023983487473</v>
      </c>
      <c r="AF296" s="545">
        <f t="shared" si="782"/>
        <v>1262.8119642346837</v>
      </c>
      <c r="AG296" s="528">
        <f t="shared" si="783"/>
        <v>0.22172738929480415</v>
      </c>
      <c r="AI296" s="173">
        <f t="shared" si="784"/>
        <v>2.5326434792402339</v>
      </c>
      <c r="AJ296" s="173">
        <f t="shared" si="785"/>
        <v>2.5326434792402339</v>
      </c>
      <c r="AK296" s="173">
        <f t="shared" si="786"/>
        <v>2.0883778858569633</v>
      </c>
      <c r="AM296" s="545">
        <f t="shared" si="787"/>
        <v>800</v>
      </c>
      <c r="AN296" s="460">
        <f t="shared" si="788"/>
        <v>350</v>
      </c>
      <c r="AP296">
        <f t="shared" si="789"/>
        <v>800</v>
      </c>
      <c r="AQ296">
        <f t="shared" si="790"/>
        <v>350</v>
      </c>
      <c r="AS296" s="5">
        <f t="shared" si="763"/>
        <v>2.8571428571428572</v>
      </c>
      <c r="AT296" s="5">
        <f t="shared" si="791"/>
        <v>0.84568241202855055</v>
      </c>
      <c r="AU296" s="5">
        <f t="shared" si="722"/>
        <v>2.0114604451143068</v>
      </c>
      <c r="AV296" s="5"/>
      <c r="AW296" s="173">
        <f t="shared" si="723"/>
        <v>0.29598884420999266</v>
      </c>
      <c r="AX296" s="173">
        <f t="shared" si="792"/>
        <v>13.469994285169966</v>
      </c>
      <c r="AY296" s="173">
        <f t="shared" si="793"/>
        <v>0.89150463151197124</v>
      </c>
      <c r="AZ296" s="173">
        <f t="shared" si="794"/>
        <v>15.109281330737639</v>
      </c>
      <c r="BA296" s="460">
        <f t="shared" si="724"/>
        <v>4.1252800586758571</v>
      </c>
      <c r="BB296" s="5">
        <f t="shared" si="725"/>
        <v>0.6119501981894786</v>
      </c>
      <c r="BD296" s="173">
        <f t="shared" si="841"/>
        <v>0.79551999964709752</v>
      </c>
      <c r="BE296" s="173">
        <f t="shared" si="842"/>
        <v>1.2268831489350731</v>
      </c>
      <c r="BG296" s="528">
        <f t="shared" si="843"/>
        <v>1.265704139677036E-2</v>
      </c>
      <c r="BH296" s="528">
        <f t="shared" si="795"/>
        <v>0.877145532888576</v>
      </c>
      <c r="BI296" s="528">
        <f t="shared" si="796"/>
        <v>0.31445322917658919</v>
      </c>
      <c r="BJ296" s="528">
        <f t="shared" si="844"/>
        <v>9.7482039468343204E-2</v>
      </c>
      <c r="BK296">
        <f t="shared" si="845"/>
        <v>1.617188035765316E-2</v>
      </c>
      <c r="BL296" s="460">
        <f t="shared" si="846"/>
        <v>330.62510953424237</v>
      </c>
      <c r="BM296" s="528">
        <f t="shared" si="797"/>
        <v>0.9936903528826625</v>
      </c>
      <c r="BN296" s="460">
        <f t="shared" si="847"/>
        <v>993.69035288266252</v>
      </c>
      <c r="BO296" s="528">
        <f t="shared" si="798"/>
        <v>0.55999999999999994</v>
      </c>
      <c r="BR296" s="460">
        <f t="shared" si="848"/>
        <v>559.99999999999989</v>
      </c>
      <c r="BS296" s="528">
        <f t="shared" si="849"/>
        <v>1.8985562095155541E-2</v>
      </c>
      <c r="BT296" s="528">
        <f t="shared" si="850"/>
        <v>4.5157267834225218E-2</v>
      </c>
      <c r="BU296" s="528">
        <f t="shared" si="851"/>
        <v>1.1697020771579405</v>
      </c>
      <c r="BV296" s="528"/>
      <c r="BW296" s="528">
        <f t="shared" si="852"/>
        <v>1.1224995237641635E-2</v>
      </c>
      <c r="BX296" s="460">
        <f t="shared" si="853"/>
        <v>1245.0699023249626</v>
      </c>
      <c r="BY296" s="173">
        <f t="shared" si="854"/>
        <v>3.1229796256128943</v>
      </c>
      <c r="BZ296" s="5">
        <f t="shared" si="855"/>
        <v>13.12</v>
      </c>
      <c r="CA296" s="173">
        <f t="shared" si="856"/>
        <v>0.80773357489851216</v>
      </c>
      <c r="CB296" s="5">
        <f t="shared" si="857"/>
        <v>80.773357489851222</v>
      </c>
      <c r="CE296" s="562">
        <f t="shared" si="799"/>
        <v>-50</v>
      </c>
      <c r="CF296">
        <f t="shared" si="800"/>
        <v>-50</v>
      </c>
      <c r="CG296" s="173">
        <f t="shared" si="801"/>
        <v>0.64012193960289754</v>
      </c>
      <c r="CI296" s="170">
        <v>80</v>
      </c>
      <c r="CJ296" s="217">
        <f t="shared" si="858"/>
        <v>0.8</v>
      </c>
      <c r="CK296" s="217"/>
      <c r="CL296" s="217">
        <f t="shared" si="802"/>
        <v>13.12</v>
      </c>
      <c r="CM296" s="541">
        <f t="shared" si="803"/>
        <v>36</v>
      </c>
      <c r="CN296" s="443">
        <f t="shared" si="804"/>
        <v>16.799999999999997</v>
      </c>
      <c r="CO296" s="443">
        <f t="shared" si="805"/>
        <v>52.8</v>
      </c>
      <c r="CP296" s="443"/>
      <c r="CQ296" s="217">
        <f t="shared" si="806"/>
        <v>0.31818181818181812</v>
      </c>
      <c r="CR296" s="172">
        <f t="shared" si="807"/>
        <v>38.697272727272725</v>
      </c>
      <c r="CS296" s="172">
        <f t="shared" si="808"/>
        <v>13.12</v>
      </c>
      <c r="CT296" s="217">
        <f t="shared" si="809"/>
        <v>2.3595898004434592</v>
      </c>
      <c r="CU296" s="217">
        <f t="shared" si="810"/>
        <v>16.399999999999999</v>
      </c>
      <c r="CV296" s="217"/>
      <c r="CW296" s="172">
        <f t="shared" si="811"/>
        <v>114.12573593073185</v>
      </c>
      <c r="CX296" s="172">
        <f t="shared" si="812"/>
        <v>16.399999999999999</v>
      </c>
      <c r="CY296" s="217">
        <f t="shared" si="813"/>
        <v>2.2907936507936508</v>
      </c>
      <c r="CZ296" s="217">
        <f t="shared" si="814"/>
        <v>0.76359788359788361</v>
      </c>
      <c r="DA296" s="217">
        <f t="shared" si="815"/>
        <v>1.6362811791383225</v>
      </c>
      <c r="DB296" s="197">
        <f t="shared" si="816"/>
        <v>350</v>
      </c>
      <c r="DC296" s="443">
        <f t="shared" si="817"/>
        <v>350</v>
      </c>
      <c r="DE296" s="217">
        <f t="shared" si="818"/>
        <v>2.7272727272727271</v>
      </c>
      <c r="DF296" s="173">
        <f t="shared" si="819"/>
        <v>1.9480519480519483</v>
      </c>
      <c r="DG296" s="173">
        <f t="shared" si="820"/>
        <v>0.92975206611570249</v>
      </c>
      <c r="DH296" s="173"/>
      <c r="DI296" s="173">
        <f t="shared" si="821"/>
        <v>0.95238095238095266</v>
      </c>
      <c r="DJ296" s="545">
        <f t="shared" si="822"/>
        <v>1259.9999999999995</v>
      </c>
      <c r="DK296" s="528">
        <f t="shared" si="823"/>
        <v>0.22222222222222232</v>
      </c>
      <c r="DM296" s="173">
        <f t="shared" si="824"/>
        <v>2.5298221281347031</v>
      </c>
      <c r="DN296" s="173">
        <f t="shared" si="825"/>
        <v>2.5298221281347031</v>
      </c>
      <c r="DO296" s="173">
        <f t="shared" si="826"/>
        <v>2.0862879961491627</v>
      </c>
      <c r="DQ296" s="545">
        <f t="shared" si="827"/>
        <v>800</v>
      </c>
      <c r="DR296" s="460">
        <f t="shared" si="828"/>
        <v>350</v>
      </c>
      <c r="DT296">
        <f t="shared" si="829"/>
        <v>800</v>
      </c>
      <c r="DU296">
        <f t="shared" si="830"/>
        <v>350</v>
      </c>
      <c r="DW296" s="5">
        <f t="shared" si="859"/>
        <v>2.8571428571428572</v>
      </c>
      <c r="DX296" s="5">
        <f t="shared" si="831"/>
        <v>0.8432740427115677</v>
      </c>
      <c r="DY296" s="5">
        <f t="shared" si="832"/>
        <v>2.0138688144312895</v>
      </c>
      <c r="DZ296" s="5"/>
      <c r="EA296" s="173">
        <f t="shared" si="833"/>
        <v>0.29514591494904868</v>
      </c>
      <c r="EB296" s="173">
        <f t="shared" si="860"/>
        <v>13.439999999999996</v>
      </c>
      <c r="EC296" s="173">
        <f t="shared" si="861"/>
        <v>0.89157773073401825</v>
      </c>
      <c r="ED296" s="173">
        <f t="shared" si="862"/>
        <v>15.074400735575923</v>
      </c>
      <c r="EE296" s="460">
        <f t="shared" si="834"/>
        <v>4.1135319156661847</v>
      </c>
      <c r="EF296" s="5">
        <f t="shared" si="835"/>
        <v>0.61161941771616923</v>
      </c>
      <c r="EH296" s="173">
        <f t="shared" si="863"/>
        <v>0.79350149247368806</v>
      </c>
      <c r="EI296" s="173">
        <f t="shared" si="864"/>
        <v>1.2262498582162455</v>
      </c>
      <c r="EK296" s="528">
        <f t="shared" si="865"/>
        <v>1.2592892371159408E-2</v>
      </c>
      <c r="EL296" s="528">
        <f t="shared" si="866"/>
        <v>0.93502225855858623</v>
      </c>
      <c r="EM296" s="528">
        <f t="shared" si="867"/>
        <v>4.3749999999999997E-2</v>
      </c>
      <c r="EN296" s="528">
        <f t="shared" si="868"/>
        <v>9.7574399999999992E-2</v>
      </c>
      <c r="EO296">
        <f t="shared" si="869"/>
        <v>1.6199999999999999E-2</v>
      </c>
      <c r="EP296" s="460">
        <f t="shared" si="870"/>
        <v>59.949999999999996</v>
      </c>
      <c r="EQ296" s="460"/>
      <c r="ER296" s="460">
        <f t="shared" si="871"/>
        <v>1105.1395509297456</v>
      </c>
      <c r="ES296" s="528">
        <f t="shared" si="872"/>
        <v>0.55999999999999994</v>
      </c>
      <c r="EV296" s="460">
        <f t="shared" si="873"/>
        <v>559.99999999999989</v>
      </c>
      <c r="EW296" s="528">
        <f t="shared" si="874"/>
        <v>1.8889338556739112E-2</v>
      </c>
      <c r="EX296" s="528">
        <f t="shared" si="875"/>
        <v>4.5110661443260869E-2</v>
      </c>
      <c r="EY296" s="528">
        <f t="shared" si="876"/>
        <v>1.1664471939363197</v>
      </c>
      <c r="EZ296" s="528"/>
      <c r="FA296" s="528">
        <f t="shared" si="877"/>
        <v>1.1199999999999996E-2</v>
      </c>
      <c r="FB296" s="460">
        <f t="shared" si="878"/>
        <v>1241.6471939363198</v>
      </c>
      <c r="FC296" s="173">
        <f t="shared" si="879"/>
        <v>2.9067867448660656</v>
      </c>
      <c r="FD296" s="5">
        <f t="shared" si="880"/>
        <v>13.12</v>
      </c>
      <c r="FE296" s="173">
        <f t="shared" si="881"/>
        <v>0.81862947382155626</v>
      </c>
      <c r="FF296" s="5">
        <f t="shared" si="882"/>
        <v>81.862947382155625</v>
      </c>
      <c r="FI296" s="562">
        <f t="shared" si="836"/>
        <v>-50</v>
      </c>
      <c r="FJ296">
        <f t="shared" si="837"/>
        <v>-50</v>
      </c>
      <c r="FL296">
        <f t="shared" si="838"/>
        <v>0.63245553203367599</v>
      </c>
    </row>
    <row r="297" spans="5:168">
      <c r="E297" s="170">
        <v>81</v>
      </c>
      <c r="F297" s="217">
        <f t="shared" si="839"/>
        <v>0.81</v>
      </c>
      <c r="G297" s="217"/>
      <c r="H297" s="217">
        <f t="shared" si="764"/>
        <v>13.283999999999999</v>
      </c>
      <c r="I297" s="541">
        <f t="shared" si="765"/>
        <v>35.937122568209482</v>
      </c>
      <c r="J297" s="172">
        <f t="shared" si="766"/>
        <v>16.837726459074307</v>
      </c>
      <c r="K297" s="172">
        <f t="shared" si="767"/>
        <v>52.774849027283793</v>
      </c>
      <c r="L297" s="443"/>
      <c r="M297" s="217">
        <f t="shared" si="768"/>
        <v>0.31905421182199112</v>
      </c>
      <c r="N297" s="172">
        <f t="shared" si="769"/>
        <v>38.735599451394656</v>
      </c>
      <c r="O297" s="172">
        <f t="shared" si="762"/>
        <v>13.283999999999999</v>
      </c>
      <c r="P297" s="217">
        <f t="shared" si="770"/>
        <v>2.3619267958167476</v>
      </c>
      <c r="Q297" s="217">
        <f t="shared" si="771"/>
        <v>16.399999999999999</v>
      </c>
      <c r="R297" s="217"/>
      <c r="S297" s="172">
        <f t="shared" si="772"/>
        <v>112.08006979295287</v>
      </c>
      <c r="T297" s="172">
        <f t="shared" si="773"/>
        <v>16.399999999999999</v>
      </c>
      <c r="U297" s="217">
        <f t="shared" si="774"/>
        <v>2.3790440122033756</v>
      </c>
      <c r="V297" s="217">
        <f t="shared" si="775"/>
        <v>0.79440216985249013</v>
      </c>
      <c r="W297" s="217">
        <f t="shared" si="776"/>
        <v>1.6955096767862581</v>
      </c>
      <c r="X297" s="197">
        <f t="shared" si="777"/>
        <v>350</v>
      </c>
      <c r="Y297" s="443">
        <f t="shared" si="840"/>
        <v>350</v>
      </c>
      <c r="AA297" s="217">
        <f t="shared" si="778"/>
        <v>2.7299233968750007</v>
      </c>
      <c r="AB297" s="173">
        <f t="shared" si="779"/>
        <v>1.9455762535472982</v>
      </c>
      <c r="AC297" s="173">
        <f t="shared" si="780"/>
        <v>0.92947297361855619</v>
      </c>
      <c r="AD297" s="173"/>
      <c r="AE297" s="173">
        <f t="shared" si="781"/>
        <v>0.95024705615033722</v>
      </c>
      <c r="AF297" s="545">
        <f t="shared" si="782"/>
        <v>1278.6148529859549</v>
      </c>
      <c r="AG297" s="528">
        <f t="shared" si="783"/>
        <v>0.2217243131017454</v>
      </c>
      <c r="AI297" s="173">
        <f t="shared" si="784"/>
        <v>2.5484410203523202</v>
      </c>
      <c r="AJ297" s="173">
        <f t="shared" si="785"/>
        <v>2.5484410203523202</v>
      </c>
      <c r="AK297" s="173">
        <f t="shared" si="786"/>
        <v>2.1000797681622121</v>
      </c>
      <c r="AM297" s="545">
        <f t="shared" si="787"/>
        <v>810</v>
      </c>
      <c r="AN297" s="460">
        <f t="shared" si="788"/>
        <v>350</v>
      </c>
      <c r="AP297">
        <f t="shared" si="789"/>
        <v>810</v>
      </c>
      <c r="AQ297">
        <f t="shared" si="790"/>
        <v>350</v>
      </c>
      <c r="AS297" s="5">
        <f t="shared" si="763"/>
        <v>2.8571428571428572</v>
      </c>
      <c r="AT297" s="5">
        <f t="shared" si="791"/>
        <v>0.85096663446506748</v>
      </c>
      <c r="AU297" s="5">
        <f t="shared" si="722"/>
        <v>2.0061762226777899</v>
      </c>
      <c r="AV297" s="5"/>
      <c r="AW297" s="173">
        <f t="shared" si="723"/>
        <v>0.29783832206277361</v>
      </c>
      <c r="AX297" s="173">
        <f t="shared" si="792"/>
        <v>13.638558431850187</v>
      </c>
      <c r="AY297" s="173">
        <f t="shared" si="793"/>
        <v>0.89470881148732129</v>
      </c>
      <c r="AZ297" s="173">
        <f t="shared" si="794"/>
        <v>15.243572273730152</v>
      </c>
      <c r="BA297" s="460">
        <f t="shared" si="724"/>
        <v>4.2029449629067361</v>
      </c>
      <c r="BB297" s="5">
        <f t="shared" si="725"/>
        <v>0.61797854691596787</v>
      </c>
      <c r="BD297" s="173">
        <f t="shared" si="841"/>
        <v>0.80297911165950309</v>
      </c>
      <c r="BE297" s="173">
        <f t="shared" si="842"/>
        <v>1.2329132536300518</v>
      </c>
      <c r="BG297" s="528">
        <f t="shared" si="843"/>
        <v>1.2895509075229695E-2</v>
      </c>
      <c r="BH297" s="528">
        <f t="shared" si="795"/>
        <v>0.88261418505770195</v>
      </c>
      <c r="BI297" s="528">
        <f t="shared" si="796"/>
        <v>0.31444982247183295</v>
      </c>
      <c r="BJ297" s="528">
        <f t="shared" si="844"/>
        <v>9.7481464144840893E-2</v>
      </c>
      <c r="BK297">
        <f t="shared" si="845"/>
        <v>1.6171705155694268E-2</v>
      </c>
      <c r="BL297" s="460">
        <f t="shared" si="846"/>
        <v>330.6215276275272</v>
      </c>
      <c r="BM297" s="528">
        <f t="shared" si="797"/>
        <v>0.99953549545499532</v>
      </c>
      <c r="BN297" s="460">
        <f t="shared" si="847"/>
        <v>999.53549545499527</v>
      </c>
      <c r="BO297" s="528">
        <f t="shared" si="798"/>
        <v>0.56699999999999995</v>
      </c>
      <c r="BR297" s="460">
        <f t="shared" si="848"/>
        <v>567</v>
      </c>
      <c r="BS297" s="528">
        <f t="shared" si="849"/>
        <v>1.9343263612844542E-2</v>
      </c>
      <c r="BT297" s="528">
        <f t="shared" si="850"/>
        <v>4.5602252729299207E-2</v>
      </c>
      <c r="BU297" s="528">
        <f t="shared" si="851"/>
        <v>1.1880277435188535</v>
      </c>
      <c r="BV297" s="528"/>
      <c r="BW297" s="528">
        <f t="shared" si="852"/>
        <v>1.1365465359875156E-2</v>
      </c>
      <c r="BX297" s="460">
        <f t="shared" si="853"/>
        <v>1264.3387252208724</v>
      </c>
      <c r="BY297" s="173">
        <f t="shared" si="854"/>
        <v>3.1549514111261723</v>
      </c>
      <c r="BZ297" s="5">
        <f t="shared" si="855"/>
        <v>13.283999999999999</v>
      </c>
      <c r="CA297" s="173">
        <f t="shared" si="856"/>
        <v>0.80808073871482788</v>
      </c>
      <c r="CB297" s="5">
        <f t="shared" si="857"/>
        <v>80.80807387148279</v>
      </c>
      <c r="CE297" s="562">
        <f t="shared" si="799"/>
        <v>-50</v>
      </c>
      <c r="CF297">
        <f t="shared" si="800"/>
        <v>-50</v>
      </c>
      <c r="CG297" s="173">
        <f t="shared" si="801"/>
        <v>0.64411027687849221</v>
      </c>
      <c r="CI297" s="170">
        <v>81</v>
      </c>
      <c r="CJ297" s="217">
        <f t="shared" si="858"/>
        <v>0.81</v>
      </c>
      <c r="CK297" s="217"/>
      <c r="CL297" s="217">
        <f t="shared" si="802"/>
        <v>13.283999999999999</v>
      </c>
      <c r="CM297" s="541">
        <f t="shared" si="803"/>
        <v>36</v>
      </c>
      <c r="CN297" s="443">
        <f t="shared" si="804"/>
        <v>16.799999999999997</v>
      </c>
      <c r="CO297" s="443">
        <f t="shared" si="805"/>
        <v>52.8</v>
      </c>
      <c r="CP297" s="443"/>
      <c r="CQ297" s="217">
        <f t="shared" si="806"/>
        <v>0.31818181818181812</v>
      </c>
      <c r="CR297" s="172">
        <f t="shared" si="807"/>
        <v>38.697272727272725</v>
      </c>
      <c r="CS297" s="172">
        <f t="shared" si="808"/>
        <v>13.283999999999999</v>
      </c>
      <c r="CT297" s="217">
        <f t="shared" si="809"/>
        <v>2.3595898004434592</v>
      </c>
      <c r="CU297" s="217">
        <f t="shared" si="810"/>
        <v>16.399999999999999</v>
      </c>
      <c r="CV297" s="217"/>
      <c r="CW297" s="172">
        <f t="shared" si="811"/>
        <v>112.2759482707209</v>
      </c>
      <c r="CX297" s="172">
        <f t="shared" si="812"/>
        <v>16.399999999999999</v>
      </c>
      <c r="CY297" s="217">
        <f t="shared" si="813"/>
        <v>2.3194285714285714</v>
      </c>
      <c r="CZ297" s="217">
        <f t="shared" si="814"/>
        <v>0.77314285714285702</v>
      </c>
      <c r="DA297" s="217">
        <f t="shared" si="815"/>
        <v>1.6567346938775513</v>
      </c>
      <c r="DB297" s="197">
        <f t="shared" si="816"/>
        <v>350</v>
      </c>
      <c r="DC297" s="443">
        <f t="shared" si="817"/>
        <v>350</v>
      </c>
      <c r="DE297" s="217">
        <f t="shared" si="818"/>
        <v>2.7272727272727271</v>
      </c>
      <c r="DF297" s="173">
        <f t="shared" si="819"/>
        <v>1.9480519480519483</v>
      </c>
      <c r="DG297" s="173">
        <f t="shared" si="820"/>
        <v>0.92975206611570249</v>
      </c>
      <c r="DH297" s="173"/>
      <c r="DI297" s="173">
        <f t="shared" si="821"/>
        <v>0.95238095238095266</v>
      </c>
      <c r="DJ297" s="545">
        <f t="shared" si="822"/>
        <v>1275.7499999999995</v>
      </c>
      <c r="DK297" s="528">
        <f t="shared" si="823"/>
        <v>0.22222222222222232</v>
      </c>
      <c r="DM297" s="173">
        <f t="shared" si="824"/>
        <v>2.545584412271571</v>
      </c>
      <c r="DN297" s="173">
        <f t="shared" si="825"/>
        <v>2.545584412271571</v>
      </c>
      <c r="DO297" s="173">
        <f t="shared" si="826"/>
        <v>2.0979637621764722</v>
      </c>
      <c r="DQ297" s="545">
        <f t="shared" si="827"/>
        <v>810</v>
      </c>
      <c r="DR297" s="460">
        <f t="shared" si="828"/>
        <v>350</v>
      </c>
      <c r="DT297">
        <f t="shared" si="829"/>
        <v>810</v>
      </c>
      <c r="DU297">
        <f t="shared" si="830"/>
        <v>350</v>
      </c>
      <c r="DW297" s="5">
        <f t="shared" si="859"/>
        <v>2.8571428571428572</v>
      </c>
      <c r="DX297" s="5">
        <f t="shared" si="831"/>
        <v>0.84852813742385691</v>
      </c>
      <c r="DY297" s="5">
        <f t="shared" si="832"/>
        <v>2.0086147197190005</v>
      </c>
      <c r="DZ297" s="5"/>
      <c r="EA297" s="173">
        <f t="shared" si="833"/>
        <v>0.29698484809834991</v>
      </c>
      <c r="EB297" s="173">
        <f t="shared" si="860"/>
        <v>13.608000000000001</v>
      </c>
      <c r="EC297" s="173">
        <f t="shared" si="861"/>
        <v>0.89479220613578558</v>
      </c>
      <c r="ED297" s="173">
        <f t="shared" si="862"/>
        <v>15.20800014426475</v>
      </c>
      <c r="EE297" s="460">
        <f t="shared" si="834"/>
        <v>4.1909011665446592</v>
      </c>
      <c r="EF297" s="5">
        <f t="shared" si="835"/>
        <v>0.61764902631359253</v>
      </c>
      <c r="EH297" s="173">
        <f t="shared" si="863"/>
        <v>0.80092900552573054</v>
      </c>
      <c r="EI297" s="173">
        <f t="shared" si="864"/>
        <v>1.2322794845762726</v>
      </c>
      <c r="EK297" s="528">
        <f t="shared" si="865"/>
        <v>1.2829745437848714E-2</v>
      </c>
      <c r="EL297" s="528">
        <f t="shared" si="866"/>
        <v>0.94084799877557268</v>
      </c>
      <c r="EM297" s="528">
        <f t="shared" si="867"/>
        <v>4.3749999999999997E-2</v>
      </c>
      <c r="EN297" s="528">
        <f t="shared" si="868"/>
        <v>9.7574399999999992E-2</v>
      </c>
      <c r="EO297">
        <f t="shared" si="869"/>
        <v>1.6199999999999999E-2</v>
      </c>
      <c r="EP297" s="460">
        <f t="shared" si="870"/>
        <v>59.949999999999996</v>
      </c>
      <c r="EQ297" s="460"/>
      <c r="ER297" s="460">
        <f t="shared" si="871"/>
        <v>1111.2021442134214</v>
      </c>
      <c r="ES297" s="528">
        <f t="shared" si="872"/>
        <v>0.56699999999999995</v>
      </c>
      <c r="EV297" s="460">
        <f t="shared" si="873"/>
        <v>567</v>
      </c>
      <c r="EW297" s="528">
        <f t="shared" si="874"/>
        <v>1.9244618156773072E-2</v>
      </c>
      <c r="EX297" s="528">
        <f t="shared" si="875"/>
        <v>4.5555381843226918E-2</v>
      </c>
      <c r="EY297" s="528">
        <f t="shared" si="876"/>
        <v>1.1847013205467718</v>
      </c>
      <c r="EZ297" s="528"/>
      <c r="FA297" s="528">
        <f t="shared" si="877"/>
        <v>1.1339999999999999E-2</v>
      </c>
      <c r="FB297" s="460">
        <f t="shared" si="878"/>
        <v>1260.8413205467716</v>
      </c>
      <c r="FC297" s="173">
        <f t="shared" si="879"/>
        <v>2.9390434647601933</v>
      </c>
      <c r="FD297" s="5">
        <f t="shared" si="880"/>
        <v>13.283999999999999</v>
      </c>
      <c r="FE297" s="173">
        <f t="shared" si="881"/>
        <v>0.8188352591704261</v>
      </c>
      <c r="FF297" s="5">
        <f t="shared" si="882"/>
        <v>81.883525917042604</v>
      </c>
      <c r="FI297" s="562">
        <f t="shared" si="836"/>
        <v>-50</v>
      </c>
      <c r="FJ297">
        <f t="shared" si="837"/>
        <v>-50</v>
      </c>
      <c r="FL297">
        <f t="shared" si="838"/>
        <v>0.63639610306789285</v>
      </c>
    </row>
    <row r="298" spans="5:168">
      <c r="E298" s="170">
        <v>82</v>
      </c>
      <c r="F298" s="217">
        <f t="shared" si="839"/>
        <v>0.82</v>
      </c>
      <c r="G298" s="217"/>
      <c r="H298" s="217">
        <f t="shared" si="764"/>
        <v>13.447999999999999</v>
      </c>
      <c r="I298" s="541">
        <f t="shared" si="765"/>
        <v>35.936735626515542</v>
      </c>
      <c r="J298" s="172">
        <f t="shared" si="766"/>
        <v>16.837958624090671</v>
      </c>
      <c r="K298" s="172">
        <f t="shared" si="767"/>
        <v>52.774694250606217</v>
      </c>
      <c r="L298" s="443"/>
      <c r="M298" s="217">
        <f t="shared" si="768"/>
        <v>0.31905958297636666</v>
      </c>
      <c r="N298" s="172">
        <f t="shared" si="769"/>
        <v>38.735834469807052</v>
      </c>
      <c r="O298" s="172">
        <f t="shared" si="762"/>
        <v>13.447999999999999</v>
      </c>
      <c r="P298" s="217">
        <f t="shared" si="770"/>
        <v>2.3619411262077472</v>
      </c>
      <c r="Q298" s="217">
        <f t="shared" si="771"/>
        <v>16.399999999999999</v>
      </c>
      <c r="R298" s="217"/>
      <c r="S298" s="172">
        <f t="shared" si="772"/>
        <v>110.27743471624065</v>
      </c>
      <c r="T298" s="172">
        <f t="shared" si="773"/>
        <v>16.399999999999999</v>
      </c>
      <c r="U298" s="217">
        <f t="shared" si="774"/>
        <v>2.4084339231446745</v>
      </c>
      <c r="V298" s="217">
        <f t="shared" si="775"/>
        <v>0.80422460676733376</v>
      </c>
      <c r="W298" s="217">
        <f t="shared" si="776"/>
        <v>1.7164317672325256</v>
      </c>
      <c r="X298" s="197">
        <f t="shared" si="777"/>
        <v>350</v>
      </c>
      <c r="Y298" s="443">
        <f t="shared" si="840"/>
        <v>350</v>
      </c>
      <c r="AA298" s="217">
        <f t="shared" si="778"/>
        <v>2.7299396503990669</v>
      </c>
      <c r="AB298" s="173">
        <f t="shared" si="779"/>
        <v>1.9455610110550416</v>
      </c>
      <c r="AC298" s="173">
        <f t="shared" si="780"/>
        <v>0.92947122561118978</v>
      </c>
      <c r="AD298" s="173"/>
      <c r="AE298" s="173">
        <f t="shared" si="781"/>
        <v>0.95023395396091714</v>
      </c>
      <c r="AF298" s="545">
        <f t="shared" si="782"/>
        <v>1294.4180692269699</v>
      </c>
      <c r="AG298" s="528">
        <f t="shared" si="783"/>
        <v>0.22172125592421402</v>
      </c>
      <c r="AI298" s="173">
        <f t="shared" si="784"/>
        <v>2.5641415598462269</v>
      </c>
      <c r="AJ298" s="173">
        <f t="shared" si="785"/>
        <v>2.5641415598462269</v>
      </c>
      <c r="AK298" s="173">
        <f t="shared" si="786"/>
        <v>2.1117097974169581</v>
      </c>
      <c r="AM298" s="545">
        <f t="shared" si="787"/>
        <v>820</v>
      </c>
      <c r="AN298" s="460">
        <f t="shared" si="788"/>
        <v>350</v>
      </c>
      <c r="AP298">
        <f t="shared" si="789"/>
        <v>820</v>
      </c>
      <c r="AQ298">
        <f t="shared" si="790"/>
        <v>350</v>
      </c>
      <c r="AS298" s="5">
        <f t="shared" si="763"/>
        <v>2.8571428571428572</v>
      </c>
      <c r="AT298" s="5">
        <f t="shared" si="791"/>
        <v>0.85621852351696703</v>
      </c>
      <c r="AU298" s="5">
        <f t="shared" ref="AU298:AU316" si="883">AS298-AT298</f>
        <v>2.00092433362589</v>
      </c>
      <c r="AV298" s="5"/>
      <c r="AW298" s="173">
        <f t="shared" ref="AW298:AW315" si="884">AT298/AS298</f>
        <v>0.29967648323093843</v>
      </c>
      <c r="AX298" s="173">
        <f t="shared" si="792"/>
        <v>13.807126071754347</v>
      </c>
      <c r="AY298" s="173">
        <f t="shared" si="793"/>
        <v>0.89786431734260841</v>
      </c>
      <c r="AZ298" s="173">
        <f t="shared" si="794"/>
        <v>15.377742276938937</v>
      </c>
      <c r="BA298" s="460">
        <f t="shared" si="724"/>
        <v>4.2810926175848358</v>
      </c>
      <c r="BB298" s="5">
        <f t="shared" si="725"/>
        <v>0.62397687606390118</v>
      </c>
      <c r="BD298" s="173">
        <f t="shared" si="841"/>
        <v>0.8104154318472212</v>
      </c>
      <c r="BE298" s="173">
        <f t="shared" si="842"/>
        <v>1.2388842322028166</v>
      </c>
      <c r="BG298" s="528">
        <f t="shared" si="843"/>
        <v>1.3135463443522361E-2</v>
      </c>
      <c r="BH298" s="528">
        <f t="shared" si="795"/>
        <v>0.8880492261122811</v>
      </c>
      <c r="BI298" s="528">
        <f t="shared" si="796"/>
        <v>0.314446436732011</v>
      </c>
      <c r="BJ298" s="528">
        <f t="shared" si="844"/>
        <v>9.7480892363573907E-2</v>
      </c>
      <c r="BK298">
        <f t="shared" si="845"/>
        <v>1.6171531031931995E-2</v>
      </c>
      <c r="BL298" s="460">
        <f t="shared" si="846"/>
        <v>330.617967763943</v>
      </c>
      <c r="BM298" s="528">
        <f t="shared" si="797"/>
        <v>1.0053498399394736</v>
      </c>
      <c r="BN298" s="460">
        <f t="shared" si="847"/>
        <v>1005.3498399394736</v>
      </c>
      <c r="BO298" s="528">
        <f t="shared" si="798"/>
        <v>0.57399999999999995</v>
      </c>
      <c r="BR298" s="460">
        <f t="shared" si="848"/>
        <v>574</v>
      </c>
      <c r="BS298" s="528">
        <f t="shared" si="849"/>
        <v>1.970319516528354E-2</v>
      </c>
      <c r="BT298" s="528">
        <f t="shared" si="850"/>
        <v>4.6045024224022874E-2</v>
      </c>
      <c r="BU298" s="528">
        <f t="shared" si="851"/>
        <v>1.2064105037192074</v>
      </c>
      <c r="BV298" s="528"/>
      <c r="BW298" s="528">
        <f t="shared" si="852"/>
        <v>1.1505938393128624E-2</v>
      </c>
      <c r="BX298" s="460">
        <f t="shared" si="853"/>
        <v>1283.6646615016425</v>
      </c>
      <c r="BY298" s="173">
        <f t="shared" si="854"/>
        <v>3.1869482111849625</v>
      </c>
      <c r="BZ298" s="5">
        <f t="shared" si="855"/>
        <v>13.447999999999999</v>
      </c>
      <c r="CA298" s="173">
        <f t="shared" si="856"/>
        <v>0.80841850718584551</v>
      </c>
      <c r="CB298" s="5">
        <f t="shared" si="857"/>
        <v>80.841850718584553</v>
      </c>
      <c r="CE298" s="562">
        <f t="shared" si="799"/>
        <v>-50</v>
      </c>
      <c r="CF298">
        <f t="shared" si="800"/>
        <v>-50</v>
      </c>
      <c r="CG298" s="173">
        <f t="shared" si="801"/>
        <v>0.64807406984078597</v>
      </c>
      <c r="CI298" s="170">
        <v>82</v>
      </c>
      <c r="CJ298" s="217">
        <f t="shared" si="858"/>
        <v>0.82</v>
      </c>
      <c r="CK298" s="217"/>
      <c r="CL298" s="217">
        <f t="shared" si="802"/>
        <v>13.447999999999999</v>
      </c>
      <c r="CM298" s="541">
        <f t="shared" si="803"/>
        <v>36</v>
      </c>
      <c r="CN298" s="443">
        <f t="shared" si="804"/>
        <v>16.799999999999997</v>
      </c>
      <c r="CO298" s="443">
        <f t="shared" si="805"/>
        <v>52.8</v>
      </c>
      <c r="CP298" s="443"/>
      <c r="CQ298" s="217">
        <f t="shared" si="806"/>
        <v>0.31818181818181812</v>
      </c>
      <c r="CR298" s="172">
        <f t="shared" si="807"/>
        <v>38.697272727272725</v>
      </c>
      <c r="CS298" s="172">
        <f t="shared" si="808"/>
        <v>13.447999999999999</v>
      </c>
      <c r="CT298" s="217">
        <f t="shared" si="809"/>
        <v>2.3595898004434592</v>
      </c>
      <c r="CU298" s="217">
        <f t="shared" si="810"/>
        <v>16.399999999999999</v>
      </c>
      <c r="CV298" s="217"/>
      <c r="CW298" s="172">
        <f t="shared" si="811"/>
        <v>110.47134368415648</v>
      </c>
      <c r="CX298" s="172">
        <f t="shared" si="812"/>
        <v>16.399999999999999</v>
      </c>
      <c r="CY298" s="217">
        <f t="shared" si="813"/>
        <v>2.348063492063492</v>
      </c>
      <c r="CZ298" s="217">
        <f t="shared" si="814"/>
        <v>0.78268783068783065</v>
      </c>
      <c r="DA298" s="217">
        <f t="shared" si="815"/>
        <v>1.6771882086167802</v>
      </c>
      <c r="DB298" s="197">
        <f t="shared" si="816"/>
        <v>350</v>
      </c>
      <c r="DC298" s="443">
        <f t="shared" si="817"/>
        <v>350</v>
      </c>
      <c r="DE298" s="217">
        <f t="shared" si="818"/>
        <v>2.7272727272727271</v>
      </c>
      <c r="DF298" s="173">
        <f t="shared" si="819"/>
        <v>1.9480519480519483</v>
      </c>
      <c r="DG298" s="173">
        <f t="shared" si="820"/>
        <v>0.92975206611570249</v>
      </c>
      <c r="DH298" s="173"/>
      <c r="DI298" s="173">
        <f t="shared" si="821"/>
        <v>0.95238095238095266</v>
      </c>
      <c r="DJ298" s="545">
        <f t="shared" si="822"/>
        <v>1291.4999999999993</v>
      </c>
      <c r="DK298" s="528">
        <f t="shared" si="823"/>
        <v>0.22222222222222232</v>
      </c>
      <c r="DM298" s="173">
        <f t="shared" si="824"/>
        <v>2.5612496949731391</v>
      </c>
      <c r="DN298" s="173">
        <f t="shared" si="825"/>
        <v>2.5612496949731391</v>
      </c>
      <c r="DO298" s="173">
        <f t="shared" si="826"/>
        <v>2.1095676752887451</v>
      </c>
      <c r="DQ298" s="545">
        <f t="shared" si="827"/>
        <v>820</v>
      </c>
      <c r="DR298" s="460">
        <f t="shared" si="828"/>
        <v>350</v>
      </c>
      <c r="DT298">
        <f t="shared" si="829"/>
        <v>820</v>
      </c>
      <c r="DU298">
        <f t="shared" si="830"/>
        <v>350</v>
      </c>
      <c r="DW298" s="5">
        <f t="shared" si="859"/>
        <v>2.8571428571428572</v>
      </c>
      <c r="DX298" s="5">
        <f t="shared" si="831"/>
        <v>0.85374989832437975</v>
      </c>
      <c r="DY298" s="5">
        <f t="shared" si="832"/>
        <v>2.0033929588184773</v>
      </c>
      <c r="DZ298" s="5"/>
      <c r="EA298" s="173">
        <f t="shared" si="833"/>
        <v>0.29881246441353293</v>
      </c>
      <c r="EB298" s="173">
        <f t="shared" si="860"/>
        <v>13.775999999999998</v>
      </c>
      <c r="EC298" s="173">
        <f t="shared" si="861"/>
        <v>0.89795818081990297</v>
      </c>
      <c r="ED298" s="173">
        <f t="shared" si="862"/>
        <v>15.341471679027947</v>
      </c>
      <c r="EE298" s="460">
        <f t="shared" si="834"/>
        <v>4.2687494916218993</v>
      </c>
      <c r="EF298" s="5">
        <f t="shared" si="835"/>
        <v>0.62364880810627032</v>
      </c>
      <c r="EH298" s="173">
        <f t="shared" si="863"/>
        <v>0.80833362884244264</v>
      </c>
      <c r="EI298" s="173">
        <f t="shared" si="864"/>
        <v>1.2382501407829818</v>
      </c>
      <c r="EK298" s="528">
        <f t="shared" si="865"/>
        <v>1.3068065110351837E-2</v>
      </c>
      <c r="EL298" s="528">
        <f t="shared" si="866"/>
        <v>0.9466378872620721</v>
      </c>
      <c r="EM298" s="528">
        <f t="shared" si="867"/>
        <v>4.3749999999999997E-2</v>
      </c>
      <c r="EN298" s="528">
        <f t="shared" si="868"/>
        <v>9.7574399999999992E-2</v>
      </c>
      <c r="EO298">
        <f t="shared" si="869"/>
        <v>1.6199999999999999E-2</v>
      </c>
      <c r="EP298" s="460">
        <f t="shared" si="870"/>
        <v>59.949999999999996</v>
      </c>
      <c r="EQ298" s="460"/>
      <c r="ER298" s="460">
        <f t="shared" si="871"/>
        <v>1117.230352372424</v>
      </c>
      <c r="ES298" s="528">
        <f t="shared" si="872"/>
        <v>0.57399999999999995</v>
      </c>
      <c r="EV298" s="460">
        <f t="shared" si="873"/>
        <v>574</v>
      </c>
      <c r="EW298" s="528">
        <f t="shared" si="874"/>
        <v>1.9602097665527753E-2</v>
      </c>
      <c r="EX298" s="528">
        <f t="shared" si="875"/>
        <v>4.5997902334472221E-2</v>
      </c>
      <c r="EY298" s="528">
        <f t="shared" si="876"/>
        <v>1.2030118753441956</v>
      </c>
      <c r="EZ298" s="528"/>
      <c r="FA298" s="528">
        <f t="shared" si="877"/>
        <v>1.1479999999999999E-2</v>
      </c>
      <c r="FB298" s="460">
        <f t="shared" si="878"/>
        <v>1280.0918753441954</v>
      </c>
      <c r="FC298" s="173">
        <f t="shared" si="879"/>
        <v>2.97132222771662</v>
      </c>
      <c r="FD298" s="5">
        <f t="shared" si="880"/>
        <v>13.447999999999999</v>
      </c>
      <c r="FE298" s="173">
        <f t="shared" si="881"/>
        <v>0.8190350255322425</v>
      </c>
      <c r="FF298" s="5">
        <f t="shared" si="882"/>
        <v>81.903502553224257</v>
      </c>
      <c r="FI298" s="562">
        <f t="shared" si="836"/>
        <v>-50</v>
      </c>
      <c r="FJ298">
        <f t="shared" si="837"/>
        <v>-50</v>
      </c>
      <c r="FL298">
        <f t="shared" si="838"/>
        <v>0.6403124237432849</v>
      </c>
    </row>
    <row r="299" spans="5:168">
      <c r="E299" s="170">
        <v>83</v>
      </c>
      <c r="F299" s="217">
        <f t="shared" si="839"/>
        <v>0.83</v>
      </c>
      <c r="G299" s="217"/>
      <c r="H299" s="217">
        <f t="shared" si="764"/>
        <v>13.611999999999998</v>
      </c>
      <c r="I299" s="541">
        <f t="shared" si="765"/>
        <v>35.936351037116147</v>
      </c>
      <c r="J299" s="172">
        <f t="shared" si="766"/>
        <v>16.838189377730309</v>
      </c>
      <c r="K299" s="172">
        <f t="shared" si="767"/>
        <v>52.774540414846456</v>
      </c>
      <c r="L299" s="443"/>
      <c r="M299" s="217">
        <f t="shared" si="768"/>
        <v>0.31906492150909038</v>
      </c>
      <c r="N299" s="172">
        <f t="shared" si="769"/>
        <v>38.73606804930273</v>
      </c>
      <c r="O299" s="172">
        <f t="shared" si="762"/>
        <v>13.611999999999998</v>
      </c>
      <c r="P299" s="217">
        <f t="shared" si="770"/>
        <v>2.3619553688599226</v>
      </c>
      <c r="Q299" s="217">
        <f t="shared" si="771"/>
        <v>16.399999999999999</v>
      </c>
      <c r="R299" s="217"/>
      <c r="S299" s="172">
        <f t="shared" si="772"/>
        <v>108.51831930627507</v>
      </c>
      <c r="T299" s="172">
        <f t="shared" si="773"/>
        <v>16.399999999999999</v>
      </c>
      <c r="U299" s="217">
        <f t="shared" si="774"/>
        <v>2.4378241809467309</v>
      </c>
      <c r="V299" s="217">
        <f t="shared" si="775"/>
        <v>0.81404731774649219</v>
      </c>
      <c r="W299" s="217">
        <f t="shared" si="776"/>
        <v>1.7373536735518074</v>
      </c>
      <c r="X299" s="197">
        <f t="shared" si="777"/>
        <v>350</v>
      </c>
      <c r="Y299" s="443">
        <f t="shared" si="840"/>
        <v>350</v>
      </c>
      <c r="AA299" s="217">
        <f t="shared" si="778"/>
        <v>2.7299558044060284</v>
      </c>
      <c r="AB299" s="173">
        <f t="shared" si="779"/>
        <v>1.9455458611362957</v>
      </c>
      <c r="AC299" s="173">
        <f t="shared" si="780"/>
        <v>0.92946948786075212</v>
      </c>
      <c r="AD299" s="173"/>
      <c r="AE299" s="173">
        <f t="shared" si="781"/>
        <v>0.95022093178029754</v>
      </c>
      <c r="AF299" s="545">
        <f t="shared" si="782"/>
        <v>1310.2216109546391</v>
      </c>
      <c r="AG299" s="528">
        <f t="shared" si="783"/>
        <v>0.22171821741540279</v>
      </c>
      <c r="AI299" s="173">
        <f t="shared" si="784"/>
        <v>2.5797468668286925</v>
      </c>
      <c r="AJ299" s="173">
        <f t="shared" si="785"/>
        <v>2.5797468668286925</v>
      </c>
      <c r="AK299" s="173">
        <f t="shared" si="786"/>
        <v>2.123269284070636</v>
      </c>
      <c r="AM299" s="545">
        <f t="shared" si="787"/>
        <v>830</v>
      </c>
      <c r="AN299" s="460">
        <f t="shared" si="788"/>
        <v>350</v>
      </c>
      <c r="AP299">
        <f t="shared" si="789"/>
        <v>830</v>
      </c>
      <c r="AQ299">
        <f t="shared" si="790"/>
        <v>350</v>
      </c>
      <c r="AS299" s="5">
        <f t="shared" si="763"/>
        <v>2.8571428571428572</v>
      </c>
      <c r="AT299" s="5">
        <f t="shared" si="791"/>
        <v>0.86143866888352205</v>
      </c>
      <c r="AU299" s="5">
        <f t="shared" si="883"/>
        <v>1.9957041882593352</v>
      </c>
      <c r="AV299" s="5"/>
      <c r="AW299" s="173">
        <f t="shared" si="884"/>
        <v>0.3015035341092327</v>
      </c>
      <c r="AX299" s="173">
        <f t="shared" si="792"/>
        <v>13.975697183516155</v>
      </c>
      <c r="AY299" s="173">
        <f t="shared" si="793"/>
        <v>0.90097203468631082</v>
      </c>
      <c r="AZ299" s="173">
        <f t="shared" si="794"/>
        <v>15.511799085286858</v>
      </c>
      <c r="BA299" s="460">
        <f t="shared" si="724"/>
        <v>4.3597200925202637</v>
      </c>
      <c r="BB299" s="5">
        <f t="shared" si="725"/>
        <v>0.62994536698436376</v>
      </c>
      <c r="BD299" s="173">
        <f t="shared" si="841"/>
        <v>0.81782930773030527</v>
      </c>
      <c r="BE299" s="173">
        <f t="shared" si="842"/>
        <v>1.2447971142806853</v>
      </c>
      <c r="BG299" s="528">
        <f t="shared" si="843"/>
        <v>1.3376895531652607E-2</v>
      </c>
      <c r="BH299" s="528">
        <f t="shared" si="795"/>
        <v>0.89345126904812855</v>
      </c>
      <c r="BI299" s="528">
        <f t="shared" si="796"/>
        <v>0.31444307157476625</v>
      </c>
      <c r="BJ299" s="528">
        <f t="shared" si="844"/>
        <v>9.7480324059939172E-2</v>
      </c>
      <c r="BK299">
        <f t="shared" si="845"/>
        <v>1.6171357966702264E-2</v>
      </c>
      <c r="BL299" s="460">
        <f t="shared" si="846"/>
        <v>330.6144295414685</v>
      </c>
      <c r="BM299" s="528">
        <f t="shared" si="797"/>
        <v>1.0111339885282382</v>
      </c>
      <c r="BN299" s="460">
        <f t="shared" si="847"/>
        <v>1011.1339885282382</v>
      </c>
      <c r="BO299" s="528">
        <f t="shared" si="798"/>
        <v>0.58099999999999996</v>
      </c>
      <c r="BR299" s="460">
        <f t="shared" si="848"/>
        <v>581</v>
      </c>
      <c r="BS299" s="528">
        <f t="shared" si="849"/>
        <v>2.0065343297478909E-2</v>
      </c>
      <c r="BT299" s="528">
        <f t="shared" si="850"/>
        <v>4.6485595671645646E-2</v>
      </c>
      <c r="BU299" s="528">
        <f t="shared" si="851"/>
        <v>1.2248498387977709</v>
      </c>
      <c r="BV299" s="528"/>
      <c r="BW299" s="528">
        <f t="shared" si="852"/>
        <v>1.1646414319596798E-2</v>
      </c>
      <c r="BX299" s="460">
        <f t="shared" si="853"/>
        <v>1303.0471920864923</v>
      </c>
      <c r="BY299" s="173">
        <f t="shared" si="854"/>
        <v>3.2189701102676804</v>
      </c>
      <c r="BZ299" s="5">
        <f t="shared" si="855"/>
        <v>13.611999999999998</v>
      </c>
      <c r="CA299" s="173">
        <f t="shared" si="856"/>
        <v>0.80874720297293157</v>
      </c>
      <c r="CB299" s="5">
        <f t="shared" si="857"/>
        <v>80.874720297293152</v>
      </c>
      <c r="CE299" s="562">
        <f t="shared" si="799"/>
        <v>-50</v>
      </c>
      <c r="CF299">
        <f t="shared" si="800"/>
        <v>-50</v>
      </c>
      <c r="CG299" s="173">
        <f t="shared" si="801"/>
        <v>0.65201376612730511</v>
      </c>
      <c r="CI299" s="170">
        <v>83</v>
      </c>
      <c r="CJ299" s="217">
        <f t="shared" si="858"/>
        <v>0.83</v>
      </c>
      <c r="CK299" s="217"/>
      <c r="CL299" s="217">
        <f t="shared" si="802"/>
        <v>13.611999999999998</v>
      </c>
      <c r="CM299" s="541">
        <f t="shared" si="803"/>
        <v>36</v>
      </c>
      <c r="CN299" s="443">
        <f t="shared" si="804"/>
        <v>16.799999999999997</v>
      </c>
      <c r="CO299" s="443">
        <f t="shared" si="805"/>
        <v>52.8</v>
      </c>
      <c r="CP299" s="443"/>
      <c r="CQ299" s="217">
        <f t="shared" si="806"/>
        <v>0.31818181818181812</v>
      </c>
      <c r="CR299" s="172">
        <f t="shared" si="807"/>
        <v>38.697272727272725</v>
      </c>
      <c r="CS299" s="172">
        <f t="shared" si="808"/>
        <v>13.611999999999998</v>
      </c>
      <c r="CT299" s="217">
        <f t="shared" si="809"/>
        <v>2.3595898004434592</v>
      </c>
      <c r="CU299" s="217">
        <f t="shared" si="810"/>
        <v>16.399999999999999</v>
      </c>
      <c r="CV299" s="217"/>
      <c r="CW299" s="172">
        <f t="shared" si="811"/>
        <v>108.7102898065116</v>
      </c>
      <c r="CX299" s="172">
        <f t="shared" si="812"/>
        <v>16.399999999999999</v>
      </c>
      <c r="CY299" s="217">
        <f t="shared" si="813"/>
        <v>2.3766984126984125</v>
      </c>
      <c r="CZ299" s="217">
        <f t="shared" si="814"/>
        <v>0.79223280423280418</v>
      </c>
      <c r="DA299" s="217">
        <f t="shared" si="815"/>
        <v>1.697641723356009</v>
      </c>
      <c r="DB299" s="197">
        <f t="shared" si="816"/>
        <v>350</v>
      </c>
      <c r="DC299" s="443">
        <f t="shared" si="817"/>
        <v>350</v>
      </c>
      <c r="DE299" s="217">
        <f t="shared" si="818"/>
        <v>2.7272727272727271</v>
      </c>
      <c r="DF299" s="173">
        <f t="shared" si="819"/>
        <v>1.9480519480519483</v>
      </c>
      <c r="DG299" s="173">
        <f t="shared" si="820"/>
        <v>0.92975206611570249</v>
      </c>
      <c r="DH299" s="173"/>
      <c r="DI299" s="173">
        <f t="shared" si="821"/>
        <v>0.95238095238095266</v>
      </c>
      <c r="DJ299" s="545">
        <f t="shared" si="822"/>
        <v>1307.2499999999993</v>
      </c>
      <c r="DK299" s="528">
        <f t="shared" si="823"/>
        <v>0.22222222222222232</v>
      </c>
      <c r="DM299" s="173">
        <f t="shared" si="824"/>
        <v>2.5768197453450248</v>
      </c>
      <c r="DN299" s="173">
        <f t="shared" si="825"/>
        <v>2.5768197453450248</v>
      </c>
      <c r="DO299" s="173">
        <f t="shared" si="826"/>
        <v>2.1211010459345863</v>
      </c>
      <c r="DQ299" s="545">
        <f t="shared" si="827"/>
        <v>830</v>
      </c>
      <c r="DR299" s="460">
        <f t="shared" si="828"/>
        <v>350</v>
      </c>
      <c r="DT299">
        <f t="shared" si="829"/>
        <v>830</v>
      </c>
      <c r="DU299">
        <f t="shared" si="830"/>
        <v>350</v>
      </c>
      <c r="DW299" s="5">
        <f t="shared" si="859"/>
        <v>2.8571428571428572</v>
      </c>
      <c r="DX299" s="5">
        <f t="shared" si="831"/>
        <v>0.85893991511500833</v>
      </c>
      <c r="DY299" s="5">
        <f t="shared" si="832"/>
        <v>1.9982029420278489</v>
      </c>
      <c r="DZ299" s="5"/>
      <c r="EA299" s="173">
        <f t="shared" si="833"/>
        <v>0.30062897029025293</v>
      </c>
      <c r="EB299" s="173">
        <f t="shared" si="860"/>
        <v>13.943999999999996</v>
      </c>
      <c r="EC299" s="173">
        <f t="shared" si="861"/>
        <v>0.90107653933917908</v>
      </c>
      <c r="ED299" s="173">
        <f t="shared" si="862"/>
        <v>15.474823049134185</v>
      </c>
      <c r="EE299" s="460">
        <f t="shared" si="834"/>
        <v>4.34707396064303</v>
      </c>
      <c r="EF299" s="5">
        <f t="shared" si="835"/>
        <v>0.62961894552970077</v>
      </c>
      <c r="EH299" s="173">
        <f t="shared" si="863"/>
        <v>0.81571571083870453</v>
      </c>
      <c r="EI299" s="173">
        <f t="shared" si="864"/>
        <v>1.244162856069992</v>
      </c>
      <c r="EK299" s="528">
        <f t="shared" si="865"/>
        <v>1.3307842418181861E-2</v>
      </c>
      <c r="EL299" s="528">
        <f t="shared" si="866"/>
        <v>0.95239257787952114</v>
      </c>
      <c r="EM299" s="528">
        <f t="shared" si="867"/>
        <v>4.3749999999999997E-2</v>
      </c>
      <c r="EN299" s="528">
        <f t="shared" si="868"/>
        <v>9.7574399999999992E-2</v>
      </c>
      <c r="EO299">
        <f t="shared" si="869"/>
        <v>1.6199999999999999E-2</v>
      </c>
      <c r="EP299" s="460">
        <f t="shared" si="870"/>
        <v>59.949999999999996</v>
      </c>
      <c r="EQ299" s="460"/>
      <c r="ER299" s="460">
        <f t="shared" si="871"/>
        <v>1123.224820297703</v>
      </c>
      <c r="ES299" s="528">
        <f t="shared" si="872"/>
        <v>0.58099999999999996</v>
      </c>
      <c r="EV299" s="460">
        <f t="shared" si="873"/>
        <v>581</v>
      </c>
      <c r="EW299" s="528">
        <f t="shared" si="874"/>
        <v>1.996176362727279E-2</v>
      </c>
      <c r="EX299" s="528">
        <f t="shared" si="875"/>
        <v>4.6438236372727183E-2</v>
      </c>
      <c r="EY299" s="528">
        <f t="shared" si="876"/>
        <v>1.2213783414037485</v>
      </c>
      <c r="EZ299" s="528"/>
      <c r="FA299" s="528">
        <f t="shared" si="877"/>
        <v>1.1619999999999997E-2</v>
      </c>
      <c r="FB299" s="460">
        <f t="shared" si="878"/>
        <v>1299.3983414037484</v>
      </c>
      <c r="FC299" s="173">
        <f t="shared" si="879"/>
        <v>3.0036231617014519</v>
      </c>
      <c r="FD299" s="5">
        <f t="shared" si="880"/>
        <v>13.611999999999998</v>
      </c>
      <c r="FE299" s="173">
        <f t="shared" si="881"/>
        <v>0.81922897910776415</v>
      </c>
      <c r="FF299" s="5">
        <f t="shared" si="882"/>
        <v>81.922897910776413</v>
      </c>
      <c r="FI299" s="562">
        <f t="shared" si="836"/>
        <v>-50</v>
      </c>
      <c r="FJ299">
        <f t="shared" si="837"/>
        <v>-50</v>
      </c>
      <c r="FL299">
        <f t="shared" si="838"/>
        <v>0.64420493633625631</v>
      </c>
    </row>
    <row r="300" spans="5:168">
      <c r="E300" s="170">
        <v>84</v>
      </c>
      <c r="F300" s="217">
        <f t="shared" si="839"/>
        <v>0.84</v>
      </c>
      <c r="G300" s="217"/>
      <c r="H300" s="217">
        <f t="shared" si="764"/>
        <v>13.775999999999998</v>
      </c>
      <c r="I300" s="541">
        <f t="shared" si="765"/>
        <v>35.935968757625673</v>
      </c>
      <c r="J300" s="172">
        <f t="shared" si="766"/>
        <v>16.838418745424594</v>
      </c>
      <c r="K300" s="172">
        <f t="shared" si="767"/>
        <v>52.774387503050264</v>
      </c>
      <c r="L300" s="443"/>
      <c r="M300" s="217">
        <f t="shared" si="768"/>
        <v>0.31907022800796681</v>
      </c>
      <c r="N300" s="172">
        <f t="shared" si="769"/>
        <v>38.736300215809209</v>
      </c>
      <c r="O300" s="172">
        <f t="shared" si="762"/>
        <v>13.775999999999998</v>
      </c>
      <c r="P300" s="217">
        <f t="shared" si="770"/>
        <v>2.3619695253542203</v>
      </c>
      <c r="Q300" s="217">
        <f t="shared" si="771"/>
        <v>16.399999999999999</v>
      </c>
      <c r="R300" s="217"/>
      <c r="S300" s="172">
        <f t="shared" si="772"/>
        <v>106.80116984027546</v>
      </c>
      <c r="T300" s="172">
        <f t="shared" si="773"/>
        <v>16.399999999999999</v>
      </c>
      <c r="U300" s="217">
        <f t="shared" si="774"/>
        <v>2.4672147835234552</v>
      </c>
      <c r="V300" s="217">
        <f t="shared" si="775"/>
        <v>0.82387030114497473</v>
      </c>
      <c r="W300" s="217">
        <f t="shared" si="776"/>
        <v>1.7582753968704032</v>
      </c>
      <c r="X300" s="197">
        <f t="shared" si="777"/>
        <v>350</v>
      </c>
      <c r="Y300" s="443">
        <f t="shared" si="840"/>
        <v>350</v>
      </c>
      <c r="AA300" s="217">
        <f t="shared" si="778"/>
        <v>2.7299718606890631</v>
      </c>
      <c r="AB300" s="173">
        <f t="shared" si="779"/>
        <v>1.9455308021229933</v>
      </c>
      <c r="AC300" s="173">
        <f t="shared" si="780"/>
        <v>0.92946776018242883</v>
      </c>
      <c r="AD300" s="173"/>
      <c r="AE300" s="173">
        <f t="shared" si="781"/>
        <v>0.95020798816679808</v>
      </c>
      <c r="AF300" s="545">
        <f t="shared" si="782"/>
        <v>1326.0254762021862</v>
      </c>
      <c r="AG300" s="528">
        <f t="shared" si="783"/>
        <v>0.22171519723891958</v>
      </c>
      <c r="AI300" s="173">
        <f t="shared" si="784"/>
        <v>2.5952586572767342</v>
      </c>
      <c r="AJ300" s="173">
        <f t="shared" si="785"/>
        <v>2.5952586572767342</v>
      </c>
      <c r="AK300" s="173">
        <f t="shared" si="786"/>
        <v>2.134759499217334</v>
      </c>
      <c r="AM300" s="545">
        <f t="shared" si="787"/>
        <v>840</v>
      </c>
      <c r="AN300" s="460">
        <f t="shared" si="788"/>
        <v>350</v>
      </c>
      <c r="AP300">
        <f t="shared" si="789"/>
        <v>840</v>
      </c>
      <c r="AQ300">
        <f t="shared" si="790"/>
        <v>350</v>
      </c>
      <c r="AS300" s="5">
        <f t="shared" si="763"/>
        <v>2.8571428571428572</v>
      </c>
      <c r="AT300" s="5">
        <f t="shared" si="791"/>
        <v>0.86662764255415259</v>
      </c>
      <c r="AU300" s="5">
        <f t="shared" si="883"/>
        <v>1.9905152145887046</v>
      </c>
      <c r="AV300" s="5"/>
      <c r="AW300" s="173">
        <f t="shared" si="884"/>
        <v>0.30331967489395339</v>
      </c>
      <c r="AX300" s="173">
        <f t="shared" si="792"/>
        <v>14.14427174615666</v>
      </c>
      <c r="AY300" s="173">
        <f t="shared" si="793"/>
        <v>0.90403282254291861</v>
      </c>
      <c r="AZ300" s="173">
        <f t="shared" si="794"/>
        <v>15.645750235451397</v>
      </c>
      <c r="BA300" s="460">
        <f t="shared" si="724"/>
        <v>4.4388245106432214</v>
      </c>
      <c r="BB300" s="5">
        <f t="shared" si="725"/>
        <v>0.63588419774071836</v>
      </c>
      <c r="BD300" s="173">
        <f t="shared" si="841"/>
        <v>0.82522107741626327</v>
      </c>
      <c r="BE300" s="173">
        <f t="shared" si="842"/>
        <v>1.2506528986005219</v>
      </c>
      <c r="BG300" s="528">
        <f t="shared" si="843"/>
        <v>1.361979653224117E-2</v>
      </c>
      <c r="BH300" s="528">
        <f t="shared" si="795"/>
        <v>0.89882090845160445</v>
      </c>
      <c r="BI300" s="528">
        <f t="shared" si="796"/>
        <v>0.31443972662922465</v>
      </c>
      <c r="BJ300" s="528">
        <f t="shared" si="844"/>
        <v>9.7479759171273786E-2</v>
      </c>
      <c r="BK300">
        <f t="shared" si="845"/>
        <v>1.6171185940931553E-2</v>
      </c>
      <c r="BL300" s="460">
        <f t="shared" si="846"/>
        <v>330.61091257015619</v>
      </c>
      <c r="BM300" s="528">
        <f t="shared" si="797"/>
        <v>1.0168885252175459</v>
      </c>
      <c r="BN300" s="460">
        <f t="shared" si="847"/>
        <v>1016.8885252175459</v>
      </c>
      <c r="BO300" s="528">
        <f t="shared" si="798"/>
        <v>0.58799999999999997</v>
      </c>
      <c r="BR300" s="460">
        <f t="shared" si="848"/>
        <v>588</v>
      </c>
      <c r="BS300" s="528">
        <f t="shared" si="849"/>
        <v>2.0429694798361753E-2</v>
      </c>
      <c r="BT300" s="528">
        <f t="shared" si="850"/>
        <v>4.6923980183336614E-2</v>
      </c>
      <c r="BU300" s="528">
        <f t="shared" si="851"/>
        <v>1.2433452407404118</v>
      </c>
      <c r="BV300" s="528"/>
      <c r="BW300" s="528">
        <f t="shared" si="852"/>
        <v>1.1786893121797214E-2</v>
      </c>
      <c r="BX300" s="460">
        <f t="shared" si="853"/>
        <v>1322.4858088439073</v>
      </c>
      <c r="BY300" s="173">
        <f t="shared" si="854"/>
        <v>3.2510171855691827</v>
      </c>
      <c r="BZ300" s="5">
        <f t="shared" si="855"/>
        <v>13.775999999999998</v>
      </c>
      <c r="CA300" s="173">
        <f t="shared" si="856"/>
        <v>0.80906713429968802</v>
      </c>
      <c r="CB300" s="5">
        <f t="shared" si="857"/>
        <v>80.906713429968804</v>
      </c>
      <c r="CE300" s="562">
        <f t="shared" si="799"/>
        <v>-50</v>
      </c>
      <c r="CF300">
        <f t="shared" si="800"/>
        <v>-50</v>
      </c>
      <c r="CG300" s="173">
        <f t="shared" si="801"/>
        <v>0.65592979993214551</v>
      </c>
      <c r="CI300" s="170">
        <v>84</v>
      </c>
      <c r="CJ300" s="217">
        <f t="shared" si="858"/>
        <v>0.84</v>
      </c>
      <c r="CK300" s="217"/>
      <c r="CL300" s="217">
        <f t="shared" si="802"/>
        <v>13.775999999999998</v>
      </c>
      <c r="CM300" s="541">
        <f t="shared" si="803"/>
        <v>36</v>
      </c>
      <c r="CN300" s="443">
        <f t="shared" si="804"/>
        <v>16.799999999999997</v>
      </c>
      <c r="CO300" s="443">
        <f t="shared" si="805"/>
        <v>52.8</v>
      </c>
      <c r="CP300" s="443"/>
      <c r="CQ300" s="217">
        <f t="shared" si="806"/>
        <v>0.31818181818181812</v>
      </c>
      <c r="CR300" s="172">
        <f t="shared" si="807"/>
        <v>38.697272727272725</v>
      </c>
      <c r="CS300" s="172">
        <f t="shared" si="808"/>
        <v>13.775999999999998</v>
      </c>
      <c r="CT300" s="217">
        <f t="shared" si="809"/>
        <v>2.3595898004434592</v>
      </c>
      <c r="CU300" s="217">
        <f t="shared" si="810"/>
        <v>16.399999999999999</v>
      </c>
      <c r="CV300" s="217"/>
      <c r="CW300" s="172">
        <f t="shared" si="811"/>
        <v>106.9912320162822</v>
      </c>
      <c r="CX300" s="172">
        <f t="shared" si="812"/>
        <v>16.399999999999999</v>
      </c>
      <c r="CY300" s="217">
        <f t="shared" si="813"/>
        <v>2.4053333333333331</v>
      </c>
      <c r="CZ300" s="217">
        <f t="shared" si="814"/>
        <v>0.8017777777777777</v>
      </c>
      <c r="DA300" s="217">
        <f t="shared" si="815"/>
        <v>1.7180952380952383</v>
      </c>
      <c r="DB300" s="197">
        <f t="shared" si="816"/>
        <v>350</v>
      </c>
      <c r="DC300" s="443">
        <f t="shared" si="817"/>
        <v>350</v>
      </c>
      <c r="DE300" s="217">
        <f t="shared" si="818"/>
        <v>2.7272727272727271</v>
      </c>
      <c r="DF300" s="173">
        <f t="shared" si="819"/>
        <v>1.9480519480519483</v>
      </c>
      <c r="DG300" s="173">
        <f t="shared" si="820"/>
        <v>0.92975206611570249</v>
      </c>
      <c r="DH300" s="173"/>
      <c r="DI300" s="173">
        <f t="shared" si="821"/>
        <v>0.95238095238095266</v>
      </c>
      <c r="DJ300" s="545">
        <f t="shared" si="822"/>
        <v>1322.9999999999993</v>
      </c>
      <c r="DK300" s="528">
        <f t="shared" si="823"/>
        <v>0.22222222222222232</v>
      </c>
      <c r="DM300" s="173">
        <f t="shared" si="824"/>
        <v>2.5922962793631439</v>
      </c>
      <c r="DN300" s="173">
        <f t="shared" si="825"/>
        <v>2.5922962793631439</v>
      </c>
      <c r="DO300" s="173">
        <f t="shared" si="826"/>
        <v>2.1325651452072671</v>
      </c>
      <c r="DQ300" s="545">
        <f t="shared" si="827"/>
        <v>840</v>
      </c>
      <c r="DR300" s="460">
        <f t="shared" si="828"/>
        <v>350</v>
      </c>
      <c r="DT300">
        <f t="shared" si="829"/>
        <v>840</v>
      </c>
      <c r="DU300">
        <f t="shared" si="830"/>
        <v>350</v>
      </c>
      <c r="DW300" s="5">
        <f t="shared" si="859"/>
        <v>2.8571428571428572</v>
      </c>
      <c r="DX300" s="5">
        <f t="shared" si="831"/>
        <v>0.86409875978771467</v>
      </c>
      <c r="DY300" s="5">
        <f t="shared" si="832"/>
        <v>1.9930440973551424</v>
      </c>
      <c r="DZ300" s="5"/>
      <c r="EA300" s="173">
        <f t="shared" si="833"/>
        <v>0.30243456592570012</v>
      </c>
      <c r="EB300" s="173">
        <f t="shared" si="860"/>
        <v>14.111999999999998</v>
      </c>
      <c r="EC300" s="173">
        <f t="shared" si="861"/>
        <v>0.90414813968157193</v>
      </c>
      <c r="ED300" s="173">
        <f t="shared" si="862"/>
        <v>15.608061755200916</v>
      </c>
      <c r="EE300" s="460">
        <f t="shared" si="834"/>
        <v>4.4258716964736617</v>
      </c>
      <c r="EF300" s="5">
        <f t="shared" si="835"/>
        <v>0.63555961771213965</v>
      </c>
      <c r="EH300" s="173">
        <f t="shared" si="863"/>
        <v>0.82307559049796153</v>
      </c>
      <c r="EI300" s="173">
        <f t="shared" si="864"/>
        <v>1.2500186287917598</v>
      </c>
      <c r="EK300" s="528">
        <f t="shared" si="865"/>
        <v>1.3549068553471362E-2</v>
      </c>
      <c r="EL300" s="528">
        <f t="shared" si="866"/>
        <v>0.9581127048526179</v>
      </c>
      <c r="EM300" s="528">
        <f t="shared" si="867"/>
        <v>4.3749999999999997E-2</v>
      </c>
      <c r="EN300" s="528">
        <f t="shared" si="868"/>
        <v>9.7574399999999992E-2</v>
      </c>
      <c r="EO300">
        <f t="shared" si="869"/>
        <v>1.6199999999999999E-2</v>
      </c>
      <c r="EP300" s="460">
        <f t="shared" si="870"/>
        <v>59.949999999999996</v>
      </c>
      <c r="EQ300" s="460"/>
      <c r="ER300" s="460">
        <f t="shared" si="871"/>
        <v>1129.1861734060892</v>
      </c>
      <c r="ES300" s="528">
        <f t="shared" si="872"/>
        <v>0.58799999999999997</v>
      </c>
      <c r="EV300" s="460">
        <f t="shared" si="873"/>
        <v>588</v>
      </c>
      <c r="EW300" s="528">
        <f t="shared" si="874"/>
        <v>2.0323602830207042E-2</v>
      </c>
      <c r="EX300" s="528">
        <f t="shared" si="875"/>
        <v>4.6876397169792944E-2</v>
      </c>
      <c r="EY300" s="528">
        <f t="shared" si="876"/>
        <v>1.2398002127168712</v>
      </c>
      <c r="EZ300" s="528"/>
      <c r="FA300" s="528">
        <f t="shared" si="877"/>
        <v>1.176E-2</v>
      </c>
      <c r="FB300" s="460">
        <f t="shared" si="878"/>
        <v>1318.7602127168711</v>
      </c>
      <c r="FC300" s="173">
        <f t="shared" si="879"/>
        <v>3.0359463861229607</v>
      </c>
      <c r="FD300" s="5">
        <f t="shared" si="880"/>
        <v>13.775999999999998</v>
      </c>
      <c r="FE300" s="173">
        <f t="shared" si="881"/>
        <v>0.81941731692477238</v>
      </c>
      <c r="FF300" s="5">
        <f t="shared" si="882"/>
        <v>81.941731692477234</v>
      </c>
      <c r="FI300" s="562">
        <f t="shared" si="836"/>
        <v>-50</v>
      </c>
      <c r="FJ300">
        <f t="shared" si="837"/>
        <v>-50</v>
      </c>
      <c r="FL300">
        <f t="shared" si="838"/>
        <v>0.64807406984078608</v>
      </c>
    </row>
    <row r="301" spans="5:168">
      <c r="E301" s="170">
        <v>85</v>
      </c>
      <c r="F301" s="217">
        <f t="shared" si="839"/>
        <v>0.85</v>
      </c>
      <c r="G301" s="217"/>
      <c r="H301" s="217">
        <f t="shared" si="764"/>
        <v>13.939999999999998</v>
      </c>
      <c r="I301" s="541">
        <f t="shared" si="765"/>
        <v>35.935588746916324</v>
      </c>
      <c r="J301" s="172">
        <f t="shared" si="766"/>
        <v>16.838646751850202</v>
      </c>
      <c r="K301" s="172">
        <f t="shared" si="767"/>
        <v>52.774235498766529</v>
      </c>
      <c r="L301" s="443"/>
      <c r="M301" s="217">
        <f t="shared" si="768"/>
        <v>0.31907550304335702</v>
      </c>
      <c r="N301" s="172">
        <f t="shared" si="769"/>
        <v>38.736530994484589</v>
      </c>
      <c r="O301" s="172">
        <f t="shared" si="762"/>
        <v>13.939999999999998</v>
      </c>
      <c r="P301" s="217">
        <f t="shared" si="770"/>
        <v>2.3619835972246701</v>
      </c>
      <c r="Q301" s="217">
        <f t="shared" si="771"/>
        <v>16.399999999999999</v>
      </c>
      <c r="R301" s="217"/>
      <c r="S301" s="172">
        <f t="shared" si="772"/>
        <v>105.12450572894733</v>
      </c>
      <c r="T301" s="172">
        <f t="shared" si="773"/>
        <v>16.399999999999999</v>
      </c>
      <c r="U301" s="217">
        <f t="shared" si="774"/>
        <v>2.4966057288261219</v>
      </c>
      <c r="V301" s="217">
        <f t="shared" si="775"/>
        <v>0.83369355534725453</v>
      </c>
      <c r="W301" s="217">
        <f t="shared" si="776"/>
        <v>1.7791969382944379</v>
      </c>
      <c r="X301" s="197">
        <f t="shared" si="777"/>
        <v>350</v>
      </c>
      <c r="Y301" s="443">
        <f t="shared" si="840"/>
        <v>350</v>
      </c>
      <c r="AA301" s="217">
        <f t="shared" si="778"/>
        <v>2.7299878209881325</v>
      </c>
      <c r="AB301" s="173">
        <f t="shared" si="779"/>
        <v>1.9455158323965664</v>
      </c>
      <c r="AC301" s="173">
        <f t="shared" si="780"/>
        <v>0.92946604239688757</v>
      </c>
      <c r="AD301" s="173"/>
      <c r="AE301" s="173">
        <f t="shared" si="781"/>
        <v>0.95019512172152132</v>
      </c>
      <c r="AF301" s="545">
        <f t="shared" si="782"/>
        <v>1341.8296630380626</v>
      </c>
      <c r="AG301" s="528">
        <f t="shared" si="783"/>
        <v>0.22171219506835499</v>
      </c>
      <c r="AI301" s="173">
        <f t="shared" si="784"/>
        <v>2.610678596244997</v>
      </c>
      <c r="AJ301" s="173">
        <f t="shared" si="785"/>
        <v>2.610678596244997</v>
      </c>
      <c r="AK301" s="173">
        <f t="shared" si="786"/>
        <v>2.1461816762308619</v>
      </c>
      <c r="AM301" s="545">
        <f t="shared" si="787"/>
        <v>850</v>
      </c>
      <c r="AN301" s="460">
        <f t="shared" si="788"/>
        <v>350</v>
      </c>
      <c r="AP301">
        <f t="shared" si="789"/>
        <v>850</v>
      </c>
      <c r="AQ301">
        <f t="shared" si="790"/>
        <v>350</v>
      </c>
      <c r="AS301" s="5">
        <f t="shared" si="763"/>
        <v>2.8571428571428572</v>
      </c>
      <c r="AT301" s="5">
        <f t="shared" si="791"/>
        <v>0.87178599954420588</v>
      </c>
      <c r="AU301" s="5">
        <f t="shared" si="883"/>
        <v>1.9853568575986513</v>
      </c>
      <c r="AV301" s="5"/>
      <c r="AW301" s="173">
        <f t="shared" si="884"/>
        <v>0.30512509984047204</v>
      </c>
      <c r="AX301" s="173">
        <f t="shared" si="792"/>
        <v>14.31284973907267</v>
      </c>
      <c r="AY301" s="173">
        <f t="shared" si="793"/>
        <v>0.90704751445717957</v>
      </c>
      <c r="AZ301" s="173">
        <f t="shared" si="794"/>
        <v>15.779603064827493</v>
      </c>
      <c r="BA301" s="460">
        <f t="shared" si="724"/>
        <v>4.5184030464181406</v>
      </c>
      <c r="BB301" s="5">
        <f t="shared" si="725"/>
        <v>0.64179354320675797</v>
      </c>
      <c r="BD301" s="173">
        <f t="shared" si="841"/>
        <v>0.83259106996383736</v>
      </c>
      <c r="BE301" s="173">
        <f t="shared" si="842"/>
        <v>1.2564525542894123</v>
      </c>
      <c r="BG301" s="528">
        <f t="shared" si="843"/>
        <v>1.386415779567055E-2</v>
      </c>
      <c r="BH301" s="528">
        <f t="shared" si="795"/>
        <v>0.90415872126446128</v>
      </c>
      <c r="BI301" s="528">
        <f t="shared" si="796"/>
        <v>0.31443640153551788</v>
      </c>
      <c r="BJ301" s="528">
        <f t="shared" si="844"/>
        <v>9.7479197636774428E-2</v>
      </c>
      <c r="BK301">
        <f t="shared" si="845"/>
        <v>1.6171014936112345E-2</v>
      </c>
      <c r="BL301" s="460">
        <f t="shared" si="846"/>
        <v>330.60741647163024</v>
      </c>
      <c r="BM301" s="528">
        <f t="shared" si="797"/>
        <v>1.0226140165662592</v>
      </c>
      <c r="BN301" s="460">
        <f t="shared" si="847"/>
        <v>1022.6140165662591</v>
      </c>
      <c r="BO301" s="528">
        <f t="shared" si="798"/>
        <v>0.59499999999999997</v>
      </c>
      <c r="BR301" s="460">
        <f t="shared" si="848"/>
        <v>595</v>
      </c>
      <c r="BS301" s="528">
        <f t="shared" si="849"/>
        <v>2.0796236693505825E-2</v>
      </c>
      <c r="BT301" s="528">
        <f t="shared" si="850"/>
        <v>4.7360190635411657E-2</v>
      </c>
      <c r="BU301" s="528">
        <f t="shared" si="851"/>
        <v>1.2618962121213255</v>
      </c>
      <c r="BV301" s="528"/>
      <c r="BW301" s="528">
        <f t="shared" si="852"/>
        <v>1.1927374782560559E-2</v>
      </c>
      <c r="BX301" s="460">
        <f t="shared" si="853"/>
        <v>1341.9800142328036</v>
      </c>
      <c r="BY301" s="173">
        <f t="shared" si="854"/>
        <v>3.28308950740134</v>
      </c>
      <c r="BZ301" s="5">
        <f t="shared" si="855"/>
        <v>13.939999999999998</v>
      </c>
      <c r="CA301" s="173">
        <f t="shared" si="856"/>
        <v>0.8093785957513322</v>
      </c>
      <c r="CB301" s="5">
        <f t="shared" si="857"/>
        <v>80.937859575133217</v>
      </c>
      <c r="CE301" s="562">
        <f t="shared" si="799"/>
        <v>-50</v>
      </c>
      <c r="CF301">
        <f t="shared" si="800"/>
        <v>-50</v>
      </c>
      <c r="CG301" s="173">
        <f t="shared" si="801"/>
        <v>0.65982259256449882</v>
      </c>
      <c r="CI301" s="170">
        <v>85</v>
      </c>
      <c r="CJ301" s="217">
        <f t="shared" si="858"/>
        <v>0.85</v>
      </c>
      <c r="CK301" s="217"/>
      <c r="CL301" s="217">
        <f t="shared" si="802"/>
        <v>13.939999999999998</v>
      </c>
      <c r="CM301" s="541">
        <f t="shared" si="803"/>
        <v>36</v>
      </c>
      <c r="CN301" s="443">
        <f t="shared" si="804"/>
        <v>16.799999999999997</v>
      </c>
      <c r="CO301" s="443">
        <f t="shared" si="805"/>
        <v>52.8</v>
      </c>
      <c r="CP301" s="443"/>
      <c r="CQ301" s="217">
        <f t="shared" si="806"/>
        <v>0.31818181818181812</v>
      </c>
      <c r="CR301" s="172">
        <f t="shared" si="807"/>
        <v>38.697272727272725</v>
      </c>
      <c r="CS301" s="172">
        <f t="shared" si="808"/>
        <v>13.939999999999998</v>
      </c>
      <c r="CT301" s="217">
        <f t="shared" si="809"/>
        <v>2.3595898004434592</v>
      </c>
      <c r="CU301" s="217">
        <f t="shared" si="810"/>
        <v>16.399999999999999</v>
      </c>
      <c r="CV301" s="217"/>
      <c r="CW301" s="172">
        <f t="shared" si="811"/>
        <v>105.31268886207741</v>
      </c>
      <c r="CX301" s="172">
        <f t="shared" si="812"/>
        <v>16.399999999999999</v>
      </c>
      <c r="CY301" s="217">
        <f t="shared" si="813"/>
        <v>2.4339682539682537</v>
      </c>
      <c r="CZ301" s="217">
        <f t="shared" si="814"/>
        <v>0.81132275132275122</v>
      </c>
      <c r="DA301" s="217">
        <f t="shared" si="815"/>
        <v>1.7385487528344672</v>
      </c>
      <c r="DB301" s="197">
        <f t="shared" si="816"/>
        <v>350</v>
      </c>
      <c r="DC301" s="443">
        <f t="shared" si="817"/>
        <v>350</v>
      </c>
      <c r="DE301" s="217">
        <f t="shared" si="818"/>
        <v>2.7272727272727271</v>
      </c>
      <c r="DF301" s="173">
        <f t="shared" si="819"/>
        <v>1.9480519480519483</v>
      </c>
      <c r="DG301" s="173">
        <f t="shared" si="820"/>
        <v>0.92975206611570249</v>
      </c>
      <c r="DH301" s="173"/>
      <c r="DI301" s="173">
        <f t="shared" si="821"/>
        <v>0.95238095238095266</v>
      </c>
      <c r="DJ301" s="545">
        <f t="shared" si="822"/>
        <v>1338.7499999999993</v>
      </c>
      <c r="DK301" s="528">
        <f t="shared" si="823"/>
        <v>0.22222222222222232</v>
      </c>
      <c r="DM301" s="173">
        <f t="shared" si="824"/>
        <v>2.607680962081059</v>
      </c>
      <c r="DN301" s="173">
        <f t="shared" si="825"/>
        <v>2.607680962081059</v>
      </c>
      <c r="DO301" s="173">
        <f t="shared" si="826"/>
        <v>2.1439612064797968</v>
      </c>
      <c r="DQ301" s="545">
        <f t="shared" si="827"/>
        <v>850</v>
      </c>
      <c r="DR301" s="460">
        <f t="shared" si="828"/>
        <v>350</v>
      </c>
      <c r="DT301">
        <f t="shared" si="829"/>
        <v>850</v>
      </c>
      <c r="DU301">
        <f t="shared" si="830"/>
        <v>350</v>
      </c>
      <c r="DW301" s="5">
        <f t="shared" si="859"/>
        <v>2.8571428571428572</v>
      </c>
      <c r="DX301" s="5">
        <f t="shared" si="831"/>
        <v>0.86922698736035309</v>
      </c>
      <c r="DY301" s="5">
        <f t="shared" si="832"/>
        <v>1.9879158697825041</v>
      </c>
      <c r="DZ301" s="5"/>
      <c r="EA301" s="173">
        <f t="shared" si="833"/>
        <v>0.30422944557612358</v>
      </c>
      <c r="EB301" s="173">
        <f t="shared" si="860"/>
        <v>14.279999999999996</v>
      </c>
      <c r="EC301" s="173">
        <f t="shared" si="861"/>
        <v>0.90717381437386291</v>
      </c>
      <c r="ED301" s="173">
        <f t="shared" si="862"/>
        <v>15.741195098158936</v>
      </c>
      <c r="EE301" s="460">
        <f t="shared" si="834"/>
        <v>4.5051398735140262</v>
      </c>
      <c r="EF301" s="5">
        <f t="shared" si="835"/>
        <v>0.64147100057333561</v>
      </c>
      <c r="EH301" s="173">
        <f t="shared" si="863"/>
        <v>0.83041359773662182</v>
      </c>
      <c r="EI301" s="173">
        <f t="shared" si="864"/>
        <v>1.2558184277039359</v>
      </c>
      <c r="EK301" s="528">
        <f t="shared" si="865"/>
        <v>1.3791734866117599E-2</v>
      </c>
      <c r="EL301" s="528">
        <f t="shared" si="866"/>
        <v>0.96379888358515931</v>
      </c>
      <c r="EM301" s="528">
        <f t="shared" si="867"/>
        <v>4.3749999999999997E-2</v>
      </c>
      <c r="EN301" s="528">
        <f t="shared" si="868"/>
        <v>9.7574399999999992E-2</v>
      </c>
      <c r="EO301">
        <f t="shared" si="869"/>
        <v>1.6199999999999999E-2</v>
      </c>
      <c r="EP301" s="460">
        <f t="shared" si="870"/>
        <v>59.949999999999996</v>
      </c>
      <c r="EQ301" s="460"/>
      <c r="ER301" s="460">
        <f t="shared" si="871"/>
        <v>1135.1150184512771</v>
      </c>
      <c r="ES301" s="528">
        <f t="shared" si="872"/>
        <v>0.59499999999999997</v>
      </c>
      <c r="EV301" s="460">
        <f t="shared" si="873"/>
        <v>595</v>
      </c>
      <c r="EW301" s="528">
        <f t="shared" si="874"/>
        <v>2.0687602299176398E-2</v>
      </c>
      <c r="EX301" s="528">
        <f t="shared" si="875"/>
        <v>4.7312397700823572E-2</v>
      </c>
      <c r="EY301" s="528">
        <f t="shared" si="876"/>
        <v>1.2582769938333433</v>
      </c>
      <c r="EZ301" s="528"/>
      <c r="FA301" s="528">
        <f t="shared" si="877"/>
        <v>1.1899999999999997E-2</v>
      </c>
      <c r="FB301" s="460">
        <f t="shared" si="878"/>
        <v>1338.1769938333434</v>
      </c>
      <c r="FC301" s="173">
        <f t="shared" si="879"/>
        <v>3.06829201228462</v>
      </c>
      <c r="FD301" s="5">
        <f t="shared" si="880"/>
        <v>13.939999999999998</v>
      </c>
      <c r="FE301" s="173">
        <f t="shared" si="881"/>
        <v>0.81960022734390514</v>
      </c>
      <c r="FF301" s="5">
        <f t="shared" si="882"/>
        <v>81.96002273439052</v>
      </c>
      <c r="FI301" s="562">
        <f t="shared" si="836"/>
        <v>-50</v>
      </c>
      <c r="FJ301">
        <f t="shared" si="837"/>
        <v>-50</v>
      </c>
      <c r="FL301">
        <f t="shared" si="838"/>
        <v>0.65192024052026487</v>
      </c>
    </row>
    <row r="302" spans="5:168">
      <c r="E302" s="170">
        <v>86</v>
      </c>
      <c r="F302" s="217">
        <f t="shared" si="839"/>
        <v>0.86</v>
      </c>
      <c r="G302" s="217"/>
      <c r="H302" s="217">
        <f t="shared" si="764"/>
        <v>14.103999999999999</v>
      </c>
      <c r="I302" s="541">
        <f t="shared" si="765"/>
        <v>35.93521096506646</v>
      </c>
      <c r="J302" s="172">
        <f t="shared" si="766"/>
        <v>16.83887342096012</v>
      </c>
      <c r="K302" s="172">
        <f t="shared" si="767"/>
        <v>52.77408438602658</v>
      </c>
      <c r="L302" s="443"/>
      <c r="M302" s="217">
        <f t="shared" si="768"/>
        <v>0.31908074716889523</v>
      </c>
      <c r="N302" s="172">
        <f t="shared" si="769"/>
        <v>38.736760409749181</v>
      </c>
      <c r="O302" s="172">
        <f t="shared" si="762"/>
        <v>14.103999999999999</v>
      </c>
      <c r="P302" s="217">
        <f t="shared" si="770"/>
        <v>2.3619975859603159</v>
      </c>
      <c r="Q302" s="217">
        <f t="shared" si="771"/>
        <v>16.399999999999999</v>
      </c>
      <c r="R302" s="217"/>
      <c r="S302" s="172">
        <f t="shared" si="772"/>
        <v>103.48691526452528</v>
      </c>
      <c r="T302" s="172">
        <f t="shared" si="773"/>
        <v>16.399999999999999</v>
      </c>
      <c r="U302" s="217">
        <f t="shared" si="774"/>
        <v>2.5259970148422699</v>
      </c>
      <c r="V302" s="217">
        <f t="shared" si="775"/>
        <v>0.84351707876640203</v>
      </c>
      <c r="W302" s="217">
        <f t="shared" si="776"/>
        <v>1.8001182989104572</v>
      </c>
      <c r="X302" s="197">
        <f t="shared" si="777"/>
        <v>350</v>
      </c>
      <c r="Y302" s="443">
        <f t="shared" si="840"/>
        <v>350</v>
      </c>
      <c r="AA302" s="217">
        <f t="shared" si="778"/>
        <v>2.7300036869921729</v>
      </c>
      <c r="AB302" s="173">
        <f t="shared" si="779"/>
        <v>1.9455009503859173</v>
      </c>
      <c r="AC302" s="173">
        <f t="shared" si="780"/>
        <v>0.92946433433005793</v>
      </c>
      <c r="AD302" s="173"/>
      <c r="AE302" s="173">
        <f t="shared" si="781"/>
        <v>0.95018233108659556</v>
      </c>
      <c r="AF302" s="545">
        <f t="shared" si="782"/>
        <v>1357.6341695649094</v>
      </c>
      <c r="AG302" s="528">
        <f t="shared" si="783"/>
        <v>0.22170921058687232</v>
      </c>
      <c r="AI302" s="173">
        <f t="shared" si="784"/>
        <v>2.626008299956573</v>
      </c>
      <c r="AJ302" s="173">
        <f t="shared" si="785"/>
        <v>2.626008299956573</v>
      </c>
      <c r="AK302" s="173">
        <f t="shared" si="786"/>
        <v>2.1575370123135107</v>
      </c>
      <c r="AM302" s="545">
        <f t="shared" si="787"/>
        <v>860</v>
      </c>
      <c r="AN302" s="460">
        <f t="shared" si="788"/>
        <v>350</v>
      </c>
      <c r="AP302">
        <f t="shared" si="789"/>
        <v>860</v>
      </c>
      <c r="AQ302">
        <f t="shared" si="790"/>
        <v>350</v>
      </c>
      <c r="AS302" s="5">
        <f t="shared" si="763"/>
        <v>2.8571428571428572</v>
      </c>
      <c r="AT302" s="5">
        <f t="shared" si="791"/>
        <v>0.87691427859189697</v>
      </c>
      <c r="AU302" s="5">
        <f t="shared" si="883"/>
        <v>1.9802285785509603</v>
      </c>
      <c r="AV302" s="5"/>
      <c r="AW302" s="173">
        <f t="shared" si="884"/>
        <v>0.30691999750716392</v>
      </c>
      <c r="AX302" s="173">
        <f t="shared" si="792"/>
        <v>14.481431142025704</v>
      </c>
      <c r="AY302" s="173">
        <f t="shared" si="793"/>
        <v>0.91001691954005492</v>
      </c>
      <c r="AZ302" s="173">
        <f t="shared" si="794"/>
        <v>15.913364720015291</v>
      </c>
      <c r="BA302" s="460">
        <f t="shared" si="724"/>
        <v>4.5984529243233627</v>
      </c>
      <c r="BB302" s="5">
        <f t="shared" si="725"/>
        <v>0.64767357516080293</v>
      </c>
      <c r="BD302" s="173">
        <f t="shared" si="841"/>
        <v>0.83993960572861359</v>
      </c>
      <c r="BE302" s="173">
        <f t="shared" si="842"/>
        <v>1.2621970220777994</v>
      </c>
      <c r="BG302" s="528">
        <f t="shared" si="843"/>
        <v>1.4109970825430779E-2</v>
      </c>
      <c r="BH302" s="528">
        <f t="shared" si="795"/>
        <v>0.90946526750831314</v>
      </c>
      <c r="BI302" s="528">
        <f t="shared" si="796"/>
        <v>0.3144330959443315</v>
      </c>
      <c r="BJ302" s="528">
        <f t="shared" si="844"/>
        <v>9.7478639397420908E-2</v>
      </c>
      <c r="BK302">
        <f t="shared" si="845"/>
        <v>1.6170844934279907E-2</v>
      </c>
      <c r="BL302" s="460">
        <f t="shared" si="846"/>
        <v>330.60394087861141</v>
      </c>
      <c r="BM302" s="528">
        <f t="shared" si="797"/>
        <v>1.0283110124142201</v>
      </c>
      <c r="BN302" s="460">
        <f t="shared" si="847"/>
        <v>1028.3110124142202</v>
      </c>
      <c r="BO302" s="528">
        <f t="shared" si="798"/>
        <v>0.60199999999999998</v>
      </c>
      <c r="BR302" s="460">
        <f t="shared" si="848"/>
        <v>602</v>
      </c>
      <c r="BS302" s="528">
        <f t="shared" si="849"/>
        <v>2.1164956238146165E-2</v>
      </c>
      <c r="BT302" s="528">
        <f t="shared" si="850"/>
        <v>4.7794239676261938E-2</v>
      </c>
      <c r="BU302" s="528">
        <f t="shared" si="851"/>
        <v>1.2805022657601066</v>
      </c>
      <c r="BV302" s="528"/>
      <c r="BW302" s="528">
        <f t="shared" si="852"/>
        <v>1.206785928502142E-2</v>
      </c>
      <c r="BX302" s="460">
        <f t="shared" si="853"/>
        <v>1361.5293209595361</v>
      </c>
      <c r="BY302" s="173">
        <f t="shared" si="854"/>
        <v>3.3151871395693124</v>
      </c>
      <c r="BZ302" s="5">
        <f t="shared" si="855"/>
        <v>14.103999999999999</v>
      </c>
      <c r="CA302" s="173">
        <f t="shared" si="856"/>
        <v>0.80968186902139916</v>
      </c>
      <c r="CB302" s="5">
        <f t="shared" si="857"/>
        <v>80.968186902139919</v>
      </c>
      <c r="CE302" s="562">
        <f t="shared" si="799"/>
        <v>-50</v>
      </c>
      <c r="CF302">
        <f t="shared" si="800"/>
        <v>-50</v>
      </c>
      <c r="CG302" s="173">
        <f t="shared" si="801"/>
        <v>0.66369255297769381</v>
      </c>
      <c r="CI302" s="170">
        <v>86</v>
      </c>
      <c r="CJ302" s="217">
        <f t="shared" si="858"/>
        <v>0.86</v>
      </c>
      <c r="CK302" s="217"/>
      <c r="CL302" s="217">
        <f t="shared" si="802"/>
        <v>14.103999999999999</v>
      </c>
      <c r="CM302" s="541">
        <f t="shared" si="803"/>
        <v>36</v>
      </c>
      <c r="CN302" s="443">
        <f t="shared" si="804"/>
        <v>16.799999999999997</v>
      </c>
      <c r="CO302" s="443">
        <f t="shared" si="805"/>
        <v>52.8</v>
      </c>
      <c r="CP302" s="443"/>
      <c r="CQ302" s="217">
        <f t="shared" si="806"/>
        <v>0.31818181818181812</v>
      </c>
      <c r="CR302" s="172">
        <f t="shared" si="807"/>
        <v>38.697272727272725</v>
      </c>
      <c r="CS302" s="172">
        <f t="shared" si="808"/>
        <v>14.103999999999999</v>
      </c>
      <c r="CT302" s="217">
        <f t="shared" si="809"/>
        <v>2.3595898004434592</v>
      </c>
      <c r="CU302" s="217">
        <f t="shared" si="810"/>
        <v>16.399999999999999</v>
      </c>
      <c r="CV302" s="217"/>
      <c r="CW302" s="172">
        <f t="shared" si="811"/>
        <v>103.67324780875482</v>
      </c>
      <c r="CX302" s="172">
        <f t="shared" si="812"/>
        <v>16.399999999999999</v>
      </c>
      <c r="CY302" s="217">
        <f t="shared" si="813"/>
        <v>2.4626031746031747</v>
      </c>
      <c r="CZ302" s="217">
        <f t="shared" si="814"/>
        <v>0.82086772486772497</v>
      </c>
      <c r="DA302" s="217">
        <f t="shared" si="815"/>
        <v>1.7590022675736965</v>
      </c>
      <c r="DB302" s="197">
        <f t="shared" si="816"/>
        <v>350</v>
      </c>
      <c r="DC302" s="443">
        <f t="shared" si="817"/>
        <v>350</v>
      </c>
      <c r="DE302" s="217">
        <f t="shared" si="818"/>
        <v>2.7272727272727271</v>
      </c>
      <c r="DF302" s="173">
        <f t="shared" si="819"/>
        <v>1.9480519480519483</v>
      </c>
      <c r="DG302" s="173">
        <f t="shared" si="820"/>
        <v>0.92975206611570249</v>
      </c>
      <c r="DH302" s="173"/>
      <c r="DI302" s="173">
        <f t="shared" si="821"/>
        <v>0.95238095238095266</v>
      </c>
      <c r="DJ302" s="545">
        <f t="shared" si="822"/>
        <v>1354.4999999999995</v>
      </c>
      <c r="DK302" s="528">
        <f t="shared" si="823"/>
        <v>0.22222222222222232</v>
      </c>
      <c r="DM302" s="173">
        <f t="shared" si="824"/>
        <v>2.6229754097207998</v>
      </c>
      <c r="DN302" s="173">
        <f t="shared" si="825"/>
        <v>2.6229754097207998</v>
      </c>
      <c r="DO302" s="173">
        <f t="shared" si="826"/>
        <v>2.1552904269536786</v>
      </c>
      <c r="DQ302" s="545">
        <f t="shared" si="827"/>
        <v>860</v>
      </c>
      <c r="DR302" s="460">
        <f t="shared" si="828"/>
        <v>350</v>
      </c>
      <c r="DT302">
        <f t="shared" si="829"/>
        <v>860</v>
      </c>
      <c r="DU302">
        <f t="shared" si="830"/>
        <v>350</v>
      </c>
      <c r="DW302" s="5">
        <f t="shared" si="859"/>
        <v>2.8571428571428572</v>
      </c>
      <c r="DX302" s="5">
        <f t="shared" si="831"/>
        <v>0.87432513657360011</v>
      </c>
      <c r="DY302" s="5">
        <f t="shared" si="832"/>
        <v>1.982817720569257</v>
      </c>
      <c r="DZ302" s="5"/>
      <c r="EA302" s="173">
        <f t="shared" si="833"/>
        <v>0.30601379780076005</v>
      </c>
      <c r="EB302" s="173">
        <f t="shared" si="860"/>
        <v>14.447999999999993</v>
      </c>
      <c r="EC302" s="173">
        <f t="shared" si="861"/>
        <v>0.91015437152706669</v>
      </c>
      <c r="ED302" s="173">
        <f t="shared" si="862"/>
        <v>15.874230187741652</v>
      </c>
      <c r="EE302" s="460">
        <f t="shared" si="834"/>
        <v>4.5848757161786349</v>
      </c>
      <c r="EF302" s="5">
        <f t="shared" si="835"/>
        <v>0.64735326691918516</v>
      </c>
      <c r="EH302" s="173">
        <f t="shared" si="863"/>
        <v>0.83773005375025755</v>
      </c>
      <c r="EI302" s="173">
        <f t="shared" si="864"/>
        <v>1.2615631931761973</v>
      </c>
      <c r="EK302" s="528">
        <f t="shared" si="865"/>
        <v>1.4035832859128189E-2</v>
      </c>
      <c r="EL302" s="528">
        <f t="shared" si="866"/>
        <v>0.96945171143280751</v>
      </c>
      <c r="EM302" s="528">
        <f t="shared" si="867"/>
        <v>4.3749999999999997E-2</v>
      </c>
      <c r="EN302" s="528">
        <f t="shared" si="868"/>
        <v>9.7574399999999992E-2</v>
      </c>
      <c r="EO302">
        <f t="shared" si="869"/>
        <v>1.6199999999999999E-2</v>
      </c>
      <c r="EP302" s="460">
        <f t="shared" si="870"/>
        <v>59.949999999999996</v>
      </c>
      <c r="EQ302" s="460"/>
      <c r="ER302" s="460">
        <f t="shared" si="871"/>
        <v>1141.0119442919358</v>
      </c>
      <c r="ES302" s="528">
        <f t="shared" si="872"/>
        <v>0.60199999999999998</v>
      </c>
      <c r="EV302" s="460">
        <f t="shared" si="873"/>
        <v>602</v>
      </c>
      <c r="EW302" s="528">
        <f t="shared" si="874"/>
        <v>2.1053749288692282E-2</v>
      </c>
      <c r="EX302" s="528">
        <f t="shared" si="875"/>
        <v>4.7746250711307697E-2</v>
      </c>
      <c r="EY302" s="528">
        <f t="shared" si="876"/>
        <v>1.2768081995191516</v>
      </c>
      <c r="EZ302" s="528"/>
      <c r="FA302" s="528">
        <f t="shared" si="877"/>
        <v>1.2039999999999995E-2</v>
      </c>
      <c r="FB302" s="460">
        <f t="shared" si="878"/>
        <v>1357.6481995191516</v>
      </c>
      <c r="FC302" s="173">
        <f t="shared" si="879"/>
        <v>3.100660143811087</v>
      </c>
      <c r="FD302" s="5">
        <f t="shared" si="880"/>
        <v>14.103999999999999</v>
      </c>
      <c r="FE302" s="173">
        <f t="shared" si="881"/>
        <v>0.81977789053121952</v>
      </c>
      <c r="FF302" s="5">
        <f t="shared" si="882"/>
        <v>81.977789053121953</v>
      </c>
      <c r="FI302" s="562">
        <f t="shared" si="836"/>
        <v>-50</v>
      </c>
      <c r="FJ302">
        <f t="shared" si="837"/>
        <v>-50</v>
      </c>
      <c r="FL302">
        <f t="shared" si="838"/>
        <v>0.65574385243020017</v>
      </c>
    </row>
    <row r="303" spans="5:168">
      <c r="E303" s="170">
        <v>87</v>
      </c>
      <c r="F303" s="217">
        <f t="shared" si="839"/>
        <v>0.87</v>
      </c>
      <c r="G303" s="217"/>
      <c r="H303" s="217">
        <f t="shared" si="764"/>
        <v>14.267999999999999</v>
      </c>
      <c r="I303" s="541">
        <f t="shared" si="765"/>
        <v>35.934835373311678</v>
      </c>
      <c r="J303" s="172">
        <f t="shared" si="766"/>
        <v>16.839098776012992</v>
      </c>
      <c r="K303" s="172">
        <f t="shared" si="767"/>
        <v>52.773934149324674</v>
      </c>
      <c r="L303" s="443"/>
      <c r="M303" s="217">
        <f t="shared" si="768"/>
        <v>0.31908596092216679</v>
      </c>
      <c r="N303" s="172">
        <f t="shared" si="769"/>
        <v>38.736988485315379</v>
      </c>
      <c r="O303" s="172">
        <f t="shared" si="762"/>
        <v>14.267999999999999</v>
      </c>
      <c r="P303" s="217">
        <f t="shared" si="770"/>
        <v>2.3620114930070355</v>
      </c>
      <c r="Q303" s="217">
        <f t="shared" si="771"/>
        <v>16.399999999999999</v>
      </c>
      <c r="R303" s="217"/>
      <c r="S303" s="172">
        <f t="shared" si="772"/>
        <v>101.88705166206994</v>
      </c>
      <c r="T303" s="172">
        <f t="shared" si="773"/>
        <v>16.399999999999999</v>
      </c>
      <c r="U303" s="217">
        <f t="shared" si="774"/>
        <v>2.5553886395946459</v>
      </c>
      <c r="V303" s="217">
        <f t="shared" si="775"/>
        <v>0.85334086984324931</v>
      </c>
      <c r="W303" s="217">
        <f t="shared" si="776"/>
        <v>1.821039479785999</v>
      </c>
      <c r="X303" s="197">
        <f t="shared" si="777"/>
        <v>350</v>
      </c>
      <c r="Y303" s="443">
        <f t="shared" si="840"/>
        <v>347.90107027032275</v>
      </c>
      <c r="AA303" s="217">
        <f t="shared" si="778"/>
        <v>2.7300194603411607</v>
      </c>
      <c r="AB303" s="173">
        <f t="shared" si="779"/>
        <v>1.9454861545654876</v>
      </c>
      <c r="AC303" s="173">
        <f t="shared" si="780"/>
        <v>0.92946263581291255</v>
      </c>
      <c r="AD303" s="173"/>
      <c r="AE303" s="173">
        <f t="shared" si="781"/>
        <v>0.95016961494351049</v>
      </c>
      <c r="AF303" s="545">
        <f t="shared" si="782"/>
        <v>1373.4389939185594</v>
      </c>
      <c r="AG303" s="528">
        <f t="shared" si="783"/>
        <v>0.22170624348681911</v>
      </c>
      <c r="AI303" s="173">
        <f t="shared" si="784"/>
        <v>2.641249337784723</v>
      </c>
      <c r="AJ303" s="173">
        <f t="shared" si="785"/>
        <v>2.641249337784723</v>
      </c>
      <c r="AK303" s="173">
        <f t="shared" si="786"/>
        <v>2.168826669963992</v>
      </c>
      <c r="AM303" s="545">
        <f t="shared" si="787"/>
        <v>870</v>
      </c>
      <c r="AN303" s="460">
        <f t="shared" si="788"/>
        <v>347.90107027032275</v>
      </c>
      <c r="AP303">
        <f t="shared" si="789"/>
        <v>870</v>
      </c>
      <c r="AQ303">
        <f t="shared" si="790"/>
        <v>347.90107027032275</v>
      </c>
      <c r="AS303" s="5">
        <f t="shared" si="763"/>
        <v>2.8743803496292486</v>
      </c>
      <c r="AT303" s="5">
        <f t="shared" si="791"/>
        <v>0.88201300281887818</v>
      </c>
      <c r="AU303" s="5">
        <f t="shared" si="883"/>
        <v>1.9923673468103704</v>
      </c>
      <c r="AV303" s="5"/>
      <c r="AW303" s="173">
        <f t="shared" si="884"/>
        <v>0.3068532676730289</v>
      </c>
      <c r="AX303" s="173">
        <f t="shared" si="792"/>
        <v>14.562160638027036</v>
      </c>
      <c r="AY303" s="173">
        <f t="shared" si="793"/>
        <v>0.91538667387312855</v>
      </c>
      <c r="AZ303" s="173">
        <f t="shared" si="794"/>
        <v>15.908206939929009</v>
      </c>
      <c r="BA303" s="460">
        <f t="shared" si="724"/>
        <v>4.6789714173928303</v>
      </c>
      <c r="BB303" s="5">
        <f t="shared" si="725"/>
        <v>0.65922794712923571</v>
      </c>
      <c r="BD303" s="173">
        <f t="shared" si="841"/>
        <v>0.84472267085703256</v>
      </c>
      <c r="BE303" s="173">
        <f t="shared" si="842"/>
        <v>1.26958377593718</v>
      </c>
      <c r="BG303" s="528">
        <f t="shared" si="843"/>
        <v>1.4271127813196772E-2</v>
      </c>
      <c r="BH303" s="528">
        <f t="shared" si="795"/>
        <v>0.90925544162616734</v>
      </c>
      <c r="BI303" s="528">
        <f t="shared" si="796"/>
        <v>0.31254419215907464</v>
      </c>
      <c r="BJ303" s="528">
        <f t="shared" si="844"/>
        <v>9.6893513969245296E-2</v>
      </c>
      <c r="BK303">
        <f t="shared" si="845"/>
        <v>1.6170675917990256E-2</v>
      </c>
      <c r="BL303" s="460">
        <f t="shared" si="846"/>
        <v>328.71486807706492</v>
      </c>
      <c r="BM303" s="528">
        <f t="shared" si="797"/>
        <v>1.0277582310507227</v>
      </c>
      <c r="BN303" s="460">
        <f t="shared" si="847"/>
        <v>1027.7582310507228</v>
      </c>
      <c r="BO303" s="528">
        <f t="shared" si="798"/>
        <v>0.60899999999999999</v>
      </c>
      <c r="BR303" s="460">
        <f t="shared" si="848"/>
        <v>609</v>
      </c>
      <c r="BS303" s="528">
        <f t="shared" si="849"/>
        <v>2.1406691719795156E-2</v>
      </c>
      <c r="BT303" s="528">
        <f t="shared" si="850"/>
        <v>4.835528892368722E-2</v>
      </c>
      <c r="BU303" s="528">
        <f t="shared" si="851"/>
        <v>1.2797729288615523</v>
      </c>
      <c r="BV303" s="528"/>
      <c r="BW303" s="528">
        <f t="shared" si="852"/>
        <v>1.213513386502253E-2</v>
      </c>
      <c r="BX303" s="460">
        <f t="shared" si="853"/>
        <v>1361.6700433700573</v>
      </c>
      <c r="BY303" s="173">
        <f t="shared" si="854"/>
        <v>3.3198049948557311</v>
      </c>
      <c r="BZ303" s="5">
        <f t="shared" si="855"/>
        <v>14.267999999999999</v>
      </c>
      <c r="CA303" s="173">
        <f t="shared" si="856"/>
        <v>0.81124392749255836</v>
      </c>
      <c r="CB303" s="5">
        <f t="shared" si="857"/>
        <v>81.124392749255833</v>
      </c>
      <c r="CE303" s="562">
        <f t="shared" si="799"/>
        <v>-50</v>
      </c>
      <c r="CF303">
        <f t="shared" si="800"/>
        <v>-50</v>
      </c>
      <c r="CG303" s="173">
        <f t="shared" si="801"/>
        <v>0.66754007827063166</v>
      </c>
      <c r="CI303" s="170">
        <v>87</v>
      </c>
      <c r="CJ303" s="217">
        <f t="shared" si="858"/>
        <v>0.87</v>
      </c>
      <c r="CK303" s="217"/>
      <c r="CL303" s="217">
        <f t="shared" si="802"/>
        <v>14.267999999999999</v>
      </c>
      <c r="CM303" s="541">
        <f t="shared" si="803"/>
        <v>36</v>
      </c>
      <c r="CN303" s="443">
        <f t="shared" si="804"/>
        <v>16.799999999999997</v>
      </c>
      <c r="CO303" s="443">
        <f t="shared" si="805"/>
        <v>52.8</v>
      </c>
      <c r="CP303" s="443"/>
      <c r="CQ303" s="217">
        <f t="shared" si="806"/>
        <v>0.31818181818181812</v>
      </c>
      <c r="CR303" s="172">
        <f t="shared" si="807"/>
        <v>38.697272727272725</v>
      </c>
      <c r="CS303" s="172">
        <f t="shared" si="808"/>
        <v>14.267999999999999</v>
      </c>
      <c r="CT303" s="217">
        <f t="shared" si="809"/>
        <v>2.3595898004434592</v>
      </c>
      <c r="CU303" s="217">
        <f t="shared" si="810"/>
        <v>16.399999999999999</v>
      </c>
      <c r="CV303" s="217"/>
      <c r="CW303" s="172">
        <f t="shared" si="811"/>
        <v>102.07156127693017</v>
      </c>
      <c r="CX303" s="172">
        <f t="shared" si="812"/>
        <v>16.399999999999999</v>
      </c>
      <c r="CY303" s="217">
        <f t="shared" si="813"/>
        <v>2.4912380952380953</v>
      </c>
      <c r="CZ303" s="217">
        <f t="shared" si="814"/>
        <v>0.83041269841269838</v>
      </c>
      <c r="DA303" s="217">
        <f t="shared" si="815"/>
        <v>1.7794557823129256</v>
      </c>
      <c r="DB303" s="197">
        <f t="shared" si="816"/>
        <v>350</v>
      </c>
      <c r="DC303" s="443">
        <f t="shared" si="817"/>
        <v>350</v>
      </c>
      <c r="DE303" s="217">
        <f t="shared" si="818"/>
        <v>2.7272727272727271</v>
      </c>
      <c r="DF303" s="173">
        <f t="shared" si="819"/>
        <v>1.9480519480519483</v>
      </c>
      <c r="DG303" s="173">
        <f t="shared" si="820"/>
        <v>0.92975206611570249</v>
      </c>
      <c r="DH303" s="173"/>
      <c r="DI303" s="173">
        <f t="shared" si="821"/>
        <v>0.95238095238095266</v>
      </c>
      <c r="DJ303" s="545">
        <f t="shared" si="822"/>
        <v>1370.2499999999995</v>
      </c>
      <c r="DK303" s="528">
        <f t="shared" si="823"/>
        <v>0.22222222222222232</v>
      </c>
      <c r="DM303" s="173">
        <f t="shared" si="824"/>
        <v>2.6381811916545836</v>
      </c>
      <c r="DN303" s="173">
        <f t="shared" si="825"/>
        <v>2.6381811916545836</v>
      </c>
      <c r="DO303" s="173">
        <f t="shared" si="826"/>
        <v>2.1665539691268521</v>
      </c>
      <c r="DQ303" s="545">
        <f t="shared" si="827"/>
        <v>870</v>
      </c>
      <c r="DR303" s="460">
        <f t="shared" si="828"/>
        <v>350</v>
      </c>
      <c r="DT303">
        <f t="shared" si="829"/>
        <v>870</v>
      </c>
      <c r="DU303">
        <f t="shared" si="830"/>
        <v>350</v>
      </c>
      <c r="DW303" s="5">
        <f t="shared" si="859"/>
        <v>2.8571428571428572</v>
      </c>
      <c r="DX303" s="5">
        <f t="shared" si="831"/>
        <v>0.87939373055152792</v>
      </c>
      <c r="DY303" s="5">
        <f t="shared" si="832"/>
        <v>1.9777491265913292</v>
      </c>
      <c r="DZ303" s="5"/>
      <c r="EA303" s="173">
        <f t="shared" si="833"/>
        <v>0.30778780569303477</v>
      </c>
      <c r="EB303" s="173">
        <f t="shared" si="860"/>
        <v>14.615999999999998</v>
      </c>
      <c r="EC303" s="173">
        <f t="shared" si="861"/>
        <v>0.91309059582729191</v>
      </c>
      <c r="ED303" s="173">
        <f t="shared" si="862"/>
        <v>16.007173950529403</v>
      </c>
      <c r="EE303" s="460">
        <f t="shared" si="834"/>
        <v>4.665076497437985</v>
      </c>
      <c r="EF303" s="5">
        <f t="shared" si="835"/>
        <v>0.65320658653252506</v>
      </c>
      <c r="EH303" s="173">
        <f t="shared" si="863"/>
        <v>0.84502527134272176</v>
      </c>
      <c r="EI303" s="173">
        <f t="shared" si="864"/>
        <v>1.267253838341853</v>
      </c>
      <c r="EK303" s="528">
        <f t="shared" si="865"/>
        <v>1.4281354184156811E-2</v>
      </c>
      <c r="EL303" s="528">
        <f t="shared" si="866"/>
        <v>0.97507176843553411</v>
      </c>
      <c r="EM303" s="528">
        <f t="shared" si="867"/>
        <v>4.3749999999999997E-2</v>
      </c>
      <c r="EN303" s="528">
        <f t="shared" si="868"/>
        <v>9.7574399999999992E-2</v>
      </c>
      <c r="EO303">
        <f t="shared" si="869"/>
        <v>1.6199999999999999E-2</v>
      </c>
      <c r="EP303" s="460">
        <f t="shared" si="870"/>
        <v>59.949999999999996</v>
      </c>
      <c r="EQ303" s="460"/>
      <c r="ER303" s="460">
        <f t="shared" si="871"/>
        <v>1146.877522619691</v>
      </c>
      <c r="ES303" s="528">
        <f t="shared" si="872"/>
        <v>0.60899999999999999</v>
      </c>
      <c r="EV303" s="460">
        <f t="shared" si="873"/>
        <v>609</v>
      </c>
      <c r="EW303" s="528">
        <f t="shared" si="874"/>
        <v>2.1422031276235216E-2</v>
      </c>
      <c r="EX303" s="528">
        <f t="shared" si="875"/>
        <v>4.8177968723764779E-2</v>
      </c>
      <c r="EY303" s="528">
        <f t="shared" si="876"/>
        <v>1.2953933544293019</v>
      </c>
      <c r="EZ303" s="528"/>
      <c r="FA303" s="528">
        <f t="shared" si="877"/>
        <v>1.2179999999999998E-2</v>
      </c>
      <c r="FB303" s="460">
        <f t="shared" si="878"/>
        <v>1377.1733544293022</v>
      </c>
      <c r="FC303" s="173">
        <f t="shared" si="879"/>
        <v>3.1330508770489924</v>
      </c>
      <c r="FD303" s="5">
        <f t="shared" si="880"/>
        <v>14.267999999999999</v>
      </c>
      <c r="FE303" s="173">
        <f t="shared" si="881"/>
        <v>0.8199504789000237</v>
      </c>
      <c r="FF303" s="5">
        <f t="shared" si="882"/>
        <v>81.995047890002368</v>
      </c>
      <c r="FI303" s="562">
        <f t="shared" si="836"/>
        <v>-50</v>
      </c>
      <c r="FJ303">
        <f t="shared" si="837"/>
        <v>-50</v>
      </c>
      <c r="FL303">
        <f t="shared" si="838"/>
        <v>0.65954529791364602</v>
      </c>
    </row>
    <row r="304" spans="5:168">
      <c r="E304" s="170">
        <v>88</v>
      </c>
      <c r="F304" s="217">
        <f t="shared" si="839"/>
        <v>0.88</v>
      </c>
      <c r="G304" s="217"/>
      <c r="H304" s="217">
        <f t="shared" si="764"/>
        <v>14.431999999999999</v>
      </c>
      <c r="I304" s="541">
        <f t="shared" si="765"/>
        <v>35.934461933998335</v>
      </c>
      <c r="J304" s="172">
        <f t="shared" si="766"/>
        <v>16.839322839600992</v>
      </c>
      <c r="K304" s="172">
        <f t="shared" si="767"/>
        <v>52.773784773599331</v>
      </c>
      <c r="L304" s="443"/>
      <c r="M304" s="217">
        <f t="shared" si="768"/>
        <v>0.31909114482535311</v>
      </c>
      <c r="N304" s="172">
        <f t="shared" si="769"/>
        <v>38.737215244216124</v>
      </c>
      <c r="O304" s="172">
        <f t="shared" si="762"/>
        <v>14.431999999999999</v>
      </c>
      <c r="P304" s="217">
        <f t="shared" si="770"/>
        <v>2.362025319769276</v>
      </c>
      <c r="Q304" s="217">
        <f t="shared" si="771"/>
        <v>16.399999999999999</v>
      </c>
      <c r="R304" s="217"/>
      <c r="S304" s="172">
        <f t="shared" si="772"/>
        <v>100.32362937069171</v>
      </c>
      <c r="T304" s="172">
        <f t="shared" si="773"/>
        <v>16.399999999999999</v>
      </c>
      <c r="U304" s="217">
        <f t="shared" si="774"/>
        <v>2.5847806011401868</v>
      </c>
      <c r="V304" s="217">
        <f t="shared" si="775"/>
        <v>0.86316492704559111</v>
      </c>
      <c r="W304" s="217">
        <f t="shared" si="776"/>
        <v>1.8419604819701407</v>
      </c>
      <c r="X304" s="197">
        <f t="shared" si="777"/>
        <v>350</v>
      </c>
      <c r="Y304" s="443">
        <f t="shared" si="840"/>
        <v>344.21921921050699</v>
      </c>
      <c r="AA304" s="217">
        <f t="shared" si="778"/>
        <v>2.7300351426280796</v>
      </c>
      <c r="AB304" s="173">
        <f t="shared" si="779"/>
        <v>1.9454714434534359</v>
      </c>
      <c r="AC304" s="173">
        <f t="shared" si="780"/>
        <v>0.92946094668126988</v>
      </c>
      <c r="AD304" s="173"/>
      <c r="AE304" s="173">
        <f t="shared" si="781"/>
        <v>0.95015697201153748</v>
      </c>
      <c r="AF304" s="545">
        <f t="shared" si="782"/>
        <v>1389.2441342670813</v>
      </c>
      <c r="AG304" s="528">
        <f t="shared" si="783"/>
        <v>0.22170329346935877</v>
      </c>
      <c r="AI304" s="173">
        <f t="shared" si="784"/>
        <v>2.6564032341323838</v>
      </c>
      <c r="AJ304" s="173">
        <f t="shared" si="785"/>
        <v>2.6564032341323838</v>
      </c>
      <c r="AK304" s="173">
        <f t="shared" si="786"/>
        <v>2.1800517783696667</v>
      </c>
      <c r="AM304" s="545">
        <f t="shared" si="787"/>
        <v>880</v>
      </c>
      <c r="AN304" s="460">
        <f t="shared" si="788"/>
        <v>344.21921921050699</v>
      </c>
      <c r="AP304">
        <f t="shared" si="789"/>
        <v>880</v>
      </c>
      <c r="AQ304">
        <f t="shared" si="790"/>
        <v>344.21921921050699</v>
      </c>
      <c r="AS304" s="5">
        <f t="shared" si="763"/>
        <v>2.9051254090157319</v>
      </c>
      <c r="AT304" s="5">
        <f t="shared" si="791"/>
        <v>0.88708268035674331</v>
      </c>
      <c r="AU304" s="5">
        <f t="shared" si="883"/>
        <v>2.0180427286589886</v>
      </c>
      <c r="AV304" s="5"/>
      <c r="AW304" s="173">
        <f t="shared" si="884"/>
        <v>0.30535090760756195</v>
      </c>
      <c r="AX304" s="173">
        <f t="shared" si="792"/>
        <v>14.573852379129653</v>
      </c>
      <c r="AY304" s="173">
        <f t="shared" si="793"/>
        <v>0.92263404780919867</v>
      </c>
      <c r="AZ304" s="173">
        <f t="shared" si="794"/>
        <v>15.79591866757505</v>
      </c>
      <c r="BA304" s="460">
        <f t="shared" si="724"/>
        <v>4.7599558458166724</v>
      </c>
      <c r="BB304" s="5">
        <f t="shared" si="725"/>
        <v>0.67540533266506042</v>
      </c>
      <c r="BD304" s="173">
        <f t="shared" si="841"/>
        <v>0.84748687409048251</v>
      </c>
      <c r="BE304" s="173">
        <f t="shared" si="842"/>
        <v>1.2782509061268079</v>
      </c>
      <c r="BG304" s="528">
        <f t="shared" si="843"/>
        <v>1.4364680035113146E-2</v>
      </c>
      <c r="BH304" s="528">
        <f t="shared" si="795"/>
        <v>0.90479174398291307</v>
      </c>
      <c r="BI304" s="528">
        <f t="shared" si="796"/>
        <v>0.3092333107417648</v>
      </c>
      <c r="BJ304" s="528">
        <f t="shared" si="844"/>
        <v>9.5867543297340083E-2</v>
      </c>
      <c r="BK304">
        <f t="shared" si="845"/>
        <v>1.617050787029925E-2</v>
      </c>
      <c r="BL304" s="460">
        <f t="shared" si="846"/>
        <v>325.40381861206401</v>
      </c>
      <c r="BM304" s="528">
        <f t="shared" si="797"/>
        <v>1.0223919035422611</v>
      </c>
      <c r="BN304" s="460">
        <f t="shared" si="847"/>
        <v>1022.391903542261</v>
      </c>
      <c r="BO304" s="528">
        <f t="shared" si="798"/>
        <v>0.61599999999999999</v>
      </c>
      <c r="BR304" s="460">
        <f t="shared" si="848"/>
        <v>616</v>
      </c>
      <c r="BS304" s="528">
        <f t="shared" si="849"/>
        <v>2.1547020052669719E-2</v>
      </c>
      <c r="BT304" s="528">
        <f t="shared" si="850"/>
        <v>4.9017761370420167E-2</v>
      </c>
      <c r="BU304" s="528">
        <f t="shared" si="851"/>
        <v>1.264133070895904</v>
      </c>
      <c r="BV304" s="528"/>
      <c r="BW304" s="528">
        <f t="shared" si="852"/>
        <v>1.2144876982608044E-2</v>
      </c>
      <c r="BX304" s="460">
        <f t="shared" si="853"/>
        <v>1346.8427293016018</v>
      </c>
      <c r="BY304" s="173">
        <f t="shared" si="854"/>
        <v>3.3032705152290323</v>
      </c>
      <c r="BZ304" s="5">
        <f t="shared" si="855"/>
        <v>14.431999999999999</v>
      </c>
      <c r="CA304" s="173">
        <f t="shared" si="856"/>
        <v>0.81374569322793466</v>
      </c>
      <c r="CB304" s="5">
        <f t="shared" si="857"/>
        <v>81.374569322793462</v>
      </c>
      <c r="CE304" s="562">
        <f t="shared" si="799"/>
        <v>-50</v>
      </c>
      <c r="CF304">
        <f t="shared" si="800"/>
        <v>-50</v>
      </c>
      <c r="CG304" s="173">
        <f t="shared" si="801"/>
        <v>0.6713655541633583</v>
      </c>
      <c r="CI304" s="170">
        <v>88</v>
      </c>
      <c r="CJ304" s="217">
        <f t="shared" si="858"/>
        <v>0.88</v>
      </c>
      <c r="CK304" s="217"/>
      <c r="CL304" s="217">
        <f t="shared" si="802"/>
        <v>14.431999999999999</v>
      </c>
      <c r="CM304" s="541">
        <f t="shared" si="803"/>
        <v>36</v>
      </c>
      <c r="CN304" s="443">
        <f t="shared" si="804"/>
        <v>16.799999999999997</v>
      </c>
      <c r="CO304" s="443">
        <f t="shared" si="805"/>
        <v>52.8</v>
      </c>
      <c r="CP304" s="443"/>
      <c r="CQ304" s="217">
        <f t="shared" si="806"/>
        <v>0.31818181818181812</v>
      </c>
      <c r="CR304" s="172">
        <f t="shared" si="807"/>
        <v>38.697272727272725</v>
      </c>
      <c r="CS304" s="172">
        <f t="shared" si="808"/>
        <v>14.431999999999999</v>
      </c>
      <c r="CT304" s="217">
        <f t="shared" si="809"/>
        <v>2.3595898004434592</v>
      </c>
      <c r="CU304" s="217">
        <f t="shared" si="810"/>
        <v>16.399999999999999</v>
      </c>
      <c r="CV304" s="217"/>
      <c r="CW304" s="172">
        <f t="shared" si="811"/>
        <v>100.50634295252519</v>
      </c>
      <c r="CX304" s="172">
        <f t="shared" si="812"/>
        <v>16.399999999999999</v>
      </c>
      <c r="CY304" s="217">
        <f t="shared" si="813"/>
        <v>2.5198730158730158</v>
      </c>
      <c r="CZ304" s="217">
        <f t="shared" si="814"/>
        <v>0.8399576719576719</v>
      </c>
      <c r="DA304" s="217">
        <f t="shared" si="815"/>
        <v>1.7999092970521546</v>
      </c>
      <c r="DB304" s="197">
        <f t="shared" si="816"/>
        <v>350</v>
      </c>
      <c r="DC304" s="443">
        <f t="shared" si="817"/>
        <v>350</v>
      </c>
      <c r="DE304" s="217">
        <f t="shared" si="818"/>
        <v>2.7272727272727271</v>
      </c>
      <c r="DF304" s="173">
        <f t="shared" si="819"/>
        <v>1.9480519480519483</v>
      </c>
      <c r="DG304" s="173">
        <f t="shared" si="820"/>
        <v>0.92975206611570249</v>
      </c>
      <c r="DH304" s="173"/>
      <c r="DI304" s="173">
        <f t="shared" si="821"/>
        <v>0.95238095238095266</v>
      </c>
      <c r="DJ304" s="545">
        <f t="shared" si="822"/>
        <v>1385.9999999999995</v>
      </c>
      <c r="DK304" s="528">
        <f t="shared" si="823"/>
        <v>0.22222222222222232</v>
      </c>
      <c r="DM304" s="173">
        <f t="shared" si="824"/>
        <v>2.6532998322843198</v>
      </c>
      <c r="DN304" s="173">
        <f t="shared" si="825"/>
        <v>2.6532998322843198</v>
      </c>
      <c r="DO304" s="173">
        <f t="shared" si="826"/>
        <v>2.1777529621859157</v>
      </c>
      <c r="DQ304" s="545">
        <f t="shared" si="827"/>
        <v>880</v>
      </c>
      <c r="DR304" s="460">
        <f t="shared" si="828"/>
        <v>350</v>
      </c>
      <c r="DT304">
        <f t="shared" si="829"/>
        <v>880</v>
      </c>
      <c r="DU304">
        <f t="shared" si="830"/>
        <v>350</v>
      </c>
      <c r="DW304" s="5">
        <f t="shared" si="859"/>
        <v>2.8571428571428572</v>
      </c>
      <c r="DX304" s="5">
        <f t="shared" si="831"/>
        <v>0.88443327742810662</v>
      </c>
      <c r="DY304" s="5">
        <f t="shared" si="832"/>
        <v>1.9727095797147505</v>
      </c>
      <c r="DZ304" s="5"/>
      <c r="EA304" s="173">
        <f t="shared" si="833"/>
        <v>0.30955164709983729</v>
      </c>
      <c r="EB304" s="173">
        <f t="shared" si="860"/>
        <v>14.783999999999999</v>
      </c>
      <c r="EC304" s="173">
        <f t="shared" si="861"/>
        <v>0.91598324947549326</v>
      </c>
      <c r="ED304" s="173">
        <f t="shared" si="862"/>
        <v>16.140033137577085</v>
      </c>
      <c r="EE304" s="460">
        <f t="shared" si="834"/>
        <v>4.7457395374191096</v>
      </c>
      <c r="EF304" s="5">
        <f t="shared" si="835"/>
        <v>0.65903112626026095</v>
      </c>
      <c r="EH304" s="173">
        <f t="shared" si="863"/>
        <v>0.85229955523920786</v>
      </c>
      <c r="EI304" s="173">
        <f t="shared" si="864"/>
        <v>1.2728912501882141</v>
      </c>
      <c r="EK304" s="528">
        <f t="shared" si="865"/>
        <v>1.452829063721903E-2</v>
      </c>
      <c r="EL304" s="528">
        <f t="shared" si="866"/>
        <v>0.98065961801228463</v>
      </c>
      <c r="EM304" s="528">
        <f t="shared" si="867"/>
        <v>4.3749999999999997E-2</v>
      </c>
      <c r="EN304" s="528">
        <f t="shared" si="868"/>
        <v>9.7574399999999992E-2</v>
      </c>
      <c r="EO304">
        <f t="shared" si="869"/>
        <v>1.6199999999999999E-2</v>
      </c>
      <c r="EP304" s="460">
        <f t="shared" si="870"/>
        <v>59.949999999999996</v>
      </c>
      <c r="EQ304" s="460"/>
      <c r="ER304" s="460">
        <f t="shared" si="871"/>
        <v>1152.7123086495037</v>
      </c>
      <c r="ES304" s="528">
        <f t="shared" si="872"/>
        <v>0.61599999999999999</v>
      </c>
      <c r="EV304" s="460">
        <f t="shared" si="873"/>
        <v>616</v>
      </c>
      <c r="EW304" s="528">
        <f t="shared" si="874"/>
        <v>2.1792435955828544E-2</v>
      </c>
      <c r="EX304" s="528">
        <f t="shared" si="875"/>
        <v>4.8607564044171443E-2</v>
      </c>
      <c r="EY304" s="528">
        <f t="shared" si="876"/>
        <v>1.3140319927947557</v>
      </c>
      <c r="EZ304" s="528"/>
      <c r="FA304" s="528">
        <f t="shared" si="877"/>
        <v>1.2319999999999999E-2</v>
      </c>
      <c r="FB304" s="460">
        <f t="shared" si="878"/>
        <v>1396.7519927947558</v>
      </c>
      <c r="FC304" s="173">
        <f t="shared" si="879"/>
        <v>3.1654643014442589</v>
      </c>
      <c r="FD304" s="5">
        <f t="shared" si="880"/>
        <v>14.431999999999999</v>
      </c>
      <c r="FE304" s="173">
        <f t="shared" si="881"/>
        <v>0.82011815752429373</v>
      </c>
      <c r="FF304" s="5">
        <f t="shared" si="882"/>
        <v>82.011815752429371</v>
      </c>
      <c r="FI304" s="562">
        <f t="shared" si="836"/>
        <v>-50</v>
      </c>
      <c r="FJ304">
        <f t="shared" si="837"/>
        <v>-50</v>
      </c>
      <c r="FL304">
        <f t="shared" si="838"/>
        <v>0.66332495807107994</v>
      </c>
    </row>
    <row r="305" spans="5:168">
      <c r="E305" s="170">
        <v>89</v>
      </c>
      <c r="F305" s="217">
        <f t="shared" si="839"/>
        <v>0.89</v>
      </c>
      <c r="G305" s="217"/>
      <c r="H305" s="217">
        <f t="shared" si="764"/>
        <v>14.595999999999998</v>
      </c>
      <c r="I305" s="541">
        <f t="shared" si="765"/>
        <v>35.933700291558999</v>
      </c>
      <c r="J305" s="172">
        <f t="shared" si="766"/>
        <v>16.8397798250646</v>
      </c>
      <c r="K305" s="172">
        <f t="shared" si="767"/>
        <v>52.773480116623602</v>
      </c>
      <c r="L305" s="443"/>
      <c r="M305" s="217">
        <f t="shared" si="768"/>
        <v>0.31909865944933191</v>
      </c>
      <c r="N305" s="172">
        <f t="shared" si="769"/>
        <v>38.73730644194589</v>
      </c>
      <c r="O305" s="172">
        <f t="shared" si="762"/>
        <v>14.595999999999998</v>
      </c>
      <c r="P305" s="217">
        <f t="shared" si="770"/>
        <v>2.3620308806064569</v>
      </c>
      <c r="Q305" s="217">
        <f t="shared" si="771"/>
        <v>16.399999999999999</v>
      </c>
      <c r="R305" s="217"/>
      <c r="S305" s="172">
        <f t="shared" si="772"/>
        <v>98.794349074976438</v>
      </c>
      <c r="T305" s="172">
        <f t="shared" si="773"/>
        <v>16.399999999999999</v>
      </c>
      <c r="U305" s="217">
        <f t="shared" si="774"/>
        <v>2.6141819585205299</v>
      </c>
      <c r="V305" s="217">
        <f t="shared" si="775"/>
        <v>0.87300175733962371</v>
      </c>
      <c r="W305" s="217">
        <f t="shared" si="776"/>
        <v>1.8628618561600472</v>
      </c>
      <c r="X305" s="197">
        <f t="shared" si="777"/>
        <v>350</v>
      </c>
      <c r="Y305" s="443">
        <f t="shared" si="840"/>
        <v>340.61527769948367</v>
      </c>
      <c r="AA305" s="217">
        <f t="shared" si="778"/>
        <v>2.7300671251314022</v>
      </c>
      <c r="AB305" s="173">
        <f t="shared" si="779"/>
        <v>1.9454414393717379</v>
      </c>
      <c r="AC305" s="173">
        <f t="shared" si="780"/>
        <v>0.92945750056199194</v>
      </c>
      <c r="AD305" s="173"/>
      <c r="AE305" s="173">
        <f t="shared" si="781"/>
        <v>0.95013118735586699</v>
      </c>
      <c r="AF305" s="545">
        <f t="shared" si="782"/>
        <v>1405.0691291538271</v>
      </c>
      <c r="AG305" s="528">
        <f t="shared" si="783"/>
        <v>0.22169727704970232</v>
      </c>
      <c r="AI305" s="173">
        <f t="shared" si="784"/>
        <v>2.6714900465316833</v>
      </c>
      <c r="AJ305" s="173">
        <f t="shared" si="785"/>
        <v>2.6714900465316833</v>
      </c>
      <c r="AK305" s="173">
        <f t="shared" si="786"/>
        <v>2.1912271949617406</v>
      </c>
      <c r="AM305" s="545">
        <f t="shared" si="787"/>
        <v>890</v>
      </c>
      <c r="AN305" s="460">
        <f t="shared" si="788"/>
        <v>340.61527769948367</v>
      </c>
      <c r="AP305">
        <f t="shared" si="789"/>
        <v>890</v>
      </c>
      <c r="AQ305">
        <f t="shared" si="790"/>
        <v>340.61527769948367</v>
      </c>
      <c r="AS305" s="5">
        <f t="shared" si="763"/>
        <v>2.9358636134996705</v>
      </c>
      <c r="AT305" s="5">
        <f t="shared" si="791"/>
        <v>0.89213969889738165</v>
      </c>
      <c r="AU305" s="5">
        <f t="shared" si="883"/>
        <v>2.043723914602289</v>
      </c>
      <c r="AV305" s="5"/>
      <c r="AW305" s="173">
        <f t="shared" si="884"/>
        <v>0.30387641128666543</v>
      </c>
      <c r="AX305" s="173">
        <f t="shared" si="792"/>
        <v>14.585539401560466</v>
      </c>
      <c r="AY305" s="173">
        <f t="shared" si="793"/>
        <v>0.92984361920179426</v>
      </c>
      <c r="AZ305" s="173">
        <f t="shared" si="794"/>
        <v>15.686013325639779</v>
      </c>
      <c r="BA305" s="460">
        <f t="shared" si="724"/>
        <v>4.8414898293821329</v>
      </c>
      <c r="BB305" s="5">
        <f t="shared" si="725"/>
        <v>0.69178779287731418</v>
      </c>
      <c r="BD305" s="173">
        <f t="shared" si="841"/>
        <v>0.85023979395240323</v>
      </c>
      <c r="BE305" s="173">
        <f t="shared" si="842"/>
        <v>1.2868742423740274</v>
      </c>
      <c r="BG305" s="528">
        <f t="shared" si="843"/>
        <v>1.4458154144404503E-2</v>
      </c>
      <c r="BH305" s="528">
        <f t="shared" si="795"/>
        <v>0.90039835002122526</v>
      </c>
      <c r="BI305" s="528">
        <f t="shared" si="796"/>
        <v>0.3059891825894846</v>
      </c>
      <c r="BJ305" s="528">
        <f t="shared" si="844"/>
        <v>9.4862724236013926E-2</v>
      </c>
      <c r="BK305">
        <f t="shared" si="845"/>
        <v>1.617016513120155E-2</v>
      </c>
      <c r="BL305" s="460">
        <f t="shared" si="846"/>
        <v>322.15934772068618</v>
      </c>
      <c r="BM305" s="528">
        <f t="shared" si="797"/>
        <v>1.017116988707891</v>
      </c>
      <c r="BN305" s="460">
        <f t="shared" si="847"/>
        <v>1017.116988707891</v>
      </c>
      <c r="BO305" s="528">
        <f t="shared" si="798"/>
        <v>0.623</v>
      </c>
      <c r="BR305" s="460">
        <f t="shared" si="848"/>
        <v>623</v>
      </c>
      <c r="BS305" s="528">
        <f t="shared" si="849"/>
        <v>2.1687231216606755E-2</v>
      </c>
      <c r="BT305" s="528">
        <f t="shared" si="850"/>
        <v>4.9681359470571805E-2</v>
      </c>
      <c r="BU305" s="528">
        <f t="shared" si="851"/>
        <v>1.2488613188115094</v>
      </c>
      <c r="BV305" s="528"/>
      <c r="BW305" s="528">
        <f t="shared" si="852"/>
        <v>1.2154616167967055E-2</v>
      </c>
      <c r="BX305" s="460">
        <f t="shared" si="853"/>
        <v>1332.384525666655</v>
      </c>
      <c r="BY305" s="173">
        <f t="shared" si="854"/>
        <v>3.2872631017889846</v>
      </c>
      <c r="BZ305" s="5">
        <f t="shared" si="855"/>
        <v>14.595999999999998</v>
      </c>
      <c r="CA305" s="173">
        <f t="shared" si="856"/>
        <v>0.81618214287413027</v>
      </c>
      <c r="CB305" s="5">
        <f t="shared" si="857"/>
        <v>81.618214287413025</v>
      </c>
      <c r="CE305" s="562">
        <f t="shared" si="799"/>
        <v>-50</v>
      </c>
      <c r="CF305">
        <f t="shared" si="800"/>
        <v>-50</v>
      </c>
      <c r="CG305" s="173">
        <f t="shared" si="801"/>
        <v>0.67119450517038559</v>
      </c>
      <c r="CI305" s="170">
        <v>89</v>
      </c>
      <c r="CJ305" s="217">
        <f t="shared" si="858"/>
        <v>0.89</v>
      </c>
      <c r="CK305" s="217"/>
      <c r="CL305" s="217">
        <f t="shared" si="802"/>
        <v>14.595999999999998</v>
      </c>
      <c r="CM305" s="541">
        <f t="shared" si="803"/>
        <v>36</v>
      </c>
      <c r="CN305" s="443">
        <f t="shared" si="804"/>
        <v>16.799999999999997</v>
      </c>
      <c r="CO305" s="443">
        <f t="shared" si="805"/>
        <v>52.8</v>
      </c>
      <c r="CP305" s="443"/>
      <c r="CQ305" s="217">
        <f t="shared" si="806"/>
        <v>0.31818181818181812</v>
      </c>
      <c r="CR305" s="172">
        <f t="shared" si="807"/>
        <v>38.697272727272725</v>
      </c>
      <c r="CS305" s="172">
        <f t="shared" si="808"/>
        <v>14.595999999999998</v>
      </c>
      <c r="CT305" s="217">
        <f t="shared" si="809"/>
        <v>2.3595898004434592</v>
      </c>
      <c r="CU305" s="217">
        <f t="shared" si="810"/>
        <v>16.399999999999999</v>
      </c>
      <c r="CV305" s="217"/>
      <c r="CW305" s="172">
        <f t="shared" si="811"/>
        <v>98.976364345114632</v>
      </c>
      <c r="CX305" s="172">
        <f t="shared" si="812"/>
        <v>16.399999999999999</v>
      </c>
      <c r="CY305" s="217">
        <f t="shared" si="813"/>
        <v>2.5485079365079364</v>
      </c>
      <c r="CZ305" s="217">
        <f t="shared" si="814"/>
        <v>0.84950264550264543</v>
      </c>
      <c r="DA305" s="217">
        <f t="shared" si="815"/>
        <v>1.8203628117913833</v>
      </c>
      <c r="DB305" s="197">
        <f t="shared" si="816"/>
        <v>350</v>
      </c>
      <c r="DC305" s="443">
        <f t="shared" si="817"/>
        <v>350</v>
      </c>
      <c r="DE305" s="217">
        <f t="shared" si="818"/>
        <v>2.7272727272727271</v>
      </c>
      <c r="DF305" s="173">
        <f t="shared" si="819"/>
        <v>1.9480519480519483</v>
      </c>
      <c r="DG305" s="173">
        <f t="shared" si="820"/>
        <v>0.92975206611570249</v>
      </c>
      <c r="DH305" s="173"/>
      <c r="DI305" s="173">
        <f t="shared" si="821"/>
        <v>0.95238095238095266</v>
      </c>
      <c r="DJ305" s="545">
        <f t="shared" si="822"/>
        <v>1401.7499999999995</v>
      </c>
      <c r="DK305" s="528">
        <f t="shared" si="823"/>
        <v>0.22222222222222232</v>
      </c>
      <c r="DM305" s="173">
        <f t="shared" si="824"/>
        <v>2.6683328128252666</v>
      </c>
      <c r="DN305" s="173">
        <f t="shared" si="825"/>
        <v>2.6683328128252666</v>
      </c>
      <c r="DO305" s="173">
        <f t="shared" si="826"/>
        <v>2.188888503327358</v>
      </c>
      <c r="DQ305" s="545">
        <f t="shared" si="827"/>
        <v>890</v>
      </c>
      <c r="DR305" s="460">
        <f t="shared" si="828"/>
        <v>350</v>
      </c>
      <c r="DT305">
        <f t="shared" si="829"/>
        <v>890</v>
      </c>
      <c r="DU305">
        <f t="shared" si="830"/>
        <v>350</v>
      </c>
      <c r="DW305" s="5">
        <f t="shared" si="859"/>
        <v>2.8571428571428572</v>
      </c>
      <c r="DX305" s="5">
        <f t="shared" si="831"/>
        <v>0.8894442709417556</v>
      </c>
      <c r="DY305" s="5">
        <f t="shared" si="832"/>
        <v>1.9676985862011016</v>
      </c>
      <c r="DZ305" s="5"/>
      <c r="EA305" s="173">
        <f t="shared" si="833"/>
        <v>0.31130549482961445</v>
      </c>
      <c r="EB305" s="173">
        <f t="shared" si="860"/>
        <v>14.952</v>
      </c>
      <c r="EC305" s="173">
        <f t="shared" si="861"/>
        <v>0.91883307307929996</v>
      </c>
      <c r="ED305" s="173">
        <f t="shared" si="862"/>
        <v>16.272814331651258</v>
      </c>
      <c r="EE305" s="460">
        <f t="shared" si="834"/>
        <v>4.8268622020619674</v>
      </c>
      <c r="EF305" s="5">
        <f t="shared" si="835"/>
        <v>0.66482705009702014</v>
      </c>
      <c r="EH305" s="173">
        <f t="shared" si="863"/>
        <v>0.85955320238421051</v>
      </c>
      <c r="EI305" s="173">
        <f t="shared" si="864"/>
        <v>1.278476290591414</v>
      </c>
      <c r="EK305" s="528">
        <f t="shared" si="865"/>
        <v>1.4776634154579032E-2</v>
      </c>
      <c r="EL305" s="528">
        <f t="shared" si="866"/>
        <v>0.98621580762021843</v>
      </c>
      <c r="EM305" s="528">
        <f t="shared" si="867"/>
        <v>4.3749999999999997E-2</v>
      </c>
      <c r="EN305" s="528">
        <f t="shared" si="868"/>
        <v>9.7574399999999992E-2</v>
      </c>
      <c r="EO305">
        <f t="shared" si="869"/>
        <v>1.6199999999999999E-2</v>
      </c>
      <c r="EP305" s="460">
        <f t="shared" si="870"/>
        <v>59.949999999999996</v>
      </c>
      <c r="EQ305" s="460"/>
      <c r="ER305" s="460">
        <f t="shared" si="871"/>
        <v>1158.5168417747975</v>
      </c>
      <c r="ES305" s="528">
        <f t="shared" si="872"/>
        <v>0.623</v>
      </c>
      <c r="EV305" s="460">
        <f t="shared" si="873"/>
        <v>623</v>
      </c>
      <c r="EW305" s="528">
        <f t="shared" si="874"/>
        <v>2.2164951231868547E-2</v>
      </c>
      <c r="EX305" s="528">
        <f t="shared" si="875"/>
        <v>4.9035048768131445E-2</v>
      </c>
      <c r="EY305" s="528">
        <f t="shared" si="876"/>
        <v>1.3327236581227291</v>
      </c>
      <c r="EZ305" s="528"/>
      <c r="FA305" s="528">
        <f t="shared" si="877"/>
        <v>1.2459999999999997E-2</v>
      </c>
      <c r="FB305" s="460">
        <f t="shared" si="878"/>
        <v>1416.383658122729</v>
      </c>
      <c r="FC305" s="173">
        <f t="shared" si="879"/>
        <v>3.1979004998975267</v>
      </c>
      <c r="FD305" s="5">
        <f t="shared" si="880"/>
        <v>14.595999999999998</v>
      </c>
      <c r="FE305" s="173">
        <f t="shared" si="881"/>
        <v>0.8202810845257934</v>
      </c>
      <c r="FF305" s="5">
        <f t="shared" si="882"/>
        <v>82.028108452579346</v>
      </c>
      <c r="FI305" s="562">
        <f t="shared" si="836"/>
        <v>-50</v>
      </c>
      <c r="FJ305">
        <f t="shared" si="837"/>
        <v>-50</v>
      </c>
      <c r="FL305">
        <f t="shared" si="838"/>
        <v>0.66708320320631687</v>
      </c>
    </row>
    <row r="306" spans="5:168">
      <c r="E306" s="170">
        <v>90</v>
      </c>
      <c r="F306" s="217">
        <f t="shared" si="839"/>
        <v>0.9</v>
      </c>
      <c r="G306" s="217"/>
      <c r="H306" s="217">
        <f t="shared" si="764"/>
        <v>14.76</v>
      </c>
      <c r="I306" s="541">
        <f t="shared" si="765"/>
        <v>35.932780689337534</v>
      </c>
      <c r="J306" s="172">
        <f t="shared" si="766"/>
        <v>16.840331586397475</v>
      </c>
      <c r="K306" s="172">
        <f t="shared" si="767"/>
        <v>52.773112275735009</v>
      </c>
      <c r="L306" s="443"/>
      <c r="M306" s="217">
        <f t="shared" si="768"/>
        <v>0.31910711307231826</v>
      </c>
      <c r="N306" s="172">
        <f t="shared" si="769"/>
        <v>38.737341300753741</v>
      </c>
      <c r="O306" s="172">
        <f t="shared" si="762"/>
        <v>14.76</v>
      </c>
      <c r="P306" s="217">
        <f t="shared" si="770"/>
        <v>2.3620330061435211</v>
      </c>
      <c r="Q306" s="217">
        <f t="shared" si="771"/>
        <v>16.399999999999999</v>
      </c>
      <c r="R306" s="217"/>
      <c r="S306" s="172">
        <f t="shared" si="772"/>
        <v>97.298708940502848</v>
      </c>
      <c r="T306" s="172">
        <f t="shared" si="773"/>
        <v>16.399999999999999</v>
      </c>
      <c r="U306" s="217">
        <f t="shared" si="774"/>
        <v>2.6435876105593383</v>
      </c>
      <c r="V306" s="217">
        <f t="shared" si="775"/>
        <v>0.88284431981422906</v>
      </c>
      <c r="W306" s="217">
        <f t="shared" si="776"/>
        <v>1.88375455459178</v>
      </c>
      <c r="X306" s="197">
        <f t="shared" si="777"/>
        <v>350</v>
      </c>
      <c r="Y306" s="443">
        <f t="shared" si="840"/>
        <v>337.08635455483557</v>
      </c>
      <c r="AA306" s="217">
        <f t="shared" si="778"/>
        <v>2.7301057369086887</v>
      </c>
      <c r="AB306" s="173">
        <f t="shared" si="779"/>
        <v>1.9454052121732974</v>
      </c>
      <c r="AC306" s="173">
        <f t="shared" si="780"/>
        <v>0.92945333781411732</v>
      </c>
      <c r="AD306" s="173"/>
      <c r="AE306" s="173">
        <f t="shared" si="781"/>
        <v>0.95010005699197519</v>
      </c>
      <c r="AF306" s="545">
        <f t="shared" si="782"/>
        <v>1420.9029776022867</v>
      </c>
      <c r="AG306" s="528">
        <f t="shared" si="783"/>
        <v>0.22169001329812757</v>
      </c>
      <c r="AI306" s="173">
        <f t="shared" si="784"/>
        <v>2.6865005054157196</v>
      </c>
      <c r="AJ306" s="173">
        <f t="shared" si="785"/>
        <v>2.6865005054157196</v>
      </c>
      <c r="AK306" s="173">
        <f t="shared" si="786"/>
        <v>2.20234605339436</v>
      </c>
      <c r="AM306" s="545">
        <f t="shared" si="787"/>
        <v>900</v>
      </c>
      <c r="AN306" s="460">
        <f t="shared" si="788"/>
        <v>337.08635455483557</v>
      </c>
      <c r="AP306">
        <f t="shared" si="789"/>
        <v>900</v>
      </c>
      <c r="AQ306">
        <f t="shared" si="790"/>
        <v>337.08635455483557</v>
      </c>
      <c r="AS306" s="5">
        <f t="shared" si="763"/>
        <v>2.9665988744060088</v>
      </c>
      <c r="AT306" s="5">
        <f t="shared" si="791"/>
        <v>0.89717537709389517</v>
      </c>
      <c r="AU306" s="5">
        <f t="shared" si="883"/>
        <v>2.0694234973121137</v>
      </c>
      <c r="AV306" s="5"/>
      <c r="AW306" s="173">
        <f t="shared" si="884"/>
        <v>0.30242557726094105</v>
      </c>
      <c r="AX306" s="173">
        <f t="shared" si="792"/>
        <v>14.597089673022962</v>
      </c>
      <c r="AY306" s="173">
        <f t="shared" si="793"/>
        <v>0.93701701962678041</v>
      </c>
      <c r="AZ306" s="173">
        <f t="shared" si="794"/>
        <v>15.578254575180578</v>
      </c>
      <c r="BA306" s="460">
        <f t="shared" si="724"/>
        <v>4.923523410881133</v>
      </c>
      <c r="BB306" s="5">
        <f t="shared" si="725"/>
        <v>0.70837570955069529</v>
      </c>
      <c r="BD306" s="173">
        <f t="shared" si="841"/>
        <v>0.85297353846762902</v>
      </c>
      <c r="BE306" s="173">
        <f t="shared" si="842"/>
        <v>1.2954527385719832</v>
      </c>
      <c r="BG306" s="528">
        <f t="shared" si="843"/>
        <v>1.4551277146519756E-2</v>
      </c>
      <c r="BH306" s="528">
        <f t="shared" si="795"/>
        <v>0.89607029044440889</v>
      </c>
      <c r="BI306" s="528">
        <f t="shared" si="796"/>
        <v>0.30281125128967951</v>
      </c>
      <c r="BJ306" s="528">
        <f t="shared" si="844"/>
        <v>9.3878596236741441E-2</v>
      </c>
      <c r="BK306">
        <f t="shared" si="845"/>
        <v>1.6169751310201892E-2</v>
      </c>
      <c r="BL306" s="460">
        <f t="shared" si="846"/>
        <v>318.98100259988138</v>
      </c>
      <c r="BM306" s="528">
        <f t="shared" si="797"/>
        <v>1.0119276304995306</v>
      </c>
      <c r="BN306" s="460">
        <f t="shared" si="847"/>
        <v>1011.9276304995306</v>
      </c>
      <c r="BO306" s="528">
        <f t="shared" si="798"/>
        <v>0.63</v>
      </c>
      <c r="BR306" s="460">
        <f t="shared" si="848"/>
        <v>630</v>
      </c>
      <c r="BS306" s="528">
        <f t="shared" si="849"/>
        <v>2.1826915719779634E-2</v>
      </c>
      <c r="BT306" s="528">
        <f t="shared" si="850"/>
        <v>5.0345933936209529E-2</v>
      </c>
      <c r="BU306" s="528">
        <f t="shared" si="851"/>
        <v>1.2339292290903301</v>
      </c>
      <c r="BV306" s="528"/>
      <c r="BW306" s="528">
        <f t="shared" si="852"/>
        <v>1.2164241394185803E-2</v>
      </c>
      <c r="BX306" s="460">
        <f t="shared" si="853"/>
        <v>1318.2663201405051</v>
      </c>
      <c r="BY306" s="173">
        <f t="shared" si="854"/>
        <v>3.2717474865680565</v>
      </c>
      <c r="BZ306" s="5">
        <f t="shared" si="855"/>
        <v>14.76</v>
      </c>
      <c r="CA306" s="173">
        <f t="shared" si="856"/>
        <v>0.8185562719861067</v>
      </c>
      <c r="CB306" s="5">
        <f t="shared" si="857"/>
        <v>81.855627198610676</v>
      </c>
      <c r="CE306" s="562">
        <f t="shared" si="799"/>
        <v>-50</v>
      </c>
      <c r="CF306">
        <f t="shared" si="800"/>
        <v>-50</v>
      </c>
      <c r="CG306" s="173">
        <f t="shared" si="801"/>
        <v>0.66945048315002953</v>
      </c>
      <c r="CI306" s="170">
        <v>90</v>
      </c>
      <c r="CJ306" s="217">
        <f t="shared" si="858"/>
        <v>0.9</v>
      </c>
      <c r="CK306" s="217"/>
      <c r="CL306" s="217">
        <f t="shared" si="802"/>
        <v>14.76</v>
      </c>
      <c r="CM306" s="541">
        <f t="shared" si="803"/>
        <v>36</v>
      </c>
      <c r="CN306" s="443">
        <f t="shared" si="804"/>
        <v>16.799999999999997</v>
      </c>
      <c r="CO306" s="443">
        <f t="shared" si="805"/>
        <v>52.8</v>
      </c>
      <c r="CP306" s="443"/>
      <c r="CQ306" s="217">
        <f t="shared" si="806"/>
        <v>0.31818181818181812</v>
      </c>
      <c r="CR306" s="172">
        <f t="shared" si="807"/>
        <v>38.697272727272725</v>
      </c>
      <c r="CS306" s="172">
        <f t="shared" si="808"/>
        <v>14.76</v>
      </c>
      <c r="CT306" s="217">
        <f t="shared" si="809"/>
        <v>2.3595898004434592</v>
      </c>
      <c r="CU306" s="217">
        <f t="shared" si="810"/>
        <v>16.399999999999999</v>
      </c>
      <c r="CV306" s="217"/>
      <c r="CW306" s="172">
        <f t="shared" si="811"/>
        <v>97.480451575721702</v>
      </c>
      <c r="CX306" s="172">
        <f t="shared" si="812"/>
        <v>16.399999999999999</v>
      </c>
      <c r="CY306" s="217">
        <f t="shared" si="813"/>
        <v>2.5771428571428574</v>
      </c>
      <c r="CZ306" s="217">
        <f t="shared" si="814"/>
        <v>0.85904761904761917</v>
      </c>
      <c r="DA306" s="217">
        <f t="shared" si="815"/>
        <v>1.8408163265306128</v>
      </c>
      <c r="DB306" s="197">
        <f t="shared" si="816"/>
        <v>350</v>
      </c>
      <c r="DC306" s="443">
        <f t="shared" si="817"/>
        <v>350</v>
      </c>
      <c r="DE306" s="217">
        <f t="shared" si="818"/>
        <v>2.7272727272727271</v>
      </c>
      <c r="DF306" s="173">
        <f t="shared" si="819"/>
        <v>1.9480519480519483</v>
      </c>
      <c r="DG306" s="173">
        <f t="shared" si="820"/>
        <v>0.92975206611570249</v>
      </c>
      <c r="DH306" s="173"/>
      <c r="DI306" s="173">
        <f t="shared" si="821"/>
        <v>0.95238095238095266</v>
      </c>
      <c r="DJ306" s="545">
        <f t="shared" si="822"/>
        <v>1417.4999999999995</v>
      </c>
      <c r="DK306" s="528">
        <f t="shared" si="823"/>
        <v>0.22222222222222232</v>
      </c>
      <c r="DM306" s="173">
        <f t="shared" si="824"/>
        <v>2.6832815729997472</v>
      </c>
      <c r="DN306" s="173">
        <f t="shared" si="825"/>
        <v>2.6832815729997472</v>
      </c>
      <c r="DO306" s="173">
        <f t="shared" si="826"/>
        <v>2.1999616590121582</v>
      </c>
      <c r="DQ306" s="545">
        <f t="shared" si="827"/>
        <v>900</v>
      </c>
      <c r="DR306" s="460">
        <f t="shared" si="828"/>
        <v>350</v>
      </c>
      <c r="DT306">
        <f t="shared" si="829"/>
        <v>900</v>
      </c>
      <c r="DU306">
        <f t="shared" si="830"/>
        <v>350</v>
      </c>
      <c r="DW306" s="5">
        <f t="shared" si="859"/>
        <v>2.8571428571428572</v>
      </c>
      <c r="DX306" s="5">
        <f t="shared" si="831"/>
        <v>0.89442719099991586</v>
      </c>
      <c r="DY306" s="5">
        <f t="shared" si="832"/>
        <v>1.9627156661429415</v>
      </c>
      <c r="DZ306" s="5"/>
      <c r="EA306" s="173">
        <f t="shared" si="833"/>
        <v>0.31304951684997057</v>
      </c>
      <c r="EB306" s="173">
        <f t="shared" si="860"/>
        <v>15.119999999999994</v>
      </c>
      <c r="EC306" s="173">
        <f t="shared" si="861"/>
        <v>0.92164078649987369</v>
      </c>
      <c r="ED306" s="173">
        <f t="shared" si="862"/>
        <v>16.405523954100815</v>
      </c>
      <c r="EE306" s="460">
        <f t="shared" si="834"/>
        <v>4.908441901828807</v>
      </c>
      <c r="EF306" s="5">
        <f t="shared" si="835"/>
        <v>0.67059451926550484</v>
      </c>
      <c r="EH306" s="173">
        <f t="shared" si="863"/>
        <v>0.86678650222527642</v>
      </c>
      <c r="EI306" s="173">
        <f t="shared" si="864"/>
        <v>1.2840097972990978</v>
      </c>
      <c r="EK306" s="528">
        <f t="shared" si="865"/>
        <v>1.5026376808798583E-2</v>
      </c>
      <c r="EL306" s="528">
        <f t="shared" si="866"/>
        <v>0.9917408693807066</v>
      </c>
      <c r="EM306" s="528">
        <f t="shared" si="867"/>
        <v>4.3749999999999997E-2</v>
      </c>
      <c r="EN306" s="528">
        <f t="shared" si="868"/>
        <v>9.7574399999999992E-2</v>
      </c>
      <c r="EO306">
        <f t="shared" si="869"/>
        <v>1.6199999999999999E-2</v>
      </c>
      <c r="EP306" s="460">
        <f t="shared" si="870"/>
        <v>59.949999999999996</v>
      </c>
      <c r="EQ306" s="460"/>
      <c r="ER306" s="460">
        <f t="shared" si="871"/>
        <v>1164.2916461895052</v>
      </c>
      <c r="ES306" s="528">
        <f t="shared" si="872"/>
        <v>0.63</v>
      </c>
      <c r="EV306" s="460">
        <f t="shared" si="873"/>
        <v>630</v>
      </c>
      <c r="EW306" s="528">
        <f t="shared" si="874"/>
        <v>2.2539565213197874E-2</v>
      </c>
      <c r="EX306" s="528">
        <f t="shared" si="875"/>
        <v>4.9460434786802107E-2</v>
      </c>
      <c r="EY306" s="528">
        <f t="shared" si="876"/>
        <v>1.351467902909635</v>
      </c>
      <c r="EZ306" s="528"/>
      <c r="FA306" s="528">
        <f t="shared" si="877"/>
        <v>1.2599999999999997E-2</v>
      </c>
      <c r="FB306" s="460">
        <f t="shared" si="878"/>
        <v>1436.067902909635</v>
      </c>
      <c r="FC306" s="173">
        <f t="shared" si="879"/>
        <v>3.2303595490991404</v>
      </c>
      <c r="FD306" s="5">
        <f t="shared" si="880"/>
        <v>14.76</v>
      </c>
      <c r="FE306" s="173">
        <f t="shared" si="881"/>
        <v>0.82043941143683818</v>
      </c>
      <c r="FF306" s="5">
        <f t="shared" si="882"/>
        <v>82.043941143683824</v>
      </c>
      <c r="FI306" s="562">
        <f t="shared" si="836"/>
        <v>-50</v>
      </c>
      <c r="FJ306">
        <f t="shared" si="837"/>
        <v>-50</v>
      </c>
      <c r="FL306">
        <f t="shared" si="838"/>
        <v>0.67082039324993692</v>
      </c>
    </row>
    <row r="307" spans="5:168">
      <c r="E307" s="170">
        <v>91</v>
      </c>
      <c r="F307" s="217">
        <f t="shared" si="839"/>
        <v>0.91</v>
      </c>
      <c r="G307" s="217"/>
      <c r="H307" s="217">
        <f t="shared" si="764"/>
        <v>14.923999999999999</v>
      </c>
      <c r="I307" s="541">
        <f t="shared" si="765"/>
        <v>35.931857269284102</v>
      </c>
      <c r="J307" s="172">
        <f t="shared" si="766"/>
        <v>16.840885638429537</v>
      </c>
      <c r="K307" s="172">
        <f t="shared" si="767"/>
        <v>52.772742907713635</v>
      </c>
      <c r="L307" s="443"/>
      <c r="M307" s="217">
        <f t="shared" si="768"/>
        <v>0.31911557397598178</v>
      </c>
      <c r="N307" s="172">
        <f t="shared" si="769"/>
        <v>38.737372874911806</v>
      </c>
      <c r="O307" s="172">
        <f t="shared" si="762"/>
        <v>14.923999999999999</v>
      </c>
      <c r="P307" s="217">
        <f t="shared" si="770"/>
        <v>2.3620349313970617</v>
      </c>
      <c r="Q307" s="217">
        <f t="shared" si="771"/>
        <v>16.399999999999999</v>
      </c>
      <c r="R307" s="217"/>
      <c r="S307" s="172">
        <f t="shared" si="772"/>
        <v>95.836016423661263</v>
      </c>
      <c r="T307" s="172">
        <f t="shared" si="773"/>
        <v>16.399999999999999</v>
      </c>
      <c r="U307" s="217">
        <f t="shared" si="774"/>
        <v>2.6729940213609757</v>
      </c>
      <c r="V307" s="217">
        <f t="shared" si="775"/>
        <v>0.89268773433961668</v>
      </c>
      <c r="W307" s="217">
        <f t="shared" si="776"/>
        <v>1.9046461655874583</v>
      </c>
      <c r="X307" s="197">
        <f t="shared" si="777"/>
        <v>350</v>
      </c>
      <c r="Y307" s="443">
        <f t="shared" si="840"/>
        <v>333.62983017151669</v>
      </c>
      <c r="AA307" s="217">
        <f t="shared" si="778"/>
        <v>2.7301445049216935</v>
      </c>
      <c r="AB307" s="173">
        <f t="shared" si="779"/>
        <v>1.945368834065395</v>
      </c>
      <c r="AC307" s="173">
        <f t="shared" si="780"/>
        <v>0.92944915566467301</v>
      </c>
      <c r="AD307" s="173"/>
      <c r="AE307" s="173">
        <f t="shared" si="781"/>
        <v>0.95006879943946054</v>
      </c>
      <c r="AF307" s="545">
        <f t="shared" si="782"/>
        <v>1436.7380560285196</v>
      </c>
      <c r="AG307" s="528">
        <f t="shared" si="783"/>
        <v>0.22168271986920746</v>
      </c>
      <c r="AI307" s="173">
        <f t="shared" si="784"/>
        <v>2.7014287164361996</v>
      </c>
      <c r="AJ307" s="173">
        <f t="shared" si="785"/>
        <v>2.7014287164361996</v>
      </c>
      <c r="AK307" s="173">
        <f t="shared" si="786"/>
        <v>2.2134039874836047</v>
      </c>
      <c r="AM307" s="545">
        <f t="shared" si="787"/>
        <v>910</v>
      </c>
      <c r="AN307" s="460">
        <f t="shared" si="788"/>
        <v>333.62983017151669</v>
      </c>
      <c r="AP307">
        <f t="shared" si="789"/>
        <v>910</v>
      </c>
      <c r="AQ307">
        <f t="shared" si="790"/>
        <v>333.62983017151669</v>
      </c>
      <c r="AS307" s="5">
        <f t="shared" si="763"/>
        <v>2.9973338999270758</v>
      </c>
      <c r="AT307" s="5">
        <f t="shared" si="791"/>
        <v>0.90218394096054122</v>
      </c>
      <c r="AU307" s="5">
        <f t="shared" si="883"/>
        <v>2.0951499589665348</v>
      </c>
      <c r="AV307" s="5"/>
      <c r="AW307" s="173">
        <f t="shared" si="884"/>
        <v>0.30099547500613499</v>
      </c>
      <c r="AX307" s="173">
        <f t="shared" si="792"/>
        <v>14.608416720266671</v>
      </c>
      <c r="AY307" s="173">
        <f t="shared" si="793"/>
        <v>0.94415544836863607</v>
      </c>
      <c r="AZ307" s="173">
        <f t="shared" si="794"/>
        <v>15.472469862359954</v>
      </c>
      <c r="BA307" s="460">
        <f t="shared" si="724"/>
        <v>5.0060206480127594</v>
      </c>
      <c r="BB307" s="5">
        <f t="shared" si="725"/>
        <v>0.72516935211755285</v>
      </c>
      <c r="BD307" s="173">
        <f t="shared" si="841"/>
        <v>0.85568292959107128</v>
      </c>
      <c r="BE307" s="173">
        <f t="shared" si="842"/>
        <v>1.3039858488502929</v>
      </c>
      <c r="BG307" s="528">
        <f t="shared" si="843"/>
        <v>1.4643865519871164E-2</v>
      </c>
      <c r="BH307" s="528">
        <f t="shared" si="795"/>
        <v>0.8918038156726813</v>
      </c>
      <c r="BI307" s="528">
        <f t="shared" si="796"/>
        <v>0.29969848596246079</v>
      </c>
      <c r="BJ307" s="528">
        <f t="shared" si="844"/>
        <v>9.291465305454949E-2</v>
      </c>
      <c r="BK307">
        <f t="shared" si="845"/>
        <v>1.6169335771177844E-2</v>
      </c>
      <c r="BL307" s="460">
        <f t="shared" si="846"/>
        <v>315.86782173363866</v>
      </c>
      <c r="BM307" s="528">
        <f t="shared" si="797"/>
        <v>1.0068192872935022</v>
      </c>
      <c r="BN307" s="460">
        <f t="shared" si="847"/>
        <v>1006.8192872935023</v>
      </c>
      <c r="BO307" s="528">
        <f t="shared" si="798"/>
        <v>0.63700000000000001</v>
      </c>
      <c r="BR307" s="460">
        <f t="shared" si="848"/>
        <v>637</v>
      </c>
      <c r="BS307" s="528">
        <f t="shared" si="849"/>
        <v>2.1965798279806745E-2</v>
      </c>
      <c r="BT307" s="528">
        <f t="shared" si="850"/>
        <v>5.1011372820054565E-2</v>
      </c>
      <c r="BU307" s="528">
        <f t="shared" si="851"/>
        <v>1.2193151520869958</v>
      </c>
      <c r="BV307" s="528"/>
      <c r="BW307" s="528">
        <f t="shared" si="852"/>
        <v>1.2173680600222227E-2</v>
      </c>
      <c r="BX307" s="460">
        <f t="shared" si="853"/>
        <v>1304.4660037870792</v>
      </c>
      <c r="BY307" s="173">
        <f t="shared" si="854"/>
        <v>3.2566961597678201</v>
      </c>
      <c r="BZ307" s="5">
        <f t="shared" si="855"/>
        <v>14.923999999999999</v>
      </c>
      <c r="CA307" s="173">
        <f t="shared" si="856"/>
        <v>0.82087065692376593</v>
      </c>
      <c r="CB307" s="5">
        <f t="shared" si="857"/>
        <v>82.087065692376598</v>
      </c>
      <c r="CE307" s="562">
        <f t="shared" si="799"/>
        <v>-50</v>
      </c>
      <c r="CF307">
        <f t="shared" si="800"/>
        <v>-50</v>
      </c>
      <c r="CG307" s="173">
        <f t="shared" si="801"/>
        <v>0.66771612352458576</v>
      </c>
      <c r="CI307" s="170">
        <v>91</v>
      </c>
      <c r="CJ307" s="217">
        <f t="shared" si="858"/>
        <v>0.91</v>
      </c>
      <c r="CK307" s="217"/>
      <c r="CL307" s="217">
        <f t="shared" si="802"/>
        <v>14.923999999999999</v>
      </c>
      <c r="CM307" s="541">
        <f t="shared" si="803"/>
        <v>36</v>
      </c>
      <c r="CN307" s="443">
        <f t="shared" si="804"/>
        <v>16.799999999999997</v>
      </c>
      <c r="CO307" s="443">
        <f t="shared" si="805"/>
        <v>52.8</v>
      </c>
      <c r="CP307" s="443"/>
      <c r="CQ307" s="217">
        <f t="shared" si="806"/>
        <v>0.31818181818181812</v>
      </c>
      <c r="CR307" s="172">
        <f t="shared" si="807"/>
        <v>38.697272727272725</v>
      </c>
      <c r="CS307" s="172">
        <f t="shared" si="808"/>
        <v>14.923999999999999</v>
      </c>
      <c r="CT307" s="217">
        <f t="shared" si="809"/>
        <v>2.3595898004434592</v>
      </c>
      <c r="CU307" s="217">
        <f t="shared" si="810"/>
        <v>16.399999999999999</v>
      </c>
      <c r="CV307" s="217"/>
      <c r="CW307" s="172">
        <f t="shared" si="811"/>
        <v>96.01748237641192</v>
      </c>
      <c r="CX307" s="172">
        <f t="shared" si="812"/>
        <v>16.399999999999999</v>
      </c>
      <c r="CY307" s="217">
        <f t="shared" si="813"/>
        <v>2.605777777777778</v>
      </c>
      <c r="CZ307" s="217">
        <f t="shared" si="814"/>
        <v>0.86859259259259269</v>
      </c>
      <c r="DA307" s="217">
        <f t="shared" si="815"/>
        <v>1.8612698412698416</v>
      </c>
      <c r="DB307" s="197">
        <f t="shared" si="816"/>
        <v>350</v>
      </c>
      <c r="DC307" s="443">
        <f t="shared" si="817"/>
        <v>350</v>
      </c>
      <c r="DE307" s="217">
        <f t="shared" si="818"/>
        <v>2.7272727272727271</v>
      </c>
      <c r="DF307" s="173">
        <f t="shared" si="819"/>
        <v>1.9480519480519483</v>
      </c>
      <c r="DG307" s="173">
        <f t="shared" si="820"/>
        <v>0.92975206611570249</v>
      </c>
      <c r="DH307" s="173"/>
      <c r="DI307" s="173">
        <f t="shared" si="821"/>
        <v>0.95238095238095266</v>
      </c>
      <c r="DJ307" s="545">
        <f t="shared" si="822"/>
        <v>1433.2499999999995</v>
      </c>
      <c r="DK307" s="528">
        <f t="shared" si="823"/>
        <v>0.22222222222222232</v>
      </c>
      <c r="DM307" s="173">
        <f t="shared" si="824"/>
        <v>2.6981475126464081</v>
      </c>
      <c r="DN307" s="173">
        <f t="shared" si="825"/>
        <v>2.6981475126464081</v>
      </c>
      <c r="DO307" s="173">
        <f t="shared" si="826"/>
        <v>2.2109734661578329</v>
      </c>
      <c r="DQ307" s="545">
        <f t="shared" si="827"/>
        <v>910</v>
      </c>
      <c r="DR307" s="460">
        <f t="shared" si="828"/>
        <v>350</v>
      </c>
      <c r="DT307">
        <f t="shared" si="829"/>
        <v>910</v>
      </c>
      <c r="DU307">
        <f t="shared" si="830"/>
        <v>350</v>
      </c>
      <c r="DW307" s="5">
        <f t="shared" si="859"/>
        <v>2.8571428571428572</v>
      </c>
      <c r="DX307" s="5">
        <f t="shared" si="831"/>
        <v>0.89938250421546928</v>
      </c>
      <c r="DY307" s="5">
        <f t="shared" si="832"/>
        <v>1.9577603529273879</v>
      </c>
      <c r="DZ307" s="5"/>
      <c r="EA307" s="173">
        <f t="shared" si="833"/>
        <v>0.31478387647541423</v>
      </c>
      <c r="EB307" s="173">
        <f t="shared" si="860"/>
        <v>15.287999999999998</v>
      </c>
      <c r="EC307" s="173">
        <f t="shared" si="861"/>
        <v>0.9244070896565374</v>
      </c>
      <c r="ED307" s="173">
        <f t="shared" si="862"/>
        <v>16.538168271383814</v>
      </c>
      <c r="EE307" s="460">
        <f t="shared" si="834"/>
        <v>4.9904760904638854</v>
      </c>
      <c r="EF307" s="5">
        <f t="shared" si="835"/>
        <v>0.67633369229371143</v>
      </c>
      <c r="EH307" s="173">
        <f t="shared" si="863"/>
        <v>0.87399973698337297</v>
      </c>
      <c r="EI307" s="173">
        <f t="shared" si="864"/>
        <v>1.2894925848641632</v>
      </c>
      <c r="EK307" s="528">
        <f t="shared" si="865"/>
        <v>1.5277510804940102E-2</v>
      </c>
      <c r="EL307" s="528">
        <f t="shared" si="866"/>
        <v>0.99723532067411247</v>
      </c>
      <c r="EM307" s="528">
        <f t="shared" si="867"/>
        <v>4.3749999999999997E-2</v>
      </c>
      <c r="EN307" s="528">
        <f t="shared" si="868"/>
        <v>9.7574399999999992E-2</v>
      </c>
      <c r="EO307">
        <f t="shared" si="869"/>
        <v>1.6199999999999999E-2</v>
      </c>
      <c r="EP307" s="460">
        <f t="shared" si="870"/>
        <v>59.949999999999996</v>
      </c>
      <c r="EQ307" s="460"/>
      <c r="ER307" s="460">
        <f t="shared" si="871"/>
        <v>1170.0372314790525</v>
      </c>
      <c r="ES307" s="528">
        <f t="shared" si="872"/>
        <v>0.63700000000000001</v>
      </c>
      <c r="EV307" s="460">
        <f t="shared" si="873"/>
        <v>637</v>
      </c>
      <c r="EW307" s="528">
        <f t="shared" si="874"/>
        <v>2.2916266207410153E-2</v>
      </c>
      <c r="EX307" s="528">
        <f t="shared" si="875"/>
        <v>4.9883733792589834E-2</v>
      </c>
      <c r="EY307" s="528">
        <f t="shared" si="876"/>
        <v>1.3702642883660121</v>
      </c>
      <c r="EZ307" s="528"/>
      <c r="FA307" s="528">
        <f t="shared" si="877"/>
        <v>1.2739999999999998E-2</v>
      </c>
      <c r="FB307" s="460">
        <f t="shared" si="878"/>
        <v>1455.8042883660121</v>
      </c>
      <c r="FC307" s="173">
        <f t="shared" si="879"/>
        <v>3.2628415198450647</v>
      </c>
      <c r="FD307" s="5">
        <f t="shared" si="880"/>
        <v>14.923999999999999</v>
      </c>
      <c r="FE307" s="173">
        <f t="shared" si="881"/>
        <v>0.82059328354048022</v>
      </c>
      <c r="FF307" s="5">
        <f t="shared" si="882"/>
        <v>82.05932835404802</v>
      </c>
      <c r="FI307" s="562">
        <f t="shared" si="836"/>
        <v>-50</v>
      </c>
      <c r="FJ307">
        <f t="shared" si="837"/>
        <v>-50</v>
      </c>
      <c r="FL307">
        <f t="shared" si="838"/>
        <v>0.67453687816160213</v>
      </c>
    </row>
    <row r="308" spans="5:168">
      <c r="E308" s="170">
        <v>92</v>
      </c>
      <c r="F308" s="217">
        <f t="shared" si="839"/>
        <v>0.92</v>
      </c>
      <c r="G308" s="217"/>
      <c r="H308" s="217">
        <f t="shared" si="764"/>
        <v>15.087999999999999</v>
      </c>
      <c r="I308" s="541">
        <f t="shared" si="765"/>
        <v>35.930930025290209</v>
      </c>
      <c r="J308" s="172">
        <f t="shared" si="766"/>
        <v>16.84144198482587</v>
      </c>
      <c r="K308" s="172">
        <f t="shared" si="767"/>
        <v>52.772372010116079</v>
      </c>
      <c r="L308" s="443"/>
      <c r="M308" s="217">
        <f t="shared" si="768"/>
        <v>0.31912404246348053</v>
      </c>
      <c r="N308" s="172">
        <f t="shared" si="769"/>
        <v>38.737401194238309</v>
      </c>
      <c r="O308" s="172">
        <f t="shared" si="762"/>
        <v>15.087999999999999</v>
      </c>
      <c r="P308" s="217">
        <f t="shared" si="770"/>
        <v>2.362036658185263</v>
      </c>
      <c r="Q308" s="217">
        <f t="shared" si="771"/>
        <v>16.399999999999999</v>
      </c>
      <c r="R308" s="217"/>
      <c r="S308" s="172">
        <f t="shared" si="772"/>
        <v>94.405198039112477</v>
      </c>
      <c r="T308" s="172">
        <f t="shared" si="773"/>
        <v>16.399999999999999</v>
      </c>
      <c r="U308" s="217">
        <f t="shared" si="774"/>
        <v>2.7024011931003007</v>
      </c>
      <c r="V308" s="217">
        <f t="shared" si="775"/>
        <v>0.90253200499899078</v>
      </c>
      <c r="W308" s="217">
        <f t="shared" si="776"/>
        <v>1.9255366818602559</v>
      </c>
      <c r="X308" s="197">
        <f t="shared" si="777"/>
        <v>350</v>
      </c>
      <c r="Y308" s="443">
        <f t="shared" si="840"/>
        <v>330.24349954135721</v>
      </c>
      <c r="AA308" s="217">
        <f t="shared" si="778"/>
        <v>2.7301834293762117</v>
      </c>
      <c r="AB308" s="173">
        <f t="shared" si="779"/>
        <v>1.9453323048010536</v>
      </c>
      <c r="AC308" s="173">
        <f t="shared" si="780"/>
        <v>0.92944495405966221</v>
      </c>
      <c r="AD308" s="173"/>
      <c r="AE308" s="173">
        <f t="shared" si="781"/>
        <v>0.95003741451688006</v>
      </c>
      <c r="AF308" s="545">
        <f t="shared" si="782"/>
        <v>1452.574371191231</v>
      </c>
      <c r="AG308" s="528">
        <f t="shared" si="783"/>
        <v>0.22167539672060538</v>
      </c>
      <c r="AI308" s="173">
        <f t="shared" si="784"/>
        <v>2.7162760419753789</v>
      </c>
      <c r="AJ308" s="173">
        <f t="shared" si="785"/>
        <v>2.7162760419753789</v>
      </c>
      <c r="AK308" s="173">
        <f t="shared" si="786"/>
        <v>2.2244020064015149</v>
      </c>
      <c r="AM308" s="545">
        <f t="shared" si="787"/>
        <v>920</v>
      </c>
      <c r="AN308" s="460">
        <f t="shared" si="788"/>
        <v>330.24349954135721</v>
      </c>
      <c r="AP308">
        <f t="shared" si="789"/>
        <v>920</v>
      </c>
      <c r="AQ308">
        <f t="shared" si="790"/>
        <v>330.24349954135721</v>
      </c>
      <c r="AS308" s="5">
        <f t="shared" si="763"/>
        <v>3.0280686868592475</v>
      </c>
      <c r="AT308" s="5">
        <f t="shared" si="791"/>
        <v>0.90716584515797771</v>
      </c>
      <c r="AU308" s="5">
        <f t="shared" si="883"/>
        <v>2.1209028417012696</v>
      </c>
      <c r="AV308" s="5"/>
      <c r="AW308" s="173">
        <f t="shared" si="884"/>
        <v>0.29958562336936351</v>
      </c>
      <c r="AX308" s="173">
        <f t="shared" si="792"/>
        <v>14.619527426629448</v>
      </c>
      <c r="AY308" s="173">
        <f t="shared" si="793"/>
        <v>0.95125939534845882</v>
      </c>
      <c r="AZ308" s="173">
        <f t="shared" si="794"/>
        <v>15.368602400267619</v>
      </c>
      <c r="BA308" s="460">
        <f t="shared" si="724"/>
        <v>5.088979131374022</v>
      </c>
      <c r="BB308" s="5">
        <f t="shared" si="725"/>
        <v>0.74216888840768536</v>
      </c>
      <c r="BD308" s="173">
        <f t="shared" si="841"/>
        <v>0.8583684767494324</v>
      </c>
      <c r="BE308" s="173">
        <f t="shared" si="842"/>
        <v>1.3124742804563203</v>
      </c>
      <c r="BG308" s="528">
        <f t="shared" si="843"/>
        <v>1.4735928837542819E-2</v>
      </c>
      <c r="BH308" s="528">
        <f t="shared" si="795"/>
        <v>0.88759749567038992</v>
      </c>
      <c r="BI308" s="528">
        <f t="shared" si="796"/>
        <v>0.2966489018331866</v>
      </c>
      <c r="BJ308" s="528">
        <f t="shared" si="844"/>
        <v>9.1970279923294679E-2</v>
      </c>
      <c r="BK308">
        <f t="shared" si="845"/>
        <v>1.6168918511380595E-2</v>
      </c>
      <c r="BL308" s="460">
        <f t="shared" si="846"/>
        <v>312.81782034456717</v>
      </c>
      <c r="BM308" s="528">
        <f t="shared" si="797"/>
        <v>1.0017899289097372</v>
      </c>
      <c r="BN308" s="460">
        <f t="shared" si="847"/>
        <v>1001.7899289097372</v>
      </c>
      <c r="BO308" s="528">
        <f t="shared" si="798"/>
        <v>0.64400000000000002</v>
      </c>
      <c r="BR308" s="460">
        <f t="shared" si="848"/>
        <v>644</v>
      </c>
      <c r="BS308" s="528">
        <f t="shared" si="849"/>
        <v>2.2103893256314226E-2</v>
      </c>
      <c r="BT308" s="528">
        <f t="shared" si="850"/>
        <v>5.1677662105780071E-2</v>
      </c>
      <c r="BU308" s="528">
        <f t="shared" si="851"/>
        <v>1.2050094604703254</v>
      </c>
      <c r="BV308" s="528"/>
      <c r="BW308" s="528">
        <f t="shared" si="852"/>
        <v>1.2182939522191207E-2</v>
      </c>
      <c r="BX308" s="460">
        <f t="shared" si="853"/>
        <v>1290.9739553546112</v>
      </c>
      <c r="BY308" s="173">
        <f t="shared" si="854"/>
        <v>3.242095480130406</v>
      </c>
      <c r="BZ308" s="5">
        <f t="shared" si="855"/>
        <v>15.087999999999999</v>
      </c>
      <c r="CA308" s="173">
        <f t="shared" si="856"/>
        <v>0.82312719081879315</v>
      </c>
      <c r="CB308" s="5">
        <f t="shared" si="857"/>
        <v>82.312719081879322</v>
      </c>
      <c r="CE308" s="562">
        <f t="shared" si="799"/>
        <v>-50</v>
      </c>
      <c r="CF308">
        <f t="shared" si="800"/>
        <v>-50</v>
      </c>
      <c r="CG308" s="173">
        <f t="shared" si="801"/>
        <v>0.66599126745415427</v>
      </c>
      <c r="CI308" s="170">
        <v>92</v>
      </c>
      <c r="CJ308" s="217">
        <f t="shared" si="858"/>
        <v>0.92</v>
      </c>
      <c r="CK308" s="217"/>
      <c r="CL308" s="217">
        <f t="shared" si="802"/>
        <v>15.087999999999999</v>
      </c>
      <c r="CM308" s="541">
        <f t="shared" si="803"/>
        <v>36</v>
      </c>
      <c r="CN308" s="443">
        <f t="shared" si="804"/>
        <v>16.799999999999997</v>
      </c>
      <c r="CO308" s="443">
        <f t="shared" si="805"/>
        <v>52.8</v>
      </c>
      <c r="CP308" s="443"/>
      <c r="CQ308" s="217">
        <f t="shared" si="806"/>
        <v>0.31818181818181812</v>
      </c>
      <c r="CR308" s="172">
        <f t="shared" si="807"/>
        <v>38.697272727272725</v>
      </c>
      <c r="CS308" s="172">
        <f t="shared" si="808"/>
        <v>15.087999999999999</v>
      </c>
      <c r="CT308" s="217">
        <f t="shared" si="809"/>
        <v>2.3595898004434592</v>
      </c>
      <c r="CU308" s="217">
        <f t="shared" si="810"/>
        <v>16.399999999999999</v>
      </c>
      <c r="CV308" s="217"/>
      <c r="CW308" s="172">
        <f t="shared" si="811"/>
        <v>94.586383285570648</v>
      </c>
      <c r="CX308" s="172">
        <f t="shared" si="812"/>
        <v>16.399999999999999</v>
      </c>
      <c r="CY308" s="217">
        <f t="shared" si="813"/>
        <v>2.6344126984126985</v>
      </c>
      <c r="CZ308" s="217">
        <f t="shared" si="814"/>
        <v>0.87813756613756622</v>
      </c>
      <c r="DA308" s="217">
        <f t="shared" si="815"/>
        <v>1.8817233560090707</v>
      </c>
      <c r="DB308" s="197">
        <f t="shared" si="816"/>
        <v>350</v>
      </c>
      <c r="DC308" s="443">
        <f t="shared" si="817"/>
        <v>350</v>
      </c>
      <c r="DE308" s="217">
        <f t="shared" si="818"/>
        <v>2.7272727272727271</v>
      </c>
      <c r="DF308" s="173">
        <f t="shared" si="819"/>
        <v>1.9480519480519483</v>
      </c>
      <c r="DG308" s="173">
        <f t="shared" si="820"/>
        <v>0.92975206611570249</v>
      </c>
      <c r="DH308" s="173"/>
      <c r="DI308" s="173">
        <f t="shared" si="821"/>
        <v>0.95238095238095266</v>
      </c>
      <c r="DJ308" s="545">
        <f t="shared" si="822"/>
        <v>1448.9999999999995</v>
      </c>
      <c r="DK308" s="528">
        <f t="shared" si="823"/>
        <v>0.22222222222222232</v>
      </c>
      <c r="DM308" s="173">
        <f t="shared" si="824"/>
        <v>2.7129319932501068</v>
      </c>
      <c r="DN308" s="173">
        <f t="shared" si="825"/>
        <v>2.7129319932501068</v>
      </c>
      <c r="DO308" s="173">
        <f t="shared" si="826"/>
        <v>2.2219249332716839</v>
      </c>
      <c r="DQ308" s="545">
        <f t="shared" si="827"/>
        <v>920</v>
      </c>
      <c r="DR308" s="460">
        <f t="shared" si="828"/>
        <v>350</v>
      </c>
      <c r="DT308">
        <f t="shared" si="829"/>
        <v>920</v>
      </c>
      <c r="DU308">
        <f t="shared" si="830"/>
        <v>350</v>
      </c>
      <c r="DW308" s="5">
        <f t="shared" si="859"/>
        <v>2.8571428571428572</v>
      </c>
      <c r="DX308" s="5">
        <f t="shared" si="831"/>
        <v>0.90431066441670216</v>
      </c>
      <c r="DY308" s="5">
        <f t="shared" si="832"/>
        <v>1.9528321927261549</v>
      </c>
      <c r="DZ308" s="5"/>
      <c r="EA308" s="173">
        <f t="shared" si="833"/>
        <v>0.31650873254584577</v>
      </c>
      <c r="EB308" s="173">
        <f t="shared" si="860"/>
        <v>15.455999999999994</v>
      </c>
      <c r="EC308" s="173">
        <f t="shared" si="861"/>
        <v>0.92713266329172028</v>
      </c>
      <c r="ED308" s="173">
        <f t="shared" si="862"/>
        <v>16.670753401271117</v>
      </c>
      <c r="EE308" s="460">
        <f t="shared" si="834"/>
        <v>5.0729622638010134</v>
      </c>
      <c r="EF308" s="5">
        <f t="shared" si="835"/>
        <v>0.68204472508917169</v>
      </c>
      <c r="EH308" s="173">
        <f t="shared" si="863"/>
        <v>0.88119318191064544</v>
      </c>
      <c r="EI308" s="173">
        <f t="shared" si="864"/>
        <v>1.2949254455324928</v>
      </c>
      <c r="EK308" s="528">
        <f t="shared" si="865"/>
        <v>1.5530028476916159E-2</v>
      </c>
      <c r="EL308" s="528">
        <f t="shared" si="866"/>
        <v>1.0026996647052393</v>
      </c>
      <c r="EM308" s="528">
        <f t="shared" si="867"/>
        <v>4.3749999999999997E-2</v>
      </c>
      <c r="EN308" s="528">
        <f t="shared" si="868"/>
        <v>9.7574399999999992E-2</v>
      </c>
      <c r="EO308">
        <f t="shared" si="869"/>
        <v>1.6199999999999999E-2</v>
      </c>
      <c r="EP308" s="460">
        <f t="shared" si="870"/>
        <v>59.949999999999996</v>
      </c>
      <c r="EQ308" s="460"/>
      <c r="ER308" s="460">
        <f t="shared" si="871"/>
        <v>1175.7540931821554</v>
      </c>
      <c r="ES308" s="528">
        <f t="shared" si="872"/>
        <v>0.64400000000000002</v>
      </c>
      <c r="EV308" s="460">
        <f t="shared" si="873"/>
        <v>644</v>
      </c>
      <c r="EW308" s="528">
        <f t="shared" si="874"/>
        <v>2.3295042715374237E-2</v>
      </c>
      <c r="EX308" s="528">
        <f t="shared" si="875"/>
        <v>5.0304957284625751E-2</v>
      </c>
      <c r="EY308" s="528">
        <f t="shared" si="876"/>
        <v>1.3891123841527946</v>
      </c>
      <c r="EZ308" s="528"/>
      <c r="FA308" s="528">
        <f t="shared" si="877"/>
        <v>1.2879999999999997E-2</v>
      </c>
      <c r="FB308" s="460">
        <f t="shared" si="878"/>
        <v>1475.5923841527945</v>
      </c>
      <c r="FC308" s="173">
        <f t="shared" si="879"/>
        <v>3.2953464773349497</v>
      </c>
      <c r="FD308" s="5">
        <f t="shared" si="880"/>
        <v>15.087999999999999</v>
      </c>
      <c r="FE308" s="173">
        <f t="shared" si="881"/>
        <v>0.82074284018974331</v>
      </c>
      <c r="FF308" s="5">
        <f t="shared" si="882"/>
        <v>82.074284018974325</v>
      </c>
      <c r="FI308" s="562">
        <f t="shared" si="836"/>
        <v>-50</v>
      </c>
      <c r="FJ308">
        <f t="shared" si="837"/>
        <v>-50</v>
      </c>
      <c r="FL308">
        <f t="shared" si="838"/>
        <v>0.67823299831252692</v>
      </c>
    </row>
    <row r="309" spans="5:168">
      <c r="E309" s="170">
        <v>93</v>
      </c>
      <c r="F309" s="217">
        <f t="shared" si="839"/>
        <v>0.93</v>
      </c>
      <c r="G309" s="217"/>
      <c r="H309" s="217">
        <f t="shared" si="764"/>
        <v>15.251999999999999</v>
      </c>
      <c r="I309" s="541">
        <f t="shared" si="765"/>
        <v>35.930784115905595</v>
      </c>
      <c r="J309" s="172">
        <f t="shared" si="766"/>
        <v>16.84152953045664</v>
      </c>
      <c r="K309" s="172">
        <f t="shared" si="767"/>
        <v>52.772313646362235</v>
      </c>
      <c r="L309" s="443"/>
      <c r="M309" s="217">
        <f t="shared" si="768"/>
        <v>0.31912777061197839</v>
      </c>
      <c r="N309" s="172">
        <f t="shared" si="769"/>
        <v>38.737696433903679</v>
      </c>
      <c r="O309" s="172">
        <f t="shared" si="762"/>
        <v>15.251999999999999</v>
      </c>
      <c r="P309" s="217">
        <f t="shared" si="770"/>
        <v>2.3620546606038832</v>
      </c>
      <c r="Q309" s="217">
        <f t="shared" si="771"/>
        <v>16.399999999999999</v>
      </c>
      <c r="R309" s="217"/>
      <c r="S309" s="172">
        <f t="shared" si="772"/>
        <v>93.007255550835154</v>
      </c>
      <c r="T309" s="172">
        <f t="shared" si="773"/>
        <v>16.399999999999999</v>
      </c>
      <c r="U309" s="217">
        <f t="shared" si="774"/>
        <v>2.7317900770777452</v>
      </c>
      <c r="V309" s="217">
        <f t="shared" si="775"/>
        <v>0.91235083596245437</v>
      </c>
      <c r="W309" s="217">
        <f t="shared" si="776"/>
        <v>1.9464669681960953</v>
      </c>
      <c r="X309" s="197">
        <f t="shared" si="777"/>
        <v>350</v>
      </c>
      <c r="Y309" s="443">
        <f t="shared" si="840"/>
        <v>326.92368883183286</v>
      </c>
      <c r="AA309" s="217">
        <f t="shared" si="778"/>
        <v>2.7301895540816861</v>
      </c>
      <c r="AB309" s="173">
        <f t="shared" si="779"/>
        <v>1.9453265565774249</v>
      </c>
      <c r="AC309" s="173">
        <f t="shared" si="780"/>
        <v>0.92944429270794171</v>
      </c>
      <c r="AD309" s="173"/>
      <c r="AE309" s="173">
        <f t="shared" si="781"/>
        <v>0.95003247603284524</v>
      </c>
      <c r="AF309" s="545">
        <f t="shared" si="782"/>
        <v>1468.3708559366878</v>
      </c>
      <c r="AG309" s="528">
        <f t="shared" si="783"/>
        <v>0.22167424440766392</v>
      </c>
      <c r="AI309" s="173">
        <f t="shared" si="784"/>
        <v>2.7310056113457963</v>
      </c>
      <c r="AJ309" s="173">
        <f t="shared" si="785"/>
        <v>2.7317900770777452</v>
      </c>
      <c r="AK309" s="173">
        <f t="shared" si="786"/>
        <v>2.2358938842551197</v>
      </c>
      <c r="AM309" s="545">
        <f t="shared" si="787"/>
        <v>930</v>
      </c>
      <c r="AN309" s="460">
        <f t="shared" si="788"/>
        <v>326.92368883183286</v>
      </c>
      <c r="AP309">
        <f t="shared" si="789"/>
        <v>930</v>
      </c>
      <c r="AQ309">
        <f t="shared" si="790"/>
        <v>326.92368883183286</v>
      </c>
      <c r="AS309" s="5">
        <f t="shared" si="763"/>
        <v>3.0588178041585499</v>
      </c>
      <c r="AT309" s="5">
        <f t="shared" si="791"/>
        <v>0.91235083596245437</v>
      </c>
      <c r="AU309" s="5">
        <f t="shared" si="883"/>
        <v>2.1464669681960955</v>
      </c>
      <c r="AV309" s="5"/>
      <c r="AW309" s="173">
        <f t="shared" si="884"/>
        <v>0.29826910080165203</v>
      </c>
      <c r="AX309" s="173">
        <f t="shared" si="792"/>
        <v>14.638355409873798</v>
      </c>
      <c r="AY309" s="173">
        <f t="shared" si="793"/>
        <v>0.95849075360444524</v>
      </c>
      <c r="AZ309" s="173">
        <f t="shared" si="794"/>
        <v>15.272296946867396</v>
      </c>
      <c r="BA309" s="460">
        <f t="shared" ref="BA309:BA316" si="885">F309*AT309/Vout_ripple*1000</f>
        <v>5.1736968136895287</v>
      </c>
      <c r="BB309" s="5">
        <f t="shared" ref="BB309:BB316" si="886">H309/Efficiency/I309*AU309/Vinripple1</f>
        <v>0.75928193155393842</v>
      </c>
      <c r="BD309" s="173">
        <f t="shared" si="841"/>
        <v>0.86137215454677241</v>
      </c>
      <c r="BE309" s="173">
        <f t="shared" si="842"/>
        <v>1.3212104373559355</v>
      </c>
      <c r="BG309" s="528">
        <f t="shared" si="843"/>
        <v>1.4839239772570977E-2</v>
      </c>
      <c r="BH309" s="528">
        <f t="shared" si="795"/>
        <v>0.88369240173180608</v>
      </c>
      <c r="BI309" s="528">
        <f t="shared" si="796"/>
        <v>0.29366561214480214</v>
      </c>
      <c r="BJ309" s="528">
        <f t="shared" si="844"/>
        <v>9.1045536736573715E-2</v>
      </c>
      <c r="BK309">
        <f t="shared" si="845"/>
        <v>1.6168852852157519E-2</v>
      </c>
      <c r="BL309" s="460">
        <f t="shared" si="846"/>
        <v>309.83446499695964</v>
      </c>
      <c r="BM309" s="528">
        <f t="shared" si="797"/>
        <v>0.99709934922523102</v>
      </c>
      <c r="BN309" s="460">
        <f t="shared" si="847"/>
        <v>997.09934922523098</v>
      </c>
      <c r="BO309" s="528">
        <f t="shared" si="798"/>
        <v>0.65100000000000002</v>
      </c>
      <c r="BR309" s="460">
        <f t="shared" si="848"/>
        <v>651</v>
      </c>
      <c r="BS309" s="528">
        <f t="shared" si="849"/>
        <v>2.2258859658856461E-2</v>
      </c>
      <c r="BT309" s="528">
        <f t="shared" si="850"/>
        <v>5.2367910593347868E-2</v>
      </c>
      <c r="BU309" s="528">
        <f t="shared" si="851"/>
        <v>1.1918024909880884</v>
      </c>
      <c r="BV309" s="528"/>
      <c r="BW309" s="528">
        <f t="shared" si="852"/>
        <v>1.2198629508228165E-2</v>
      </c>
      <c r="BX309" s="460">
        <f t="shared" si="853"/>
        <v>1278.6278907485209</v>
      </c>
      <c r="BY309" s="173">
        <f t="shared" si="854"/>
        <v>3.2290395339864313</v>
      </c>
      <c r="BZ309" s="5">
        <f t="shared" si="855"/>
        <v>15.251999999999999</v>
      </c>
      <c r="CA309" s="173">
        <f t="shared" si="856"/>
        <v>0.82527825190524251</v>
      </c>
      <c r="CB309" s="5">
        <f t="shared" si="857"/>
        <v>82.527825190524254</v>
      </c>
      <c r="CE309" s="562">
        <f t="shared" si="799"/>
        <v>-50</v>
      </c>
      <c r="CF309">
        <f t="shared" si="800"/>
        <v>-50</v>
      </c>
      <c r="CG309" s="173">
        <f t="shared" si="801"/>
        <v>0.67181111111111114</v>
      </c>
      <c r="CI309" s="170">
        <v>93</v>
      </c>
      <c r="CJ309" s="217">
        <f t="shared" si="858"/>
        <v>0.93</v>
      </c>
      <c r="CK309" s="217"/>
      <c r="CL309" s="217">
        <f t="shared" si="802"/>
        <v>15.251999999999999</v>
      </c>
      <c r="CM309" s="541">
        <f t="shared" si="803"/>
        <v>36</v>
      </c>
      <c r="CN309" s="443">
        <f t="shared" si="804"/>
        <v>16.799999999999997</v>
      </c>
      <c r="CO309" s="443">
        <f t="shared" si="805"/>
        <v>52.8</v>
      </c>
      <c r="CP309" s="443"/>
      <c r="CQ309" s="217">
        <f t="shared" si="806"/>
        <v>0.31818181818181812</v>
      </c>
      <c r="CR309" s="172">
        <f t="shared" si="807"/>
        <v>38.697272727272725</v>
      </c>
      <c r="CS309" s="172">
        <f t="shared" si="808"/>
        <v>15.251999999999999</v>
      </c>
      <c r="CT309" s="217">
        <f t="shared" si="809"/>
        <v>2.3595898004434592</v>
      </c>
      <c r="CU309" s="217">
        <f t="shared" si="810"/>
        <v>16.399999999999999</v>
      </c>
      <c r="CV309" s="217"/>
      <c r="CW309" s="172">
        <f t="shared" si="811"/>
        <v>93.186127024135402</v>
      </c>
      <c r="CX309" s="172">
        <f t="shared" si="812"/>
        <v>16.399999999999999</v>
      </c>
      <c r="CY309" s="217">
        <f t="shared" si="813"/>
        <v>2.6630476190476191</v>
      </c>
      <c r="CZ309" s="217">
        <f t="shared" si="814"/>
        <v>0.88768253968253974</v>
      </c>
      <c r="DA309" s="217">
        <f t="shared" si="815"/>
        <v>1.9021768707482998</v>
      </c>
      <c r="DB309" s="197">
        <f t="shared" si="816"/>
        <v>350</v>
      </c>
      <c r="DC309" s="443">
        <f t="shared" si="817"/>
        <v>350</v>
      </c>
      <c r="DE309" s="217">
        <f t="shared" si="818"/>
        <v>2.7272727272727271</v>
      </c>
      <c r="DF309" s="173">
        <f t="shared" si="819"/>
        <v>1.9480519480519483</v>
      </c>
      <c r="DG309" s="173">
        <f t="shared" si="820"/>
        <v>0.92975206611570249</v>
      </c>
      <c r="DH309" s="173"/>
      <c r="DI309" s="173">
        <f t="shared" si="821"/>
        <v>0.95238095238095266</v>
      </c>
      <c r="DJ309" s="545">
        <f t="shared" si="822"/>
        <v>1464.7499999999995</v>
      </c>
      <c r="DK309" s="528">
        <f t="shared" si="823"/>
        <v>0.22222222222222232</v>
      </c>
      <c r="DM309" s="173">
        <f t="shared" si="824"/>
        <v>2.7276363393971708</v>
      </c>
      <c r="DN309" s="173">
        <f t="shared" si="825"/>
        <v>2.6630476190476191</v>
      </c>
      <c r="DO309" s="173">
        <f t="shared" si="826"/>
        <v>2.1849735449735448</v>
      </c>
      <c r="DQ309" s="545">
        <f t="shared" si="827"/>
        <v>930</v>
      </c>
      <c r="DR309" s="460">
        <f t="shared" si="828"/>
        <v>350</v>
      </c>
      <c r="DT309">
        <f t="shared" si="829"/>
        <v>930</v>
      </c>
      <c r="DU309">
        <f t="shared" si="830"/>
        <v>350</v>
      </c>
      <c r="DW309" s="5">
        <f t="shared" si="859"/>
        <v>2.8571428571428572</v>
      </c>
      <c r="DX309" s="5">
        <f t="shared" si="831"/>
        <v>0.88768253968253974</v>
      </c>
      <c r="DY309" s="5">
        <f t="shared" si="832"/>
        <v>1.9694603174603174</v>
      </c>
      <c r="DZ309" s="5"/>
      <c r="EA309" s="173">
        <f t="shared" si="833"/>
        <v>0.3106888888888889</v>
      </c>
      <c r="EB309" s="173">
        <f t="shared" si="860"/>
        <v>14.892827504761906</v>
      </c>
      <c r="EC309" s="173">
        <f t="shared" si="861"/>
        <v>0.91783415661375667</v>
      </c>
      <c r="ED309" s="173">
        <f t="shared" si="862"/>
        <v>16.226054998549277</v>
      </c>
      <c r="EE309" s="460">
        <f t="shared" si="834"/>
        <v>5.0338095238095253</v>
      </c>
      <c r="EF309" s="5">
        <f t="shared" si="835"/>
        <v>0.695328906525573</v>
      </c>
      <c r="EH309" s="173">
        <f t="shared" si="863"/>
        <v>0.85700067880438013</v>
      </c>
      <c r="EI309" s="173">
        <f t="shared" si="864"/>
        <v>1.2765150646586836</v>
      </c>
      <c r="EK309" s="528">
        <f t="shared" si="865"/>
        <v>1.4689003269423366E-2</v>
      </c>
      <c r="EL309" s="528">
        <f t="shared" si="866"/>
        <v>0.98426239999999998</v>
      </c>
      <c r="EM309" s="528">
        <f t="shared" si="867"/>
        <v>4.3749999999999997E-2</v>
      </c>
      <c r="EN309" s="528">
        <f t="shared" si="868"/>
        <v>9.7574399999999992E-2</v>
      </c>
      <c r="EO309">
        <f t="shared" si="869"/>
        <v>1.6199999999999999E-2</v>
      </c>
      <c r="EP309" s="460">
        <f t="shared" si="870"/>
        <v>59.949999999999996</v>
      </c>
      <c r="EQ309" s="460"/>
      <c r="ER309" s="460">
        <f t="shared" si="871"/>
        <v>1156.4758032694233</v>
      </c>
      <c r="ES309" s="528">
        <f t="shared" si="872"/>
        <v>0.65100000000000002</v>
      </c>
      <c r="EV309" s="460">
        <f t="shared" si="873"/>
        <v>651</v>
      </c>
      <c r="EW309" s="528">
        <f t="shared" si="874"/>
        <v>2.2033504904135047E-2</v>
      </c>
      <c r="EX309" s="528">
        <f t="shared" si="875"/>
        <v>4.8884721309016894E-2</v>
      </c>
      <c r="EY309" s="528">
        <f t="shared" si="876"/>
        <v>1.3261341103754036</v>
      </c>
      <c r="EZ309" s="528"/>
      <c r="FA309" s="528">
        <f t="shared" si="877"/>
        <v>1.2410689587301587E-2</v>
      </c>
      <c r="FB309" s="460">
        <f t="shared" si="878"/>
        <v>1409.4630261758571</v>
      </c>
      <c r="FC309" s="173">
        <f t="shared" si="879"/>
        <v>3.2169388294452808</v>
      </c>
      <c r="FD309" s="5">
        <f t="shared" si="880"/>
        <v>15.251999999999999</v>
      </c>
      <c r="FE309" s="173">
        <f t="shared" si="881"/>
        <v>0.82581896777326103</v>
      </c>
      <c r="FF309" s="5">
        <f t="shared" si="882"/>
        <v>82.581896777326108</v>
      </c>
      <c r="FI309" s="562">
        <f t="shared" si="836"/>
        <v>-50</v>
      </c>
      <c r="FJ309">
        <f t="shared" si="837"/>
        <v>-50</v>
      </c>
      <c r="FL309">
        <f t="shared" si="838"/>
        <v>0.68190908484929291</v>
      </c>
    </row>
    <row r="310" spans="5:168">
      <c r="E310" s="170">
        <v>94</v>
      </c>
      <c r="F310" s="217">
        <f t="shared" si="839"/>
        <v>0.94</v>
      </c>
      <c r="G310" s="217"/>
      <c r="H310" s="217">
        <f t="shared" si="764"/>
        <v>15.415999999999999</v>
      </c>
      <c r="I310" s="541">
        <f t="shared" si="765"/>
        <v>35.929690226996961</v>
      </c>
      <c r="J310" s="172">
        <f t="shared" si="766"/>
        <v>16.842185863801824</v>
      </c>
      <c r="K310" s="172">
        <f t="shared" si="767"/>
        <v>52.771876090798784</v>
      </c>
      <c r="L310" s="443"/>
      <c r="M310" s="217">
        <f t="shared" si="768"/>
        <v>0.31913721639563541</v>
      </c>
      <c r="N310" s="172">
        <f t="shared" si="769"/>
        <v>38.737663642962644</v>
      </c>
      <c r="O310" s="172">
        <f t="shared" si="762"/>
        <v>15.415999999999999</v>
      </c>
      <c r="P310" s="217">
        <f t="shared" si="770"/>
        <v>2.3620526611562589</v>
      </c>
      <c r="Q310" s="217">
        <f t="shared" si="771"/>
        <v>16.399999999999999</v>
      </c>
      <c r="R310" s="217"/>
      <c r="S310" s="172">
        <f t="shared" si="772"/>
        <v>91.636712536333903</v>
      </c>
      <c r="T310" s="172">
        <f t="shared" si="773"/>
        <v>16.399999999999999</v>
      </c>
      <c r="U310" s="217">
        <f t="shared" si="774"/>
        <v>2.7612024702651827</v>
      </c>
      <c r="V310" s="217">
        <f t="shared" si="775"/>
        <v>0.92220192920799371</v>
      </c>
      <c r="W310" s="217">
        <f t="shared" si="776"/>
        <v>1.9673473450020871</v>
      </c>
      <c r="X310" s="197">
        <f t="shared" si="777"/>
        <v>350</v>
      </c>
      <c r="Y310" s="443">
        <f t="shared" si="840"/>
        <v>323.67180816550479</v>
      </c>
      <c r="AA310" s="217">
        <f t="shared" si="778"/>
        <v>2.7302354680212351</v>
      </c>
      <c r="AB310" s="173">
        <f t="shared" si="779"/>
        <v>1.9452834614935901</v>
      </c>
      <c r="AC310" s="173">
        <f t="shared" si="780"/>
        <v>0.92943933283686098</v>
      </c>
      <c r="AD310" s="173"/>
      <c r="AE310" s="173">
        <f t="shared" si="781"/>
        <v>0.94999545364168592</v>
      </c>
      <c r="AF310" s="545">
        <f t="shared" si="782"/>
        <v>1484.2176292475353</v>
      </c>
      <c r="AG310" s="528">
        <f t="shared" si="783"/>
        <v>0.22166560584972675</v>
      </c>
      <c r="AI310" s="173">
        <f t="shared" si="784"/>
        <v>2.7457026780367095</v>
      </c>
      <c r="AJ310" s="173">
        <f t="shared" si="785"/>
        <v>2.7612024702651827</v>
      </c>
      <c r="AK310" s="173">
        <f t="shared" si="786"/>
        <v>2.25768084217174</v>
      </c>
      <c r="AM310" s="545">
        <f t="shared" si="787"/>
        <v>940</v>
      </c>
      <c r="AN310" s="460">
        <f t="shared" si="788"/>
        <v>323.67180816550479</v>
      </c>
      <c r="AP310">
        <f t="shared" si="789"/>
        <v>940</v>
      </c>
      <c r="AQ310">
        <f t="shared" si="790"/>
        <v>323.67180816550479</v>
      </c>
      <c r="AS310" s="5">
        <f t="shared" si="763"/>
        <v>3.0895492742100812</v>
      </c>
      <c r="AT310" s="5">
        <f t="shared" si="791"/>
        <v>0.92220192920799371</v>
      </c>
      <c r="AU310" s="5">
        <f t="shared" si="883"/>
        <v>2.1673473450020877</v>
      </c>
      <c r="AV310" s="5"/>
      <c r="AW310" s="173">
        <f t="shared" si="884"/>
        <v>0.29849076592046819</v>
      </c>
      <c r="AX310" s="173">
        <f t="shared" si="792"/>
        <v>14.806507496951065</v>
      </c>
      <c r="AY310" s="173">
        <f t="shared" si="793"/>
        <v>0.96850451502711976</v>
      </c>
      <c r="AZ310" s="173">
        <f t="shared" si="794"/>
        <v>15.288010811737371</v>
      </c>
      <c r="BA310" s="460">
        <f t="shared" si="885"/>
        <v>5.2857915454604525</v>
      </c>
      <c r="BB310" s="5">
        <f t="shared" si="886"/>
        <v>0.77493540067333821</v>
      </c>
      <c r="BD310" s="173">
        <f t="shared" si="841"/>
        <v>0.87096975896350071</v>
      </c>
      <c r="BE310" s="173">
        <f t="shared" si="842"/>
        <v>1.3352245901859521</v>
      </c>
      <c r="BG310" s="528">
        <f t="shared" si="843"/>
        <v>1.5171766420578769E-2</v>
      </c>
      <c r="BH310" s="528">
        <f t="shared" si="795"/>
        <v>0.88431488113078227</v>
      </c>
      <c r="BI310" s="528">
        <f t="shared" si="796"/>
        <v>0.29073569506496433</v>
      </c>
      <c r="BJ310" s="528">
        <f t="shared" si="844"/>
        <v>9.0138420169868977E-2</v>
      </c>
      <c r="BK310">
        <f t="shared" si="845"/>
        <v>1.6168360602148633E-2</v>
      </c>
      <c r="BL310" s="460">
        <f t="shared" si="846"/>
        <v>306.90405566711297</v>
      </c>
      <c r="BM310" s="528">
        <f t="shared" si="797"/>
        <v>0.99731658314383254</v>
      </c>
      <c r="BN310" s="460">
        <f t="shared" si="847"/>
        <v>997.31658314383253</v>
      </c>
      <c r="BO310" s="528">
        <f t="shared" si="798"/>
        <v>0.65799999999999992</v>
      </c>
      <c r="BR310" s="460">
        <f t="shared" si="848"/>
        <v>657.99999999999989</v>
      </c>
      <c r="BS310" s="528">
        <f t="shared" si="849"/>
        <v>2.2757649630868154E-2</v>
      </c>
      <c r="BT310" s="528">
        <f t="shared" si="850"/>
        <v>5.348474118711731E-2</v>
      </c>
      <c r="BU310" s="528">
        <f t="shared" si="851"/>
        <v>1.1939271340432691</v>
      </c>
      <c r="BV310" s="528"/>
      <c r="BW310" s="528">
        <f t="shared" si="852"/>
        <v>1.2338756247459219E-2</v>
      </c>
      <c r="BX310" s="460">
        <f t="shared" si="853"/>
        <v>1282.5082811087138</v>
      </c>
      <c r="BY310" s="173">
        <f t="shared" si="854"/>
        <v>3.2370374044970562</v>
      </c>
      <c r="BZ310" s="5">
        <f t="shared" si="855"/>
        <v>15.415999999999999</v>
      </c>
      <c r="CA310" s="173">
        <f t="shared" si="856"/>
        <v>0.8264605739912021</v>
      </c>
      <c r="CB310" s="5">
        <f t="shared" si="857"/>
        <v>82.64605739912021</v>
      </c>
      <c r="CE310" s="562">
        <f t="shared" si="799"/>
        <v>-50</v>
      </c>
      <c r="CF310">
        <f t="shared" si="800"/>
        <v>-50</v>
      </c>
      <c r="CG310" s="173">
        <f t="shared" si="801"/>
        <v>0.66847037037037038</v>
      </c>
      <c r="CI310" s="170">
        <v>94</v>
      </c>
      <c r="CJ310" s="217">
        <f t="shared" si="858"/>
        <v>0.94</v>
      </c>
      <c r="CK310" s="217"/>
      <c r="CL310" s="217">
        <f t="shared" si="802"/>
        <v>15.415999999999999</v>
      </c>
      <c r="CM310" s="541">
        <f t="shared" si="803"/>
        <v>36</v>
      </c>
      <c r="CN310" s="443">
        <f t="shared" si="804"/>
        <v>16.799999999999997</v>
      </c>
      <c r="CO310" s="443">
        <f t="shared" si="805"/>
        <v>52.8</v>
      </c>
      <c r="CP310" s="443"/>
      <c r="CQ310" s="217">
        <f t="shared" si="806"/>
        <v>0.31818181818181812</v>
      </c>
      <c r="CR310" s="172">
        <f t="shared" si="807"/>
        <v>38.697272727272725</v>
      </c>
      <c r="CS310" s="172">
        <f t="shared" si="808"/>
        <v>15.415999999999999</v>
      </c>
      <c r="CT310" s="217">
        <f t="shared" si="809"/>
        <v>2.3595898004434592</v>
      </c>
      <c r="CU310" s="217">
        <f t="shared" si="810"/>
        <v>16.399999999999999</v>
      </c>
      <c r="CV310" s="217"/>
      <c r="CW310" s="172">
        <f t="shared" si="811"/>
        <v>91.815730039307752</v>
      </c>
      <c r="CX310" s="172">
        <f t="shared" si="812"/>
        <v>16.399999999999999</v>
      </c>
      <c r="CY310" s="217">
        <f t="shared" si="813"/>
        <v>2.6916825396825397</v>
      </c>
      <c r="CZ310" s="217">
        <f t="shared" si="814"/>
        <v>0.89722751322751326</v>
      </c>
      <c r="DA310" s="217">
        <f t="shared" si="815"/>
        <v>1.9226303854875288</v>
      </c>
      <c r="DB310" s="197">
        <f t="shared" si="816"/>
        <v>350</v>
      </c>
      <c r="DC310" s="443">
        <f t="shared" si="817"/>
        <v>350</v>
      </c>
      <c r="DE310" s="217">
        <f t="shared" si="818"/>
        <v>2.7272727272727271</v>
      </c>
      <c r="DF310" s="173">
        <f t="shared" si="819"/>
        <v>1.9480519480519483</v>
      </c>
      <c r="DG310" s="173">
        <f t="shared" si="820"/>
        <v>0.92975206611570249</v>
      </c>
      <c r="DH310" s="173"/>
      <c r="DI310" s="173">
        <f t="shared" si="821"/>
        <v>0.95238095238095266</v>
      </c>
      <c r="DJ310" s="545">
        <f t="shared" si="822"/>
        <v>1480.4999999999993</v>
      </c>
      <c r="DK310" s="528">
        <f t="shared" si="823"/>
        <v>0.22222222222222232</v>
      </c>
      <c r="DM310" s="173">
        <f t="shared" si="824"/>
        <v>2.7422618401604173</v>
      </c>
      <c r="DN310" s="173">
        <f t="shared" si="825"/>
        <v>2.6916825396825397</v>
      </c>
      <c r="DO310" s="173">
        <f t="shared" si="826"/>
        <v>2.2061845972957084</v>
      </c>
      <c r="DQ310" s="545">
        <f t="shared" si="827"/>
        <v>940</v>
      </c>
      <c r="DR310" s="460">
        <f t="shared" si="828"/>
        <v>350</v>
      </c>
      <c r="DT310">
        <f t="shared" si="829"/>
        <v>940</v>
      </c>
      <c r="DU310">
        <f t="shared" si="830"/>
        <v>350</v>
      </c>
      <c r="DW310" s="5">
        <f t="shared" si="859"/>
        <v>2.8571428571428572</v>
      </c>
      <c r="DX310" s="5">
        <f t="shared" si="831"/>
        <v>0.89722751322751326</v>
      </c>
      <c r="DY310" s="5">
        <f t="shared" si="832"/>
        <v>1.9599153439153438</v>
      </c>
      <c r="DZ310" s="5"/>
      <c r="EA310" s="173">
        <f t="shared" si="833"/>
        <v>0.31402962962962966</v>
      </c>
      <c r="EB310" s="173">
        <f t="shared" si="860"/>
        <v>15.214825278306881</v>
      </c>
      <c r="EC310" s="173">
        <f t="shared" si="861"/>
        <v>0.92320723433274543</v>
      </c>
      <c r="ED310" s="173">
        <f t="shared" si="862"/>
        <v>16.480400837958666</v>
      </c>
      <c r="EE310" s="460">
        <f t="shared" si="834"/>
        <v>5.1426455026455029</v>
      </c>
      <c r="EF310" s="5">
        <f t="shared" si="835"/>
        <v>0.69939941994904942</v>
      </c>
      <c r="EH310" s="173">
        <f t="shared" si="863"/>
        <v>0.87086036157884916</v>
      </c>
      <c r="EI310" s="173">
        <f t="shared" si="864"/>
        <v>1.2871106642818395</v>
      </c>
      <c r="EK310" s="528">
        <f t="shared" si="865"/>
        <v>1.5167955387384878E-2</v>
      </c>
      <c r="EL310" s="528">
        <f t="shared" si="866"/>
        <v>0.99484586666666674</v>
      </c>
      <c r="EM310" s="528">
        <f t="shared" si="867"/>
        <v>4.3749999999999997E-2</v>
      </c>
      <c r="EN310" s="528">
        <f t="shared" si="868"/>
        <v>9.7574399999999992E-2</v>
      </c>
      <c r="EO310">
        <f t="shared" si="869"/>
        <v>1.6199999999999999E-2</v>
      </c>
      <c r="EP310" s="460">
        <f t="shared" si="870"/>
        <v>59.949999999999996</v>
      </c>
      <c r="EQ310" s="460"/>
      <c r="ER310" s="460">
        <f t="shared" si="871"/>
        <v>1167.5382220540516</v>
      </c>
      <c r="ES310" s="528">
        <f t="shared" si="872"/>
        <v>0.65799999999999992</v>
      </c>
      <c r="EV310" s="460">
        <f t="shared" si="873"/>
        <v>657.99999999999989</v>
      </c>
      <c r="EW310" s="528">
        <f t="shared" si="874"/>
        <v>2.2751933081077313E-2</v>
      </c>
      <c r="EX310" s="528">
        <f t="shared" si="875"/>
        <v>4.9699615863241148E-2</v>
      </c>
      <c r="EY310" s="528">
        <f t="shared" si="876"/>
        <v>1.3620708813598985</v>
      </c>
      <c r="EZ310" s="528"/>
      <c r="FA310" s="528">
        <f t="shared" si="877"/>
        <v>1.2679021065255732E-2</v>
      </c>
      <c r="FB310" s="460">
        <f t="shared" si="878"/>
        <v>1447.2014513694726</v>
      </c>
      <c r="FC310" s="173">
        <f t="shared" si="879"/>
        <v>3.2727396734235241</v>
      </c>
      <c r="FD310" s="5">
        <f t="shared" si="880"/>
        <v>15.415999999999999</v>
      </c>
      <c r="FE310" s="173">
        <f t="shared" si="881"/>
        <v>0.82488173463737891</v>
      </c>
      <c r="FF310" s="5">
        <f t="shared" si="882"/>
        <v>82.488173463737894</v>
      </c>
      <c r="FI310" s="562">
        <f t="shared" si="836"/>
        <v>-50</v>
      </c>
      <c r="FJ310">
        <f t="shared" si="837"/>
        <v>-50</v>
      </c>
      <c r="FL310">
        <f t="shared" si="838"/>
        <v>0.68556546004010444</v>
      </c>
    </row>
    <row r="311" spans="5:168">
      <c r="E311" s="170">
        <v>95</v>
      </c>
      <c r="F311" s="217">
        <f t="shared" si="839"/>
        <v>0.95</v>
      </c>
      <c r="G311" s="217"/>
      <c r="H311" s="217">
        <f t="shared" si="764"/>
        <v>15.579999999999998</v>
      </c>
      <c r="I311" s="541">
        <f t="shared" si="765"/>
        <v>35.928585349555924</v>
      </c>
      <c r="J311" s="172">
        <f t="shared" si="766"/>
        <v>16.842848790266444</v>
      </c>
      <c r="K311" s="172">
        <f t="shared" si="767"/>
        <v>52.771434139822368</v>
      </c>
      <c r="L311" s="443"/>
      <c r="M311" s="217">
        <f t="shared" si="768"/>
        <v>0.3191518511460229</v>
      </c>
      <c r="N311" s="172">
        <f t="shared" si="769"/>
        <v>38.73824876478043</v>
      </c>
      <c r="O311" s="172">
        <f t="shared" si="762"/>
        <v>15.579999999999998</v>
      </c>
      <c r="P311" s="217">
        <f t="shared" si="770"/>
        <v>2.3620883393158802</v>
      </c>
      <c r="Q311" s="217">
        <f t="shared" si="771"/>
        <v>16.399999999999999</v>
      </c>
      <c r="R311" s="217"/>
      <c r="S311" s="172">
        <f t="shared" si="772"/>
        <v>90.295085200769122</v>
      </c>
      <c r="T311" s="172">
        <f t="shared" si="773"/>
        <v>16.399999999999999</v>
      </c>
      <c r="U311" s="217">
        <f t="shared" si="774"/>
        <v>2.7906369477513215</v>
      </c>
      <c r="V311" s="217">
        <f t="shared" si="775"/>
        <v>0.93206128343791761</v>
      </c>
      <c r="W311" s="217">
        <f t="shared" si="776"/>
        <v>1.9882410505501011</v>
      </c>
      <c r="X311" s="197">
        <f t="shared" si="777"/>
        <v>350</v>
      </c>
      <c r="Y311" s="443">
        <f t="shared" si="840"/>
        <v>320.48176521469077</v>
      </c>
      <c r="AA311" s="217">
        <f t="shared" si="778"/>
        <v>2.7302818373802471</v>
      </c>
      <c r="AB311" s="173">
        <f t="shared" si="779"/>
        <v>1.9452399327777059</v>
      </c>
      <c r="AC311" s="173">
        <f t="shared" si="780"/>
        <v>0.92943432011670513</v>
      </c>
      <c r="AD311" s="173"/>
      <c r="AE311" s="173">
        <f t="shared" si="781"/>
        <v>0.94995806227545498</v>
      </c>
      <c r="AF311" s="545">
        <f t="shared" si="782"/>
        <v>1500.0662203831046</v>
      </c>
      <c r="AG311" s="528">
        <f t="shared" si="783"/>
        <v>0.22165688119760618</v>
      </c>
      <c r="AI311" s="173">
        <f t="shared" si="784"/>
        <v>2.760323165237923</v>
      </c>
      <c r="AJ311" s="173">
        <f t="shared" si="785"/>
        <v>2.7906369477513215</v>
      </c>
      <c r="AK311" s="173">
        <f t="shared" si="786"/>
        <v>2.2794841588281392</v>
      </c>
      <c r="AM311" s="545">
        <f t="shared" si="787"/>
        <v>950</v>
      </c>
      <c r="AN311" s="460">
        <f t="shared" si="788"/>
        <v>320.48176521469077</v>
      </c>
      <c r="AP311">
        <f t="shared" si="789"/>
        <v>950</v>
      </c>
      <c r="AQ311">
        <f t="shared" si="790"/>
        <v>320.48176521469077</v>
      </c>
      <c r="AS311" s="5">
        <f t="shared" si="763"/>
        <v>3.1203023339880192</v>
      </c>
      <c r="AT311" s="5">
        <f t="shared" si="791"/>
        <v>0.93206128343791761</v>
      </c>
      <c r="AU311" s="5">
        <f t="shared" si="883"/>
        <v>2.1882410505501015</v>
      </c>
      <c r="AV311" s="5"/>
      <c r="AW311" s="173">
        <f t="shared" si="884"/>
        <v>0.29870864540445408</v>
      </c>
      <c r="AX311" s="173">
        <f t="shared" si="792"/>
        <v>14.974807708844372</v>
      </c>
      <c r="AY311" s="173">
        <f t="shared" si="793"/>
        <v>0.97852478263645204</v>
      </c>
      <c r="AZ311" s="173">
        <f t="shared" si="794"/>
        <v>15.303452681594383</v>
      </c>
      <c r="BA311" s="460">
        <f t="shared" si="885"/>
        <v>5.3991354833294007</v>
      </c>
      <c r="BB311" s="5">
        <f t="shared" si="886"/>
        <v>0.79075373262161108</v>
      </c>
      <c r="BD311" s="173">
        <f t="shared" si="841"/>
        <v>0.88057552178931719</v>
      </c>
      <c r="BE311" s="173">
        <f t="shared" si="842"/>
        <v>1.3492485347322323</v>
      </c>
      <c r="BG311" s="528">
        <f t="shared" si="843"/>
        <v>1.5508264991490566E-2</v>
      </c>
      <c r="BH311" s="528">
        <f t="shared" si="795"/>
        <v>0.8849257507777003</v>
      </c>
      <c r="BI311" s="528">
        <f t="shared" si="796"/>
        <v>0.28786141136230903</v>
      </c>
      <c r="BJ311" s="528">
        <f t="shared" si="844"/>
        <v>8.9248539503361549E-2</v>
      </c>
      <c r="BK311">
        <f t="shared" si="845"/>
        <v>1.6167863407300167E-2</v>
      </c>
      <c r="BL311" s="460">
        <f t="shared" si="846"/>
        <v>304.02927476960917</v>
      </c>
      <c r="BM311" s="528">
        <f t="shared" si="797"/>
        <v>0.99754550635298844</v>
      </c>
      <c r="BN311" s="460">
        <f t="shared" si="847"/>
        <v>997.54550635298847</v>
      </c>
      <c r="BO311" s="528">
        <f t="shared" si="798"/>
        <v>0.66499999999999992</v>
      </c>
      <c r="BR311" s="460">
        <f t="shared" si="848"/>
        <v>664.99999999999989</v>
      </c>
      <c r="BS311" s="528">
        <f t="shared" si="849"/>
        <v>2.3262397487235846E-2</v>
      </c>
      <c r="BT311" s="528">
        <f t="shared" si="850"/>
        <v>5.4614148254312274E-2</v>
      </c>
      <c r="BU311" s="528">
        <f t="shared" si="851"/>
        <v>1.1960151043199587</v>
      </c>
      <c r="BV311" s="528"/>
      <c r="BW311" s="528">
        <f t="shared" si="852"/>
        <v>1.2479006424036976E-2</v>
      </c>
      <c r="BX311" s="460">
        <f t="shared" si="853"/>
        <v>1286.3706564855438</v>
      </c>
      <c r="BY311" s="173">
        <f t="shared" si="854"/>
        <v>3.2450824865277057</v>
      </c>
      <c r="BZ311" s="5">
        <f t="shared" si="855"/>
        <v>15.579999999999998</v>
      </c>
      <c r="CA311" s="173">
        <f t="shared" si="856"/>
        <v>0.8276192155412827</v>
      </c>
      <c r="CB311" s="5">
        <f t="shared" si="857"/>
        <v>82.761921554128264</v>
      </c>
      <c r="CE311" s="562">
        <f t="shared" si="799"/>
        <v>-50</v>
      </c>
      <c r="CF311">
        <f t="shared" si="800"/>
        <v>-50</v>
      </c>
      <c r="CG311" s="173">
        <f t="shared" si="801"/>
        <v>0.66512962962962974</v>
      </c>
      <c r="CI311" s="170">
        <v>95</v>
      </c>
      <c r="CJ311" s="217">
        <f t="shared" si="858"/>
        <v>0.95</v>
      </c>
      <c r="CK311" s="217"/>
      <c r="CL311" s="217">
        <f t="shared" si="802"/>
        <v>15.579999999999998</v>
      </c>
      <c r="CM311" s="541">
        <f t="shared" si="803"/>
        <v>36</v>
      </c>
      <c r="CN311" s="443">
        <f t="shared" si="804"/>
        <v>16.799999999999997</v>
      </c>
      <c r="CO311" s="443">
        <f t="shared" si="805"/>
        <v>52.8</v>
      </c>
      <c r="CP311" s="443"/>
      <c r="CQ311" s="217">
        <f t="shared" si="806"/>
        <v>0.31818181818181812</v>
      </c>
      <c r="CR311" s="172">
        <f t="shared" si="807"/>
        <v>38.697272727272725</v>
      </c>
      <c r="CS311" s="172">
        <f t="shared" si="808"/>
        <v>15.579999999999998</v>
      </c>
      <c r="CT311" s="217">
        <f t="shared" si="809"/>
        <v>2.3595898004434592</v>
      </c>
      <c r="CU311" s="217">
        <f t="shared" si="810"/>
        <v>16.399999999999999</v>
      </c>
      <c r="CV311" s="217"/>
      <c r="CW311" s="172">
        <f t="shared" si="811"/>
        <v>90.474250203404353</v>
      </c>
      <c r="CX311" s="172">
        <f t="shared" si="812"/>
        <v>16.399999999999999</v>
      </c>
      <c r="CY311" s="217">
        <f t="shared" si="813"/>
        <v>2.7203174603174602</v>
      </c>
      <c r="CZ311" s="217">
        <f t="shared" si="814"/>
        <v>0.90677248677248667</v>
      </c>
      <c r="DA311" s="217">
        <f t="shared" si="815"/>
        <v>1.9430839002267577</v>
      </c>
      <c r="DB311" s="197">
        <f t="shared" si="816"/>
        <v>350</v>
      </c>
      <c r="DC311" s="443">
        <f t="shared" si="817"/>
        <v>350</v>
      </c>
      <c r="DE311" s="217">
        <f t="shared" si="818"/>
        <v>2.7272727272727271</v>
      </c>
      <c r="DF311" s="173">
        <f t="shared" si="819"/>
        <v>1.9480519480519483</v>
      </c>
      <c r="DG311" s="173">
        <f t="shared" si="820"/>
        <v>0.92975206611570249</v>
      </c>
      <c r="DH311" s="173"/>
      <c r="DI311" s="173">
        <f t="shared" si="821"/>
        <v>0.95238095238095266</v>
      </c>
      <c r="DJ311" s="545">
        <f t="shared" si="822"/>
        <v>1496.2499999999993</v>
      </c>
      <c r="DK311" s="528">
        <f t="shared" si="823"/>
        <v>0.22222222222222232</v>
      </c>
      <c r="DM311" s="173">
        <f t="shared" si="824"/>
        <v>2.7568097504180438</v>
      </c>
      <c r="DN311" s="173">
        <f t="shared" si="825"/>
        <v>2.7203174603174602</v>
      </c>
      <c r="DO311" s="173">
        <f t="shared" si="826"/>
        <v>2.2273956496178715</v>
      </c>
      <c r="DQ311" s="545">
        <f t="shared" si="827"/>
        <v>950</v>
      </c>
      <c r="DR311" s="460">
        <f t="shared" si="828"/>
        <v>350</v>
      </c>
      <c r="DT311">
        <f t="shared" si="829"/>
        <v>950</v>
      </c>
      <c r="DU311">
        <f t="shared" si="830"/>
        <v>350</v>
      </c>
      <c r="DW311" s="5">
        <f t="shared" si="859"/>
        <v>2.8571428571428572</v>
      </c>
      <c r="DX311" s="5">
        <f t="shared" si="831"/>
        <v>0.90677248677248667</v>
      </c>
      <c r="DY311" s="5">
        <f t="shared" si="832"/>
        <v>1.9503703703703705</v>
      </c>
      <c r="DZ311" s="5"/>
      <c r="EA311" s="173">
        <f t="shared" si="833"/>
        <v>0.3173703703703703</v>
      </c>
      <c r="EB311" s="173">
        <f t="shared" si="860"/>
        <v>15.540266878306877</v>
      </c>
      <c r="EC311" s="173">
        <f t="shared" si="861"/>
        <v>0.92848465020576143</v>
      </c>
      <c r="ED311" s="173">
        <f t="shared" si="862"/>
        <v>16.737236178178065</v>
      </c>
      <c r="EE311" s="460">
        <f t="shared" si="834"/>
        <v>5.2526455026455023</v>
      </c>
      <c r="EF311" s="5">
        <f t="shared" si="835"/>
        <v>0.70339746227709177</v>
      </c>
      <c r="EH311" s="173">
        <f t="shared" si="863"/>
        <v>0.88479396353521622</v>
      </c>
      <c r="EI311" s="173">
        <f t="shared" si="864"/>
        <v>1.2976319472000992</v>
      </c>
      <c r="EK311" s="528">
        <f t="shared" si="865"/>
        <v>1.5657207158167149E-2</v>
      </c>
      <c r="EL311" s="528">
        <f t="shared" si="866"/>
        <v>1.0054293333333333</v>
      </c>
      <c r="EM311" s="528">
        <f t="shared" si="867"/>
        <v>4.3749999999999997E-2</v>
      </c>
      <c r="EN311" s="528">
        <f t="shared" si="868"/>
        <v>9.7574399999999992E-2</v>
      </c>
      <c r="EO311">
        <f t="shared" si="869"/>
        <v>1.6199999999999999E-2</v>
      </c>
      <c r="EP311" s="460">
        <f t="shared" si="870"/>
        <v>59.949999999999996</v>
      </c>
      <c r="EQ311" s="460"/>
      <c r="ER311" s="460">
        <f t="shared" si="871"/>
        <v>1178.6109404915003</v>
      </c>
      <c r="ES311" s="528">
        <f t="shared" si="872"/>
        <v>0.66499999999999992</v>
      </c>
      <c r="EV311" s="460">
        <f t="shared" si="873"/>
        <v>664.99999999999989</v>
      </c>
      <c r="EW311" s="528">
        <f t="shared" si="874"/>
        <v>2.3485810737250725E-2</v>
      </c>
      <c r="EX311" s="528">
        <f t="shared" si="875"/>
        <v>5.0515460111829634E-2</v>
      </c>
      <c r="EY311" s="528">
        <f t="shared" si="876"/>
        <v>1.3985857141101183</v>
      </c>
      <c r="EZ311" s="528"/>
      <c r="FA311" s="528">
        <f t="shared" si="877"/>
        <v>1.2950222398589064E-2</v>
      </c>
      <c r="FB311" s="460">
        <f t="shared" si="878"/>
        <v>1485.5372073577878</v>
      </c>
      <c r="FC311" s="173">
        <f t="shared" si="879"/>
        <v>3.3291481478492879</v>
      </c>
      <c r="FD311" s="5">
        <f t="shared" si="880"/>
        <v>15.579999999999998</v>
      </c>
      <c r="FE311" s="173">
        <f t="shared" si="881"/>
        <v>0.82393981358552404</v>
      </c>
      <c r="FF311" s="5">
        <f t="shared" si="882"/>
        <v>82.393981358552409</v>
      </c>
      <c r="FI311" s="562">
        <f t="shared" si="836"/>
        <v>-50</v>
      </c>
      <c r="FJ311">
        <f t="shared" si="837"/>
        <v>-50</v>
      </c>
      <c r="FL311">
        <f t="shared" si="838"/>
        <v>0.6826296296296297</v>
      </c>
    </row>
    <row r="312" spans="5:168">
      <c r="E312" s="170">
        <v>96</v>
      </c>
      <c r="F312" s="217">
        <f t="shared" si="839"/>
        <v>0.96</v>
      </c>
      <c r="G312" s="217"/>
      <c r="H312" s="217">
        <f>F312*Vout</f>
        <v>15.743999999999998</v>
      </c>
      <c r="I312" s="541">
        <f t="shared" si="765"/>
        <v>35.927760474954674</v>
      </c>
      <c r="J312" s="172">
        <f t="shared" si="766"/>
        <v>16.843343715027192</v>
      </c>
      <c r="K312" s="172">
        <f t="shared" si="767"/>
        <v>52.77110418998187</v>
      </c>
      <c r="L312" s="443"/>
      <c r="M312" s="217">
        <f t="shared" si="768"/>
        <v>0.31916315801424983</v>
      </c>
      <c r="N312" s="172">
        <f>M312*I312*(Isw_max+VIN_max/Lmag*ILIM_delay)*0.5*Efficiency</f>
        <v>38.738731765764065</v>
      </c>
      <c r="O312" s="172">
        <f t="shared" si="762"/>
        <v>15.743999999999998</v>
      </c>
      <c r="P312" s="217">
        <f>N312/Vout</f>
        <v>2.3621177905953701</v>
      </c>
      <c r="Q312" s="217">
        <f t="shared" si="771"/>
        <v>16.399999999999999</v>
      </c>
      <c r="R312" s="217"/>
      <c r="S312" s="172">
        <f t="shared" si="772"/>
        <v>88.982190476789356</v>
      </c>
      <c r="T312" s="172">
        <f>MIN(Vout, S312)</f>
        <v>16.399999999999999</v>
      </c>
      <c r="U312" s="217">
        <f t="shared" si="774"/>
        <v>2.8200589063307264</v>
      </c>
      <c r="V312" s="217">
        <f>L*U312/I312*1000000</f>
        <v>0.94190972185864885</v>
      </c>
      <c r="W312" s="217">
        <f t="shared" si="776"/>
        <v>2.0091442321976078</v>
      </c>
      <c r="X312" s="197">
        <f t="shared" si="777"/>
        <v>350</v>
      </c>
      <c r="Y312" s="443">
        <f t="shared" si="840"/>
        <v>317.35413438818784</v>
      </c>
      <c r="AA312" s="217">
        <f t="shared" si="778"/>
        <v>2.730316451812095</v>
      </c>
      <c r="AB312" s="173">
        <f>L*AA312/J312*1000000</f>
        <v>1.9452074348227033</v>
      </c>
      <c r="AC312" s="173">
        <f>0.5*AB312*AA312*Nps*X312/1000</f>
        <v>0.92943057575963528</v>
      </c>
      <c r="AD312" s="173"/>
      <c r="AE312" s="173">
        <f t="shared" si="781"/>
        <v>0.94993014871062798</v>
      </c>
      <c r="AF312" s="545">
        <f>MAX(12000,F312/(0.5*AE312/1000000*Isw_min*Nps))/1000</f>
        <v>1515.9009343524467</v>
      </c>
      <c r="AG312" s="528">
        <f t="shared" si="783"/>
        <v>0.22165036803247989</v>
      </c>
      <c r="AI312" s="173">
        <f t="shared" si="784"/>
        <v>2.774853918628279</v>
      </c>
      <c r="AJ312" s="173">
        <f>MAX(IF(F312&gt;AC312,U312,AI312),Isw_min)</f>
        <v>2.8200589063307264</v>
      </c>
      <c r="AK312" s="173">
        <f>IF(F312&gt;AG312, (AJ312-Isw_min)/1.08*0.8+1.2, AF312*0.2/350+1)</f>
        <v>2.3012782022202911</v>
      </c>
      <c r="AM312" s="545">
        <f t="shared" si="787"/>
        <v>960</v>
      </c>
      <c r="AN312" s="460">
        <f t="shared" si="788"/>
        <v>317.35413438818784</v>
      </c>
      <c r="AP312">
        <f t="shared" si="789"/>
        <v>960</v>
      </c>
      <c r="AQ312">
        <f t="shared" si="790"/>
        <v>317.35413438818784</v>
      </c>
      <c r="AS312" s="5">
        <f t="shared" si="763"/>
        <v>3.1510539540562568</v>
      </c>
      <c r="AT312" s="5">
        <f t="shared" si="791"/>
        <v>0.94190972185864885</v>
      </c>
      <c r="AU312" s="5">
        <f t="shared" si="883"/>
        <v>2.209144232197608</v>
      </c>
      <c r="AV312" s="5"/>
      <c r="AW312" s="173">
        <f t="shared" si="884"/>
        <v>0.2989189444522703</v>
      </c>
      <c r="AX312" s="173">
        <f t="shared" si="792"/>
        <v>15.142994727090485</v>
      </c>
      <c r="AY312" s="173">
        <f t="shared" si="793"/>
        <v>0.98854493737856097</v>
      </c>
      <c r="AZ312" s="173">
        <f t="shared" si="794"/>
        <v>15.318468745838624</v>
      </c>
      <c r="BA312" s="460">
        <f t="shared" si="885"/>
        <v>5.5136178840506282</v>
      </c>
      <c r="BB312" s="5">
        <f t="shared" si="886"/>
        <v>0.80672916828861085</v>
      </c>
      <c r="BD312" s="173">
        <f t="shared" si="841"/>
        <v>0.89017270332786747</v>
      </c>
      <c r="BE312" s="173">
        <f t="shared" si="842"/>
        <v>1.3632693436399037</v>
      </c>
      <c r="BG312" s="528">
        <f t="shared" si="843"/>
        <v>1.584814883500087E-2</v>
      </c>
      <c r="BH312" s="528">
        <f t="shared" si="795"/>
        <v>0.88552289490491332</v>
      </c>
      <c r="BI312" s="528">
        <f t="shared" si="796"/>
        <v>0.28504558315088474</v>
      </c>
      <c r="BJ312" s="528">
        <f t="shared" si="844"/>
        <v>8.8376444136894161E-2</v>
      </c>
      <c r="BK312">
        <f t="shared" si="845"/>
        <v>1.6167492213729602E-2</v>
      </c>
      <c r="BL312" s="460">
        <f t="shared" si="846"/>
        <v>301.21307536461433</v>
      </c>
      <c r="BM312" s="528">
        <f t="shared" si="797"/>
        <v>0.99778366256214412</v>
      </c>
      <c r="BN312" s="460">
        <f t="shared" si="847"/>
        <v>997.78366256214417</v>
      </c>
      <c r="BO312" s="528">
        <f t="shared" si="798"/>
        <v>0.67199999999999993</v>
      </c>
      <c r="BR312" s="460">
        <f t="shared" si="848"/>
        <v>671.99999999999989</v>
      </c>
      <c r="BS312" s="528">
        <f t="shared" si="849"/>
        <v>2.3772223252501303E-2</v>
      </c>
      <c r="BT312" s="528">
        <f t="shared" si="850"/>
        <v>5.5755099099251214E-2</v>
      </c>
      <c r="BU312" s="528">
        <f t="shared" si="851"/>
        <v>1.1980525170821774</v>
      </c>
      <c r="BV312" s="528"/>
      <c r="BW312" s="528">
        <f t="shared" si="852"/>
        <v>1.2619162272575405E-2</v>
      </c>
      <c r="BX312" s="460">
        <f t="shared" si="853"/>
        <v>1290.1990017065052</v>
      </c>
      <c r="BY312" s="173">
        <f t="shared" si="854"/>
        <v>3.2531595649479281</v>
      </c>
      <c r="BZ312" s="5">
        <f t="shared" si="855"/>
        <v>15.743999999999998</v>
      </c>
      <c r="CA312" s="173">
        <f t="shared" si="856"/>
        <v>0.82875547505794478</v>
      </c>
      <c r="CB312" s="5">
        <f t="shared" si="857"/>
        <v>82.875547505794472</v>
      </c>
      <c r="CE312" s="562">
        <f t="shared" si="799"/>
        <v>-50</v>
      </c>
      <c r="CF312">
        <f t="shared" si="800"/>
        <v>-50</v>
      </c>
      <c r="CG312" s="173">
        <f t="shared" si="801"/>
        <v>0.66445619582745419</v>
      </c>
      <c r="CI312" s="170">
        <v>96</v>
      </c>
      <c r="CJ312" s="217">
        <f t="shared" si="858"/>
        <v>0.96</v>
      </c>
      <c r="CK312" s="217"/>
      <c r="CL312" s="217">
        <f t="shared" si="802"/>
        <v>15.743999999999998</v>
      </c>
      <c r="CM312" s="541">
        <f t="shared" si="803"/>
        <v>36</v>
      </c>
      <c r="CN312" s="443">
        <f t="shared" si="804"/>
        <v>16.799999999999997</v>
      </c>
      <c r="CO312" s="443">
        <f t="shared" si="805"/>
        <v>52.8</v>
      </c>
      <c r="CP312" s="443"/>
      <c r="CQ312" s="217">
        <f t="shared" si="806"/>
        <v>0.31818181818181812</v>
      </c>
      <c r="CR312" s="172">
        <f t="shared" si="807"/>
        <v>38.697272727272725</v>
      </c>
      <c r="CS312" s="172">
        <f t="shared" si="808"/>
        <v>15.743999999999998</v>
      </c>
      <c r="CT312" s="217">
        <f t="shared" si="809"/>
        <v>2.3595898004434592</v>
      </c>
      <c r="CU312" s="217">
        <f t="shared" si="810"/>
        <v>16.399999999999999</v>
      </c>
      <c r="CV312" s="217"/>
      <c r="CW312" s="172">
        <f t="shared" si="811"/>
        <v>89.160784656534929</v>
      </c>
      <c r="CX312" s="172">
        <f t="shared" si="812"/>
        <v>16.399999999999999</v>
      </c>
      <c r="CY312" s="217">
        <f t="shared" si="813"/>
        <v>2.7489523809523808</v>
      </c>
      <c r="CZ312" s="217">
        <f t="shared" si="814"/>
        <v>0.91631746031746031</v>
      </c>
      <c r="DA312" s="217">
        <f t="shared" si="815"/>
        <v>1.9635374149659868</v>
      </c>
      <c r="DB312" s="197">
        <f t="shared" si="816"/>
        <v>350</v>
      </c>
      <c r="DC312" s="443">
        <f t="shared" si="817"/>
        <v>347.2397198145535</v>
      </c>
      <c r="DE312" s="217">
        <f t="shared" si="818"/>
        <v>2.7272727272727271</v>
      </c>
      <c r="DF312" s="173">
        <f t="shared" si="819"/>
        <v>1.9480519480519483</v>
      </c>
      <c r="DG312" s="173">
        <f t="shared" si="820"/>
        <v>0.92975206611570249</v>
      </c>
      <c r="DH312" s="173"/>
      <c r="DI312" s="173">
        <f t="shared" si="821"/>
        <v>0.95238095238095266</v>
      </c>
      <c r="DJ312" s="545">
        <f t="shared" si="822"/>
        <v>1511.9999999999993</v>
      </c>
      <c r="DK312" s="528">
        <f t="shared" si="823"/>
        <v>0.22222222222222232</v>
      </c>
      <c r="DM312" s="173">
        <f t="shared" si="824"/>
        <v>2.7712812921102032</v>
      </c>
      <c r="DN312" s="173">
        <f t="shared" si="825"/>
        <v>2.7489523809523808</v>
      </c>
      <c r="DO312" s="173">
        <f t="shared" si="826"/>
        <v>2.2486067019400351</v>
      </c>
      <c r="DQ312" s="545">
        <f t="shared" si="827"/>
        <v>960</v>
      </c>
      <c r="DR312" s="460">
        <f t="shared" si="828"/>
        <v>347.2397198145535</v>
      </c>
      <c r="DT312">
        <f t="shared" si="829"/>
        <v>960</v>
      </c>
      <c r="DU312">
        <f t="shared" si="830"/>
        <v>347.2397198145535</v>
      </c>
      <c r="DW312" s="5">
        <f t="shared" si="859"/>
        <v>2.8798548752834465</v>
      </c>
      <c r="DX312" s="5">
        <f t="shared" si="831"/>
        <v>0.91631746031746031</v>
      </c>
      <c r="DY312" s="5">
        <f t="shared" si="832"/>
        <v>1.9635374149659861</v>
      </c>
      <c r="DZ312" s="5"/>
      <c r="EA312" s="173">
        <f t="shared" si="833"/>
        <v>0.31818181818181818</v>
      </c>
      <c r="EB312" s="173">
        <f t="shared" si="860"/>
        <v>15.743999999999998</v>
      </c>
      <c r="EC312" s="173">
        <f t="shared" si="861"/>
        <v>0.93714285714285717</v>
      </c>
      <c r="ED312" s="173">
        <f t="shared" si="862"/>
        <v>16.799999999999997</v>
      </c>
      <c r="EE312" s="460">
        <f t="shared" si="834"/>
        <v>5.3638095238095245</v>
      </c>
      <c r="EF312" s="5">
        <f t="shared" si="835"/>
        <v>0.71560030234315919</v>
      </c>
      <c r="EH312" s="173">
        <f t="shared" si="863"/>
        <v>0.89524987496471542</v>
      </c>
      <c r="EI312" s="173">
        <f t="shared" si="864"/>
        <v>1.3105116274278465</v>
      </c>
      <c r="EK312" s="528">
        <f t="shared" si="865"/>
        <v>1.6029446772486772E-2</v>
      </c>
      <c r="EL312" s="528">
        <f t="shared" si="866"/>
        <v>1.0079999999999998</v>
      </c>
      <c r="EM312" s="528">
        <f t="shared" si="867"/>
        <v>4.3404964976819185E-2</v>
      </c>
      <c r="EN312" s="528">
        <f t="shared" si="868"/>
        <v>9.6804878048780477E-2</v>
      </c>
      <c r="EO312">
        <f t="shared" si="869"/>
        <v>1.6199999999999999E-2</v>
      </c>
      <c r="EP312" s="460">
        <f t="shared" si="870"/>
        <v>59.604964976819183</v>
      </c>
      <c r="EQ312" s="460"/>
      <c r="ER312" s="460">
        <f t="shared" si="871"/>
        <v>1180.4392897980863</v>
      </c>
      <c r="ES312" s="528">
        <f t="shared" si="872"/>
        <v>0.67199999999999993</v>
      </c>
      <c r="EV312" s="460">
        <f t="shared" si="873"/>
        <v>671.99999999999989</v>
      </c>
      <c r="EW312" s="528">
        <f t="shared" si="874"/>
        <v>2.4044170158730158E-2</v>
      </c>
      <c r="EX312" s="528">
        <f t="shared" si="875"/>
        <v>5.1523221768707481E-2</v>
      </c>
      <c r="EY312" s="528">
        <f t="shared" si="876"/>
        <v>1.4075425716328318</v>
      </c>
      <c r="EZ312" s="528"/>
      <c r="FA312" s="528">
        <f t="shared" si="877"/>
        <v>1.3119999999999998E-2</v>
      </c>
      <c r="FB312" s="460">
        <f t="shared" si="878"/>
        <v>1496.2299635602694</v>
      </c>
      <c r="FC312" s="173">
        <f t="shared" si="879"/>
        <v>3.3486692533583553</v>
      </c>
      <c r="FD312" s="5">
        <f t="shared" si="880"/>
        <v>15.743999999999998</v>
      </c>
      <c r="FE312" s="173">
        <f t="shared" si="881"/>
        <v>0.82460968610927299</v>
      </c>
      <c r="FF312" s="5">
        <f t="shared" si="882"/>
        <v>82.460968610927296</v>
      </c>
      <c r="FI312" s="562">
        <f t="shared" si="836"/>
        <v>-50</v>
      </c>
      <c r="FJ312">
        <f t="shared" si="837"/>
        <v>-50</v>
      </c>
      <c r="FL312">
        <f t="shared" si="838"/>
        <v>0.68181818181818188</v>
      </c>
    </row>
    <row r="313" spans="5:168">
      <c r="E313" s="170">
        <v>97</v>
      </c>
      <c r="F313" s="217">
        <f>IF(PLOT_TYPE=1, E313/100*Iout_max, min_I*EXP(N313*rr/100))</f>
        <v>0.97</v>
      </c>
      <c r="G313" s="217"/>
      <c r="H313" s="217">
        <f>F313*Vout</f>
        <v>15.907999999999998</v>
      </c>
      <c r="I313" s="541">
        <f t="shared" si="765"/>
        <v>35.92702763701454</v>
      </c>
      <c r="J313" s="172">
        <f t="shared" si="766"/>
        <v>16.843783417791272</v>
      </c>
      <c r="K313" s="172">
        <f t="shared" si="767"/>
        <v>52.770811054805812</v>
      </c>
      <c r="L313" s="443"/>
      <c r="M313" s="217">
        <f t="shared" si="768"/>
        <v>0.31917326728158613</v>
      </c>
      <c r="N313" s="172">
        <f>M313*I313*(Isw_max+VIN_max/Lmag*ILIM_delay)*0.5*Efficiency</f>
        <v>38.739168587830555</v>
      </c>
      <c r="O313" s="172">
        <f t="shared" si="762"/>
        <v>15.907999999999998</v>
      </c>
      <c r="P313" s="217">
        <f>N313/Vout</f>
        <v>2.3621444260872293</v>
      </c>
      <c r="Q313" s="217">
        <f t="shared" si="771"/>
        <v>16.399999999999999</v>
      </c>
      <c r="R313" s="217"/>
      <c r="S313" s="172">
        <f t="shared" si="772"/>
        <v>87.696673902011881</v>
      </c>
      <c r="T313" s="172">
        <f>MIN(Vout, S313)</f>
        <v>16.399999999999999</v>
      </c>
      <c r="U313" s="217">
        <f t="shared" si="774"/>
        <v>2.8494768298153375</v>
      </c>
      <c r="V313" s="217">
        <f>L*U313/I313*1000000</f>
        <v>0.95175482656837673</v>
      </c>
      <c r="W313" s="217">
        <f t="shared" si="776"/>
        <v>2.0300499661891211</v>
      </c>
      <c r="X313" s="197">
        <f t="shared" si="777"/>
        <v>350</v>
      </c>
      <c r="Y313" s="443">
        <f t="shared" si="840"/>
        <v>314.28703680257962</v>
      </c>
      <c r="AA313" s="217">
        <f t="shared" si="778"/>
        <v>2.7303472013578856</v>
      </c>
      <c r="AB313" s="173">
        <f>L*AA313/J313*1000000</f>
        <v>1.9451785625364564</v>
      </c>
      <c r="AC313" s="173">
        <f>0.5*AB313*AA313*Nps*X313/1000</f>
        <v>0.92942724776348451</v>
      </c>
      <c r="AD313" s="173"/>
      <c r="AE313" s="173">
        <f t="shared" si="781"/>
        <v>0.94990535102107632</v>
      </c>
      <c r="AF313" s="545">
        <f>MAX(12000,F313/(0.5*AE313/1000000*Isw_min*Nps))/1000</f>
        <v>1531.7315545553934</v>
      </c>
      <c r="AG313" s="528">
        <f t="shared" si="783"/>
        <v>0.22164458190491784</v>
      </c>
      <c r="AI313" s="173">
        <f t="shared" si="784"/>
        <v>2.7893052484750127</v>
      </c>
      <c r="AJ313" s="173">
        <f>MAX(IF(F313&gt;AC313,U313,AI313),Isw_min)</f>
        <v>2.8494768298153375</v>
      </c>
      <c r="AK313" s="173">
        <f>IF(F313&gt;AG313, (AJ313-Isw_min)/1.08*0.8+1.2, AF313*0.2/350+1)</f>
        <v>2.3230692566533362</v>
      </c>
      <c r="AM313" s="545">
        <f t="shared" si="787"/>
        <v>970</v>
      </c>
      <c r="AN313" s="460">
        <f t="shared" si="788"/>
        <v>314.28703680257962</v>
      </c>
      <c r="AP313">
        <f t="shared" si="789"/>
        <v>970</v>
      </c>
      <c r="AQ313">
        <f t="shared" si="790"/>
        <v>314.28703680257962</v>
      </c>
      <c r="AS313" s="5">
        <f t="shared" si="763"/>
        <v>3.1818047927574979</v>
      </c>
      <c r="AT313" s="5">
        <f t="shared" si="791"/>
        <v>0.95175482656837673</v>
      </c>
      <c r="AU313" s="5">
        <f t="shared" si="883"/>
        <v>2.2300499661891213</v>
      </c>
      <c r="AV313" s="5"/>
      <c r="AW313" s="173">
        <f t="shared" si="884"/>
        <v>0.29912420420472818</v>
      </c>
      <c r="AX313" s="173">
        <f t="shared" si="792"/>
        <v>15.311155898946996</v>
      </c>
      <c r="AY313" s="173">
        <f t="shared" si="793"/>
        <v>0.99856467034850649</v>
      </c>
      <c r="AZ313" s="173">
        <f t="shared" si="794"/>
        <v>15.333164043950493</v>
      </c>
      <c r="BA313" s="460">
        <f t="shared" si="885"/>
        <v>5.6292815961666198</v>
      </c>
      <c r="BB313" s="5">
        <f t="shared" si="886"/>
        <v>0.82286320344860753</v>
      </c>
      <c r="BD313" s="173">
        <f t="shared" si="841"/>
        <v>0.89976745536350422</v>
      </c>
      <c r="BE313" s="173">
        <f t="shared" si="842"/>
        <v>1.377288856468935</v>
      </c>
      <c r="BG313" s="528">
        <f t="shared" si="843"/>
        <v>1.6191629474626313E-2</v>
      </c>
      <c r="BH313" s="528">
        <f t="shared" si="795"/>
        <v>0.88610796300365213</v>
      </c>
      <c r="BI313" s="528">
        <f t="shared" si="796"/>
        <v>0.28228497642904204</v>
      </c>
      <c r="BJ313" s="528">
        <f t="shared" si="844"/>
        <v>8.7521349698157183E-2</v>
      </c>
      <c r="BK313">
        <f t="shared" si="845"/>
        <v>1.6167162436656543E-2</v>
      </c>
      <c r="BL313" s="460">
        <f t="shared" si="846"/>
        <v>298.4521388656986</v>
      </c>
      <c r="BM313" s="528">
        <f t="shared" si="797"/>
        <v>0.9980322430787828</v>
      </c>
      <c r="BN313" s="460">
        <f t="shared" si="847"/>
        <v>998.03224307878281</v>
      </c>
      <c r="BO313" s="528">
        <f t="shared" si="798"/>
        <v>0.67899999999999994</v>
      </c>
      <c r="BR313" s="460">
        <f t="shared" si="848"/>
        <v>678.99999999999989</v>
      </c>
      <c r="BS313" s="528">
        <f t="shared" si="849"/>
        <v>2.4287444211939468E-2</v>
      </c>
      <c r="BT313" s="528">
        <f t="shared" si="850"/>
        <v>5.690773782460519E-2</v>
      </c>
      <c r="BU313" s="528">
        <f t="shared" si="851"/>
        <v>1.2000490567312547</v>
      </c>
      <c r="BV313" s="528"/>
      <c r="BW313" s="528">
        <f t="shared" si="852"/>
        <v>1.2759296582455828E-2</v>
      </c>
      <c r="BX313" s="460">
        <f t="shared" si="853"/>
        <v>1294.0035353502553</v>
      </c>
      <c r="BY313" s="173">
        <f t="shared" si="854"/>
        <v>3.2612766163923896</v>
      </c>
      <c r="BZ313" s="5">
        <f t="shared" si="855"/>
        <v>15.907999999999998</v>
      </c>
      <c r="CA313" s="173">
        <f t="shared" si="856"/>
        <v>0.82986960428107404</v>
      </c>
      <c r="CB313" s="5">
        <f t="shared" si="857"/>
        <v>82.986960428107409</v>
      </c>
      <c r="CE313" s="562">
        <f t="shared" si="799"/>
        <v>-50</v>
      </c>
      <c r="CF313">
        <f t="shared" si="800"/>
        <v>-50</v>
      </c>
      <c r="CG313" s="173">
        <f t="shared" si="801"/>
        <v>0.66463518537375021</v>
      </c>
      <c r="CI313" s="170">
        <v>97</v>
      </c>
      <c r="CJ313" s="217">
        <f t="shared" si="858"/>
        <v>0.97</v>
      </c>
      <c r="CK313" s="217"/>
      <c r="CL313" s="217">
        <f t="shared" si="802"/>
        <v>15.907999999999998</v>
      </c>
      <c r="CM313" s="541">
        <f t="shared" si="803"/>
        <v>36</v>
      </c>
      <c r="CN313" s="443">
        <f t="shared" si="804"/>
        <v>16.799999999999997</v>
      </c>
      <c r="CO313" s="443">
        <f t="shared" si="805"/>
        <v>52.8</v>
      </c>
      <c r="CP313" s="443"/>
      <c r="CQ313" s="217">
        <f t="shared" si="806"/>
        <v>0.31818181818181812</v>
      </c>
      <c r="CR313" s="172">
        <f t="shared" si="807"/>
        <v>38.697272727272725</v>
      </c>
      <c r="CS313" s="172">
        <f t="shared" si="808"/>
        <v>15.907999999999998</v>
      </c>
      <c r="CT313" s="217">
        <f t="shared" si="809"/>
        <v>2.3595898004434592</v>
      </c>
      <c r="CU313" s="217">
        <f t="shared" si="810"/>
        <v>16.399999999999999</v>
      </c>
      <c r="CV313" s="217"/>
      <c r="CW313" s="172">
        <f t="shared" si="811"/>
        <v>87.87446778272836</v>
      </c>
      <c r="CX313" s="172">
        <f t="shared" si="812"/>
        <v>16.399999999999999</v>
      </c>
      <c r="CY313" s="217">
        <f t="shared" si="813"/>
        <v>2.7775873015873014</v>
      </c>
      <c r="CZ313" s="217">
        <f t="shared" si="814"/>
        <v>0.92586243386243383</v>
      </c>
      <c r="DA313" s="217">
        <f t="shared" si="815"/>
        <v>1.9839909297052154</v>
      </c>
      <c r="DB313" s="197">
        <f t="shared" si="816"/>
        <v>350</v>
      </c>
      <c r="DC313" s="443">
        <f t="shared" si="817"/>
        <v>343.6599288886303</v>
      </c>
      <c r="DE313" s="217">
        <f t="shared" si="818"/>
        <v>2.7272727272727271</v>
      </c>
      <c r="DF313" s="173">
        <f t="shared" si="819"/>
        <v>1.9480519480519483</v>
      </c>
      <c r="DG313" s="173">
        <f t="shared" si="820"/>
        <v>0.92975206611570249</v>
      </c>
      <c r="DH313" s="173"/>
      <c r="DI313" s="173">
        <f t="shared" si="821"/>
        <v>0.95238095238095266</v>
      </c>
      <c r="DJ313" s="545">
        <f t="shared" si="822"/>
        <v>1527.7499999999993</v>
      </c>
      <c r="DK313" s="528">
        <f t="shared" si="823"/>
        <v>0.22222222222222232</v>
      </c>
      <c r="DM313" s="173">
        <f t="shared" si="824"/>
        <v>2.7856776554368237</v>
      </c>
      <c r="DN313" s="173">
        <f t="shared" si="825"/>
        <v>2.7775873015873014</v>
      </c>
      <c r="DO313" s="173">
        <f t="shared" si="826"/>
        <v>2.2698177542621982</v>
      </c>
      <c r="DQ313" s="545">
        <f t="shared" si="827"/>
        <v>970</v>
      </c>
      <c r="DR313" s="460">
        <f t="shared" si="828"/>
        <v>343.6599288886303</v>
      </c>
      <c r="DT313">
        <f t="shared" si="829"/>
        <v>970</v>
      </c>
      <c r="DU313">
        <f t="shared" si="830"/>
        <v>343.6599288886303</v>
      </c>
      <c r="DW313" s="5">
        <f t="shared" si="859"/>
        <v>2.9098533635676489</v>
      </c>
      <c r="DX313" s="5">
        <f t="shared" si="831"/>
        <v>0.92586243386243383</v>
      </c>
      <c r="DY313" s="5">
        <f t="shared" si="832"/>
        <v>1.983990929705215</v>
      </c>
      <c r="DZ313" s="5"/>
      <c r="EA313" s="173">
        <f t="shared" si="833"/>
        <v>0.31818181818181823</v>
      </c>
      <c r="EB313" s="173">
        <f t="shared" si="860"/>
        <v>15.907999999999998</v>
      </c>
      <c r="EC313" s="173">
        <f t="shared" si="861"/>
        <v>0.9469047619047618</v>
      </c>
      <c r="ED313" s="173">
        <f t="shared" si="862"/>
        <v>16.8</v>
      </c>
      <c r="EE313" s="460">
        <f t="shared" si="834"/>
        <v>5.4761375661375675</v>
      </c>
      <c r="EF313" s="5">
        <f t="shared" si="835"/>
        <v>0.73058628957755911</v>
      </c>
      <c r="EH313" s="173">
        <f t="shared" si="863"/>
        <v>0.90457539449559798</v>
      </c>
      <c r="EI313" s="173">
        <f t="shared" si="864"/>
        <v>1.3241627902135531</v>
      </c>
      <c r="EK313" s="528">
        <f t="shared" si="865"/>
        <v>1.6365132886537334E-2</v>
      </c>
      <c r="EL313" s="528">
        <f t="shared" si="866"/>
        <v>1.0079999999999998</v>
      </c>
      <c r="EM313" s="528">
        <f t="shared" si="867"/>
        <v>4.2957491111078785E-2</v>
      </c>
      <c r="EN313" s="528">
        <f t="shared" si="868"/>
        <v>9.5806889615287896E-2</v>
      </c>
      <c r="EO313">
        <f t="shared" si="869"/>
        <v>1.6199999999999999E-2</v>
      </c>
      <c r="EP313" s="460">
        <f t="shared" si="870"/>
        <v>59.157491111078784</v>
      </c>
      <c r="EQ313" s="460"/>
      <c r="ER313" s="460">
        <f t="shared" si="871"/>
        <v>1179.3295136129038</v>
      </c>
      <c r="ES313" s="528">
        <f t="shared" si="872"/>
        <v>0.67899999999999994</v>
      </c>
      <c r="EV313" s="460">
        <f t="shared" si="873"/>
        <v>678.99999999999989</v>
      </c>
      <c r="EW313" s="528">
        <f t="shared" si="874"/>
        <v>2.4547699329806001E-2</v>
      </c>
      <c r="EX313" s="528">
        <f t="shared" si="875"/>
        <v>5.2602212849584266E-2</v>
      </c>
      <c r="EY313" s="528">
        <f t="shared" si="876"/>
        <v>1.4075425716328314</v>
      </c>
      <c r="EZ313" s="528"/>
      <c r="FA313" s="528">
        <f t="shared" si="877"/>
        <v>1.3256666666666665E-2</v>
      </c>
      <c r="FB313" s="460">
        <f t="shared" si="878"/>
        <v>1497.9491504788884</v>
      </c>
      <c r="FC313" s="173">
        <f t="shared" si="879"/>
        <v>3.3562786640917914</v>
      </c>
      <c r="FD313" s="5">
        <f t="shared" si="880"/>
        <v>15.907999999999998</v>
      </c>
      <c r="FE313" s="173">
        <f t="shared" si="881"/>
        <v>0.82577709123633969</v>
      </c>
      <c r="FF313" s="5">
        <f t="shared" si="882"/>
        <v>82.577709123633966</v>
      </c>
      <c r="FI313" s="562">
        <f t="shared" si="836"/>
        <v>-50</v>
      </c>
      <c r="FJ313">
        <f t="shared" si="837"/>
        <v>-50</v>
      </c>
      <c r="FL313">
        <f t="shared" si="838"/>
        <v>0.68181818181818177</v>
      </c>
    </row>
    <row r="314" spans="5:168">
      <c r="E314" s="170">
        <v>98</v>
      </c>
      <c r="F314" s="217">
        <f>IF(PLOT_TYPE=1, E314/100*Iout_max, min_I*EXP(N314*rr/100))</f>
        <v>0.98</v>
      </c>
      <c r="G314" s="217"/>
      <c r="H314" s="217">
        <f>F314*Vout</f>
        <v>16.071999999999999</v>
      </c>
      <c r="I314" s="541">
        <f t="shared" si="765"/>
        <v>35.926294788705704</v>
      </c>
      <c r="J314" s="172">
        <f t="shared" si="766"/>
        <v>16.844223126776576</v>
      </c>
      <c r="K314" s="172">
        <f t="shared" si="767"/>
        <v>52.77051791548228</v>
      </c>
      <c r="L314" s="443"/>
      <c r="M314" s="217">
        <f t="shared" si="768"/>
        <v>0.3191833767238394</v>
      </c>
      <c r="N314" s="172">
        <f>M314*I314*(Isw_max+VIN_max/Lmag*ILIM_delay)*0.5*Efficiency</f>
        <v>38.739605369889787</v>
      </c>
      <c r="O314" s="172">
        <f t="shared" si="762"/>
        <v>16.071999999999999</v>
      </c>
      <c r="P314" s="217">
        <f>N314/Vout</f>
        <v>2.3621710591396212</v>
      </c>
      <c r="Q314" s="217">
        <f t="shared" si="771"/>
        <v>16.399999999999999</v>
      </c>
      <c r="R314" s="217"/>
      <c r="S314" s="172">
        <f t="shared" si="772"/>
        <v>86.437474321465857</v>
      </c>
      <c r="T314" s="172">
        <f>MIN(Vout, S314)</f>
        <v>16.399999999999999</v>
      </c>
      <c r="U314" s="217">
        <f t="shared" si="774"/>
        <v>2.8788956276776494</v>
      </c>
      <c r="V314" s="217">
        <f>L*U314/I314*1000000</f>
        <v>0.96160062526103851</v>
      </c>
      <c r="W314" s="217">
        <f t="shared" si="776"/>
        <v>2.0509552308894694</v>
      </c>
      <c r="X314" s="197">
        <f t="shared" si="777"/>
        <v>350</v>
      </c>
      <c r="Y314" s="443">
        <f t="shared" si="840"/>
        <v>311.27863445097097</v>
      </c>
      <c r="AA314" s="217">
        <f t="shared" si="778"/>
        <v>2.7303779487725635</v>
      </c>
      <c r="AB314" s="173">
        <f>L*AA314/J314*1000000</f>
        <v>1.9451496895209324</v>
      </c>
      <c r="AC314" s="173">
        <f>0.5*AB314*AA314*Nps*X314/1000</f>
        <v>0.92942391838270666</v>
      </c>
      <c r="AD314" s="173"/>
      <c r="AE314" s="173">
        <f t="shared" si="781"/>
        <v>0.94988055427533813</v>
      </c>
      <c r="AF314" s="545">
        <f>MAX(12000,F314/(0.5*AE314/1000000*Isw_min*Nps))/1000</f>
        <v>1547.5629997725975</v>
      </c>
      <c r="AG314" s="528">
        <f t="shared" si="783"/>
        <v>0.22163879599757891</v>
      </c>
      <c r="AI314" s="173">
        <f t="shared" si="784"/>
        <v>2.8036828385469001</v>
      </c>
      <c r="AJ314" s="173">
        <f>MAX(IF(F314&gt;AC314,U314,AI314),Isw_min)</f>
        <v>2.8788956276776494</v>
      </c>
      <c r="AK314" s="173">
        <f>IF(F314&gt;AG314, (AJ314-Isw_min)/1.08*0.8+1.2, AF314*0.2/350+1)</f>
        <v>2.3448609587735674</v>
      </c>
      <c r="AM314" s="545">
        <f t="shared" si="787"/>
        <v>980</v>
      </c>
      <c r="AN314" s="460">
        <f t="shared" si="788"/>
        <v>311.27863445097097</v>
      </c>
      <c r="AP314">
        <f t="shared" si="789"/>
        <v>980</v>
      </c>
      <c r="AQ314">
        <f t="shared" si="790"/>
        <v>311.27863445097097</v>
      </c>
      <c r="AS314" s="5">
        <f t="shared" si="763"/>
        <v>3.2125558561505079</v>
      </c>
      <c r="AT314" s="5">
        <f t="shared" si="791"/>
        <v>0.96160062526103851</v>
      </c>
      <c r="AU314" s="5">
        <f t="shared" si="883"/>
        <v>2.2509552308894696</v>
      </c>
      <c r="AV314" s="5"/>
      <c r="AW314" s="173">
        <f t="shared" si="884"/>
        <v>0.29932572951845593</v>
      </c>
      <c r="AX314" s="173">
        <f t="shared" si="792"/>
        <v>15.479338706333502</v>
      </c>
      <c r="AY314" s="173">
        <f t="shared" si="793"/>
        <v>1.008584046857772</v>
      </c>
      <c r="AZ314" s="173">
        <f t="shared" si="794"/>
        <v>15.347594238238392</v>
      </c>
      <c r="BA314" s="460">
        <f t="shared" si="885"/>
        <v>5.7461500777793777</v>
      </c>
      <c r="BB314" s="5">
        <f t="shared" si="886"/>
        <v>0.83915677647867659</v>
      </c>
      <c r="BD314" s="173">
        <f t="shared" si="841"/>
        <v>0.90936307926169746</v>
      </c>
      <c r="BE314" s="173">
        <f t="shared" si="842"/>
        <v>1.3913083057909366</v>
      </c>
      <c r="BG314" s="528">
        <f t="shared" si="843"/>
        <v>1.6538824198486325E-2</v>
      </c>
      <c r="BH314" s="528">
        <f t="shared" si="795"/>
        <v>0.88668193702168241</v>
      </c>
      <c r="BI314" s="528">
        <f t="shared" si="796"/>
        <v>0.27957719956778365</v>
      </c>
      <c r="BJ314" s="528">
        <f t="shared" si="844"/>
        <v>8.6682619252730353E-2</v>
      </c>
      <c r="BK314">
        <f t="shared" si="845"/>
        <v>1.6166832654917567E-2</v>
      </c>
      <c r="BL314" s="460">
        <f t="shared" si="846"/>
        <v>295.74403222270126</v>
      </c>
      <c r="BM314" s="528">
        <f t="shared" si="797"/>
        <v>0.99829177495283261</v>
      </c>
      <c r="BN314" s="460">
        <f t="shared" si="847"/>
        <v>998.29177495283261</v>
      </c>
      <c r="BO314" s="528">
        <f t="shared" si="798"/>
        <v>0.68599999999999994</v>
      </c>
      <c r="BR314" s="460">
        <f t="shared" si="848"/>
        <v>686</v>
      </c>
      <c r="BS314" s="528">
        <f t="shared" si="849"/>
        <v>2.4808236297729488E-2</v>
      </c>
      <c r="BT314" s="528">
        <f t="shared" si="850"/>
        <v>5.8072164052885386E-2</v>
      </c>
      <c r="BU314" s="528">
        <f t="shared" si="851"/>
        <v>1.2020100148840052</v>
      </c>
      <c r="BV314" s="528"/>
      <c r="BW314" s="528">
        <f t="shared" si="852"/>
        <v>1.2899448921944586E-2</v>
      </c>
      <c r="BX314" s="460">
        <f t="shared" si="853"/>
        <v>1297.7898641565646</v>
      </c>
      <c r="BY314" s="173">
        <f t="shared" si="854"/>
        <v>3.2694372768521647</v>
      </c>
      <c r="BZ314" s="5">
        <f t="shared" si="855"/>
        <v>16.071999999999999</v>
      </c>
      <c r="CA314" s="173">
        <f t="shared" si="856"/>
        <v>0.83096203089493104</v>
      </c>
      <c r="CB314" s="5">
        <f t="shared" si="857"/>
        <v>83.096203089493102</v>
      </c>
      <c r="CE314" s="562">
        <f t="shared" si="799"/>
        <v>-50</v>
      </c>
      <c r="CF314">
        <f t="shared" si="800"/>
        <v>-50</v>
      </c>
      <c r="CG314" s="173">
        <f t="shared" si="801"/>
        <v>0.66481052207216285</v>
      </c>
      <c r="CI314" s="170">
        <v>98</v>
      </c>
      <c r="CJ314" s="217">
        <f t="shared" si="858"/>
        <v>0.98</v>
      </c>
      <c r="CK314" s="217"/>
      <c r="CL314" s="217">
        <f t="shared" si="802"/>
        <v>16.071999999999999</v>
      </c>
      <c r="CM314" s="541">
        <f t="shared" si="803"/>
        <v>36</v>
      </c>
      <c r="CN314" s="443">
        <f t="shared" si="804"/>
        <v>16.799999999999997</v>
      </c>
      <c r="CO314" s="443">
        <f t="shared" si="805"/>
        <v>52.8</v>
      </c>
      <c r="CP314" s="443"/>
      <c r="CQ314" s="217">
        <f t="shared" si="806"/>
        <v>0.31818181818181812</v>
      </c>
      <c r="CR314" s="172">
        <f t="shared" si="807"/>
        <v>38.697272727272725</v>
      </c>
      <c r="CS314" s="172">
        <f t="shared" si="808"/>
        <v>16.071999999999999</v>
      </c>
      <c r="CT314" s="217">
        <f t="shared" si="809"/>
        <v>2.3595898004434592</v>
      </c>
      <c r="CU314" s="217">
        <f t="shared" si="810"/>
        <v>16.399999999999999</v>
      </c>
      <c r="CV314" s="217"/>
      <c r="CW314" s="172">
        <f t="shared" si="811"/>
        <v>86.614469309974339</v>
      </c>
      <c r="CX314" s="172">
        <f t="shared" si="812"/>
        <v>16.399999999999999</v>
      </c>
      <c r="CY314" s="217">
        <f t="shared" si="813"/>
        <v>2.8062222222222224</v>
      </c>
      <c r="CZ314" s="217">
        <f t="shared" si="814"/>
        <v>0.93540740740740758</v>
      </c>
      <c r="DA314" s="217">
        <f t="shared" si="815"/>
        <v>2.0044444444444451</v>
      </c>
      <c r="DB314" s="197">
        <f t="shared" si="816"/>
        <v>350</v>
      </c>
      <c r="DC314" s="443">
        <f t="shared" si="817"/>
        <v>340.15319492037889</v>
      </c>
      <c r="DE314" s="217">
        <f t="shared" si="818"/>
        <v>2.7272727272727271</v>
      </c>
      <c r="DF314" s="173">
        <f t="shared" si="819"/>
        <v>1.9480519480519483</v>
      </c>
      <c r="DG314" s="173">
        <f t="shared" si="820"/>
        <v>0.92975206611570249</v>
      </c>
      <c r="DH314" s="173"/>
      <c r="DI314" s="173">
        <f t="shared" si="821"/>
        <v>0.95238095238095266</v>
      </c>
      <c r="DJ314" s="545">
        <f t="shared" si="822"/>
        <v>1543.4999999999993</v>
      </c>
      <c r="DK314" s="528">
        <f t="shared" si="823"/>
        <v>0.22222222222222232</v>
      </c>
      <c r="DM314" s="173">
        <f t="shared" si="824"/>
        <v>2.8</v>
      </c>
      <c r="DN314" s="173">
        <f t="shared" si="825"/>
        <v>2.8062222222222224</v>
      </c>
      <c r="DO314" s="173">
        <f t="shared" si="826"/>
        <v>2.2910288065843623</v>
      </c>
      <c r="DQ314" s="545">
        <f t="shared" si="827"/>
        <v>980</v>
      </c>
      <c r="DR314" s="460">
        <f t="shared" si="828"/>
        <v>340.15319492037889</v>
      </c>
      <c r="DT314">
        <f t="shared" si="829"/>
        <v>980</v>
      </c>
      <c r="DU314">
        <f t="shared" si="830"/>
        <v>340.15319492037889</v>
      </c>
      <c r="DW314" s="5">
        <f t="shared" si="859"/>
        <v>2.9398518518518522</v>
      </c>
      <c r="DX314" s="5">
        <f t="shared" si="831"/>
        <v>0.93540740740740758</v>
      </c>
      <c r="DY314" s="5">
        <f t="shared" si="832"/>
        <v>2.0044444444444447</v>
      </c>
      <c r="DZ314" s="5"/>
      <c r="EA314" s="173">
        <f t="shared" si="833"/>
        <v>0.31818181818181823</v>
      </c>
      <c r="EB314" s="173">
        <f t="shared" si="860"/>
        <v>16.072000000000003</v>
      </c>
      <c r="EC314" s="173">
        <f t="shared" si="861"/>
        <v>0.95666666666666667</v>
      </c>
      <c r="ED314" s="173">
        <f t="shared" si="862"/>
        <v>16.800000000000004</v>
      </c>
      <c r="EE314" s="460">
        <f t="shared" si="834"/>
        <v>5.5896296296296315</v>
      </c>
      <c r="EF314" s="5">
        <f t="shared" si="835"/>
        <v>0.74572757201646089</v>
      </c>
      <c r="EH314" s="173">
        <f t="shared" si="863"/>
        <v>0.91390091402648055</v>
      </c>
      <c r="EI314" s="173">
        <f t="shared" si="864"/>
        <v>1.3378139529992601</v>
      </c>
      <c r="EK314" s="528">
        <f t="shared" si="865"/>
        <v>1.6704297613168734E-2</v>
      </c>
      <c r="EL314" s="528">
        <f t="shared" si="866"/>
        <v>1.0079999999999998</v>
      </c>
      <c r="EM314" s="528">
        <f t="shared" si="867"/>
        <v>4.251914936504736E-2</v>
      </c>
      <c r="EN314" s="528">
        <f t="shared" si="868"/>
        <v>9.48292682926829E-2</v>
      </c>
      <c r="EO314">
        <f t="shared" si="869"/>
        <v>1.6199999999999999E-2</v>
      </c>
      <c r="EP314" s="460">
        <f t="shared" si="870"/>
        <v>58.719149365047357</v>
      </c>
      <c r="EQ314" s="460"/>
      <c r="ER314" s="460">
        <f t="shared" si="871"/>
        <v>1178.252715270899</v>
      </c>
      <c r="ES314" s="528">
        <f t="shared" si="872"/>
        <v>0.68599999999999994</v>
      </c>
      <c r="EV314" s="460">
        <f t="shared" si="873"/>
        <v>686</v>
      </c>
      <c r="EW314" s="528">
        <f t="shared" si="874"/>
        <v>2.5056446419753096E-2</v>
      </c>
      <c r="EX314" s="528">
        <f t="shared" si="875"/>
        <v>5.3692385185185196E-2</v>
      </c>
      <c r="EY314" s="528">
        <f t="shared" si="876"/>
        <v>1.4075425716328323</v>
      </c>
      <c r="EZ314" s="528"/>
      <c r="FA314" s="528">
        <f t="shared" si="877"/>
        <v>1.3393333333333333E-2</v>
      </c>
      <c r="FB314" s="460">
        <f t="shared" si="878"/>
        <v>1499.6847365711039</v>
      </c>
      <c r="FC314" s="173">
        <f t="shared" si="879"/>
        <v>3.3639374518420029</v>
      </c>
      <c r="FD314" s="5">
        <f t="shared" si="880"/>
        <v>16.071999999999999</v>
      </c>
      <c r="FE314" s="173">
        <f t="shared" si="881"/>
        <v>0.82692178032692776</v>
      </c>
      <c r="FF314" s="5">
        <f t="shared" si="882"/>
        <v>82.69217803269278</v>
      </c>
      <c r="FI314" s="562">
        <f t="shared" si="836"/>
        <v>-50</v>
      </c>
      <c r="FJ314">
        <f t="shared" si="837"/>
        <v>-50</v>
      </c>
      <c r="FL314">
        <f t="shared" si="838"/>
        <v>0.68181818181818177</v>
      </c>
    </row>
    <row r="315" spans="5:168">
      <c r="E315" s="170">
        <v>99</v>
      </c>
      <c r="F315" s="217">
        <f>IF(PLOT_TYPE=1, E315/100*Iout_max, min_I*EXP(N315*rr/100))</f>
        <v>0.99</v>
      </c>
      <c r="G315" s="217"/>
      <c r="H315" s="217">
        <f>F315*Vout</f>
        <v>16.235999999999997</v>
      </c>
      <c r="I315" s="541">
        <f t="shared" si="765"/>
        <v>35.925561930350312</v>
      </c>
      <c r="J315" s="172">
        <f t="shared" si="766"/>
        <v>16.844662841789809</v>
      </c>
      <c r="K315" s="172">
        <f t="shared" si="767"/>
        <v>52.770224772140125</v>
      </c>
      <c r="L315" s="443"/>
      <c r="M315" s="217">
        <f t="shared" si="768"/>
        <v>0.31919348633907013</v>
      </c>
      <c r="N315" s="172">
        <f>M315*I315*(Isw_max+VIN_max/Lmag*ILIM_delay)*0.5*Efficiency</f>
        <v>38.740042112051377</v>
      </c>
      <c r="O315" s="172">
        <f t="shared" si="762"/>
        <v>16.235999999999997</v>
      </c>
      <c r="P315" s="217">
        <f>N315/Vout</f>
        <v>2.3621976897592307</v>
      </c>
      <c r="Q315" s="217">
        <f t="shared" si="771"/>
        <v>16.399999999999999</v>
      </c>
      <c r="R315" s="217"/>
      <c r="S315" s="172">
        <f t="shared" si="772"/>
        <v>85.203795065792875</v>
      </c>
      <c r="T315" s="172">
        <f>MIN(Vout, S315)</f>
        <v>16.399999999999999</v>
      </c>
      <c r="U315" s="217">
        <f t="shared" si="774"/>
        <v>2.9083152999710031</v>
      </c>
      <c r="V315" s="217">
        <f>L*U315/I315*1000000</f>
        <v>0.97144711799673511</v>
      </c>
      <c r="W315" s="217">
        <f t="shared" si="776"/>
        <v>2.0718600263740155</v>
      </c>
      <c r="X315" s="197">
        <f t="shared" si="777"/>
        <v>350</v>
      </c>
      <c r="Y315" s="443">
        <f t="shared" si="840"/>
        <v>308.32725840833513</v>
      </c>
      <c r="AA315" s="217">
        <f t="shared" si="778"/>
        <v>2.7304086940424623</v>
      </c>
      <c r="AB315" s="173">
        <f>L*AA315/J315*1000000</f>
        <v>1.945120815788804</v>
      </c>
      <c r="AC315" s="173">
        <f>0.5*AB315*AA315*Nps*X315/1000</f>
        <v>0.92942058761872548</v>
      </c>
      <c r="AD315" s="173"/>
      <c r="AE315" s="173">
        <f t="shared" si="781"/>
        <v>0.94985575848426673</v>
      </c>
      <c r="AF315" s="545">
        <f>MAX(12000,F315/(0.5*AE315/1000000*Isw_min*Nps))/1000</f>
        <v>1563.3952700036161</v>
      </c>
      <c r="AG315" s="528">
        <f t="shared" si="783"/>
        <v>0.22163301031299559</v>
      </c>
      <c r="AI315" s="173">
        <f t="shared" si="784"/>
        <v>2.8179878175217348</v>
      </c>
      <c r="AJ315" s="173">
        <f>MAX(IF(F315&gt;AC315,U315,AI315),Isw_min)</f>
        <v>2.9083152999710031</v>
      </c>
      <c r="AK315" s="173">
        <f>IF(F315&gt;AG315, (AJ315-Isw_min)/1.08*0.8+1.2, AF315*0.2/350+1)</f>
        <v>2.3666533086204957</v>
      </c>
      <c r="AM315" s="545">
        <f t="shared" si="787"/>
        <v>990</v>
      </c>
      <c r="AN315" s="460">
        <f t="shared" si="788"/>
        <v>308.32725840833513</v>
      </c>
      <c r="AP315">
        <f t="shared" si="789"/>
        <v>990</v>
      </c>
      <c r="AQ315">
        <f t="shared" si="790"/>
        <v>308.32725840833513</v>
      </c>
      <c r="AS315" s="5">
        <f t="shared" si="763"/>
        <v>3.2433071443707511</v>
      </c>
      <c r="AT315" s="5">
        <f t="shared" si="791"/>
        <v>0.97144711799673511</v>
      </c>
      <c r="AU315" s="5">
        <f t="shared" si="883"/>
        <v>2.2718600263740161</v>
      </c>
      <c r="AV315" s="5"/>
      <c r="AW315" s="173">
        <f t="shared" si="884"/>
        <v>0.29952362658061177</v>
      </c>
      <c r="AX315" s="173">
        <f t="shared" si="792"/>
        <v>15.647542784332488</v>
      </c>
      <c r="AY315" s="173">
        <f t="shared" si="793"/>
        <v>1.0186030770419041</v>
      </c>
      <c r="AZ315" s="173">
        <f t="shared" si="794"/>
        <v>15.361766655736076</v>
      </c>
      <c r="BA315" s="460">
        <f t="shared" si="885"/>
        <v>5.8642234561998041</v>
      </c>
      <c r="BB315" s="5">
        <f t="shared" si="886"/>
        <v>0.85560989182113256</v>
      </c>
      <c r="BD315" s="173">
        <f t="shared" si="841"/>
        <v>0.91895956692490033</v>
      </c>
      <c r="BE315" s="173">
        <f t="shared" si="842"/>
        <v>1.4053276992831036</v>
      </c>
      <c r="BG315" s="528">
        <f t="shared" si="843"/>
        <v>1.6889733712856007E-2</v>
      </c>
      <c r="BH315" s="528">
        <f t="shared" si="795"/>
        <v>0.88724513237648439</v>
      </c>
      <c r="BI315" s="528">
        <f t="shared" si="796"/>
        <v>0.27692075041909414</v>
      </c>
      <c r="BJ315" s="528">
        <f t="shared" si="844"/>
        <v>8.5859787511505137E-2</v>
      </c>
      <c r="BK315">
        <f t="shared" si="845"/>
        <v>1.6166502868657642E-2</v>
      </c>
      <c r="BL315" s="460">
        <f t="shared" si="846"/>
        <v>293.08725328775176</v>
      </c>
      <c r="BM315" s="528">
        <f t="shared" si="797"/>
        <v>0.99856211218865443</v>
      </c>
      <c r="BN315" s="460">
        <f t="shared" si="847"/>
        <v>998.5621121886544</v>
      </c>
      <c r="BO315" s="528">
        <f t="shared" si="798"/>
        <v>0.69299999999999995</v>
      </c>
      <c r="BR315" s="460">
        <f t="shared" si="848"/>
        <v>693</v>
      </c>
      <c r="BS315" s="528">
        <f t="shared" si="849"/>
        <v>2.5334600569284011E-2</v>
      </c>
      <c r="BT315" s="528">
        <f t="shared" si="850"/>
        <v>5.9248378271170243E-2</v>
      </c>
      <c r="BU315" s="528">
        <f t="shared" si="851"/>
        <v>1.2039363511596983</v>
      </c>
      <c r="BV315" s="528"/>
      <c r="BW315" s="528">
        <f t="shared" si="852"/>
        <v>1.303961898694374E-2</v>
      </c>
      <c r="BX315" s="460">
        <f t="shared" si="853"/>
        <v>1301.5589489870963</v>
      </c>
      <c r="BY315" s="173">
        <f t="shared" si="854"/>
        <v>3.2776408558756938</v>
      </c>
      <c r="BZ315" s="5">
        <f t="shared" si="855"/>
        <v>16.235999999999997</v>
      </c>
      <c r="CA315" s="173">
        <f t="shared" si="856"/>
        <v>0.83203335143432366</v>
      </c>
      <c r="CB315" s="5">
        <f t="shared" si="857"/>
        <v>83.203335143432369</v>
      </c>
      <c r="CE315" s="562">
        <f t="shared" si="799"/>
        <v>-50</v>
      </c>
      <c r="CF315">
        <f t="shared" si="800"/>
        <v>-50</v>
      </c>
      <c r="CG315" s="173">
        <f t="shared" si="801"/>
        <v>0.66498231661505203</v>
      </c>
      <c r="CI315" s="170">
        <v>99</v>
      </c>
      <c r="CJ315" s="217">
        <f t="shared" si="858"/>
        <v>0.99</v>
      </c>
      <c r="CK315" s="217"/>
      <c r="CL315" s="217">
        <f t="shared" si="802"/>
        <v>16.235999999999997</v>
      </c>
      <c r="CM315" s="541">
        <f t="shared" si="803"/>
        <v>36</v>
      </c>
      <c r="CN315" s="443">
        <f t="shared" si="804"/>
        <v>16.799999999999997</v>
      </c>
      <c r="CO315" s="443">
        <f t="shared" si="805"/>
        <v>52.8</v>
      </c>
      <c r="CP315" s="443"/>
      <c r="CQ315" s="217">
        <f t="shared" si="806"/>
        <v>0.31818181818181812</v>
      </c>
      <c r="CR315" s="172">
        <f t="shared" si="807"/>
        <v>38.697272727272725</v>
      </c>
      <c r="CS315" s="172">
        <f t="shared" si="808"/>
        <v>16.235999999999997</v>
      </c>
      <c r="CT315" s="217">
        <f t="shared" si="809"/>
        <v>2.3595898004434592</v>
      </c>
      <c r="CU315" s="217">
        <f t="shared" si="810"/>
        <v>16.399999999999999</v>
      </c>
      <c r="CV315" s="217"/>
      <c r="CW315" s="172">
        <f t="shared" si="811"/>
        <v>85.379992525419979</v>
      </c>
      <c r="CX315" s="172">
        <f t="shared" si="812"/>
        <v>16.399999999999999</v>
      </c>
      <c r="CY315" s="217">
        <f t="shared" si="813"/>
        <v>2.8348571428571425</v>
      </c>
      <c r="CZ315" s="217">
        <f t="shared" si="814"/>
        <v>0.94495238095238088</v>
      </c>
      <c r="DA315" s="217">
        <f t="shared" si="815"/>
        <v>2.024897959183674</v>
      </c>
      <c r="DB315" s="197">
        <f t="shared" si="816"/>
        <v>350</v>
      </c>
      <c r="DC315" s="443">
        <f t="shared" si="817"/>
        <v>336.71730406259729</v>
      </c>
      <c r="DE315" s="217">
        <f t="shared" si="818"/>
        <v>2.7272727272727271</v>
      </c>
      <c r="DF315" s="173">
        <f t="shared" si="819"/>
        <v>1.9480519480519483</v>
      </c>
      <c r="DG315" s="173">
        <f t="shared" si="820"/>
        <v>0.92975206611570249</v>
      </c>
      <c r="DH315" s="173"/>
      <c r="DI315" s="173">
        <f t="shared" si="821"/>
        <v>0.95238095238095266</v>
      </c>
      <c r="DJ315" s="545">
        <f t="shared" si="822"/>
        <v>1559.2499999999993</v>
      </c>
      <c r="DK315" s="528">
        <f t="shared" si="823"/>
        <v>0.22222222222222232</v>
      </c>
      <c r="DM315" s="173">
        <f t="shared" si="824"/>
        <v>2.8142494558940574</v>
      </c>
      <c r="DN315" s="173">
        <f t="shared" si="825"/>
        <v>2.8348571428571425</v>
      </c>
      <c r="DO315" s="173">
        <f t="shared" si="826"/>
        <v>2.3122398589065254</v>
      </c>
      <c r="DQ315" s="545">
        <f t="shared" si="827"/>
        <v>990</v>
      </c>
      <c r="DR315" s="460">
        <f t="shared" si="828"/>
        <v>336.71730406259729</v>
      </c>
      <c r="DT315">
        <f t="shared" si="829"/>
        <v>990</v>
      </c>
      <c r="DU315">
        <f t="shared" si="830"/>
        <v>336.71730406259729</v>
      </c>
      <c r="DW315" s="5">
        <f t="shared" si="859"/>
        <v>2.9698503401360545</v>
      </c>
      <c r="DX315" s="5">
        <f t="shared" si="831"/>
        <v>0.94495238095238088</v>
      </c>
      <c r="DY315" s="5">
        <f t="shared" si="832"/>
        <v>2.0248979591836735</v>
      </c>
      <c r="DZ315" s="5"/>
      <c r="EA315" s="173">
        <f t="shared" si="833"/>
        <v>0.31818181818181812</v>
      </c>
      <c r="EB315" s="173">
        <f t="shared" si="860"/>
        <v>16.235999999999994</v>
      </c>
      <c r="EC315" s="173">
        <f t="shared" si="861"/>
        <v>0.96642857142857141</v>
      </c>
      <c r="ED315" s="173">
        <f t="shared" si="862"/>
        <v>16.799999999999994</v>
      </c>
      <c r="EE315" s="460">
        <f t="shared" si="834"/>
        <v>5.7042857142857146</v>
      </c>
      <c r="EF315" s="5">
        <f t="shared" si="835"/>
        <v>0.76102414965986365</v>
      </c>
      <c r="EH315" s="173">
        <f t="shared" si="863"/>
        <v>0.92322643355736256</v>
      </c>
      <c r="EI315" s="173">
        <f t="shared" si="864"/>
        <v>1.3514651157849666</v>
      </c>
      <c r="EK315" s="528">
        <f t="shared" si="865"/>
        <v>1.7046940952380945E-2</v>
      </c>
      <c r="EL315" s="528">
        <f t="shared" si="866"/>
        <v>1.0079999999999996</v>
      </c>
      <c r="EM315" s="528">
        <f t="shared" si="867"/>
        <v>4.2089663007824657E-2</v>
      </c>
      <c r="EN315" s="528">
        <f t="shared" si="868"/>
        <v>9.3871396895787107E-2</v>
      </c>
      <c r="EO315">
        <f t="shared" si="869"/>
        <v>1.6199999999999999E-2</v>
      </c>
      <c r="EP315" s="460">
        <f t="shared" si="870"/>
        <v>58.289663007824657</v>
      </c>
      <c r="EQ315" s="460"/>
      <c r="ER315" s="460">
        <f t="shared" si="871"/>
        <v>1177.2080008559924</v>
      </c>
      <c r="ES315" s="528">
        <f t="shared" si="872"/>
        <v>0.69299999999999995</v>
      </c>
      <c r="EV315" s="460">
        <f t="shared" si="873"/>
        <v>693</v>
      </c>
      <c r="EW315" s="528">
        <f t="shared" si="874"/>
        <v>2.5570411428571416E-2</v>
      </c>
      <c r="EX315" s="528">
        <f t="shared" si="875"/>
        <v>5.4793738775510199E-2</v>
      </c>
      <c r="EY315" s="528">
        <f t="shared" si="876"/>
        <v>1.4075425716328309</v>
      </c>
      <c r="EZ315" s="528"/>
      <c r="FA315" s="528">
        <f t="shared" si="877"/>
        <v>1.3529999999999995E-2</v>
      </c>
      <c r="FB315" s="460">
        <f t="shared" si="878"/>
        <v>1501.4367218369127</v>
      </c>
      <c r="FC315" s="173">
        <f t="shared" si="879"/>
        <v>3.3716447226929049</v>
      </c>
      <c r="FD315" s="5">
        <f t="shared" si="880"/>
        <v>16.235999999999997</v>
      </c>
      <c r="FE315" s="173">
        <f t="shared" si="881"/>
        <v>0.82804437909920237</v>
      </c>
      <c r="FF315" s="5">
        <f t="shared" si="882"/>
        <v>82.804437909920239</v>
      </c>
      <c r="FI315" s="562">
        <f t="shared" si="836"/>
        <v>-50</v>
      </c>
      <c r="FJ315">
        <f t="shared" si="837"/>
        <v>-50</v>
      </c>
      <c r="FL315">
        <f t="shared" si="838"/>
        <v>0.68181818181818188</v>
      </c>
    </row>
    <row r="316" spans="5:168">
      <c r="E316" s="170">
        <v>100</v>
      </c>
      <c r="F316" s="217">
        <f>IF(PLOT_TYPE=1, E316/100*Iout_max, min_I*EXP(N316*rr/100))</f>
        <v>1</v>
      </c>
      <c r="G316" s="217"/>
      <c r="H316" s="217">
        <f>F316*Vout</f>
        <v>16.399999999999999</v>
      </c>
      <c r="I316" s="541">
        <f t="shared" si="765"/>
        <v>35.924829062257324</v>
      </c>
      <c r="J316" s="172">
        <f t="shared" si="766"/>
        <v>16.845102562645604</v>
      </c>
      <c r="K316" s="172">
        <f t="shared" si="767"/>
        <v>52.769931624902924</v>
      </c>
      <c r="L316" s="443"/>
      <c r="M316" s="217">
        <f t="shared" si="768"/>
        <v>0.31920359612541782</v>
      </c>
      <c r="N316" s="172">
        <f>M316*I316*(Isw_max+VIN_max/Lmag*ILIM_delay)*0.5*Efficiency</f>
        <v>38.740478814420392</v>
      </c>
      <c r="O316" s="172">
        <f t="shared" si="762"/>
        <v>16.399999999999999</v>
      </c>
      <c r="P316" s="217">
        <f>N316/Vout</f>
        <v>2.3622243179524633</v>
      </c>
      <c r="Q316" s="217">
        <f t="shared" si="771"/>
        <v>16.399999999999999</v>
      </c>
      <c r="R316" s="217"/>
      <c r="S316" s="172">
        <f t="shared" si="772"/>
        <v>83.994871345290392</v>
      </c>
      <c r="T316" s="172">
        <f>MIN(Vout, S316)</f>
        <v>16.399999999999999</v>
      </c>
      <c r="U316" s="217">
        <f t="shared" si="774"/>
        <v>2.9377358467487507</v>
      </c>
      <c r="V316" s="217">
        <f>L*U316/I316*1000000</f>
        <v>0.98129430483558455</v>
      </c>
      <c r="W316" s="217">
        <f t="shared" si="776"/>
        <v>2.0927643527180986</v>
      </c>
      <c r="X316" s="197">
        <f t="shared" si="777"/>
        <v>350</v>
      </c>
      <c r="Y316" s="443">
        <f t="shared" si="840"/>
        <v>305.4313024273003</v>
      </c>
      <c r="AA316" s="217">
        <f t="shared" si="778"/>
        <v>2.730439437154474</v>
      </c>
      <c r="AB316" s="173">
        <f>L*AA316/J316*1000000</f>
        <v>1.9450919413522256</v>
      </c>
      <c r="AC316" s="173">
        <f>0.5*AB316*AA316*Nps*X316/1000</f>
        <v>0.92941725547290799</v>
      </c>
      <c r="AD316" s="173"/>
      <c r="AE316" s="173">
        <f t="shared" si="781"/>
        <v>0.94983096365826614</v>
      </c>
      <c r="AF316" s="545">
        <f>MAX(12000,F316/(0.5*AE316/1000000*Isw_min*Nps))/1000</f>
        <v>1579.2283652480251</v>
      </c>
      <c r="AG316" s="528">
        <f t="shared" si="783"/>
        <v>0.22162722485359546</v>
      </c>
      <c r="AI316" s="173">
        <f t="shared" si="784"/>
        <v>2.8322212856314071</v>
      </c>
      <c r="AJ316" s="173">
        <f>MAX(IF(F316&gt;AC316,U316,AI316),Isw_min)</f>
        <v>2.9377358467487507</v>
      </c>
      <c r="AK316" s="173">
        <f>IF(F316&gt;AG316, (AJ316-Isw_min)/1.08*0.8+1.2, AF316*0.2/350+1)</f>
        <v>2.3884463062336421</v>
      </c>
      <c r="AM316" s="545">
        <f t="shared" si="787"/>
        <v>1000</v>
      </c>
      <c r="AN316" s="460">
        <f t="shared" si="788"/>
        <v>305.4313024273003</v>
      </c>
      <c r="AP316">
        <f t="shared" si="789"/>
        <v>1000</v>
      </c>
      <c r="AQ316">
        <f t="shared" si="790"/>
        <v>305.4313024273003</v>
      </c>
      <c r="AS316" s="5">
        <f t="shared" si="763"/>
        <v>3.2740586575536836</v>
      </c>
      <c r="AT316" s="5">
        <f t="shared" si="791"/>
        <v>0.98129430483558455</v>
      </c>
      <c r="AU316" s="5">
        <f t="shared" si="883"/>
        <v>2.2927643527180992</v>
      </c>
      <c r="AV316" s="5"/>
      <c r="AW316" s="173">
        <f>AT316/AS316</f>
        <v>0.29971799759042483</v>
      </c>
      <c r="AX316" s="173">
        <f t="shared" si="792"/>
        <v>15.815767781731184</v>
      </c>
      <c r="AY316" s="173">
        <f t="shared" si="793"/>
        <v>1.0286217706558021</v>
      </c>
      <c r="AZ316" s="173">
        <f t="shared" si="794"/>
        <v>15.375688355932596</v>
      </c>
      <c r="BA316" s="460">
        <f t="shared" si="885"/>
        <v>5.9835018587535655</v>
      </c>
      <c r="BB316" s="5">
        <f t="shared" si="886"/>
        <v>0.87222255391979098</v>
      </c>
      <c r="BD316" s="173">
        <f t="shared" si="841"/>
        <v>0.92855691056412104</v>
      </c>
      <c r="BE316" s="173">
        <f t="shared" si="842"/>
        <v>1.4193470443368721</v>
      </c>
      <c r="BG316" s="528">
        <f t="shared" si="843"/>
        <v>1.7244358723127701E-2</v>
      </c>
      <c r="BH316" s="528">
        <f t="shared" si="795"/>
        <v>0.88779785263981614</v>
      </c>
      <c r="BI316" s="528">
        <f t="shared" si="796"/>
        <v>0.27431418324908458</v>
      </c>
      <c r="BJ316" s="528">
        <f t="shared" si="844"/>
        <v>8.5052406659616178E-2</v>
      </c>
      <c r="BK316">
        <f t="shared" si="845"/>
        <v>1.6166173078015794E-2</v>
      </c>
      <c r="BL316" s="460">
        <f t="shared" si="846"/>
        <v>290.48035632710037</v>
      </c>
      <c r="BM316" s="528">
        <f t="shared" si="797"/>
        <v>0.99884311444995588</v>
      </c>
      <c r="BN316" s="460">
        <f t="shared" si="847"/>
        <v>998.84311444995592</v>
      </c>
      <c r="BO316" s="528">
        <f t="shared" si="798"/>
        <v>0.7</v>
      </c>
      <c r="BR316" s="460">
        <f t="shared" si="848"/>
        <v>700</v>
      </c>
      <c r="BS316" s="528">
        <f t="shared" si="849"/>
        <v>2.586653808469155E-2</v>
      </c>
      <c r="BT316" s="528">
        <f t="shared" si="850"/>
        <v>6.0436380968034442E-2</v>
      </c>
      <c r="BU316" s="528">
        <f t="shared" si="851"/>
        <v>1.205828991052307</v>
      </c>
      <c r="BV316" s="528"/>
      <c r="BW316" s="528">
        <f t="shared" si="852"/>
        <v>1.3179806484775985E-2</v>
      </c>
      <c r="BX316" s="460">
        <f t="shared" si="853"/>
        <v>1305.3117165898088</v>
      </c>
      <c r="BY316" s="173">
        <f t="shared" si="854"/>
        <v>3.2858866909394697</v>
      </c>
      <c r="BZ316" s="5">
        <f t="shared" si="855"/>
        <v>16.399999999999999</v>
      </c>
      <c r="CA316" s="173">
        <f t="shared" si="856"/>
        <v>0.83308414080978044</v>
      </c>
      <c r="CB316" s="5">
        <f t="shared" si="857"/>
        <v>83.308414080978039</v>
      </c>
      <c r="CE316" s="562">
        <f t="shared" si="799"/>
        <v>-50</v>
      </c>
      <c r="CF316">
        <f t="shared" si="800"/>
        <v>-50</v>
      </c>
      <c r="CG316" s="173">
        <f t="shared" si="801"/>
        <v>0.66515067526708327</v>
      </c>
      <c r="CI316" s="170">
        <v>100</v>
      </c>
      <c r="CJ316" s="217">
        <f t="shared" si="858"/>
        <v>1</v>
      </c>
      <c r="CK316" s="217"/>
      <c r="CL316" s="217">
        <f t="shared" si="802"/>
        <v>16.399999999999999</v>
      </c>
      <c r="CM316" s="541">
        <f t="shared" si="803"/>
        <v>36</v>
      </c>
      <c r="CN316" s="443">
        <f t="shared" si="804"/>
        <v>16.799999999999997</v>
      </c>
      <c r="CO316" s="443">
        <f t="shared" si="805"/>
        <v>52.8</v>
      </c>
      <c r="CP316" s="443"/>
      <c r="CQ316" s="217">
        <f t="shared" si="806"/>
        <v>0.31818181818181812</v>
      </c>
      <c r="CR316" s="172">
        <f t="shared" si="807"/>
        <v>38.697272727272725</v>
      </c>
      <c r="CS316" s="172">
        <f t="shared" si="808"/>
        <v>16.399999999999999</v>
      </c>
      <c r="CT316" s="217">
        <f t="shared" si="809"/>
        <v>2.3595898004434592</v>
      </c>
      <c r="CU316" s="217">
        <f t="shared" si="810"/>
        <v>16.399999999999999</v>
      </c>
      <c r="CV316" s="217"/>
      <c r="CW316" s="172">
        <f t="shared" si="811"/>
        <v>84.170272597659789</v>
      </c>
      <c r="CX316" s="172">
        <f t="shared" si="812"/>
        <v>16.399999999999999</v>
      </c>
      <c r="CY316" s="217">
        <f t="shared" si="813"/>
        <v>2.8634920634920635</v>
      </c>
      <c r="CZ316" s="217">
        <f t="shared" si="814"/>
        <v>0.95449735449735451</v>
      </c>
      <c r="DA316" s="217">
        <f t="shared" si="815"/>
        <v>2.0453514739229028</v>
      </c>
      <c r="DB316" s="197">
        <f t="shared" si="816"/>
        <v>350</v>
      </c>
      <c r="DC316" s="443">
        <f t="shared" si="817"/>
        <v>333.35013102197138</v>
      </c>
      <c r="DE316" s="217">
        <f t="shared" si="818"/>
        <v>2.7272727272727271</v>
      </c>
      <c r="DF316" s="173">
        <f t="shared" si="819"/>
        <v>1.9480519480519483</v>
      </c>
      <c r="DG316" s="173">
        <f t="shared" si="820"/>
        <v>0.92975206611570249</v>
      </c>
      <c r="DH316" s="173"/>
      <c r="DI316" s="173">
        <f t="shared" si="821"/>
        <v>0.95238095238095266</v>
      </c>
      <c r="DJ316" s="545">
        <f t="shared" si="822"/>
        <v>1574.9999999999993</v>
      </c>
      <c r="DK316" s="528">
        <f t="shared" si="823"/>
        <v>0.22222222222222232</v>
      </c>
      <c r="DM316" s="173">
        <f t="shared" si="824"/>
        <v>2.8284271247461898</v>
      </c>
      <c r="DN316" s="173">
        <f t="shared" si="825"/>
        <v>2.8634920634920635</v>
      </c>
      <c r="DO316" s="173">
        <f t="shared" si="826"/>
        <v>2.333450911228689</v>
      </c>
      <c r="DQ316" s="545">
        <f t="shared" si="827"/>
        <v>1000</v>
      </c>
      <c r="DR316" s="460">
        <f t="shared" si="828"/>
        <v>333.35013102197138</v>
      </c>
      <c r="DT316">
        <f t="shared" si="829"/>
        <v>1000</v>
      </c>
      <c r="DU316">
        <f t="shared" si="830"/>
        <v>333.35013102197138</v>
      </c>
      <c r="DW316" s="5">
        <f t="shared" si="859"/>
        <v>2.9998488284202574</v>
      </c>
      <c r="DX316" s="5">
        <f t="shared" si="831"/>
        <v>0.95449735449735451</v>
      </c>
      <c r="DY316" s="5">
        <f t="shared" si="832"/>
        <v>2.0453514739229028</v>
      </c>
      <c r="DZ316" s="5"/>
      <c r="EA316" s="173">
        <f t="shared" si="833"/>
        <v>0.31818181818181812</v>
      </c>
      <c r="EB316" s="173">
        <f t="shared" si="860"/>
        <v>16.400000000000002</v>
      </c>
      <c r="EC316" s="173">
        <f t="shared" si="861"/>
        <v>0.97619047619047628</v>
      </c>
      <c r="ED316" s="173">
        <f t="shared" si="862"/>
        <v>16.8</v>
      </c>
      <c r="EE316" s="460">
        <f t="shared" si="834"/>
        <v>5.8201058201058204</v>
      </c>
      <c r="EF316" s="5">
        <f t="shared" si="835"/>
        <v>0.77647602250776837</v>
      </c>
      <c r="EH316" s="173">
        <f t="shared" si="863"/>
        <v>0.93255195308824512</v>
      </c>
      <c r="EI316" s="173">
        <f t="shared" si="864"/>
        <v>1.3651162785706734</v>
      </c>
      <c r="EK316" s="528">
        <f t="shared" si="865"/>
        <v>1.7393062904174011E-2</v>
      </c>
      <c r="EL316" s="528">
        <f t="shared" si="866"/>
        <v>1.008</v>
      </c>
      <c r="EM316" s="528">
        <f t="shared" si="867"/>
        <v>4.166876637774642E-2</v>
      </c>
      <c r="EN316" s="528">
        <f t="shared" si="868"/>
        <v>9.2932682926829255E-2</v>
      </c>
      <c r="EO316">
        <f t="shared" si="869"/>
        <v>1.6199999999999999E-2</v>
      </c>
      <c r="EP316" s="460">
        <f t="shared" si="870"/>
        <v>57.868766377746418</v>
      </c>
      <c r="EQ316" s="460"/>
      <c r="ER316" s="460">
        <f t="shared" si="871"/>
        <v>1176.1945122087498</v>
      </c>
      <c r="ES316" s="528">
        <f t="shared" si="872"/>
        <v>0.7</v>
      </c>
      <c r="EV316" s="460">
        <f t="shared" si="873"/>
        <v>700</v>
      </c>
      <c r="EW316" s="528">
        <f t="shared" si="874"/>
        <v>2.6089594356261014E-2</v>
      </c>
      <c r="EX316" s="528">
        <f t="shared" si="875"/>
        <v>5.5906273620559332E-2</v>
      </c>
      <c r="EY316" s="528">
        <f t="shared" si="876"/>
        <v>1.4075425716328296</v>
      </c>
      <c r="EZ316" s="528"/>
      <c r="FA316" s="528">
        <f t="shared" si="877"/>
        <v>1.3666666666666667E-2</v>
      </c>
      <c r="FB316" s="460">
        <f t="shared" si="878"/>
        <v>1503.2051062763167</v>
      </c>
      <c r="FC316" s="173">
        <f t="shared" si="879"/>
        <v>3.3793996184850661</v>
      </c>
      <c r="FD316" s="5">
        <f t="shared" si="880"/>
        <v>16.399999999999999</v>
      </c>
      <c r="FE316" s="173">
        <f t="shared" si="881"/>
        <v>0.82914549057764064</v>
      </c>
      <c r="FF316" s="5">
        <f t="shared" si="882"/>
        <v>82.914549057764063</v>
      </c>
      <c r="FI316" s="562">
        <f t="shared" si="836"/>
        <v>-50</v>
      </c>
      <c r="FJ316">
        <f t="shared" si="837"/>
        <v>-50</v>
      </c>
      <c r="FL316">
        <f t="shared" si="838"/>
        <v>0.68181818181818188</v>
      </c>
    </row>
    <row r="317" spans="5:168">
      <c r="E317" s="170"/>
      <c r="F317" s="217"/>
      <c r="G317" s="217"/>
      <c r="CE317" s="562"/>
      <c r="CI317" s="170"/>
      <c r="CJ317" s="217"/>
      <c r="CK317" s="217"/>
      <c r="FI317" s="562"/>
    </row>
    <row r="318" spans="5:168" ht="45" customHeight="1" thickBot="1">
      <c r="E318" s="241" t="s">
        <v>25</v>
      </c>
      <c r="F318" s="444" t="s">
        <v>194</v>
      </c>
      <c r="G318" s="260"/>
      <c r="H318" s="527" t="s">
        <v>223</v>
      </c>
      <c r="I318" s="242" t="s">
        <v>412</v>
      </c>
      <c r="J318" s="243" t="s">
        <v>418</v>
      </c>
      <c r="K318" s="527" t="s">
        <v>413</v>
      </c>
      <c r="L318" s="527"/>
      <c r="M318" s="244" t="s">
        <v>48</v>
      </c>
      <c r="N318" s="527" t="s">
        <v>402</v>
      </c>
      <c r="O318" s="527" t="s">
        <v>656</v>
      </c>
      <c r="P318" s="527" t="s">
        <v>403</v>
      </c>
      <c r="Q318" s="527" t="s">
        <v>433</v>
      </c>
      <c r="R318" s="527" t="s">
        <v>654</v>
      </c>
      <c r="S318" s="527" t="s">
        <v>657</v>
      </c>
      <c r="T318" s="527" t="s">
        <v>655</v>
      </c>
      <c r="U318" s="527" t="s">
        <v>414</v>
      </c>
      <c r="V318" s="527" t="s">
        <v>466</v>
      </c>
      <c r="W318" s="527" t="s">
        <v>465</v>
      </c>
      <c r="X318" s="546" t="s">
        <v>420</v>
      </c>
      <c r="Y318" s="542" t="s">
        <v>425</v>
      </c>
      <c r="AA318" s="245" t="s">
        <v>417</v>
      </c>
      <c r="AB318" s="245" t="s">
        <v>464</v>
      </c>
      <c r="AC318" s="245" t="s">
        <v>423</v>
      </c>
      <c r="AD318" s="544"/>
      <c r="AE318" s="245" t="s">
        <v>463</v>
      </c>
      <c r="AF318" s="245" t="s">
        <v>681</v>
      </c>
      <c r="AG318" s="245" t="s">
        <v>427</v>
      </c>
      <c r="AH318" s="544"/>
      <c r="AI318" s="245" t="s">
        <v>429</v>
      </c>
      <c r="AJ318" s="547" t="s">
        <v>430</v>
      </c>
      <c r="AK318" s="547" t="s">
        <v>431</v>
      </c>
      <c r="AM318" s="543" t="s">
        <v>275</v>
      </c>
      <c r="AN318" s="543" t="s">
        <v>432</v>
      </c>
      <c r="AP318" s="245" t="s">
        <v>275</v>
      </c>
      <c r="AQ318" s="245" t="s">
        <v>432</v>
      </c>
      <c r="AR318" s="548"/>
      <c r="AS318" s="245" t="s">
        <v>467</v>
      </c>
      <c r="AT318" s="245" t="s">
        <v>461</v>
      </c>
      <c r="AU318" s="245" t="s">
        <v>462</v>
      </c>
      <c r="AV318" s="245" t="s">
        <v>653</v>
      </c>
      <c r="AW318" s="245" t="s">
        <v>48</v>
      </c>
      <c r="AX318" s="548" t="s">
        <v>651</v>
      </c>
      <c r="AY318" s="544" t="s">
        <v>650</v>
      </c>
      <c r="AZ318" s="544" t="s">
        <v>652</v>
      </c>
      <c r="BA318" s="245" t="s">
        <v>481</v>
      </c>
      <c r="BB318" s="245" t="s">
        <v>514</v>
      </c>
      <c r="BC318" s="544"/>
      <c r="BD318" s="557" t="s">
        <v>456</v>
      </c>
      <c r="BE318" s="245" t="s">
        <v>457</v>
      </c>
      <c r="BF318" s="544"/>
      <c r="BG318" s="557" t="s">
        <v>474</v>
      </c>
      <c r="BH318" s="245" t="s">
        <v>475</v>
      </c>
      <c r="BI318" s="245" t="s">
        <v>473</v>
      </c>
      <c r="BJ318" s="245" t="s">
        <v>469</v>
      </c>
      <c r="BK318" s="245" t="s">
        <v>478</v>
      </c>
      <c r="BL318" s="245" t="s">
        <v>777</v>
      </c>
      <c r="BM318" s="245" t="s">
        <v>776</v>
      </c>
      <c r="BN318" s="245" t="s">
        <v>491</v>
      </c>
      <c r="BO318" s="557" t="s">
        <v>476</v>
      </c>
      <c r="BP318" s="245" t="s">
        <v>477</v>
      </c>
      <c r="BQ318" s="245" t="s">
        <v>483</v>
      </c>
      <c r="BR318" s="245" t="s">
        <v>487</v>
      </c>
      <c r="BS318" s="557" t="s">
        <v>458</v>
      </c>
      <c r="BT318" s="245" t="s">
        <v>459</v>
      </c>
      <c r="BU318" s="245" t="s">
        <v>468</v>
      </c>
      <c r="BV318" s="245" t="s">
        <v>666</v>
      </c>
      <c r="BW318" s="245" t="s">
        <v>484</v>
      </c>
      <c r="BX318" s="245" t="s">
        <v>667</v>
      </c>
      <c r="BY318" s="557" t="s">
        <v>482</v>
      </c>
      <c r="BZ318" s="245" t="s">
        <v>223</v>
      </c>
      <c r="CA318" s="245" t="s">
        <v>47</v>
      </c>
      <c r="CB318" s="245" t="s">
        <v>485</v>
      </c>
      <c r="CC318" s="245"/>
      <c r="CE318" s="569" t="s">
        <v>664</v>
      </c>
      <c r="CF318" s="569" t="s">
        <v>665</v>
      </c>
      <c r="CG318" s="781" t="s">
        <v>828</v>
      </c>
      <c r="CI318" s="241" t="s">
        <v>25</v>
      </c>
      <c r="CJ318" s="444" t="s">
        <v>194</v>
      </c>
      <c r="CK318" s="260"/>
      <c r="CL318" s="527" t="s">
        <v>223</v>
      </c>
      <c r="CM318" s="242" t="s">
        <v>412</v>
      </c>
      <c r="CN318" s="243" t="s">
        <v>418</v>
      </c>
      <c r="CO318" s="527" t="s">
        <v>413</v>
      </c>
      <c r="CP318" s="527"/>
      <c r="CQ318" s="244" t="s">
        <v>48</v>
      </c>
      <c r="CR318" s="527" t="s">
        <v>402</v>
      </c>
      <c r="CS318" s="527" t="s">
        <v>656</v>
      </c>
      <c r="CT318" s="527" t="s">
        <v>403</v>
      </c>
      <c r="CU318" s="527" t="s">
        <v>433</v>
      </c>
      <c r="CV318" s="527" t="s">
        <v>654</v>
      </c>
      <c r="CW318" s="527" t="s">
        <v>657</v>
      </c>
      <c r="CX318" s="527" t="s">
        <v>655</v>
      </c>
      <c r="CY318" s="527" t="s">
        <v>414</v>
      </c>
      <c r="CZ318" s="527" t="s">
        <v>466</v>
      </c>
      <c r="DA318" s="527" t="s">
        <v>465</v>
      </c>
      <c r="DB318" s="546" t="s">
        <v>420</v>
      </c>
      <c r="DC318" s="542" t="s">
        <v>425</v>
      </c>
      <c r="DE318" s="245" t="s">
        <v>417</v>
      </c>
      <c r="DF318" s="245" t="s">
        <v>464</v>
      </c>
      <c r="DG318" s="245" t="s">
        <v>423</v>
      </c>
      <c r="DH318" s="544"/>
      <c r="DI318" s="245" t="s">
        <v>463</v>
      </c>
      <c r="DJ318" s="245" t="s">
        <v>681</v>
      </c>
      <c r="DK318" s="245" t="s">
        <v>427</v>
      </c>
      <c r="DL318" s="544"/>
      <c r="DM318" s="245" t="s">
        <v>429</v>
      </c>
      <c r="DN318" s="547" t="s">
        <v>430</v>
      </c>
      <c r="DO318" s="547" t="s">
        <v>431</v>
      </c>
      <c r="DQ318" s="543" t="s">
        <v>275</v>
      </c>
      <c r="DR318" s="543" t="s">
        <v>432</v>
      </c>
      <c r="DT318" s="245" t="s">
        <v>275</v>
      </c>
      <c r="DU318" s="245" t="s">
        <v>432</v>
      </c>
      <c r="DV318" s="548"/>
      <c r="DW318" s="245" t="s">
        <v>467</v>
      </c>
      <c r="DX318" s="245" t="s">
        <v>461</v>
      </c>
      <c r="DY318" s="245" t="s">
        <v>462</v>
      </c>
      <c r="DZ318" s="245" t="s">
        <v>653</v>
      </c>
      <c r="EA318" s="245" t="s">
        <v>48</v>
      </c>
      <c r="EB318" s="548" t="s">
        <v>651</v>
      </c>
      <c r="EC318" s="544" t="s">
        <v>650</v>
      </c>
      <c r="ED318" s="544" t="s">
        <v>652</v>
      </c>
      <c r="EE318" s="245" t="s">
        <v>481</v>
      </c>
      <c r="EF318" s="245" t="s">
        <v>514</v>
      </c>
      <c r="EG318" s="544"/>
      <c r="EH318" s="557" t="s">
        <v>456</v>
      </c>
      <c r="EI318" s="245" t="s">
        <v>457</v>
      </c>
      <c r="EJ318" s="544"/>
      <c r="EK318" s="557" t="s">
        <v>474</v>
      </c>
      <c r="EL318" s="245" t="s">
        <v>475</v>
      </c>
      <c r="EM318" s="245" t="s">
        <v>473</v>
      </c>
      <c r="EN318" s="245" t="s">
        <v>469</v>
      </c>
      <c r="EO318" s="245" t="s">
        <v>478</v>
      </c>
      <c r="EP318" s="245" t="s">
        <v>777</v>
      </c>
      <c r="EQ318" s="245" t="s">
        <v>776</v>
      </c>
      <c r="ER318" s="245" t="s">
        <v>491</v>
      </c>
      <c r="ES318" s="557" t="s">
        <v>476</v>
      </c>
      <c r="ET318" s="245" t="s">
        <v>477</v>
      </c>
      <c r="EU318" s="245" t="s">
        <v>483</v>
      </c>
      <c r="EV318" s="245" t="s">
        <v>487</v>
      </c>
      <c r="EW318" s="557" t="s">
        <v>458</v>
      </c>
      <c r="EX318" s="245" t="s">
        <v>459</v>
      </c>
      <c r="EY318" s="245" t="s">
        <v>468</v>
      </c>
      <c r="EZ318" s="245" t="s">
        <v>666</v>
      </c>
      <c r="FA318" s="245" t="s">
        <v>484</v>
      </c>
      <c r="FB318" s="245" t="s">
        <v>667</v>
      </c>
      <c r="FC318" s="557" t="s">
        <v>482</v>
      </c>
      <c r="FD318" s="245" t="s">
        <v>223</v>
      </c>
      <c r="FE318" s="245" t="s">
        <v>47</v>
      </c>
      <c r="FF318" s="245" t="s">
        <v>485</v>
      </c>
      <c r="FG318" s="245"/>
      <c r="FI318" s="569" t="s">
        <v>664</v>
      </c>
      <c r="FJ318" s="569" t="s">
        <v>665</v>
      </c>
      <c r="FL318" t="s">
        <v>825</v>
      </c>
    </row>
    <row r="319" spans="5:168">
      <c r="CE319" s="562"/>
      <c r="FI319" s="562"/>
    </row>
    <row r="320" spans="5:168">
      <c r="E320" s="76" t="s">
        <v>904</v>
      </c>
      <c r="CE320" s="562"/>
      <c r="FI320" s="562"/>
    </row>
    <row r="321" spans="5:165">
      <c r="F321" s="76" t="s">
        <v>905</v>
      </c>
      <c r="G321" s="76" t="s">
        <v>906</v>
      </c>
      <c r="N321">
        <f>Efficiency</f>
        <v>1</v>
      </c>
      <c r="CE321" s="562"/>
      <c r="FI321" s="562"/>
    </row>
    <row r="322" spans="5:165">
      <c r="F322">
        <f>'Design Converter'!E73</f>
        <v>1E-3</v>
      </c>
      <c r="G322" s="884">
        <f>F322*Vout</f>
        <v>1.6399999999999998E-2</v>
      </c>
    </row>
    <row r="323" spans="5:165">
      <c r="E323" t="s">
        <v>907</v>
      </c>
    </row>
    <row r="324" spans="5:165">
      <c r="F324" t="s">
        <v>908</v>
      </c>
      <c r="G324" t="s">
        <v>909</v>
      </c>
      <c r="H324" t="s">
        <v>910</v>
      </c>
      <c r="I324" s="76" t="s">
        <v>660</v>
      </c>
    </row>
    <row r="325" spans="5:165">
      <c r="F325" s="885">
        <v>1.9999999999999999E-7</v>
      </c>
      <c r="G325">
        <f>VIN_max</f>
        <v>36</v>
      </c>
      <c r="H325">
        <f>15000</f>
        <v>15000</v>
      </c>
      <c r="I325">
        <f>L*0.9</f>
        <v>1.08E-5</v>
      </c>
    </row>
    <row r="326" spans="5:165">
      <c r="G326" s="76" t="s">
        <v>911</v>
      </c>
    </row>
    <row r="327" spans="5:165">
      <c r="G327" s="884">
        <f>0.5*(G325/I325*F325)^2*H325*I325</f>
        <v>3.5999999999999997E-2</v>
      </c>
    </row>
    <row r="328" spans="5:165">
      <c r="E328" s="76" t="s">
        <v>912</v>
      </c>
    </row>
    <row r="329" spans="5:165">
      <c r="G329" t="str">
        <f>IF(G327&gt;G322, "Yes", "No")</f>
        <v>Yes</v>
      </c>
      <c r="H329">
        <f>(Vout*1.05)^2/(G327-G322)</f>
        <v>15129</v>
      </c>
    </row>
  </sheetData>
  <sheetProtection algorithmName="SHA-512" hashValue="jjy+M4BszUIPQyQAypmalqdiGAVR+GRf8EylfHnVRbrkQ8G1A+iuQ5/uOTCTvuGZaCo5Wfh0qspKUjeOMQrv0g==" saltValue="mAFZjYERBalIdjoVNhXinQ==" spinCount="100000" sheet="1" selectLockedCells="1" selectUnlockedCells="1"/>
  <mergeCells count="2">
    <mergeCell ref="M3:AA3"/>
    <mergeCell ref="CQ3:DE3"/>
  </mergeCells>
  <phoneticPr fontId="83"/>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7030A0"/>
  </sheetPr>
  <dimension ref="A1:FM329"/>
  <sheetViews>
    <sheetView topLeftCell="AN97" zoomScale="70" zoomScaleNormal="70" workbookViewId="0">
      <selection activeCell="BG107" sqref="BG107"/>
    </sheetView>
  </sheetViews>
  <sheetFormatPr defaultRowHeight="12.5"/>
  <cols>
    <col min="1" max="1" width="2.81640625" customWidth="1"/>
    <col min="2" max="2" width="3.54296875" customWidth="1"/>
    <col min="3" max="3" width="2.81640625" customWidth="1"/>
    <col min="4" max="4" width="3.7265625" customWidth="1"/>
    <col min="5" max="5" width="6.1796875" customWidth="1"/>
    <col min="6" max="7" width="7.7265625" customWidth="1"/>
    <col min="8" max="9" width="7.81640625" customWidth="1"/>
    <col min="10" max="10" width="6.26953125" customWidth="1"/>
    <col min="11" max="11" width="9.54296875" customWidth="1"/>
    <col min="12" max="12" width="9.26953125" customWidth="1"/>
    <col min="13" max="13" width="7.81640625" customWidth="1"/>
    <col min="14" max="14" width="8.453125" customWidth="1"/>
    <col min="15" max="16" width="9.54296875" customWidth="1"/>
    <col min="17" max="18" width="8.81640625" customWidth="1"/>
    <col min="19" max="19" width="8.54296875" customWidth="1"/>
    <col min="20" max="20" width="7.54296875" customWidth="1"/>
    <col min="21" max="21" width="9" customWidth="1"/>
    <col min="22" max="22" width="8.81640625" customWidth="1"/>
    <col min="23" max="23" width="10" customWidth="1"/>
    <col min="24" max="24" width="9.54296875" customWidth="1"/>
    <col min="25" max="25" width="1.81640625" customWidth="1"/>
    <col min="26" max="26" width="9.81640625" customWidth="1"/>
    <col min="27" max="27" width="10.453125" customWidth="1"/>
    <col min="28" max="28" width="10.1796875" customWidth="1"/>
    <col min="29" max="29" width="2" customWidth="1"/>
    <col min="30" max="30" width="9.1796875" customWidth="1"/>
    <col min="31" max="31" width="9.453125" customWidth="1"/>
    <col min="32" max="32" width="10.453125" customWidth="1"/>
    <col min="33" max="33" width="2.1796875" customWidth="1"/>
    <col min="35" max="35" width="8" customWidth="1"/>
    <col min="37" max="37" width="2.26953125" customWidth="1"/>
    <col min="38" max="38" width="6.54296875" customWidth="1"/>
    <col min="39" max="39" width="7.54296875" customWidth="1"/>
    <col min="40" max="40" width="2" customWidth="1"/>
    <col min="41" max="41" width="6.453125" customWidth="1"/>
    <col min="42" max="42" width="7.54296875" customWidth="1"/>
    <col min="43" max="43" width="2.1796875" customWidth="1"/>
    <col min="44" max="46" width="7" customWidth="1"/>
    <col min="47" max="47" width="8.453125" customWidth="1"/>
    <col min="48" max="48" width="2.1796875" customWidth="1"/>
    <col min="49" max="50" width="9.453125" customWidth="1"/>
    <col min="51" max="51" width="9.81640625" customWidth="1"/>
    <col min="52" max="52" width="2" customWidth="1"/>
    <col min="56" max="56" width="2.1796875" customWidth="1"/>
    <col min="57" max="57" width="9" customWidth="1"/>
    <col min="58" max="59" width="8.1796875" customWidth="1"/>
    <col min="60" max="60" width="8.7265625" customWidth="1"/>
    <col min="61" max="64" width="7.54296875" customWidth="1"/>
    <col min="65" max="66" width="10.26953125" customWidth="1"/>
    <col min="67" max="67" width="9.453125" customWidth="1"/>
    <col min="68" max="68" width="9.54296875" customWidth="1"/>
    <col min="69" max="69" width="10" customWidth="1"/>
    <col min="70" max="70" width="8.7265625" customWidth="1"/>
    <col min="73" max="74" width="9.81640625" customWidth="1"/>
    <col min="75" max="75" width="12.1796875" customWidth="1"/>
    <col min="76" max="76" width="9.1796875" customWidth="1"/>
    <col min="78" max="78" width="7.7265625" customWidth="1"/>
    <col min="79" max="79" width="10.453125" customWidth="1"/>
    <col min="80" max="80" width="12.453125" bestFit="1" customWidth="1"/>
    <col min="81" max="81" width="6.54296875" customWidth="1"/>
    <col min="82" max="82" width="5" customWidth="1"/>
    <col min="83" max="83" width="9.54296875" customWidth="1"/>
    <col min="85" max="85" width="15" customWidth="1"/>
    <col min="86" max="86" width="16.7265625" customWidth="1"/>
    <col min="87" max="87" width="6.1796875" customWidth="1"/>
    <col min="88" max="89" width="7.7265625" customWidth="1"/>
    <col min="90" max="91" width="7.81640625" customWidth="1"/>
    <col min="92" max="92" width="6.26953125" customWidth="1"/>
    <col min="93" max="93" width="9.54296875" customWidth="1"/>
    <col min="94" max="94" width="9.26953125" customWidth="1"/>
    <col min="95" max="95" width="1.81640625" customWidth="1"/>
    <col min="96" max="96" width="8.453125" customWidth="1"/>
    <col min="97" max="98" width="9.54296875" customWidth="1"/>
    <col min="99" max="100" width="8.81640625" customWidth="1"/>
    <col min="101" max="101" width="8.54296875" customWidth="1"/>
    <col min="102" max="102" width="7.54296875" customWidth="1"/>
    <col min="103" max="103" width="9" customWidth="1"/>
    <col min="104" max="104" width="8.81640625" customWidth="1"/>
    <col min="105" max="105" width="10" customWidth="1"/>
    <col min="106" max="106" width="9.54296875" customWidth="1"/>
    <col min="107" max="107" width="1.81640625" customWidth="1"/>
    <col min="108" max="108" width="9.81640625" customWidth="1"/>
    <col min="109" max="109" width="10.453125" customWidth="1"/>
    <col min="110" max="110" width="10.1796875" customWidth="1"/>
    <col min="111" max="111" width="2" customWidth="1"/>
    <col min="113" max="113" width="9.453125" customWidth="1"/>
    <col min="114" max="114" width="10.453125" customWidth="1"/>
    <col min="115" max="115" width="2.1796875" customWidth="1"/>
    <col min="117" max="117" width="8" customWidth="1"/>
    <col min="119" max="119" width="2.26953125" customWidth="1"/>
    <col min="120" max="120" width="6.54296875" customWidth="1"/>
    <col min="121" max="121" width="7.54296875" customWidth="1"/>
    <col min="122" max="122" width="2" customWidth="1"/>
    <col min="123" max="123" width="6.453125" customWidth="1"/>
    <col min="124" max="124" width="7.54296875" customWidth="1"/>
    <col min="125" max="125" width="2.1796875" customWidth="1"/>
    <col min="126" max="128" width="7" customWidth="1"/>
    <col min="129" max="129" width="8.453125" customWidth="1"/>
    <col min="130" max="130" width="2.1796875" customWidth="1"/>
    <col min="131" max="132" width="9.453125" customWidth="1"/>
    <col min="133" max="133" width="9.81640625" customWidth="1"/>
    <col min="134" max="134" width="2" customWidth="1"/>
    <col min="138" max="138" width="2.1796875" customWidth="1"/>
    <col min="139" max="139" width="9" customWidth="1"/>
    <col min="140" max="141" width="8.1796875" customWidth="1"/>
    <col min="142" max="142" width="8.7265625" customWidth="1"/>
    <col min="143" max="146" width="7.54296875" customWidth="1"/>
    <col min="147" max="148" width="10.26953125" customWidth="1"/>
    <col min="149" max="149" width="9.453125" customWidth="1"/>
    <col min="150" max="150" width="9.54296875" customWidth="1"/>
    <col min="151" max="151" width="10" customWidth="1"/>
    <col min="152" max="152" width="8.7265625" customWidth="1"/>
    <col min="155" max="156" width="9.81640625" customWidth="1"/>
    <col min="157" max="157" width="12.1796875" customWidth="1"/>
    <col min="160" max="160" width="7.7265625" customWidth="1"/>
    <col min="161" max="161" width="10.453125" customWidth="1"/>
    <col min="162" max="162" width="12.453125" bestFit="1" customWidth="1"/>
    <col min="163" max="163" width="6.54296875" customWidth="1"/>
    <col min="164" max="164" width="5" customWidth="1"/>
    <col min="165" max="165" width="9.54296875" customWidth="1"/>
    <col min="168" max="168" width="17.453125" customWidth="1"/>
    <col min="169" max="169" width="14.1796875" customWidth="1"/>
  </cols>
  <sheetData>
    <row r="1" spans="2:169" ht="25">
      <c r="B1" s="445" t="s">
        <v>515</v>
      </c>
      <c r="CI1" s="779" t="s">
        <v>823</v>
      </c>
    </row>
    <row r="2" spans="2:169" ht="13" thickBot="1">
      <c r="AW2">
        <f>Vout_ripple</f>
        <v>163.99999999999997</v>
      </c>
      <c r="EA2">
        <f>Vout_ripple</f>
        <v>163.99999999999997</v>
      </c>
    </row>
    <row r="3" spans="2:169" ht="13">
      <c r="E3" s="220" t="s">
        <v>421</v>
      </c>
      <c r="F3" s="540"/>
      <c r="G3" s="540"/>
      <c r="H3" s="540"/>
      <c r="I3" s="540"/>
      <c r="J3" s="221"/>
      <c r="K3" s="222"/>
      <c r="L3" s="524"/>
      <c r="M3" s="524"/>
      <c r="N3" s="947" t="s">
        <v>189</v>
      </c>
      <c r="O3" s="948"/>
      <c r="P3" s="950"/>
      <c r="Q3" s="947"/>
      <c r="R3" s="950"/>
      <c r="S3" s="947"/>
      <c r="T3" s="947"/>
      <c r="U3" s="948"/>
      <c r="V3" s="948"/>
      <c r="W3" s="947"/>
      <c r="X3" s="948"/>
      <c r="Y3" s="947"/>
      <c r="Z3" s="949"/>
      <c r="AA3" s="533"/>
      <c r="AB3" s="533"/>
      <c r="AC3" s="533"/>
      <c r="AD3" s="533"/>
      <c r="AE3" s="533"/>
      <c r="AF3" s="533"/>
      <c r="AG3" s="533"/>
      <c r="AH3" s="533"/>
      <c r="AI3" s="533"/>
      <c r="AJ3" s="533"/>
      <c r="AK3" s="533"/>
      <c r="AL3" s="533"/>
      <c r="AM3" s="533"/>
      <c r="AN3" s="533"/>
      <c r="AO3" s="533"/>
      <c r="AP3" s="533"/>
      <c r="AQ3" s="533"/>
      <c r="AR3" s="533" t="s">
        <v>460</v>
      </c>
      <c r="AS3" s="533"/>
      <c r="AT3" s="533"/>
      <c r="AU3" s="533"/>
      <c r="AV3" s="533"/>
      <c r="AW3" s="533" t="s">
        <v>470</v>
      </c>
      <c r="AX3" s="533" t="s">
        <v>470</v>
      </c>
      <c r="AY3" s="533"/>
      <c r="AZ3" s="533"/>
      <c r="BA3" s="558" t="s">
        <v>471</v>
      </c>
      <c r="BB3" s="533"/>
      <c r="BC3" s="533"/>
      <c r="BD3" s="533"/>
      <c r="BE3" s="558" t="s">
        <v>888</v>
      </c>
      <c r="BF3" s="533"/>
      <c r="BG3" s="533"/>
      <c r="BH3" s="533"/>
      <c r="BI3" s="533"/>
      <c r="BJ3" s="533"/>
      <c r="BK3" s="533"/>
      <c r="BL3" s="533"/>
      <c r="BM3" s="558" t="s">
        <v>489</v>
      </c>
      <c r="BN3" s="533"/>
      <c r="BO3" s="533"/>
      <c r="BP3" s="533"/>
      <c r="BQ3" s="533"/>
      <c r="BR3" s="559" t="s">
        <v>490</v>
      </c>
      <c r="BS3" s="533"/>
      <c r="BT3" s="533"/>
      <c r="BU3" s="533"/>
      <c r="BV3" s="533"/>
      <c r="BW3" s="533"/>
      <c r="BX3" s="533"/>
      <c r="BY3" s="558"/>
      <c r="BZ3" s="533"/>
      <c r="CA3" s="533"/>
      <c r="CB3" s="533"/>
      <c r="CC3" s="533"/>
      <c r="CI3" s="220" t="s">
        <v>421</v>
      </c>
      <c r="CJ3" s="540"/>
      <c r="CK3" s="540"/>
      <c r="CL3" s="540"/>
      <c r="CM3" s="540"/>
      <c r="CN3" s="221"/>
      <c r="CO3" s="222"/>
      <c r="CP3" s="524"/>
      <c r="CQ3" s="524"/>
      <c r="CR3" s="947" t="s">
        <v>189</v>
      </c>
      <c r="CS3" s="948"/>
      <c r="CT3" s="950"/>
      <c r="CU3" s="947"/>
      <c r="CV3" s="950"/>
      <c r="CW3" s="947"/>
      <c r="CX3" s="947"/>
      <c r="CY3" s="948"/>
      <c r="CZ3" s="948"/>
      <c r="DA3" s="947"/>
      <c r="DB3" s="948"/>
      <c r="DC3" s="947"/>
      <c r="DD3" s="949"/>
      <c r="DE3" s="533"/>
      <c r="DF3" s="533"/>
      <c r="DG3" s="533"/>
      <c r="DH3" s="533"/>
      <c r="DI3" s="533"/>
      <c r="DJ3" s="533"/>
      <c r="DK3" s="533"/>
      <c r="DL3" s="533"/>
      <c r="DM3" s="533"/>
      <c r="DN3" s="533"/>
      <c r="DO3" s="533"/>
      <c r="DP3" s="533"/>
      <c r="DQ3" s="533"/>
      <c r="DR3" s="533"/>
      <c r="DS3" s="533"/>
      <c r="DT3" s="533"/>
      <c r="DU3" s="533"/>
      <c r="DV3" s="533" t="s">
        <v>460</v>
      </c>
      <c r="DW3" s="533"/>
      <c r="DX3" s="533"/>
      <c r="DY3" s="533"/>
      <c r="DZ3" s="533"/>
      <c r="EA3" s="533" t="s">
        <v>470</v>
      </c>
      <c r="EB3" s="533" t="s">
        <v>470</v>
      </c>
      <c r="EC3" s="533"/>
      <c r="ED3" s="533"/>
      <c r="EE3" s="558" t="s">
        <v>471</v>
      </c>
      <c r="EF3" s="533"/>
      <c r="EG3" s="533"/>
      <c r="EH3" s="533"/>
      <c r="EI3" s="558" t="s">
        <v>493</v>
      </c>
      <c r="EJ3" s="533"/>
      <c r="EK3" s="533"/>
      <c r="EL3" s="533"/>
      <c r="EM3" s="533"/>
      <c r="EN3" s="533"/>
      <c r="EO3" s="533"/>
      <c r="EP3" s="533"/>
      <c r="EQ3" s="558" t="s">
        <v>489</v>
      </c>
      <c r="ER3" s="533"/>
      <c r="ES3" s="533"/>
      <c r="ET3" s="533"/>
      <c r="EU3" s="533"/>
      <c r="EV3" s="559" t="s">
        <v>490</v>
      </c>
      <c r="EW3" s="533"/>
      <c r="EX3" s="533"/>
      <c r="EY3" s="533"/>
      <c r="EZ3" s="533"/>
      <c r="FA3" s="533"/>
      <c r="FB3" s="533"/>
      <c r="FC3" s="558"/>
      <c r="FD3" s="533"/>
      <c r="FE3" s="533"/>
      <c r="FF3" s="533"/>
      <c r="FG3" s="533"/>
    </row>
    <row r="4" spans="2:169" ht="45" customHeight="1" thickBot="1">
      <c r="E4" s="241" t="s">
        <v>25</v>
      </c>
      <c r="F4" s="602" t="s">
        <v>580</v>
      </c>
      <c r="G4" s="444" t="s">
        <v>579</v>
      </c>
      <c r="H4" s="603" t="s">
        <v>581</v>
      </c>
      <c r="I4" s="604" t="s">
        <v>582</v>
      </c>
      <c r="J4" s="242" t="s">
        <v>412</v>
      </c>
      <c r="K4" s="243" t="s">
        <v>586</v>
      </c>
      <c r="L4" s="605" t="s">
        <v>413</v>
      </c>
      <c r="M4" s="606"/>
      <c r="N4" s="244" t="s">
        <v>48</v>
      </c>
      <c r="O4" s="606" t="s">
        <v>590</v>
      </c>
      <c r="P4" s="606" t="s">
        <v>606</v>
      </c>
      <c r="Q4" s="606" t="s">
        <v>583</v>
      </c>
      <c r="R4" s="606" t="s">
        <v>584</v>
      </c>
      <c r="S4" s="606" t="s">
        <v>585</v>
      </c>
      <c r="T4" s="606" t="s">
        <v>414</v>
      </c>
      <c r="U4" s="606" t="s">
        <v>466</v>
      </c>
      <c r="V4" s="606" t="s">
        <v>465</v>
      </c>
      <c r="W4" s="607" t="s">
        <v>420</v>
      </c>
      <c r="X4" s="608" t="s">
        <v>425</v>
      </c>
      <c r="Z4" s="245" t="s">
        <v>417</v>
      </c>
      <c r="AA4" s="245" t="s">
        <v>464</v>
      </c>
      <c r="AB4" s="245" t="s">
        <v>587</v>
      </c>
      <c r="AC4" s="544"/>
      <c r="AD4" s="245" t="s">
        <v>463</v>
      </c>
      <c r="AE4" s="607" t="s">
        <v>426</v>
      </c>
      <c r="AF4" s="245" t="s">
        <v>588</v>
      </c>
      <c r="AG4" s="544"/>
      <c r="AH4" s="245" t="s">
        <v>429</v>
      </c>
      <c r="AI4" s="547" t="s">
        <v>430</v>
      </c>
      <c r="AJ4" s="547" t="s">
        <v>431</v>
      </c>
      <c r="AL4" s="543" t="s">
        <v>275</v>
      </c>
      <c r="AM4" s="543" t="s">
        <v>432</v>
      </c>
      <c r="AO4" s="245" t="s">
        <v>275</v>
      </c>
      <c r="AP4" s="245" t="s">
        <v>432</v>
      </c>
      <c r="AQ4" s="548"/>
      <c r="AR4" s="245" t="s">
        <v>467</v>
      </c>
      <c r="AS4" s="245" t="s">
        <v>461</v>
      </c>
      <c r="AT4" s="245" t="s">
        <v>462</v>
      </c>
      <c r="AU4" s="245" t="s">
        <v>48</v>
      </c>
      <c r="AV4" s="544"/>
      <c r="AW4" s="245" t="s">
        <v>591</v>
      </c>
      <c r="AX4" s="245" t="s">
        <v>592</v>
      </c>
      <c r="AY4" s="245" t="s">
        <v>514</v>
      </c>
      <c r="AZ4" s="544"/>
      <c r="BA4" s="557" t="s">
        <v>456</v>
      </c>
      <c r="BB4" s="245" t="s">
        <v>599</v>
      </c>
      <c r="BC4" s="245" t="s">
        <v>598</v>
      </c>
      <c r="BD4" s="544"/>
      <c r="BE4" s="557" t="s">
        <v>474</v>
      </c>
      <c r="BF4" s="245" t="s">
        <v>475</v>
      </c>
      <c r="BG4" s="245" t="s">
        <v>473</v>
      </c>
      <c r="BH4" s="245" t="s">
        <v>469</v>
      </c>
      <c r="BI4" s="245" t="s">
        <v>478</v>
      </c>
      <c r="BJ4" s="245" t="s">
        <v>491</v>
      </c>
      <c r="BK4" s="245" t="s">
        <v>776</v>
      </c>
      <c r="BL4" s="245" t="s">
        <v>778</v>
      </c>
      <c r="BM4" s="557" t="s">
        <v>601</v>
      </c>
      <c r="BN4" s="245" t="s">
        <v>600</v>
      </c>
      <c r="BO4" s="245" t="s">
        <v>477</v>
      </c>
      <c r="BP4" s="245" t="s">
        <v>483</v>
      </c>
      <c r="BQ4" s="245" t="s">
        <v>487</v>
      </c>
      <c r="BR4" s="557" t="s">
        <v>458</v>
      </c>
      <c r="BS4" s="245" t="s">
        <v>603</v>
      </c>
      <c r="BT4" s="245" t="s">
        <v>602</v>
      </c>
      <c r="BU4" s="245" t="s">
        <v>468</v>
      </c>
      <c r="BV4" s="245" t="s">
        <v>673</v>
      </c>
      <c r="BW4" s="245" t="s">
        <v>484</v>
      </c>
      <c r="BX4" s="245" t="s">
        <v>667</v>
      </c>
      <c r="BY4" s="557" t="s">
        <v>482</v>
      </c>
      <c r="BZ4" s="245" t="s">
        <v>223</v>
      </c>
      <c r="CA4" s="245" t="s">
        <v>47</v>
      </c>
      <c r="CB4" s="245" t="s">
        <v>485</v>
      </c>
      <c r="CC4" s="245" t="s">
        <v>604</v>
      </c>
      <c r="CE4" s="569" t="s">
        <v>497</v>
      </c>
      <c r="CG4" s="782" t="s">
        <v>829</v>
      </c>
      <c r="CH4" s="783" t="s">
        <v>830</v>
      </c>
      <c r="CI4" s="241" t="s">
        <v>25</v>
      </c>
      <c r="CJ4" s="602" t="s">
        <v>580</v>
      </c>
      <c r="CK4" s="444" t="s">
        <v>579</v>
      </c>
      <c r="CL4" s="603" t="s">
        <v>581</v>
      </c>
      <c r="CM4" s="604" t="s">
        <v>582</v>
      </c>
      <c r="CN4" s="242" t="s">
        <v>412</v>
      </c>
      <c r="CO4" s="243" t="s">
        <v>586</v>
      </c>
      <c r="CP4" s="605" t="s">
        <v>413</v>
      </c>
      <c r="CQ4" s="606"/>
      <c r="CR4" s="244" t="s">
        <v>48</v>
      </c>
      <c r="CS4" s="606" t="s">
        <v>590</v>
      </c>
      <c r="CT4" s="606" t="s">
        <v>606</v>
      </c>
      <c r="CU4" s="606" t="s">
        <v>583</v>
      </c>
      <c r="CV4" s="606" t="s">
        <v>584</v>
      </c>
      <c r="CW4" s="606" t="s">
        <v>585</v>
      </c>
      <c r="CX4" s="606" t="s">
        <v>414</v>
      </c>
      <c r="CY4" s="606" t="s">
        <v>466</v>
      </c>
      <c r="CZ4" s="606" t="s">
        <v>465</v>
      </c>
      <c r="DA4" s="607" t="s">
        <v>420</v>
      </c>
      <c r="DB4" s="608" t="s">
        <v>425</v>
      </c>
      <c r="DD4" s="245" t="s">
        <v>417</v>
      </c>
      <c r="DE4" s="245" t="s">
        <v>464</v>
      </c>
      <c r="DF4" s="245" t="s">
        <v>587</v>
      </c>
      <c r="DG4" s="544"/>
      <c r="DH4" s="245" t="s">
        <v>463</v>
      </c>
      <c r="DI4" s="607" t="s">
        <v>426</v>
      </c>
      <c r="DJ4" s="245" t="s">
        <v>588</v>
      </c>
      <c r="DK4" s="544"/>
      <c r="DL4" s="245" t="s">
        <v>429</v>
      </c>
      <c r="DM4" s="547" t="s">
        <v>430</v>
      </c>
      <c r="DN4" s="547" t="s">
        <v>431</v>
      </c>
      <c r="DP4" s="543" t="s">
        <v>275</v>
      </c>
      <c r="DQ4" s="543" t="s">
        <v>432</v>
      </c>
      <c r="DS4" s="245" t="s">
        <v>275</v>
      </c>
      <c r="DT4" s="245" t="s">
        <v>432</v>
      </c>
      <c r="DU4" s="548"/>
      <c r="DV4" s="245" t="s">
        <v>467</v>
      </c>
      <c r="DW4" s="245" t="s">
        <v>461</v>
      </c>
      <c r="DX4" s="245" t="s">
        <v>462</v>
      </c>
      <c r="DY4" s="245" t="s">
        <v>48</v>
      </c>
      <c r="DZ4" s="544"/>
      <c r="EA4" s="245" t="s">
        <v>591</v>
      </c>
      <c r="EB4" s="245" t="s">
        <v>592</v>
      </c>
      <c r="EC4" s="245" t="s">
        <v>514</v>
      </c>
      <c r="ED4" s="544"/>
      <c r="EE4" s="557" t="s">
        <v>456</v>
      </c>
      <c r="EF4" s="245" t="s">
        <v>599</v>
      </c>
      <c r="EG4" s="245" t="s">
        <v>598</v>
      </c>
      <c r="EH4" s="544"/>
      <c r="EI4" s="557" t="s">
        <v>474</v>
      </c>
      <c r="EJ4" s="245" t="s">
        <v>475</v>
      </c>
      <c r="EK4" s="245" t="s">
        <v>473</v>
      </c>
      <c r="EL4" s="245" t="s">
        <v>469</v>
      </c>
      <c r="EM4" s="245" t="s">
        <v>478</v>
      </c>
      <c r="EN4" s="245" t="s">
        <v>491</v>
      </c>
      <c r="EO4" s="245" t="s">
        <v>776</v>
      </c>
      <c r="EP4" s="245" t="s">
        <v>778</v>
      </c>
      <c r="EQ4" s="557" t="s">
        <v>601</v>
      </c>
      <c r="ER4" s="245" t="s">
        <v>600</v>
      </c>
      <c r="ES4" s="245" t="s">
        <v>477</v>
      </c>
      <c r="ET4" s="245" t="s">
        <v>483</v>
      </c>
      <c r="EU4" s="245" t="s">
        <v>487</v>
      </c>
      <c r="EV4" s="557" t="s">
        <v>458</v>
      </c>
      <c r="EW4" s="245" t="s">
        <v>603</v>
      </c>
      <c r="EX4" s="245" t="s">
        <v>602</v>
      </c>
      <c r="EY4" s="245" t="s">
        <v>468</v>
      </c>
      <c r="EZ4" s="245" t="s">
        <v>673</v>
      </c>
      <c r="FA4" s="245" t="s">
        <v>484</v>
      </c>
      <c r="FB4" s="245" t="s">
        <v>486</v>
      </c>
      <c r="FC4" s="557" t="s">
        <v>482</v>
      </c>
      <c r="FD4" s="245" t="s">
        <v>223</v>
      </c>
      <c r="FE4" s="245" t="s">
        <v>47</v>
      </c>
      <c r="FF4" s="245" t="s">
        <v>485</v>
      </c>
      <c r="FG4" s="245" t="s">
        <v>604</v>
      </c>
      <c r="FI4" s="569" t="s">
        <v>497</v>
      </c>
      <c r="FL4" s="782" t="s">
        <v>876</v>
      </c>
      <c r="FM4" s="782" t="s">
        <v>875</v>
      </c>
    </row>
    <row r="5" spans="2:169">
      <c r="E5" s="170">
        <v>0.1</v>
      </c>
      <c r="F5" s="217">
        <v>1.0000000000000001E-9</v>
      </c>
      <c r="G5" s="217">
        <v>1.0000000000000001E-9</v>
      </c>
      <c r="H5" s="217">
        <f t="shared" ref="H5:H36" si="0">F5*Vout</f>
        <v>1.6399999999999998E-8</v>
      </c>
      <c r="I5" s="217">
        <f>G5*Vout2</f>
        <v>8.0000000000000005E-9</v>
      </c>
      <c r="J5" s="541">
        <f t="shared" ref="J5:J36" si="1">Vin-(F5/CG5/Nps+G5/CH5/(Nps/Nsec1sec2))*(Rdcr_pri+RON/1000)</f>
        <v>23.999977361585287</v>
      </c>
      <c r="K5" s="443">
        <f t="shared" ref="K5:K36" si="2">MAX((S5+Vfwd2+Rdcr_sec*F5/CG5)*Nps,(Vout2+Vfwd22+Rdcr_sec2*G5/CH5)*Nps/Nsec1sec2)</f>
        <v>17.100007937253931</v>
      </c>
      <c r="L5" s="172">
        <f t="shared" ref="L5:L36" si="3">MAX((Vout+Vfwd2+F5/CG5*Rdcr_sec)*Nps+J5, (Vout2+Vfwd22+G5/CH5*Rdcr_sec2)*Nps/Nsec1sec2+J5)</f>
        <v>41.099985298839215</v>
      </c>
      <c r="M5" s="443"/>
      <c r="N5" s="217">
        <f t="shared" ref="N5:N36" si="4">MAX((Vout+Vfwd2+F5/CG5*Rdcr_sec)*Nps/((Vout+Vfwd2+F5/CG5*Rdcr_sec)*Nps+J5), (Vout2+Vfwd22+G5/CH5*Rdcr_sec2)*Nps/Nsec1sec2/((Vout2+Vfwd22+G5/CH5*Rdcr_sec2)*Nps/Nsec1sec2+J5))</f>
        <v>0.41605873610219724</v>
      </c>
      <c r="O5" s="172">
        <f>N5*J5*Isw_max*0.5*Efficiency*(Pout/Pout_total)</f>
        <v>33.284667491808399</v>
      </c>
      <c r="P5" s="172">
        <f t="shared" ref="P5:P36" si="5">N5*J5*Isw_max*0.5*Efficiency*(Pout2/Pout_total)</f>
        <v>4.0591057916839519</v>
      </c>
      <c r="Q5" s="217">
        <f t="shared" ref="Q5:Q68" si="6">O5/Vout</f>
        <v>2.0295528958419755</v>
      </c>
      <c r="R5" s="217">
        <f t="shared" ref="R5:R36" si="7">O5/Vout2</f>
        <v>4.1605834364760499</v>
      </c>
      <c r="S5" s="443">
        <f t="shared" ref="S5:S36" si="8">MIN(Vout,O5/F5)</f>
        <v>16.399999999999999</v>
      </c>
      <c r="T5" s="217">
        <f t="shared" ref="T5:T36" si="9">MIN(2*(Vout*F5+Vout2*G5)/(Efficiency*J5*N5), Isw_max)</f>
        <v>4.8871350962631705E-9</v>
      </c>
      <c r="U5" s="217">
        <f t="shared" ref="U5:U68" si="10">L*T5/J5*1000000</f>
        <v>2.4435698530710731E-9</v>
      </c>
      <c r="V5" s="217">
        <f t="shared" ref="V5:V68" si="11">L*T5/K5*1000000</f>
        <v>3.4295668967143104E-9</v>
      </c>
      <c r="W5" s="197">
        <f t="shared" ref="W5:W68" si="12">IF(1/((350000*L)*(1/J5+1/K5))&gt;Isw_min, 350, 0.001/((Isw_min*L)*(1/J5+1/K5)))</f>
        <v>350</v>
      </c>
      <c r="X5" s="443">
        <f>MIN(1/(U5+V5+0.2)*1000, 350)</f>
        <v>350</v>
      </c>
      <c r="Z5" s="217">
        <f t="shared" ref="Z5:Z68" si="13">1/((W5*1000*L)*(1/J5+1/K5))</f>
        <v>2.3774762494148858</v>
      </c>
      <c r="AA5" s="173">
        <f t="shared" ref="AA5:AA68" si="14">L*Z5/K5*1000000</f>
        <v>1.6684036111365794</v>
      </c>
      <c r="AB5" s="173">
        <f t="shared" ref="AB5:AB36" si="15">0.5*AA5*Z5*Nps*W5/1000*(Pout/Pout_total)</f>
        <v>0.69415324298516812</v>
      </c>
      <c r="AC5" s="173"/>
      <c r="AD5" s="173">
        <f t="shared" ref="AD5:AD68" si="16">L*Isw_min/K5*1000000</f>
        <v>0.93567208031187743</v>
      </c>
      <c r="AE5" s="545">
        <f t="shared" ref="AE5:AE36" si="17">MAX(10, F5/(0.5*AD5/1000000*Isw_min*Nps)/1000*Pout_total/Pout)</f>
        <v>10</v>
      </c>
      <c r="AF5" s="528">
        <f t="shared" ref="AF5:AF36" si="18">0.5*AD5/1000000*Isw_min*Nps*W5*1000*(Pout/Pout_total)</f>
        <v>0.21832348540610474</v>
      </c>
      <c r="AH5" s="173">
        <f t="shared" ref="AH5:AH36" si="19">SQRT((H5+I5)/(0.5*L*Fsw_DCM))</f>
        <v>1.0779168622415932E-4</v>
      </c>
      <c r="AI5" s="173">
        <f t="shared" ref="AI5:AI36" si="20">MAX(IF(F5&gt;AB5,T5,AH5),Isw_min)</f>
        <v>1.3333333333333335</v>
      </c>
      <c r="AJ5" s="173">
        <f t="shared" ref="AJ5:AJ36" si="21">IF(F5&gt;AF5, (AI5-Isw_min)/1.08*0.8+1.2, AE5*0.2/350+1)</f>
        <v>1.0057142857142858</v>
      </c>
      <c r="AL5" s="545">
        <f t="shared" ref="AL5:AL36" si="22">F5*1000</f>
        <v>1.0000000000000002E-6</v>
      </c>
      <c r="AM5" s="460">
        <f t="shared" ref="AM5:AM36" si="23">IF(F5&gt;AF5, X5, AE5)</f>
        <v>10</v>
      </c>
      <c r="AO5">
        <f>IF(H5&gt;O5, "",AL5)</f>
        <v>1.0000000000000002E-6</v>
      </c>
      <c r="AP5" s="460">
        <f t="shared" ref="AP5:AP68" si="24">IF(H5&gt;O5, "",AM5)</f>
        <v>10</v>
      </c>
      <c r="AQ5" s="460"/>
      <c r="AR5" s="5">
        <f>1/AM5*1000</f>
        <v>100</v>
      </c>
      <c r="AS5" s="5">
        <f t="shared" ref="AS5:AS68" si="25">L*AI5/J5*1000000</f>
        <v>0.66666729551211312</v>
      </c>
      <c r="AT5" s="5">
        <f>AR5-AS5</f>
        <v>99.333332704487887</v>
      </c>
      <c r="AU5" s="173">
        <f>AS5/AR5</f>
        <v>6.6666729551211308E-3</v>
      </c>
      <c r="AW5" s="5">
        <f t="shared" ref="AW5:AW36" si="26">F5*AS5/Vout_ripple*1000</f>
        <v>4.0650444848299588E-9</v>
      </c>
      <c r="AX5" s="5">
        <f t="shared" ref="AX5:AX36" si="27">G5*AS5/Vout_ripple2*1000</f>
        <v>8.3333411939014162E-9</v>
      </c>
      <c r="AY5" s="5">
        <f t="shared" ref="AY5:AY68" si="28">H5/Efficiency/J5*AT5/Vinripple1</f>
        <v>5.6564867812511244E-8</v>
      </c>
      <c r="AZ5" s="5"/>
      <c r="BA5" s="173">
        <f>AI5*SQRT(AU5/3)</f>
        <v>6.2853965749522539E-2</v>
      </c>
      <c r="BB5" s="173">
        <f t="shared" ref="BB5:BB36" si="29">AI5*Npri_sec1*SQRT((1-AU5)/3)*(Pout/Pout_total)</f>
        <v>0.7672300643106672</v>
      </c>
      <c r="BC5" s="173">
        <f t="shared" ref="BC5:BC36" si="30">AI5*Npri_sec2*SQRT((1-AU5)/3)*(Pout2/Pout_total)</f>
        <v>0.18823004447220096</v>
      </c>
      <c r="BD5" s="173"/>
      <c r="BE5" s="528">
        <f t="shared" ref="BE5:BE68" si="31">Rdson*BA5^2</f>
        <v>7.9012420208843045E-5</v>
      </c>
      <c r="BF5" s="528">
        <f t="shared" ref="BF5:BF36" si="32">0.5*L5*AI5*AM5*1000*Tfall</f>
        <v>1.0274996324709804E-2</v>
      </c>
      <c r="BG5" s="528">
        <f t="shared" ref="BG5:BG36" si="33">Qg*Vdd*AM5*1000*0+Qg*J5*AM5*1000</f>
        <v>5.9999943403963221E-3</v>
      </c>
      <c r="BH5" s="528">
        <f t="shared" ref="BH5:BH68" si="34">0.5*(Coss+Csw)*L5^2*AM5*1000</f>
        <v>1.6892087915647996E-3</v>
      </c>
      <c r="BI5">
        <f t="shared" ref="BI5:BI68" si="35">J5*IQ</f>
        <v>1.0799989812713379E-2</v>
      </c>
      <c r="BJ5" s="460">
        <f>(BG5+BI5)*1000</f>
        <v>16.799984153109701</v>
      </c>
      <c r="BK5">
        <f t="shared" ref="BK5:BK36" si="36">(BF5+BG5*0+BH5+BI5*0+BE5*(1+RdsonTC*(Ta-25)))/(1-BE5*RdsonTC*ThetaJA)</f>
        <v>1.2064777386240944E-2</v>
      </c>
      <c r="BL5" s="460">
        <f>BK5*1000</f>
        <v>12.064777386240944</v>
      </c>
      <c r="BM5" s="173">
        <f t="shared" ref="BM5:BM36" si="37">Vfwd2*F5*(1+Diode_TC/1000*(Ta-25))</f>
        <v>6.212499999999999E-10</v>
      </c>
      <c r="BN5" s="173">
        <f t="shared" ref="BN5:BN36" si="38">Vfwd22*G5*(1+Diode_TC/1000*(Ta-25))</f>
        <v>4.4374999999999999E-10</v>
      </c>
      <c r="BO5" s="528"/>
      <c r="BQ5" s="460">
        <f>SUM(BM5:BP5)*1000</f>
        <v>1.065E-6</v>
      </c>
      <c r="BR5" s="528">
        <f t="shared" ref="BR5:BR68" si="39">Rdcr_pri*BA5^2</f>
        <v>1.1851863031326456E-4</v>
      </c>
      <c r="BS5" s="528">
        <f>Rdcr_sec*BB5^2</f>
        <v>1.7659259147464513E-2</v>
      </c>
      <c r="BT5" s="528">
        <f t="shared" ref="BT5:BT36" si="40">Rdcr_sec2*BC5^2</f>
        <v>1.7715274821003375E-4</v>
      </c>
      <c r="BU5" s="528">
        <f t="shared" ref="BU5:BU68" si="41">AI5^2.5*AM5^2.5*k_core</f>
        <v>3.2457633037343212E-5</v>
      </c>
      <c r="BV5" s="528">
        <f t="shared" ref="BV5:BV36" si="42">(BU5+(BR5+BS5+BT5)*(1+Ltc*(Ta-25)))/(1-(BR5+BS5+BT5)*Ltc*ThetaCa)</f>
        <v>2.2328644225727227E-2</v>
      </c>
      <c r="BW5" s="625">
        <f t="shared" ref="BW5:BW36" si="43">0.5*Lleak*0.000000001*AI5^2*AM5*1000</f>
        <v>8.8888888888888907E-5</v>
      </c>
      <c r="BX5" s="460">
        <f>(BV5+BW5)*1000</f>
        <v>22.417533114616116</v>
      </c>
      <c r="BY5" s="173">
        <f>SUM(BK5,BM5:BP5,BV5:BW5)</f>
        <v>3.4482311565857057E-2</v>
      </c>
      <c r="BZ5" s="5">
        <f>MIN(H5+I5,O5+P5)</f>
        <v>2.44E-8</v>
      </c>
      <c r="CA5" s="173">
        <f>BZ5/(BZ5+BY5)</f>
        <v>7.0760867315253361E-7</v>
      </c>
      <c r="CB5" s="5">
        <f>CA5*100</f>
        <v>7.0760867315253356E-5</v>
      </c>
      <c r="CC5">
        <v>0</v>
      </c>
      <c r="CE5" s="562">
        <f t="shared" ref="CE5:CE36" si="44">IF(ABS(F5-Ioutmax_Vinnom)&lt;Iout/200, AM5, -50)</f>
        <v>-50</v>
      </c>
      <c r="CF5">
        <f t="shared" ref="CF5:CF36" si="45">IF(ABS(F5-Ioutmax_Vinnom)&lt;Iout/200, (O5+P5)*CA5, -50)</f>
        <v>-50</v>
      </c>
      <c r="CG5" s="173">
        <f t="shared" ref="CG5:CG36" si="46">MIN(SQRT(2*DT5*1000*Ls1_*(CL5+CJ5*Vfwd1))/(CW5+Vfwd1), 1-DY5)</f>
        <v>3.7796447300922728E-6</v>
      </c>
      <c r="CH5" s="173">
        <f t="shared" ref="CH5:CH36" si="47">MIN(SQRT(2*DT5*1000*Ls2_*(CM5+CK5*Vfwd22))/(Vout2+Vfwd22), 1-DY5)</f>
        <v>2.6413075533651972E-6</v>
      </c>
      <c r="CI5" s="170">
        <v>0.1</v>
      </c>
      <c r="CJ5" s="217">
        <v>1.0000000000000001E-9</v>
      </c>
      <c r="CK5" s="217">
        <v>1.0000000000000001E-9</v>
      </c>
      <c r="CL5" s="217">
        <f t="shared" ref="CL5:CL68" si="48">CJ5*Vout</f>
        <v>1.6399999999999998E-8</v>
      </c>
      <c r="CM5" s="217">
        <f>CK5*Vout2</f>
        <v>8.0000000000000005E-9</v>
      </c>
      <c r="CN5" s="541">
        <f>Vin</f>
        <v>24</v>
      </c>
      <c r="CO5" s="443">
        <f t="shared" ref="CO5:CO36" si="49">(CW5+Vfwd2)*Nps</f>
        <v>17.099999999999998</v>
      </c>
      <c r="CP5" s="443">
        <f t="shared" ref="CP5:CP36" si="50">(Vout+Vfwd2)*Nps+CN5</f>
        <v>41.099999999999994</v>
      </c>
      <c r="CQ5" s="443"/>
      <c r="CR5" s="217">
        <f>(Vout+Vfwd2)*Nps/((Vout+Vfwd2)*Nps+CN5)</f>
        <v>0.41605839416058393</v>
      </c>
      <c r="CS5" s="172">
        <f>CR5*CN5*Isw_max*0.5*Efficiency*(Pout/Pout_total)</f>
        <v>33.284671532846716</v>
      </c>
      <c r="CT5" s="172">
        <f t="shared" ref="CT5:CT68" si="51">CR5*CN5*Isw_max*0.5*Efficiency*(Pout2/Pout_total)</f>
        <v>4.0591062844935024</v>
      </c>
      <c r="CU5" s="217">
        <f t="shared" ref="CU5:CU68" si="52">CS5/Vout</f>
        <v>2.0295531422467512</v>
      </c>
      <c r="CV5" s="217">
        <f t="shared" ref="CV5:CV68" si="53">CS5/Vout2</f>
        <v>4.1605839416058394</v>
      </c>
      <c r="CW5" s="443">
        <f t="shared" ref="CW5:CW68" si="54">MIN(Vout,CS5/CJ5)</f>
        <v>16.399999999999999</v>
      </c>
      <c r="CX5" s="217">
        <f t="shared" ref="CX5:CX68" si="55">MIN(2*(Vout*CJ5+Vout2*CK5)/(Efficiency*CN5*CR5), Isw_max)</f>
        <v>4.8871345029239768E-9</v>
      </c>
      <c r="CY5" s="217">
        <f t="shared" ref="CY5:CY68" si="56">L*CX5/CN5*1000000</f>
        <v>2.4435672514619884E-9</v>
      </c>
      <c r="CZ5" s="217">
        <f t="shared" ref="CZ5:CZ68" si="57">L*CX5/CO5*1000000</f>
        <v>3.429568072227353E-9</v>
      </c>
      <c r="DA5" s="197">
        <f t="shared" ref="DA5:DA68" si="58">IF(1/((350000*L)*(1/CN5+1/CO5))&gt;Isw_min, 350, 0.001/((Isw_min*L)*(1/CN5+1/CO5)))</f>
        <v>350</v>
      </c>
      <c r="DB5" s="443">
        <f>MIN(1/(CY5+CZ5)*1000, 350)</f>
        <v>350</v>
      </c>
      <c r="DD5" s="217">
        <f t="shared" ref="DD5:DD68" si="59">1/((DA5*1000*L)*(1/CN5+1/CO5))</f>
        <v>2.377476538060479</v>
      </c>
      <c r="DE5" s="173">
        <f t="shared" ref="DE5:DE68" si="60">L*DD5/CO5*1000000</f>
        <v>1.668404588112617</v>
      </c>
      <c r="DF5" s="173">
        <f t="shared" ref="DF5:DF68" si="61">0.5*DE5*DD5*Nps*DA5/1000*(Pout/Pout_total)</f>
        <v>0.69415373374028577</v>
      </c>
      <c r="DG5" s="173"/>
      <c r="DH5" s="173">
        <f t="shared" ref="DH5:DH68" si="62">L*Isw_min/CO5*1000000</f>
        <v>0.93567251461988332</v>
      </c>
      <c r="DI5" s="545">
        <f t="shared" ref="DI5:DI68" si="63">MAX(10, CJ5/(0.5*DH5/1000000*Isw_min*Nps)/1000*Pout_total/Pout)</f>
        <v>10</v>
      </c>
      <c r="DJ5" s="528">
        <f t="shared" ref="DJ5:DJ68" si="64">0.5*DH5/1000000*Isw_min*Nps*DA5*1000*(Pout/Pout_total)</f>
        <v>0.21832358674463945</v>
      </c>
      <c r="DL5" s="173">
        <f t="shared" ref="DL5:DL68" si="65">SQRT((CL5+CM5)/(0.5*L*Fsw_DCM))</f>
        <v>1.0779168622415932E-4</v>
      </c>
      <c r="DM5" s="173">
        <f t="shared" ref="DM5:DM68" si="66">MAX(IF(CJ5&gt;DF5,CX5,DL5),Isw_min)</f>
        <v>1.3333333333333335</v>
      </c>
      <c r="DN5" s="173">
        <f t="shared" ref="DN5:DN68" si="67">IF(CJ5&gt;DJ5, (DM5-Isw_min)/1.08*0.8+1.2, DI5*0.2/350+1)</f>
        <v>1.0057142857142858</v>
      </c>
      <c r="DP5" s="545">
        <f t="shared" ref="DP5:DP68" si="68">CJ5*1000</f>
        <v>1.0000000000000002E-6</v>
      </c>
      <c r="DQ5" s="460">
        <f t="shared" ref="DQ5:DQ68" si="69">IF(CJ5&gt;DJ5, DB5, DI5)</f>
        <v>10</v>
      </c>
      <c r="DS5">
        <f>IF(CL5&gt;CS5, "",DP5)</f>
        <v>1.0000000000000002E-6</v>
      </c>
      <c r="DT5" s="460">
        <f t="shared" ref="DT5:DT68" si="70">IF(CL5&gt;CS5, "",DQ5)</f>
        <v>10</v>
      </c>
      <c r="DU5" s="460"/>
      <c r="DV5" s="5">
        <f>1/DQ5*1000</f>
        <v>100</v>
      </c>
      <c r="DW5" s="5">
        <f t="shared" ref="DW5:DW68" si="71">L*DM5/CN5*1000000</f>
        <v>0.66666666666666685</v>
      </c>
      <c r="DX5" s="5">
        <f>DV5-DW5</f>
        <v>99.333333333333329</v>
      </c>
      <c r="DY5" s="173">
        <f>DW5/DV5</f>
        <v>6.6666666666666688E-3</v>
      </c>
      <c r="EA5" s="5">
        <f t="shared" ref="EA5:EA68" si="72">CJ5*DW5/Vout_ripple*1000</f>
        <v>4.0650406504065064E-9</v>
      </c>
      <c r="EB5" s="5">
        <f t="shared" ref="EB5:EB68" si="73">CK5*DW5/Vout_ripple2*1000</f>
        <v>8.3333333333333352E-9</v>
      </c>
      <c r="EC5" s="5">
        <f t="shared" ref="EC5:EC68" si="74">CL5/Efficiency/CN5*DX5/Vinripple1</f>
        <v>5.6564814814814796E-8</v>
      </c>
      <c r="ED5" s="5"/>
      <c r="EE5" s="173">
        <f>DM5*SQRT(DY5/3)</f>
        <v>6.2853936105470909E-2</v>
      </c>
      <c r="EF5" s="173">
        <f t="shared" ref="EF5:EF68" si="75">DM5*Npri_sec1*SQRT((1-DY5)/3)*(Pout/Pout_total)</f>
        <v>0.76723006673920302</v>
      </c>
      <c r="EG5" s="173">
        <f t="shared" ref="EG5:EG68" si="76">DM5*Npri_sec2*SQRT((1-DY5)/3)*(Pout2/Pout_total)</f>
        <v>0.18823004506801105</v>
      </c>
      <c r="EH5" s="173"/>
      <c r="EI5" s="528">
        <f t="shared" ref="EI5:EI68" si="77">Rdson*EE5^2</f>
        <v>7.9012345679012387E-5</v>
      </c>
      <c r="EJ5" s="528">
        <f t="shared" ref="EJ5:EJ68" si="78">0.5*CP5*DM5*DQ5*1000*Trise</f>
        <v>1.0960000000000001E-2</v>
      </c>
      <c r="EK5" s="528">
        <f t="shared" ref="EK5:EK68" si="79">Qg*Vdd*DQ5*1000</f>
        <v>1.2499999999999998E-3</v>
      </c>
      <c r="EL5" s="528">
        <f t="shared" ref="EL5:EL68" si="80">0.5*(Coss+Csw)*CP5^2*DQ5*1000</f>
        <v>1.6892099999999996E-3</v>
      </c>
      <c r="EM5">
        <f t="shared" ref="EM5:EM68" si="81">CN5*IQ</f>
        <v>1.0800000000000001E-2</v>
      </c>
      <c r="EN5" s="460">
        <f>(EK5+EM5)*1000</f>
        <v>12.05</v>
      </c>
      <c r="EO5">
        <f t="shared" ref="EO5:EO68" si="82">(EJ5+EK5+EL5+EM5+EI5*(1+RdsonTC*(Ta-25)))/(1-EI5*RdsonTC*ThetaJA)</f>
        <v>2.4800021258078096E-2</v>
      </c>
      <c r="EP5" s="460">
        <f>EO5*1000</f>
        <v>24.800021258078097</v>
      </c>
      <c r="EQ5" s="173">
        <f t="shared" ref="EQ5:EQ68" si="83">Vfwd2*CJ5*(1+Diode_TC/1000*(Ta-25))</f>
        <v>6.212499999999999E-10</v>
      </c>
      <c r="ER5" s="173">
        <f t="shared" ref="ER5:ER36" si="84">Vfwd22*CK5*(1+Diode_TC/1000*(Ta-25))</f>
        <v>4.4374999999999999E-10</v>
      </c>
      <c r="ES5" s="528"/>
      <c r="EU5" s="460">
        <f>SUM(EQ5:ET5)*1000</f>
        <v>1.065E-6</v>
      </c>
      <c r="EV5" s="528">
        <f t="shared" ref="EV5:EV68" si="85">Rdcr_pri*EE5^2</f>
        <v>1.1851851851851857E-4</v>
      </c>
      <c r="EW5" s="528">
        <f>Rdcr_sec*EF5^2</f>
        <v>1.7659259259259256E-2</v>
      </c>
      <c r="EX5" s="528">
        <f t="shared" ref="EX5:EX68" si="86">Rdcr_sec2*EG5^2</f>
        <v>1.7715274933152736E-4</v>
      </c>
      <c r="EY5" s="528">
        <f t="shared" ref="EY5:EY68" si="87">DM5^2.5*DQ5^2.5*k_core</f>
        <v>3.2457633037343212E-5</v>
      </c>
      <c r="EZ5" s="528">
        <f t="shared" ref="EZ5:EZ68" si="88">(EY5+(EV5+EW5+EX5)*(1+Ltc*(Ta-25)))/(1-(EV5+EW5+EX5)*Ltc*ThetaCa)</f>
        <v>2.2328644227121879E-2</v>
      </c>
      <c r="FA5" s="625">
        <f t="shared" ref="FA5:FA68" si="89">0.5*Lleak*0.000000001*DM5^2*DQ5*1000</f>
        <v>8.8888888888888907E-5</v>
      </c>
      <c r="FB5" s="460">
        <f>(EZ5+FA5)*1000</f>
        <v>22.417533116010766</v>
      </c>
      <c r="FC5" s="173">
        <f>SUM(EO5,EQ5:ET5,EZ5:FA5)</f>
        <v>4.7217555439088857E-2</v>
      </c>
      <c r="FD5" s="5">
        <f>MIN(CL5+CM5,CS5+CT5)</f>
        <v>2.44E-8</v>
      </c>
      <c r="FE5" s="173">
        <f>FD5/(FD5+FC5)</f>
        <v>5.1675668433562057E-7</v>
      </c>
      <c r="FF5" s="5">
        <f>FE5*100</f>
        <v>5.1675668433562057E-5</v>
      </c>
      <c r="FG5">
        <v>0</v>
      </c>
      <c r="FI5" s="562">
        <f t="shared" ref="FI5:FI68" si="90">IF(ABS(CJ5-Ioutmax_Vinnom)&lt;Iout/200, DQ5, -50)</f>
        <v>-50</v>
      </c>
      <c r="FJ5">
        <f t="shared" ref="FJ5:FJ68" si="91">IF(ABS(CJ5-Ioutmax_Vinnom)&lt;Iout/200, (CS5+CT5)*FE5, -50)</f>
        <v>-50</v>
      </c>
      <c r="FL5">
        <f t="shared" ref="FL5:FL68" si="92">MIN(SQRT(2*DQ5*1000*L*CJ5*(Vout+Vfwd1))/(Nps*(Vout+Vfwd1)),1-DY5)</f>
        <v>3.7796447300922728E-6</v>
      </c>
      <c r="FM5">
        <f>MIN(,)</f>
        <v>0</v>
      </c>
    </row>
    <row r="6" spans="2:169">
      <c r="E6" s="170">
        <v>1</v>
      </c>
      <c r="F6" s="217">
        <f>IF(PLOT_TYPE=1, E6/100*Iout, min_I*EXP(O6*rr/100))</f>
        <v>0.01</v>
      </c>
      <c r="G6" s="217">
        <f t="shared" ref="G6:G37" si="93">IF(PLOT_TYPE=1, E6/100*Iout2, min_I*EXP(Q6*rr/100))</f>
        <v>2.5000000000000001E-3</v>
      </c>
      <c r="H6" s="217">
        <f t="shared" si="0"/>
        <v>0.16399999999999998</v>
      </c>
      <c r="I6" s="217">
        <f>G6*Vout2</f>
        <v>0.02</v>
      </c>
      <c r="J6" s="541">
        <f t="shared" si="1"/>
        <v>23.955209755049875</v>
      </c>
      <c r="K6" s="443">
        <f t="shared" si="2"/>
        <v>17.119823785111333</v>
      </c>
      <c r="L6" s="172">
        <f t="shared" si="3"/>
        <v>41.075033540161208</v>
      </c>
      <c r="M6" s="443"/>
      <c r="N6" s="217">
        <f t="shared" si="4"/>
        <v>0.41679390884422252</v>
      </c>
      <c r="O6" s="172">
        <f t="shared" ref="O6:O37" si="94">N6*J6*Isw_max*0.5*Efficiency*Pout/(Pout+Pout2)</f>
        <v>29.663754054392026</v>
      </c>
      <c r="P6" s="172">
        <f t="shared" si="5"/>
        <v>4.0586932971506045</v>
      </c>
      <c r="Q6" s="217">
        <f t="shared" si="6"/>
        <v>1.8087654911214652</v>
      </c>
      <c r="R6" s="217">
        <f t="shared" si="7"/>
        <v>3.7079692567990032</v>
      </c>
      <c r="S6" s="443">
        <f t="shared" si="8"/>
        <v>16.399999999999999</v>
      </c>
      <c r="T6" s="217">
        <f t="shared" si="9"/>
        <v>3.6857551182786115E-2</v>
      </c>
      <c r="U6" s="217">
        <f t="shared" si="10"/>
        <v>1.8463232788024173E-2</v>
      </c>
      <c r="V6" s="217">
        <f t="shared" si="11"/>
        <v>2.5834998055183377E-2</v>
      </c>
      <c r="W6" s="197">
        <f t="shared" si="12"/>
        <v>350</v>
      </c>
      <c r="X6" s="443">
        <f t="shared" ref="X6:X69" si="95">MIN(1/(U6+V6+0.2)*1000, 350)</f>
        <v>350</v>
      </c>
      <c r="Z6" s="217">
        <f t="shared" si="13"/>
        <v>2.3772346454739255</v>
      </c>
      <c r="AA6" s="173">
        <f t="shared" si="14"/>
        <v>1.6663031175879355</v>
      </c>
      <c r="AB6" s="173">
        <f t="shared" si="15"/>
        <v>0.69320886267346915</v>
      </c>
      <c r="AC6" s="173"/>
      <c r="AD6" s="173">
        <f t="shared" si="16"/>
        <v>0.93458905890811728</v>
      </c>
      <c r="AE6" s="545">
        <f t="shared" si="17"/>
        <v>16.04983479854187</v>
      </c>
      <c r="AF6" s="528">
        <f t="shared" si="18"/>
        <v>0.21807078041189407</v>
      </c>
      <c r="AH6" s="173">
        <f t="shared" si="19"/>
        <v>0.29600514796038191</v>
      </c>
      <c r="AI6" s="173">
        <f t="shared" si="20"/>
        <v>1.3333333333333335</v>
      </c>
      <c r="AJ6" s="173">
        <f t="shared" si="21"/>
        <v>1.0091713341705955</v>
      </c>
      <c r="AL6" s="545">
        <f t="shared" si="22"/>
        <v>10</v>
      </c>
      <c r="AM6" s="460">
        <f t="shared" si="23"/>
        <v>16.04983479854187</v>
      </c>
      <c r="AO6">
        <f t="shared" ref="AO6:AO69" si="96">IF(H6&gt;O6, "",AL6)</f>
        <v>10</v>
      </c>
      <c r="AP6" s="460">
        <f t="shared" si="24"/>
        <v>16.04983479854187</v>
      </c>
      <c r="AQ6" s="460"/>
      <c r="AR6" s="5">
        <f t="shared" ref="AR6:AR69" si="97">1/AM6*1000</f>
        <v>62.305937260541157</v>
      </c>
      <c r="AS6" s="5">
        <f t="shared" si="25"/>
        <v>0.66791316643040977</v>
      </c>
      <c r="AT6" s="5">
        <f t="shared" ref="AT6:AT69" si="98">AR6-AS6</f>
        <v>61.638024094110747</v>
      </c>
      <c r="AU6" s="173">
        <f t="shared" ref="AU6:AU69" si="99">AS6/AR6</f>
        <v>1.0719895980979079E-2</v>
      </c>
      <c r="AW6" s="5">
        <f t="shared" si="26"/>
        <v>4.0726412587220116E-2</v>
      </c>
      <c r="AX6" s="5">
        <f t="shared" si="27"/>
        <v>2.0872286450950305E-2</v>
      </c>
      <c r="AY6" s="5">
        <f t="shared" si="28"/>
        <v>0.35165057534451388</v>
      </c>
      <c r="AZ6" s="5"/>
      <c r="BA6" s="173">
        <f t="shared" ref="BA6:BA69" si="100">AI6*SQRT(AU6/3)</f>
        <v>7.9702766273770626E-2</v>
      </c>
      <c r="BB6" s="173">
        <f t="shared" si="29"/>
        <v>0.76566315154962328</v>
      </c>
      <c r="BC6" s="173">
        <f t="shared" si="30"/>
        <v>0.18784562254660769</v>
      </c>
      <c r="BD6" s="173"/>
      <c r="BE6" s="528">
        <f t="shared" si="31"/>
        <v>1.2705061903382618E-4</v>
      </c>
      <c r="BF6" s="528">
        <f t="shared" si="32"/>
        <v>1.6481187566603845E-2</v>
      </c>
      <c r="BG6" s="528">
        <f t="shared" si="33"/>
        <v>9.6119289783242277E-3</v>
      </c>
      <c r="BH6" s="528">
        <f t="shared" si="34"/>
        <v>2.7078613283197631E-3</v>
      </c>
      <c r="BI6">
        <f t="shared" si="35"/>
        <v>1.0779844389772444E-2</v>
      </c>
      <c r="BJ6" s="460">
        <f t="shared" ref="BJ6:BJ69" si="101">(BG6+BI6)*1000</f>
        <v>20.391773368096672</v>
      </c>
      <c r="BK6">
        <f t="shared" si="36"/>
        <v>1.9350987333745479E-2</v>
      </c>
      <c r="BL6" s="460">
        <f t="shared" ref="BL6:BL69" si="102">BK6*1000</f>
        <v>19.350987333745479</v>
      </c>
      <c r="BM6" s="173">
        <f t="shared" si="37"/>
        <v>6.2124999999999993E-3</v>
      </c>
      <c r="BN6" s="173">
        <f t="shared" si="38"/>
        <v>1.1093749999999999E-3</v>
      </c>
      <c r="BO6" s="528"/>
      <c r="BQ6" s="460">
        <f t="shared" ref="BQ6:BQ69" si="103">SUM(BM6:BP6)*1000</f>
        <v>7.3218749999999995</v>
      </c>
      <c r="BR6" s="528">
        <f t="shared" si="39"/>
        <v>1.9057592855073924E-4</v>
      </c>
      <c r="BS6" s="528">
        <f t="shared" ref="BS6:BS68" si="104">Rdcr_sec*BB6^2</f>
        <v>1.758720184922704E-2</v>
      </c>
      <c r="BT6" s="528">
        <f t="shared" si="40"/>
        <v>1.7642988954961303E-4</v>
      </c>
      <c r="BU6" s="528">
        <f t="shared" si="41"/>
        <v>1.0592372917838019E-4</v>
      </c>
      <c r="BV6" s="528">
        <f t="shared" si="42"/>
        <v>2.240131706855799E-2</v>
      </c>
      <c r="BW6" s="625">
        <f t="shared" si="43"/>
        <v>1.4266519820926109E-4</v>
      </c>
      <c r="BX6" s="460">
        <f t="shared" ref="BX6:BX69" si="105">(BV6+BW6)*1000</f>
        <v>22.543982266767252</v>
      </c>
      <c r="BY6" s="173">
        <f t="shared" ref="BY6:BY69" si="106">SUM(BK6,BM6:BP6,BV6:BW6)</f>
        <v>4.9216844600512726E-2</v>
      </c>
      <c r="BZ6" s="5">
        <f t="shared" ref="BZ6:BZ69" si="107">MIN(H6+I6,O6+P6)</f>
        <v>0.18399999999999997</v>
      </c>
      <c r="CA6" s="173">
        <f t="shared" ref="CA6:CA69" si="108">BZ6/(BZ6+BY6)</f>
        <v>0.78896530958208266</v>
      </c>
      <c r="CB6" s="5">
        <f t="shared" ref="CB6:CB69" si="109">CA6*100</f>
        <v>78.89653095820826</v>
      </c>
      <c r="CC6">
        <f t="shared" ref="CC6:CC37" si="110">F6/Iout*100</f>
        <v>1</v>
      </c>
      <c r="CE6" s="562">
        <f t="shared" si="44"/>
        <v>-50</v>
      </c>
      <c r="CF6">
        <f t="shared" si="45"/>
        <v>-50</v>
      </c>
      <c r="CG6" s="173">
        <f t="shared" si="46"/>
        <v>1.5133335955527356E-2</v>
      </c>
      <c r="CH6" s="173">
        <f t="shared" si="47"/>
        <v>5.2877713940552946E-3</v>
      </c>
      <c r="CI6" s="170">
        <v>1</v>
      </c>
      <c r="CJ6" s="217">
        <f>IF(PLOT_TYPE=1, CI6/100*Iout, min_I*EXP(CS6*rr/100))</f>
        <v>0.01</v>
      </c>
      <c r="CK6" s="217">
        <f t="shared" ref="CK6:CK69" si="111">IF(PLOT_TYPE=1, CI6/100*Iout2, min_I*EXP(CU6*rr/100))</f>
        <v>2.5000000000000001E-3</v>
      </c>
      <c r="CL6" s="217">
        <f t="shared" si="48"/>
        <v>0.16399999999999998</v>
      </c>
      <c r="CM6" s="217">
        <f>CK6*Vout2</f>
        <v>0.02</v>
      </c>
      <c r="CN6" s="541">
        <f t="shared" ref="CN6:CN69" si="112">Vin</f>
        <v>24</v>
      </c>
      <c r="CO6" s="443">
        <f t="shared" si="49"/>
        <v>17.099999999999998</v>
      </c>
      <c r="CP6" s="443">
        <f t="shared" si="50"/>
        <v>41.099999999999994</v>
      </c>
      <c r="CQ6" s="443"/>
      <c r="CR6" s="217">
        <f t="shared" ref="CR6:CR68" si="113">(Vout+Vfwd1)*Nps/((Vout+Vfwd1)*Nps+CN6)</f>
        <v>0.41176470588235292</v>
      </c>
      <c r="CS6" s="172">
        <f t="shared" ref="CS6:CS69" si="114">CR6*CN6*Isw_max*0.5*Efficiency*Pout/(Pout+Pout2)</f>
        <v>29.36061381074169</v>
      </c>
      <c r="CT6" s="172">
        <f t="shared" si="51"/>
        <v>4.0172166427546641</v>
      </c>
      <c r="CU6" s="217">
        <f t="shared" si="52"/>
        <v>1.7902813299232738</v>
      </c>
      <c r="CV6" s="217">
        <f t="shared" si="53"/>
        <v>3.6700767263427112</v>
      </c>
      <c r="CW6" s="443">
        <f t="shared" si="54"/>
        <v>16.399999999999999</v>
      </c>
      <c r="CX6" s="217">
        <f t="shared" si="55"/>
        <v>3.723809523809523E-2</v>
      </c>
      <c r="CY6" s="217">
        <f t="shared" si="56"/>
        <v>1.8619047619047615E-2</v>
      </c>
      <c r="CZ6" s="217">
        <f t="shared" si="57"/>
        <v>2.6131996658312447E-2</v>
      </c>
      <c r="DA6" s="197">
        <f t="shared" si="58"/>
        <v>350</v>
      </c>
      <c r="DB6" s="443">
        <f t="shared" ref="DB6:DB69" si="115">MIN(1/(CY6+CZ6)*1000, 350)</f>
        <v>350</v>
      </c>
      <c r="DD6" s="217">
        <f t="shared" si="59"/>
        <v>2.377476538060479</v>
      </c>
      <c r="DE6" s="173">
        <f t="shared" si="60"/>
        <v>1.668404588112617</v>
      </c>
      <c r="DF6" s="173">
        <f t="shared" si="61"/>
        <v>0.69415373374028577</v>
      </c>
      <c r="DG6" s="173"/>
      <c r="DH6" s="173">
        <f t="shared" si="62"/>
        <v>0.93567251461988332</v>
      </c>
      <c r="DI6" s="545">
        <f t="shared" si="63"/>
        <v>16.031249999999993</v>
      </c>
      <c r="DJ6" s="528">
        <f t="shared" si="64"/>
        <v>0.21832358674463945</v>
      </c>
      <c r="DL6" s="173">
        <f t="shared" si="65"/>
        <v>0.29600514796038191</v>
      </c>
      <c r="DM6" s="173">
        <f t="shared" si="66"/>
        <v>1.3333333333333335</v>
      </c>
      <c r="DN6" s="173">
        <f t="shared" si="67"/>
        <v>1.0091607142857142</v>
      </c>
      <c r="DP6" s="545">
        <f t="shared" si="68"/>
        <v>10</v>
      </c>
      <c r="DQ6" s="460">
        <f t="shared" si="69"/>
        <v>16.031249999999993</v>
      </c>
      <c r="DS6">
        <f t="shared" ref="DS6:DS69" si="116">IF(CL6&gt;CS6, "",DP6)</f>
        <v>10</v>
      </c>
      <c r="DT6" s="460">
        <f t="shared" si="70"/>
        <v>16.031249999999993</v>
      </c>
      <c r="DU6" s="460"/>
      <c r="DV6" s="5">
        <f t="shared" ref="DV6:DV69" si="117">1/DQ6*1000</f>
        <v>62.378167641325561</v>
      </c>
      <c r="DW6" s="5">
        <f t="shared" si="71"/>
        <v>0.66666666666666685</v>
      </c>
      <c r="DX6" s="5">
        <f t="shared" ref="DX6:DX69" si="118">DV6-DW6</f>
        <v>61.711500974658897</v>
      </c>
      <c r="DY6" s="173">
        <f t="shared" ref="DY6:DY69" si="119">DW6/DV6</f>
        <v>1.0687499999999999E-2</v>
      </c>
      <c r="EA6" s="5">
        <f t="shared" si="72"/>
        <v>4.0650406504065061E-2</v>
      </c>
      <c r="EB6" s="5">
        <f t="shared" si="73"/>
        <v>2.0833333333333339E-2</v>
      </c>
      <c r="EC6" s="5">
        <f t="shared" si="74"/>
        <v>0.35141271388347423</v>
      </c>
      <c r="ED6" s="5"/>
      <c r="EE6" s="173">
        <f t="shared" ref="EE6:EE69" si="120">DM6*SQRT(DY6/3)</f>
        <v>7.9582242575422152E-2</v>
      </c>
      <c r="EF6" s="173">
        <f t="shared" si="75"/>
        <v>0.76567568804243702</v>
      </c>
      <c r="EG6" s="173">
        <f t="shared" si="76"/>
        <v>0.18784869821414163</v>
      </c>
      <c r="EH6" s="173"/>
      <c r="EI6" s="528">
        <f t="shared" si="77"/>
        <v>1.2666666666666669E-4</v>
      </c>
      <c r="EJ6" s="528">
        <f t="shared" si="78"/>
        <v>1.7570249999999992E-2</v>
      </c>
      <c r="EK6" s="528">
        <f t="shared" si="79"/>
        <v>2.0039062499999992E-3</v>
      </c>
      <c r="EL6" s="528">
        <f t="shared" si="80"/>
        <v>2.7080147812499982E-3</v>
      </c>
      <c r="EM6">
        <f t="shared" si="81"/>
        <v>1.0800000000000001E-2</v>
      </c>
      <c r="EN6" s="460">
        <f t="shared" ref="EN6:EN69" si="121">(EK6+EM6)*1000</f>
        <v>12.803906250000001</v>
      </c>
      <c r="EO6">
        <f t="shared" si="82"/>
        <v>3.3244038210490642E-2</v>
      </c>
      <c r="EP6" s="460">
        <f t="shared" ref="EP6:EP69" si="122">EO6*1000</f>
        <v>33.244038210490643</v>
      </c>
      <c r="EQ6" s="173">
        <f t="shared" si="83"/>
        <v>6.2124999999999993E-3</v>
      </c>
      <c r="ER6" s="173">
        <f t="shared" si="84"/>
        <v>1.1093749999999999E-3</v>
      </c>
      <c r="ES6" s="528"/>
      <c r="EU6" s="460">
        <f t="shared" ref="EU6:EU69" si="123">SUM(EQ6:ET6)*1000</f>
        <v>7.3218749999999995</v>
      </c>
      <c r="EV6" s="528">
        <f t="shared" si="85"/>
        <v>1.9000000000000001E-4</v>
      </c>
      <c r="EW6" s="528">
        <f t="shared" ref="EW6:EW69" si="124">Rdcr_sec*EF6^2</f>
        <v>1.7587777777777782E-2</v>
      </c>
      <c r="EX6" s="528">
        <f t="shared" si="86"/>
        <v>1.7643566710373829E-4</v>
      </c>
      <c r="EY6" s="528">
        <f t="shared" si="87"/>
        <v>1.0561736124657163E-4</v>
      </c>
      <c r="EZ6" s="528">
        <f t="shared" si="88"/>
        <v>2.2401017444786557E-2</v>
      </c>
      <c r="FA6" s="625">
        <f t="shared" si="89"/>
        <v>1.4249999999999997E-4</v>
      </c>
      <c r="FB6" s="460">
        <f t="shared" ref="FB6:FB69" si="125">(EZ6+FA6)*1000</f>
        <v>22.543517444786556</v>
      </c>
      <c r="FC6" s="173">
        <f t="shared" ref="FC6:FC69" si="126">SUM(EO6,EQ6:ET6,EZ6:FA6)</f>
        <v>6.3109430655277202E-2</v>
      </c>
      <c r="FD6" s="5">
        <f t="shared" ref="FD6:FD69" si="127">MIN(CL6+CM6,CS6+CT6)</f>
        <v>0.18399999999999997</v>
      </c>
      <c r="FE6" s="173">
        <f t="shared" ref="FE6:FE69" si="128">FD6/(FD6+FC6)</f>
        <v>0.74460938019271228</v>
      </c>
      <c r="FF6" s="5">
        <f t="shared" ref="FF6:FF69" si="129">FE6*100</f>
        <v>74.460938019271225</v>
      </c>
      <c r="FG6">
        <f t="shared" ref="FG6:FG69" si="130">CJ6/Iout*100</f>
        <v>1</v>
      </c>
      <c r="FI6" s="562">
        <f t="shared" si="90"/>
        <v>-50</v>
      </c>
      <c r="FJ6">
        <f t="shared" si="91"/>
        <v>-50</v>
      </c>
      <c r="FL6">
        <f t="shared" si="92"/>
        <v>1.5133335955527356E-2</v>
      </c>
    </row>
    <row r="7" spans="2:169">
      <c r="E7" s="170">
        <v>2</v>
      </c>
      <c r="F7" s="217">
        <f>IF(PLOT_TYPE=1, E7/100*Iout, min_I*EXP(O7*rr/100))</f>
        <v>0.02</v>
      </c>
      <c r="G7" s="217">
        <f t="shared" si="93"/>
        <v>5.0000000000000001E-3</v>
      </c>
      <c r="H7" s="217">
        <f t="shared" si="0"/>
        <v>0.32799999999999996</v>
      </c>
      <c r="I7" s="217">
        <f>G7*Vout2</f>
        <v>0.04</v>
      </c>
      <c r="J7" s="541">
        <f t="shared" si="1"/>
        <v>23.955209755049875</v>
      </c>
      <c r="K7" s="443">
        <f t="shared" si="2"/>
        <v>17.119823785111333</v>
      </c>
      <c r="L7" s="172">
        <f t="shared" si="3"/>
        <v>41.075033540161208</v>
      </c>
      <c r="M7" s="443"/>
      <c r="N7" s="217">
        <f t="shared" si="4"/>
        <v>0.41679390884422252</v>
      </c>
      <c r="O7" s="172">
        <f t="shared" si="94"/>
        <v>29.663754054392026</v>
      </c>
      <c r="P7" s="172">
        <f t="shared" si="5"/>
        <v>4.0586932971506045</v>
      </c>
      <c r="Q7" s="217">
        <f t="shared" si="6"/>
        <v>1.8087654911214652</v>
      </c>
      <c r="R7" s="217">
        <f t="shared" si="7"/>
        <v>3.7079692567990032</v>
      </c>
      <c r="S7" s="443">
        <f t="shared" si="8"/>
        <v>16.399999999999999</v>
      </c>
      <c r="T7" s="217">
        <f t="shared" si="9"/>
        <v>7.371510236557223E-2</v>
      </c>
      <c r="U7" s="217">
        <f t="shared" si="10"/>
        <v>3.6926465576048347E-2</v>
      </c>
      <c r="V7" s="217">
        <f t="shared" si="11"/>
        <v>5.1669996110366753E-2</v>
      </c>
      <c r="W7" s="197">
        <f t="shared" si="12"/>
        <v>350</v>
      </c>
      <c r="X7" s="443">
        <f t="shared" si="95"/>
        <v>350</v>
      </c>
      <c r="Z7" s="217">
        <f t="shared" si="13"/>
        <v>2.3772346454739255</v>
      </c>
      <c r="AA7" s="173">
        <f t="shared" si="14"/>
        <v>1.6663031175879355</v>
      </c>
      <c r="AB7" s="173">
        <f t="shared" si="15"/>
        <v>0.69320886267346915</v>
      </c>
      <c r="AC7" s="173"/>
      <c r="AD7" s="173">
        <f t="shared" si="16"/>
        <v>0.93458905890811728</v>
      </c>
      <c r="AE7" s="545">
        <f t="shared" si="17"/>
        <v>32.099669597083739</v>
      </c>
      <c r="AF7" s="528">
        <f t="shared" si="18"/>
        <v>0.21807078041189407</v>
      </c>
      <c r="AH7" s="173">
        <f t="shared" si="19"/>
        <v>0.41861449477782681</v>
      </c>
      <c r="AI7" s="173">
        <f t="shared" si="20"/>
        <v>1.3333333333333335</v>
      </c>
      <c r="AJ7" s="173">
        <f t="shared" si="21"/>
        <v>1.0183426683411907</v>
      </c>
      <c r="AL7" s="545">
        <f t="shared" si="22"/>
        <v>20</v>
      </c>
      <c r="AM7" s="460">
        <f t="shared" si="23"/>
        <v>32.099669597083739</v>
      </c>
      <c r="AO7">
        <f t="shared" si="96"/>
        <v>20</v>
      </c>
      <c r="AP7" s="460">
        <f t="shared" si="24"/>
        <v>32.099669597083739</v>
      </c>
      <c r="AQ7" s="460"/>
      <c r="AR7" s="5">
        <f t="shared" si="97"/>
        <v>31.152968630270578</v>
      </c>
      <c r="AS7" s="5">
        <f t="shared" si="25"/>
        <v>0.66791316643040977</v>
      </c>
      <c r="AT7" s="5">
        <f t="shared" si="98"/>
        <v>30.485055463840169</v>
      </c>
      <c r="AU7" s="173">
        <f t="shared" si="99"/>
        <v>2.1439791961958159E-2</v>
      </c>
      <c r="AW7" s="5">
        <f t="shared" si="26"/>
        <v>8.1452825174440233E-2</v>
      </c>
      <c r="AX7" s="5">
        <f t="shared" si="27"/>
        <v>4.174457290190061E-2</v>
      </c>
      <c r="AY7" s="5">
        <f t="shared" si="28"/>
        <v>0.34784006952919411</v>
      </c>
      <c r="AZ7" s="5"/>
      <c r="BA7" s="173">
        <f t="shared" si="100"/>
        <v>0.11271673302301934</v>
      </c>
      <c r="BB7" s="173">
        <f t="shared" si="29"/>
        <v>0.76150346728640061</v>
      </c>
      <c r="BC7" s="173">
        <f t="shared" si="30"/>
        <v>0.18682509742607531</v>
      </c>
      <c r="BD7" s="173"/>
      <c r="BE7" s="528">
        <f t="shared" si="31"/>
        <v>2.5410123806765236E-4</v>
      </c>
      <c r="BF7" s="528">
        <f t="shared" si="32"/>
        <v>3.296237513320769E-2</v>
      </c>
      <c r="BG7" s="528">
        <f t="shared" si="33"/>
        <v>1.9223857956648455E-2</v>
      </c>
      <c r="BH7" s="528">
        <f t="shared" si="34"/>
        <v>5.4157226566395262E-3</v>
      </c>
      <c r="BI7">
        <f t="shared" si="35"/>
        <v>1.0779844389772444E-2</v>
      </c>
      <c r="BJ7" s="460">
        <f t="shared" si="101"/>
        <v>30.003702346420898</v>
      </c>
      <c r="BK7">
        <f t="shared" si="36"/>
        <v>3.8703143043328836E-2</v>
      </c>
      <c r="BL7" s="460">
        <f t="shared" si="102"/>
        <v>38.703143043328836</v>
      </c>
      <c r="BM7" s="173">
        <f t="shared" si="37"/>
        <v>1.2424999999999999E-2</v>
      </c>
      <c r="BN7" s="173">
        <f t="shared" si="38"/>
        <v>2.2187499999999998E-3</v>
      </c>
      <c r="BO7" s="528"/>
      <c r="BQ7" s="460">
        <f t="shared" si="103"/>
        <v>14.643749999999999</v>
      </c>
      <c r="BR7" s="528">
        <f t="shared" si="39"/>
        <v>3.8115185710147848E-4</v>
      </c>
      <c r="BS7" s="528">
        <f t="shared" si="104"/>
        <v>1.7396625920676305E-2</v>
      </c>
      <c r="BT7" s="528">
        <f t="shared" si="40"/>
        <v>1.7451808514131265E-4</v>
      </c>
      <c r="BU7" s="528">
        <f t="shared" si="41"/>
        <v>5.9919509752480015E-4</v>
      </c>
      <c r="BV7" s="528">
        <f t="shared" si="42"/>
        <v>2.289292040596802E-2</v>
      </c>
      <c r="BW7" s="625">
        <f t="shared" si="43"/>
        <v>2.8533039641852217E-4</v>
      </c>
      <c r="BX7" s="460">
        <f t="shared" si="105"/>
        <v>23.178250802386543</v>
      </c>
      <c r="BY7" s="173">
        <f t="shared" si="106"/>
        <v>7.6525143845715377E-2</v>
      </c>
      <c r="BZ7" s="5">
        <f t="shared" si="107"/>
        <v>0.36799999999999994</v>
      </c>
      <c r="CA7" s="173">
        <f t="shared" si="108"/>
        <v>0.82784968430880146</v>
      </c>
      <c r="CB7" s="5">
        <f t="shared" si="109"/>
        <v>82.784968430880141</v>
      </c>
      <c r="CC7">
        <f t="shared" si="110"/>
        <v>2</v>
      </c>
      <c r="CE7" s="562">
        <f t="shared" si="44"/>
        <v>-50</v>
      </c>
      <c r="CF7">
        <f t="shared" si="45"/>
        <v>-50</v>
      </c>
      <c r="CG7" s="173">
        <f t="shared" si="46"/>
        <v>3.0266671911054713E-2</v>
      </c>
      <c r="CH7" s="173">
        <f t="shared" si="47"/>
        <v>1.0575542788110589E-2</v>
      </c>
      <c r="CI7" s="170">
        <v>2</v>
      </c>
      <c r="CJ7" s="217">
        <f>IF(PLOT_TYPE=1, CI7/100*Iout, min_I*EXP(CS7*rr/100))</f>
        <v>0.02</v>
      </c>
      <c r="CK7" s="217">
        <f t="shared" si="111"/>
        <v>5.0000000000000001E-3</v>
      </c>
      <c r="CL7" s="217">
        <f t="shared" si="48"/>
        <v>0.32799999999999996</v>
      </c>
      <c r="CM7" s="217">
        <f>CK7*Vout2</f>
        <v>0.04</v>
      </c>
      <c r="CN7" s="541">
        <f t="shared" si="112"/>
        <v>24</v>
      </c>
      <c r="CO7" s="443">
        <f t="shared" si="49"/>
        <v>17.099999999999998</v>
      </c>
      <c r="CP7" s="443">
        <f t="shared" si="50"/>
        <v>41.099999999999994</v>
      </c>
      <c r="CQ7" s="443"/>
      <c r="CR7" s="217">
        <f t="shared" si="113"/>
        <v>0.41176470588235292</v>
      </c>
      <c r="CS7" s="172">
        <f t="shared" si="114"/>
        <v>29.36061381074169</v>
      </c>
      <c r="CT7" s="172">
        <f t="shared" si="51"/>
        <v>4.0172166427546641</v>
      </c>
      <c r="CU7" s="217">
        <f t="shared" si="52"/>
        <v>1.7902813299232738</v>
      </c>
      <c r="CV7" s="217">
        <f t="shared" si="53"/>
        <v>3.6700767263427112</v>
      </c>
      <c r="CW7" s="443">
        <f t="shared" si="54"/>
        <v>16.399999999999999</v>
      </c>
      <c r="CX7" s="217">
        <f t="shared" si="55"/>
        <v>7.447619047619046E-2</v>
      </c>
      <c r="CY7" s="217">
        <f t="shared" si="56"/>
        <v>3.723809523809523E-2</v>
      </c>
      <c r="CZ7" s="217">
        <f t="shared" si="57"/>
        <v>5.2263993316624895E-2</v>
      </c>
      <c r="DA7" s="197">
        <f t="shared" si="58"/>
        <v>350</v>
      </c>
      <c r="DB7" s="443">
        <f t="shared" si="115"/>
        <v>350</v>
      </c>
      <c r="DD7" s="217">
        <f t="shared" si="59"/>
        <v>2.377476538060479</v>
      </c>
      <c r="DE7" s="173">
        <f t="shared" si="60"/>
        <v>1.668404588112617</v>
      </c>
      <c r="DF7" s="173">
        <f t="shared" si="61"/>
        <v>0.69415373374028577</v>
      </c>
      <c r="DG7" s="173"/>
      <c r="DH7" s="173">
        <f t="shared" si="62"/>
        <v>0.93567251461988332</v>
      </c>
      <c r="DI7" s="545">
        <f t="shared" si="63"/>
        <v>32.062499999999986</v>
      </c>
      <c r="DJ7" s="528">
        <f t="shared" si="64"/>
        <v>0.21832358674463945</v>
      </c>
      <c r="DL7" s="173">
        <f t="shared" si="65"/>
        <v>0.41861449477782681</v>
      </c>
      <c r="DM7" s="173">
        <f t="shared" si="66"/>
        <v>1.3333333333333335</v>
      </c>
      <c r="DN7" s="173">
        <f t="shared" si="67"/>
        <v>1.0183214285714286</v>
      </c>
      <c r="DP7" s="545">
        <f t="shared" si="68"/>
        <v>20</v>
      </c>
      <c r="DQ7" s="460">
        <f t="shared" si="69"/>
        <v>32.062499999999986</v>
      </c>
      <c r="DS7">
        <f t="shared" si="116"/>
        <v>20</v>
      </c>
      <c r="DT7" s="460">
        <f t="shared" si="70"/>
        <v>32.062499999999986</v>
      </c>
      <c r="DU7" s="460"/>
      <c r="DV7" s="5">
        <f t="shared" si="117"/>
        <v>31.189083820662781</v>
      </c>
      <c r="DW7" s="5">
        <f t="shared" si="71"/>
        <v>0.66666666666666685</v>
      </c>
      <c r="DX7" s="5">
        <f t="shared" si="118"/>
        <v>30.522417153996113</v>
      </c>
      <c r="DY7" s="173">
        <f t="shared" si="119"/>
        <v>2.1374999999999998E-2</v>
      </c>
      <c r="EA7" s="5">
        <f t="shared" si="72"/>
        <v>8.1300813008130121E-2</v>
      </c>
      <c r="EB7" s="5">
        <f t="shared" si="73"/>
        <v>4.1666666666666678E-2</v>
      </c>
      <c r="EC7" s="5">
        <f t="shared" si="74"/>
        <v>0.34761641758717787</v>
      </c>
      <c r="ED7" s="5"/>
      <c r="EE7" s="173">
        <f t="shared" si="120"/>
        <v>0.11254628677422757</v>
      </c>
      <c r="EF7" s="173">
        <f t="shared" si="75"/>
        <v>0.76152867702137528</v>
      </c>
      <c r="EG7" s="173">
        <f t="shared" si="76"/>
        <v>0.18683128231083954</v>
      </c>
      <c r="EH7" s="173"/>
      <c r="EI7" s="528">
        <f t="shared" si="77"/>
        <v>2.5333333333333344E-4</v>
      </c>
      <c r="EJ7" s="528">
        <f t="shared" si="78"/>
        <v>3.5140499999999984E-2</v>
      </c>
      <c r="EK7" s="528">
        <f t="shared" si="79"/>
        <v>4.0078124999999984E-3</v>
      </c>
      <c r="EL7" s="528">
        <f t="shared" si="80"/>
        <v>5.4160295624999964E-3</v>
      </c>
      <c r="EM7">
        <f t="shared" si="81"/>
        <v>1.0800000000000001E-2</v>
      </c>
      <c r="EN7" s="460">
        <f t="shared" si="121"/>
        <v>14.807812499999999</v>
      </c>
      <c r="EO7">
        <f t="shared" si="82"/>
        <v>5.5689427453850603E-2</v>
      </c>
      <c r="EP7" s="460">
        <f t="shared" si="122"/>
        <v>55.689427453850605</v>
      </c>
      <c r="EQ7" s="173">
        <f t="shared" si="83"/>
        <v>1.2424999999999999E-2</v>
      </c>
      <c r="ER7" s="173">
        <f t="shared" si="84"/>
        <v>2.2187499999999998E-3</v>
      </c>
      <c r="ES7" s="528"/>
      <c r="EU7" s="460">
        <f t="shared" si="123"/>
        <v>14.643749999999999</v>
      </c>
      <c r="EV7" s="528">
        <f t="shared" si="85"/>
        <v>3.8000000000000013E-4</v>
      </c>
      <c r="EW7" s="528">
        <f t="shared" si="124"/>
        <v>1.7397777777777783E-2</v>
      </c>
      <c r="EX7" s="528">
        <f t="shared" si="86"/>
        <v>1.7452964024956312E-4</v>
      </c>
      <c r="EY7" s="528">
        <f t="shared" si="87"/>
        <v>5.9746201878784118E-4</v>
      </c>
      <c r="EZ7" s="528">
        <f t="shared" si="88"/>
        <v>2.2891199204765053E-2</v>
      </c>
      <c r="FA7" s="625">
        <f t="shared" si="89"/>
        <v>2.8499999999999993E-4</v>
      </c>
      <c r="FB7" s="460">
        <f t="shared" si="125"/>
        <v>23.176199204765055</v>
      </c>
      <c r="FC7" s="173">
        <f t="shared" si="126"/>
        <v>9.3509376658615653E-2</v>
      </c>
      <c r="FD7" s="5">
        <f t="shared" si="127"/>
        <v>0.36799999999999994</v>
      </c>
      <c r="FE7" s="173">
        <f t="shared" si="128"/>
        <v>0.79738358224564154</v>
      </c>
      <c r="FF7" s="5">
        <f t="shared" si="129"/>
        <v>79.738358224564152</v>
      </c>
      <c r="FG7">
        <f t="shared" si="130"/>
        <v>2</v>
      </c>
      <c r="FI7" s="562">
        <f t="shared" si="90"/>
        <v>-50</v>
      </c>
      <c r="FJ7">
        <f t="shared" si="91"/>
        <v>-50</v>
      </c>
      <c r="FL7">
        <f t="shared" si="92"/>
        <v>3.0266671911054713E-2</v>
      </c>
    </row>
    <row r="8" spans="2:169">
      <c r="E8" s="170">
        <v>3</v>
      </c>
      <c r="F8" s="217">
        <f t="shared" ref="F8:F39" si="131">IF(PLOT_TYPE=1, E8/100*Iout_max, min_I*EXP(O8*rr/100))</f>
        <v>0.03</v>
      </c>
      <c r="G8" s="217">
        <f t="shared" si="93"/>
        <v>7.4999999999999997E-3</v>
      </c>
      <c r="H8" s="217">
        <f t="shared" si="0"/>
        <v>0.49199999999999994</v>
      </c>
      <c r="I8" s="217">
        <f t="shared" ref="I8:I39" si="132">Vout2*G8</f>
        <v>0.06</v>
      </c>
      <c r="J8" s="541">
        <f t="shared" si="1"/>
        <v>23.955209755049875</v>
      </c>
      <c r="K8" s="443">
        <f t="shared" si="2"/>
        <v>17.119823785111333</v>
      </c>
      <c r="L8" s="172">
        <f t="shared" si="3"/>
        <v>41.075033540161208</v>
      </c>
      <c r="M8" s="443"/>
      <c r="N8" s="217">
        <f t="shared" si="4"/>
        <v>0.41679390884422252</v>
      </c>
      <c r="O8" s="172">
        <f t="shared" si="94"/>
        <v>29.663754054392026</v>
      </c>
      <c r="P8" s="172">
        <f t="shared" si="5"/>
        <v>4.0586932971506045</v>
      </c>
      <c r="Q8" s="217">
        <f t="shared" si="6"/>
        <v>1.8087654911214652</v>
      </c>
      <c r="R8" s="217">
        <f t="shared" si="7"/>
        <v>3.7079692567990032</v>
      </c>
      <c r="S8" s="443">
        <f t="shared" si="8"/>
        <v>16.399999999999999</v>
      </c>
      <c r="T8" s="217">
        <f t="shared" si="9"/>
        <v>0.11057265354835834</v>
      </c>
      <c r="U8" s="217">
        <f t="shared" si="10"/>
        <v>5.5389698364072516E-2</v>
      </c>
      <c r="V8" s="217">
        <f t="shared" si="11"/>
        <v>7.7504994165550123E-2</v>
      </c>
      <c r="W8" s="197">
        <f t="shared" si="12"/>
        <v>350</v>
      </c>
      <c r="X8" s="443">
        <f t="shared" si="95"/>
        <v>350</v>
      </c>
      <c r="Z8" s="217">
        <f t="shared" si="13"/>
        <v>2.3772346454739255</v>
      </c>
      <c r="AA8" s="173">
        <f t="shared" si="14"/>
        <v>1.6663031175879355</v>
      </c>
      <c r="AB8" s="173">
        <f t="shared" si="15"/>
        <v>0.69320886267346915</v>
      </c>
      <c r="AC8" s="173"/>
      <c r="AD8" s="173">
        <f t="shared" si="16"/>
        <v>0.93458905890811728</v>
      </c>
      <c r="AE8" s="545">
        <f t="shared" si="17"/>
        <v>48.149504395625605</v>
      </c>
      <c r="AF8" s="528">
        <f t="shared" si="18"/>
        <v>0.21807078041189407</v>
      </c>
      <c r="AH8" s="173">
        <f t="shared" si="19"/>
        <v>0.51269595556932457</v>
      </c>
      <c r="AI8" s="173">
        <f t="shared" si="20"/>
        <v>1.3333333333333335</v>
      </c>
      <c r="AJ8" s="173">
        <f t="shared" si="21"/>
        <v>1.0275140025117862</v>
      </c>
      <c r="AL8" s="545">
        <f t="shared" si="22"/>
        <v>30</v>
      </c>
      <c r="AM8" s="460">
        <f t="shared" si="23"/>
        <v>48.149504395625605</v>
      </c>
      <c r="AO8">
        <f t="shared" si="96"/>
        <v>30</v>
      </c>
      <c r="AP8" s="460">
        <f t="shared" si="24"/>
        <v>48.149504395625605</v>
      </c>
      <c r="AQ8" s="460"/>
      <c r="AR8" s="5">
        <f t="shared" si="97"/>
        <v>20.768645753513724</v>
      </c>
      <c r="AS8" s="5">
        <f t="shared" si="25"/>
        <v>0.66791316643040977</v>
      </c>
      <c r="AT8" s="5">
        <f t="shared" si="98"/>
        <v>20.100732587083314</v>
      </c>
      <c r="AU8" s="173">
        <f t="shared" si="99"/>
        <v>3.2159687942937228E-2</v>
      </c>
      <c r="AW8" s="5">
        <f t="shared" si="26"/>
        <v>0.12217923776166033</v>
      </c>
      <c r="AX8" s="5">
        <f t="shared" si="27"/>
        <v>6.2616859352850912E-2</v>
      </c>
      <c r="AY8" s="5">
        <f t="shared" si="28"/>
        <v>0.34402956371387439</v>
      </c>
      <c r="AZ8" s="5"/>
      <c r="BA8" s="173">
        <f t="shared" si="100"/>
        <v>0.13804924068995786</v>
      </c>
      <c r="BB8" s="173">
        <f t="shared" si="29"/>
        <v>0.75732093575809645</v>
      </c>
      <c r="BC8" s="173">
        <f t="shared" si="30"/>
        <v>0.18579896702243109</v>
      </c>
      <c r="BD8" s="173"/>
      <c r="BE8" s="528">
        <f t="shared" si="31"/>
        <v>3.8115185710147832E-4</v>
      </c>
      <c r="BF8" s="528">
        <f t="shared" si="32"/>
        <v>4.9443562699811532E-2</v>
      </c>
      <c r="BG8" s="528">
        <f t="shared" si="33"/>
        <v>2.8835786934972681E-2</v>
      </c>
      <c r="BH8" s="528">
        <f t="shared" si="34"/>
        <v>8.1235839849592897E-3</v>
      </c>
      <c r="BI8">
        <f t="shared" si="35"/>
        <v>1.0779844389772444E-2</v>
      </c>
      <c r="BJ8" s="460">
        <f t="shared" si="101"/>
        <v>39.615631324745124</v>
      </c>
      <c r="BK8">
        <f t="shared" si="36"/>
        <v>5.8056467234569739E-2</v>
      </c>
      <c r="BL8" s="460">
        <f t="shared" si="102"/>
        <v>58.056467234569737</v>
      </c>
      <c r="BM8" s="173">
        <f t="shared" si="37"/>
        <v>1.8637499999999998E-2</v>
      </c>
      <c r="BN8" s="173">
        <f t="shared" si="38"/>
        <v>3.3281249999999999E-3</v>
      </c>
      <c r="BO8" s="528"/>
      <c r="BQ8" s="460">
        <f t="shared" si="103"/>
        <v>21.965624999999999</v>
      </c>
      <c r="BR8" s="528">
        <f t="shared" si="39"/>
        <v>5.717277856522175E-4</v>
      </c>
      <c r="BS8" s="528">
        <f t="shared" si="104"/>
        <v>1.7206049992125567E-2</v>
      </c>
      <c r="BT8" s="528">
        <f t="shared" si="40"/>
        <v>1.726062807330122E-4</v>
      </c>
      <c r="BU8" s="528">
        <f t="shared" si="41"/>
        <v>1.6511875259770819E-3</v>
      </c>
      <c r="BV8" s="528">
        <f t="shared" si="42"/>
        <v>2.3944048147343296E-2</v>
      </c>
      <c r="BW8" s="625">
        <f t="shared" si="43"/>
        <v>4.2799559462778318E-4</v>
      </c>
      <c r="BX8" s="460">
        <f t="shared" si="105"/>
        <v>24.372043741971076</v>
      </c>
      <c r="BY8" s="173">
        <f t="shared" si="106"/>
        <v>0.10439413597654082</v>
      </c>
      <c r="BZ8" s="5">
        <f t="shared" si="107"/>
        <v>0.55199999999999994</v>
      </c>
      <c r="CA8" s="173">
        <f t="shared" si="108"/>
        <v>0.84095815264828666</v>
      </c>
      <c r="CB8" s="5">
        <f t="shared" si="109"/>
        <v>84.095815264828673</v>
      </c>
      <c r="CC8">
        <f t="shared" si="110"/>
        <v>3</v>
      </c>
      <c r="CE8" s="562">
        <f t="shared" si="44"/>
        <v>-50</v>
      </c>
      <c r="CF8">
        <f t="shared" si="45"/>
        <v>-50</v>
      </c>
      <c r="CG8" s="173">
        <f t="shared" si="46"/>
        <v>4.5400007866582069E-2</v>
      </c>
      <c r="CH8" s="173">
        <f t="shared" si="47"/>
        <v>1.5863314182165883E-2</v>
      </c>
      <c r="CI8" s="170">
        <v>3</v>
      </c>
      <c r="CJ8" s="217">
        <f t="shared" ref="CJ8:CJ71" si="133">IF(PLOT_TYPE=1, CI8/100*Iout_max, min_I*EXP(CS8*rr/100))</f>
        <v>0.03</v>
      </c>
      <c r="CK8" s="217">
        <f t="shared" si="111"/>
        <v>7.4999999999999997E-3</v>
      </c>
      <c r="CL8" s="217">
        <f t="shared" si="48"/>
        <v>0.49199999999999994</v>
      </c>
      <c r="CM8" s="217">
        <f t="shared" ref="CM8:CM71" si="134">Vout2*CK8</f>
        <v>0.06</v>
      </c>
      <c r="CN8" s="541">
        <f t="shared" si="112"/>
        <v>24</v>
      </c>
      <c r="CO8" s="443">
        <f t="shared" si="49"/>
        <v>17.099999999999998</v>
      </c>
      <c r="CP8" s="443">
        <f t="shared" si="50"/>
        <v>41.099999999999994</v>
      </c>
      <c r="CQ8" s="443"/>
      <c r="CR8" s="217">
        <f t="shared" si="113"/>
        <v>0.41176470588235292</v>
      </c>
      <c r="CS8" s="172">
        <f t="shared" si="114"/>
        <v>29.36061381074169</v>
      </c>
      <c r="CT8" s="172">
        <f t="shared" si="51"/>
        <v>4.0172166427546641</v>
      </c>
      <c r="CU8" s="217">
        <f t="shared" si="52"/>
        <v>1.7902813299232738</v>
      </c>
      <c r="CV8" s="217">
        <f t="shared" si="53"/>
        <v>3.6700767263427112</v>
      </c>
      <c r="CW8" s="443">
        <f t="shared" si="54"/>
        <v>16.399999999999999</v>
      </c>
      <c r="CX8" s="217">
        <f t="shared" si="55"/>
        <v>0.1117142857142857</v>
      </c>
      <c r="CY8" s="217">
        <f t="shared" si="56"/>
        <v>5.5857142857142848E-2</v>
      </c>
      <c r="CZ8" s="217">
        <f t="shared" si="57"/>
        <v>7.8395989974937338E-2</v>
      </c>
      <c r="DA8" s="197">
        <f t="shared" si="58"/>
        <v>350</v>
      </c>
      <c r="DB8" s="443">
        <f t="shared" si="115"/>
        <v>350</v>
      </c>
      <c r="DD8" s="217">
        <f t="shared" si="59"/>
        <v>2.377476538060479</v>
      </c>
      <c r="DE8" s="173">
        <f t="shared" si="60"/>
        <v>1.668404588112617</v>
      </c>
      <c r="DF8" s="173">
        <f t="shared" si="61"/>
        <v>0.69415373374028577</v>
      </c>
      <c r="DG8" s="173"/>
      <c r="DH8" s="173">
        <f t="shared" si="62"/>
        <v>0.93567251461988332</v>
      </c>
      <c r="DI8" s="545">
        <f t="shared" si="63"/>
        <v>48.093749999999979</v>
      </c>
      <c r="DJ8" s="528">
        <f t="shared" si="64"/>
        <v>0.21832358674463945</v>
      </c>
      <c r="DL8" s="173">
        <f t="shared" si="65"/>
        <v>0.51269595556932457</v>
      </c>
      <c r="DM8" s="173">
        <f t="shared" si="66"/>
        <v>1.3333333333333335</v>
      </c>
      <c r="DN8" s="173">
        <f t="shared" si="67"/>
        <v>1.0274821428571428</v>
      </c>
      <c r="DP8" s="545">
        <f t="shared" si="68"/>
        <v>30</v>
      </c>
      <c r="DQ8" s="460">
        <f t="shared" si="69"/>
        <v>48.093749999999979</v>
      </c>
      <c r="DS8">
        <f t="shared" si="116"/>
        <v>30</v>
      </c>
      <c r="DT8" s="460">
        <f t="shared" si="70"/>
        <v>48.093749999999979</v>
      </c>
      <c r="DU8" s="460"/>
      <c r="DV8" s="5">
        <f t="shared" si="117"/>
        <v>20.792722547108522</v>
      </c>
      <c r="DW8" s="5">
        <f t="shared" si="71"/>
        <v>0.66666666666666685</v>
      </c>
      <c r="DX8" s="5">
        <f t="shared" si="118"/>
        <v>20.126055880441854</v>
      </c>
      <c r="DY8" s="173">
        <f t="shared" si="119"/>
        <v>3.2062499999999994E-2</v>
      </c>
      <c r="EA8" s="5">
        <f t="shared" si="72"/>
        <v>0.12195121951219516</v>
      </c>
      <c r="EB8" s="5">
        <f t="shared" si="73"/>
        <v>6.2500000000000014E-2</v>
      </c>
      <c r="EC8" s="5">
        <f t="shared" si="74"/>
        <v>0.34382012129088158</v>
      </c>
      <c r="ED8" s="5"/>
      <c r="EE8" s="173">
        <f t="shared" si="120"/>
        <v>0.13784048752090222</v>
      </c>
      <c r="EF8" s="173">
        <f t="shared" si="75"/>
        <v>0.75735895887788429</v>
      </c>
      <c r="EG8" s="173">
        <f t="shared" si="76"/>
        <v>0.18580829550662581</v>
      </c>
      <c r="EH8" s="173"/>
      <c r="EI8" s="528">
        <f t="shared" si="77"/>
        <v>3.8000000000000002E-4</v>
      </c>
      <c r="EJ8" s="528">
        <f t="shared" si="78"/>
        <v>5.2710749999999973E-2</v>
      </c>
      <c r="EK8" s="528">
        <f t="shared" si="79"/>
        <v>6.0117187499999971E-3</v>
      </c>
      <c r="EL8" s="528">
        <f t="shared" si="80"/>
        <v>8.1240443437499942E-3</v>
      </c>
      <c r="EM8">
        <f t="shared" si="81"/>
        <v>1.0800000000000001E-2</v>
      </c>
      <c r="EN8" s="460">
        <f t="shared" si="121"/>
        <v>16.811718749999997</v>
      </c>
      <c r="EO8">
        <f t="shared" si="82"/>
        <v>7.8136167852072988E-2</v>
      </c>
      <c r="EP8" s="460">
        <f t="shared" si="122"/>
        <v>78.136167852072987</v>
      </c>
      <c r="EQ8" s="173">
        <f t="shared" si="83"/>
        <v>1.8637499999999998E-2</v>
      </c>
      <c r="ER8" s="173">
        <f t="shared" si="84"/>
        <v>3.3281249999999999E-3</v>
      </c>
      <c r="ES8" s="528"/>
      <c r="EU8" s="460">
        <f t="shared" si="123"/>
        <v>21.965624999999999</v>
      </c>
      <c r="EV8" s="528">
        <f t="shared" si="85"/>
        <v>5.6999999999999998E-4</v>
      </c>
      <c r="EW8" s="528">
        <f t="shared" si="124"/>
        <v>1.7207777777777787E-2</v>
      </c>
      <c r="EX8" s="528">
        <f t="shared" si="86"/>
        <v>1.726236133953879E-4</v>
      </c>
      <c r="EY8" s="528">
        <f t="shared" si="87"/>
        <v>1.6464117225637662E-3</v>
      </c>
      <c r="EZ8" s="528">
        <f t="shared" si="88"/>
        <v>2.3939287032518679E-2</v>
      </c>
      <c r="FA8" s="625">
        <f t="shared" si="89"/>
        <v>4.2749999999999987E-4</v>
      </c>
      <c r="FB8" s="460">
        <f t="shared" si="125"/>
        <v>24.36678703251868</v>
      </c>
      <c r="FC8" s="173">
        <f t="shared" si="126"/>
        <v>0.12446857988459167</v>
      </c>
      <c r="FD8" s="5">
        <f t="shared" si="127"/>
        <v>0.55199999999999994</v>
      </c>
      <c r="FE8" s="173">
        <f t="shared" si="128"/>
        <v>0.81600242260205702</v>
      </c>
      <c r="FF8" s="5">
        <f t="shared" si="129"/>
        <v>81.600242260205704</v>
      </c>
      <c r="FG8">
        <f t="shared" si="130"/>
        <v>3</v>
      </c>
      <c r="FI8" s="562">
        <f t="shared" si="90"/>
        <v>-50</v>
      </c>
      <c r="FJ8">
        <f t="shared" si="91"/>
        <v>-50</v>
      </c>
      <c r="FL8">
        <f t="shared" si="92"/>
        <v>4.5400007866582069E-2</v>
      </c>
    </row>
    <row r="9" spans="2:169">
      <c r="E9" s="170">
        <v>4</v>
      </c>
      <c r="F9" s="217">
        <f t="shared" si="131"/>
        <v>0.04</v>
      </c>
      <c r="G9" s="217">
        <f t="shared" si="93"/>
        <v>0.01</v>
      </c>
      <c r="H9" s="217">
        <f t="shared" si="0"/>
        <v>0.65599999999999992</v>
      </c>
      <c r="I9" s="217">
        <f t="shared" si="132"/>
        <v>0.08</v>
      </c>
      <c r="J9" s="541">
        <f t="shared" si="1"/>
        <v>23.955209755049875</v>
      </c>
      <c r="K9" s="443">
        <f t="shared" si="2"/>
        <v>17.119823785111333</v>
      </c>
      <c r="L9" s="172">
        <f t="shared" si="3"/>
        <v>41.075033540161208</v>
      </c>
      <c r="M9" s="443"/>
      <c r="N9" s="217">
        <f t="shared" si="4"/>
        <v>0.41679390884422252</v>
      </c>
      <c r="O9" s="172">
        <f t="shared" si="94"/>
        <v>29.663754054392026</v>
      </c>
      <c r="P9" s="172">
        <f t="shared" si="5"/>
        <v>4.0586932971506045</v>
      </c>
      <c r="Q9" s="217">
        <f t="shared" si="6"/>
        <v>1.8087654911214652</v>
      </c>
      <c r="R9" s="217">
        <f t="shared" si="7"/>
        <v>3.7079692567990032</v>
      </c>
      <c r="S9" s="443">
        <f t="shared" si="8"/>
        <v>16.399999999999999</v>
      </c>
      <c r="T9" s="217">
        <f t="shared" si="9"/>
        <v>0.14743020473114446</v>
      </c>
      <c r="U9" s="217">
        <f t="shared" si="10"/>
        <v>7.3852931152096693E-2</v>
      </c>
      <c r="V9" s="217">
        <f t="shared" si="11"/>
        <v>0.10333999222073351</v>
      </c>
      <c r="W9" s="197">
        <f t="shared" si="12"/>
        <v>350</v>
      </c>
      <c r="X9" s="443">
        <f t="shared" si="95"/>
        <v>350</v>
      </c>
      <c r="Z9" s="217">
        <f t="shared" si="13"/>
        <v>2.3772346454739255</v>
      </c>
      <c r="AA9" s="173">
        <f t="shared" si="14"/>
        <v>1.6663031175879355</v>
      </c>
      <c r="AB9" s="173">
        <f t="shared" si="15"/>
        <v>0.69320886267346915</v>
      </c>
      <c r="AC9" s="173"/>
      <c r="AD9" s="173">
        <f t="shared" si="16"/>
        <v>0.93458905890811728</v>
      </c>
      <c r="AE9" s="545">
        <f t="shared" si="17"/>
        <v>64.199339194167479</v>
      </c>
      <c r="AF9" s="528">
        <f t="shared" si="18"/>
        <v>0.21807078041189407</v>
      </c>
      <c r="AH9" s="173">
        <f t="shared" si="19"/>
        <v>0.59201029592076382</v>
      </c>
      <c r="AI9" s="173">
        <f t="shared" si="20"/>
        <v>1.3333333333333335</v>
      </c>
      <c r="AJ9" s="173">
        <f t="shared" si="21"/>
        <v>1.0366853366823814</v>
      </c>
      <c r="AL9" s="545">
        <f t="shared" si="22"/>
        <v>40</v>
      </c>
      <c r="AM9" s="460">
        <f t="shared" si="23"/>
        <v>64.199339194167479</v>
      </c>
      <c r="AO9">
        <f t="shared" si="96"/>
        <v>40</v>
      </c>
      <c r="AP9" s="460">
        <f t="shared" si="24"/>
        <v>64.199339194167479</v>
      </c>
      <c r="AQ9" s="460"/>
      <c r="AR9" s="5">
        <f t="shared" si="97"/>
        <v>15.576484315135289</v>
      </c>
      <c r="AS9" s="5">
        <f t="shared" si="25"/>
        <v>0.66791316643040977</v>
      </c>
      <c r="AT9" s="5">
        <f t="shared" si="98"/>
        <v>14.90857114870488</v>
      </c>
      <c r="AU9" s="173">
        <f t="shared" si="99"/>
        <v>4.2879583923916317E-2</v>
      </c>
      <c r="AW9" s="5">
        <f t="shared" si="26"/>
        <v>0.16290565034888047</v>
      </c>
      <c r="AX9" s="5">
        <f t="shared" si="27"/>
        <v>8.3489145803801221E-2</v>
      </c>
      <c r="AY9" s="5">
        <f t="shared" si="28"/>
        <v>0.34021905789855456</v>
      </c>
      <c r="AZ9" s="5"/>
      <c r="BA9" s="173">
        <f t="shared" si="100"/>
        <v>0.15940553254754125</v>
      </c>
      <c r="BB9" s="173">
        <f t="shared" si="29"/>
        <v>0.75311517630826397</v>
      </c>
      <c r="BC9" s="173">
        <f t="shared" si="30"/>
        <v>0.18476713794650376</v>
      </c>
      <c r="BD9" s="173"/>
      <c r="BE9" s="528">
        <f t="shared" si="31"/>
        <v>5.0820247613530471E-4</v>
      </c>
      <c r="BF9" s="528">
        <f t="shared" si="32"/>
        <v>6.592475026641538E-2</v>
      </c>
      <c r="BG9" s="528">
        <f t="shared" si="33"/>
        <v>3.8447715913296911E-2</v>
      </c>
      <c r="BH9" s="528">
        <f t="shared" si="34"/>
        <v>1.0831445313279052E-2</v>
      </c>
      <c r="BI9">
        <f t="shared" si="35"/>
        <v>1.0779844389772444E-2</v>
      </c>
      <c r="BJ9" s="460">
        <f t="shared" si="101"/>
        <v>49.227560303069353</v>
      </c>
      <c r="BK9">
        <f t="shared" si="36"/>
        <v>7.7410960013300625E-2</v>
      </c>
      <c r="BL9" s="460">
        <f t="shared" si="102"/>
        <v>77.410960013300624</v>
      </c>
      <c r="BM9" s="173">
        <f t="shared" si="37"/>
        <v>2.4849999999999997E-2</v>
      </c>
      <c r="BN9" s="173">
        <f t="shared" si="38"/>
        <v>4.4374999999999996E-3</v>
      </c>
      <c r="BO9" s="528"/>
      <c r="BQ9" s="460">
        <f t="shared" si="103"/>
        <v>29.287499999999998</v>
      </c>
      <c r="BR9" s="528">
        <f t="shared" si="39"/>
        <v>7.6230371420295696E-4</v>
      </c>
      <c r="BS9" s="528">
        <f t="shared" si="104"/>
        <v>1.7015474063574825E-2</v>
      </c>
      <c r="BT9" s="528">
        <f t="shared" si="40"/>
        <v>1.7069447632471173E-4</v>
      </c>
      <c r="BU9" s="528">
        <f t="shared" si="41"/>
        <v>3.3895593337081647E-3</v>
      </c>
      <c r="BV9" s="528">
        <f t="shared" si="42"/>
        <v>2.5682541920080643E-2</v>
      </c>
      <c r="BW9" s="625">
        <f t="shared" si="43"/>
        <v>5.7066079283704435E-4</v>
      </c>
      <c r="BX9" s="460">
        <f t="shared" si="105"/>
        <v>26.253202712917687</v>
      </c>
      <c r="BY9" s="173">
        <f t="shared" si="106"/>
        <v>0.13295166272621831</v>
      </c>
      <c r="BZ9" s="5">
        <f t="shared" si="107"/>
        <v>0.73599999999999988</v>
      </c>
      <c r="CA9" s="173">
        <f t="shared" si="108"/>
        <v>0.84699763125016592</v>
      </c>
      <c r="CB9" s="5">
        <f t="shared" si="109"/>
        <v>84.699763125016588</v>
      </c>
      <c r="CC9">
        <f t="shared" si="110"/>
        <v>4</v>
      </c>
      <c r="CE9" s="562">
        <f t="shared" si="44"/>
        <v>-50</v>
      </c>
      <c r="CF9">
        <f t="shared" si="45"/>
        <v>-50</v>
      </c>
      <c r="CG9" s="173">
        <f t="shared" si="46"/>
        <v>6.0533343822109426E-2</v>
      </c>
      <c r="CH9" s="173">
        <f t="shared" si="47"/>
        <v>2.1151085576221178E-2</v>
      </c>
      <c r="CI9" s="170">
        <v>4</v>
      </c>
      <c r="CJ9" s="217">
        <f t="shared" si="133"/>
        <v>0.04</v>
      </c>
      <c r="CK9" s="217">
        <f t="shared" si="111"/>
        <v>0.01</v>
      </c>
      <c r="CL9" s="217">
        <f t="shared" si="48"/>
        <v>0.65599999999999992</v>
      </c>
      <c r="CM9" s="217">
        <f t="shared" si="134"/>
        <v>0.08</v>
      </c>
      <c r="CN9" s="541">
        <f t="shared" si="112"/>
        <v>24</v>
      </c>
      <c r="CO9" s="443">
        <f t="shared" si="49"/>
        <v>17.099999999999998</v>
      </c>
      <c r="CP9" s="443">
        <f t="shared" si="50"/>
        <v>41.099999999999994</v>
      </c>
      <c r="CQ9" s="443"/>
      <c r="CR9" s="217">
        <f t="shared" si="113"/>
        <v>0.41176470588235292</v>
      </c>
      <c r="CS9" s="172">
        <f t="shared" si="114"/>
        <v>29.36061381074169</v>
      </c>
      <c r="CT9" s="172">
        <f t="shared" si="51"/>
        <v>4.0172166427546641</v>
      </c>
      <c r="CU9" s="217">
        <f t="shared" si="52"/>
        <v>1.7902813299232738</v>
      </c>
      <c r="CV9" s="217">
        <f t="shared" si="53"/>
        <v>3.6700767263427112</v>
      </c>
      <c r="CW9" s="443">
        <f t="shared" si="54"/>
        <v>16.399999999999999</v>
      </c>
      <c r="CX9" s="217">
        <f t="shared" si="55"/>
        <v>0.14895238095238092</v>
      </c>
      <c r="CY9" s="217">
        <f t="shared" si="56"/>
        <v>7.447619047619046E-2</v>
      </c>
      <c r="CZ9" s="217">
        <f t="shared" si="57"/>
        <v>0.10452798663324979</v>
      </c>
      <c r="DA9" s="197">
        <f t="shared" si="58"/>
        <v>350</v>
      </c>
      <c r="DB9" s="443">
        <f t="shared" si="115"/>
        <v>350</v>
      </c>
      <c r="DD9" s="217">
        <f t="shared" si="59"/>
        <v>2.377476538060479</v>
      </c>
      <c r="DE9" s="173">
        <f t="shared" si="60"/>
        <v>1.668404588112617</v>
      </c>
      <c r="DF9" s="173">
        <f t="shared" si="61"/>
        <v>0.69415373374028577</v>
      </c>
      <c r="DG9" s="173"/>
      <c r="DH9" s="173">
        <f t="shared" si="62"/>
        <v>0.93567251461988332</v>
      </c>
      <c r="DI9" s="545">
        <f t="shared" si="63"/>
        <v>64.124999999999972</v>
      </c>
      <c r="DJ9" s="528">
        <f t="shared" si="64"/>
        <v>0.21832358674463945</v>
      </c>
      <c r="DL9" s="173">
        <f t="shared" si="65"/>
        <v>0.59201029592076382</v>
      </c>
      <c r="DM9" s="173">
        <f t="shared" si="66"/>
        <v>1.3333333333333335</v>
      </c>
      <c r="DN9" s="173">
        <f t="shared" si="67"/>
        <v>1.0366428571428572</v>
      </c>
      <c r="DP9" s="545">
        <f t="shared" si="68"/>
        <v>40</v>
      </c>
      <c r="DQ9" s="460">
        <f t="shared" si="69"/>
        <v>64.124999999999972</v>
      </c>
      <c r="DS9">
        <f t="shared" si="116"/>
        <v>40</v>
      </c>
      <c r="DT9" s="460">
        <f t="shared" si="70"/>
        <v>64.124999999999972</v>
      </c>
      <c r="DU9" s="460"/>
      <c r="DV9" s="5">
        <f t="shared" si="117"/>
        <v>15.59454191033139</v>
      </c>
      <c r="DW9" s="5">
        <f t="shared" si="71"/>
        <v>0.66666666666666685</v>
      </c>
      <c r="DX9" s="5">
        <f t="shared" si="118"/>
        <v>14.927875243664724</v>
      </c>
      <c r="DY9" s="173">
        <f t="shared" si="119"/>
        <v>4.2749999999999996E-2</v>
      </c>
      <c r="EA9" s="5">
        <f t="shared" si="72"/>
        <v>0.16260162601626024</v>
      </c>
      <c r="EB9" s="5">
        <f t="shared" si="73"/>
        <v>8.3333333333333356E-2</v>
      </c>
      <c r="EC9" s="5">
        <f t="shared" si="74"/>
        <v>0.34002382499458533</v>
      </c>
      <c r="ED9" s="5"/>
      <c r="EE9" s="173">
        <f t="shared" si="120"/>
        <v>0.1591644851508443</v>
      </c>
      <c r="EF9" s="173">
        <f t="shared" si="75"/>
        <v>0.75316615647495699</v>
      </c>
      <c r="EG9" s="173">
        <f t="shared" si="76"/>
        <v>0.18477964527577853</v>
      </c>
      <c r="EH9" s="173"/>
      <c r="EI9" s="528">
        <f t="shared" si="77"/>
        <v>5.0666666666666677E-4</v>
      </c>
      <c r="EJ9" s="528">
        <f t="shared" si="78"/>
        <v>7.0280999999999968E-2</v>
      </c>
      <c r="EK9" s="528">
        <f t="shared" si="79"/>
        <v>8.0156249999999967E-3</v>
      </c>
      <c r="EL9" s="528">
        <f t="shared" si="80"/>
        <v>1.0832059124999993E-2</v>
      </c>
      <c r="EM9">
        <f t="shared" si="81"/>
        <v>1.0800000000000001E-2</v>
      </c>
      <c r="EN9" s="460">
        <f t="shared" si="121"/>
        <v>18.815624999999997</v>
      </c>
      <c r="EO9">
        <f t="shared" si="82"/>
        <v>0.10058425952716554</v>
      </c>
      <c r="EP9" s="460">
        <f t="shared" si="122"/>
        <v>100.58425952716554</v>
      </c>
      <c r="EQ9" s="173">
        <f t="shared" si="83"/>
        <v>2.4849999999999997E-2</v>
      </c>
      <c r="ER9" s="173">
        <f t="shared" si="84"/>
        <v>4.4374999999999996E-3</v>
      </c>
      <c r="ES9" s="528"/>
      <c r="EU9" s="460">
        <f t="shared" si="123"/>
        <v>29.287499999999998</v>
      </c>
      <c r="EV9" s="528">
        <f t="shared" si="85"/>
        <v>7.6000000000000004E-4</v>
      </c>
      <c r="EW9" s="528">
        <f t="shared" si="124"/>
        <v>1.7017777777777781E-2</v>
      </c>
      <c r="EX9" s="528">
        <f t="shared" si="86"/>
        <v>1.7071758654121271E-4</v>
      </c>
      <c r="EY9" s="528">
        <f t="shared" si="87"/>
        <v>3.3797555598902938E-3</v>
      </c>
      <c r="EZ9" s="528">
        <f t="shared" si="88"/>
        <v>2.5672752794407422E-2</v>
      </c>
      <c r="FA9" s="625">
        <f t="shared" si="89"/>
        <v>5.6999999999999987E-4</v>
      </c>
      <c r="FB9" s="460">
        <f t="shared" si="125"/>
        <v>26.242752794407423</v>
      </c>
      <c r="FC9" s="173">
        <f t="shared" si="126"/>
        <v>0.15611451232157295</v>
      </c>
      <c r="FD9" s="5">
        <f t="shared" si="127"/>
        <v>0.73599999999999988</v>
      </c>
      <c r="FE9" s="173">
        <f t="shared" si="128"/>
        <v>0.82500619576817324</v>
      </c>
      <c r="FF9" s="5">
        <f t="shared" si="129"/>
        <v>82.500619576817328</v>
      </c>
      <c r="FG9">
        <f t="shared" si="130"/>
        <v>4</v>
      </c>
      <c r="FI9" s="562">
        <f t="shared" si="90"/>
        <v>-50</v>
      </c>
      <c r="FJ9">
        <f t="shared" si="91"/>
        <v>-50</v>
      </c>
      <c r="FL9">
        <f t="shared" si="92"/>
        <v>6.0533343822109426E-2</v>
      </c>
    </row>
    <row r="10" spans="2:169">
      <c r="E10" s="170">
        <v>5</v>
      </c>
      <c r="F10" s="217">
        <f t="shared" si="131"/>
        <v>0.05</v>
      </c>
      <c r="G10" s="217">
        <f t="shared" si="93"/>
        <v>1.2500000000000001E-2</v>
      </c>
      <c r="H10" s="217">
        <f t="shared" si="0"/>
        <v>0.82</v>
      </c>
      <c r="I10" s="217">
        <f t="shared" si="132"/>
        <v>0.1</v>
      </c>
      <c r="J10" s="541">
        <f t="shared" si="1"/>
        <v>23.955209755049875</v>
      </c>
      <c r="K10" s="443">
        <f t="shared" si="2"/>
        <v>17.119823785111333</v>
      </c>
      <c r="L10" s="172">
        <f t="shared" si="3"/>
        <v>41.075033540161208</v>
      </c>
      <c r="M10" s="443"/>
      <c r="N10" s="217">
        <f t="shared" si="4"/>
        <v>0.41679390884422252</v>
      </c>
      <c r="O10" s="172">
        <f t="shared" si="94"/>
        <v>29.663754054392026</v>
      </c>
      <c r="P10" s="172">
        <f t="shared" si="5"/>
        <v>4.0586932971506045</v>
      </c>
      <c r="Q10" s="217">
        <f t="shared" si="6"/>
        <v>1.8087654911214652</v>
      </c>
      <c r="R10" s="217">
        <f t="shared" si="7"/>
        <v>3.7079692567990032</v>
      </c>
      <c r="S10" s="443">
        <f t="shared" si="8"/>
        <v>16.399999999999999</v>
      </c>
      <c r="T10" s="217">
        <f t="shared" si="9"/>
        <v>0.18428775591393057</v>
      </c>
      <c r="U10" s="217">
        <f t="shared" si="10"/>
        <v>9.2316163940120863E-2</v>
      </c>
      <c r="V10" s="217">
        <f t="shared" si="11"/>
        <v>0.12917499027591689</v>
      </c>
      <c r="W10" s="197">
        <f t="shared" si="12"/>
        <v>350</v>
      </c>
      <c r="X10" s="443">
        <f t="shared" si="95"/>
        <v>350</v>
      </c>
      <c r="Z10" s="217">
        <f t="shared" si="13"/>
        <v>2.3772346454739255</v>
      </c>
      <c r="AA10" s="173">
        <f t="shared" si="14"/>
        <v>1.6663031175879355</v>
      </c>
      <c r="AB10" s="173">
        <f t="shared" si="15"/>
        <v>0.69320886267346915</v>
      </c>
      <c r="AC10" s="173"/>
      <c r="AD10" s="173">
        <f t="shared" si="16"/>
        <v>0.93458905890811728</v>
      </c>
      <c r="AE10" s="545">
        <f t="shared" si="17"/>
        <v>80.249173992709345</v>
      </c>
      <c r="AF10" s="528">
        <f t="shared" si="18"/>
        <v>0.21807078041189407</v>
      </c>
      <c r="AH10" s="173">
        <f t="shared" si="19"/>
        <v>0.66188763252929728</v>
      </c>
      <c r="AI10" s="173">
        <f t="shared" si="20"/>
        <v>1.3333333333333335</v>
      </c>
      <c r="AJ10" s="173">
        <f t="shared" si="21"/>
        <v>1.0458566708529768</v>
      </c>
      <c r="AL10" s="545">
        <f t="shared" si="22"/>
        <v>50</v>
      </c>
      <c r="AM10" s="460">
        <f t="shared" si="23"/>
        <v>80.249173992709345</v>
      </c>
      <c r="AO10">
        <f t="shared" si="96"/>
        <v>50</v>
      </c>
      <c r="AP10" s="460">
        <f t="shared" si="24"/>
        <v>80.249173992709345</v>
      </c>
      <c r="AQ10" s="460"/>
      <c r="AR10" s="5">
        <f t="shared" si="97"/>
        <v>12.461187452108232</v>
      </c>
      <c r="AS10" s="5">
        <f t="shared" si="25"/>
        <v>0.66791316643040977</v>
      </c>
      <c r="AT10" s="5">
        <f t="shared" si="98"/>
        <v>11.793274285677823</v>
      </c>
      <c r="AU10" s="173">
        <f t="shared" si="99"/>
        <v>5.3599479904895386E-2</v>
      </c>
      <c r="AW10" s="5">
        <f t="shared" si="26"/>
        <v>0.20363206293610059</v>
      </c>
      <c r="AX10" s="5">
        <f t="shared" si="27"/>
        <v>0.10436143225475153</v>
      </c>
      <c r="AY10" s="5">
        <f t="shared" si="28"/>
        <v>0.33640855208323478</v>
      </c>
      <c r="AZ10" s="5"/>
      <c r="BA10" s="173">
        <f t="shared" si="100"/>
        <v>0.17822080338292873</v>
      </c>
      <c r="BB10" s="173">
        <f t="shared" si="29"/>
        <v>0.74888579759141927</v>
      </c>
      <c r="BC10" s="173">
        <f t="shared" si="30"/>
        <v>0.18372951418670397</v>
      </c>
      <c r="BD10" s="173"/>
      <c r="BE10" s="528">
        <f t="shared" si="31"/>
        <v>6.3525309516913083E-4</v>
      </c>
      <c r="BF10" s="528">
        <f t="shared" si="32"/>
        <v>8.2405937833019222E-2</v>
      </c>
      <c r="BG10" s="528">
        <f t="shared" si="33"/>
        <v>4.8059644891621137E-2</v>
      </c>
      <c r="BH10" s="528">
        <f t="shared" si="34"/>
        <v>1.3539306641598817E-2</v>
      </c>
      <c r="BI10">
        <f t="shared" si="35"/>
        <v>1.0779844389772444E-2</v>
      </c>
      <c r="BJ10" s="460">
        <f t="shared" si="101"/>
        <v>58.839489281393583</v>
      </c>
      <c r="BK10">
        <f t="shared" si="36"/>
        <v>9.676662148536673E-2</v>
      </c>
      <c r="BL10" s="460">
        <f t="shared" si="102"/>
        <v>96.766621485366727</v>
      </c>
      <c r="BM10" s="173">
        <f t="shared" si="37"/>
        <v>3.1062499999999996E-2</v>
      </c>
      <c r="BN10" s="173">
        <f t="shared" si="38"/>
        <v>5.5468749999999997E-3</v>
      </c>
      <c r="BO10" s="528"/>
      <c r="BQ10" s="460">
        <f t="shared" si="103"/>
        <v>36.609375</v>
      </c>
      <c r="BR10" s="528">
        <f t="shared" si="39"/>
        <v>9.528796427536962E-4</v>
      </c>
      <c r="BS10" s="528">
        <f t="shared" si="104"/>
        <v>1.6824898135024084E-2</v>
      </c>
      <c r="BT10" s="528">
        <f t="shared" si="40"/>
        <v>1.6878267191641129E-4</v>
      </c>
      <c r="BU10" s="528">
        <f t="shared" si="41"/>
        <v>5.9213164718283952E-3</v>
      </c>
      <c r="BV10" s="528">
        <f t="shared" si="42"/>
        <v>2.8215561211441448E-2</v>
      </c>
      <c r="BW10" s="625">
        <f t="shared" si="43"/>
        <v>7.1332599104630536E-4</v>
      </c>
      <c r="BX10" s="460">
        <f t="shared" si="105"/>
        <v>28.928887202487754</v>
      </c>
      <c r="BY10" s="173">
        <f t="shared" si="106"/>
        <v>0.16230488368785451</v>
      </c>
      <c r="BZ10" s="5">
        <f t="shared" si="107"/>
        <v>0.91999999999999993</v>
      </c>
      <c r="CA10" s="173">
        <f t="shared" si="108"/>
        <v>0.8500377424752853</v>
      </c>
      <c r="CB10" s="5">
        <f t="shared" si="109"/>
        <v>85.003774247528526</v>
      </c>
      <c r="CC10">
        <f t="shared" si="110"/>
        <v>5</v>
      </c>
      <c r="CE10" s="562">
        <f t="shared" si="44"/>
        <v>-50</v>
      </c>
      <c r="CF10">
        <f t="shared" si="45"/>
        <v>-50</v>
      </c>
      <c r="CG10" s="173">
        <f t="shared" si="46"/>
        <v>7.5666679777636789E-2</v>
      </c>
      <c r="CH10" s="173">
        <f t="shared" si="47"/>
        <v>2.6438856970276477E-2</v>
      </c>
      <c r="CI10" s="170">
        <v>5</v>
      </c>
      <c r="CJ10" s="217">
        <f t="shared" si="133"/>
        <v>0.05</v>
      </c>
      <c r="CK10" s="217">
        <f t="shared" si="111"/>
        <v>1.2500000000000001E-2</v>
      </c>
      <c r="CL10" s="217">
        <f t="shared" si="48"/>
        <v>0.82</v>
      </c>
      <c r="CM10" s="217">
        <f t="shared" si="134"/>
        <v>0.1</v>
      </c>
      <c r="CN10" s="541">
        <f t="shared" si="112"/>
        <v>24</v>
      </c>
      <c r="CO10" s="443">
        <f t="shared" si="49"/>
        <v>17.099999999999998</v>
      </c>
      <c r="CP10" s="443">
        <f t="shared" si="50"/>
        <v>41.099999999999994</v>
      </c>
      <c r="CQ10" s="443"/>
      <c r="CR10" s="217">
        <f t="shared" si="113"/>
        <v>0.41176470588235292</v>
      </c>
      <c r="CS10" s="172">
        <f t="shared" si="114"/>
        <v>29.36061381074169</v>
      </c>
      <c r="CT10" s="172">
        <f t="shared" si="51"/>
        <v>4.0172166427546641</v>
      </c>
      <c r="CU10" s="217">
        <f t="shared" si="52"/>
        <v>1.7902813299232738</v>
      </c>
      <c r="CV10" s="217">
        <f t="shared" si="53"/>
        <v>3.6700767263427112</v>
      </c>
      <c r="CW10" s="443">
        <f t="shared" si="54"/>
        <v>16.399999999999999</v>
      </c>
      <c r="CX10" s="217">
        <f t="shared" si="55"/>
        <v>0.18619047619047616</v>
      </c>
      <c r="CY10" s="217">
        <f t="shared" si="56"/>
        <v>9.3095238095238092E-2</v>
      </c>
      <c r="CZ10" s="217">
        <f t="shared" si="57"/>
        <v>0.13065998329156223</v>
      </c>
      <c r="DA10" s="197">
        <f t="shared" si="58"/>
        <v>350</v>
      </c>
      <c r="DB10" s="443">
        <f t="shared" si="115"/>
        <v>350</v>
      </c>
      <c r="DD10" s="217">
        <f t="shared" si="59"/>
        <v>2.377476538060479</v>
      </c>
      <c r="DE10" s="173">
        <f t="shared" si="60"/>
        <v>1.668404588112617</v>
      </c>
      <c r="DF10" s="173">
        <f t="shared" si="61"/>
        <v>0.69415373374028577</v>
      </c>
      <c r="DG10" s="173"/>
      <c r="DH10" s="173">
        <f t="shared" si="62"/>
        <v>0.93567251461988332</v>
      </c>
      <c r="DI10" s="545">
        <f t="shared" si="63"/>
        <v>80.156249999999972</v>
      </c>
      <c r="DJ10" s="528">
        <f t="shared" si="64"/>
        <v>0.21832358674463945</v>
      </c>
      <c r="DL10" s="173">
        <f t="shared" si="65"/>
        <v>0.66188763252929728</v>
      </c>
      <c r="DM10" s="173">
        <f t="shared" si="66"/>
        <v>1.3333333333333335</v>
      </c>
      <c r="DN10" s="173">
        <f t="shared" si="67"/>
        <v>1.0458035714285714</v>
      </c>
      <c r="DP10" s="545">
        <f t="shared" si="68"/>
        <v>50</v>
      </c>
      <c r="DQ10" s="460">
        <f t="shared" si="69"/>
        <v>80.156249999999972</v>
      </c>
      <c r="DS10">
        <f t="shared" si="116"/>
        <v>50</v>
      </c>
      <c r="DT10" s="460">
        <f t="shared" si="70"/>
        <v>80.156249999999972</v>
      </c>
      <c r="DU10" s="460"/>
      <c r="DV10" s="5">
        <f t="shared" si="117"/>
        <v>12.475633528265112</v>
      </c>
      <c r="DW10" s="5">
        <f t="shared" si="71"/>
        <v>0.66666666666666685</v>
      </c>
      <c r="DX10" s="5">
        <f t="shared" si="118"/>
        <v>11.808966861598446</v>
      </c>
      <c r="DY10" s="173">
        <f t="shared" si="119"/>
        <v>5.3437499999999992E-2</v>
      </c>
      <c r="EA10" s="5">
        <f t="shared" si="72"/>
        <v>0.20325203252032531</v>
      </c>
      <c r="EB10" s="5">
        <f t="shared" si="73"/>
        <v>0.10416666666666671</v>
      </c>
      <c r="EC10" s="5">
        <f t="shared" si="74"/>
        <v>0.33622752869828898</v>
      </c>
      <c r="ED10" s="5"/>
      <c r="EE10" s="173">
        <f t="shared" si="120"/>
        <v>0.17795130420052188</v>
      </c>
      <c r="EF10" s="173">
        <f t="shared" si="75"/>
        <v>0.74894988211890789</v>
      </c>
      <c r="EG10" s="173">
        <f t="shared" si="76"/>
        <v>0.18374523650263019</v>
      </c>
      <c r="EH10" s="173"/>
      <c r="EI10" s="528">
        <f t="shared" si="77"/>
        <v>6.3333333333333351E-4</v>
      </c>
      <c r="EJ10" s="528">
        <f t="shared" si="78"/>
        <v>8.7851249999999964E-2</v>
      </c>
      <c r="EK10" s="528">
        <f t="shared" si="79"/>
        <v>1.0019531249999996E-2</v>
      </c>
      <c r="EL10" s="528">
        <f t="shared" si="80"/>
        <v>1.3540073906249991E-2</v>
      </c>
      <c r="EM10">
        <f t="shared" si="81"/>
        <v>1.0800000000000001E-2</v>
      </c>
      <c r="EN10" s="460">
        <f t="shared" si="121"/>
        <v>20.819531249999994</v>
      </c>
      <c r="EO10">
        <f t="shared" si="82"/>
        <v>0.12303370260115071</v>
      </c>
      <c r="EP10" s="460">
        <f t="shared" si="122"/>
        <v>123.03370260115071</v>
      </c>
      <c r="EQ10" s="173">
        <f t="shared" si="83"/>
        <v>3.1062499999999996E-2</v>
      </c>
      <c r="ER10" s="173">
        <f t="shared" si="84"/>
        <v>5.5468749999999997E-3</v>
      </c>
      <c r="ES10" s="528"/>
      <c r="EU10" s="460">
        <f t="shared" si="123"/>
        <v>36.609375</v>
      </c>
      <c r="EV10" s="528">
        <f t="shared" si="85"/>
        <v>9.5000000000000021E-4</v>
      </c>
      <c r="EW10" s="528">
        <f t="shared" si="124"/>
        <v>1.6827777777777782E-2</v>
      </c>
      <c r="EX10" s="528">
        <f t="shared" si="86"/>
        <v>1.6881155968703751E-4</v>
      </c>
      <c r="EY10" s="528">
        <f t="shared" si="87"/>
        <v>5.9041899837871522E-3</v>
      </c>
      <c r="EZ10" s="528">
        <f t="shared" si="88"/>
        <v>2.8198446036721583E-2</v>
      </c>
      <c r="FA10" s="625">
        <f t="shared" si="89"/>
        <v>7.1249999999999981E-4</v>
      </c>
      <c r="FB10" s="460">
        <f t="shared" si="125"/>
        <v>28.910946036721583</v>
      </c>
      <c r="FC10" s="173">
        <f t="shared" si="126"/>
        <v>0.1885540236378723</v>
      </c>
      <c r="FD10" s="5">
        <f t="shared" si="127"/>
        <v>0.91999999999999993</v>
      </c>
      <c r="FE10" s="173">
        <f t="shared" si="128"/>
        <v>0.82990993707360661</v>
      </c>
      <c r="FF10" s="5">
        <f t="shared" si="129"/>
        <v>82.990993707360659</v>
      </c>
      <c r="FG10">
        <f t="shared" si="130"/>
        <v>5</v>
      </c>
      <c r="FI10" s="562">
        <f t="shared" si="90"/>
        <v>-50</v>
      </c>
      <c r="FJ10">
        <f t="shared" si="91"/>
        <v>-50</v>
      </c>
      <c r="FL10">
        <f t="shared" si="92"/>
        <v>7.5666679777636789E-2</v>
      </c>
    </row>
    <row r="11" spans="2:169">
      <c r="E11" s="170">
        <v>6</v>
      </c>
      <c r="F11" s="217">
        <f t="shared" si="131"/>
        <v>0.06</v>
      </c>
      <c r="G11" s="217">
        <f t="shared" si="93"/>
        <v>1.4999999999999999E-2</v>
      </c>
      <c r="H11" s="217">
        <f t="shared" si="0"/>
        <v>0.98399999999999987</v>
      </c>
      <c r="I11" s="217">
        <f t="shared" si="132"/>
        <v>0.12</v>
      </c>
      <c r="J11" s="541">
        <f t="shared" si="1"/>
        <v>23.955209755049875</v>
      </c>
      <c r="K11" s="443">
        <f t="shared" si="2"/>
        <v>17.119823785111333</v>
      </c>
      <c r="L11" s="172">
        <f t="shared" si="3"/>
        <v>41.075033540161208</v>
      </c>
      <c r="M11" s="443"/>
      <c r="N11" s="217">
        <f t="shared" si="4"/>
        <v>0.41679390884422252</v>
      </c>
      <c r="O11" s="172">
        <f t="shared" si="94"/>
        <v>29.663754054392026</v>
      </c>
      <c r="P11" s="172">
        <f t="shared" si="5"/>
        <v>4.0586932971506045</v>
      </c>
      <c r="Q11" s="217">
        <f t="shared" si="6"/>
        <v>1.8087654911214652</v>
      </c>
      <c r="R11" s="217">
        <f t="shared" si="7"/>
        <v>3.7079692567990032</v>
      </c>
      <c r="S11" s="443">
        <f t="shared" si="8"/>
        <v>16.399999999999999</v>
      </c>
      <c r="T11" s="217">
        <f t="shared" si="9"/>
        <v>0.22114530709671668</v>
      </c>
      <c r="U11" s="217">
        <f t="shared" si="10"/>
        <v>0.11077939672814503</v>
      </c>
      <c r="V11" s="217">
        <f t="shared" si="11"/>
        <v>0.15500998833110025</v>
      </c>
      <c r="W11" s="197">
        <f t="shared" si="12"/>
        <v>350</v>
      </c>
      <c r="X11" s="443">
        <f t="shared" si="95"/>
        <v>350</v>
      </c>
      <c r="Z11" s="217">
        <f t="shared" si="13"/>
        <v>2.3772346454739255</v>
      </c>
      <c r="AA11" s="173">
        <f t="shared" si="14"/>
        <v>1.6663031175879355</v>
      </c>
      <c r="AB11" s="173">
        <f t="shared" si="15"/>
        <v>0.69320886267346915</v>
      </c>
      <c r="AC11" s="173"/>
      <c r="AD11" s="173">
        <f t="shared" si="16"/>
        <v>0.93458905890811728</v>
      </c>
      <c r="AE11" s="545">
        <f t="shared" si="17"/>
        <v>96.299008791251211</v>
      </c>
      <c r="AF11" s="528">
        <f t="shared" si="18"/>
        <v>0.21807078041189407</v>
      </c>
      <c r="AH11" s="173">
        <f t="shared" si="19"/>
        <v>0.72506157373997249</v>
      </c>
      <c r="AI11" s="173">
        <f t="shared" si="20"/>
        <v>1.3333333333333335</v>
      </c>
      <c r="AJ11" s="173">
        <f t="shared" si="21"/>
        <v>1.0550280050235721</v>
      </c>
      <c r="AL11" s="545">
        <f t="shared" si="22"/>
        <v>60</v>
      </c>
      <c r="AM11" s="460">
        <f t="shared" si="23"/>
        <v>96.299008791251211</v>
      </c>
      <c r="AO11">
        <f t="shared" si="96"/>
        <v>60</v>
      </c>
      <c r="AP11" s="460">
        <f t="shared" si="24"/>
        <v>96.299008791251211</v>
      </c>
      <c r="AQ11" s="460"/>
      <c r="AR11" s="5">
        <f t="shared" si="97"/>
        <v>10.384322876756862</v>
      </c>
      <c r="AS11" s="5">
        <f t="shared" si="25"/>
        <v>0.66791316643040977</v>
      </c>
      <c r="AT11" s="5">
        <f t="shared" si="98"/>
        <v>9.7164097103264524</v>
      </c>
      <c r="AU11" s="173">
        <f t="shared" si="99"/>
        <v>6.4319375885874455E-2</v>
      </c>
      <c r="AW11" s="5">
        <f t="shared" si="26"/>
        <v>0.24435847552332066</v>
      </c>
      <c r="AX11" s="5">
        <f t="shared" si="27"/>
        <v>0.12523371870570182</v>
      </c>
      <c r="AY11" s="5">
        <f t="shared" si="28"/>
        <v>0.33259804626791506</v>
      </c>
      <c r="AZ11" s="5"/>
      <c r="BA11" s="173">
        <f t="shared" si="100"/>
        <v>0.19523110845904615</v>
      </c>
      <c r="BB11" s="173">
        <f t="shared" si="29"/>
        <v>0.74463239714804563</v>
      </c>
      <c r="BC11" s="173">
        <f t="shared" si="30"/>
        <v>0.18268599700475724</v>
      </c>
      <c r="BD11" s="173"/>
      <c r="BE11" s="528">
        <f t="shared" si="31"/>
        <v>7.6230371420295685E-4</v>
      </c>
      <c r="BF11" s="528">
        <f t="shared" si="32"/>
        <v>9.8887125399623063E-2</v>
      </c>
      <c r="BG11" s="528">
        <f t="shared" si="33"/>
        <v>5.7671573869945363E-2</v>
      </c>
      <c r="BH11" s="528">
        <f t="shared" si="34"/>
        <v>1.6247167969918579E-2</v>
      </c>
      <c r="BI11">
        <f t="shared" si="35"/>
        <v>1.0779844389772444E-2</v>
      </c>
      <c r="BJ11" s="460">
        <f t="shared" si="101"/>
        <v>68.451418259717798</v>
      </c>
      <c r="BK11">
        <f t="shared" si="36"/>
        <v>0.11612345175662604</v>
      </c>
      <c r="BL11" s="460">
        <f t="shared" si="102"/>
        <v>116.12345175662604</v>
      </c>
      <c r="BM11" s="173">
        <f t="shared" si="37"/>
        <v>3.7274999999999996E-2</v>
      </c>
      <c r="BN11" s="173">
        <f t="shared" si="38"/>
        <v>6.6562499999999998E-3</v>
      </c>
      <c r="BO11" s="528"/>
      <c r="BQ11" s="460">
        <f t="shared" si="103"/>
        <v>43.931249999999999</v>
      </c>
      <c r="BR11" s="528">
        <f t="shared" si="39"/>
        <v>1.1434555713044352E-3</v>
      </c>
      <c r="BS11" s="528">
        <f t="shared" si="104"/>
        <v>1.6634322206473342E-2</v>
      </c>
      <c r="BT11" s="528">
        <f t="shared" si="40"/>
        <v>1.6687086750811084E-4</v>
      </c>
      <c r="BU11" s="528">
        <f t="shared" si="41"/>
        <v>9.3405271730322755E-3</v>
      </c>
      <c r="BV11" s="528">
        <f t="shared" si="42"/>
        <v>3.1637309124893057E-2</v>
      </c>
      <c r="BW11" s="625">
        <f t="shared" si="43"/>
        <v>8.5599118925556636E-4</v>
      </c>
      <c r="BX11" s="460">
        <f t="shared" si="105"/>
        <v>32.49330031414862</v>
      </c>
      <c r="BY11" s="173">
        <f t="shared" si="106"/>
        <v>0.19254800207077466</v>
      </c>
      <c r="BZ11" s="5">
        <f t="shared" si="107"/>
        <v>1.1039999999999999</v>
      </c>
      <c r="CA11" s="173">
        <f t="shared" si="108"/>
        <v>0.85149180611651276</v>
      </c>
      <c r="CB11" s="5">
        <f t="shared" si="109"/>
        <v>85.149180611651275</v>
      </c>
      <c r="CC11">
        <f t="shared" si="110"/>
        <v>6</v>
      </c>
      <c r="CE11" s="562">
        <f t="shared" si="44"/>
        <v>-50</v>
      </c>
      <c r="CF11">
        <f t="shared" si="45"/>
        <v>-50</v>
      </c>
      <c r="CG11" s="173">
        <f t="shared" si="46"/>
        <v>9.0800015733164138E-2</v>
      </c>
      <c r="CH11" s="173">
        <f t="shared" si="47"/>
        <v>3.1726628364331766E-2</v>
      </c>
      <c r="CI11" s="170">
        <v>6</v>
      </c>
      <c r="CJ11" s="217">
        <f t="shared" si="133"/>
        <v>0.06</v>
      </c>
      <c r="CK11" s="217">
        <f t="shared" si="111"/>
        <v>1.4999999999999999E-2</v>
      </c>
      <c r="CL11" s="217">
        <f t="shared" si="48"/>
        <v>0.98399999999999987</v>
      </c>
      <c r="CM11" s="217">
        <f t="shared" si="134"/>
        <v>0.12</v>
      </c>
      <c r="CN11" s="541">
        <f t="shared" si="112"/>
        <v>24</v>
      </c>
      <c r="CO11" s="443">
        <f t="shared" si="49"/>
        <v>17.099999999999998</v>
      </c>
      <c r="CP11" s="443">
        <f t="shared" si="50"/>
        <v>41.099999999999994</v>
      </c>
      <c r="CQ11" s="443"/>
      <c r="CR11" s="217">
        <f t="shared" si="113"/>
        <v>0.41176470588235292</v>
      </c>
      <c r="CS11" s="172">
        <f t="shared" si="114"/>
        <v>29.36061381074169</v>
      </c>
      <c r="CT11" s="172">
        <f t="shared" si="51"/>
        <v>4.0172166427546641</v>
      </c>
      <c r="CU11" s="217">
        <f t="shared" si="52"/>
        <v>1.7902813299232738</v>
      </c>
      <c r="CV11" s="217">
        <f t="shared" si="53"/>
        <v>3.6700767263427112</v>
      </c>
      <c r="CW11" s="443">
        <f t="shared" si="54"/>
        <v>16.399999999999999</v>
      </c>
      <c r="CX11" s="217">
        <f t="shared" si="55"/>
        <v>0.22342857142857139</v>
      </c>
      <c r="CY11" s="217">
        <f t="shared" si="56"/>
        <v>0.1117142857142857</v>
      </c>
      <c r="CZ11" s="217">
        <f t="shared" si="57"/>
        <v>0.15679197994987468</v>
      </c>
      <c r="DA11" s="197">
        <f t="shared" si="58"/>
        <v>350</v>
      </c>
      <c r="DB11" s="443">
        <f t="shared" si="115"/>
        <v>350</v>
      </c>
      <c r="DD11" s="217">
        <f t="shared" si="59"/>
        <v>2.377476538060479</v>
      </c>
      <c r="DE11" s="173">
        <f t="shared" si="60"/>
        <v>1.668404588112617</v>
      </c>
      <c r="DF11" s="173">
        <f t="shared" si="61"/>
        <v>0.69415373374028577</v>
      </c>
      <c r="DG11" s="173"/>
      <c r="DH11" s="173">
        <f t="shared" si="62"/>
        <v>0.93567251461988332</v>
      </c>
      <c r="DI11" s="545">
        <f t="shared" si="63"/>
        <v>96.187499999999957</v>
      </c>
      <c r="DJ11" s="528">
        <f t="shared" si="64"/>
        <v>0.21832358674463945</v>
      </c>
      <c r="DL11" s="173">
        <f t="shared" si="65"/>
        <v>0.72506157373997249</v>
      </c>
      <c r="DM11" s="173">
        <f t="shared" si="66"/>
        <v>1.3333333333333335</v>
      </c>
      <c r="DN11" s="173">
        <f t="shared" si="67"/>
        <v>1.0549642857142858</v>
      </c>
      <c r="DP11" s="545">
        <f t="shared" si="68"/>
        <v>60</v>
      </c>
      <c r="DQ11" s="460">
        <f t="shared" si="69"/>
        <v>96.187499999999957</v>
      </c>
      <c r="DS11">
        <f t="shared" si="116"/>
        <v>60</v>
      </c>
      <c r="DT11" s="460">
        <f t="shared" si="70"/>
        <v>96.187499999999957</v>
      </c>
      <c r="DU11" s="460"/>
      <c r="DV11" s="5">
        <f t="shared" si="117"/>
        <v>10.396361273554261</v>
      </c>
      <c r="DW11" s="5">
        <f t="shared" si="71"/>
        <v>0.66666666666666685</v>
      </c>
      <c r="DX11" s="5">
        <f t="shared" si="118"/>
        <v>9.7296946068875947</v>
      </c>
      <c r="DY11" s="173">
        <f t="shared" si="119"/>
        <v>6.4124999999999988E-2</v>
      </c>
      <c r="EA11" s="5">
        <f t="shared" si="72"/>
        <v>0.24390243902439032</v>
      </c>
      <c r="EB11" s="5">
        <f t="shared" si="73"/>
        <v>0.12500000000000003</v>
      </c>
      <c r="EC11" s="5">
        <f t="shared" si="74"/>
        <v>0.33243123240199274</v>
      </c>
      <c r="ED11" s="5"/>
      <c r="EE11" s="173">
        <f t="shared" si="120"/>
        <v>0.19493588689617927</v>
      </c>
      <c r="EF11" s="173">
        <f t="shared" si="75"/>
        <v>0.74470973714098343</v>
      </c>
      <c r="EG11" s="173">
        <f t="shared" si="76"/>
        <v>0.1827049713789213</v>
      </c>
      <c r="EH11" s="173"/>
      <c r="EI11" s="528">
        <f t="shared" si="77"/>
        <v>7.6000000000000004E-4</v>
      </c>
      <c r="EJ11" s="528">
        <f t="shared" si="78"/>
        <v>0.10542149999999995</v>
      </c>
      <c r="EK11" s="528">
        <f t="shared" si="79"/>
        <v>1.2023437499999994E-2</v>
      </c>
      <c r="EL11" s="528">
        <f t="shared" si="80"/>
        <v>1.6248088687499988E-2</v>
      </c>
      <c r="EM11">
        <f t="shared" si="81"/>
        <v>1.0800000000000001E-2</v>
      </c>
      <c r="EN11" s="460">
        <f t="shared" si="121"/>
        <v>22.823437499999994</v>
      </c>
      <c r="EO11">
        <f t="shared" si="82"/>
        <v>0.1454844971960656</v>
      </c>
      <c r="EP11" s="460">
        <f t="shared" si="122"/>
        <v>145.4844971960656</v>
      </c>
      <c r="EQ11" s="173">
        <f t="shared" si="83"/>
        <v>3.7274999999999996E-2</v>
      </c>
      <c r="ER11" s="173">
        <f t="shared" si="84"/>
        <v>6.6562499999999998E-3</v>
      </c>
      <c r="ES11" s="528"/>
      <c r="EU11" s="460">
        <f t="shared" si="123"/>
        <v>43.931249999999999</v>
      </c>
      <c r="EV11" s="528">
        <f t="shared" si="85"/>
        <v>1.14E-3</v>
      </c>
      <c r="EW11" s="528">
        <f t="shared" si="124"/>
        <v>1.6637777777777779E-2</v>
      </c>
      <c r="EX11" s="528">
        <f t="shared" si="86"/>
        <v>1.6690553283286229E-4</v>
      </c>
      <c r="EY11" s="528">
        <f t="shared" si="87"/>
        <v>9.3135111491989032E-3</v>
      </c>
      <c r="EZ11" s="528">
        <f t="shared" si="88"/>
        <v>3.1610297396446774E-2</v>
      </c>
      <c r="FA11" s="625">
        <f t="shared" si="89"/>
        <v>8.5499999999999975E-4</v>
      </c>
      <c r="FB11" s="460">
        <f t="shared" si="125"/>
        <v>32.465297396446772</v>
      </c>
      <c r="FC11" s="173">
        <f t="shared" si="126"/>
        <v>0.22188104459251237</v>
      </c>
      <c r="FD11" s="5">
        <f t="shared" si="127"/>
        <v>1.1039999999999999</v>
      </c>
      <c r="FE11" s="173">
        <f t="shared" si="128"/>
        <v>0.8326538828672192</v>
      </c>
      <c r="FF11" s="5">
        <f t="shared" si="129"/>
        <v>83.265388286721915</v>
      </c>
      <c r="FG11">
        <f t="shared" si="130"/>
        <v>6</v>
      </c>
      <c r="FI11" s="562">
        <f t="shared" si="90"/>
        <v>-50</v>
      </c>
      <c r="FJ11">
        <f t="shared" si="91"/>
        <v>-50</v>
      </c>
      <c r="FL11">
        <f t="shared" si="92"/>
        <v>9.0800015733164138E-2</v>
      </c>
    </row>
    <row r="12" spans="2:169">
      <c r="E12" s="170">
        <v>7</v>
      </c>
      <c r="F12" s="217">
        <f t="shared" si="131"/>
        <v>7.0000000000000007E-2</v>
      </c>
      <c r="G12" s="217">
        <f t="shared" si="93"/>
        <v>1.7500000000000002E-2</v>
      </c>
      <c r="H12" s="217">
        <f t="shared" si="0"/>
        <v>1.1479999999999999</v>
      </c>
      <c r="I12" s="217">
        <f t="shared" si="132"/>
        <v>0.14000000000000001</v>
      </c>
      <c r="J12" s="541">
        <f t="shared" si="1"/>
        <v>23.955209755049875</v>
      </c>
      <c r="K12" s="443">
        <f t="shared" si="2"/>
        <v>17.119823785111333</v>
      </c>
      <c r="L12" s="172">
        <f t="shared" si="3"/>
        <v>41.075033540161208</v>
      </c>
      <c r="M12" s="443"/>
      <c r="N12" s="217">
        <f t="shared" si="4"/>
        <v>0.41679390884422252</v>
      </c>
      <c r="O12" s="172">
        <f t="shared" si="94"/>
        <v>29.663754054392026</v>
      </c>
      <c r="P12" s="172">
        <f t="shared" si="5"/>
        <v>4.0586932971506045</v>
      </c>
      <c r="Q12" s="217">
        <f t="shared" si="6"/>
        <v>1.8087654911214652</v>
      </c>
      <c r="R12" s="217">
        <f t="shared" si="7"/>
        <v>3.7079692567990032</v>
      </c>
      <c r="S12" s="443">
        <f t="shared" si="8"/>
        <v>16.399999999999999</v>
      </c>
      <c r="T12" s="217">
        <f t="shared" si="9"/>
        <v>0.25800285827950281</v>
      </c>
      <c r="U12" s="217">
        <f t="shared" si="10"/>
        <v>0.12924262951616922</v>
      </c>
      <c r="V12" s="217">
        <f t="shared" si="11"/>
        <v>0.18084498638628363</v>
      </c>
      <c r="W12" s="197">
        <f t="shared" si="12"/>
        <v>350</v>
      </c>
      <c r="X12" s="443">
        <f t="shared" si="95"/>
        <v>350</v>
      </c>
      <c r="Z12" s="217">
        <f t="shared" si="13"/>
        <v>2.3772346454739255</v>
      </c>
      <c r="AA12" s="173">
        <f t="shared" si="14"/>
        <v>1.6663031175879355</v>
      </c>
      <c r="AB12" s="173">
        <f t="shared" si="15"/>
        <v>0.69320886267346915</v>
      </c>
      <c r="AC12" s="173"/>
      <c r="AD12" s="173">
        <f t="shared" si="16"/>
        <v>0.93458905890811728</v>
      </c>
      <c r="AE12" s="545">
        <f t="shared" si="17"/>
        <v>112.34884358979309</v>
      </c>
      <c r="AF12" s="528">
        <f t="shared" si="18"/>
        <v>0.21807078041189407</v>
      </c>
      <c r="AH12" s="173">
        <f t="shared" si="19"/>
        <v>0.78315600829804866</v>
      </c>
      <c r="AI12" s="173">
        <f t="shared" si="20"/>
        <v>1.3333333333333335</v>
      </c>
      <c r="AJ12" s="173">
        <f t="shared" si="21"/>
        <v>1.0641993391941675</v>
      </c>
      <c r="AL12" s="545">
        <f t="shared" si="22"/>
        <v>70</v>
      </c>
      <c r="AM12" s="460">
        <f t="shared" si="23"/>
        <v>112.34884358979309</v>
      </c>
      <c r="AO12">
        <f t="shared" si="96"/>
        <v>70</v>
      </c>
      <c r="AP12" s="460">
        <f t="shared" si="24"/>
        <v>112.34884358979309</v>
      </c>
      <c r="AQ12" s="460"/>
      <c r="AR12" s="5">
        <f t="shared" si="97"/>
        <v>8.9008481800773076</v>
      </c>
      <c r="AS12" s="5">
        <f t="shared" si="25"/>
        <v>0.66791316643040977</v>
      </c>
      <c r="AT12" s="5">
        <f t="shared" si="98"/>
        <v>8.2329350136468982</v>
      </c>
      <c r="AU12" s="173">
        <f t="shared" si="99"/>
        <v>7.5039271866853552E-2</v>
      </c>
      <c r="AW12" s="5">
        <f t="shared" si="26"/>
        <v>0.28508488811054084</v>
      </c>
      <c r="AX12" s="5">
        <f t="shared" si="27"/>
        <v>0.14610600515665217</v>
      </c>
      <c r="AY12" s="5">
        <f t="shared" si="28"/>
        <v>0.32878754045259517</v>
      </c>
      <c r="AZ12" s="5"/>
      <c r="BA12" s="173">
        <f t="shared" si="100"/>
        <v>0.21087369836430325</v>
      </c>
      <c r="BB12" s="173">
        <f t="shared" si="29"/>
        <v>0.7403545609576222</v>
      </c>
      <c r="BC12" s="173">
        <f t="shared" si="30"/>
        <v>0.18163648482604502</v>
      </c>
      <c r="BD12" s="173"/>
      <c r="BE12" s="528">
        <f t="shared" si="31"/>
        <v>8.8935433323678297E-4</v>
      </c>
      <c r="BF12" s="528">
        <f t="shared" si="32"/>
        <v>0.11536831296622693</v>
      </c>
      <c r="BG12" s="528">
        <f t="shared" si="33"/>
        <v>6.7283502848269588E-2</v>
      </c>
      <c r="BH12" s="528">
        <f t="shared" si="34"/>
        <v>1.8955029298238342E-2</v>
      </c>
      <c r="BI12">
        <f t="shared" si="35"/>
        <v>1.0779844389772444E-2</v>
      </c>
      <c r="BJ12" s="460">
        <f t="shared" si="101"/>
        <v>78.063347238042041</v>
      </c>
      <c r="BK12">
        <f t="shared" si="36"/>
        <v>0.13548145093294939</v>
      </c>
      <c r="BL12" s="460">
        <f t="shared" si="102"/>
        <v>135.4814509329494</v>
      </c>
      <c r="BM12" s="173">
        <f t="shared" si="37"/>
        <v>4.3487499999999998E-2</v>
      </c>
      <c r="BN12" s="173">
        <f t="shared" si="38"/>
        <v>7.765625E-3</v>
      </c>
      <c r="BO12" s="528"/>
      <c r="BQ12" s="460">
        <f t="shared" si="103"/>
        <v>51.253124999999997</v>
      </c>
      <c r="BR12" s="528">
        <f t="shared" si="39"/>
        <v>1.3340314998551745E-3</v>
      </c>
      <c r="BS12" s="528">
        <f t="shared" si="104"/>
        <v>1.6443746277922607E-2</v>
      </c>
      <c r="BT12" s="528">
        <f t="shared" si="40"/>
        <v>1.6495906309981043E-4</v>
      </c>
      <c r="BU12" s="528">
        <f t="shared" si="41"/>
        <v>1.3732144421980981E-2</v>
      </c>
      <c r="BV12" s="528">
        <f t="shared" si="42"/>
        <v>3.6032860355147314E-2</v>
      </c>
      <c r="BW12" s="625">
        <f t="shared" si="43"/>
        <v>9.9865638746482769E-4</v>
      </c>
      <c r="BX12" s="460">
        <f t="shared" si="105"/>
        <v>37.031516742612141</v>
      </c>
      <c r="BY12" s="173">
        <f t="shared" si="106"/>
        <v>0.22376609267556152</v>
      </c>
      <c r="BZ12" s="5">
        <f t="shared" si="107"/>
        <v>1.2879999999999998</v>
      </c>
      <c r="CA12" s="173">
        <f t="shared" si="108"/>
        <v>0.85198365424406708</v>
      </c>
      <c r="CB12" s="5">
        <f t="shared" si="109"/>
        <v>85.198365424406703</v>
      </c>
      <c r="CC12">
        <f t="shared" si="110"/>
        <v>7.0000000000000009</v>
      </c>
      <c r="CE12" s="562">
        <f t="shared" si="44"/>
        <v>-50</v>
      </c>
      <c r="CF12">
        <f t="shared" si="45"/>
        <v>-50</v>
      </c>
      <c r="CG12" s="173">
        <f t="shared" si="46"/>
        <v>0.1059333516886915</v>
      </c>
      <c r="CH12" s="173">
        <f t="shared" si="47"/>
        <v>3.7014399758387072E-2</v>
      </c>
      <c r="CI12" s="170">
        <v>7</v>
      </c>
      <c r="CJ12" s="217">
        <f t="shared" si="133"/>
        <v>7.0000000000000007E-2</v>
      </c>
      <c r="CK12" s="217">
        <f t="shared" si="111"/>
        <v>1.7500000000000002E-2</v>
      </c>
      <c r="CL12" s="217">
        <f t="shared" si="48"/>
        <v>1.1479999999999999</v>
      </c>
      <c r="CM12" s="217">
        <f t="shared" si="134"/>
        <v>0.14000000000000001</v>
      </c>
      <c r="CN12" s="541">
        <f t="shared" si="112"/>
        <v>24</v>
      </c>
      <c r="CO12" s="443">
        <f t="shared" si="49"/>
        <v>17.099999999999998</v>
      </c>
      <c r="CP12" s="443">
        <f t="shared" si="50"/>
        <v>41.099999999999994</v>
      </c>
      <c r="CQ12" s="443"/>
      <c r="CR12" s="217">
        <f t="shared" si="113"/>
        <v>0.41176470588235292</v>
      </c>
      <c r="CS12" s="172">
        <f t="shared" si="114"/>
        <v>29.36061381074169</v>
      </c>
      <c r="CT12" s="172">
        <f t="shared" si="51"/>
        <v>4.0172166427546641</v>
      </c>
      <c r="CU12" s="217">
        <f t="shared" si="52"/>
        <v>1.7902813299232738</v>
      </c>
      <c r="CV12" s="217">
        <f t="shared" si="53"/>
        <v>3.6700767263427112</v>
      </c>
      <c r="CW12" s="443">
        <f t="shared" si="54"/>
        <v>16.399999999999999</v>
      </c>
      <c r="CX12" s="217">
        <f t="shared" si="55"/>
        <v>0.2606666666666666</v>
      </c>
      <c r="CY12" s="217">
        <f t="shared" si="56"/>
        <v>0.1303333333333333</v>
      </c>
      <c r="CZ12" s="217">
        <f t="shared" si="57"/>
        <v>0.1829239766081871</v>
      </c>
      <c r="DA12" s="197">
        <f t="shared" si="58"/>
        <v>350</v>
      </c>
      <c r="DB12" s="443">
        <f t="shared" si="115"/>
        <v>350</v>
      </c>
      <c r="DD12" s="217">
        <f t="shared" si="59"/>
        <v>2.377476538060479</v>
      </c>
      <c r="DE12" s="173">
        <f t="shared" si="60"/>
        <v>1.668404588112617</v>
      </c>
      <c r="DF12" s="173">
        <f t="shared" si="61"/>
        <v>0.69415373374028577</v>
      </c>
      <c r="DG12" s="173"/>
      <c r="DH12" s="173">
        <f t="shared" si="62"/>
        <v>0.93567251461988332</v>
      </c>
      <c r="DI12" s="545">
        <f t="shared" si="63"/>
        <v>112.21874999999997</v>
      </c>
      <c r="DJ12" s="528">
        <f t="shared" si="64"/>
        <v>0.21832358674463945</v>
      </c>
      <c r="DL12" s="173">
        <f t="shared" si="65"/>
        <v>0.78315600829804866</v>
      </c>
      <c r="DM12" s="173">
        <f t="shared" si="66"/>
        <v>1.3333333333333335</v>
      </c>
      <c r="DN12" s="173">
        <f t="shared" si="67"/>
        <v>1.064125</v>
      </c>
      <c r="DP12" s="545">
        <f t="shared" si="68"/>
        <v>70</v>
      </c>
      <c r="DQ12" s="460">
        <f t="shared" si="69"/>
        <v>112.21874999999997</v>
      </c>
      <c r="DS12">
        <f t="shared" si="116"/>
        <v>70</v>
      </c>
      <c r="DT12" s="460">
        <f t="shared" si="70"/>
        <v>112.21874999999997</v>
      </c>
      <c r="DU12" s="460"/>
      <c r="DV12" s="5">
        <f t="shared" si="117"/>
        <v>8.9111668059036511</v>
      </c>
      <c r="DW12" s="5">
        <f t="shared" si="71"/>
        <v>0.66666666666666685</v>
      </c>
      <c r="DX12" s="5">
        <f t="shared" si="118"/>
        <v>8.244500139236985</v>
      </c>
      <c r="DY12" s="173">
        <f t="shared" si="119"/>
        <v>7.481249999999999E-2</v>
      </c>
      <c r="EA12" s="5">
        <f t="shared" si="72"/>
        <v>0.28455284552845544</v>
      </c>
      <c r="EB12" s="5">
        <f t="shared" si="73"/>
        <v>0.14583333333333337</v>
      </c>
      <c r="EC12" s="5">
        <f t="shared" si="74"/>
        <v>0.32863493610569644</v>
      </c>
      <c r="ED12" s="5"/>
      <c r="EE12" s="173">
        <f t="shared" si="120"/>
        <v>0.21055482263138342</v>
      </c>
      <c r="EF12" s="173">
        <f t="shared" si="75"/>
        <v>0.74044531145740911</v>
      </c>
      <c r="EG12" s="173">
        <f t="shared" si="76"/>
        <v>0.18165874929586362</v>
      </c>
      <c r="EH12" s="173"/>
      <c r="EI12" s="528">
        <f t="shared" si="77"/>
        <v>8.8666666666666657E-4</v>
      </c>
      <c r="EJ12" s="528">
        <f t="shared" si="78"/>
        <v>0.12299174999999997</v>
      </c>
      <c r="EK12" s="528">
        <f t="shared" si="79"/>
        <v>1.4027343749999997E-2</v>
      </c>
      <c r="EL12" s="528">
        <f t="shared" si="80"/>
        <v>1.8956103468749989E-2</v>
      </c>
      <c r="EM12">
        <f t="shared" si="81"/>
        <v>1.0800000000000001E-2</v>
      </c>
      <c r="EN12" s="460">
        <f t="shared" si="121"/>
        <v>24.827343749999997</v>
      </c>
      <c r="EO12">
        <f t="shared" si="82"/>
        <v>0.16793664343396214</v>
      </c>
      <c r="EP12" s="460">
        <f t="shared" si="122"/>
        <v>167.93664343396213</v>
      </c>
      <c r="EQ12" s="173">
        <f t="shared" si="83"/>
        <v>4.3487499999999998E-2</v>
      </c>
      <c r="ER12" s="173">
        <f t="shared" si="84"/>
        <v>7.765625E-3</v>
      </c>
      <c r="ES12" s="528"/>
      <c r="EU12" s="460">
        <f t="shared" si="123"/>
        <v>51.253124999999997</v>
      </c>
      <c r="EV12" s="528">
        <f t="shared" si="85"/>
        <v>1.3299999999999998E-3</v>
      </c>
      <c r="EW12" s="528">
        <f t="shared" si="124"/>
        <v>1.6447777777777787E-2</v>
      </c>
      <c r="EX12" s="528">
        <f t="shared" si="86"/>
        <v>1.6499950597868715E-4</v>
      </c>
      <c r="EY12" s="528">
        <f t="shared" si="87"/>
        <v>1.3692426327475686E-2</v>
      </c>
      <c r="EZ12" s="528">
        <f t="shared" si="88"/>
        <v>3.5993135504461767E-2</v>
      </c>
      <c r="FA12" s="625">
        <f t="shared" si="89"/>
        <v>9.9749999999999991E-4</v>
      </c>
      <c r="FB12" s="460">
        <f t="shared" si="125"/>
        <v>36.990635504461764</v>
      </c>
      <c r="FC12" s="173">
        <f t="shared" si="126"/>
        <v>0.2561804039384239</v>
      </c>
      <c r="FD12" s="5">
        <f t="shared" si="127"/>
        <v>1.2879999999999998</v>
      </c>
      <c r="FE12" s="173">
        <f t="shared" si="128"/>
        <v>0.83409943340490711</v>
      </c>
      <c r="FF12" s="5">
        <f t="shared" si="129"/>
        <v>83.409943340490713</v>
      </c>
      <c r="FG12">
        <f t="shared" si="130"/>
        <v>7.0000000000000009</v>
      </c>
      <c r="FI12" s="562">
        <f t="shared" si="90"/>
        <v>-50</v>
      </c>
      <c r="FJ12">
        <f t="shared" si="91"/>
        <v>-50</v>
      </c>
      <c r="FL12">
        <f t="shared" si="92"/>
        <v>0.1059333516886915</v>
      </c>
    </row>
    <row r="13" spans="2:169" s="76" customFormat="1">
      <c r="E13" s="189">
        <v>8</v>
      </c>
      <c r="F13" s="217">
        <f t="shared" si="131"/>
        <v>0.08</v>
      </c>
      <c r="G13" s="217">
        <f t="shared" si="93"/>
        <v>0.02</v>
      </c>
      <c r="H13" s="217">
        <f t="shared" si="0"/>
        <v>1.3119999999999998</v>
      </c>
      <c r="I13" s="217">
        <f t="shared" si="132"/>
        <v>0.16</v>
      </c>
      <c r="J13" s="541">
        <f t="shared" si="1"/>
        <v>23.955209755049875</v>
      </c>
      <c r="K13" s="443">
        <f t="shared" si="2"/>
        <v>17.119823785111333</v>
      </c>
      <c r="L13" s="172">
        <f t="shared" si="3"/>
        <v>41.075033540161208</v>
      </c>
      <c r="M13" s="443"/>
      <c r="N13" s="217">
        <f t="shared" si="4"/>
        <v>0.41679390884422252</v>
      </c>
      <c r="O13" s="172">
        <f t="shared" si="94"/>
        <v>29.663754054392026</v>
      </c>
      <c r="P13" s="172">
        <f t="shared" si="5"/>
        <v>4.0586932971506045</v>
      </c>
      <c r="Q13" s="329">
        <f t="shared" si="6"/>
        <v>1.8087654911214652</v>
      </c>
      <c r="R13" s="217">
        <f t="shared" si="7"/>
        <v>3.7079692567990032</v>
      </c>
      <c r="S13" s="443">
        <f t="shared" si="8"/>
        <v>16.399999999999999</v>
      </c>
      <c r="T13" s="217">
        <f t="shared" si="9"/>
        <v>0.29486040946228892</v>
      </c>
      <c r="U13" s="329">
        <f t="shared" si="10"/>
        <v>0.14770586230419339</v>
      </c>
      <c r="V13" s="217">
        <f t="shared" si="11"/>
        <v>0.20667998444146701</v>
      </c>
      <c r="W13" s="537">
        <f t="shared" si="12"/>
        <v>350</v>
      </c>
      <c r="X13" s="443">
        <f t="shared" si="95"/>
        <v>350</v>
      </c>
      <c r="Z13" s="329">
        <f t="shared" si="13"/>
        <v>2.3772346454739255</v>
      </c>
      <c r="AA13" s="173">
        <f t="shared" si="14"/>
        <v>1.6663031175879355</v>
      </c>
      <c r="AB13" s="173">
        <f t="shared" si="15"/>
        <v>0.69320886267346915</v>
      </c>
      <c r="AC13" s="538"/>
      <c r="AD13" s="173">
        <f t="shared" si="16"/>
        <v>0.93458905890811728</v>
      </c>
      <c r="AE13" s="545">
        <f t="shared" si="17"/>
        <v>128.39867838833496</v>
      </c>
      <c r="AF13" s="528">
        <f t="shared" si="18"/>
        <v>0.21807078041189407</v>
      </c>
      <c r="AG13"/>
      <c r="AH13" s="173">
        <f t="shared" si="19"/>
        <v>0.83722898955565361</v>
      </c>
      <c r="AI13" s="173">
        <f t="shared" si="20"/>
        <v>1.3333333333333335</v>
      </c>
      <c r="AJ13" s="173">
        <f t="shared" si="21"/>
        <v>1.0733706733647628</v>
      </c>
      <c r="AL13" s="545">
        <f t="shared" si="22"/>
        <v>80</v>
      </c>
      <c r="AM13" s="460">
        <f t="shared" si="23"/>
        <v>128.39867838833496</v>
      </c>
      <c r="AO13">
        <f t="shared" si="96"/>
        <v>80</v>
      </c>
      <c r="AP13" s="460">
        <f t="shared" si="24"/>
        <v>128.39867838833496</v>
      </c>
      <c r="AQ13" s="460"/>
      <c r="AR13" s="5">
        <f t="shared" si="97"/>
        <v>7.7882421575676446</v>
      </c>
      <c r="AS13" s="5">
        <f t="shared" si="25"/>
        <v>0.66791316643040977</v>
      </c>
      <c r="AT13" s="5">
        <f t="shared" si="98"/>
        <v>7.1203289911372352</v>
      </c>
      <c r="AU13" s="173">
        <f t="shared" si="99"/>
        <v>8.5759167847832635E-2</v>
      </c>
      <c r="AW13" s="5">
        <f t="shared" si="26"/>
        <v>0.32581130069776093</v>
      </c>
      <c r="AX13" s="5">
        <f t="shared" si="27"/>
        <v>0.16697829160760244</v>
      </c>
      <c r="AY13" s="5">
        <f t="shared" si="28"/>
        <v>0.32497703463727545</v>
      </c>
      <c r="AZ13" s="5"/>
      <c r="BA13" s="173">
        <f t="shared" si="100"/>
        <v>0.22543346604603867</v>
      </c>
      <c r="BB13" s="173">
        <f t="shared" si="29"/>
        <v>0.73605186296827096</v>
      </c>
      <c r="BC13" s="173">
        <f t="shared" si="30"/>
        <v>0.18058087312420992</v>
      </c>
      <c r="BD13" s="173"/>
      <c r="BE13" s="528">
        <f t="shared" si="31"/>
        <v>1.0164049522706094E-3</v>
      </c>
      <c r="BF13" s="528">
        <f t="shared" si="32"/>
        <v>0.13184950053283076</v>
      </c>
      <c r="BG13" s="528">
        <f t="shared" si="33"/>
        <v>7.6895431826593821E-2</v>
      </c>
      <c r="BH13" s="528">
        <f t="shared" si="34"/>
        <v>2.1662890626558105E-2</v>
      </c>
      <c r="BI13">
        <f t="shared" si="35"/>
        <v>1.0779844389772444E-2</v>
      </c>
      <c r="BJ13" s="460">
        <f t="shared" si="101"/>
        <v>87.675276216366271</v>
      </c>
      <c r="BK13">
        <f t="shared" si="36"/>
        <v>0.15484061912022026</v>
      </c>
      <c r="BL13" s="460">
        <f t="shared" si="102"/>
        <v>154.84061912022025</v>
      </c>
      <c r="BM13" s="173">
        <f t="shared" si="37"/>
        <v>4.9699999999999994E-2</v>
      </c>
      <c r="BN13" s="173">
        <f t="shared" si="38"/>
        <v>8.8749999999999992E-3</v>
      </c>
      <c r="BO13" s="528"/>
      <c r="BQ13" s="460">
        <f t="shared" si="103"/>
        <v>58.574999999999996</v>
      </c>
      <c r="BR13" s="528">
        <f t="shared" si="39"/>
        <v>1.5246074284059139E-3</v>
      </c>
      <c r="BS13" s="528">
        <f t="shared" si="104"/>
        <v>1.6253170349371869E-2</v>
      </c>
      <c r="BT13" s="528">
        <f t="shared" si="40"/>
        <v>1.6304725869151001E-4</v>
      </c>
      <c r="BU13" s="528">
        <f t="shared" si="41"/>
        <v>1.9174243120793581E-2</v>
      </c>
      <c r="BV13" s="528">
        <f t="shared" si="42"/>
        <v>4.1480401576185169E-2</v>
      </c>
      <c r="BW13" s="625">
        <f t="shared" si="43"/>
        <v>1.1413215856740887E-3</v>
      </c>
      <c r="BX13" s="460">
        <f t="shared" si="105"/>
        <v>42.621723161859258</v>
      </c>
      <c r="BY13" s="173">
        <f t="shared" si="106"/>
        <v>0.25603734228207953</v>
      </c>
      <c r="BZ13" s="5">
        <f t="shared" si="107"/>
        <v>1.4719999999999998</v>
      </c>
      <c r="CA13" s="173">
        <f t="shared" si="108"/>
        <v>0.85183344363151803</v>
      </c>
      <c r="CB13" s="5">
        <f t="shared" si="109"/>
        <v>85.183344363151804</v>
      </c>
      <c r="CC13">
        <f t="shared" si="110"/>
        <v>8</v>
      </c>
      <c r="CE13" s="562">
        <f t="shared" si="44"/>
        <v>-50</v>
      </c>
      <c r="CF13">
        <f t="shared" si="45"/>
        <v>-50</v>
      </c>
      <c r="CG13" s="173">
        <f t="shared" si="46"/>
        <v>0.12106668764421885</v>
      </c>
      <c r="CH13" s="173">
        <f t="shared" si="47"/>
        <v>4.2302171152442357E-2</v>
      </c>
      <c r="CI13" s="189">
        <v>8</v>
      </c>
      <c r="CJ13" s="217">
        <f t="shared" si="133"/>
        <v>0.08</v>
      </c>
      <c r="CK13" s="217">
        <f t="shared" si="111"/>
        <v>0.02</v>
      </c>
      <c r="CL13" s="217">
        <f t="shared" si="48"/>
        <v>1.3119999999999998</v>
      </c>
      <c r="CM13" s="217">
        <f t="shared" si="134"/>
        <v>0.16</v>
      </c>
      <c r="CN13" s="541">
        <f t="shared" si="112"/>
        <v>24</v>
      </c>
      <c r="CO13" s="443">
        <f t="shared" si="49"/>
        <v>17.099999999999998</v>
      </c>
      <c r="CP13" s="443">
        <f t="shared" si="50"/>
        <v>41.099999999999994</v>
      </c>
      <c r="CQ13" s="535"/>
      <c r="CR13" s="329">
        <f t="shared" si="113"/>
        <v>0.41176470588235292</v>
      </c>
      <c r="CS13" s="172">
        <f t="shared" si="114"/>
        <v>29.36061381074169</v>
      </c>
      <c r="CT13" s="172">
        <f t="shared" si="51"/>
        <v>4.0172166427546641</v>
      </c>
      <c r="CU13" s="329">
        <f t="shared" si="52"/>
        <v>1.7902813299232738</v>
      </c>
      <c r="CV13" s="217">
        <f t="shared" si="53"/>
        <v>3.6700767263427112</v>
      </c>
      <c r="CW13" s="443">
        <f t="shared" si="54"/>
        <v>16.399999999999999</v>
      </c>
      <c r="CX13" s="217">
        <f t="shared" si="55"/>
        <v>0.29790476190476184</v>
      </c>
      <c r="CY13" s="329">
        <f t="shared" si="56"/>
        <v>0.14895238095238092</v>
      </c>
      <c r="CZ13" s="217">
        <f t="shared" si="57"/>
        <v>0.20905597326649958</v>
      </c>
      <c r="DA13" s="537">
        <f t="shared" si="58"/>
        <v>350</v>
      </c>
      <c r="DB13" s="535">
        <f t="shared" si="115"/>
        <v>350</v>
      </c>
      <c r="DD13" s="329">
        <f t="shared" si="59"/>
        <v>2.377476538060479</v>
      </c>
      <c r="DE13" s="173">
        <f t="shared" si="60"/>
        <v>1.668404588112617</v>
      </c>
      <c r="DF13" s="173">
        <f t="shared" si="61"/>
        <v>0.69415373374028577</v>
      </c>
      <c r="DG13" s="538"/>
      <c r="DH13" s="173">
        <f t="shared" si="62"/>
        <v>0.93567251461988332</v>
      </c>
      <c r="DI13" s="545">
        <f t="shared" si="63"/>
        <v>128.24999999999994</v>
      </c>
      <c r="DJ13" s="528">
        <f t="shared" si="64"/>
        <v>0.21832358674463945</v>
      </c>
      <c r="DK13"/>
      <c r="DL13" s="173">
        <f t="shared" si="65"/>
        <v>0.83722898955565361</v>
      </c>
      <c r="DM13" s="173">
        <f t="shared" si="66"/>
        <v>1.3333333333333335</v>
      </c>
      <c r="DN13" s="173">
        <f t="shared" si="67"/>
        <v>1.0732857142857142</v>
      </c>
      <c r="DP13" s="545">
        <f t="shared" si="68"/>
        <v>80</v>
      </c>
      <c r="DQ13" s="460">
        <f t="shared" si="69"/>
        <v>128.24999999999994</v>
      </c>
      <c r="DS13">
        <f t="shared" si="116"/>
        <v>80</v>
      </c>
      <c r="DT13" s="460">
        <f t="shared" si="70"/>
        <v>128.24999999999994</v>
      </c>
      <c r="DU13" s="460"/>
      <c r="DV13" s="5">
        <f t="shared" si="117"/>
        <v>7.7972709551656951</v>
      </c>
      <c r="DW13" s="5">
        <f t="shared" si="71"/>
        <v>0.66666666666666685</v>
      </c>
      <c r="DX13" s="5">
        <f t="shared" si="118"/>
        <v>7.1306042884990282</v>
      </c>
      <c r="DY13" s="173">
        <f t="shared" si="119"/>
        <v>8.5499999999999993E-2</v>
      </c>
      <c r="EA13" s="5">
        <f t="shared" si="72"/>
        <v>0.32520325203252048</v>
      </c>
      <c r="EB13" s="5">
        <f t="shared" si="73"/>
        <v>0.16666666666666671</v>
      </c>
      <c r="EC13" s="5">
        <f t="shared" si="74"/>
        <v>0.32483863980940009</v>
      </c>
      <c r="ED13" s="5"/>
      <c r="EE13" s="173">
        <f t="shared" si="120"/>
        <v>0.22509257354845513</v>
      </c>
      <c r="EF13" s="173">
        <f t="shared" si="75"/>
        <v>0.73615618310649678</v>
      </c>
      <c r="EG13" s="173">
        <f t="shared" si="76"/>
        <v>0.18060646673057523</v>
      </c>
      <c r="EH13" s="173"/>
      <c r="EI13" s="528">
        <f t="shared" si="77"/>
        <v>1.0133333333333338E-3</v>
      </c>
      <c r="EJ13" s="528">
        <f t="shared" si="78"/>
        <v>0.14056199999999994</v>
      </c>
      <c r="EK13" s="528">
        <f t="shared" si="79"/>
        <v>1.6031249999999993E-2</v>
      </c>
      <c r="EL13" s="528">
        <f t="shared" si="80"/>
        <v>2.1664118249999986E-2</v>
      </c>
      <c r="EM13">
        <f t="shared" si="81"/>
        <v>1.0800000000000001E-2</v>
      </c>
      <c r="EN13" s="460">
        <f t="shared" si="121"/>
        <v>26.831249999999994</v>
      </c>
      <c r="EO13">
        <f t="shared" si="82"/>
        <v>0.19039014143690672</v>
      </c>
      <c r="EP13" s="460">
        <f t="shared" si="122"/>
        <v>190.39014143690673</v>
      </c>
      <c r="EQ13" s="173">
        <f t="shared" si="83"/>
        <v>4.9699999999999994E-2</v>
      </c>
      <c r="ER13" s="173">
        <f t="shared" si="84"/>
        <v>8.8749999999999992E-3</v>
      </c>
      <c r="ES13" s="528"/>
      <c r="EU13" s="460">
        <f t="shared" si="123"/>
        <v>58.574999999999996</v>
      </c>
      <c r="EV13" s="528">
        <f t="shared" si="85"/>
        <v>1.5200000000000005E-3</v>
      </c>
      <c r="EW13" s="528">
        <f t="shared" si="124"/>
        <v>1.6257777777777781E-2</v>
      </c>
      <c r="EX13" s="528">
        <f t="shared" si="86"/>
        <v>1.6309347912451191E-4</v>
      </c>
      <c r="EY13" s="528">
        <f t="shared" si="87"/>
        <v>1.9118784601210893E-2</v>
      </c>
      <c r="EZ13" s="528">
        <f t="shared" si="88"/>
        <v>4.1424920893576057E-2</v>
      </c>
      <c r="FA13" s="625">
        <f t="shared" si="89"/>
        <v>1.1399999999999997E-3</v>
      </c>
      <c r="FB13" s="460">
        <f t="shared" si="125"/>
        <v>42.564920893576058</v>
      </c>
      <c r="FC13" s="173">
        <f t="shared" si="126"/>
        <v>0.29153006233048273</v>
      </c>
      <c r="FD13" s="5">
        <f t="shared" si="127"/>
        <v>1.4719999999999998</v>
      </c>
      <c r="FE13" s="173">
        <f t="shared" si="128"/>
        <v>0.83468948527861819</v>
      </c>
      <c r="FF13" s="5">
        <f t="shared" si="129"/>
        <v>83.468948527861812</v>
      </c>
      <c r="FG13">
        <f t="shared" si="130"/>
        <v>8</v>
      </c>
      <c r="FI13" s="562">
        <f t="shared" si="90"/>
        <v>-50</v>
      </c>
      <c r="FJ13">
        <f t="shared" si="91"/>
        <v>-50</v>
      </c>
      <c r="FL13">
        <f t="shared" si="92"/>
        <v>0.12106668764421885</v>
      </c>
    </row>
    <row r="14" spans="2:169">
      <c r="E14" s="170">
        <v>9</v>
      </c>
      <c r="F14" s="217">
        <f t="shared" si="131"/>
        <v>0.09</v>
      </c>
      <c r="G14" s="217">
        <f t="shared" si="93"/>
        <v>2.2499999999999999E-2</v>
      </c>
      <c r="H14" s="217">
        <f t="shared" si="0"/>
        <v>1.4759999999999998</v>
      </c>
      <c r="I14" s="217">
        <f t="shared" si="132"/>
        <v>0.18</v>
      </c>
      <c r="J14" s="541">
        <f t="shared" si="1"/>
        <v>23.955209755049875</v>
      </c>
      <c r="K14" s="443">
        <f t="shared" si="2"/>
        <v>17.119823785111333</v>
      </c>
      <c r="L14" s="172">
        <f t="shared" si="3"/>
        <v>41.075033540161208</v>
      </c>
      <c r="M14" s="443"/>
      <c r="N14" s="217">
        <f t="shared" si="4"/>
        <v>0.41679390884422252</v>
      </c>
      <c r="O14" s="172">
        <f t="shared" si="94"/>
        <v>29.663754054392026</v>
      </c>
      <c r="P14" s="172">
        <f t="shared" si="5"/>
        <v>4.0586932971506045</v>
      </c>
      <c r="Q14" s="217">
        <f t="shared" si="6"/>
        <v>1.8087654911214652</v>
      </c>
      <c r="R14" s="217">
        <f t="shared" si="7"/>
        <v>3.7079692567990032</v>
      </c>
      <c r="S14" s="443">
        <f t="shared" si="8"/>
        <v>16.399999999999999</v>
      </c>
      <c r="T14" s="217">
        <f t="shared" si="9"/>
        <v>0.33171796064507503</v>
      </c>
      <c r="U14" s="217">
        <f t="shared" si="10"/>
        <v>0.16616909509221756</v>
      </c>
      <c r="V14" s="217">
        <f t="shared" si="11"/>
        <v>0.2325149824966504</v>
      </c>
      <c r="W14" s="197">
        <f t="shared" si="12"/>
        <v>350</v>
      </c>
      <c r="X14" s="443">
        <f t="shared" si="95"/>
        <v>350</v>
      </c>
      <c r="Z14" s="217">
        <f t="shared" si="13"/>
        <v>2.3772346454739255</v>
      </c>
      <c r="AA14" s="173">
        <f t="shared" si="14"/>
        <v>1.6663031175879355</v>
      </c>
      <c r="AB14" s="173">
        <f t="shared" si="15"/>
        <v>0.69320886267346915</v>
      </c>
      <c r="AC14" s="173"/>
      <c r="AD14" s="173">
        <f t="shared" si="16"/>
        <v>0.93458905890811728</v>
      </c>
      <c r="AE14" s="545">
        <f t="shared" si="17"/>
        <v>144.4485131868768</v>
      </c>
      <c r="AF14" s="528">
        <f t="shared" si="18"/>
        <v>0.21807078041189407</v>
      </c>
      <c r="AH14" s="173">
        <f t="shared" si="19"/>
        <v>0.88801544388114573</v>
      </c>
      <c r="AI14" s="173">
        <f t="shared" si="20"/>
        <v>1.3333333333333335</v>
      </c>
      <c r="AJ14" s="173">
        <f t="shared" si="21"/>
        <v>1.0825420075353582</v>
      </c>
      <c r="AL14" s="545">
        <f t="shared" si="22"/>
        <v>90</v>
      </c>
      <c r="AM14" s="460">
        <f t="shared" si="23"/>
        <v>144.4485131868768</v>
      </c>
      <c r="AO14">
        <f t="shared" si="96"/>
        <v>90</v>
      </c>
      <c r="AP14" s="460">
        <f t="shared" si="24"/>
        <v>144.4485131868768</v>
      </c>
      <c r="AQ14" s="460"/>
      <c r="AR14" s="5">
        <f t="shared" si="97"/>
        <v>6.9228819178379091</v>
      </c>
      <c r="AS14" s="5">
        <f t="shared" si="25"/>
        <v>0.66791316643040977</v>
      </c>
      <c r="AT14" s="5">
        <f t="shared" si="98"/>
        <v>6.2549687514074996</v>
      </c>
      <c r="AU14" s="173">
        <f t="shared" si="99"/>
        <v>9.6479063828811662E-2</v>
      </c>
      <c r="AW14" s="5">
        <f t="shared" si="26"/>
        <v>0.36653771328498097</v>
      </c>
      <c r="AX14" s="5">
        <f t="shared" si="27"/>
        <v>0.18785057805855274</v>
      </c>
      <c r="AY14" s="5">
        <f t="shared" si="28"/>
        <v>0.32116652882195579</v>
      </c>
      <c r="AZ14" s="5"/>
      <c r="BA14" s="173">
        <f t="shared" si="100"/>
        <v>0.23910829882131179</v>
      </c>
      <c r="BB14" s="173">
        <f t="shared" si="29"/>
        <v>0.73172386460151129</v>
      </c>
      <c r="BC14" s="173">
        <f t="shared" si="30"/>
        <v>0.1795190542996534</v>
      </c>
      <c r="BD14" s="173"/>
      <c r="BE14" s="528">
        <f t="shared" si="31"/>
        <v>1.1434555713044348E-3</v>
      </c>
      <c r="BF14" s="528">
        <f t="shared" si="32"/>
        <v>0.14833068809943459</v>
      </c>
      <c r="BG14" s="528">
        <f t="shared" si="33"/>
        <v>8.6507360804918026E-2</v>
      </c>
      <c r="BH14" s="528">
        <f t="shared" si="34"/>
        <v>2.4370751954877864E-2</v>
      </c>
      <c r="BI14">
        <f t="shared" si="35"/>
        <v>1.0779844389772444E-2</v>
      </c>
      <c r="BJ14" s="460">
        <f t="shared" si="101"/>
        <v>97.287205194690472</v>
      </c>
      <c r="BK14">
        <f t="shared" si="36"/>
        <v>0.17420095642433511</v>
      </c>
      <c r="BL14" s="460">
        <f t="shared" si="102"/>
        <v>174.20095642433512</v>
      </c>
      <c r="BM14" s="173">
        <f t="shared" si="37"/>
        <v>5.5912499999999997E-2</v>
      </c>
      <c r="BN14" s="173">
        <f t="shared" si="38"/>
        <v>9.9843749999999985E-3</v>
      </c>
      <c r="BO14" s="528"/>
      <c r="BQ14" s="460">
        <f t="shared" si="103"/>
        <v>65.896874999999994</v>
      </c>
      <c r="BR14" s="528">
        <f t="shared" si="39"/>
        <v>1.7151833569566521E-3</v>
      </c>
      <c r="BS14" s="528">
        <f t="shared" si="104"/>
        <v>1.6062594420821124E-2</v>
      </c>
      <c r="BT14" s="528">
        <f t="shared" si="40"/>
        <v>1.6113545428320951E-4</v>
      </c>
      <c r="BU14" s="528">
        <f t="shared" si="41"/>
        <v>2.573946619034638E-2</v>
      </c>
      <c r="BV14" s="528">
        <f t="shared" si="42"/>
        <v>4.8052679626132494E-2</v>
      </c>
      <c r="BW14" s="625">
        <f t="shared" si="43"/>
        <v>1.2839867838833495E-3</v>
      </c>
      <c r="BX14" s="460">
        <f t="shared" si="105"/>
        <v>49.336666410015845</v>
      </c>
      <c r="BY14" s="173">
        <f t="shared" si="106"/>
        <v>0.28943449783435099</v>
      </c>
      <c r="BZ14" s="5">
        <f t="shared" si="107"/>
        <v>1.6559999999999997</v>
      </c>
      <c r="CA14" s="173">
        <f t="shared" si="108"/>
        <v>0.85122372500510901</v>
      </c>
      <c r="CB14" s="5">
        <f t="shared" si="109"/>
        <v>85.122372500510906</v>
      </c>
      <c r="CC14">
        <f t="shared" si="110"/>
        <v>9</v>
      </c>
      <c r="CE14" s="562">
        <f t="shared" si="44"/>
        <v>-50</v>
      </c>
      <c r="CF14">
        <f t="shared" si="45"/>
        <v>-50</v>
      </c>
      <c r="CG14" s="173">
        <f t="shared" si="46"/>
        <v>0.13620002359974623</v>
      </c>
      <c r="CH14" s="173">
        <f t="shared" si="47"/>
        <v>4.7589942546497656E-2</v>
      </c>
      <c r="CI14" s="170">
        <v>9</v>
      </c>
      <c r="CJ14" s="217">
        <f t="shared" si="133"/>
        <v>0.09</v>
      </c>
      <c r="CK14" s="217">
        <f t="shared" si="111"/>
        <v>2.2499999999999999E-2</v>
      </c>
      <c r="CL14" s="217">
        <f t="shared" si="48"/>
        <v>1.4759999999999998</v>
      </c>
      <c r="CM14" s="217">
        <f t="shared" si="134"/>
        <v>0.18</v>
      </c>
      <c r="CN14" s="541">
        <f t="shared" si="112"/>
        <v>24</v>
      </c>
      <c r="CO14" s="443">
        <f t="shared" si="49"/>
        <v>17.099999999999998</v>
      </c>
      <c r="CP14" s="443">
        <f t="shared" si="50"/>
        <v>41.099999999999994</v>
      </c>
      <c r="CQ14" s="443"/>
      <c r="CR14" s="217">
        <f t="shared" si="113"/>
        <v>0.41176470588235292</v>
      </c>
      <c r="CS14" s="172">
        <f t="shared" si="114"/>
        <v>29.36061381074169</v>
      </c>
      <c r="CT14" s="172">
        <f t="shared" si="51"/>
        <v>4.0172166427546641</v>
      </c>
      <c r="CU14" s="217">
        <f t="shared" si="52"/>
        <v>1.7902813299232738</v>
      </c>
      <c r="CV14" s="217">
        <f t="shared" si="53"/>
        <v>3.6700767263427112</v>
      </c>
      <c r="CW14" s="443">
        <f t="shared" si="54"/>
        <v>16.399999999999999</v>
      </c>
      <c r="CX14" s="217">
        <f t="shared" si="55"/>
        <v>0.33514285714285708</v>
      </c>
      <c r="CY14" s="217">
        <f t="shared" si="56"/>
        <v>0.16757142857142854</v>
      </c>
      <c r="CZ14" s="217">
        <f t="shared" si="57"/>
        <v>0.23518796992481203</v>
      </c>
      <c r="DA14" s="197">
        <f t="shared" si="58"/>
        <v>350</v>
      </c>
      <c r="DB14" s="443">
        <f t="shared" si="115"/>
        <v>350</v>
      </c>
      <c r="DD14" s="217">
        <f t="shared" si="59"/>
        <v>2.377476538060479</v>
      </c>
      <c r="DE14" s="173">
        <f t="shared" si="60"/>
        <v>1.668404588112617</v>
      </c>
      <c r="DF14" s="173">
        <f t="shared" si="61"/>
        <v>0.69415373374028577</v>
      </c>
      <c r="DG14" s="173"/>
      <c r="DH14" s="173">
        <f t="shared" si="62"/>
        <v>0.93567251461988332</v>
      </c>
      <c r="DI14" s="545">
        <f t="shared" si="63"/>
        <v>144.28124999999994</v>
      </c>
      <c r="DJ14" s="528">
        <f t="shared" si="64"/>
        <v>0.21832358674463945</v>
      </c>
      <c r="DL14" s="173">
        <f t="shared" si="65"/>
        <v>0.88801544388114573</v>
      </c>
      <c r="DM14" s="173">
        <f t="shared" si="66"/>
        <v>1.3333333333333335</v>
      </c>
      <c r="DN14" s="173">
        <f t="shared" si="67"/>
        <v>1.0824464285714286</v>
      </c>
      <c r="DP14" s="545">
        <f t="shared" si="68"/>
        <v>90</v>
      </c>
      <c r="DQ14" s="460">
        <f t="shared" si="69"/>
        <v>144.28124999999994</v>
      </c>
      <c r="DS14">
        <f t="shared" si="116"/>
        <v>90</v>
      </c>
      <c r="DT14" s="460">
        <f t="shared" si="70"/>
        <v>144.28124999999994</v>
      </c>
      <c r="DU14" s="460"/>
      <c r="DV14" s="5">
        <f t="shared" si="117"/>
        <v>6.9309075157028399</v>
      </c>
      <c r="DW14" s="5">
        <f t="shared" si="71"/>
        <v>0.66666666666666685</v>
      </c>
      <c r="DX14" s="5">
        <f t="shared" si="118"/>
        <v>6.264240849036173</v>
      </c>
      <c r="DY14" s="173">
        <f t="shared" si="119"/>
        <v>9.6187499999999995E-2</v>
      </c>
      <c r="EA14" s="5">
        <f t="shared" si="72"/>
        <v>0.36585365853658547</v>
      </c>
      <c r="EB14" s="5">
        <f t="shared" si="73"/>
        <v>0.18750000000000003</v>
      </c>
      <c r="EC14" s="5">
        <f t="shared" si="74"/>
        <v>0.32104234351310379</v>
      </c>
      <c r="ED14" s="5"/>
      <c r="EE14" s="173">
        <f t="shared" si="120"/>
        <v>0.23874672772626648</v>
      </c>
      <c r="EF14" s="173">
        <f t="shared" si="75"/>
        <v>0.73184191776133767</v>
      </c>
      <c r="EG14" s="173">
        <f t="shared" si="76"/>
        <v>0.17954801712652618</v>
      </c>
      <c r="EH14" s="173"/>
      <c r="EI14" s="528">
        <f t="shared" si="77"/>
        <v>1.1400000000000004E-3</v>
      </c>
      <c r="EJ14" s="528">
        <f t="shared" si="78"/>
        <v>0.15813224999999992</v>
      </c>
      <c r="EK14" s="528">
        <f t="shared" si="79"/>
        <v>1.8035156249999993E-2</v>
      </c>
      <c r="EL14" s="528">
        <f t="shared" si="80"/>
        <v>2.4372133031249982E-2</v>
      </c>
      <c r="EM14">
        <f t="shared" si="81"/>
        <v>1.0800000000000001E-2</v>
      </c>
      <c r="EN14" s="460">
        <f t="shared" si="121"/>
        <v>28.835156249999994</v>
      </c>
      <c r="EO14">
        <f t="shared" si="82"/>
        <v>0.2128449913269807</v>
      </c>
      <c r="EP14" s="460">
        <f t="shared" si="122"/>
        <v>212.8449913269807</v>
      </c>
      <c r="EQ14" s="173">
        <f t="shared" si="83"/>
        <v>5.5912499999999997E-2</v>
      </c>
      <c r="ER14" s="173">
        <f t="shared" si="84"/>
        <v>9.9843749999999985E-3</v>
      </c>
      <c r="ES14" s="528"/>
      <c r="EU14" s="460">
        <f t="shared" si="123"/>
        <v>65.896874999999994</v>
      </c>
      <c r="EV14" s="528">
        <f t="shared" si="85"/>
        <v>1.7100000000000006E-3</v>
      </c>
      <c r="EW14" s="528">
        <f t="shared" si="124"/>
        <v>1.6067777777777775E-2</v>
      </c>
      <c r="EX14" s="528">
        <f t="shared" si="86"/>
        <v>1.6118745227033671E-4</v>
      </c>
      <c r="EY14" s="528">
        <f t="shared" si="87"/>
        <v>2.5665018782916969E-2</v>
      </c>
      <c r="EZ14" s="528">
        <f t="shared" si="88"/>
        <v>4.7978189994745936E-2</v>
      </c>
      <c r="FA14" s="625">
        <f t="shared" si="89"/>
        <v>1.2824999999999996E-3</v>
      </c>
      <c r="FB14" s="460">
        <f t="shared" si="125"/>
        <v>49.260689994745938</v>
      </c>
      <c r="FC14" s="173">
        <f t="shared" si="126"/>
        <v>0.32800255632172665</v>
      </c>
      <c r="FD14" s="5">
        <f t="shared" si="127"/>
        <v>1.6559999999999997</v>
      </c>
      <c r="FE14" s="173">
        <f t="shared" si="128"/>
        <v>0.83467634390056822</v>
      </c>
      <c r="FF14" s="5">
        <f t="shared" si="129"/>
        <v>83.467634390056816</v>
      </c>
      <c r="FG14">
        <f t="shared" si="130"/>
        <v>9</v>
      </c>
      <c r="FI14" s="562">
        <f t="shared" si="90"/>
        <v>-50</v>
      </c>
      <c r="FJ14">
        <f t="shared" si="91"/>
        <v>-50</v>
      </c>
      <c r="FL14">
        <f t="shared" si="92"/>
        <v>0.13620002359974623</v>
      </c>
    </row>
    <row r="15" spans="2:169">
      <c r="E15" s="170">
        <v>10</v>
      </c>
      <c r="F15" s="217">
        <f t="shared" si="131"/>
        <v>0.1</v>
      </c>
      <c r="G15" s="217">
        <f t="shared" si="93"/>
        <v>2.5000000000000001E-2</v>
      </c>
      <c r="H15" s="217">
        <f t="shared" si="0"/>
        <v>1.64</v>
      </c>
      <c r="I15" s="217">
        <f t="shared" si="132"/>
        <v>0.2</v>
      </c>
      <c r="J15" s="541">
        <f t="shared" si="1"/>
        <v>23.955209755049875</v>
      </c>
      <c r="K15" s="443">
        <f t="shared" si="2"/>
        <v>17.119823785111333</v>
      </c>
      <c r="L15" s="172">
        <f t="shared" si="3"/>
        <v>41.075033540161208</v>
      </c>
      <c r="M15" s="443"/>
      <c r="N15" s="217">
        <f t="shared" si="4"/>
        <v>0.41679390884422252</v>
      </c>
      <c r="O15" s="172">
        <f t="shared" si="94"/>
        <v>29.663754054392026</v>
      </c>
      <c r="P15" s="172">
        <f t="shared" si="5"/>
        <v>4.0586932971506045</v>
      </c>
      <c r="Q15" s="217">
        <f t="shared" si="6"/>
        <v>1.8087654911214652</v>
      </c>
      <c r="R15" s="217">
        <f t="shared" si="7"/>
        <v>3.7079692567990032</v>
      </c>
      <c r="S15" s="443">
        <f t="shared" si="8"/>
        <v>16.399999999999999</v>
      </c>
      <c r="T15" s="217">
        <f t="shared" si="9"/>
        <v>0.36857551182786114</v>
      </c>
      <c r="U15" s="217">
        <f t="shared" si="10"/>
        <v>0.18463232788024173</v>
      </c>
      <c r="V15" s="217">
        <f t="shared" si="11"/>
        <v>0.25834998055183378</v>
      </c>
      <c r="W15" s="197">
        <f t="shared" si="12"/>
        <v>350</v>
      </c>
      <c r="X15" s="443">
        <f t="shared" si="95"/>
        <v>350</v>
      </c>
      <c r="Z15" s="217">
        <f t="shared" si="13"/>
        <v>2.3772346454739255</v>
      </c>
      <c r="AA15" s="173">
        <f t="shared" si="14"/>
        <v>1.6663031175879355</v>
      </c>
      <c r="AB15" s="173">
        <f t="shared" si="15"/>
        <v>0.69320886267346915</v>
      </c>
      <c r="AC15" s="173"/>
      <c r="AD15" s="173">
        <f t="shared" si="16"/>
        <v>0.93458905890811728</v>
      </c>
      <c r="AE15" s="545">
        <f t="shared" si="17"/>
        <v>160.49834798541869</v>
      </c>
      <c r="AF15" s="528">
        <f t="shared" si="18"/>
        <v>0.21807078041189407</v>
      </c>
      <c r="AH15" s="173">
        <f t="shared" si="19"/>
        <v>0.93605046668995151</v>
      </c>
      <c r="AI15" s="173">
        <f t="shared" si="20"/>
        <v>1.3333333333333335</v>
      </c>
      <c r="AJ15" s="173">
        <f t="shared" si="21"/>
        <v>1.0917133417059535</v>
      </c>
      <c r="AL15" s="545">
        <f t="shared" si="22"/>
        <v>100</v>
      </c>
      <c r="AM15" s="460">
        <f t="shared" si="23"/>
        <v>160.49834798541869</v>
      </c>
      <c r="AO15">
        <f t="shared" si="96"/>
        <v>100</v>
      </c>
      <c r="AP15" s="460">
        <f t="shared" si="24"/>
        <v>160.49834798541869</v>
      </c>
      <c r="AQ15" s="460"/>
      <c r="AR15" s="5">
        <f t="shared" si="97"/>
        <v>6.2305937260541162</v>
      </c>
      <c r="AS15" s="5">
        <f t="shared" si="25"/>
        <v>0.66791316643040977</v>
      </c>
      <c r="AT15" s="5">
        <f t="shared" si="98"/>
        <v>5.5626805596237068</v>
      </c>
      <c r="AU15" s="173">
        <f t="shared" si="99"/>
        <v>0.10719895980979077</v>
      </c>
      <c r="AW15" s="5">
        <f t="shared" si="26"/>
        <v>0.40726412587220118</v>
      </c>
      <c r="AX15" s="5">
        <f t="shared" si="27"/>
        <v>0.20872286450950306</v>
      </c>
      <c r="AY15" s="5">
        <f t="shared" si="28"/>
        <v>0.3173560230066359</v>
      </c>
      <c r="AZ15" s="5"/>
      <c r="BA15" s="173">
        <f t="shared" si="100"/>
        <v>0.25204227724116657</v>
      </c>
      <c r="BB15" s="173">
        <f t="shared" si="29"/>
        <v>0.72737011423049247</v>
      </c>
      <c r="BC15" s="173">
        <f t="shared" si="30"/>
        <v>0.17845091755152684</v>
      </c>
      <c r="BD15" s="173"/>
      <c r="BE15" s="528">
        <f t="shared" si="31"/>
        <v>1.2705061903382615E-3</v>
      </c>
      <c r="BF15" s="528">
        <f t="shared" si="32"/>
        <v>0.16481187566603844</v>
      </c>
      <c r="BG15" s="528">
        <f t="shared" si="33"/>
        <v>9.6119289783242273E-2</v>
      </c>
      <c r="BH15" s="528">
        <f t="shared" si="34"/>
        <v>2.7078613283197633E-2</v>
      </c>
      <c r="BI15">
        <f t="shared" si="35"/>
        <v>1.0779844389772444E-2</v>
      </c>
      <c r="BJ15" s="460">
        <f t="shared" si="101"/>
        <v>106.89913417301472</v>
      </c>
      <c r="BK15">
        <f t="shared" si="36"/>
        <v>0.19356246295120311</v>
      </c>
      <c r="BL15" s="460">
        <f t="shared" si="102"/>
        <v>193.56246295120312</v>
      </c>
      <c r="BM15" s="173">
        <f t="shared" si="37"/>
        <v>6.2124999999999993E-2</v>
      </c>
      <c r="BN15" s="173">
        <f t="shared" si="38"/>
        <v>1.1093749999999999E-2</v>
      </c>
      <c r="BO15" s="528"/>
      <c r="BQ15" s="460">
        <f t="shared" si="103"/>
        <v>73.21875</v>
      </c>
      <c r="BR15" s="528">
        <f t="shared" si="39"/>
        <v>1.905759285507392E-3</v>
      </c>
      <c r="BS15" s="528">
        <f t="shared" si="104"/>
        <v>1.5872018492270389E-2</v>
      </c>
      <c r="BT15" s="528">
        <f t="shared" si="40"/>
        <v>1.5922364987490913E-4</v>
      </c>
      <c r="BU15" s="528">
        <f t="shared" si="41"/>
        <v>3.3496024246251671E-2</v>
      </c>
      <c r="BV15" s="528">
        <f t="shared" si="42"/>
        <v>5.5818002623961381E-2</v>
      </c>
      <c r="BW15" s="625">
        <f t="shared" si="43"/>
        <v>1.4266519820926107E-3</v>
      </c>
      <c r="BX15" s="460">
        <f t="shared" si="105"/>
        <v>57.244654606053992</v>
      </c>
      <c r="BY15" s="173">
        <f t="shared" si="106"/>
        <v>0.3240258675572571</v>
      </c>
      <c r="BZ15" s="5">
        <f t="shared" si="107"/>
        <v>1.8399999999999999</v>
      </c>
      <c r="CA15" s="173">
        <f t="shared" si="108"/>
        <v>0.85026710058553234</v>
      </c>
      <c r="CB15" s="5">
        <f t="shared" si="109"/>
        <v>85.026710058553235</v>
      </c>
      <c r="CC15">
        <f t="shared" si="110"/>
        <v>10</v>
      </c>
      <c r="CE15" s="562">
        <f t="shared" si="44"/>
        <v>-50</v>
      </c>
      <c r="CF15">
        <f t="shared" si="45"/>
        <v>-50</v>
      </c>
      <c r="CG15" s="173">
        <f t="shared" si="46"/>
        <v>0.15133335955527358</v>
      </c>
      <c r="CH15" s="173">
        <f t="shared" si="47"/>
        <v>5.2877713940552955E-2</v>
      </c>
      <c r="CI15" s="170">
        <v>10</v>
      </c>
      <c r="CJ15" s="217">
        <f t="shared" si="133"/>
        <v>0.1</v>
      </c>
      <c r="CK15" s="217">
        <f t="shared" si="111"/>
        <v>2.5000000000000001E-2</v>
      </c>
      <c r="CL15" s="217">
        <f t="shared" si="48"/>
        <v>1.64</v>
      </c>
      <c r="CM15" s="217">
        <f t="shared" si="134"/>
        <v>0.2</v>
      </c>
      <c r="CN15" s="541">
        <f t="shared" si="112"/>
        <v>24</v>
      </c>
      <c r="CO15" s="443">
        <f t="shared" si="49"/>
        <v>17.099999999999998</v>
      </c>
      <c r="CP15" s="443">
        <f t="shared" si="50"/>
        <v>41.099999999999994</v>
      </c>
      <c r="CQ15" s="443"/>
      <c r="CR15" s="217">
        <f t="shared" si="113"/>
        <v>0.41176470588235292</v>
      </c>
      <c r="CS15" s="172">
        <f t="shared" si="114"/>
        <v>29.36061381074169</v>
      </c>
      <c r="CT15" s="172">
        <f t="shared" si="51"/>
        <v>4.0172166427546641</v>
      </c>
      <c r="CU15" s="217">
        <f t="shared" si="52"/>
        <v>1.7902813299232738</v>
      </c>
      <c r="CV15" s="217">
        <f t="shared" si="53"/>
        <v>3.6700767263427112</v>
      </c>
      <c r="CW15" s="443">
        <f t="shared" si="54"/>
        <v>16.399999999999999</v>
      </c>
      <c r="CX15" s="217">
        <f t="shared" si="55"/>
        <v>0.37238095238095231</v>
      </c>
      <c r="CY15" s="217">
        <f t="shared" si="56"/>
        <v>0.18619047619047618</v>
      </c>
      <c r="CZ15" s="217">
        <f t="shared" si="57"/>
        <v>0.26131996658312445</v>
      </c>
      <c r="DA15" s="197">
        <f t="shared" si="58"/>
        <v>350</v>
      </c>
      <c r="DB15" s="443">
        <f t="shared" si="115"/>
        <v>350</v>
      </c>
      <c r="DD15" s="217">
        <f t="shared" si="59"/>
        <v>2.377476538060479</v>
      </c>
      <c r="DE15" s="173">
        <f t="shared" si="60"/>
        <v>1.668404588112617</v>
      </c>
      <c r="DF15" s="173">
        <f t="shared" si="61"/>
        <v>0.69415373374028577</v>
      </c>
      <c r="DG15" s="173"/>
      <c r="DH15" s="173">
        <f t="shared" si="62"/>
        <v>0.93567251461988332</v>
      </c>
      <c r="DI15" s="545">
        <f t="shared" si="63"/>
        <v>160.31249999999994</v>
      </c>
      <c r="DJ15" s="528">
        <f t="shared" si="64"/>
        <v>0.21832358674463945</v>
      </c>
      <c r="DL15" s="173">
        <f t="shared" si="65"/>
        <v>0.93605046668995151</v>
      </c>
      <c r="DM15" s="173">
        <f t="shared" si="66"/>
        <v>1.3333333333333335</v>
      </c>
      <c r="DN15" s="173">
        <f t="shared" si="67"/>
        <v>1.0916071428571428</v>
      </c>
      <c r="DP15" s="545">
        <f t="shared" si="68"/>
        <v>100</v>
      </c>
      <c r="DQ15" s="460">
        <f t="shared" si="69"/>
        <v>160.31249999999994</v>
      </c>
      <c r="DS15">
        <f t="shared" si="116"/>
        <v>100</v>
      </c>
      <c r="DT15" s="460">
        <f t="shared" si="70"/>
        <v>160.31249999999994</v>
      </c>
      <c r="DU15" s="460"/>
      <c r="DV15" s="5">
        <f t="shared" si="117"/>
        <v>6.2378167641325559</v>
      </c>
      <c r="DW15" s="5">
        <f t="shared" si="71"/>
        <v>0.66666666666666685</v>
      </c>
      <c r="DX15" s="5">
        <f t="shared" si="118"/>
        <v>5.571150097465889</v>
      </c>
      <c r="DY15" s="173">
        <f t="shared" si="119"/>
        <v>0.10687499999999998</v>
      </c>
      <c r="EA15" s="5">
        <f t="shared" si="72"/>
        <v>0.40650406504065062</v>
      </c>
      <c r="EB15" s="5">
        <f t="shared" si="73"/>
        <v>0.20833333333333343</v>
      </c>
      <c r="EC15" s="5">
        <f t="shared" si="74"/>
        <v>0.31724604721680749</v>
      </c>
      <c r="ED15" s="5"/>
      <c r="EE15" s="173">
        <f t="shared" si="120"/>
        <v>0.25166114784235832</v>
      </c>
      <c r="EF15" s="173">
        <f t="shared" si="75"/>
        <v>0.72750206821648233</v>
      </c>
      <c r="EG15" s="173">
        <f t="shared" si="76"/>
        <v>0.1784832907676018</v>
      </c>
      <c r="EH15" s="173"/>
      <c r="EI15" s="528">
        <f t="shared" si="77"/>
        <v>1.2666666666666668E-3</v>
      </c>
      <c r="EJ15" s="528">
        <f t="shared" si="78"/>
        <v>0.17570249999999993</v>
      </c>
      <c r="EK15" s="528">
        <f t="shared" si="79"/>
        <v>2.0039062499999993E-2</v>
      </c>
      <c r="EL15" s="528">
        <f t="shared" si="80"/>
        <v>2.7080147812499983E-2</v>
      </c>
      <c r="EM15">
        <f t="shared" si="81"/>
        <v>1.0800000000000001E-2</v>
      </c>
      <c r="EN15" s="460">
        <f t="shared" si="121"/>
        <v>30.839062499999994</v>
      </c>
      <c r="EO15">
        <f t="shared" si="82"/>
        <v>0.23530119322627996</v>
      </c>
      <c r="EP15" s="460">
        <f t="shared" si="122"/>
        <v>235.30119322627996</v>
      </c>
      <c r="EQ15" s="173">
        <f t="shared" si="83"/>
        <v>6.2124999999999993E-2</v>
      </c>
      <c r="ER15" s="173">
        <f t="shared" si="84"/>
        <v>1.1093749999999999E-2</v>
      </c>
      <c r="ES15" s="528"/>
      <c r="EU15" s="460">
        <f t="shared" si="123"/>
        <v>73.21875</v>
      </c>
      <c r="EV15" s="528">
        <f t="shared" si="85"/>
        <v>1.9E-3</v>
      </c>
      <c r="EW15" s="528">
        <f t="shared" si="124"/>
        <v>1.5877777777777779E-2</v>
      </c>
      <c r="EX15" s="528">
        <f t="shared" si="86"/>
        <v>1.5928142541616147E-4</v>
      </c>
      <c r="EY15" s="528">
        <f t="shared" si="87"/>
        <v>3.3399142199596735E-2</v>
      </c>
      <c r="EZ15" s="528">
        <f t="shared" si="88"/>
        <v>5.5721053358193239E-2</v>
      </c>
      <c r="FA15" s="625">
        <f t="shared" si="89"/>
        <v>1.4249999999999996E-3</v>
      </c>
      <c r="FB15" s="460">
        <f t="shared" si="125"/>
        <v>57.146053358193242</v>
      </c>
      <c r="FC15" s="173">
        <f t="shared" si="126"/>
        <v>0.36566599658447319</v>
      </c>
      <c r="FD15" s="5">
        <f t="shared" si="127"/>
        <v>1.8399999999999999</v>
      </c>
      <c r="FE15" s="173">
        <f t="shared" si="128"/>
        <v>0.83421515444735705</v>
      </c>
      <c r="FF15" s="5">
        <f t="shared" si="129"/>
        <v>83.421515444735704</v>
      </c>
      <c r="FG15">
        <f t="shared" si="130"/>
        <v>10</v>
      </c>
      <c r="FI15" s="562">
        <f t="shared" si="90"/>
        <v>-50</v>
      </c>
      <c r="FJ15">
        <f t="shared" si="91"/>
        <v>-50</v>
      </c>
      <c r="FL15">
        <f t="shared" si="92"/>
        <v>0.15133335955527358</v>
      </c>
    </row>
    <row r="16" spans="2:169">
      <c r="E16" s="170">
        <v>11</v>
      </c>
      <c r="F16" s="217">
        <f t="shared" si="131"/>
        <v>0.11</v>
      </c>
      <c r="G16" s="217">
        <f t="shared" si="93"/>
        <v>2.75E-2</v>
      </c>
      <c r="H16" s="217">
        <f t="shared" si="0"/>
        <v>1.8039999999999998</v>
      </c>
      <c r="I16" s="217">
        <f t="shared" si="132"/>
        <v>0.22</v>
      </c>
      <c r="J16" s="541">
        <f t="shared" si="1"/>
        <v>23.955209755049875</v>
      </c>
      <c r="K16" s="443">
        <f t="shared" si="2"/>
        <v>17.119823785111333</v>
      </c>
      <c r="L16" s="172">
        <f t="shared" si="3"/>
        <v>41.075033540161208</v>
      </c>
      <c r="M16" s="443"/>
      <c r="N16" s="217">
        <f t="shared" si="4"/>
        <v>0.41679390884422252</v>
      </c>
      <c r="O16" s="172">
        <f t="shared" si="94"/>
        <v>29.663754054392026</v>
      </c>
      <c r="P16" s="172">
        <f t="shared" si="5"/>
        <v>4.0586932971506045</v>
      </c>
      <c r="Q16" s="217">
        <f t="shared" si="6"/>
        <v>1.8087654911214652</v>
      </c>
      <c r="R16" s="217">
        <f t="shared" si="7"/>
        <v>3.7079692567990032</v>
      </c>
      <c r="S16" s="443">
        <f t="shared" si="8"/>
        <v>16.399999999999999</v>
      </c>
      <c r="T16" s="217">
        <f t="shared" si="9"/>
        <v>0.4054330630106473</v>
      </c>
      <c r="U16" s="217">
        <f t="shared" si="10"/>
        <v>0.20309556066826592</v>
      </c>
      <c r="V16" s="217">
        <f t="shared" si="11"/>
        <v>0.28418497860701714</v>
      </c>
      <c r="W16" s="197">
        <f t="shared" si="12"/>
        <v>350</v>
      </c>
      <c r="X16" s="443">
        <f t="shared" si="95"/>
        <v>350</v>
      </c>
      <c r="Z16" s="217">
        <f t="shared" si="13"/>
        <v>2.3772346454739255</v>
      </c>
      <c r="AA16" s="173">
        <f t="shared" si="14"/>
        <v>1.6663031175879355</v>
      </c>
      <c r="AB16" s="173">
        <f t="shared" si="15"/>
        <v>0.69320886267346915</v>
      </c>
      <c r="AC16" s="173"/>
      <c r="AD16" s="173">
        <f t="shared" si="16"/>
        <v>0.93458905890811728</v>
      </c>
      <c r="AE16" s="545">
        <f t="shared" si="17"/>
        <v>176.54818278396056</v>
      </c>
      <c r="AF16" s="528">
        <f t="shared" si="18"/>
        <v>0.21807078041189407</v>
      </c>
      <c r="AH16" s="173">
        <f t="shared" si="19"/>
        <v>0.98173801179822096</v>
      </c>
      <c r="AI16" s="173">
        <f t="shared" si="20"/>
        <v>1.3333333333333335</v>
      </c>
      <c r="AJ16" s="173">
        <f t="shared" si="21"/>
        <v>1.1008846758765489</v>
      </c>
      <c r="AL16" s="545">
        <f t="shared" si="22"/>
        <v>110</v>
      </c>
      <c r="AM16" s="460">
        <f t="shared" si="23"/>
        <v>176.54818278396056</v>
      </c>
      <c r="AO16">
        <f t="shared" si="96"/>
        <v>110</v>
      </c>
      <c r="AP16" s="460">
        <f t="shared" si="24"/>
        <v>176.54818278396056</v>
      </c>
      <c r="AQ16" s="460"/>
      <c r="AR16" s="5">
        <f t="shared" si="97"/>
        <v>5.6641761145946514</v>
      </c>
      <c r="AS16" s="5">
        <f t="shared" si="25"/>
        <v>0.66791316643040977</v>
      </c>
      <c r="AT16" s="5">
        <f t="shared" si="98"/>
        <v>4.996262948164242</v>
      </c>
      <c r="AU16" s="173">
        <f t="shared" si="99"/>
        <v>0.11791885579076984</v>
      </c>
      <c r="AW16" s="5">
        <f t="shared" si="26"/>
        <v>0.44799053845942127</v>
      </c>
      <c r="AX16" s="5">
        <f t="shared" si="27"/>
        <v>0.22959515096045335</v>
      </c>
      <c r="AY16" s="5">
        <f t="shared" si="28"/>
        <v>0.31354551719131618</v>
      </c>
      <c r="AZ16" s="5"/>
      <c r="BA16" s="173">
        <f t="shared" si="100"/>
        <v>0.2643441704834899</v>
      </c>
      <c r="BB16" s="173">
        <f t="shared" si="29"/>
        <v>0.72299014662994432</v>
      </c>
      <c r="BC16" s="173">
        <f t="shared" si="30"/>
        <v>0.17737634874278402</v>
      </c>
      <c r="BD16" s="173"/>
      <c r="BE16" s="528">
        <f t="shared" si="31"/>
        <v>1.3975568093720875E-3</v>
      </c>
      <c r="BF16" s="528">
        <f t="shared" si="32"/>
        <v>0.18129306323264233</v>
      </c>
      <c r="BG16" s="528">
        <f t="shared" si="33"/>
        <v>0.10573121876156651</v>
      </c>
      <c r="BH16" s="528">
        <f t="shared" si="34"/>
        <v>2.9786474611517393E-2</v>
      </c>
      <c r="BI16">
        <f t="shared" si="35"/>
        <v>1.0779844389772444E-2</v>
      </c>
      <c r="BJ16" s="460">
        <f t="shared" si="101"/>
        <v>116.51106315133896</v>
      </c>
      <c r="BK16">
        <f t="shared" si="36"/>
        <v>0.21292513880674618</v>
      </c>
      <c r="BL16" s="460">
        <f t="shared" si="102"/>
        <v>212.92513880674619</v>
      </c>
      <c r="BM16" s="173">
        <f t="shared" si="37"/>
        <v>6.8337499999999995E-2</v>
      </c>
      <c r="BN16" s="173">
        <f t="shared" si="38"/>
        <v>1.2203124999999999E-2</v>
      </c>
      <c r="BO16" s="528"/>
      <c r="BQ16" s="460">
        <f t="shared" si="103"/>
        <v>80.540624999999991</v>
      </c>
      <c r="BR16" s="528">
        <f t="shared" si="39"/>
        <v>2.096335214058131E-3</v>
      </c>
      <c r="BS16" s="528">
        <f t="shared" si="104"/>
        <v>1.5681442563719651E-2</v>
      </c>
      <c r="BT16" s="528">
        <f t="shared" si="40"/>
        <v>1.5731184546660868E-4</v>
      </c>
      <c r="BU16" s="528">
        <f t="shared" si="41"/>
        <v>4.2508421195668722E-2</v>
      </c>
      <c r="BV16" s="528">
        <f t="shared" si="42"/>
        <v>6.4840966612287707E-2</v>
      </c>
      <c r="BW16" s="625">
        <f t="shared" si="43"/>
        <v>1.5693171803018717E-3</v>
      </c>
      <c r="BX16" s="460">
        <f t="shared" si="105"/>
        <v>66.410283792589581</v>
      </c>
      <c r="BY16" s="173">
        <f t="shared" si="106"/>
        <v>0.35987604759933578</v>
      </c>
      <c r="BZ16" s="5">
        <f t="shared" si="107"/>
        <v>2.024</v>
      </c>
      <c r="CA16" s="173">
        <f t="shared" si="108"/>
        <v>0.84903743298157375</v>
      </c>
      <c r="CB16" s="5">
        <f t="shared" si="109"/>
        <v>84.90374329815738</v>
      </c>
      <c r="CC16">
        <f t="shared" si="110"/>
        <v>11</v>
      </c>
      <c r="CE16" s="562">
        <f t="shared" si="44"/>
        <v>-50</v>
      </c>
      <c r="CF16">
        <f t="shared" si="45"/>
        <v>-50</v>
      </c>
      <c r="CG16" s="173">
        <f t="shared" si="46"/>
        <v>0.16646669551080095</v>
      </c>
      <c r="CH16" s="173">
        <f t="shared" si="47"/>
        <v>5.8165485334608247E-2</v>
      </c>
      <c r="CI16" s="170">
        <v>11</v>
      </c>
      <c r="CJ16" s="217">
        <f t="shared" si="133"/>
        <v>0.11</v>
      </c>
      <c r="CK16" s="217">
        <f t="shared" si="111"/>
        <v>2.75E-2</v>
      </c>
      <c r="CL16" s="217">
        <f t="shared" si="48"/>
        <v>1.8039999999999998</v>
      </c>
      <c r="CM16" s="217">
        <f t="shared" si="134"/>
        <v>0.22</v>
      </c>
      <c r="CN16" s="541">
        <f t="shared" si="112"/>
        <v>24</v>
      </c>
      <c r="CO16" s="443">
        <f t="shared" si="49"/>
        <v>17.099999999999998</v>
      </c>
      <c r="CP16" s="443">
        <f t="shared" si="50"/>
        <v>41.099999999999994</v>
      </c>
      <c r="CQ16" s="443"/>
      <c r="CR16" s="217">
        <f t="shared" si="113"/>
        <v>0.41176470588235292</v>
      </c>
      <c r="CS16" s="172">
        <f t="shared" si="114"/>
        <v>29.36061381074169</v>
      </c>
      <c r="CT16" s="172">
        <f t="shared" si="51"/>
        <v>4.0172166427546641</v>
      </c>
      <c r="CU16" s="217">
        <f t="shared" si="52"/>
        <v>1.7902813299232738</v>
      </c>
      <c r="CV16" s="217">
        <f t="shared" si="53"/>
        <v>3.6700767263427112</v>
      </c>
      <c r="CW16" s="443">
        <f t="shared" si="54"/>
        <v>16.399999999999999</v>
      </c>
      <c r="CX16" s="217">
        <f t="shared" si="55"/>
        <v>0.4096190476190476</v>
      </c>
      <c r="CY16" s="217">
        <f t="shared" si="56"/>
        <v>0.20480952380952383</v>
      </c>
      <c r="CZ16" s="217">
        <f t="shared" si="57"/>
        <v>0.28745196324143696</v>
      </c>
      <c r="DA16" s="197">
        <f t="shared" si="58"/>
        <v>350</v>
      </c>
      <c r="DB16" s="443">
        <f t="shared" si="115"/>
        <v>350</v>
      </c>
      <c r="DD16" s="217">
        <f t="shared" si="59"/>
        <v>2.377476538060479</v>
      </c>
      <c r="DE16" s="173">
        <f t="shared" si="60"/>
        <v>1.668404588112617</v>
      </c>
      <c r="DF16" s="173">
        <f t="shared" si="61"/>
        <v>0.69415373374028577</v>
      </c>
      <c r="DG16" s="173"/>
      <c r="DH16" s="173">
        <f t="shared" si="62"/>
        <v>0.93567251461988332</v>
      </c>
      <c r="DI16" s="545">
        <f t="shared" si="63"/>
        <v>176.34374999999994</v>
      </c>
      <c r="DJ16" s="528">
        <f t="shared" si="64"/>
        <v>0.21832358674463945</v>
      </c>
      <c r="DL16" s="173">
        <f t="shared" si="65"/>
        <v>0.98173801179822096</v>
      </c>
      <c r="DM16" s="173">
        <f t="shared" si="66"/>
        <v>1.3333333333333335</v>
      </c>
      <c r="DN16" s="173">
        <f t="shared" si="67"/>
        <v>1.1007678571428572</v>
      </c>
      <c r="DP16" s="545">
        <f t="shared" si="68"/>
        <v>110</v>
      </c>
      <c r="DQ16" s="460">
        <f t="shared" si="69"/>
        <v>176.34374999999994</v>
      </c>
      <c r="DS16">
        <f t="shared" si="116"/>
        <v>110</v>
      </c>
      <c r="DT16" s="460">
        <f t="shared" si="70"/>
        <v>176.34374999999994</v>
      </c>
      <c r="DU16" s="460"/>
      <c r="DV16" s="5">
        <f t="shared" si="117"/>
        <v>5.6707425128477773</v>
      </c>
      <c r="DW16" s="5">
        <f t="shared" si="71"/>
        <v>0.66666666666666685</v>
      </c>
      <c r="DX16" s="5">
        <f t="shared" si="118"/>
        <v>5.0040758461811103</v>
      </c>
      <c r="DY16" s="173">
        <f t="shared" si="119"/>
        <v>0.1175625</v>
      </c>
      <c r="EA16" s="5">
        <f t="shared" si="72"/>
        <v>0.4471544715447156</v>
      </c>
      <c r="EB16" s="5">
        <f t="shared" si="73"/>
        <v>0.22916666666666671</v>
      </c>
      <c r="EC16" s="5">
        <f t="shared" si="74"/>
        <v>0.31344975092051114</v>
      </c>
      <c r="ED16" s="5"/>
      <c r="EE16" s="173">
        <f t="shared" si="120"/>
        <v>0.2639444385977221</v>
      </c>
      <c r="EF16" s="173">
        <f t="shared" si="75"/>
        <v>0.72313617384689455</v>
      </c>
      <c r="EG16" s="173">
        <f t="shared" si="76"/>
        <v>0.17741217464536435</v>
      </c>
      <c r="EH16" s="173"/>
      <c r="EI16" s="528">
        <f t="shared" si="77"/>
        <v>1.3933333333333339E-3</v>
      </c>
      <c r="EJ16" s="528">
        <f t="shared" si="78"/>
        <v>0.19327274999999994</v>
      </c>
      <c r="EK16" s="528">
        <f t="shared" si="79"/>
        <v>2.2042968749999992E-2</v>
      </c>
      <c r="EL16" s="528">
        <f t="shared" si="80"/>
        <v>2.9788162593749983E-2</v>
      </c>
      <c r="EM16">
        <f t="shared" si="81"/>
        <v>1.0800000000000001E-2</v>
      </c>
      <c r="EN16" s="460">
        <f t="shared" si="121"/>
        <v>32.84296874999999</v>
      </c>
      <c r="EO16">
        <f t="shared" si="82"/>
        <v>0.25775874725691517</v>
      </c>
      <c r="EP16" s="460">
        <f t="shared" si="122"/>
        <v>257.75874725691517</v>
      </c>
      <c r="EQ16" s="173">
        <f t="shared" si="83"/>
        <v>6.8337499999999995E-2</v>
      </c>
      <c r="ER16" s="173">
        <f t="shared" si="84"/>
        <v>1.2203124999999999E-2</v>
      </c>
      <c r="ES16" s="528"/>
      <c r="EU16" s="460">
        <f t="shared" si="123"/>
        <v>80.540624999999991</v>
      </c>
      <c r="EV16" s="528">
        <f t="shared" si="85"/>
        <v>2.0900000000000007E-3</v>
      </c>
      <c r="EW16" s="528">
        <f t="shared" si="124"/>
        <v>1.5687777777777783E-2</v>
      </c>
      <c r="EX16" s="528">
        <f t="shared" si="86"/>
        <v>1.573753985619863E-4</v>
      </c>
      <c r="EY16" s="528">
        <f t="shared" si="87"/>
        <v>4.2385472190878494E-2</v>
      </c>
      <c r="EZ16" s="528">
        <f t="shared" si="88"/>
        <v>6.4717920194495196E-2</v>
      </c>
      <c r="FA16" s="625">
        <f t="shared" si="89"/>
        <v>1.5674999999999999E-3</v>
      </c>
      <c r="FB16" s="460">
        <f t="shared" si="125"/>
        <v>66.285420194495202</v>
      </c>
      <c r="FC16" s="173">
        <f t="shared" si="126"/>
        <v>0.40458479245141032</v>
      </c>
      <c r="FD16" s="5">
        <f t="shared" si="127"/>
        <v>2.024</v>
      </c>
      <c r="FE16" s="173">
        <f t="shared" si="128"/>
        <v>0.83340717865443659</v>
      </c>
      <c r="FF16" s="5">
        <f t="shared" si="129"/>
        <v>83.340717865443665</v>
      </c>
      <c r="FG16">
        <f t="shared" si="130"/>
        <v>11</v>
      </c>
      <c r="FI16" s="562">
        <f t="shared" si="90"/>
        <v>-50</v>
      </c>
      <c r="FJ16">
        <f t="shared" si="91"/>
        <v>-50</v>
      </c>
      <c r="FL16">
        <f t="shared" si="92"/>
        <v>0.16646669551080093</v>
      </c>
    </row>
    <row r="17" spans="5:168">
      <c r="E17" s="170">
        <v>12</v>
      </c>
      <c r="F17" s="217">
        <f t="shared" si="131"/>
        <v>0.12</v>
      </c>
      <c r="G17" s="217">
        <f t="shared" si="93"/>
        <v>0.03</v>
      </c>
      <c r="H17" s="217">
        <f t="shared" si="0"/>
        <v>1.9679999999999997</v>
      </c>
      <c r="I17" s="217">
        <f t="shared" si="132"/>
        <v>0.24</v>
      </c>
      <c r="J17" s="541">
        <f t="shared" si="1"/>
        <v>23.955209755049875</v>
      </c>
      <c r="K17" s="443">
        <f t="shared" si="2"/>
        <v>17.119823785111333</v>
      </c>
      <c r="L17" s="172">
        <f t="shared" si="3"/>
        <v>41.075033540161208</v>
      </c>
      <c r="M17" s="443"/>
      <c r="N17" s="217">
        <f t="shared" si="4"/>
        <v>0.41679390884422252</v>
      </c>
      <c r="O17" s="172">
        <f t="shared" si="94"/>
        <v>29.663754054392026</v>
      </c>
      <c r="P17" s="172">
        <f t="shared" si="5"/>
        <v>4.0586932971506045</v>
      </c>
      <c r="Q17" s="217">
        <f t="shared" si="6"/>
        <v>1.8087654911214652</v>
      </c>
      <c r="R17" s="217">
        <f t="shared" si="7"/>
        <v>3.7079692567990032</v>
      </c>
      <c r="S17" s="443">
        <f t="shared" si="8"/>
        <v>16.399999999999999</v>
      </c>
      <c r="T17" s="217">
        <f t="shared" si="9"/>
        <v>0.44229061419343335</v>
      </c>
      <c r="U17" s="217">
        <f t="shared" si="10"/>
        <v>0.22155879345629007</v>
      </c>
      <c r="V17" s="217">
        <f t="shared" si="11"/>
        <v>0.31001997666220049</v>
      </c>
      <c r="W17" s="197">
        <f t="shared" si="12"/>
        <v>350</v>
      </c>
      <c r="X17" s="443">
        <f t="shared" si="95"/>
        <v>350</v>
      </c>
      <c r="Z17" s="217">
        <f t="shared" si="13"/>
        <v>2.3772346454739255</v>
      </c>
      <c r="AA17" s="173">
        <f t="shared" si="14"/>
        <v>1.6663031175879355</v>
      </c>
      <c r="AB17" s="173">
        <f t="shared" si="15"/>
        <v>0.69320886267346915</v>
      </c>
      <c r="AC17" s="173"/>
      <c r="AD17" s="173">
        <f t="shared" si="16"/>
        <v>0.93458905890811728</v>
      </c>
      <c r="AE17" s="545">
        <f t="shared" si="17"/>
        <v>192.59801758250242</v>
      </c>
      <c r="AF17" s="528">
        <f t="shared" si="18"/>
        <v>0.21807078041189407</v>
      </c>
      <c r="AH17" s="173">
        <f t="shared" si="19"/>
        <v>1.0253919111386491</v>
      </c>
      <c r="AI17" s="173">
        <f t="shared" si="20"/>
        <v>1.3333333333333335</v>
      </c>
      <c r="AJ17" s="173">
        <f t="shared" si="21"/>
        <v>1.1100560100471442</v>
      </c>
      <c r="AL17" s="545">
        <f t="shared" si="22"/>
        <v>120</v>
      </c>
      <c r="AM17" s="460">
        <f t="shared" si="23"/>
        <v>192.59801758250242</v>
      </c>
      <c r="AO17">
        <f t="shared" si="96"/>
        <v>120</v>
      </c>
      <c r="AP17" s="460">
        <f t="shared" si="24"/>
        <v>192.59801758250242</v>
      </c>
      <c r="AQ17" s="460"/>
      <c r="AR17" s="5">
        <f t="shared" si="97"/>
        <v>5.1921614383784309</v>
      </c>
      <c r="AS17" s="5">
        <f t="shared" si="25"/>
        <v>0.66791316643040977</v>
      </c>
      <c r="AT17" s="5">
        <f t="shared" si="98"/>
        <v>4.5242482719480215</v>
      </c>
      <c r="AU17" s="173">
        <f t="shared" si="99"/>
        <v>0.12863875177174891</v>
      </c>
      <c r="AW17" s="5">
        <f t="shared" si="26"/>
        <v>0.48871695104664131</v>
      </c>
      <c r="AX17" s="5">
        <f t="shared" si="27"/>
        <v>0.25046743741140365</v>
      </c>
      <c r="AY17" s="5">
        <f t="shared" si="28"/>
        <v>0.30973501137599641</v>
      </c>
      <c r="AZ17" s="5"/>
      <c r="BA17" s="173">
        <f t="shared" si="100"/>
        <v>0.27609848137991572</v>
      </c>
      <c r="BB17" s="173">
        <f t="shared" si="29"/>
        <v>0.7185834823959546</v>
      </c>
      <c r="BC17" s="173">
        <f t="shared" si="30"/>
        <v>0.17629523025783103</v>
      </c>
      <c r="BD17" s="173"/>
      <c r="BE17" s="528">
        <f t="shared" si="31"/>
        <v>1.5246074284059133E-3</v>
      </c>
      <c r="BF17" s="528">
        <f t="shared" si="32"/>
        <v>0.19777425079924613</v>
      </c>
      <c r="BG17" s="528">
        <f t="shared" si="33"/>
        <v>0.11534314773989073</v>
      </c>
      <c r="BH17" s="528">
        <f t="shared" si="34"/>
        <v>3.2494335939837159E-2</v>
      </c>
      <c r="BI17">
        <f t="shared" si="35"/>
        <v>1.0779844389772444E-2</v>
      </c>
      <c r="BJ17" s="460">
        <f t="shared" si="101"/>
        <v>126.12299212966316</v>
      </c>
      <c r="BK17">
        <f t="shared" si="36"/>
        <v>0.23228898409689896</v>
      </c>
      <c r="BL17" s="460">
        <f t="shared" si="102"/>
        <v>232.28898409689896</v>
      </c>
      <c r="BM17" s="173">
        <f t="shared" si="37"/>
        <v>7.4549999999999991E-2</v>
      </c>
      <c r="BN17" s="173">
        <f t="shared" si="38"/>
        <v>1.33125E-2</v>
      </c>
      <c r="BO17" s="528"/>
      <c r="BQ17" s="460">
        <f t="shared" si="103"/>
        <v>87.862499999999997</v>
      </c>
      <c r="BR17" s="528">
        <f t="shared" si="39"/>
        <v>2.28691114260887E-3</v>
      </c>
      <c r="BS17" s="528">
        <f t="shared" si="104"/>
        <v>1.5490866635168916E-2</v>
      </c>
      <c r="BT17" s="528">
        <f t="shared" si="40"/>
        <v>1.5540004105830832E-4</v>
      </c>
      <c r="BU17" s="528">
        <f t="shared" si="41"/>
        <v>5.2838000831266732E-2</v>
      </c>
      <c r="BV17" s="528">
        <f t="shared" si="42"/>
        <v>7.5183002939476912E-2</v>
      </c>
      <c r="BW17" s="625">
        <f t="shared" si="43"/>
        <v>1.7119823785111327E-3</v>
      </c>
      <c r="BX17" s="460">
        <f t="shared" si="105"/>
        <v>76.894985317988031</v>
      </c>
      <c r="BY17" s="173">
        <f t="shared" si="106"/>
        <v>0.39704646941488697</v>
      </c>
      <c r="BZ17" s="5">
        <f t="shared" si="107"/>
        <v>2.2079999999999997</v>
      </c>
      <c r="CA17" s="173">
        <f t="shared" si="108"/>
        <v>0.84758564805791481</v>
      </c>
      <c r="CB17" s="5">
        <f t="shared" si="109"/>
        <v>84.75856480579148</v>
      </c>
      <c r="CC17">
        <f t="shared" si="110"/>
        <v>12</v>
      </c>
      <c r="CE17" s="562">
        <f t="shared" si="44"/>
        <v>-50</v>
      </c>
      <c r="CF17">
        <f t="shared" si="45"/>
        <v>-50</v>
      </c>
      <c r="CG17" s="173">
        <f t="shared" si="46"/>
        <v>0.18160003146632828</v>
      </c>
      <c r="CH17" s="173">
        <f t="shared" si="47"/>
        <v>6.3453256728663532E-2</v>
      </c>
      <c r="CI17" s="170">
        <v>12</v>
      </c>
      <c r="CJ17" s="217">
        <f t="shared" si="133"/>
        <v>0.12</v>
      </c>
      <c r="CK17" s="217">
        <f t="shared" si="111"/>
        <v>0.03</v>
      </c>
      <c r="CL17" s="217">
        <f t="shared" si="48"/>
        <v>1.9679999999999997</v>
      </c>
      <c r="CM17" s="217">
        <f t="shared" si="134"/>
        <v>0.24</v>
      </c>
      <c r="CN17" s="541">
        <f t="shared" si="112"/>
        <v>24</v>
      </c>
      <c r="CO17" s="443">
        <f t="shared" si="49"/>
        <v>17.099999999999998</v>
      </c>
      <c r="CP17" s="443">
        <f t="shared" si="50"/>
        <v>41.099999999999994</v>
      </c>
      <c r="CQ17" s="443"/>
      <c r="CR17" s="217">
        <f t="shared" si="113"/>
        <v>0.41176470588235292</v>
      </c>
      <c r="CS17" s="172">
        <f t="shared" si="114"/>
        <v>29.36061381074169</v>
      </c>
      <c r="CT17" s="172">
        <f t="shared" si="51"/>
        <v>4.0172166427546641</v>
      </c>
      <c r="CU17" s="217">
        <f t="shared" si="52"/>
        <v>1.7902813299232738</v>
      </c>
      <c r="CV17" s="217">
        <f t="shared" si="53"/>
        <v>3.6700767263427112</v>
      </c>
      <c r="CW17" s="443">
        <f t="shared" si="54"/>
        <v>16.399999999999999</v>
      </c>
      <c r="CX17" s="217">
        <f t="shared" si="55"/>
        <v>0.44685714285714279</v>
      </c>
      <c r="CY17" s="217">
        <f t="shared" si="56"/>
        <v>0.22342857142857139</v>
      </c>
      <c r="CZ17" s="217">
        <f t="shared" si="57"/>
        <v>0.31358395989974935</v>
      </c>
      <c r="DA17" s="197">
        <f t="shared" si="58"/>
        <v>350</v>
      </c>
      <c r="DB17" s="443">
        <f t="shared" si="115"/>
        <v>350</v>
      </c>
      <c r="DD17" s="217">
        <f t="shared" si="59"/>
        <v>2.377476538060479</v>
      </c>
      <c r="DE17" s="173">
        <f t="shared" si="60"/>
        <v>1.668404588112617</v>
      </c>
      <c r="DF17" s="173">
        <f t="shared" si="61"/>
        <v>0.69415373374028577</v>
      </c>
      <c r="DG17" s="173"/>
      <c r="DH17" s="173">
        <f t="shared" si="62"/>
        <v>0.93567251461988332</v>
      </c>
      <c r="DI17" s="545">
        <f t="shared" si="63"/>
        <v>192.37499999999991</v>
      </c>
      <c r="DJ17" s="528">
        <f t="shared" si="64"/>
        <v>0.21832358674463945</v>
      </c>
      <c r="DL17" s="173">
        <f t="shared" si="65"/>
        <v>1.0253919111386491</v>
      </c>
      <c r="DM17" s="173">
        <f t="shared" si="66"/>
        <v>1.3333333333333335</v>
      </c>
      <c r="DN17" s="173">
        <f t="shared" si="67"/>
        <v>1.1099285714285714</v>
      </c>
      <c r="DP17" s="545">
        <f t="shared" si="68"/>
        <v>120</v>
      </c>
      <c r="DQ17" s="460">
        <f t="shared" si="69"/>
        <v>192.37499999999991</v>
      </c>
      <c r="DS17">
        <f t="shared" si="116"/>
        <v>120</v>
      </c>
      <c r="DT17" s="460">
        <f t="shared" si="70"/>
        <v>192.37499999999991</v>
      </c>
      <c r="DU17" s="460"/>
      <c r="DV17" s="5">
        <f t="shared" si="117"/>
        <v>5.1981806367771304</v>
      </c>
      <c r="DW17" s="5">
        <f t="shared" si="71"/>
        <v>0.66666666666666685</v>
      </c>
      <c r="DX17" s="5">
        <f t="shared" si="118"/>
        <v>4.5315139701104634</v>
      </c>
      <c r="DY17" s="173">
        <f t="shared" si="119"/>
        <v>0.12824999999999998</v>
      </c>
      <c r="EA17" s="5">
        <f t="shared" si="72"/>
        <v>0.48780487804878064</v>
      </c>
      <c r="EB17" s="5">
        <f t="shared" si="73"/>
        <v>0.25000000000000006</v>
      </c>
      <c r="EC17" s="5">
        <f t="shared" si="74"/>
        <v>0.3096534546242149</v>
      </c>
      <c r="ED17" s="5"/>
      <c r="EE17" s="173">
        <f t="shared" si="120"/>
        <v>0.27568097504180444</v>
      </c>
      <c r="EF17" s="173">
        <f t="shared" si="75"/>
        <v>0.71874376003732565</v>
      </c>
      <c r="EG17" s="173">
        <f t="shared" si="76"/>
        <v>0.17633455231905693</v>
      </c>
      <c r="EH17" s="173"/>
      <c r="EI17" s="528">
        <f t="shared" si="77"/>
        <v>1.5200000000000001E-3</v>
      </c>
      <c r="EJ17" s="528">
        <f t="shared" si="78"/>
        <v>0.21084299999999989</v>
      </c>
      <c r="EK17" s="528">
        <f t="shared" si="79"/>
        <v>2.4046874999999988E-2</v>
      </c>
      <c r="EL17" s="528">
        <f t="shared" si="80"/>
        <v>3.2496177374999977E-2</v>
      </c>
      <c r="EM17">
        <f t="shared" si="81"/>
        <v>1.0800000000000001E-2</v>
      </c>
      <c r="EN17" s="460">
        <f t="shared" si="121"/>
        <v>34.846874999999983</v>
      </c>
      <c r="EO17">
        <f t="shared" si="82"/>
        <v>0.28021765354101147</v>
      </c>
      <c r="EP17" s="460">
        <f t="shared" si="122"/>
        <v>280.21765354101149</v>
      </c>
      <c r="EQ17" s="173">
        <f t="shared" si="83"/>
        <v>7.4549999999999991E-2</v>
      </c>
      <c r="ER17" s="173">
        <f t="shared" si="84"/>
        <v>1.33125E-2</v>
      </c>
      <c r="ES17" s="528"/>
      <c r="EU17" s="460">
        <f t="shared" si="123"/>
        <v>87.862499999999997</v>
      </c>
      <c r="EV17" s="528">
        <f t="shared" si="85"/>
        <v>2.2799999999999999E-3</v>
      </c>
      <c r="EW17" s="528">
        <f t="shared" si="124"/>
        <v>1.549777777777778E-2</v>
      </c>
      <c r="EX17" s="528">
        <f t="shared" si="86"/>
        <v>1.5546937170781111E-4</v>
      </c>
      <c r="EY17" s="528">
        <f t="shared" si="87"/>
        <v>5.2685175122040545E-2</v>
      </c>
      <c r="EZ17" s="528">
        <f t="shared" si="88"/>
        <v>7.5030044173466648E-2</v>
      </c>
      <c r="FA17" s="625">
        <f t="shared" si="89"/>
        <v>1.7099999999999995E-3</v>
      </c>
      <c r="FB17" s="460">
        <f t="shared" si="125"/>
        <v>76.740044173466657</v>
      </c>
      <c r="FC17" s="173">
        <f t="shared" si="126"/>
        <v>0.44482019771447812</v>
      </c>
      <c r="FD17" s="5">
        <f t="shared" si="127"/>
        <v>2.2079999999999997</v>
      </c>
      <c r="FE17" s="173">
        <f t="shared" si="128"/>
        <v>0.83232176907514865</v>
      </c>
      <c r="FF17" s="5">
        <f t="shared" si="129"/>
        <v>83.232176907514869</v>
      </c>
      <c r="FG17">
        <f t="shared" si="130"/>
        <v>12</v>
      </c>
      <c r="FI17" s="562">
        <f t="shared" si="90"/>
        <v>-50</v>
      </c>
      <c r="FJ17">
        <f t="shared" si="91"/>
        <v>-50</v>
      </c>
      <c r="FL17">
        <f t="shared" si="92"/>
        <v>0.18160003146632828</v>
      </c>
    </row>
    <row r="18" spans="5:168">
      <c r="E18" s="170">
        <v>13</v>
      </c>
      <c r="F18" s="217">
        <f t="shared" si="131"/>
        <v>0.13</v>
      </c>
      <c r="G18" s="217">
        <f t="shared" si="93"/>
        <v>3.2500000000000001E-2</v>
      </c>
      <c r="H18" s="217">
        <f t="shared" si="0"/>
        <v>2.1319999999999997</v>
      </c>
      <c r="I18" s="217">
        <f t="shared" si="132"/>
        <v>0.26</v>
      </c>
      <c r="J18" s="541">
        <f t="shared" si="1"/>
        <v>23.955209755049875</v>
      </c>
      <c r="K18" s="443">
        <f t="shared" si="2"/>
        <v>17.119823785111333</v>
      </c>
      <c r="L18" s="172">
        <f t="shared" si="3"/>
        <v>41.075033540161208</v>
      </c>
      <c r="M18" s="443"/>
      <c r="N18" s="217">
        <f t="shared" si="4"/>
        <v>0.41679390884422252</v>
      </c>
      <c r="O18" s="172">
        <f t="shared" si="94"/>
        <v>29.663754054392026</v>
      </c>
      <c r="P18" s="172">
        <f t="shared" si="5"/>
        <v>4.0586932971506045</v>
      </c>
      <c r="Q18" s="217">
        <f t="shared" si="6"/>
        <v>1.8087654911214652</v>
      </c>
      <c r="R18" s="217">
        <f t="shared" si="7"/>
        <v>3.7079692567990032</v>
      </c>
      <c r="S18" s="443">
        <f t="shared" si="8"/>
        <v>16.399999999999999</v>
      </c>
      <c r="T18" s="217">
        <f t="shared" si="9"/>
        <v>0.4791481653762194</v>
      </c>
      <c r="U18" s="217">
        <f t="shared" si="10"/>
        <v>0.24002202624431421</v>
      </c>
      <c r="V18" s="217">
        <f t="shared" si="11"/>
        <v>0.33585497471738385</v>
      </c>
      <c r="W18" s="197">
        <f t="shared" si="12"/>
        <v>350</v>
      </c>
      <c r="X18" s="443">
        <f t="shared" si="95"/>
        <v>350</v>
      </c>
      <c r="Z18" s="217">
        <f t="shared" si="13"/>
        <v>2.3772346454739255</v>
      </c>
      <c r="AA18" s="173">
        <f t="shared" si="14"/>
        <v>1.6663031175879355</v>
      </c>
      <c r="AB18" s="173">
        <f t="shared" si="15"/>
        <v>0.69320886267346915</v>
      </c>
      <c r="AC18" s="173"/>
      <c r="AD18" s="173">
        <f t="shared" si="16"/>
        <v>0.93458905890811728</v>
      </c>
      <c r="AE18" s="545">
        <f t="shared" si="17"/>
        <v>208.64785238104429</v>
      </c>
      <c r="AF18" s="528">
        <f t="shared" si="18"/>
        <v>0.21807078041189407</v>
      </c>
      <c r="AH18" s="173">
        <f t="shared" si="19"/>
        <v>1.0672617387724619</v>
      </c>
      <c r="AI18" s="173">
        <f t="shared" si="20"/>
        <v>1.3333333333333335</v>
      </c>
      <c r="AJ18" s="173">
        <f t="shared" si="21"/>
        <v>1.1192273442177396</v>
      </c>
      <c r="AL18" s="545">
        <f t="shared" si="22"/>
        <v>130</v>
      </c>
      <c r="AM18" s="460">
        <f t="shared" si="23"/>
        <v>208.64785238104429</v>
      </c>
      <c r="AO18">
        <f t="shared" si="96"/>
        <v>130</v>
      </c>
      <c r="AP18" s="460">
        <f t="shared" si="24"/>
        <v>208.64785238104429</v>
      </c>
      <c r="AQ18" s="460"/>
      <c r="AR18" s="5">
        <f t="shared" si="97"/>
        <v>4.7927644046570128</v>
      </c>
      <c r="AS18" s="5">
        <f t="shared" si="25"/>
        <v>0.66791316643040977</v>
      </c>
      <c r="AT18" s="5">
        <f t="shared" si="98"/>
        <v>4.1248512382266034</v>
      </c>
      <c r="AU18" s="173">
        <f t="shared" si="99"/>
        <v>0.13935864775272799</v>
      </c>
      <c r="AW18" s="5">
        <f t="shared" si="26"/>
        <v>0.52944336363386146</v>
      </c>
      <c r="AX18" s="5">
        <f t="shared" si="27"/>
        <v>0.271339723862354</v>
      </c>
      <c r="AY18" s="5">
        <f t="shared" si="28"/>
        <v>0.30592450556067663</v>
      </c>
      <c r="AZ18" s="5"/>
      <c r="BA18" s="173">
        <f t="shared" si="100"/>
        <v>0.28737241059640184</v>
      </c>
      <c r="BB18" s="173">
        <f t="shared" si="29"/>
        <v>0.71414962733352028</v>
      </c>
      <c r="BC18" s="173">
        <f t="shared" si="30"/>
        <v>0.17520744085226966</v>
      </c>
      <c r="BD18" s="173"/>
      <c r="BE18" s="528">
        <f t="shared" si="31"/>
        <v>1.6516580474397395E-3</v>
      </c>
      <c r="BF18" s="528">
        <f t="shared" si="32"/>
        <v>0.21425543836584998</v>
      </c>
      <c r="BG18" s="528">
        <f t="shared" si="33"/>
        <v>0.12495507671821494</v>
      </c>
      <c r="BH18" s="528">
        <f t="shared" si="34"/>
        <v>3.5202197268156918E-2</v>
      </c>
      <c r="BI18">
        <f t="shared" si="35"/>
        <v>1.0779844389772444E-2</v>
      </c>
      <c r="BJ18" s="460">
        <f t="shared" si="101"/>
        <v>135.73492110798739</v>
      </c>
      <c r="BK18">
        <f t="shared" si="36"/>
        <v>0.2516539989276092</v>
      </c>
      <c r="BL18" s="460">
        <f t="shared" si="102"/>
        <v>251.65399892760919</v>
      </c>
      <c r="BM18" s="173">
        <f t="shared" si="37"/>
        <v>8.0762499999999987E-2</v>
      </c>
      <c r="BN18" s="173">
        <f t="shared" si="38"/>
        <v>1.4421874999999999E-2</v>
      </c>
      <c r="BO18" s="528"/>
      <c r="BQ18" s="460">
        <f t="shared" si="103"/>
        <v>95.184374999999989</v>
      </c>
      <c r="BR18" s="528">
        <f t="shared" si="39"/>
        <v>2.477487071159609E-3</v>
      </c>
      <c r="BS18" s="528">
        <f t="shared" si="104"/>
        <v>1.5300290706618178E-2</v>
      </c>
      <c r="BT18" s="528">
        <f t="shared" si="40"/>
        <v>1.5348823665000788E-4</v>
      </c>
      <c r="BU18" s="528">
        <f t="shared" si="41"/>
        <v>6.4543370826130833E-2</v>
      </c>
      <c r="BV18" s="528">
        <f t="shared" si="42"/>
        <v>8.6902802866068565E-2</v>
      </c>
      <c r="BW18" s="625">
        <f t="shared" si="43"/>
        <v>1.8546475767203939E-3</v>
      </c>
      <c r="BX18" s="460">
        <f t="shared" si="105"/>
        <v>88.757450442788965</v>
      </c>
      <c r="BY18" s="173">
        <f t="shared" si="106"/>
        <v>0.43559582437039807</v>
      </c>
      <c r="BZ18" s="5">
        <f t="shared" si="107"/>
        <v>2.3919999999999995</v>
      </c>
      <c r="CA18" s="173">
        <f t="shared" si="108"/>
        <v>0.84594834218663861</v>
      </c>
      <c r="CB18" s="5">
        <f t="shared" si="109"/>
        <v>84.594834218663863</v>
      </c>
      <c r="CC18">
        <f t="shared" si="110"/>
        <v>13</v>
      </c>
      <c r="CE18" s="562">
        <f t="shared" si="44"/>
        <v>-50</v>
      </c>
      <c r="CF18">
        <f t="shared" si="45"/>
        <v>-50</v>
      </c>
      <c r="CG18" s="173">
        <f t="shared" si="46"/>
        <v>0.19673336742185563</v>
      </c>
      <c r="CH18" s="173">
        <f t="shared" si="47"/>
        <v>6.8741028122718845E-2</v>
      </c>
      <c r="CI18" s="170">
        <v>13</v>
      </c>
      <c r="CJ18" s="217">
        <f t="shared" si="133"/>
        <v>0.13</v>
      </c>
      <c r="CK18" s="217">
        <f t="shared" si="111"/>
        <v>3.2500000000000001E-2</v>
      </c>
      <c r="CL18" s="217">
        <f t="shared" si="48"/>
        <v>2.1319999999999997</v>
      </c>
      <c r="CM18" s="217">
        <f t="shared" si="134"/>
        <v>0.26</v>
      </c>
      <c r="CN18" s="541">
        <f t="shared" si="112"/>
        <v>24</v>
      </c>
      <c r="CO18" s="443">
        <f t="shared" si="49"/>
        <v>17.099999999999998</v>
      </c>
      <c r="CP18" s="443">
        <f t="shared" si="50"/>
        <v>41.099999999999994</v>
      </c>
      <c r="CQ18" s="443"/>
      <c r="CR18" s="217">
        <f t="shared" si="113"/>
        <v>0.41176470588235292</v>
      </c>
      <c r="CS18" s="172">
        <f t="shared" si="114"/>
        <v>29.36061381074169</v>
      </c>
      <c r="CT18" s="172">
        <f t="shared" si="51"/>
        <v>4.0172166427546641</v>
      </c>
      <c r="CU18" s="217">
        <f t="shared" si="52"/>
        <v>1.7902813299232738</v>
      </c>
      <c r="CV18" s="217">
        <f t="shared" si="53"/>
        <v>3.6700767263427112</v>
      </c>
      <c r="CW18" s="443">
        <f t="shared" si="54"/>
        <v>16.399999999999999</v>
      </c>
      <c r="CX18" s="217">
        <f t="shared" si="55"/>
        <v>0.48409523809523797</v>
      </c>
      <c r="CY18" s="217">
        <f t="shared" si="56"/>
        <v>0.24204761904761898</v>
      </c>
      <c r="CZ18" s="217">
        <f t="shared" si="57"/>
        <v>0.33971595655806175</v>
      </c>
      <c r="DA18" s="197">
        <f t="shared" si="58"/>
        <v>350</v>
      </c>
      <c r="DB18" s="443">
        <f t="shared" si="115"/>
        <v>350</v>
      </c>
      <c r="DD18" s="217">
        <f t="shared" si="59"/>
        <v>2.377476538060479</v>
      </c>
      <c r="DE18" s="173">
        <f t="shared" si="60"/>
        <v>1.668404588112617</v>
      </c>
      <c r="DF18" s="173">
        <f t="shared" si="61"/>
        <v>0.69415373374028577</v>
      </c>
      <c r="DG18" s="173"/>
      <c r="DH18" s="173">
        <f t="shared" si="62"/>
        <v>0.93567251461988332</v>
      </c>
      <c r="DI18" s="545">
        <f t="shared" si="63"/>
        <v>208.40624999999991</v>
      </c>
      <c r="DJ18" s="528">
        <f t="shared" si="64"/>
        <v>0.21832358674463945</v>
      </c>
      <c r="DL18" s="173">
        <f t="shared" si="65"/>
        <v>1.0672617387724619</v>
      </c>
      <c r="DM18" s="173">
        <f t="shared" si="66"/>
        <v>1.3333333333333335</v>
      </c>
      <c r="DN18" s="173">
        <f t="shared" si="67"/>
        <v>1.1190892857142858</v>
      </c>
      <c r="DP18" s="545">
        <f t="shared" si="68"/>
        <v>130</v>
      </c>
      <c r="DQ18" s="460">
        <f t="shared" si="69"/>
        <v>208.40624999999991</v>
      </c>
      <c r="DS18">
        <f t="shared" si="116"/>
        <v>130</v>
      </c>
      <c r="DT18" s="460">
        <f t="shared" si="70"/>
        <v>208.40624999999991</v>
      </c>
      <c r="DU18" s="460"/>
      <c r="DV18" s="5">
        <f t="shared" si="117"/>
        <v>4.7983205877942741</v>
      </c>
      <c r="DW18" s="5">
        <f t="shared" si="71"/>
        <v>0.66666666666666685</v>
      </c>
      <c r="DX18" s="5">
        <f t="shared" si="118"/>
        <v>4.1316539211276071</v>
      </c>
      <c r="DY18" s="173">
        <f t="shared" si="119"/>
        <v>0.13893749999999999</v>
      </c>
      <c r="EA18" s="5">
        <f t="shared" si="72"/>
        <v>0.52845528455284585</v>
      </c>
      <c r="EB18" s="5">
        <f t="shared" si="73"/>
        <v>0.27083333333333343</v>
      </c>
      <c r="EC18" s="5">
        <f t="shared" si="74"/>
        <v>0.3058571583279186</v>
      </c>
      <c r="ED18" s="5"/>
      <c r="EE18" s="173">
        <f t="shared" si="120"/>
        <v>0.28693785622209794</v>
      </c>
      <c r="EF18" s="173">
        <f t="shared" si="75"/>
        <v>0.71432433758010749</v>
      </c>
      <c r="EG18" s="173">
        <f t="shared" si="76"/>
        <v>0.17525030376785994</v>
      </c>
      <c r="EH18" s="173"/>
      <c r="EI18" s="528">
        <f t="shared" si="77"/>
        <v>1.6466666666666672E-3</v>
      </c>
      <c r="EJ18" s="528">
        <f t="shared" si="78"/>
        <v>0.2284132499999999</v>
      </c>
      <c r="EK18" s="528">
        <f t="shared" si="79"/>
        <v>2.6050781249999988E-2</v>
      </c>
      <c r="EL18" s="528">
        <f t="shared" si="80"/>
        <v>3.5204192156249973E-2</v>
      </c>
      <c r="EM18">
        <f t="shared" si="81"/>
        <v>1.0800000000000001E-2</v>
      </c>
      <c r="EN18" s="460">
        <f t="shared" si="121"/>
        <v>36.85078124999999</v>
      </c>
      <c r="EO18">
        <f t="shared" si="82"/>
        <v>0.30267791220070922</v>
      </c>
      <c r="EP18" s="460">
        <f t="shared" si="122"/>
        <v>302.67791220070922</v>
      </c>
      <c r="EQ18" s="173">
        <f t="shared" si="83"/>
        <v>8.0762499999999987E-2</v>
      </c>
      <c r="ER18" s="173">
        <f t="shared" si="84"/>
        <v>1.4421874999999999E-2</v>
      </c>
      <c r="ES18" s="528"/>
      <c r="EU18" s="460">
        <f t="shared" si="123"/>
        <v>95.184374999999989</v>
      </c>
      <c r="EV18" s="528">
        <f t="shared" si="85"/>
        <v>2.4700000000000004E-3</v>
      </c>
      <c r="EW18" s="528">
        <f t="shared" si="124"/>
        <v>1.5307777777777781E-2</v>
      </c>
      <c r="EX18" s="528">
        <f t="shared" si="86"/>
        <v>1.5356334485363592E-4</v>
      </c>
      <c r="EY18" s="528">
        <f t="shared" si="87"/>
        <v>6.4356689152578264E-2</v>
      </c>
      <c r="EZ18" s="528">
        <f t="shared" si="88"/>
        <v>8.6715946802472202E-2</v>
      </c>
      <c r="FA18" s="625">
        <f t="shared" si="89"/>
        <v>1.8524999999999993E-3</v>
      </c>
      <c r="FB18" s="460">
        <f t="shared" si="125"/>
        <v>88.568446802472195</v>
      </c>
      <c r="FC18" s="173">
        <f t="shared" si="126"/>
        <v>0.48643073400318138</v>
      </c>
      <c r="FD18" s="5">
        <f t="shared" si="127"/>
        <v>2.3919999999999995</v>
      </c>
      <c r="FE18" s="173">
        <f t="shared" si="128"/>
        <v>0.83100835873626278</v>
      </c>
      <c r="FF18" s="5">
        <f t="shared" si="129"/>
        <v>83.100835873626281</v>
      </c>
      <c r="FG18">
        <f t="shared" si="130"/>
        <v>13</v>
      </c>
      <c r="FI18" s="562">
        <f t="shared" si="90"/>
        <v>-50</v>
      </c>
      <c r="FJ18">
        <f t="shared" si="91"/>
        <v>-50</v>
      </c>
      <c r="FL18">
        <f t="shared" si="92"/>
        <v>0.19673336742185563</v>
      </c>
    </row>
    <row r="19" spans="5:168">
      <c r="E19" s="170">
        <v>14</v>
      </c>
      <c r="F19" s="217">
        <f t="shared" si="131"/>
        <v>0.14000000000000001</v>
      </c>
      <c r="G19" s="217">
        <f t="shared" si="93"/>
        <v>3.5000000000000003E-2</v>
      </c>
      <c r="H19" s="217">
        <f t="shared" si="0"/>
        <v>2.2959999999999998</v>
      </c>
      <c r="I19" s="217">
        <f t="shared" si="132"/>
        <v>0.28000000000000003</v>
      </c>
      <c r="J19" s="541">
        <f t="shared" si="1"/>
        <v>23.955209755049875</v>
      </c>
      <c r="K19" s="443">
        <f t="shared" si="2"/>
        <v>17.119823785111333</v>
      </c>
      <c r="L19" s="172">
        <f t="shared" si="3"/>
        <v>41.075033540161208</v>
      </c>
      <c r="M19" s="443"/>
      <c r="N19" s="217">
        <f t="shared" si="4"/>
        <v>0.41679390884422252</v>
      </c>
      <c r="O19" s="172">
        <f t="shared" si="94"/>
        <v>29.663754054392026</v>
      </c>
      <c r="P19" s="172">
        <f t="shared" si="5"/>
        <v>4.0586932971506045</v>
      </c>
      <c r="Q19" s="217">
        <f t="shared" si="6"/>
        <v>1.8087654911214652</v>
      </c>
      <c r="R19" s="217">
        <f t="shared" si="7"/>
        <v>3.7079692567990032</v>
      </c>
      <c r="S19" s="443">
        <f t="shared" si="8"/>
        <v>16.399999999999999</v>
      </c>
      <c r="T19" s="217">
        <f t="shared" si="9"/>
        <v>0.51600571655900562</v>
      </c>
      <c r="U19" s="217">
        <f t="shared" si="10"/>
        <v>0.25848525903233843</v>
      </c>
      <c r="V19" s="217">
        <f t="shared" si="11"/>
        <v>0.36168997277256726</v>
      </c>
      <c r="W19" s="197">
        <f t="shared" si="12"/>
        <v>350</v>
      </c>
      <c r="X19" s="443">
        <f t="shared" si="95"/>
        <v>350</v>
      </c>
      <c r="Z19" s="217">
        <f t="shared" si="13"/>
        <v>2.3772346454739255</v>
      </c>
      <c r="AA19" s="173">
        <f t="shared" si="14"/>
        <v>1.6663031175879355</v>
      </c>
      <c r="AB19" s="173">
        <f t="shared" si="15"/>
        <v>0.69320886267346915</v>
      </c>
      <c r="AC19" s="173"/>
      <c r="AD19" s="173">
        <f t="shared" si="16"/>
        <v>0.93458905890811728</v>
      </c>
      <c r="AE19" s="545">
        <f t="shared" si="17"/>
        <v>224.69768717958618</v>
      </c>
      <c r="AF19" s="528">
        <f t="shared" si="18"/>
        <v>0.21807078041189407</v>
      </c>
      <c r="AH19" s="173">
        <f t="shared" si="19"/>
        <v>1.1075498483890764</v>
      </c>
      <c r="AI19" s="173">
        <f t="shared" si="20"/>
        <v>1.3333333333333335</v>
      </c>
      <c r="AJ19" s="173">
        <f t="shared" si="21"/>
        <v>1.1283986783883351</v>
      </c>
      <c r="AL19" s="545">
        <f t="shared" si="22"/>
        <v>140</v>
      </c>
      <c r="AM19" s="460">
        <f t="shared" si="23"/>
        <v>224.69768717958618</v>
      </c>
      <c r="AO19">
        <f t="shared" si="96"/>
        <v>140</v>
      </c>
      <c r="AP19" s="460">
        <f t="shared" si="24"/>
        <v>224.69768717958618</v>
      </c>
      <c r="AQ19" s="460"/>
      <c r="AR19" s="5">
        <f t="shared" si="97"/>
        <v>4.4504240900386538</v>
      </c>
      <c r="AS19" s="5">
        <f t="shared" si="25"/>
        <v>0.66791316643040977</v>
      </c>
      <c r="AT19" s="5">
        <f t="shared" si="98"/>
        <v>3.7825109236082439</v>
      </c>
      <c r="AU19" s="173">
        <f t="shared" si="99"/>
        <v>0.1500785437337071</v>
      </c>
      <c r="AW19" s="5">
        <f t="shared" si="26"/>
        <v>0.57016977622108167</v>
      </c>
      <c r="AX19" s="5">
        <f t="shared" si="27"/>
        <v>0.29221201031330435</v>
      </c>
      <c r="AY19" s="5">
        <f t="shared" si="28"/>
        <v>0.30211399974535669</v>
      </c>
      <c r="AZ19" s="5"/>
      <c r="BA19" s="173">
        <f t="shared" si="100"/>
        <v>0.29822044417457078</v>
      </c>
      <c r="BB19" s="173">
        <f t="shared" si="29"/>
        <v>0.70968807180966087</v>
      </c>
      <c r="BC19" s="173">
        <f t="shared" si="30"/>
        <v>0.17411285549419223</v>
      </c>
      <c r="BD19" s="173"/>
      <c r="BE19" s="528">
        <f t="shared" si="31"/>
        <v>1.7787086664735657E-3</v>
      </c>
      <c r="BF19" s="528">
        <f t="shared" si="32"/>
        <v>0.23073662593245386</v>
      </c>
      <c r="BG19" s="528">
        <f t="shared" si="33"/>
        <v>0.13456700569653918</v>
      </c>
      <c r="BH19" s="528">
        <f t="shared" si="34"/>
        <v>3.7910058596476684E-2</v>
      </c>
      <c r="BI19">
        <f t="shared" si="35"/>
        <v>1.0779844389772444E-2</v>
      </c>
      <c r="BJ19" s="460">
        <f t="shared" si="101"/>
        <v>145.34685008631163</v>
      </c>
      <c r="BK19">
        <f t="shared" si="36"/>
        <v>0.27102018340483713</v>
      </c>
      <c r="BL19" s="460">
        <f t="shared" si="102"/>
        <v>271.02018340483716</v>
      </c>
      <c r="BM19" s="173">
        <f t="shared" si="37"/>
        <v>8.6974999999999997E-2</v>
      </c>
      <c r="BN19" s="173">
        <f t="shared" si="38"/>
        <v>1.553125E-2</v>
      </c>
      <c r="BO19" s="528"/>
      <c r="BQ19" s="460">
        <f t="shared" si="103"/>
        <v>102.50624999999999</v>
      </c>
      <c r="BR19" s="528">
        <f t="shared" si="39"/>
        <v>2.6680629997103485E-3</v>
      </c>
      <c r="BS19" s="528">
        <f t="shared" si="104"/>
        <v>1.5109714778067431E-2</v>
      </c>
      <c r="BT19" s="528">
        <f t="shared" si="40"/>
        <v>1.5157643224170732E-4</v>
      </c>
      <c r="BU19" s="528">
        <f t="shared" si="41"/>
        <v>7.7680739528126E-2</v>
      </c>
      <c r="BV19" s="528">
        <f t="shared" si="42"/>
        <v>0.10005665484501304</v>
      </c>
      <c r="BW19" s="625">
        <f t="shared" si="43"/>
        <v>1.9973127749296554E-3</v>
      </c>
      <c r="BX19" s="460">
        <f t="shared" si="105"/>
        <v>102.0539676199427</v>
      </c>
      <c r="BY19" s="173">
        <f t="shared" si="106"/>
        <v>0.47558040102477983</v>
      </c>
      <c r="BZ19" s="5">
        <f t="shared" si="107"/>
        <v>2.5759999999999996</v>
      </c>
      <c r="CA19" s="173">
        <f t="shared" si="108"/>
        <v>0.84415275413845536</v>
      </c>
      <c r="CB19" s="5">
        <f t="shared" si="109"/>
        <v>84.415275413845535</v>
      </c>
      <c r="CC19">
        <f t="shared" si="110"/>
        <v>14.000000000000002</v>
      </c>
      <c r="CE19" s="562">
        <f t="shared" si="44"/>
        <v>-50</v>
      </c>
      <c r="CF19">
        <f t="shared" si="45"/>
        <v>-50</v>
      </c>
      <c r="CG19" s="173">
        <f t="shared" si="46"/>
        <v>0.211866703377383</v>
      </c>
      <c r="CH19" s="173">
        <f t="shared" si="47"/>
        <v>7.4028799516774144E-2</v>
      </c>
      <c r="CI19" s="170">
        <v>14</v>
      </c>
      <c r="CJ19" s="217">
        <f t="shared" si="133"/>
        <v>0.14000000000000001</v>
      </c>
      <c r="CK19" s="217">
        <f t="shared" si="111"/>
        <v>3.5000000000000003E-2</v>
      </c>
      <c r="CL19" s="217">
        <f t="shared" si="48"/>
        <v>2.2959999999999998</v>
      </c>
      <c r="CM19" s="217">
        <f t="shared" si="134"/>
        <v>0.28000000000000003</v>
      </c>
      <c r="CN19" s="541">
        <f t="shared" si="112"/>
        <v>24</v>
      </c>
      <c r="CO19" s="443">
        <f t="shared" si="49"/>
        <v>17.099999999999998</v>
      </c>
      <c r="CP19" s="443">
        <f t="shared" si="50"/>
        <v>41.099999999999994</v>
      </c>
      <c r="CQ19" s="443"/>
      <c r="CR19" s="217">
        <f t="shared" si="113"/>
        <v>0.41176470588235292</v>
      </c>
      <c r="CS19" s="172">
        <f t="shared" si="114"/>
        <v>29.36061381074169</v>
      </c>
      <c r="CT19" s="172">
        <f t="shared" si="51"/>
        <v>4.0172166427546641</v>
      </c>
      <c r="CU19" s="217">
        <f t="shared" si="52"/>
        <v>1.7902813299232738</v>
      </c>
      <c r="CV19" s="217">
        <f t="shared" si="53"/>
        <v>3.6700767263427112</v>
      </c>
      <c r="CW19" s="443">
        <f t="shared" si="54"/>
        <v>16.399999999999999</v>
      </c>
      <c r="CX19" s="217">
        <f t="shared" si="55"/>
        <v>0.5213333333333332</v>
      </c>
      <c r="CY19" s="217">
        <f t="shared" si="56"/>
        <v>0.2606666666666666</v>
      </c>
      <c r="CZ19" s="217">
        <f t="shared" si="57"/>
        <v>0.3658479532163742</v>
      </c>
      <c r="DA19" s="197">
        <f t="shared" si="58"/>
        <v>350</v>
      </c>
      <c r="DB19" s="443">
        <f t="shared" si="115"/>
        <v>350</v>
      </c>
      <c r="DD19" s="217">
        <f t="shared" si="59"/>
        <v>2.377476538060479</v>
      </c>
      <c r="DE19" s="173">
        <f t="shared" si="60"/>
        <v>1.668404588112617</v>
      </c>
      <c r="DF19" s="173">
        <f t="shared" si="61"/>
        <v>0.69415373374028577</v>
      </c>
      <c r="DG19" s="173"/>
      <c r="DH19" s="173">
        <f t="shared" si="62"/>
        <v>0.93567251461988332</v>
      </c>
      <c r="DI19" s="545">
        <f t="shared" si="63"/>
        <v>224.43749999999994</v>
      </c>
      <c r="DJ19" s="528">
        <f t="shared" si="64"/>
        <v>0.21832358674463945</v>
      </c>
      <c r="DL19" s="173">
        <f t="shared" si="65"/>
        <v>1.1075498483890764</v>
      </c>
      <c r="DM19" s="173">
        <f t="shared" si="66"/>
        <v>1.3333333333333335</v>
      </c>
      <c r="DN19" s="173">
        <f t="shared" si="67"/>
        <v>1.12825</v>
      </c>
      <c r="DP19" s="545">
        <f t="shared" si="68"/>
        <v>140</v>
      </c>
      <c r="DQ19" s="460">
        <f t="shared" si="69"/>
        <v>224.43749999999994</v>
      </c>
      <c r="DS19">
        <f t="shared" si="116"/>
        <v>140</v>
      </c>
      <c r="DT19" s="460">
        <f t="shared" si="70"/>
        <v>224.43749999999994</v>
      </c>
      <c r="DU19" s="460"/>
      <c r="DV19" s="5">
        <f t="shared" si="117"/>
        <v>4.4555834029518255</v>
      </c>
      <c r="DW19" s="5">
        <f t="shared" si="71"/>
        <v>0.66666666666666685</v>
      </c>
      <c r="DX19" s="5">
        <f t="shared" si="118"/>
        <v>3.7889167362851586</v>
      </c>
      <c r="DY19" s="173">
        <f t="shared" si="119"/>
        <v>0.14962499999999998</v>
      </c>
      <c r="EA19" s="5">
        <f t="shared" si="72"/>
        <v>0.56910569105691089</v>
      </c>
      <c r="EB19" s="5">
        <f t="shared" si="73"/>
        <v>0.29166666666666674</v>
      </c>
      <c r="EC19" s="5">
        <f t="shared" si="74"/>
        <v>0.3020608620316223</v>
      </c>
      <c r="ED19" s="5"/>
      <c r="EE19" s="173">
        <f t="shared" si="120"/>
        <v>0.29776948578836399</v>
      </c>
      <c r="EF19" s="173">
        <f t="shared" si="75"/>
        <v>0.70987740203920136</v>
      </c>
      <c r="EG19" s="173">
        <f t="shared" si="76"/>
        <v>0.17415930523486861</v>
      </c>
      <c r="EH19" s="173"/>
      <c r="EI19" s="528">
        <f t="shared" si="77"/>
        <v>1.773333333333334E-3</v>
      </c>
      <c r="EJ19" s="528">
        <f t="shared" si="78"/>
        <v>0.24598349999999994</v>
      </c>
      <c r="EK19" s="528">
        <f t="shared" si="79"/>
        <v>2.8054687499999995E-2</v>
      </c>
      <c r="EL19" s="528">
        <f t="shared" si="80"/>
        <v>3.7912206937499977E-2</v>
      </c>
      <c r="EM19">
        <f t="shared" si="81"/>
        <v>1.0800000000000001E-2</v>
      </c>
      <c r="EN19" s="460">
        <f t="shared" si="121"/>
        <v>38.854687499999997</v>
      </c>
      <c r="EO19">
        <f t="shared" si="82"/>
        <v>0.32513952335816304</v>
      </c>
      <c r="EP19" s="460">
        <f t="shared" si="122"/>
        <v>325.13952335816305</v>
      </c>
      <c r="EQ19" s="173">
        <f t="shared" si="83"/>
        <v>8.6974999999999997E-2</v>
      </c>
      <c r="ER19" s="173">
        <f t="shared" si="84"/>
        <v>1.553125E-2</v>
      </c>
      <c r="ES19" s="528"/>
      <c r="EU19" s="460">
        <f t="shared" si="123"/>
        <v>102.50624999999999</v>
      </c>
      <c r="EV19" s="528">
        <f t="shared" si="85"/>
        <v>2.6600000000000009E-3</v>
      </c>
      <c r="EW19" s="528">
        <f t="shared" si="124"/>
        <v>1.5117777777777777E-2</v>
      </c>
      <c r="EX19" s="528">
        <f t="shared" si="86"/>
        <v>1.5165731799946067E-4</v>
      </c>
      <c r="EY19" s="528">
        <f t="shared" si="87"/>
        <v>7.7456060056442136E-2</v>
      </c>
      <c r="EZ19" s="528">
        <f t="shared" si="88"/>
        <v>9.9831753731127501E-2</v>
      </c>
      <c r="FA19" s="625">
        <f t="shared" si="89"/>
        <v>1.9949999999999998E-3</v>
      </c>
      <c r="FB19" s="460">
        <f t="shared" si="125"/>
        <v>101.8267537311275</v>
      </c>
      <c r="FC19" s="173">
        <f t="shared" si="126"/>
        <v>0.52947252708929049</v>
      </c>
      <c r="FD19" s="5">
        <f t="shared" si="127"/>
        <v>2.5759999999999996</v>
      </c>
      <c r="FE19" s="173">
        <f t="shared" si="128"/>
        <v>0.82950339361541325</v>
      </c>
      <c r="FF19" s="5">
        <f t="shared" si="129"/>
        <v>82.950339361541324</v>
      </c>
      <c r="FG19">
        <f t="shared" si="130"/>
        <v>14.000000000000002</v>
      </c>
      <c r="FI19" s="562">
        <f t="shared" si="90"/>
        <v>-50</v>
      </c>
      <c r="FJ19">
        <f t="shared" si="91"/>
        <v>-50</v>
      </c>
      <c r="FL19">
        <f t="shared" si="92"/>
        <v>0.211866703377383</v>
      </c>
    </row>
    <row r="20" spans="5:168">
      <c r="E20" s="170">
        <v>15</v>
      </c>
      <c r="F20" s="217">
        <f t="shared" si="131"/>
        <v>0.15</v>
      </c>
      <c r="G20" s="217">
        <f t="shared" si="93"/>
        <v>3.7499999999999999E-2</v>
      </c>
      <c r="H20" s="217">
        <f t="shared" si="0"/>
        <v>2.4599999999999995</v>
      </c>
      <c r="I20" s="217">
        <f t="shared" si="132"/>
        <v>0.3</v>
      </c>
      <c r="J20" s="541">
        <f t="shared" si="1"/>
        <v>23.955209755049875</v>
      </c>
      <c r="K20" s="443">
        <f t="shared" si="2"/>
        <v>17.119823785111333</v>
      </c>
      <c r="L20" s="172">
        <f t="shared" si="3"/>
        <v>41.075033540161208</v>
      </c>
      <c r="M20" s="443"/>
      <c r="N20" s="217">
        <f t="shared" si="4"/>
        <v>0.41679390884422252</v>
      </c>
      <c r="O20" s="172">
        <f t="shared" si="94"/>
        <v>29.663754054392026</v>
      </c>
      <c r="P20" s="172">
        <f t="shared" si="5"/>
        <v>4.0586932971506045</v>
      </c>
      <c r="Q20" s="217">
        <f t="shared" si="6"/>
        <v>1.8087654911214652</v>
      </c>
      <c r="R20" s="217">
        <f t="shared" si="7"/>
        <v>3.7079692567990032</v>
      </c>
      <c r="S20" s="443">
        <f t="shared" si="8"/>
        <v>16.399999999999999</v>
      </c>
      <c r="T20" s="217">
        <f t="shared" si="9"/>
        <v>0.55286326774179162</v>
      </c>
      <c r="U20" s="217">
        <f t="shared" si="10"/>
        <v>0.27694849182036257</v>
      </c>
      <c r="V20" s="217">
        <f t="shared" si="11"/>
        <v>0.38752497082775061</v>
      </c>
      <c r="W20" s="197">
        <f t="shared" si="12"/>
        <v>350</v>
      </c>
      <c r="X20" s="443">
        <f t="shared" si="95"/>
        <v>350</v>
      </c>
      <c r="Z20" s="217">
        <f t="shared" si="13"/>
        <v>2.3772346454739255</v>
      </c>
      <c r="AA20" s="173">
        <f t="shared" si="14"/>
        <v>1.6663031175879355</v>
      </c>
      <c r="AB20" s="173">
        <f t="shared" si="15"/>
        <v>0.69320886267346915</v>
      </c>
      <c r="AC20" s="173"/>
      <c r="AD20" s="173">
        <f t="shared" si="16"/>
        <v>0.93458905890811728</v>
      </c>
      <c r="AE20" s="545">
        <f t="shared" si="17"/>
        <v>240.74752197812802</v>
      </c>
      <c r="AF20" s="528">
        <f t="shared" si="18"/>
        <v>0.21807078041189407</v>
      </c>
      <c r="AH20" s="173">
        <f t="shared" si="19"/>
        <v>1.1464230084422216</v>
      </c>
      <c r="AI20" s="173">
        <f t="shared" si="20"/>
        <v>1.3333333333333335</v>
      </c>
      <c r="AJ20" s="173">
        <f t="shared" si="21"/>
        <v>1.1375700125589303</v>
      </c>
      <c r="AL20" s="545">
        <f t="shared" si="22"/>
        <v>150</v>
      </c>
      <c r="AM20" s="460">
        <f t="shared" si="23"/>
        <v>240.74752197812802</v>
      </c>
      <c r="AO20">
        <f t="shared" si="96"/>
        <v>150</v>
      </c>
      <c r="AP20" s="460">
        <f t="shared" si="24"/>
        <v>240.74752197812802</v>
      </c>
      <c r="AQ20" s="460"/>
      <c r="AR20" s="5">
        <f t="shared" si="97"/>
        <v>4.1537291507027447</v>
      </c>
      <c r="AS20" s="5">
        <f t="shared" si="25"/>
        <v>0.66791316643040977</v>
      </c>
      <c r="AT20" s="5">
        <f t="shared" si="98"/>
        <v>3.4858159842723349</v>
      </c>
      <c r="AU20" s="173">
        <f t="shared" si="99"/>
        <v>0.16079843971468613</v>
      </c>
      <c r="AW20" s="5">
        <f t="shared" si="26"/>
        <v>0.61089618880830165</v>
      </c>
      <c r="AX20" s="5">
        <f t="shared" si="27"/>
        <v>0.31308429676425453</v>
      </c>
      <c r="AY20" s="5">
        <f t="shared" si="28"/>
        <v>0.29830349393003702</v>
      </c>
      <c r="AZ20" s="5"/>
      <c r="BA20" s="173">
        <f t="shared" si="100"/>
        <v>0.30868748642497573</v>
      </c>
      <c r="BB20" s="173">
        <f t="shared" si="29"/>
        <v>0.70519829006969614</v>
      </c>
      <c r="BC20" s="173">
        <f t="shared" si="30"/>
        <v>0.17301134519643904</v>
      </c>
      <c r="BD20" s="173"/>
      <c r="BE20" s="528">
        <f t="shared" si="31"/>
        <v>1.9057592855073915E-3</v>
      </c>
      <c r="BF20" s="528">
        <f t="shared" si="32"/>
        <v>0.24721781349905766</v>
      </c>
      <c r="BG20" s="528">
        <f t="shared" si="33"/>
        <v>0.1441789346748634</v>
      </c>
      <c r="BH20" s="528">
        <f t="shared" si="34"/>
        <v>4.061791992479645E-2</v>
      </c>
      <c r="BI20">
        <f t="shared" si="35"/>
        <v>1.0779844389772444E-2</v>
      </c>
      <c r="BJ20" s="460">
        <f t="shared" si="101"/>
        <v>154.95877906463585</v>
      </c>
      <c r="BK20">
        <f t="shared" si="36"/>
        <v>0.29038753763455571</v>
      </c>
      <c r="BL20" s="460">
        <f t="shared" si="102"/>
        <v>290.38753763455571</v>
      </c>
      <c r="BM20" s="173">
        <f t="shared" si="37"/>
        <v>9.3187499999999993E-2</v>
      </c>
      <c r="BN20" s="173">
        <f t="shared" si="38"/>
        <v>1.6640624999999999E-2</v>
      </c>
      <c r="BO20" s="528"/>
      <c r="BQ20" s="460">
        <f t="shared" si="103"/>
        <v>109.828125</v>
      </c>
      <c r="BR20" s="528">
        <f t="shared" si="39"/>
        <v>2.8586389282610871E-3</v>
      </c>
      <c r="BS20" s="528">
        <f t="shared" si="104"/>
        <v>1.4919138849516698E-2</v>
      </c>
      <c r="BT20" s="528">
        <f t="shared" si="40"/>
        <v>1.4966462783340696E-4</v>
      </c>
      <c r="BU20" s="528">
        <f t="shared" si="41"/>
        <v>9.2304188792111538E-2</v>
      </c>
      <c r="BV20" s="528">
        <f t="shared" si="42"/>
        <v>0.11469871774758279</v>
      </c>
      <c r="BW20" s="625">
        <f t="shared" si="43"/>
        <v>2.1399779731389162E-3</v>
      </c>
      <c r="BX20" s="460">
        <f t="shared" si="105"/>
        <v>116.83869572072172</v>
      </c>
      <c r="BY20" s="173">
        <f t="shared" si="106"/>
        <v>0.51705435835527747</v>
      </c>
      <c r="BZ20" s="5">
        <f t="shared" si="107"/>
        <v>2.7599999999999993</v>
      </c>
      <c r="CA20" s="173">
        <f t="shared" si="108"/>
        <v>0.8422197797735701</v>
      </c>
      <c r="CB20" s="5">
        <f t="shared" si="109"/>
        <v>84.221977977357014</v>
      </c>
      <c r="CC20">
        <f t="shared" si="110"/>
        <v>15</v>
      </c>
      <c r="CE20" s="562">
        <f t="shared" si="44"/>
        <v>-50</v>
      </c>
      <c r="CF20">
        <f t="shared" si="45"/>
        <v>-50</v>
      </c>
      <c r="CG20" s="173">
        <f t="shared" si="46"/>
        <v>0.22700003933291032</v>
      </c>
      <c r="CH20" s="173">
        <f t="shared" si="47"/>
        <v>7.9316570910829415E-2</v>
      </c>
      <c r="CI20" s="170">
        <v>15</v>
      </c>
      <c r="CJ20" s="217">
        <f t="shared" si="133"/>
        <v>0.15</v>
      </c>
      <c r="CK20" s="217">
        <f t="shared" si="111"/>
        <v>3.7499999999999999E-2</v>
      </c>
      <c r="CL20" s="217">
        <f t="shared" si="48"/>
        <v>2.4599999999999995</v>
      </c>
      <c r="CM20" s="217">
        <f t="shared" si="134"/>
        <v>0.3</v>
      </c>
      <c r="CN20" s="541">
        <f t="shared" si="112"/>
        <v>24</v>
      </c>
      <c r="CO20" s="443">
        <f t="shared" si="49"/>
        <v>17.099999999999998</v>
      </c>
      <c r="CP20" s="443">
        <f t="shared" si="50"/>
        <v>41.099999999999994</v>
      </c>
      <c r="CQ20" s="443"/>
      <c r="CR20" s="217">
        <f t="shared" si="113"/>
        <v>0.41176470588235292</v>
      </c>
      <c r="CS20" s="172">
        <f t="shared" si="114"/>
        <v>29.36061381074169</v>
      </c>
      <c r="CT20" s="172">
        <f t="shared" si="51"/>
        <v>4.0172166427546641</v>
      </c>
      <c r="CU20" s="217">
        <f t="shared" si="52"/>
        <v>1.7902813299232738</v>
      </c>
      <c r="CV20" s="217">
        <f t="shared" si="53"/>
        <v>3.6700767263427112</v>
      </c>
      <c r="CW20" s="443">
        <f t="shared" si="54"/>
        <v>16.399999999999999</v>
      </c>
      <c r="CX20" s="217">
        <f t="shared" si="55"/>
        <v>0.55857142857142839</v>
      </c>
      <c r="CY20" s="217">
        <f t="shared" si="56"/>
        <v>0.27928571428571419</v>
      </c>
      <c r="CZ20" s="217">
        <f t="shared" si="57"/>
        <v>0.39197994987468665</v>
      </c>
      <c r="DA20" s="197">
        <f t="shared" si="58"/>
        <v>350</v>
      </c>
      <c r="DB20" s="443">
        <f t="shared" si="115"/>
        <v>350</v>
      </c>
      <c r="DD20" s="217">
        <f t="shared" si="59"/>
        <v>2.377476538060479</v>
      </c>
      <c r="DE20" s="173">
        <f t="shared" si="60"/>
        <v>1.668404588112617</v>
      </c>
      <c r="DF20" s="173">
        <f t="shared" si="61"/>
        <v>0.69415373374028577</v>
      </c>
      <c r="DG20" s="173"/>
      <c r="DH20" s="173">
        <f t="shared" si="62"/>
        <v>0.93567251461988332</v>
      </c>
      <c r="DI20" s="545">
        <f t="shared" si="63"/>
        <v>240.46874999999989</v>
      </c>
      <c r="DJ20" s="528">
        <f t="shared" si="64"/>
        <v>0.21832358674463945</v>
      </c>
      <c r="DL20" s="173">
        <f t="shared" si="65"/>
        <v>1.1464230084422216</v>
      </c>
      <c r="DM20" s="173">
        <f t="shared" si="66"/>
        <v>1.3333333333333335</v>
      </c>
      <c r="DN20" s="173">
        <f t="shared" si="67"/>
        <v>1.1374107142857142</v>
      </c>
      <c r="DP20" s="545">
        <f t="shared" si="68"/>
        <v>150</v>
      </c>
      <c r="DQ20" s="460">
        <f t="shared" si="69"/>
        <v>240.46874999999989</v>
      </c>
      <c r="DS20">
        <f t="shared" si="116"/>
        <v>150</v>
      </c>
      <c r="DT20" s="460">
        <f t="shared" si="70"/>
        <v>240.46874999999989</v>
      </c>
      <c r="DU20" s="460"/>
      <c r="DV20" s="5">
        <f t="shared" si="117"/>
        <v>4.1585445094217048</v>
      </c>
      <c r="DW20" s="5">
        <f t="shared" si="71"/>
        <v>0.66666666666666685</v>
      </c>
      <c r="DX20" s="5">
        <f t="shared" si="118"/>
        <v>3.4918778427550379</v>
      </c>
      <c r="DY20" s="173">
        <f t="shared" si="119"/>
        <v>0.16031249999999994</v>
      </c>
      <c r="EA20" s="5">
        <f t="shared" si="72"/>
        <v>0.60975609756097582</v>
      </c>
      <c r="EB20" s="5">
        <f t="shared" si="73"/>
        <v>0.31250000000000006</v>
      </c>
      <c r="EC20" s="5">
        <f t="shared" si="74"/>
        <v>0.29826456573532606</v>
      </c>
      <c r="ED20" s="5"/>
      <c r="EE20" s="173">
        <f t="shared" si="120"/>
        <v>0.30822070014844877</v>
      </c>
      <c r="EF20" s="173">
        <f t="shared" si="75"/>
        <v>0.7054024330781633</v>
      </c>
      <c r="EG20" s="173">
        <f t="shared" si="76"/>
        <v>0.17306142906221797</v>
      </c>
      <c r="EH20" s="173"/>
      <c r="EI20" s="528">
        <f t="shared" si="77"/>
        <v>1.8999999999999991E-3</v>
      </c>
      <c r="EJ20" s="528">
        <f t="shared" si="78"/>
        <v>0.26355374999999986</v>
      </c>
      <c r="EK20" s="528">
        <f t="shared" si="79"/>
        <v>3.0058593749999984E-2</v>
      </c>
      <c r="EL20" s="528">
        <f t="shared" si="80"/>
        <v>4.0620221718749967E-2</v>
      </c>
      <c r="EM20">
        <f t="shared" si="81"/>
        <v>1.0800000000000001E-2</v>
      </c>
      <c r="EN20" s="460">
        <f t="shared" si="121"/>
        <v>40.858593749999983</v>
      </c>
      <c r="EO20">
        <f t="shared" si="82"/>
        <v>0.3476024871355422</v>
      </c>
      <c r="EP20" s="460">
        <f t="shared" si="122"/>
        <v>347.60248713554222</v>
      </c>
      <c r="EQ20" s="173">
        <f t="shared" si="83"/>
        <v>9.3187499999999993E-2</v>
      </c>
      <c r="ER20" s="173">
        <f t="shared" si="84"/>
        <v>1.6640624999999999E-2</v>
      </c>
      <c r="ES20" s="528"/>
      <c r="EU20" s="460">
        <f t="shared" si="123"/>
        <v>109.828125</v>
      </c>
      <c r="EV20" s="528">
        <f t="shared" si="85"/>
        <v>2.8499999999999988E-3</v>
      </c>
      <c r="EW20" s="528">
        <f t="shared" si="124"/>
        <v>1.4927777777777779E-2</v>
      </c>
      <c r="EX20" s="528">
        <f t="shared" si="86"/>
        <v>1.4975129114528553E-4</v>
      </c>
      <c r="EY20" s="528">
        <f t="shared" si="87"/>
        <v>9.2037213265127621E-2</v>
      </c>
      <c r="EZ20" s="528">
        <f t="shared" si="88"/>
        <v>0.11443146718694369</v>
      </c>
      <c r="FA20" s="625">
        <f t="shared" si="89"/>
        <v>2.1374999999999996E-3</v>
      </c>
      <c r="FB20" s="460">
        <f t="shared" si="125"/>
        <v>116.56896718694369</v>
      </c>
      <c r="FC20" s="173">
        <f t="shared" si="126"/>
        <v>0.57399957932248591</v>
      </c>
      <c r="FD20" s="5">
        <f t="shared" si="127"/>
        <v>2.7599999999999993</v>
      </c>
      <c r="FE20" s="173">
        <f t="shared" si="128"/>
        <v>0.82783453756789893</v>
      </c>
      <c r="FF20" s="5">
        <f t="shared" si="129"/>
        <v>82.783453756789896</v>
      </c>
      <c r="FG20">
        <f t="shared" si="130"/>
        <v>15</v>
      </c>
      <c r="FI20" s="562">
        <f t="shared" si="90"/>
        <v>-50</v>
      </c>
      <c r="FJ20">
        <f t="shared" si="91"/>
        <v>-50</v>
      </c>
      <c r="FL20">
        <f t="shared" si="92"/>
        <v>0.22700003933291032</v>
      </c>
    </row>
    <row r="21" spans="5:168" s="76" customFormat="1">
      <c r="E21" s="189">
        <v>16</v>
      </c>
      <c r="F21" s="329">
        <f t="shared" si="131"/>
        <v>0.16</v>
      </c>
      <c r="G21" s="217">
        <f t="shared" si="93"/>
        <v>0.04</v>
      </c>
      <c r="H21" s="217">
        <f t="shared" si="0"/>
        <v>2.6239999999999997</v>
      </c>
      <c r="I21" s="217">
        <f t="shared" si="132"/>
        <v>0.32</v>
      </c>
      <c r="J21" s="541">
        <f t="shared" si="1"/>
        <v>23.955209755049875</v>
      </c>
      <c r="K21" s="443">
        <f t="shared" si="2"/>
        <v>17.119823785111333</v>
      </c>
      <c r="L21" s="172">
        <f t="shared" si="3"/>
        <v>41.075033540161208</v>
      </c>
      <c r="M21" s="443"/>
      <c r="N21" s="217">
        <f t="shared" si="4"/>
        <v>0.41679390884422252</v>
      </c>
      <c r="O21" s="172">
        <f t="shared" si="94"/>
        <v>29.663754054392026</v>
      </c>
      <c r="P21" s="172">
        <f t="shared" si="5"/>
        <v>4.0586932971506045</v>
      </c>
      <c r="Q21" s="329">
        <f t="shared" si="6"/>
        <v>1.8087654911214652</v>
      </c>
      <c r="R21" s="217">
        <f t="shared" si="7"/>
        <v>3.7079692567990032</v>
      </c>
      <c r="S21" s="443">
        <f t="shared" si="8"/>
        <v>16.399999999999999</v>
      </c>
      <c r="T21" s="217">
        <f t="shared" si="9"/>
        <v>0.58972081892457784</v>
      </c>
      <c r="U21" s="329">
        <f t="shared" si="10"/>
        <v>0.29541172460838677</v>
      </c>
      <c r="V21" s="217">
        <f t="shared" si="11"/>
        <v>0.41335996888293403</v>
      </c>
      <c r="W21" s="537">
        <f t="shared" si="12"/>
        <v>350</v>
      </c>
      <c r="X21" s="443">
        <f t="shared" si="95"/>
        <v>350</v>
      </c>
      <c r="Z21" s="329">
        <f t="shared" si="13"/>
        <v>2.3772346454739255</v>
      </c>
      <c r="AA21" s="173">
        <f t="shared" si="14"/>
        <v>1.6663031175879355</v>
      </c>
      <c r="AB21" s="173">
        <f t="shared" si="15"/>
        <v>0.69320886267346915</v>
      </c>
      <c r="AC21" s="538"/>
      <c r="AD21" s="173">
        <f t="shared" si="16"/>
        <v>0.93458905890811728</v>
      </c>
      <c r="AE21" s="545">
        <f t="shared" si="17"/>
        <v>256.79735677666991</v>
      </c>
      <c r="AF21" s="528">
        <f t="shared" si="18"/>
        <v>0.21807078041189407</v>
      </c>
      <c r="AG21"/>
      <c r="AH21" s="173">
        <f t="shared" si="19"/>
        <v>1.1840205918415276</v>
      </c>
      <c r="AI21" s="173">
        <f t="shared" si="20"/>
        <v>1.3333333333333335</v>
      </c>
      <c r="AJ21" s="173">
        <f t="shared" si="21"/>
        <v>1.1467413467295258</v>
      </c>
      <c r="AL21" s="545">
        <f t="shared" si="22"/>
        <v>160</v>
      </c>
      <c r="AM21" s="460">
        <f t="shared" si="23"/>
        <v>256.79735677666991</v>
      </c>
      <c r="AO21">
        <f t="shared" si="96"/>
        <v>160</v>
      </c>
      <c r="AP21" s="460">
        <f t="shared" si="24"/>
        <v>256.79735677666991</v>
      </c>
      <c r="AQ21" s="460"/>
      <c r="AR21" s="5">
        <f t="shared" si="97"/>
        <v>3.8941210787838223</v>
      </c>
      <c r="AS21" s="5">
        <f t="shared" si="25"/>
        <v>0.66791316643040977</v>
      </c>
      <c r="AT21" s="5">
        <f t="shared" si="98"/>
        <v>3.2262079123534124</v>
      </c>
      <c r="AU21" s="173">
        <f t="shared" si="99"/>
        <v>0.17151833569566527</v>
      </c>
      <c r="AW21" s="5">
        <f t="shared" si="26"/>
        <v>0.65162260139552186</v>
      </c>
      <c r="AX21" s="5">
        <f t="shared" si="27"/>
        <v>0.33395658321520488</v>
      </c>
      <c r="AY21" s="5">
        <f t="shared" si="28"/>
        <v>0.29449298811471719</v>
      </c>
      <c r="AZ21" s="5"/>
      <c r="BA21" s="173">
        <f t="shared" si="100"/>
        <v>0.3188110650950825</v>
      </c>
      <c r="BB21" s="173">
        <f t="shared" si="29"/>
        <v>0.70067973951408924</v>
      </c>
      <c r="BC21" s="173">
        <f t="shared" si="30"/>
        <v>0.17190277683918112</v>
      </c>
      <c r="BD21" s="173"/>
      <c r="BE21" s="528">
        <f t="shared" si="31"/>
        <v>2.0328099045412188E-3</v>
      </c>
      <c r="BF21" s="528">
        <f t="shared" si="32"/>
        <v>0.26369900106566152</v>
      </c>
      <c r="BG21" s="528">
        <f t="shared" si="33"/>
        <v>0.15379086365318764</v>
      </c>
      <c r="BH21" s="528">
        <f t="shared" si="34"/>
        <v>4.3325781253116209E-2</v>
      </c>
      <c r="BI21">
        <f t="shared" si="35"/>
        <v>1.0779844389772444E-2</v>
      </c>
      <c r="BJ21" s="460">
        <f t="shared" si="101"/>
        <v>164.57070804296009</v>
      </c>
      <c r="BK21">
        <f t="shared" si="36"/>
        <v>0.30975606172275127</v>
      </c>
      <c r="BL21" s="460">
        <f t="shared" si="102"/>
        <v>309.75606172275127</v>
      </c>
      <c r="BM21" s="173">
        <f t="shared" si="37"/>
        <v>9.9399999999999988E-2</v>
      </c>
      <c r="BN21" s="173">
        <f t="shared" si="38"/>
        <v>1.7749999999999998E-2</v>
      </c>
      <c r="BO21" s="528"/>
      <c r="BQ21" s="460">
        <f t="shared" si="103"/>
        <v>117.14999999999999</v>
      </c>
      <c r="BR21" s="528">
        <f t="shared" si="39"/>
        <v>3.0492148568118278E-3</v>
      </c>
      <c r="BS21" s="528">
        <f t="shared" si="104"/>
        <v>1.4728562920965959E-2</v>
      </c>
      <c r="BT21" s="528">
        <f t="shared" si="40"/>
        <v>1.4775282342510652E-4</v>
      </c>
      <c r="BU21" s="528">
        <f t="shared" si="41"/>
        <v>0.10846589867866131</v>
      </c>
      <c r="BV21" s="528">
        <f t="shared" si="42"/>
        <v>0.13088124588641376</v>
      </c>
      <c r="BW21" s="625">
        <f t="shared" si="43"/>
        <v>2.2826431713481774E-3</v>
      </c>
      <c r="BX21" s="460">
        <f t="shared" si="105"/>
        <v>133.16388905776193</v>
      </c>
      <c r="BY21" s="173">
        <f t="shared" si="106"/>
        <v>0.56006995078051325</v>
      </c>
      <c r="BZ21" s="5">
        <f t="shared" si="107"/>
        <v>2.9439999999999995</v>
      </c>
      <c r="CA21" s="173">
        <f t="shared" si="108"/>
        <v>0.84016587606769644</v>
      </c>
      <c r="CB21" s="5">
        <f t="shared" si="109"/>
        <v>84.016587606769647</v>
      </c>
      <c r="CC21">
        <f t="shared" si="110"/>
        <v>16</v>
      </c>
      <c r="CE21" s="562">
        <f t="shared" si="44"/>
        <v>-50</v>
      </c>
      <c r="CF21">
        <f t="shared" si="45"/>
        <v>-50</v>
      </c>
      <c r="CG21" s="173">
        <f t="shared" si="46"/>
        <v>0.2421333752884377</v>
      </c>
      <c r="CH21" s="173">
        <f t="shared" si="47"/>
        <v>8.4604342304884714E-2</v>
      </c>
      <c r="CI21" s="189">
        <v>16</v>
      </c>
      <c r="CJ21" s="329">
        <f t="shared" si="133"/>
        <v>0.16</v>
      </c>
      <c r="CK21" s="217">
        <f t="shared" si="111"/>
        <v>0.04</v>
      </c>
      <c r="CL21" s="217">
        <f t="shared" si="48"/>
        <v>2.6239999999999997</v>
      </c>
      <c r="CM21" s="217">
        <f t="shared" si="134"/>
        <v>0.32</v>
      </c>
      <c r="CN21" s="541">
        <f t="shared" si="112"/>
        <v>24</v>
      </c>
      <c r="CO21" s="443">
        <f t="shared" si="49"/>
        <v>17.099999999999998</v>
      </c>
      <c r="CP21" s="443">
        <f t="shared" si="50"/>
        <v>41.099999999999994</v>
      </c>
      <c r="CQ21" s="535"/>
      <c r="CR21" s="329">
        <f t="shared" si="113"/>
        <v>0.41176470588235292</v>
      </c>
      <c r="CS21" s="172">
        <f t="shared" si="114"/>
        <v>29.36061381074169</v>
      </c>
      <c r="CT21" s="172">
        <f t="shared" si="51"/>
        <v>4.0172166427546641</v>
      </c>
      <c r="CU21" s="329">
        <f t="shared" si="52"/>
        <v>1.7902813299232738</v>
      </c>
      <c r="CV21" s="217">
        <f t="shared" si="53"/>
        <v>3.6700767263427112</v>
      </c>
      <c r="CW21" s="443">
        <f t="shared" si="54"/>
        <v>16.399999999999999</v>
      </c>
      <c r="CX21" s="217">
        <f t="shared" si="55"/>
        <v>0.59580952380952368</v>
      </c>
      <c r="CY21" s="329">
        <f t="shared" si="56"/>
        <v>0.29790476190476184</v>
      </c>
      <c r="CZ21" s="217">
        <f t="shared" si="57"/>
        <v>0.41811194653299916</v>
      </c>
      <c r="DA21" s="537">
        <f t="shared" si="58"/>
        <v>350</v>
      </c>
      <c r="DB21" s="535">
        <f t="shared" si="115"/>
        <v>350</v>
      </c>
      <c r="DD21" s="329">
        <f t="shared" si="59"/>
        <v>2.377476538060479</v>
      </c>
      <c r="DE21" s="173">
        <f t="shared" si="60"/>
        <v>1.668404588112617</v>
      </c>
      <c r="DF21" s="173">
        <f t="shared" si="61"/>
        <v>0.69415373374028577</v>
      </c>
      <c r="DG21" s="538"/>
      <c r="DH21" s="173">
        <f t="shared" si="62"/>
        <v>0.93567251461988332</v>
      </c>
      <c r="DI21" s="545">
        <f t="shared" si="63"/>
        <v>256.49999999999989</v>
      </c>
      <c r="DJ21" s="528">
        <f t="shared" si="64"/>
        <v>0.21832358674463945</v>
      </c>
      <c r="DK21"/>
      <c r="DL21" s="173">
        <f t="shared" si="65"/>
        <v>1.1840205918415276</v>
      </c>
      <c r="DM21" s="173">
        <f t="shared" si="66"/>
        <v>1.3333333333333335</v>
      </c>
      <c r="DN21" s="173">
        <f t="shared" si="67"/>
        <v>1.1465714285714286</v>
      </c>
      <c r="DP21" s="545">
        <f t="shared" si="68"/>
        <v>160</v>
      </c>
      <c r="DQ21" s="460">
        <f t="shared" si="69"/>
        <v>256.49999999999989</v>
      </c>
      <c r="DS21">
        <f t="shared" si="116"/>
        <v>160</v>
      </c>
      <c r="DT21" s="460">
        <f t="shared" si="70"/>
        <v>256.49999999999989</v>
      </c>
      <c r="DU21" s="460"/>
      <c r="DV21" s="5">
        <f t="shared" si="117"/>
        <v>3.8986354775828476</v>
      </c>
      <c r="DW21" s="5">
        <f t="shared" si="71"/>
        <v>0.66666666666666685</v>
      </c>
      <c r="DX21" s="5">
        <f t="shared" si="118"/>
        <v>3.2319688109161806</v>
      </c>
      <c r="DY21" s="173">
        <f t="shared" si="119"/>
        <v>0.17099999999999999</v>
      </c>
      <c r="EA21" s="5">
        <f t="shared" si="72"/>
        <v>0.65040650406504097</v>
      </c>
      <c r="EB21" s="5">
        <f t="shared" si="73"/>
        <v>0.33333333333333343</v>
      </c>
      <c r="EC21" s="5">
        <f t="shared" si="74"/>
        <v>0.29446826943902971</v>
      </c>
      <c r="ED21" s="5"/>
      <c r="EE21" s="173">
        <f t="shared" si="120"/>
        <v>0.31832897030168861</v>
      </c>
      <c r="EF21" s="173">
        <f t="shared" si="75"/>
        <v>0.70089889374949033</v>
      </c>
      <c r="EG21" s="173">
        <f t="shared" si="76"/>
        <v>0.1719565435167329</v>
      </c>
      <c r="EH21" s="173"/>
      <c r="EI21" s="528">
        <f t="shared" si="77"/>
        <v>2.0266666666666671E-3</v>
      </c>
      <c r="EJ21" s="528">
        <f t="shared" si="78"/>
        <v>0.28112399999999987</v>
      </c>
      <c r="EK21" s="528">
        <f t="shared" si="79"/>
        <v>3.2062499999999987E-2</v>
      </c>
      <c r="EL21" s="528">
        <f t="shared" si="80"/>
        <v>4.3328236499999971E-2</v>
      </c>
      <c r="EM21">
        <f t="shared" si="81"/>
        <v>1.0800000000000001E-2</v>
      </c>
      <c r="EN21" s="460">
        <f t="shared" si="121"/>
        <v>42.862499999999983</v>
      </c>
      <c r="EO21">
        <f t="shared" si="82"/>
        <v>0.37006680365503125</v>
      </c>
      <c r="EP21" s="460">
        <f t="shared" si="122"/>
        <v>370.06680365503126</v>
      </c>
      <c r="EQ21" s="173">
        <f t="shared" si="83"/>
        <v>9.9399999999999988E-2</v>
      </c>
      <c r="ER21" s="173">
        <f t="shared" si="84"/>
        <v>1.7749999999999998E-2</v>
      </c>
      <c r="ES21" s="528"/>
      <c r="EU21" s="460">
        <f t="shared" si="123"/>
        <v>117.14999999999999</v>
      </c>
      <c r="EV21" s="528">
        <f t="shared" si="85"/>
        <v>3.0400000000000002E-3</v>
      </c>
      <c r="EW21" s="528">
        <f t="shared" si="124"/>
        <v>1.473777777777778E-2</v>
      </c>
      <c r="EX21" s="528">
        <f t="shared" si="86"/>
        <v>1.4784526429111028E-4</v>
      </c>
      <c r="EY21" s="528">
        <f t="shared" si="87"/>
        <v>0.10815217791648944</v>
      </c>
      <c r="EZ21" s="528">
        <f t="shared" si="88"/>
        <v>0.1305671903475214</v>
      </c>
      <c r="FA21" s="625">
        <f t="shared" si="89"/>
        <v>2.2799999999999995E-3</v>
      </c>
      <c r="FB21" s="460">
        <f t="shared" si="125"/>
        <v>132.8471903475214</v>
      </c>
      <c r="FC21" s="173">
        <f t="shared" si="126"/>
        <v>0.62006399400255263</v>
      </c>
      <c r="FD21" s="5">
        <f t="shared" si="127"/>
        <v>2.9439999999999995</v>
      </c>
      <c r="FE21" s="173">
        <f t="shared" si="128"/>
        <v>0.82602332757044516</v>
      </c>
      <c r="FF21" s="5">
        <f t="shared" si="129"/>
        <v>82.602332757044522</v>
      </c>
      <c r="FG21">
        <f t="shared" si="130"/>
        <v>16</v>
      </c>
      <c r="FI21" s="562">
        <f t="shared" si="90"/>
        <v>-50</v>
      </c>
      <c r="FJ21">
        <f t="shared" si="91"/>
        <v>-50</v>
      </c>
      <c r="FL21">
        <f t="shared" si="92"/>
        <v>0.2421333752884377</v>
      </c>
    </row>
    <row r="22" spans="5:168">
      <c r="E22" s="170">
        <v>17</v>
      </c>
      <c r="F22" s="217">
        <f t="shared" si="131"/>
        <v>0.17</v>
      </c>
      <c r="G22" s="217">
        <f t="shared" si="93"/>
        <v>4.2500000000000003E-2</v>
      </c>
      <c r="H22" s="217">
        <f t="shared" si="0"/>
        <v>2.7879999999999998</v>
      </c>
      <c r="I22" s="217">
        <f t="shared" si="132"/>
        <v>0.34</v>
      </c>
      <c r="J22" s="541">
        <f t="shared" si="1"/>
        <v>23.955209755049875</v>
      </c>
      <c r="K22" s="443">
        <f t="shared" si="2"/>
        <v>17.119823785111333</v>
      </c>
      <c r="L22" s="172">
        <f t="shared" si="3"/>
        <v>41.075033540161208</v>
      </c>
      <c r="M22" s="443"/>
      <c r="N22" s="217">
        <f t="shared" si="4"/>
        <v>0.41679390884422252</v>
      </c>
      <c r="O22" s="172">
        <f t="shared" si="94"/>
        <v>29.663754054392026</v>
      </c>
      <c r="P22" s="172">
        <f t="shared" si="5"/>
        <v>4.0586932971506045</v>
      </c>
      <c r="Q22" s="217">
        <f t="shared" si="6"/>
        <v>1.8087654911214652</v>
      </c>
      <c r="R22" s="217">
        <f t="shared" si="7"/>
        <v>3.7079692567990032</v>
      </c>
      <c r="S22" s="443">
        <f t="shared" si="8"/>
        <v>16.399999999999999</v>
      </c>
      <c r="T22" s="217">
        <f t="shared" si="9"/>
        <v>0.62657837010736395</v>
      </c>
      <c r="U22" s="217">
        <f t="shared" si="10"/>
        <v>0.31387495739641097</v>
      </c>
      <c r="V22" s="217">
        <f t="shared" si="11"/>
        <v>0.43919496693811744</v>
      </c>
      <c r="W22" s="197">
        <f t="shared" si="12"/>
        <v>350</v>
      </c>
      <c r="X22" s="443">
        <f t="shared" si="95"/>
        <v>350</v>
      </c>
      <c r="Z22" s="217">
        <f t="shared" si="13"/>
        <v>2.3772346454739255</v>
      </c>
      <c r="AA22" s="173">
        <f t="shared" si="14"/>
        <v>1.6663031175879355</v>
      </c>
      <c r="AB22" s="173">
        <f t="shared" si="15"/>
        <v>0.69320886267346915</v>
      </c>
      <c r="AC22" s="173"/>
      <c r="AD22" s="173">
        <f t="shared" si="16"/>
        <v>0.93458905890811728</v>
      </c>
      <c r="AE22" s="545">
        <f t="shared" si="17"/>
        <v>272.84719157521175</v>
      </c>
      <c r="AF22" s="528">
        <f t="shared" si="18"/>
        <v>0.21807078041189407</v>
      </c>
      <c r="AH22" s="173">
        <f t="shared" si="19"/>
        <v>1.2204604907672387</v>
      </c>
      <c r="AI22" s="173">
        <f t="shared" si="20"/>
        <v>1.3333333333333335</v>
      </c>
      <c r="AJ22" s="173">
        <f t="shared" si="21"/>
        <v>1.155912680900121</v>
      </c>
      <c r="AL22" s="545">
        <f t="shared" si="22"/>
        <v>170</v>
      </c>
      <c r="AM22" s="460">
        <f t="shared" si="23"/>
        <v>272.84719157521175</v>
      </c>
      <c r="AO22">
        <f t="shared" si="96"/>
        <v>170</v>
      </c>
      <c r="AP22" s="460">
        <f t="shared" si="24"/>
        <v>272.84719157521175</v>
      </c>
      <c r="AQ22" s="460"/>
      <c r="AR22" s="5">
        <f t="shared" si="97"/>
        <v>3.6650551329730097</v>
      </c>
      <c r="AS22" s="5">
        <f t="shared" si="25"/>
        <v>0.66791316643040977</v>
      </c>
      <c r="AT22" s="5">
        <f t="shared" si="98"/>
        <v>2.9971419665425998</v>
      </c>
      <c r="AU22" s="173">
        <f t="shared" si="99"/>
        <v>0.18223823167664432</v>
      </c>
      <c r="AW22" s="5">
        <f t="shared" si="26"/>
        <v>0.69234901398274196</v>
      </c>
      <c r="AX22" s="5">
        <f t="shared" si="27"/>
        <v>0.35482886966615518</v>
      </c>
      <c r="AY22" s="5">
        <f t="shared" si="28"/>
        <v>0.29068248229939742</v>
      </c>
      <c r="AZ22" s="5"/>
      <c r="BA22" s="173">
        <f t="shared" si="100"/>
        <v>0.32862292400067317</v>
      </c>
      <c r="BB22" s="173">
        <f t="shared" si="29"/>
        <v>0.69613185993304494</v>
      </c>
      <c r="BC22" s="173">
        <f t="shared" si="30"/>
        <v>0.17078701298213872</v>
      </c>
      <c r="BD22" s="173"/>
      <c r="BE22" s="528">
        <f t="shared" si="31"/>
        <v>2.1598605235750444E-3</v>
      </c>
      <c r="BF22" s="528">
        <f t="shared" si="32"/>
        <v>0.28018018863226535</v>
      </c>
      <c r="BG22" s="528">
        <f t="shared" si="33"/>
        <v>0.16340279263151186</v>
      </c>
      <c r="BH22" s="528">
        <f t="shared" si="34"/>
        <v>4.6033642581435968E-2</v>
      </c>
      <c r="BI22">
        <f t="shared" si="35"/>
        <v>1.0779844389772444E-2</v>
      </c>
      <c r="BJ22" s="460">
        <f t="shared" si="101"/>
        <v>174.18263702128431</v>
      </c>
      <c r="BK22">
        <f t="shared" si="36"/>
        <v>0.32912575577542225</v>
      </c>
      <c r="BL22" s="460">
        <f t="shared" si="102"/>
        <v>329.12575577542225</v>
      </c>
      <c r="BM22" s="173">
        <f t="shared" si="37"/>
        <v>0.10561249999999998</v>
      </c>
      <c r="BN22" s="173">
        <f t="shared" si="38"/>
        <v>1.8859375000000001E-2</v>
      </c>
      <c r="BO22" s="528"/>
      <c r="BQ22" s="460">
        <f t="shared" si="103"/>
        <v>124.47187499999998</v>
      </c>
      <c r="BR22" s="528">
        <f t="shared" si="39"/>
        <v>3.2397907853625664E-3</v>
      </c>
      <c r="BS22" s="528">
        <f t="shared" si="104"/>
        <v>1.4537986992415215E-2</v>
      </c>
      <c r="BT22" s="528">
        <f t="shared" si="40"/>
        <v>1.458410190168061E-4</v>
      </c>
      <c r="BU22" s="528">
        <f t="shared" si="41"/>
        <v>0.12621633513825453</v>
      </c>
      <c r="BV22" s="528">
        <f t="shared" si="42"/>
        <v>0.14865477697065937</v>
      </c>
      <c r="BW22" s="625">
        <f t="shared" si="43"/>
        <v>2.4253083695574378E-3</v>
      </c>
      <c r="BX22" s="460">
        <f t="shared" si="105"/>
        <v>151.08008534021681</v>
      </c>
      <c r="BY22" s="173">
        <f t="shared" si="106"/>
        <v>0.60467771611563903</v>
      </c>
      <c r="BZ22" s="5">
        <f t="shared" si="107"/>
        <v>3.1279999999999997</v>
      </c>
      <c r="CA22" s="173">
        <f t="shared" si="108"/>
        <v>0.83800430626384514</v>
      </c>
      <c r="CB22" s="5">
        <f t="shared" si="109"/>
        <v>83.800430626384511</v>
      </c>
      <c r="CC22">
        <f t="shared" si="110"/>
        <v>17</v>
      </c>
      <c r="CE22" s="562">
        <f t="shared" si="44"/>
        <v>-50</v>
      </c>
      <c r="CF22">
        <f t="shared" si="45"/>
        <v>-50</v>
      </c>
      <c r="CG22" s="173">
        <f t="shared" si="46"/>
        <v>0.25726671124396505</v>
      </c>
      <c r="CH22" s="173">
        <f t="shared" si="47"/>
        <v>8.9892113698940013E-2</v>
      </c>
      <c r="CI22" s="170">
        <v>17</v>
      </c>
      <c r="CJ22" s="217">
        <f t="shared" si="133"/>
        <v>0.17</v>
      </c>
      <c r="CK22" s="217">
        <f t="shared" si="111"/>
        <v>4.2500000000000003E-2</v>
      </c>
      <c r="CL22" s="217">
        <f t="shared" si="48"/>
        <v>2.7879999999999998</v>
      </c>
      <c r="CM22" s="217">
        <f t="shared" si="134"/>
        <v>0.34</v>
      </c>
      <c r="CN22" s="541">
        <f t="shared" si="112"/>
        <v>24</v>
      </c>
      <c r="CO22" s="443">
        <f t="shared" si="49"/>
        <v>17.099999999999998</v>
      </c>
      <c r="CP22" s="443">
        <f t="shared" si="50"/>
        <v>41.099999999999994</v>
      </c>
      <c r="CQ22" s="443"/>
      <c r="CR22" s="217">
        <f t="shared" si="113"/>
        <v>0.41176470588235292</v>
      </c>
      <c r="CS22" s="172">
        <f t="shared" si="114"/>
        <v>29.36061381074169</v>
      </c>
      <c r="CT22" s="172">
        <f t="shared" si="51"/>
        <v>4.0172166427546641</v>
      </c>
      <c r="CU22" s="217">
        <f t="shared" si="52"/>
        <v>1.7902813299232738</v>
      </c>
      <c r="CV22" s="217">
        <f t="shared" si="53"/>
        <v>3.6700767263427112</v>
      </c>
      <c r="CW22" s="443">
        <f t="shared" si="54"/>
        <v>16.399999999999999</v>
      </c>
      <c r="CX22" s="217">
        <f t="shared" si="55"/>
        <v>0.63304761904761897</v>
      </c>
      <c r="CY22" s="217">
        <f t="shared" si="56"/>
        <v>0.31652380952380949</v>
      </c>
      <c r="CZ22" s="217">
        <f t="shared" si="57"/>
        <v>0.44424394319131161</v>
      </c>
      <c r="DA22" s="197">
        <f t="shared" si="58"/>
        <v>350</v>
      </c>
      <c r="DB22" s="443">
        <f t="shared" si="115"/>
        <v>350</v>
      </c>
      <c r="DD22" s="217">
        <f t="shared" si="59"/>
        <v>2.377476538060479</v>
      </c>
      <c r="DE22" s="173">
        <f t="shared" si="60"/>
        <v>1.668404588112617</v>
      </c>
      <c r="DF22" s="173">
        <f t="shared" si="61"/>
        <v>0.69415373374028577</v>
      </c>
      <c r="DG22" s="173"/>
      <c r="DH22" s="173">
        <f t="shared" si="62"/>
        <v>0.93567251461988332</v>
      </c>
      <c r="DI22" s="545">
        <f t="shared" si="63"/>
        <v>272.53124999999989</v>
      </c>
      <c r="DJ22" s="528">
        <f t="shared" si="64"/>
        <v>0.21832358674463945</v>
      </c>
      <c r="DL22" s="173">
        <f t="shared" si="65"/>
        <v>1.2204604907672387</v>
      </c>
      <c r="DM22" s="173">
        <f t="shared" si="66"/>
        <v>1.3333333333333335</v>
      </c>
      <c r="DN22" s="173">
        <f t="shared" si="67"/>
        <v>1.1557321428571428</v>
      </c>
      <c r="DP22" s="545">
        <f t="shared" si="68"/>
        <v>170</v>
      </c>
      <c r="DQ22" s="460">
        <f t="shared" si="69"/>
        <v>272.53124999999989</v>
      </c>
      <c r="DS22">
        <f t="shared" si="116"/>
        <v>170</v>
      </c>
      <c r="DT22" s="460">
        <f t="shared" si="70"/>
        <v>272.53124999999989</v>
      </c>
      <c r="DU22" s="460"/>
      <c r="DV22" s="5">
        <f t="shared" si="117"/>
        <v>3.6693039789015036</v>
      </c>
      <c r="DW22" s="5">
        <f t="shared" si="71"/>
        <v>0.66666666666666685</v>
      </c>
      <c r="DX22" s="5">
        <f t="shared" si="118"/>
        <v>3.0026373122348367</v>
      </c>
      <c r="DY22" s="173">
        <f t="shared" si="119"/>
        <v>0.18168749999999997</v>
      </c>
      <c r="EA22" s="5">
        <f t="shared" si="72"/>
        <v>0.69105691056910601</v>
      </c>
      <c r="EB22" s="5">
        <f t="shared" si="73"/>
        <v>0.3541666666666668</v>
      </c>
      <c r="EC22" s="5">
        <f t="shared" si="74"/>
        <v>0.29067197314273341</v>
      </c>
      <c r="ED22" s="5"/>
      <c r="EE22" s="173">
        <f t="shared" si="120"/>
        <v>0.32812599206199239</v>
      </c>
      <c r="EF22" s="173">
        <f t="shared" si="75"/>
        <v>0.69636622974260176</v>
      </c>
      <c r="EG22" s="173">
        <f t="shared" si="76"/>
        <v>0.17084451260543027</v>
      </c>
      <c r="EH22" s="173"/>
      <c r="EI22" s="528">
        <f t="shared" si="77"/>
        <v>2.1533333333333339E-3</v>
      </c>
      <c r="EJ22" s="528">
        <f t="shared" si="78"/>
        <v>0.29869424999999988</v>
      </c>
      <c r="EK22" s="528">
        <f t="shared" si="79"/>
        <v>3.4066406249999986E-2</v>
      </c>
      <c r="EL22" s="528">
        <f t="shared" si="80"/>
        <v>4.6036251281249968E-2</v>
      </c>
      <c r="EM22">
        <f t="shared" si="81"/>
        <v>1.0800000000000001E-2</v>
      </c>
      <c r="EN22" s="460">
        <f t="shared" si="121"/>
        <v>44.86640624999999</v>
      </c>
      <c r="EO22">
        <f t="shared" si="82"/>
        <v>0.39253247303882899</v>
      </c>
      <c r="EP22" s="460">
        <f t="shared" si="122"/>
        <v>392.53247303882898</v>
      </c>
      <c r="EQ22" s="173">
        <f t="shared" si="83"/>
        <v>0.10561249999999998</v>
      </c>
      <c r="ER22" s="173">
        <f t="shared" si="84"/>
        <v>1.8859375000000001E-2</v>
      </c>
      <c r="ES22" s="528"/>
      <c r="EU22" s="460">
        <f t="shared" si="123"/>
        <v>124.47187499999998</v>
      </c>
      <c r="EV22" s="528">
        <f t="shared" si="85"/>
        <v>3.2300000000000007E-3</v>
      </c>
      <c r="EW22" s="528">
        <f t="shared" si="124"/>
        <v>1.4547777777777781E-2</v>
      </c>
      <c r="EX22" s="528">
        <f t="shared" si="86"/>
        <v>1.4593923743693512E-4</v>
      </c>
      <c r="EY22" s="528">
        <f t="shared" si="87"/>
        <v>0.1258512739960847</v>
      </c>
      <c r="EZ22" s="528">
        <f t="shared" si="88"/>
        <v>0.14828931475207063</v>
      </c>
      <c r="FA22" s="625">
        <f t="shared" si="89"/>
        <v>2.4224999999999993E-3</v>
      </c>
      <c r="FB22" s="460">
        <f t="shared" si="125"/>
        <v>150.71181475207064</v>
      </c>
      <c r="FC22" s="173">
        <f t="shared" si="126"/>
        <v>0.66771616279089963</v>
      </c>
      <c r="FD22" s="5">
        <f t="shared" si="127"/>
        <v>3.1279999999999997</v>
      </c>
      <c r="FE22" s="173">
        <f t="shared" si="128"/>
        <v>0.82408690899059633</v>
      </c>
      <c r="FF22" s="5">
        <f t="shared" si="129"/>
        <v>82.408690899059636</v>
      </c>
      <c r="FG22">
        <f t="shared" si="130"/>
        <v>17</v>
      </c>
      <c r="FI22" s="562">
        <f t="shared" si="90"/>
        <v>-50</v>
      </c>
      <c r="FJ22">
        <f t="shared" si="91"/>
        <v>-50</v>
      </c>
      <c r="FL22">
        <f t="shared" si="92"/>
        <v>0.25726671124396505</v>
      </c>
    </row>
    <row r="23" spans="5:168">
      <c r="E23" s="170">
        <v>18</v>
      </c>
      <c r="F23" s="217">
        <f t="shared" si="131"/>
        <v>0.18</v>
      </c>
      <c r="G23" s="217">
        <f t="shared" si="93"/>
        <v>4.4999999999999998E-2</v>
      </c>
      <c r="H23" s="217">
        <f t="shared" si="0"/>
        <v>2.9519999999999995</v>
      </c>
      <c r="I23" s="217">
        <f t="shared" si="132"/>
        <v>0.36</v>
      </c>
      <c r="J23" s="541">
        <f t="shared" si="1"/>
        <v>23.955209755049875</v>
      </c>
      <c r="K23" s="443">
        <f t="shared" si="2"/>
        <v>17.119823785111333</v>
      </c>
      <c r="L23" s="172">
        <f t="shared" si="3"/>
        <v>41.075033540161208</v>
      </c>
      <c r="M23" s="443"/>
      <c r="N23" s="217">
        <f t="shared" si="4"/>
        <v>0.41679390884422252</v>
      </c>
      <c r="O23" s="172">
        <f t="shared" si="94"/>
        <v>29.663754054392026</v>
      </c>
      <c r="P23" s="172">
        <f t="shared" si="5"/>
        <v>4.0586932971506045</v>
      </c>
      <c r="Q23" s="217">
        <f t="shared" si="6"/>
        <v>1.8087654911214652</v>
      </c>
      <c r="R23" s="217">
        <f t="shared" si="7"/>
        <v>3.7079692567990032</v>
      </c>
      <c r="S23" s="443">
        <f t="shared" si="8"/>
        <v>16.399999999999999</v>
      </c>
      <c r="T23" s="217">
        <f t="shared" si="9"/>
        <v>0.66343592129015005</v>
      </c>
      <c r="U23" s="217">
        <f t="shared" si="10"/>
        <v>0.33233819018443511</v>
      </c>
      <c r="V23" s="217">
        <f t="shared" si="11"/>
        <v>0.46502996499330079</v>
      </c>
      <c r="W23" s="197">
        <f t="shared" si="12"/>
        <v>350</v>
      </c>
      <c r="X23" s="443">
        <f t="shared" si="95"/>
        <v>350</v>
      </c>
      <c r="Z23" s="217">
        <f t="shared" si="13"/>
        <v>2.3772346454739255</v>
      </c>
      <c r="AA23" s="173">
        <f t="shared" si="14"/>
        <v>1.6663031175879355</v>
      </c>
      <c r="AB23" s="173">
        <f t="shared" si="15"/>
        <v>0.69320886267346915</v>
      </c>
      <c r="AC23" s="173"/>
      <c r="AD23" s="173">
        <f t="shared" si="16"/>
        <v>0.93458905890811728</v>
      </c>
      <c r="AE23" s="545">
        <f t="shared" si="17"/>
        <v>288.89702637375359</v>
      </c>
      <c r="AF23" s="528">
        <f t="shared" si="18"/>
        <v>0.21807078041189407</v>
      </c>
      <c r="AH23" s="173">
        <f t="shared" si="19"/>
        <v>1.2558434843334805</v>
      </c>
      <c r="AI23" s="173">
        <f t="shared" si="20"/>
        <v>1.3333333333333335</v>
      </c>
      <c r="AJ23" s="173">
        <f t="shared" si="21"/>
        <v>1.1650840150707165</v>
      </c>
      <c r="AL23" s="545">
        <f t="shared" si="22"/>
        <v>180</v>
      </c>
      <c r="AM23" s="460">
        <f t="shared" si="23"/>
        <v>288.89702637375359</v>
      </c>
      <c r="AO23">
        <f t="shared" si="96"/>
        <v>180</v>
      </c>
      <c r="AP23" s="460">
        <f t="shared" si="24"/>
        <v>288.89702637375359</v>
      </c>
      <c r="AQ23" s="460"/>
      <c r="AR23" s="5">
        <f t="shared" si="97"/>
        <v>3.4614409589189545</v>
      </c>
      <c r="AS23" s="5">
        <f t="shared" si="25"/>
        <v>0.66791316643040977</v>
      </c>
      <c r="AT23" s="5">
        <f t="shared" si="98"/>
        <v>2.7935277924885447</v>
      </c>
      <c r="AU23" s="173">
        <f t="shared" si="99"/>
        <v>0.19295812765762332</v>
      </c>
      <c r="AW23" s="5">
        <f t="shared" si="26"/>
        <v>0.73307542656996194</v>
      </c>
      <c r="AX23" s="5">
        <f t="shared" si="27"/>
        <v>0.37570115611710547</v>
      </c>
      <c r="AY23" s="5">
        <f t="shared" si="28"/>
        <v>0.28687197648407775</v>
      </c>
      <c r="AZ23" s="5"/>
      <c r="BA23" s="173">
        <f t="shared" si="100"/>
        <v>0.33815019906905791</v>
      </c>
      <c r="BB23" s="173">
        <f t="shared" si="29"/>
        <v>0.69155407269580105</v>
      </c>
      <c r="BC23" s="173">
        <f t="shared" si="30"/>
        <v>0.16966391166568431</v>
      </c>
      <c r="BD23" s="173"/>
      <c r="BE23" s="528">
        <f t="shared" si="31"/>
        <v>2.28691114260887E-3</v>
      </c>
      <c r="BF23" s="528">
        <f t="shared" si="32"/>
        <v>0.29666137619886918</v>
      </c>
      <c r="BG23" s="528">
        <f t="shared" si="33"/>
        <v>0.17301472160983605</v>
      </c>
      <c r="BH23" s="528">
        <f t="shared" si="34"/>
        <v>4.8741503909755728E-2</v>
      </c>
      <c r="BI23">
        <f t="shared" si="35"/>
        <v>1.0779844389772444E-2</v>
      </c>
      <c r="BJ23" s="460">
        <f t="shared" si="101"/>
        <v>183.79456599960849</v>
      </c>
      <c r="BK23">
        <f t="shared" si="36"/>
        <v>0.34849661989858027</v>
      </c>
      <c r="BL23" s="460">
        <f t="shared" si="102"/>
        <v>348.49661989858026</v>
      </c>
      <c r="BM23" s="173">
        <f t="shared" si="37"/>
        <v>0.11182499999999999</v>
      </c>
      <c r="BN23" s="173">
        <f t="shared" si="38"/>
        <v>1.9968749999999997E-2</v>
      </c>
      <c r="BO23" s="528"/>
      <c r="BQ23" s="460">
        <f t="shared" si="103"/>
        <v>131.79374999999999</v>
      </c>
      <c r="BR23" s="528">
        <f t="shared" si="39"/>
        <v>3.4303667139133046E-3</v>
      </c>
      <c r="BS23" s="528">
        <f t="shared" si="104"/>
        <v>1.4347411063864479E-2</v>
      </c>
      <c r="BT23" s="528">
        <f t="shared" si="40"/>
        <v>1.4392921460850566E-4</v>
      </c>
      <c r="BU23" s="528">
        <f t="shared" si="41"/>
        <v>0.14560440869852653</v>
      </c>
      <c r="BV23" s="528">
        <f t="shared" si="42"/>
        <v>0.1680682910223987</v>
      </c>
      <c r="BW23" s="625">
        <f t="shared" si="43"/>
        <v>2.567973567766699E-3</v>
      </c>
      <c r="BX23" s="460">
        <f t="shared" si="105"/>
        <v>170.63626459016541</v>
      </c>
      <c r="BY23" s="173">
        <f t="shared" si="106"/>
        <v>0.65092663448874566</v>
      </c>
      <c r="BZ23" s="5">
        <f t="shared" si="107"/>
        <v>3.3119999999999994</v>
      </c>
      <c r="CA23" s="173">
        <f t="shared" si="108"/>
        <v>0.83574597903886727</v>
      </c>
      <c r="CB23" s="5">
        <f t="shared" si="109"/>
        <v>83.574597903886726</v>
      </c>
      <c r="CC23">
        <f t="shared" si="110"/>
        <v>18</v>
      </c>
      <c r="CE23" s="562">
        <f t="shared" si="44"/>
        <v>-50</v>
      </c>
      <c r="CF23">
        <f t="shared" si="45"/>
        <v>-50</v>
      </c>
      <c r="CG23" s="173">
        <f t="shared" si="46"/>
        <v>0.27240004719949246</v>
      </c>
      <c r="CH23" s="173">
        <f t="shared" si="47"/>
        <v>9.5179885092995312E-2</v>
      </c>
      <c r="CI23" s="170">
        <v>18</v>
      </c>
      <c r="CJ23" s="217">
        <f t="shared" si="133"/>
        <v>0.18</v>
      </c>
      <c r="CK23" s="217">
        <f t="shared" si="111"/>
        <v>4.4999999999999998E-2</v>
      </c>
      <c r="CL23" s="217">
        <f t="shared" si="48"/>
        <v>2.9519999999999995</v>
      </c>
      <c r="CM23" s="217">
        <f t="shared" si="134"/>
        <v>0.36</v>
      </c>
      <c r="CN23" s="541">
        <f t="shared" si="112"/>
        <v>24</v>
      </c>
      <c r="CO23" s="443">
        <f t="shared" si="49"/>
        <v>17.099999999999998</v>
      </c>
      <c r="CP23" s="443">
        <f t="shared" si="50"/>
        <v>41.099999999999994</v>
      </c>
      <c r="CQ23" s="443"/>
      <c r="CR23" s="217">
        <f t="shared" si="113"/>
        <v>0.41176470588235292</v>
      </c>
      <c r="CS23" s="172">
        <f t="shared" si="114"/>
        <v>29.36061381074169</v>
      </c>
      <c r="CT23" s="172">
        <f t="shared" si="51"/>
        <v>4.0172166427546641</v>
      </c>
      <c r="CU23" s="217">
        <f t="shared" si="52"/>
        <v>1.7902813299232738</v>
      </c>
      <c r="CV23" s="217">
        <f t="shared" si="53"/>
        <v>3.6700767263427112</v>
      </c>
      <c r="CW23" s="443">
        <f t="shared" si="54"/>
        <v>16.399999999999999</v>
      </c>
      <c r="CX23" s="217">
        <f t="shared" si="55"/>
        <v>0.67028571428571415</v>
      </c>
      <c r="CY23" s="217">
        <f t="shared" si="56"/>
        <v>0.33514285714285708</v>
      </c>
      <c r="CZ23" s="217">
        <f t="shared" si="57"/>
        <v>0.47037593984962406</v>
      </c>
      <c r="DA23" s="197">
        <f t="shared" si="58"/>
        <v>350</v>
      </c>
      <c r="DB23" s="443">
        <f t="shared" si="115"/>
        <v>350</v>
      </c>
      <c r="DD23" s="217">
        <f t="shared" si="59"/>
        <v>2.377476538060479</v>
      </c>
      <c r="DE23" s="173">
        <f t="shared" si="60"/>
        <v>1.668404588112617</v>
      </c>
      <c r="DF23" s="173">
        <f t="shared" si="61"/>
        <v>0.69415373374028577</v>
      </c>
      <c r="DG23" s="173"/>
      <c r="DH23" s="173">
        <f t="shared" si="62"/>
        <v>0.93567251461988332</v>
      </c>
      <c r="DI23" s="545">
        <f t="shared" si="63"/>
        <v>288.56249999999989</v>
      </c>
      <c r="DJ23" s="528">
        <f t="shared" si="64"/>
        <v>0.21832358674463945</v>
      </c>
      <c r="DL23" s="173">
        <f t="shared" si="65"/>
        <v>1.2558434843334805</v>
      </c>
      <c r="DM23" s="173">
        <f t="shared" si="66"/>
        <v>1.3333333333333335</v>
      </c>
      <c r="DN23" s="173">
        <f t="shared" si="67"/>
        <v>1.1648928571428572</v>
      </c>
      <c r="DP23" s="545">
        <f t="shared" si="68"/>
        <v>180</v>
      </c>
      <c r="DQ23" s="460">
        <f t="shared" si="69"/>
        <v>288.56249999999989</v>
      </c>
      <c r="DS23">
        <f t="shared" si="116"/>
        <v>180</v>
      </c>
      <c r="DT23" s="460">
        <f t="shared" si="70"/>
        <v>288.56249999999989</v>
      </c>
      <c r="DU23" s="460"/>
      <c r="DV23" s="5">
        <f t="shared" si="117"/>
        <v>3.46545375785142</v>
      </c>
      <c r="DW23" s="5">
        <f t="shared" si="71"/>
        <v>0.66666666666666685</v>
      </c>
      <c r="DX23" s="5">
        <f t="shared" si="118"/>
        <v>2.798787091184753</v>
      </c>
      <c r="DY23" s="173">
        <f t="shared" si="119"/>
        <v>0.19237499999999999</v>
      </c>
      <c r="EA23" s="5">
        <f t="shared" si="72"/>
        <v>0.73170731707317094</v>
      </c>
      <c r="EB23" s="5">
        <f t="shared" si="73"/>
        <v>0.37500000000000006</v>
      </c>
      <c r="EC23" s="5">
        <f t="shared" si="74"/>
        <v>0.28687567684643711</v>
      </c>
      <c r="ED23" s="5"/>
      <c r="EE23" s="173">
        <f t="shared" si="120"/>
        <v>0.3376388603226827</v>
      </c>
      <c r="EF23" s="173">
        <f t="shared" si="75"/>
        <v>0.69180386858747223</v>
      </c>
      <c r="EG23" s="173">
        <f t="shared" si="76"/>
        <v>0.16972519588014023</v>
      </c>
      <c r="EH23" s="173"/>
      <c r="EI23" s="528">
        <f t="shared" si="77"/>
        <v>2.2800000000000008E-3</v>
      </c>
      <c r="EJ23" s="528">
        <f t="shared" si="78"/>
        <v>0.31626449999999984</v>
      </c>
      <c r="EK23" s="528">
        <f t="shared" si="79"/>
        <v>3.6070312499999986E-2</v>
      </c>
      <c r="EL23" s="528">
        <f t="shared" si="80"/>
        <v>4.8744266062499965E-2</v>
      </c>
      <c r="EM23">
        <f t="shared" si="81"/>
        <v>1.0800000000000001E-2</v>
      </c>
      <c r="EN23" s="460">
        <f t="shared" si="121"/>
        <v>46.870312499999983</v>
      </c>
      <c r="EO23">
        <f t="shared" si="82"/>
        <v>0.41499949540914877</v>
      </c>
      <c r="EP23" s="460">
        <f t="shared" si="122"/>
        <v>414.99949540914878</v>
      </c>
      <c r="EQ23" s="173">
        <f t="shared" si="83"/>
        <v>0.11182499999999999</v>
      </c>
      <c r="ER23" s="173">
        <f t="shared" si="84"/>
        <v>1.9968749999999997E-2</v>
      </c>
      <c r="ES23" s="528"/>
      <c r="EU23" s="460">
        <f t="shared" si="123"/>
        <v>131.79374999999999</v>
      </c>
      <c r="EV23" s="528">
        <f t="shared" si="85"/>
        <v>3.4200000000000007E-3</v>
      </c>
      <c r="EW23" s="528">
        <f t="shared" si="124"/>
        <v>1.4357777777777775E-2</v>
      </c>
      <c r="EX23" s="528">
        <f t="shared" si="86"/>
        <v>1.4403321058275984E-4</v>
      </c>
      <c r="EY23" s="528">
        <f t="shared" si="87"/>
        <v>0.14518327056544528</v>
      </c>
      <c r="EZ23" s="528">
        <f t="shared" si="88"/>
        <v>0.16764667875817479</v>
      </c>
      <c r="FA23" s="625">
        <f t="shared" si="89"/>
        <v>2.5649999999999991E-3</v>
      </c>
      <c r="FB23" s="460">
        <f t="shared" si="125"/>
        <v>170.2116787581748</v>
      </c>
      <c r="FC23" s="173">
        <f t="shared" si="126"/>
        <v>0.71700492416732364</v>
      </c>
      <c r="FD23" s="5">
        <f t="shared" si="127"/>
        <v>3.3119999999999994</v>
      </c>
      <c r="FE23" s="173">
        <f t="shared" si="128"/>
        <v>0.82203920380774731</v>
      </c>
      <c r="FF23" s="5">
        <f t="shared" si="129"/>
        <v>82.203920380774733</v>
      </c>
      <c r="FG23">
        <f t="shared" si="130"/>
        <v>18</v>
      </c>
      <c r="FI23" s="562">
        <f t="shared" si="90"/>
        <v>-50</v>
      </c>
      <c r="FJ23">
        <f t="shared" si="91"/>
        <v>-50</v>
      </c>
      <c r="FL23">
        <f t="shared" si="92"/>
        <v>0.27240004719949246</v>
      </c>
    </row>
    <row r="24" spans="5:168">
      <c r="E24" s="170">
        <v>19</v>
      </c>
      <c r="F24" s="217">
        <f t="shared" si="131"/>
        <v>0.19</v>
      </c>
      <c r="G24" s="217">
        <f t="shared" si="93"/>
        <v>4.7500000000000001E-2</v>
      </c>
      <c r="H24" s="217">
        <f t="shared" si="0"/>
        <v>3.1159999999999997</v>
      </c>
      <c r="I24" s="217">
        <f t="shared" si="132"/>
        <v>0.38</v>
      </c>
      <c r="J24" s="541">
        <f t="shared" si="1"/>
        <v>23.955209755049875</v>
      </c>
      <c r="K24" s="443">
        <f t="shared" si="2"/>
        <v>17.119823785111333</v>
      </c>
      <c r="L24" s="172">
        <f t="shared" si="3"/>
        <v>41.075033540161208</v>
      </c>
      <c r="M24" s="443"/>
      <c r="N24" s="217">
        <f t="shared" si="4"/>
        <v>0.41679390884422252</v>
      </c>
      <c r="O24" s="172">
        <f t="shared" si="94"/>
        <v>29.663754054392026</v>
      </c>
      <c r="P24" s="172">
        <f t="shared" si="5"/>
        <v>4.0586932971506045</v>
      </c>
      <c r="Q24" s="217">
        <f t="shared" si="6"/>
        <v>1.8087654911214652</v>
      </c>
      <c r="R24" s="217">
        <f t="shared" si="7"/>
        <v>3.7079692567990032</v>
      </c>
      <c r="S24" s="443">
        <f t="shared" si="8"/>
        <v>16.399999999999999</v>
      </c>
      <c r="T24" s="217">
        <f t="shared" si="9"/>
        <v>0.70029347247293616</v>
      </c>
      <c r="U24" s="217">
        <f t="shared" si="10"/>
        <v>0.35080142297245931</v>
      </c>
      <c r="V24" s="217">
        <f t="shared" si="11"/>
        <v>0.49086496304848415</v>
      </c>
      <c r="W24" s="197">
        <f t="shared" si="12"/>
        <v>350</v>
      </c>
      <c r="X24" s="443">
        <f t="shared" si="95"/>
        <v>350</v>
      </c>
      <c r="Z24" s="217">
        <f t="shared" si="13"/>
        <v>2.3772346454739255</v>
      </c>
      <c r="AA24" s="173">
        <f t="shared" si="14"/>
        <v>1.6663031175879355</v>
      </c>
      <c r="AB24" s="173">
        <f t="shared" si="15"/>
        <v>0.69320886267346915</v>
      </c>
      <c r="AC24" s="173"/>
      <c r="AD24" s="173">
        <f t="shared" si="16"/>
        <v>0.93458905890811728</v>
      </c>
      <c r="AE24" s="545">
        <f t="shared" si="17"/>
        <v>304.94686117229554</v>
      </c>
      <c r="AF24" s="528">
        <f t="shared" si="18"/>
        <v>0.21807078041189407</v>
      </c>
      <c r="AH24" s="173">
        <f t="shared" si="19"/>
        <v>1.2902565267271096</v>
      </c>
      <c r="AI24" s="173">
        <f t="shared" si="20"/>
        <v>1.3333333333333335</v>
      </c>
      <c r="AJ24" s="173">
        <f t="shared" si="21"/>
        <v>1.1742553492413117</v>
      </c>
      <c r="AL24" s="545">
        <f t="shared" si="22"/>
        <v>190</v>
      </c>
      <c r="AM24" s="460">
        <f t="shared" si="23"/>
        <v>304.94686117229554</v>
      </c>
      <c r="AO24">
        <f t="shared" si="96"/>
        <v>190</v>
      </c>
      <c r="AP24" s="460">
        <f t="shared" si="24"/>
        <v>304.94686117229554</v>
      </c>
      <c r="AQ24" s="460"/>
      <c r="AR24" s="5">
        <f t="shared" si="97"/>
        <v>3.2792598558179558</v>
      </c>
      <c r="AS24" s="5">
        <f t="shared" si="25"/>
        <v>0.66791316643040977</v>
      </c>
      <c r="AT24" s="5">
        <f t="shared" si="98"/>
        <v>2.6113466893875459</v>
      </c>
      <c r="AU24" s="173">
        <f t="shared" si="99"/>
        <v>0.20367802363860249</v>
      </c>
      <c r="AW24" s="5">
        <f t="shared" si="26"/>
        <v>0.77380183915718215</v>
      </c>
      <c r="AX24" s="5">
        <f t="shared" si="27"/>
        <v>0.39657344256805577</v>
      </c>
      <c r="AY24" s="5">
        <f t="shared" si="28"/>
        <v>0.28306147066875786</v>
      </c>
      <c r="AZ24" s="5"/>
      <c r="BA24" s="173">
        <f t="shared" si="100"/>
        <v>0.34741630370800797</v>
      </c>
      <c r="BB24" s="173">
        <f t="shared" si="29"/>
        <v>0.6869457798912938</v>
      </c>
      <c r="BC24" s="173">
        <f t="shared" si="30"/>
        <v>0.16853332620001613</v>
      </c>
      <c r="BD24" s="173"/>
      <c r="BE24" s="528">
        <f t="shared" si="31"/>
        <v>2.4139617616426969E-3</v>
      </c>
      <c r="BF24" s="528">
        <f t="shared" si="32"/>
        <v>0.31314256376547311</v>
      </c>
      <c r="BG24" s="528">
        <f t="shared" si="33"/>
        <v>0.18262665058816033</v>
      </c>
      <c r="BH24" s="528">
        <f t="shared" si="34"/>
        <v>5.1449365238075501E-2</v>
      </c>
      <c r="BI24">
        <f t="shared" si="35"/>
        <v>1.0779844389772444E-2</v>
      </c>
      <c r="BJ24" s="460">
        <f t="shared" si="101"/>
        <v>193.40649497793277</v>
      </c>
      <c r="BK24">
        <f t="shared" si="36"/>
        <v>0.36786865419824993</v>
      </c>
      <c r="BL24" s="460">
        <f t="shared" si="102"/>
        <v>367.86865419824994</v>
      </c>
      <c r="BM24" s="173">
        <f t="shared" si="37"/>
        <v>0.11803749999999998</v>
      </c>
      <c r="BN24" s="173">
        <f t="shared" si="38"/>
        <v>2.1078125E-2</v>
      </c>
      <c r="BO24" s="528"/>
      <c r="BQ24" s="460">
        <f t="shared" si="103"/>
        <v>139.11562499999997</v>
      </c>
      <c r="BR24" s="528">
        <f t="shared" si="39"/>
        <v>3.6209426424640449E-3</v>
      </c>
      <c r="BS24" s="528">
        <f t="shared" si="104"/>
        <v>1.4156835135313734E-2</v>
      </c>
      <c r="BT24" s="528">
        <f t="shared" si="40"/>
        <v>1.4201741020020522E-4</v>
      </c>
      <c r="BU24" s="528">
        <f t="shared" si="41"/>
        <v>0.16667761006736248</v>
      </c>
      <c r="BV24" s="528">
        <f t="shared" si="42"/>
        <v>0.18916934617560002</v>
      </c>
      <c r="BW24" s="625">
        <f t="shared" si="43"/>
        <v>2.7106387659759611E-3</v>
      </c>
      <c r="BX24" s="460">
        <f t="shared" si="105"/>
        <v>191.879984941576</v>
      </c>
      <c r="BY24" s="173">
        <f t="shared" si="106"/>
        <v>0.69886426413982583</v>
      </c>
      <c r="BZ24" s="5">
        <f t="shared" si="107"/>
        <v>3.4959999999999996</v>
      </c>
      <c r="CA24" s="173">
        <f t="shared" si="108"/>
        <v>0.83340002914656142</v>
      </c>
      <c r="CB24" s="5">
        <f t="shared" si="109"/>
        <v>83.340002914656139</v>
      </c>
      <c r="CC24">
        <f t="shared" si="110"/>
        <v>19</v>
      </c>
      <c r="CE24" s="562">
        <f t="shared" si="44"/>
        <v>-50</v>
      </c>
      <c r="CF24">
        <f t="shared" si="45"/>
        <v>-50</v>
      </c>
      <c r="CG24" s="173">
        <f t="shared" si="46"/>
        <v>0.28753338315501981</v>
      </c>
      <c r="CH24" s="173">
        <f t="shared" si="47"/>
        <v>0.10046765648705061</v>
      </c>
      <c r="CI24" s="170">
        <v>19</v>
      </c>
      <c r="CJ24" s="217">
        <f t="shared" si="133"/>
        <v>0.19</v>
      </c>
      <c r="CK24" s="217">
        <f t="shared" si="111"/>
        <v>4.7500000000000001E-2</v>
      </c>
      <c r="CL24" s="217">
        <f t="shared" si="48"/>
        <v>3.1159999999999997</v>
      </c>
      <c r="CM24" s="217">
        <f t="shared" si="134"/>
        <v>0.38</v>
      </c>
      <c r="CN24" s="541">
        <f t="shared" si="112"/>
        <v>24</v>
      </c>
      <c r="CO24" s="443">
        <f t="shared" si="49"/>
        <v>17.099999999999998</v>
      </c>
      <c r="CP24" s="443">
        <f t="shared" si="50"/>
        <v>41.099999999999994</v>
      </c>
      <c r="CQ24" s="443"/>
      <c r="CR24" s="217">
        <f t="shared" si="113"/>
        <v>0.41176470588235292</v>
      </c>
      <c r="CS24" s="172">
        <f t="shared" si="114"/>
        <v>29.36061381074169</v>
      </c>
      <c r="CT24" s="172">
        <f t="shared" si="51"/>
        <v>4.0172166427546641</v>
      </c>
      <c r="CU24" s="217">
        <f t="shared" si="52"/>
        <v>1.7902813299232738</v>
      </c>
      <c r="CV24" s="217">
        <f t="shared" si="53"/>
        <v>3.6700767263427112</v>
      </c>
      <c r="CW24" s="443">
        <f t="shared" si="54"/>
        <v>16.399999999999999</v>
      </c>
      <c r="CX24" s="217">
        <f t="shared" si="55"/>
        <v>0.70752380952380944</v>
      </c>
      <c r="CY24" s="217">
        <f t="shared" si="56"/>
        <v>0.35376190476190467</v>
      </c>
      <c r="CZ24" s="217">
        <f t="shared" si="57"/>
        <v>0.49650793650793645</v>
      </c>
      <c r="DA24" s="197">
        <f t="shared" si="58"/>
        <v>350</v>
      </c>
      <c r="DB24" s="443">
        <f t="shared" si="115"/>
        <v>350</v>
      </c>
      <c r="DD24" s="217">
        <f t="shared" si="59"/>
        <v>2.377476538060479</v>
      </c>
      <c r="DE24" s="173">
        <f t="shared" si="60"/>
        <v>1.668404588112617</v>
      </c>
      <c r="DF24" s="173">
        <f t="shared" si="61"/>
        <v>0.69415373374028577</v>
      </c>
      <c r="DG24" s="173"/>
      <c r="DH24" s="173">
        <f t="shared" si="62"/>
        <v>0.93567251461988332</v>
      </c>
      <c r="DI24" s="545">
        <f t="shared" si="63"/>
        <v>304.59374999999989</v>
      </c>
      <c r="DJ24" s="528">
        <f t="shared" si="64"/>
        <v>0.21832358674463945</v>
      </c>
      <c r="DL24" s="173">
        <f t="shared" si="65"/>
        <v>1.2902565267271096</v>
      </c>
      <c r="DM24" s="173">
        <f t="shared" si="66"/>
        <v>1.3333333333333335</v>
      </c>
      <c r="DN24" s="173">
        <f t="shared" si="67"/>
        <v>1.1740535714285714</v>
      </c>
      <c r="DP24" s="545">
        <f t="shared" si="68"/>
        <v>190</v>
      </c>
      <c r="DQ24" s="460">
        <f t="shared" si="69"/>
        <v>304.59374999999989</v>
      </c>
      <c r="DS24">
        <f t="shared" si="116"/>
        <v>190</v>
      </c>
      <c r="DT24" s="460">
        <f t="shared" si="70"/>
        <v>304.59374999999989</v>
      </c>
      <c r="DU24" s="460"/>
      <c r="DV24" s="5">
        <f t="shared" si="117"/>
        <v>3.2830614548066084</v>
      </c>
      <c r="DW24" s="5">
        <f t="shared" si="71"/>
        <v>0.66666666666666685</v>
      </c>
      <c r="DX24" s="5">
        <f t="shared" si="118"/>
        <v>2.6163947881399414</v>
      </c>
      <c r="DY24" s="173">
        <f t="shared" si="119"/>
        <v>0.20306249999999998</v>
      </c>
      <c r="EA24" s="5">
        <f t="shared" si="72"/>
        <v>0.77235772357723609</v>
      </c>
      <c r="EB24" s="5">
        <f t="shared" si="73"/>
        <v>0.39583333333333343</v>
      </c>
      <c r="EC24" s="5">
        <f t="shared" si="74"/>
        <v>0.28307938055014081</v>
      </c>
      <c r="ED24" s="5"/>
      <c r="EE24" s="173">
        <f t="shared" si="120"/>
        <v>0.34689095308660522</v>
      </c>
      <c r="EF24" s="173">
        <f t="shared" si="75"/>
        <v>0.68721121881067926</v>
      </c>
      <c r="EG24" s="173">
        <f t="shared" si="76"/>
        <v>0.16859844823045358</v>
      </c>
      <c r="EH24" s="173"/>
      <c r="EI24" s="528">
        <f t="shared" si="77"/>
        <v>2.4066666666666672E-3</v>
      </c>
      <c r="EJ24" s="528">
        <f t="shared" si="78"/>
        <v>0.33383474999999985</v>
      </c>
      <c r="EK24" s="528">
        <f t="shared" si="79"/>
        <v>3.8074218749999979E-2</v>
      </c>
      <c r="EL24" s="528">
        <f t="shared" si="80"/>
        <v>5.1452280843749969E-2</v>
      </c>
      <c r="EM24">
        <f t="shared" si="81"/>
        <v>1.0800000000000001E-2</v>
      </c>
      <c r="EN24" s="460">
        <f t="shared" si="121"/>
        <v>48.874218749999976</v>
      </c>
      <c r="EO24">
        <f t="shared" si="82"/>
        <v>0.43746787088821926</v>
      </c>
      <c r="EP24" s="460">
        <f t="shared" si="122"/>
        <v>437.46787088821924</v>
      </c>
      <c r="EQ24" s="173">
        <f t="shared" si="83"/>
        <v>0.11803749999999998</v>
      </c>
      <c r="ER24" s="173">
        <f t="shared" si="84"/>
        <v>2.1078125E-2</v>
      </c>
      <c r="ES24" s="528"/>
      <c r="EU24" s="460">
        <f t="shared" si="123"/>
        <v>139.11562499999997</v>
      </c>
      <c r="EV24" s="528">
        <f t="shared" si="85"/>
        <v>3.6100000000000004E-3</v>
      </c>
      <c r="EW24" s="528">
        <f t="shared" si="124"/>
        <v>1.4167777777777777E-2</v>
      </c>
      <c r="EX24" s="528">
        <f t="shared" si="86"/>
        <v>1.421271837285847E-4</v>
      </c>
      <c r="EY24" s="528">
        <f t="shared" si="87"/>
        <v>0.16619552097296184</v>
      </c>
      <c r="EZ24" s="528">
        <f t="shared" si="88"/>
        <v>0.18868670294797593</v>
      </c>
      <c r="FA24" s="625">
        <f t="shared" si="89"/>
        <v>2.7074999999999994E-3</v>
      </c>
      <c r="FB24" s="460">
        <f t="shared" si="125"/>
        <v>191.39420294797594</v>
      </c>
      <c r="FC24" s="173">
        <f t="shared" si="126"/>
        <v>0.76797769883619516</v>
      </c>
      <c r="FD24" s="5">
        <f t="shared" si="127"/>
        <v>3.4959999999999996</v>
      </c>
      <c r="FE24" s="173">
        <f t="shared" si="128"/>
        <v>0.81989171776254688</v>
      </c>
      <c r="FF24" s="5">
        <f t="shared" si="129"/>
        <v>81.989171776254693</v>
      </c>
      <c r="FG24">
        <f t="shared" si="130"/>
        <v>19</v>
      </c>
      <c r="FI24" s="562">
        <f t="shared" si="90"/>
        <v>-50</v>
      </c>
      <c r="FJ24">
        <f t="shared" si="91"/>
        <v>-50</v>
      </c>
      <c r="FL24">
        <f t="shared" si="92"/>
        <v>0.28753338315501981</v>
      </c>
    </row>
    <row r="25" spans="5:168">
      <c r="E25" s="170">
        <v>20</v>
      </c>
      <c r="F25" s="217">
        <f t="shared" si="131"/>
        <v>0.2</v>
      </c>
      <c r="G25" s="217">
        <f t="shared" si="93"/>
        <v>0.05</v>
      </c>
      <c r="H25" s="217">
        <f t="shared" si="0"/>
        <v>3.28</v>
      </c>
      <c r="I25" s="217">
        <f t="shared" si="132"/>
        <v>0.4</v>
      </c>
      <c r="J25" s="541">
        <f t="shared" si="1"/>
        <v>23.955209755049875</v>
      </c>
      <c r="K25" s="443">
        <f t="shared" si="2"/>
        <v>17.119823785111333</v>
      </c>
      <c r="L25" s="172">
        <f t="shared" si="3"/>
        <v>41.075033540161208</v>
      </c>
      <c r="M25" s="443"/>
      <c r="N25" s="217">
        <f t="shared" si="4"/>
        <v>0.41679390884422252</v>
      </c>
      <c r="O25" s="172">
        <f t="shared" si="94"/>
        <v>29.663754054392026</v>
      </c>
      <c r="P25" s="172">
        <f t="shared" si="5"/>
        <v>4.0586932971506045</v>
      </c>
      <c r="Q25" s="217">
        <f t="shared" si="6"/>
        <v>1.8087654911214652</v>
      </c>
      <c r="R25" s="217">
        <f t="shared" si="7"/>
        <v>3.7079692567990032</v>
      </c>
      <c r="S25" s="443">
        <f t="shared" si="8"/>
        <v>16.399999999999999</v>
      </c>
      <c r="T25" s="217">
        <f t="shared" si="9"/>
        <v>0.73715102365572227</v>
      </c>
      <c r="U25" s="217">
        <f t="shared" si="10"/>
        <v>0.36926465576048345</v>
      </c>
      <c r="V25" s="217">
        <f t="shared" si="11"/>
        <v>0.51669996110366756</v>
      </c>
      <c r="W25" s="197">
        <f t="shared" si="12"/>
        <v>350</v>
      </c>
      <c r="X25" s="443">
        <f t="shared" si="95"/>
        <v>350</v>
      </c>
      <c r="Z25" s="217">
        <f t="shared" si="13"/>
        <v>2.3772346454739255</v>
      </c>
      <c r="AA25" s="173">
        <f t="shared" si="14"/>
        <v>1.6663031175879355</v>
      </c>
      <c r="AB25" s="173">
        <f t="shared" si="15"/>
        <v>0.69320886267346915</v>
      </c>
      <c r="AC25" s="173"/>
      <c r="AD25" s="173">
        <f t="shared" si="16"/>
        <v>0.93458905890811728</v>
      </c>
      <c r="AE25" s="545">
        <f t="shared" si="17"/>
        <v>320.99669597083738</v>
      </c>
      <c r="AF25" s="528">
        <f t="shared" si="18"/>
        <v>0.21807078041189407</v>
      </c>
      <c r="AH25" s="173">
        <f t="shared" si="19"/>
        <v>1.3237752650585946</v>
      </c>
      <c r="AI25" s="173">
        <f t="shared" si="20"/>
        <v>1.3333333333333335</v>
      </c>
      <c r="AJ25" s="173">
        <f t="shared" si="21"/>
        <v>1.1834266834119072</v>
      </c>
      <c r="AL25" s="545">
        <f t="shared" si="22"/>
        <v>200</v>
      </c>
      <c r="AM25" s="460">
        <f t="shared" si="23"/>
        <v>320.99669597083738</v>
      </c>
      <c r="AO25">
        <f t="shared" si="96"/>
        <v>200</v>
      </c>
      <c r="AP25" s="460">
        <f t="shared" si="24"/>
        <v>320.99669597083738</v>
      </c>
      <c r="AQ25" s="460"/>
      <c r="AR25" s="5">
        <f t="shared" si="97"/>
        <v>3.1152968630270581</v>
      </c>
      <c r="AS25" s="5">
        <f t="shared" si="25"/>
        <v>0.66791316643040977</v>
      </c>
      <c r="AT25" s="5">
        <f t="shared" si="98"/>
        <v>2.4473836965966482</v>
      </c>
      <c r="AU25" s="173">
        <f t="shared" si="99"/>
        <v>0.21439791961958155</v>
      </c>
      <c r="AW25" s="5">
        <f t="shared" si="26"/>
        <v>0.81452825174440235</v>
      </c>
      <c r="AX25" s="5">
        <f t="shared" si="27"/>
        <v>0.41744572901900612</v>
      </c>
      <c r="AY25" s="5">
        <f t="shared" si="28"/>
        <v>0.27925096485343814</v>
      </c>
      <c r="AZ25" s="5"/>
      <c r="BA25" s="173">
        <f t="shared" si="100"/>
        <v>0.35644160676585745</v>
      </c>
      <c r="BB25" s="173">
        <f t="shared" si="29"/>
        <v>0.68230636341658613</v>
      </c>
      <c r="BC25" s="173">
        <f t="shared" si="30"/>
        <v>0.16739510494151538</v>
      </c>
      <c r="BD25" s="173"/>
      <c r="BE25" s="528">
        <f t="shared" si="31"/>
        <v>2.5410123806765233E-3</v>
      </c>
      <c r="BF25" s="528">
        <f t="shared" si="32"/>
        <v>0.32962375133207689</v>
      </c>
      <c r="BG25" s="528">
        <f t="shared" si="33"/>
        <v>0.19223857956648455</v>
      </c>
      <c r="BH25" s="528">
        <f t="shared" si="34"/>
        <v>5.4157226566395267E-2</v>
      </c>
      <c r="BI25">
        <f t="shared" si="35"/>
        <v>1.0779844389772444E-2</v>
      </c>
      <c r="BJ25" s="460">
        <f t="shared" si="101"/>
        <v>203.01842395625698</v>
      </c>
      <c r="BK25">
        <f t="shared" si="36"/>
        <v>0.38724185878046796</v>
      </c>
      <c r="BL25" s="460">
        <f t="shared" si="102"/>
        <v>387.24185878046796</v>
      </c>
      <c r="BM25" s="173">
        <f t="shared" si="37"/>
        <v>0.12424999999999999</v>
      </c>
      <c r="BN25" s="173">
        <f t="shared" si="38"/>
        <v>2.2187499999999999E-2</v>
      </c>
      <c r="BO25" s="528"/>
      <c r="BQ25" s="460">
        <f t="shared" si="103"/>
        <v>146.4375</v>
      </c>
      <c r="BR25" s="528">
        <f t="shared" si="39"/>
        <v>3.8115185710147848E-3</v>
      </c>
      <c r="BS25" s="528">
        <f t="shared" si="104"/>
        <v>1.3966259206762994E-2</v>
      </c>
      <c r="BT25" s="528">
        <f t="shared" si="40"/>
        <v>1.4010560579190475E-4</v>
      </c>
      <c r="BU25" s="528">
        <f t="shared" si="41"/>
        <v>0.18948212709850876</v>
      </c>
      <c r="BV25" s="528">
        <f t="shared" si="42"/>
        <v>0.21200419581072427</v>
      </c>
      <c r="BW25" s="625">
        <f t="shared" si="43"/>
        <v>2.8533039641852214E-3</v>
      </c>
      <c r="BX25" s="460">
        <f t="shared" si="105"/>
        <v>214.85749977490951</v>
      </c>
      <c r="BY25" s="173">
        <f t="shared" si="106"/>
        <v>0.74853685855537755</v>
      </c>
      <c r="BZ25" s="5">
        <f t="shared" si="107"/>
        <v>3.6799999999999997</v>
      </c>
      <c r="CA25" s="173">
        <f t="shared" si="108"/>
        <v>0.83097422863054682</v>
      </c>
      <c r="CB25" s="5">
        <f t="shared" si="109"/>
        <v>83.097422863054675</v>
      </c>
      <c r="CC25">
        <f t="shared" si="110"/>
        <v>20</v>
      </c>
      <c r="CE25" s="562">
        <f t="shared" si="44"/>
        <v>-50</v>
      </c>
      <c r="CF25">
        <f t="shared" si="45"/>
        <v>-50</v>
      </c>
      <c r="CG25" s="173">
        <f t="shared" si="46"/>
        <v>0.30266671911054716</v>
      </c>
      <c r="CH25" s="173">
        <f t="shared" si="47"/>
        <v>0.10575542788110591</v>
      </c>
      <c r="CI25" s="170">
        <v>20</v>
      </c>
      <c r="CJ25" s="217">
        <f t="shared" si="133"/>
        <v>0.2</v>
      </c>
      <c r="CK25" s="217">
        <f t="shared" si="111"/>
        <v>0.05</v>
      </c>
      <c r="CL25" s="217">
        <f t="shared" si="48"/>
        <v>3.28</v>
      </c>
      <c r="CM25" s="217">
        <f t="shared" si="134"/>
        <v>0.4</v>
      </c>
      <c r="CN25" s="541">
        <f t="shared" si="112"/>
        <v>24</v>
      </c>
      <c r="CO25" s="443">
        <f t="shared" si="49"/>
        <v>17.099999999999998</v>
      </c>
      <c r="CP25" s="443">
        <f t="shared" si="50"/>
        <v>41.099999999999994</v>
      </c>
      <c r="CQ25" s="443"/>
      <c r="CR25" s="217">
        <f t="shared" si="113"/>
        <v>0.41176470588235292</v>
      </c>
      <c r="CS25" s="172">
        <f t="shared" si="114"/>
        <v>29.36061381074169</v>
      </c>
      <c r="CT25" s="172">
        <f t="shared" si="51"/>
        <v>4.0172166427546641</v>
      </c>
      <c r="CU25" s="217">
        <f t="shared" si="52"/>
        <v>1.7902813299232738</v>
      </c>
      <c r="CV25" s="217">
        <f t="shared" si="53"/>
        <v>3.6700767263427112</v>
      </c>
      <c r="CW25" s="443">
        <f t="shared" si="54"/>
        <v>16.399999999999999</v>
      </c>
      <c r="CX25" s="217">
        <f t="shared" si="55"/>
        <v>0.74476190476190463</v>
      </c>
      <c r="CY25" s="217">
        <f t="shared" si="56"/>
        <v>0.37238095238095237</v>
      </c>
      <c r="CZ25" s="217">
        <f t="shared" si="57"/>
        <v>0.5226399331662489</v>
      </c>
      <c r="DA25" s="197">
        <f t="shared" si="58"/>
        <v>350</v>
      </c>
      <c r="DB25" s="443">
        <f t="shared" si="115"/>
        <v>350</v>
      </c>
      <c r="DD25" s="217">
        <f t="shared" si="59"/>
        <v>2.377476538060479</v>
      </c>
      <c r="DE25" s="173">
        <f t="shared" si="60"/>
        <v>1.668404588112617</v>
      </c>
      <c r="DF25" s="173">
        <f t="shared" si="61"/>
        <v>0.69415373374028577</v>
      </c>
      <c r="DG25" s="173"/>
      <c r="DH25" s="173">
        <f t="shared" si="62"/>
        <v>0.93567251461988332</v>
      </c>
      <c r="DI25" s="545">
        <f t="shared" si="63"/>
        <v>320.62499999999989</v>
      </c>
      <c r="DJ25" s="528">
        <f t="shared" si="64"/>
        <v>0.21832358674463945</v>
      </c>
      <c r="DL25" s="173">
        <f t="shared" si="65"/>
        <v>1.3237752650585946</v>
      </c>
      <c r="DM25" s="173">
        <f t="shared" si="66"/>
        <v>1.3333333333333335</v>
      </c>
      <c r="DN25" s="173">
        <f t="shared" si="67"/>
        <v>1.1832142857142856</v>
      </c>
      <c r="DP25" s="545">
        <f t="shared" si="68"/>
        <v>200</v>
      </c>
      <c r="DQ25" s="460">
        <f t="shared" si="69"/>
        <v>320.62499999999989</v>
      </c>
      <c r="DS25">
        <f t="shared" si="116"/>
        <v>200</v>
      </c>
      <c r="DT25" s="460">
        <f t="shared" si="70"/>
        <v>320.62499999999989</v>
      </c>
      <c r="DU25" s="460"/>
      <c r="DV25" s="5">
        <f t="shared" si="117"/>
        <v>3.118908382066278</v>
      </c>
      <c r="DW25" s="5">
        <f t="shared" si="71"/>
        <v>0.66666666666666685</v>
      </c>
      <c r="DX25" s="5">
        <f t="shared" si="118"/>
        <v>2.452241715399611</v>
      </c>
      <c r="DY25" s="173">
        <f t="shared" si="119"/>
        <v>0.21374999999999997</v>
      </c>
      <c r="EA25" s="5">
        <f t="shared" si="72"/>
        <v>0.81300813008130124</v>
      </c>
      <c r="EB25" s="5">
        <f t="shared" si="73"/>
        <v>0.41666666666666685</v>
      </c>
      <c r="EC25" s="5">
        <f t="shared" si="74"/>
        <v>0.27928308425384452</v>
      </c>
      <c r="ED25" s="5"/>
      <c r="EE25" s="173">
        <f t="shared" si="120"/>
        <v>0.35590260840104376</v>
      </c>
      <c r="EF25" s="173">
        <f t="shared" si="75"/>
        <v>0.68258766904034096</v>
      </c>
      <c r="EG25" s="173">
        <f t="shared" si="76"/>
        <v>0.16746411966412955</v>
      </c>
      <c r="EH25" s="173"/>
      <c r="EI25" s="528">
        <f t="shared" si="77"/>
        <v>2.5333333333333341E-3</v>
      </c>
      <c r="EJ25" s="528">
        <f t="shared" si="78"/>
        <v>0.35140499999999986</v>
      </c>
      <c r="EK25" s="528">
        <f t="shared" si="79"/>
        <v>4.0078124999999985E-2</v>
      </c>
      <c r="EL25" s="528">
        <f t="shared" si="80"/>
        <v>5.4160295624999966E-2</v>
      </c>
      <c r="EM25">
        <f t="shared" si="81"/>
        <v>1.0800000000000001E-2</v>
      </c>
      <c r="EN25" s="460">
        <f t="shared" si="121"/>
        <v>50.878124999999983</v>
      </c>
      <c r="EO25">
        <f t="shared" si="82"/>
        <v>0.45993759959828334</v>
      </c>
      <c r="EP25" s="460">
        <f t="shared" si="122"/>
        <v>459.93759959828333</v>
      </c>
      <c r="EQ25" s="173">
        <f t="shared" si="83"/>
        <v>0.12424999999999999</v>
      </c>
      <c r="ER25" s="173">
        <f t="shared" si="84"/>
        <v>2.2187499999999999E-2</v>
      </c>
      <c r="ES25" s="528"/>
      <c r="EU25" s="460">
        <f t="shared" si="123"/>
        <v>146.4375</v>
      </c>
      <c r="EV25" s="528">
        <f t="shared" si="85"/>
        <v>3.8000000000000009E-3</v>
      </c>
      <c r="EW25" s="528">
        <f t="shared" si="124"/>
        <v>1.397777777777778E-2</v>
      </c>
      <c r="EX25" s="528">
        <f t="shared" si="86"/>
        <v>1.4022115687440951E-4</v>
      </c>
      <c r="EY25" s="528">
        <f t="shared" si="87"/>
        <v>0.18893407948118895</v>
      </c>
      <c r="EZ25" s="528">
        <f t="shared" si="88"/>
        <v>0.21145550692398091</v>
      </c>
      <c r="FA25" s="625">
        <f t="shared" si="89"/>
        <v>2.8499999999999992E-3</v>
      </c>
      <c r="FB25" s="460">
        <f t="shared" si="125"/>
        <v>214.30550692398089</v>
      </c>
      <c r="FC25" s="173">
        <f t="shared" si="126"/>
        <v>0.82068060652226427</v>
      </c>
      <c r="FD25" s="5">
        <f t="shared" si="127"/>
        <v>3.6799999999999997</v>
      </c>
      <c r="FE25" s="173">
        <f t="shared" si="128"/>
        <v>0.81765411095091778</v>
      </c>
      <c r="FF25" s="5">
        <f t="shared" si="129"/>
        <v>81.765411095091778</v>
      </c>
      <c r="FG25">
        <f t="shared" si="130"/>
        <v>20</v>
      </c>
      <c r="FI25" s="562">
        <f t="shared" si="90"/>
        <v>-50</v>
      </c>
      <c r="FJ25">
        <f t="shared" si="91"/>
        <v>-50</v>
      </c>
      <c r="FL25">
        <f t="shared" si="92"/>
        <v>0.30266671911054716</v>
      </c>
    </row>
    <row r="26" spans="5:168">
      <c r="E26" s="170">
        <v>21</v>
      </c>
      <c r="F26" s="217">
        <f t="shared" si="131"/>
        <v>0.21</v>
      </c>
      <c r="G26" s="217">
        <f t="shared" si="93"/>
        <v>5.2499999999999998E-2</v>
      </c>
      <c r="H26" s="217">
        <f t="shared" si="0"/>
        <v>3.4439999999999995</v>
      </c>
      <c r="I26" s="217">
        <f t="shared" si="132"/>
        <v>0.42</v>
      </c>
      <c r="J26" s="541">
        <f t="shared" si="1"/>
        <v>23.955209755049875</v>
      </c>
      <c r="K26" s="443">
        <f t="shared" si="2"/>
        <v>17.119823785111333</v>
      </c>
      <c r="L26" s="172">
        <f t="shared" si="3"/>
        <v>41.075033540161208</v>
      </c>
      <c r="M26" s="443"/>
      <c r="N26" s="217">
        <f t="shared" si="4"/>
        <v>0.41679390884422252</v>
      </c>
      <c r="O26" s="172">
        <f t="shared" si="94"/>
        <v>29.663754054392026</v>
      </c>
      <c r="P26" s="172">
        <f t="shared" si="5"/>
        <v>4.0586932971506045</v>
      </c>
      <c r="Q26" s="217">
        <f t="shared" si="6"/>
        <v>1.8087654911214652</v>
      </c>
      <c r="R26" s="217">
        <f t="shared" si="7"/>
        <v>3.7079692567990032</v>
      </c>
      <c r="S26" s="443">
        <f t="shared" si="8"/>
        <v>16.399999999999999</v>
      </c>
      <c r="T26" s="217">
        <f t="shared" si="9"/>
        <v>0.77400857483850838</v>
      </c>
      <c r="U26" s="217">
        <f t="shared" si="10"/>
        <v>0.38772788854850765</v>
      </c>
      <c r="V26" s="217">
        <f t="shared" si="11"/>
        <v>0.54253495915885086</v>
      </c>
      <c r="W26" s="197">
        <f t="shared" si="12"/>
        <v>350</v>
      </c>
      <c r="X26" s="443">
        <f t="shared" si="95"/>
        <v>350</v>
      </c>
      <c r="Z26" s="217">
        <f t="shared" si="13"/>
        <v>2.3772346454739255</v>
      </c>
      <c r="AA26" s="173">
        <f t="shared" si="14"/>
        <v>1.6663031175879355</v>
      </c>
      <c r="AB26" s="173">
        <f t="shared" si="15"/>
        <v>0.69320886267346915</v>
      </c>
      <c r="AC26" s="173"/>
      <c r="AD26" s="173">
        <f t="shared" si="16"/>
        <v>0.93458905890811728</v>
      </c>
      <c r="AE26" s="545">
        <f t="shared" si="17"/>
        <v>337.04653076937922</v>
      </c>
      <c r="AF26" s="528">
        <f t="shared" si="18"/>
        <v>0.21807078041189407</v>
      </c>
      <c r="AH26" s="173">
        <f t="shared" si="19"/>
        <v>1.3564659966250534</v>
      </c>
      <c r="AI26" s="173">
        <f t="shared" si="20"/>
        <v>1.3564659966250534</v>
      </c>
      <c r="AJ26" s="173">
        <f t="shared" si="21"/>
        <v>1.1925980175825024</v>
      </c>
      <c r="AL26" s="545">
        <f t="shared" si="22"/>
        <v>210</v>
      </c>
      <c r="AM26" s="460">
        <f t="shared" si="23"/>
        <v>337.04653076937922</v>
      </c>
      <c r="AO26">
        <f t="shared" si="96"/>
        <v>210</v>
      </c>
      <c r="AP26" s="460">
        <f t="shared" si="24"/>
        <v>337.04653076937922</v>
      </c>
      <c r="AQ26" s="460"/>
      <c r="AR26" s="5">
        <f t="shared" si="97"/>
        <v>2.9669493933591031</v>
      </c>
      <c r="AS26" s="5">
        <f t="shared" si="25"/>
        <v>0.67950112422076558</v>
      </c>
      <c r="AT26" s="5">
        <f t="shared" si="98"/>
        <v>2.2874482691383378</v>
      </c>
      <c r="AU26" s="173">
        <f t="shared" si="99"/>
        <v>0.22902349657250204</v>
      </c>
      <c r="AW26" s="5">
        <f t="shared" si="26"/>
        <v>0.87009290296561459</v>
      </c>
      <c r="AX26" s="5">
        <f t="shared" si="27"/>
        <v>0.44592261276987732</v>
      </c>
      <c r="AY26" s="5">
        <f t="shared" si="28"/>
        <v>0.27405214145716661</v>
      </c>
      <c r="AZ26" s="5"/>
      <c r="BA26" s="173">
        <f t="shared" si="100"/>
        <v>0.37479026743562577</v>
      </c>
      <c r="BB26" s="173">
        <f t="shared" si="29"/>
        <v>0.68765222952366367</v>
      </c>
      <c r="BC26" s="173">
        <f t="shared" si="30"/>
        <v>0.1687066445459777</v>
      </c>
      <c r="BD26" s="173"/>
      <c r="BE26" s="528">
        <f t="shared" si="31"/>
        <v>2.8093548912893579E-3</v>
      </c>
      <c r="BF26" s="528">
        <f t="shared" si="32"/>
        <v>0.35210968566003908</v>
      </c>
      <c r="BG26" s="528">
        <f t="shared" si="33"/>
        <v>0.20185050854480874</v>
      </c>
      <c r="BH26" s="528">
        <f t="shared" si="34"/>
        <v>5.6865087894715026E-2</v>
      </c>
      <c r="BI26">
        <f t="shared" si="35"/>
        <v>1.0779844389772444E-2</v>
      </c>
      <c r="BJ26" s="460">
        <f t="shared" si="101"/>
        <v>212.6303529345812</v>
      </c>
      <c r="BK26">
        <f t="shared" si="36"/>
        <v>0.41281821154666043</v>
      </c>
      <c r="BL26" s="460">
        <f t="shared" si="102"/>
        <v>412.81821154666045</v>
      </c>
      <c r="BM26" s="173">
        <f t="shared" si="37"/>
        <v>0.13046249999999998</v>
      </c>
      <c r="BN26" s="173">
        <f t="shared" si="38"/>
        <v>2.3296874999999998E-2</v>
      </c>
      <c r="BO26" s="528"/>
      <c r="BQ26" s="460">
        <f t="shared" si="103"/>
        <v>153.75937499999998</v>
      </c>
      <c r="BR26" s="528">
        <f t="shared" si="39"/>
        <v>4.2140323369340366E-3</v>
      </c>
      <c r="BS26" s="528">
        <f t="shared" si="104"/>
        <v>1.4185967663065962E-2</v>
      </c>
      <c r="BT26" s="528">
        <f t="shared" si="40"/>
        <v>1.4230965956981434E-4</v>
      </c>
      <c r="BU26" s="528">
        <f t="shared" si="41"/>
        <v>0.2234688202905773</v>
      </c>
      <c r="BV26" s="528">
        <f t="shared" si="42"/>
        <v>0.246827424311168</v>
      </c>
      <c r="BW26" s="625">
        <f t="shared" si="43"/>
        <v>3.1008280830782881E-3</v>
      </c>
      <c r="BX26" s="460">
        <f t="shared" si="105"/>
        <v>249.9282523942463</v>
      </c>
      <c r="BY26" s="173">
        <f t="shared" si="106"/>
        <v>0.81650583894090678</v>
      </c>
      <c r="BZ26" s="5">
        <f t="shared" si="107"/>
        <v>3.8639999999999994</v>
      </c>
      <c r="CA26" s="173">
        <f t="shared" si="108"/>
        <v>0.82555179567393433</v>
      </c>
      <c r="CB26" s="5">
        <f t="shared" si="109"/>
        <v>82.555179567393438</v>
      </c>
      <c r="CC26">
        <f t="shared" si="110"/>
        <v>21</v>
      </c>
      <c r="CE26" s="562">
        <f t="shared" si="44"/>
        <v>-50</v>
      </c>
      <c r="CF26">
        <f t="shared" si="45"/>
        <v>-50</v>
      </c>
      <c r="CG26" s="173">
        <f t="shared" si="46"/>
        <v>0.3178000550660745</v>
      </c>
      <c r="CH26" s="173">
        <f t="shared" si="47"/>
        <v>0.11104319927516118</v>
      </c>
      <c r="CI26" s="170">
        <v>21</v>
      </c>
      <c r="CJ26" s="217">
        <f t="shared" si="133"/>
        <v>0.21</v>
      </c>
      <c r="CK26" s="217">
        <f t="shared" si="111"/>
        <v>5.2499999999999998E-2</v>
      </c>
      <c r="CL26" s="217">
        <f t="shared" si="48"/>
        <v>3.4439999999999995</v>
      </c>
      <c r="CM26" s="217">
        <f t="shared" si="134"/>
        <v>0.42</v>
      </c>
      <c r="CN26" s="541">
        <f t="shared" si="112"/>
        <v>24</v>
      </c>
      <c r="CO26" s="443">
        <f t="shared" si="49"/>
        <v>17.099999999999998</v>
      </c>
      <c r="CP26" s="443">
        <f t="shared" si="50"/>
        <v>41.099999999999994</v>
      </c>
      <c r="CQ26" s="443"/>
      <c r="CR26" s="217">
        <f t="shared" si="113"/>
        <v>0.41176470588235292</v>
      </c>
      <c r="CS26" s="172">
        <f t="shared" si="114"/>
        <v>29.36061381074169</v>
      </c>
      <c r="CT26" s="172">
        <f t="shared" si="51"/>
        <v>4.0172166427546641</v>
      </c>
      <c r="CU26" s="217">
        <f t="shared" si="52"/>
        <v>1.7902813299232738</v>
      </c>
      <c r="CV26" s="217">
        <f t="shared" si="53"/>
        <v>3.6700767263427112</v>
      </c>
      <c r="CW26" s="443">
        <f t="shared" si="54"/>
        <v>16.399999999999999</v>
      </c>
      <c r="CX26" s="217">
        <f t="shared" si="55"/>
        <v>0.78199999999999981</v>
      </c>
      <c r="CY26" s="217">
        <f t="shared" si="56"/>
        <v>0.39099999999999996</v>
      </c>
      <c r="CZ26" s="217">
        <f t="shared" si="57"/>
        <v>0.54877192982456136</v>
      </c>
      <c r="DA26" s="197">
        <f t="shared" si="58"/>
        <v>350</v>
      </c>
      <c r="DB26" s="443">
        <f t="shared" si="115"/>
        <v>350</v>
      </c>
      <c r="DD26" s="217">
        <f t="shared" si="59"/>
        <v>2.377476538060479</v>
      </c>
      <c r="DE26" s="173">
        <f t="shared" si="60"/>
        <v>1.668404588112617</v>
      </c>
      <c r="DF26" s="173">
        <f t="shared" si="61"/>
        <v>0.69415373374028577</v>
      </c>
      <c r="DG26" s="173"/>
      <c r="DH26" s="173">
        <f t="shared" si="62"/>
        <v>0.93567251461988332</v>
      </c>
      <c r="DI26" s="545">
        <f t="shared" si="63"/>
        <v>336.65624999999989</v>
      </c>
      <c r="DJ26" s="528">
        <f t="shared" si="64"/>
        <v>0.21832358674463945</v>
      </c>
      <c r="DL26" s="173">
        <f t="shared" si="65"/>
        <v>1.3564659966250534</v>
      </c>
      <c r="DM26" s="173">
        <f t="shared" si="66"/>
        <v>1.3564659966250534</v>
      </c>
      <c r="DN26" s="173">
        <f t="shared" si="67"/>
        <v>1.192375</v>
      </c>
      <c r="DP26" s="545">
        <f t="shared" si="68"/>
        <v>210</v>
      </c>
      <c r="DQ26" s="460">
        <f t="shared" si="69"/>
        <v>336.65624999999989</v>
      </c>
      <c r="DS26">
        <f t="shared" si="116"/>
        <v>210</v>
      </c>
      <c r="DT26" s="460">
        <f t="shared" si="70"/>
        <v>336.65624999999989</v>
      </c>
      <c r="DU26" s="460"/>
      <c r="DV26" s="5">
        <f t="shared" si="117"/>
        <v>2.9703889353012172</v>
      </c>
      <c r="DW26" s="5">
        <f t="shared" si="71"/>
        <v>0.6782329983125267</v>
      </c>
      <c r="DX26" s="5">
        <f t="shared" si="118"/>
        <v>2.2921559369886904</v>
      </c>
      <c r="DY26" s="173">
        <f t="shared" si="119"/>
        <v>0.22833137783815147</v>
      </c>
      <c r="EA26" s="5">
        <f t="shared" si="72"/>
        <v>0.86846908320506488</v>
      </c>
      <c r="EB26" s="5">
        <f t="shared" si="73"/>
        <v>0.44509040514259568</v>
      </c>
      <c r="EC26" s="5">
        <f t="shared" si="74"/>
        <v>0.27410364746489746</v>
      </c>
      <c r="ED26" s="5"/>
      <c r="EE26" s="173">
        <f t="shared" si="120"/>
        <v>0.3742235228764571</v>
      </c>
      <c r="EF26" s="173">
        <f t="shared" si="75"/>
        <v>0.68796081884019167</v>
      </c>
      <c r="EG26" s="173">
        <f t="shared" si="76"/>
        <v>0.16878235297227082</v>
      </c>
      <c r="EH26" s="173"/>
      <c r="EI26" s="528">
        <f t="shared" si="77"/>
        <v>2.8008649014813242E-3</v>
      </c>
      <c r="EJ26" s="528">
        <f t="shared" si="78"/>
        <v>0.37537678516592093</v>
      </c>
      <c r="EK26" s="528">
        <f t="shared" si="79"/>
        <v>4.2082031249999985E-2</v>
      </c>
      <c r="EL26" s="528">
        <f t="shared" si="80"/>
        <v>5.6868310406249963E-2</v>
      </c>
      <c r="EM26">
        <f t="shared" si="81"/>
        <v>1.0800000000000001E-2</v>
      </c>
      <c r="EN26" s="460">
        <f t="shared" si="121"/>
        <v>52.88203124999999</v>
      </c>
      <c r="EO26">
        <f t="shared" si="82"/>
        <v>0.48900965408149288</v>
      </c>
      <c r="EP26" s="460">
        <f t="shared" si="122"/>
        <v>489.0096540814929</v>
      </c>
      <c r="EQ26" s="173">
        <f t="shared" si="83"/>
        <v>0.13046249999999998</v>
      </c>
      <c r="ER26" s="173">
        <f t="shared" si="84"/>
        <v>2.3296874999999998E-2</v>
      </c>
      <c r="ES26" s="528"/>
      <c r="EU26" s="460">
        <f t="shared" si="123"/>
        <v>153.75937499999998</v>
      </c>
      <c r="EV26" s="528">
        <f t="shared" si="85"/>
        <v>4.2012973522219865E-3</v>
      </c>
      <c r="EW26" s="528">
        <f t="shared" si="124"/>
        <v>1.4198702647778009E-2</v>
      </c>
      <c r="EX26" s="528">
        <f t="shared" si="86"/>
        <v>1.4243741337428107E-4</v>
      </c>
      <c r="EY26" s="528">
        <f t="shared" si="87"/>
        <v>0.22282247144290021</v>
      </c>
      <c r="EZ26" s="528">
        <f t="shared" si="88"/>
        <v>0.2461802764249256</v>
      </c>
      <c r="FA26" s="625">
        <f t="shared" si="89"/>
        <v>3.0972374999999981E-3</v>
      </c>
      <c r="FB26" s="460">
        <f t="shared" si="125"/>
        <v>249.27751392492559</v>
      </c>
      <c r="FC26" s="173">
        <f t="shared" si="126"/>
        <v>0.8920465430064185</v>
      </c>
      <c r="FD26" s="5">
        <f t="shared" si="127"/>
        <v>3.8639999999999994</v>
      </c>
      <c r="FE26" s="173">
        <f t="shared" si="128"/>
        <v>0.81243948415136125</v>
      </c>
      <c r="FF26" s="5">
        <f t="shared" si="129"/>
        <v>81.243948415136131</v>
      </c>
      <c r="FG26">
        <f t="shared" si="130"/>
        <v>21</v>
      </c>
      <c r="FI26" s="562">
        <f t="shared" si="90"/>
        <v>-50</v>
      </c>
      <c r="FJ26">
        <f t="shared" si="91"/>
        <v>-50</v>
      </c>
      <c r="FL26">
        <f t="shared" si="92"/>
        <v>0.3178000550660745</v>
      </c>
    </row>
    <row r="27" spans="5:168">
      <c r="E27" s="170">
        <v>22</v>
      </c>
      <c r="F27" s="217">
        <f t="shared" si="131"/>
        <v>0.22</v>
      </c>
      <c r="G27" s="217">
        <f t="shared" si="93"/>
        <v>5.5E-2</v>
      </c>
      <c r="H27" s="217">
        <f t="shared" si="0"/>
        <v>3.6079999999999997</v>
      </c>
      <c r="I27" s="217">
        <f t="shared" si="132"/>
        <v>0.44</v>
      </c>
      <c r="J27" s="541">
        <f t="shared" si="1"/>
        <v>23.955038121347652</v>
      </c>
      <c r="K27" s="443">
        <f t="shared" si="2"/>
        <v>17.119899748742132</v>
      </c>
      <c r="L27" s="172">
        <f t="shared" si="3"/>
        <v>41.074937870089784</v>
      </c>
      <c r="M27" s="443"/>
      <c r="N27" s="217">
        <f t="shared" si="4"/>
        <v>0.41679672901486264</v>
      </c>
      <c r="O27" s="172">
        <f t="shared" si="94"/>
        <v>29.663742233954036</v>
      </c>
      <c r="P27" s="172">
        <f t="shared" si="5"/>
        <v>4.0586916798390424</v>
      </c>
      <c r="Q27" s="217">
        <f t="shared" si="6"/>
        <v>1.8087647703630512</v>
      </c>
      <c r="R27" s="217">
        <f t="shared" si="7"/>
        <v>3.7079677792442545</v>
      </c>
      <c r="S27" s="443">
        <f t="shared" si="8"/>
        <v>16.399999999999999</v>
      </c>
      <c r="T27" s="217">
        <f t="shared" si="9"/>
        <v>0.81086644913604811</v>
      </c>
      <c r="U27" s="217">
        <f t="shared" si="10"/>
        <v>0.40619419348622471</v>
      </c>
      <c r="V27" s="217">
        <f t="shared" si="11"/>
        <v>0.56836766175266351</v>
      </c>
      <c r="W27" s="197">
        <f t="shared" si="12"/>
        <v>350</v>
      </c>
      <c r="X27" s="443">
        <f t="shared" si="95"/>
        <v>350</v>
      </c>
      <c r="Z27" s="217">
        <f t="shared" si="13"/>
        <v>2.3772336981914384</v>
      </c>
      <c r="AA27" s="173">
        <f t="shared" si="14"/>
        <v>1.6662950599575352</v>
      </c>
      <c r="AB27" s="173">
        <f t="shared" si="15"/>
        <v>0.69320523434067083</v>
      </c>
      <c r="AC27" s="173"/>
      <c r="AD27" s="173">
        <f t="shared" si="16"/>
        <v>0.93458491199258265</v>
      </c>
      <c r="AE27" s="545">
        <f t="shared" si="17"/>
        <v>353.09793231780634</v>
      </c>
      <c r="AF27" s="528">
        <f t="shared" si="18"/>
        <v>0.21806981279826931</v>
      </c>
      <c r="AH27" s="173">
        <f t="shared" si="19"/>
        <v>1.3883872109822417</v>
      </c>
      <c r="AI27" s="173">
        <f t="shared" si="20"/>
        <v>1.3883872109822417</v>
      </c>
      <c r="AJ27" s="173">
        <f t="shared" si="21"/>
        <v>1.2407806501103023</v>
      </c>
      <c r="AL27" s="545">
        <f t="shared" si="22"/>
        <v>220</v>
      </c>
      <c r="AM27" s="460">
        <f t="shared" si="23"/>
        <v>350</v>
      </c>
      <c r="AO27">
        <f t="shared" si="96"/>
        <v>220</v>
      </c>
      <c r="AP27" s="460">
        <f t="shared" si="24"/>
        <v>350</v>
      </c>
      <c r="AQ27" s="460"/>
      <c r="AR27" s="5">
        <f t="shared" si="97"/>
        <v>2.8571428571428572</v>
      </c>
      <c r="AS27" s="5">
        <f t="shared" si="25"/>
        <v>0.69549655681573241</v>
      </c>
      <c r="AT27" s="5">
        <f t="shared" si="98"/>
        <v>2.1616463003271247</v>
      </c>
      <c r="AU27" s="173">
        <f t="shared" si="99"/>
        <v>0.24342379488550633</v>
      </c>
      <c r="AW27" s="5">
        <f t="shared" si="26"/>
        <v>0.9329831859723241</v>
      </c>
      <c r="AX27" s="5">
        <f t="shared" si="27"/>
        <v>0.47815388281081606</v>
      </c>
      <c r="AY27" s="5">
        <f t="shared" si="28"/>
        <v>0.27131452863458222</v>
      </c>
      <c r="AZ27" s="5"/>
      <c r="BA27" s="173">
        <f t="shared" si="100"/>
        <v>0.39548634349157752</v>
      </c>
      <c r="BB27" s="173">
        <f t="shared" si="29"/>
        <v>0.69723040284495941</v>
      </c>
      <c r="BC27" s="173">
        <f t="shared" si="30"/>
        <v>0.17105652637946633</v>
      </c>
      <c r="BD27" s="173"/>
      <c r="BE27" s="528">
        <f t="shared" si="31"/>
        <v>3.1281889577667609E-3</v>
      </c>
      <c r="BF27" s="528">
        <f t="shared" si="32"/>
        <v>0.37424571470161844</v>
      </c>
      <c r="BG27" s="528">
        <f t="shared" si="33"/>
        <v>0.20960658356179196</v>
      </c>
      <c r="BH27" s="528">
        <f t="shared" si="34"/>
        <v>5.9050268236110766E-2</v>
      </c>
      <c r="BI27">
        <f t="shared" si="35"/>
        <v>1.0779767154606443E-2</v>
      </c>
      <c r="BJ27" s="460">
        <f t="shared" si="101"/>
        <v>220.3863507163984</v>
      </c>
      <c r="BK27">
        <f t="shared" si="36"/>
        <v>0.4375940280433197</v>
      </c>
      <c r="BL27" s="460">
        <f t="shared" si="102"/>
        <v>437.59402804331972</v>
      </c>
      <c r="BM27" s="173">
        <f t="shared" si="37"/>
        <v>0.13667499999999999</v>
      </c>
      <c r="BN27" s="173">
        <f t="shared" si="38"/>
        <v>2.4406249999999997E-2</v>
      </c>
      <c r="BO27" s="528"/>
      <c r="BQ27" s="460">
        <f t="shared" si="103"/>
        <v>161.08124999999998</v>
      </c>
      <c r="BR27" s="528">
        <f t="shared" si="39"/>
        <v>4.6922834366501416E-3</v>
      </c>
      <c r="BS27" s="528">
        <f t="shared" si="104"/>
        <v>1.4583907039540329E-2</v>
      </c>
      <c r="BT27" s="528">
        <f t="shared" si="40"/>
        <v>1.4630167608504531E-4</v>
      </c>
      <c r="BU27" s="528">
        <f t="shared" si="41"/>
        <v>0.2602655140292201</v>
      </c>
      <c r="BV27" s="528">
        <f t="shared" si="42"/>
        <v>0.28479191379489877</v>
      </c>
      <c r="BW27" s="625">
        <f t="shared" si="43"/>
        <v>3.3733333333333337E-3</v>
      </c>
      <c r="BX27" s="460">
        <f t="shared" si="105"/>
        <v>288.16524712823212</v>
      </c>
      <c r="BY27" s="173">
        <f t="shared" si="106"/>
        <v>0.88684052517155176</v>
      </c>
      <c r="BZ27" s="5">
        <f t="shared" si="107"/>
        <v>4.048</v>
      </c>
      <c r="CA27" s="173">
        <f t="shared" si="108"/>
        <v>0.82028993223834279</v>
      </c>
      <c r="CB27" s="5">
        <f t="shared" si="109"/>
        <v>82.028993223834277</v>
      </c>
      <c r="CC27">
        <f t="shared" si="110"/>
        <v>22</v>
      </c>
      <c r="CE27" s="562">
        <f t="shared" si="44"/>
        <v>-50</v>
      </c>
      <c r="CF27">
        <f t="shared" si="45"/>
        <v>-50</v>
      </c>
      <c r="CG27" s="173">
        <f t="shared" si="46"/>
        <v>0.33166247903554003</v>
      </c>
      <c r="CH27" s="173">
        <f t="shared" si="47"/>
        <v>0.11588689858464711</v>
      </c>
      <c r="CI27" s="170">
        <v>22</v>
      </c>
      <c r="CJ27" s="217">
        <f t="shared" si="133"/>
        <v>0.22</v>
      </c>
      <c r="CK27" s="217">
        <f t="shared" si="111"/>
        <v>5.5E-2</v>
      </c>
      <c r="CL27" s="217">
        <f t="shared" si="48"/>
        <v>3.6079999999999997</v>
      </c>
      <c r="CM27" s="217">
        <f t="shared" si="134"/>
        <v>0.44</v>
      </c>
      <c r="CN27" s="541">
        <f t="shared" si="112"/>
        <v>24</v>
      </c>
      <c r="CO27" s="443">
        <f t="shared" si="49"/>
        <v>17.099999999999998</v>
      </c>
      <c r="CP27" s="443">
        <f t="shared" si="50"/>
        <v>41.099999999999994</v>
      </c>
      <c r="CQ27" s="443"/>
      <c r="CR27" s="217">
        <f t="shared" si="113"/>
        <v>0.41176470588235292</v>
      </c>
      <c r="CS27" s="172">
        <f t="shared" si="114"/>
        <v>29.36061381074169</v>
      </c>
      <c r="CT27" s="172">
        <f t="shared" si="51"/>
        <v>4.0172166427546641</v>
      </c>
      <c r="CU27" s="217">
        <f t="shared" si="52"/>
        <v>1.7902813299232738</v>
      </c>
      <c r="CV27" s="217">
        <f t="shared" si="53"/>
        <v>3.6700767263427112</v>
      </c>
      <c r="CW27" s="443">
        <f t="shared" si="54"/>
        <v>16.399999999999999</v>
      </c>
      <c r="CX27" s="217">
        <f t="shared" si="55"/>
        <v>0.81923809523809521</v>
      </c>
      <c r="CY27" s="217">
        <f t="shared" si="56"/>
        <v>0.40961904761904766</v>
      </c>
      <c r="CZ27" s="217">
        <f t="shared" si="57"/>
        <v>0.57490392648287392</v>
      </c>
      <c r="DA27" s="197">
        <f t="shared" si="58"/>
        <v>350</v>
      </c>
      <c r="DB27" s="443">
        <f t="shared" si="115"/>
        <v>350</v>
      </c>
      <c r="DD27" s="217">
        <f t="shared" si="59"/>
        <v>2.377476538060479</v>
      </c>
      <c r="DE27" s="173">
        <f t="shared" si="60"/>
        <v>1.668404588112617</v>
      </c>
      <c r="DF27" s="173">
        <f t="shared" si="61"/>
        <v>0.69415373374028577</v>
      </c>
      <c r="DG27" s="173"/>
      <c r="DH27" s="173">
        <f t="shared" si="62"/>
        <v>0.93567251461988332</v>
      </c>
      <c r="DI27" s="545">
        <f t="shared" si="63"/>
        <v>352.68749999999989</v>
      </c>
      <c r="DJ27" s="528">
        <f t="shared" si="64"/>
        <v>0.21832358674463945</v>
      </c>
      <c r="DL27" s="173">
        <f t="shared" si="65"/>
        <v>1.3883872109822417</v>
      </c>
      <c r="DM27" s="173">
        <f t="shared" si="66"/>
        <v>1.3883872109822417</v>
      </c>
      <c r="DN27" s="173">
        <f t="shared" si="67"/>
        <v>1.2407806501103023</v>
      </c>
      <c r="DP27" s="545">
        <f t="shared" si="68"/>
        <v>220</v>
      </c>
      <c r="DQ27" s="460">
        <f t="shared" si="69"/>
        <v>350</v>
      </c>
      <c r="DS27">
        <f t="shared" si="116"/>
        <v>220</v>
      </c>
      <c r="DT27" s="460">
        <f t="shared" si="70"/>
        <v>350</v>
      </c>
      <c r="DU27" s="460"/>
      <c r="DV27" s="5">
        <f t="shared" si="117"/>
        <v>2.8571428571428572</v>
      </c>
      <c r="DW27" s="5">
        <f t="shared" si="71"/>
        <v>0.69419360549112086</v>
      </c>
      <c r="DX27" s="5">
        <f t="shared" si="118"/>
        <v>2.1629492516517361</v>
      </c>
      <c r="DY27" s="173">
        <f t="shared" si="119"/>
        <v>0.24296776192189229</v>
      </c>
      <c r="EA27" s="5">
        <f t="shared" si="72"/>
        <v>0.93123532443930879</v>
      </c>
      <c r="EB27" s="5">
        <f t="shared" si="73"/>
        <v>0.47725810377514566</v>
      </c>
      <c r="EC27" s="5">
        <f t="shared" si="74"/>
        <v>0.27096947569303687</v>
      </c>
      <c r="ED27" s="5"/>
      <c r="EE27" s="173">
        <f t="shared" si="120"/>
        <v>0.39511571547164487</v>
      </c>
      <c r="EF27" s="173">
        <f t="shared" si="75"/>
        <v>0.69744050206954056</v>
      </c>
      <c r="EG27" s="173">
        <f t="shared" si="76"/>
        <v>0.17110807152638652</v>
      </c>
      <c r="EH27" s="173"/>
      <c r="EI27" s="528">
        <f t="shared" si="77"/>
        <v>3.1223285722533967E-3</v>
      </c>
      <c r="EJ27" s="528">
        <f t="shared" si="78"/>
        <v>0.39943900059959087</v>
      </c>
      <c r="EK27" s="528">
        <f t="shared" si="79"/>
        <v>4.3749999999999997E-2</v>
      </c>
      <c r="EL27" s="528">
        <f t="shared" si="80"/>
        <v>5.9122349999999983E-2</v>
      </c>
      <c r="EM27">
        <f t="shared" si="81"/>
        <v>1.0800000000000001E-2</v>
      </c>
      <c r="EN27" s="460">
        <f t="shared" si="121"/>
        <v>54.550000000000004</v>
      </c>
      <c r="EO27">
        <f t="shared" si="82"/>
        <v>0.51746059392894439</v>
      </c>
      <c r="EP27" s="460">
        <f t="shared" si="122"/>
        <v>517.46059392894438</v>
      </c>
      <c r="EQ27" s="173">
        <f t="shared" si="83"/>
        <v>0.13667499999999999</v>
      </c>
      <c r="ER27" s="173">
        <f t="shared" si="84"/>
        <v>2.4406249999999997E-2</v>
      </c>
      <c r="ES27" s="528"/>
      <c r="EU27" s="460">
        <f t="shared" si="123"/>
        <v>161.08124999999998</v>
      </c>
      <c r="EV27" s="528">
        <f t="shared" si="85"/>
        <v>4.6834928583800945E-3</v>
      </c>
      <c r="EW27" s="528">
        <f t="shared" si="124"/>
        <v>1.4592697617810383E-2</v>
      </c>
      <c r="EX27" s="528">
        <f t="shared" si="86"/>
        <v>1.4638986070739503E-4</v>
      </c>
      <c r="EY27" s="528">
        <f t="shared" si="87"/>
        <v>0.2602655140292201</v>
      </c>
      <c r="EZ27" s="528">
        <f t="shared" si="88"/>
        <v>0.28479202532627007</v>
      </c>
      <c r="FA27" s="625">
        <f t="shared" si="89"/>
        <v>3.3733333333333337E-3</v>
      </c>
      <c r="FB27" s="460">
        <f t="shared" si="125"/>
        <v>288.16535865960338</v>
      </c>
      <c r="FC27" s="173">
        <f t="shared" si="126"/>
        <v>0.96670720258854781</v>
      </c>
      <c r="FD27" s="5">
        <f t="shared" si="127"/>
        <v>4.048</v>
      </c>
      <c r="FE27" s="173">
        <f t="shared" si="128"/>
        <v>0.80722559393107896</v>
      </c>
      <c r="FF27" s="5">
        <f t="shared" si="129"/>
        <v>80.7225593931079</v>
      </c>
      <c r="FG27">
        <f t="shared" si="130"/>
        <v>22</v>
      </c>
      <c r="FI27" s="562">
        <f t="shared" si="90"/>
        <v>-50</v>
      </c>
      <c r="FJ27">
        <f t="shared" si="91"/>
        <v>-50</v>
      </c>
      <c r="FL27">
        <f t="shared" si="92"/>
        <v>0.33166247903553997</v>
      </c>
    </row>
    <row r="28" spans="5:168">
      <c r="E28" s="170">
        <v>23</v>
      </c>
      <c r="F28" s="217">
        <f t="shared" si="131"/>
        <v>0.23</v>
      </c>
      <c r="G28" s="217">
        <f t="shared" si="93"/>
        <v>5.7500000000000002E-2</v>
      </c>
      <c r="H28" s="217">
        <f t="shared" si="0"/>
        <v>3.7719999999999998</v>
      </c>
      <c r="I28" s="217">
        <f t="shared" si="132"/>
        <v>0.46</v>
      </c>
      <c r="J28" s="541">
        <f t="shared" si="1"/>
        <v>23.954027615881024</v>
      </c>
      <c r="K28" s="443">
        <f t="shared" si="2"/>
        <v>17.120346989949375</v>
      </c>
      <c r="L28" s="172">
        <f t="shared" si="3"/>
        <v>41.0743746058304</v>
      </c>
      <c r="M28" s="443"/>
      <c r="N28" s="217">
        <f t="shared" si="4"/>
        <v>0.41681333323378678</v>
      </c>
      <c r="O28" s="172">
        <f t="shared" si="94"/>
        <v>29.663672600937069</v>
      </c>
      <c r="P28" s="172">
        <f t="shared" si="5"/>
        <v>4.058682152418517</v>
      </c>
      <c r="Q28" s="217">
        <f t="shared" si="6"/>
        <v>1.8087605244473823</v>
      </c>
      <c r="R28" s="217">
        <f t="shared" si="7"/>
        <v>3.7079590751171336</v>
      </c>
      <c r="S28" s="443">
        <f t="shared" si="8"/>
        <v>16.399999999999999</v>
      </c>
      <c r="T28" s="217">
        <f t="shared" si="9"/>
        <v>0.84772600496785055</v>
      </c>
      <c r="U28" s="217">
        <f t="shared" si="10"/>
        <v>0.42467647707268691</v>
      </c>
      <c r="V28" s="217">
        <f t="shared" si="11"/>
        <v>0.59418842769870095</v>
      </c>
      <c r="W28" s="197">
        <f t="shared" si="12"/>
        <v>350</v>
      </c>
      <c r="X28" s="443">
        <f t="shared" si="95"/>
        <v>350</v>
      </c>
      <c r="Z28" s="217">
        <f t="shared" si="13"/>
        <v>2.3772281178451307</v>
      </c>
      <c r="AA28" s="173">
        <f t="shared" si="14"/>
        <v>1.6662476193320379</v>
      </c>
      <c r="AB28" s="173">
        <f t="shared" si="15"/>
        <v>0.6931838710945103</v>
      </c>
      <c r="AC28" s="173"/>
      <c r="AD28" s="173">
        <f t="shared" si="16"/>
        <v>0.93456049748249381</v>
      </c>
      <c r="AE28" s="545">
        <f t="shared" si="17"/>
        <v>369.15748197078324</v>
      </c>
      <c r="AF28" s="528">
        <f t="shared" si="18"/>
        <v>0.21806411607924858</v>
      </c>
      <c r="AH28" s="173">
        <f t="shared" si="19"/>
        <v>1.4195908196512457</v>
      </c>
      <c r="AI28" s="173">
        <f t="shared" si="20"/>
        <v>1.4195908196512457</v>
      </c>
      <c r="AJ28" s="173">
        <f t="shared" si="21"/>
        <v>1.2638944343095646</v>
      </c>
      <c r="AL28" s="545">
        <f t="shared" si="22"/>
        <v>230</v>
      </c>
      <c r="AM28" s="460">
        <f t="shared" si="23"/>
        <v>350</v>
      </c>
      <c r="AO28">
        <f t="shared" si="96"/>
        <v>230</v>
      </c>
      <c r="AP28" s="460">
        <f t="shared" si="24"/>
        <v>350</v>
      </c>
      <c r="AQ28" s="460"/>
      <c r="AR28" s="5">
        <f t="shared" si="97"/>
        <v>2.8571428571428572</v>
      </c>
      <c r="AS28" s="5">
        <f t="shared" si="25"/>
        <v>0.71115764367412848</v>
      </c>
      <c r="AT28" s="5">
        <f t="shared" si="98"/>
        <v>2.1459852134687285</v>
      </c>
      <c r="AU28" s="173">
        <f t="shared" si="99"/>
        <v>0.24890517528594497</v>
      </c>
      <c r="AW28" s="5">
        <f t="shared" si="26"/>
        <v>0.9973552319820097</v>
      </c>
      <c r="AX28" s="5">
        <f t="shared" si="27"/>
        <v>0.51114455639077983</v>
      </c>
      <c r="AY28" s="5">
        <f t="shared" si="28"/>
        <v>0.28160386898212242</v>
      </c>
      <c r="AZ28" s="5"/>
      <c r="BA28" s="173">
        <f t="shared" si="100"/>
        <v>0.40890226678190966</v>
      </c>
      <c r="BB28" s="173">
        <f t="shared" si="29"/>
        <v>0.71031328860344978</v>
      </c>
      <c r="BC28" s="173">
        <f t="shared" si="30"/>
        <v>0.17426624440629823</v>
      </c>
      <c r="BD28" s="173"/>
      <c r="BE28" s="528">
        <f t="shared" si="31"/>
        <v>3.3440212755876803E-3</v>
      </c>
      <c r="BF28" s="528">
        <f t="shared" si="32"/>
        <v>0.38265153355637965</v>
      </c>
      <c r="BG28" s="528">
        <f t="shared" si="33"/>
        <v>0.20959774163895897</v>
      </c>
      <c r="BH28" s="528">
        <f t="shared" si="34"/>
        <v>5.9048648724102988E-2</v>
      </c>
      <c r="BI28">
        <f t="shared" si="35"/>
        <v>1.0779312427146462E-2</v>
      </c>
      <c r="BJ28" s="460">
        <f t="shared" si="101"/>
        <v>220.37705406610544</v>
      </c>
      <c r="BK28">
        <f t="shared" si="36"/>
        <v>0.446301693604917</v>
      </c>
      <c r="BL28" s="460">
        <f t="shared" si="102"/>
        <v>446.30169360491698</v>
      </c>
      <c r="BM28" s="173">
        <f t="shared" si="37"/>
        <v>0.1428875</v>
      </c>
      <c r="BN28" s="173">
        <f t="shared" si="38"/>
        <v>2.5515625E-2</v>
      </c>
      <c r="BO28" s="528"/>
      <c r="BQ28" s="460">
        <f t="shared" si="103"/>
        <v>168.40312499999999</v>
      </c>
      <c r="BR28" s="528">
        <f t="shared" si="39"/>
        <v>5.0160319133815204E-3</v>
      </c>
      <c r="BS28" s="528">
        <f t="shared" si="104"/>
        <v>1.5136349038999431E-2</v>
      </c>
      <c r="BT28" s="528">
        <f t="shared" si="40"/>
        <v>1.5184361969737835E-4</v>
      </c>
      <c r="BU28" s="528">
        <f t="shared" si="41"/>
        <v>0.2751364127268649</v>
      </c>
      <c r="BV28" s="528">
        <f t="shared" si="42"/>
        <v>0.30080225572039682</v>
      </c>
      <c r="BW28" s="625">
        <f t="shared" si="43"/>
        <v>3.526666666666668E-3</v>
      </c>
      <c r="BX28" s="460">
        <f t="shared" si="105"/>
        <v>304.32892238706347</v>
      </c>
      <c r="BY28" s="173">
        <f t="shared" si="106"/>
        <v>0.91903374099198043</v>
      </c>
      <c r="BZ28" s="5">
        <f t="shared" si="107"/>
        <v>4.2320000000000002</v>
      </c>
      <c r="CA28" s="173">
        <f t="shared" si="108"/>
        <v>0.82158265948089215</v>
      </c>
      <c r="CB28" s="5">
        <f t="shared" si="109"/>
        <v>82.158265948089209</v>
      </c>
      <c r="CC28">
        <f t="shared" si="110"/>
        <v>23</v>
      </c>
      <c r="CE28" s="562">
        <f t="shared" si="44"/>
        <v>-50</v>
      </c>
      <c r="CF28">
        <f t="shared" si="45"/>
        <v>-50</v>
      </c>
      <c r="CG28" s="173">
        <f t="shared" si="46"/>
        <v>0.33911649915626346</v>
      </c>
      <c r="CH28" s="173">
        <f t="shared" si="47"/>
        <v>0.11849142375219139</v>
      </c>
      <c r="CI28" s="170">
        <v>23</v>
      </c>
      <c r="CJ28" s="217">
        <f t="shared" si="133"/>
        <v>0.23</v>
      </c>
      <c r="CK28" s="217">
        <f t="shared" si="111"/>
        <v>5.7500000000000002E-2</v>
      </c>
      <c r="CL28" s="217">
        <f t="shared" si="48"/>
        <v>3.7719999999999998</v>
      </c>
      <c r="CM28" s="217">
        <f t="shared" si="134"/>
        <v>0.46</v>
      </c>
      <c r="CN28" s="541">
        <f t="shared" si="112"/>
        <v>24</v>
      </c>
      <c r="CO28" s="443">
        <f t="shared" si="49"/>
        <v>17.099999999999998</v>
      </c>
      <c r="CP28" s="443">
        <f t="shared" si="50"/>
        <v>41.099999999999994</v>
      </c>
      <c r="CQ28" s="443"/>
      <c r="CR28" s="217">
        <f t="shared" si="113"/>
        <v>0.41176470588235292</v>
      </c>
      <c r="CS28" s="172">
        <f t="shared" si="114"/>
        <v>29.36061381074169</v>
      </c>
      <c r="CT28" s="172">
        <f t="shared" si="51"/>
        <v>4.0172166427546641</v>
      </c>
      <c r="CU28" s="217">
        <f t="shared" si="52"/>
        <v>1.7902813299232738</v>
      </c>
      <c r="CV28" s="217">
        <f t="shared" si="53"/>
        <v>3.6700767263427112</v>
      </c>
      <c r="CW28" s="443">
        <f t="shared" si="54"/>
        <v>16.399999999999999</v>
      </c>
      <c r="CX28" s="217">
        <f t="shared" si="55"/>
        <v>0.8564761904761905</v>
      </c>
      <c r="CY28" s="217">
        <f t="shared" si="56"/>
        <v>0.42823809523809525</v>
      </c>
      <c r="CZ28" s="217">
        <f t="shared" si="57"/>
        <v>0.60103592314118637</v>
      </c>
      <c r="DA28" s="197">
        <f t="shared" si="58"/>
        <v>350</v>
      </c>
      <c r="DB28" s="443">
        <f t="shared" si="115"/>
        <v>350</v>
      </c>
      <c r="DD28" s="217">
        <f t="shared" si="59"/>
        <v>2.377476538060479</v>
      </c>
      <c r="DE28" s="173">
        <f t="shared" si="60"/>
        <v>1.668404588112617</v>
      </c>
      <c r="DF28" s="173">
        <f t="shared" si="61"/>
        <v>0.69415373374028577</v>
      </c>
      <c r="DG28" s="173"/>
      <c r="DH28" s="173">
        <f t="shared" si="62"/>
        <v>0.93567251461988332</v>
      </c>
      <c r="DI28" s="545">
        <f t="shared" si="63"/>
        <v>368.71874999999989</v>
      </c>
      <c r="DJ28" s="528">
        <f t="shared" si="64"/>
        <v>0.21832358674463945</v>
      </c>
      <c r="DL28" s="173">
        <f t="shared" si="65"/>
        <v>1.4195908196512457</v>
      </c>
      <c r="DM28" s="173">
        <f t="shared" si="66"/>
        <v>1.4195908196512457</v>
      </c>
      <c r="DN28" s="173">
        <f t="shared" si="67"/>
        <v>1.2638944343095646</v>
      </c>
      <c r="DP28" s="545">
        <f t="shared" si="68"/>
        <v>230</v>
      </c>
      <c r="DQ28" s="460">
        <f t="shared" si="69"/>
        <v>350</v>
      </c>
      <c r="DS28">
        <f t="shared" si="116"/>
        <v>230</v>
      </c>
      <c r="DT28" s="460">
        <f t="shared" si="70"/>
        <v>350</v>
      </c>
      <c r="DU28" s="460"/>
      <c r="DV28" s="5">
        <f t="shared" si="117"/>
        <v>2.8571428571428572</v>
      </c>
      <c r="DW28" s="5">
        <f t="shared" si="71"/>
        <v>0.70979540982562295</v>
      </c>
      <c r="DX28" s="5">
        <f t="shared" si="118"/>
        <v>2.1473474473172343</v>
      </c>
      <c r="DY28" s="173">
        <f t="shared" si="119"/>
        <v>0.24842839343896803</v>
      </c>
      <c r="EA28" s="5">
        <f t="shared" si="72"/>
        <v>0.9954447820725203</v>
      </c>
      <c r="EB28" s="5">
        <f t="shared" si="73"/>
        <v>0.51016545081216647</v>
      </c>
      <c r="EC28" s="5">
        <f t="shared" si="74"/>
        <v>0.28124286705835433</v>
      </c>
      <c r="ED28" s="5"/>
      <c r="EE28" s="173">
        <f t="shared" si="120"/>
        <v>0.40851044964072669</v>
      </c>
      <c r="EF28" s="173">
        <f t="shared" si="75"/>
        <v>0.71053870005817632</v>
      </c>
      <c r="EG28" s="173">
        <f t="shared" si="76"/>
        <v>0.17432154621226414</v>
      </c>
      <c r="EH28" s="173"/>
      <c r="EI28" s="528">
        <f t="shared" si="77"/>
        <v>3.3376157493133739E-3</v>
      </c>
      <c r="EJ28" s="528">
        <f t="shared" si="78"/>
        <v>0.40841627881366327</v>
      </c>
      <c r="EK28" s="528">
        <f t="shared" si="79"/>
        <v>4.3749999999999997E-2</v>
      </c>
      <c r="EL28" s="528">
        <f t="shared" si="80"/>
        <v>5.9122349999999983E-2</v>
      </c>
      <c r="EM28">
        <f t="shared" si="81"/>
        <v>1.0800000000000001E-2</v>
      </c>
      <c r="EN28" s="460">
        <f t="shared" si="121"/>
        <v>54.550000000000004</v>
      </c>
      <c r="EO28">
        <f t="shared" si="82"/>
        <v>0.52674511891370235</v>
      </c>
      <c r="EP28" s="460">
        <f t="shared" si="122"/>
        <v>526.7451189137023</v>
      </c>
      <c r="EQ28" s="173">
        <f t="shared" si="83"/>
        <v>0.1428875</v>
      </c>
      <c r="ER28" s="173">
        <f t="shared" si="84"/>
        <v>2.5515625E-2</v>
      </c>
      <c r="ES28" s="528"/>
      <c r="EU28" s="460">
        <f t="shared" si="123"/>
        <v>168.40312499999999</v>
      </c>
      <c r="EV28" s="528">
        <f t="shared" si="85"/>
        <v>5.0064236239700608E-3</v>
      </c>
      <c r="EW28" s="528">
        <f t="shared" si="124"/>
        <v>1.514595732841089E-2</v>
      </c>
      <c r="EX28" s="528">
        <f t="shared" si="86"/>
        <v>1.5194000736917272E-4</v>
      </c>
      <c r="EY28" s="528">
        <f t="shared" si="87"/>
        <v>0.2751364127268649</v>
      </c>
      <c r="EZ28" s="528">
        <f t="shared" si="88"/>
        <v>0.30080237775883273</v>
      </c>
      <c r="FA28" s="625">
        <f t="shared" si="89"/>
        <v>3.526666666666668E-3</v>
      </c>
      <c r="FB28" s="460">
        <f t="shared" si="125"/>
        <v>304.32904442549943</v>
      </c>
      <c r="FC28" s="173">
        <f t="shared" si="126"/>
        <v>0.9994772883392018</v>
      </c>
      <c r="FD28" s="5">
        <f t="shared" si="127"/>
        <v>4.2320000000000002</v>
      </c>
      <c r="FE28" s="173">
        <f t="shared" si="128"/>
        <v>0.80894932095624206</v>
      </c>
      <c r="FF28" s="5">
        <f t="shared" si="129"/>
        <v>80.894932095624199</v>
      </c>
      <c r="FG28">
        <f t="shared" si="130"/>
        <v>23</v>
      </c>
      <c r="FI28" s="562">
        <f t="shared" si="90"/>
        <v>-50</v>
      </c>
      <c r="FJ28">
        <f t="shared" si="91"/>
        <v>-50</v>
      </c>
      <c r="FL28">
        <f t="shared" si="92"/>
        <v>0.33911649915626346</v>
      </c>
    </row>
    <row r="29" spans="5:168">
      <c r="E29" s="170">
        <v>24</v>
      </c>
      <c r="F29" s="217">
        <f t="shared" si="131"/>
        <v>0.24</v>
      </c>
      <c r="G29" s="217">
        <f t="shared" si="93"/>
        <v>0.06</v>
      </c>
      <c r="H29" s="217">
        <f t="shared" si="0"/>
        <v>3.9359999999999995</v>
      </c>
      <c r="I29" s="217">
        <f t="shared" si="132"/>
        <v>0.48</v>
      </c>
      <c r="J29" s="541">
        <f t="shared" si="1"/>
        <v>23.953038849341009</v>
      </c>
      <c r="K29" s="443">
        <f t="shared" si="2"/>
        <v>17.120784609690823</v>
      </c>
      <c r="L29" s="172">
        <f t="shared" si="3"/>
        <v>41.073823459031829</v>
      </c>
      <c r="M29" s="443"/>
      <c r="N29" s="217">
        <f t="shared" si="4"/>
        <v>0.41682958068823489</v>
      </c>
      <c r="O29" s="172">
        <f t="shared" si="94"/>
        <v>29.663604400795101</v>
      </c>
      <c r="P29" s="172">
        <f t="shared" si="5"/>
        <v>4.058672821048706</v>
      </c>
      <c r="Q29" s="217">
        <f t="shared" si="6"/>
        <v>1.8087563659021404</v>
      </c>
      <c r="R29" s="217">
        <f t="shared" si="7"/>
        <v>3.7079505500993877</v>
      </c>
      <c r="S29" s="443">
        <f t="shared" si="8"/>
        <v>16.399999999999999</v>
      </c>
      <c r="T29" s="217">
        <f t="shared" si="9"/>
        <v>0.88458569112041763</v>
      </c>
      <c r="U29" s="217">
        <f t="shared" si="10"/>
        <v>0.4431599831742038</v>
      </c>
      <c r="V29" s="217">
        <f t="shared" si="11"/>
        <v>0.62000828440050715</v>
      </c>
      <c r="W29" s="197">
        <f t="shared" si="12"/>
        <v>350</v>
      </c>
      <c r="X29" s="443">
        <f t="shared" si="95"/>
        <v>350</v>
      </c>
      <c r="Z29" s="217">
        <f t="shared" si="13"/>
        <v>2.3772226523285265</v>
      </c>
      <c r="AA29" s="173">
        <f t="shared" si="14"/>
        <v>1.6662011980336147</v>
      </c>
      <c r="AB29" s="173">
        <f t="shared" si="15"/>
        <v>0.69316296547792655</v>
      </c>
      <c r="AC29" s="173"/>
      <c r="AD29" s="173">
        <f t="shared" si="16"/>
        <v>0.93453660943456851</v>
      </c>
      <c r="AE29" s="545">
        <f t="shared" si="17"/>
        <v>385.21765371804338</v>
      </c>
      <c r="AF29" s="528">
        <f t="shared" si="18"/>
        <v>0.21805854220139934</v>
      </c>
      <c r="AH29" s="173">
        <f t="shared" si="19"/>
        <v>1.450123147479945</v>
      </c>
      <c r="AI29" s="173">
        <f t="shared" si="20"/>
        <v>1.450123147479945</v>
      </c>
      <c r="AJ29" s="173">
        <f t="shared" si="21"/>
        <v>1.2865109734419344</v>
      </c>
      <c r="AL29" s="545">
        <f t="shared" si="22"/>
        <v>240</v>
      </c>
      <c r="AM29" s="460">
        <f t="shared" si="23"/>
        <v>350</v>
      </c>
      <c r="AO29">
        <f t="shared" si="96"/>
        <v>240</v>
      </c>
      <c r="AP29" s="460">
        <f t="shared" si="24"/>
        <v>350</v>
      </c>
      <c r="AQ29" s="460"/>
      <c r="AR29" s="5">
        <f t="shared" si="97"/>
        <v>2.8571428571428572</v>
      </c>
      <c r="AS29" s="5">
        <f t="shared" si="25"/>
        <v>0.7264830938241511</v>
      </c>
      <c r="AT29" s="5">
        <f t="shared" si="98"/>
        <v>2.1306597633187061</v>
      </c>
      <c r="AU29" s="173">
        <f t="shared" si="99"/>
        <v>0.2542690828384529</v>
      </c>
      <c r="AW29" s="5">
        <f t="shared" si="26"/>
        <v>1.0631459909621725</v>
      </c>
      <c r="AX29" s="5">
        <f t="shared" si="27"/>
        <v>0.54486232036811333</v>
      </c>
      <c r="AY29" s="5">
        <f t="shared" si="28"/>
        <v>0.29176106078405251</v>
      </c>
      <c r="AZ29" s="5"/>
      <c r="BA29" s="173">
        <f t="shared" si="100"/>
        <v>0.42217356503953646</v>
      </c>
      <c r="BB29" s="173">
        <f t="shared" si="29"/>
        <v>0.72299506356142507</v>
      </c>
      <c r="BC29" s="173">
        <f t="shared" si="30"/>
        <v>0.17737755504878575</v>
      </c>
      <c r="BD29" s="173"/>
      <c r="BE29" s="528">
        <f t="shared" si="31"/>
        <v>3.5646103803638348E-3</v>
      </c>
      <c r="BF29" s="528">
        <f t="shared" si="32"/>
        <v>0.39087629538199492</v>
      </c>
      <c r="BG29" s="528">
        <f t="shared" si="33"/>
        <v>0.20958908993173384</v>
      </c>
      <c r="BH29" s="528">
        <f t="shared" si="34"/>
        <v>5.9047064074029966E-2</v>
      </c>
      <c r="BI29">
        <f t="shared" si="35"/>
        <v>1.0778867482203454E-2</v>
      </c>
      <c r="BJ29" s="460">
        <f t="shared" si="101"/>
        <v>220.36795741393729</v>
      </c>
      <c r="BK29">
        <f t="shared" si="36"/>
        <v>0.45483563833173801</v>
      </c>
      <c r="BL29" s="460">
        <f t="shared" si="102"/>
        <v>454.83563833173804</v>
      </c>
      <c r="BM29" s="173">
        <f t="shared" si="37"/>
        <v>0.14909999999999998</v>
      </c>
      <c r="BN29" s="173">
        <f t="shared" si="38"/>
        <v>2.6624999999999999E-2</v>
      </c>
      <c r="BO29" s="528"/>
      <c r="BQ29" s="460">
        <f t="shared" si="103"/>
        <v>175.72499999999999</v>
      </c>
      <c r="BR29" s="528">
        <f t="shared" si="39"/>
        <v>5.346915570545752E-3</v>
      </c>
      <c r="BS29" s="528">
        <f t="shared" si="104"/>
        <v>1.5681655858025674E-2</v>
      </c>
      <c r="BT29" s="528">
        <f t="shared" si="40"/>
        <v>1.5731398517542509E-4</v>
      </c>
      <c r="BU29" s="528">
        <f t="shared" si="41"/>
        <v>0.29016987837653591</v>
      </c>
      <c r="BV29" s="528">
        <f t="shared" si="42"/>
        <v>0.31697761239958361</v>
      </c>
      <c r="BW29" s="625">
        <f t="shared" si="43"/>
        <v>3.6799999999999992E-3</v>
      </c>
      <c r="BX29" s="460">
        <f t="shared" si="105"/>
        <v>320.65761239958363</v>
      </c>
      <c r="BY29" s="173">
        <f t="shared" si="106"/>
        <v>0.95121825073132171</v>
      </c>
      <c r="BZ29" s="5">
        <f t="shared" si="107"/>
        <v>4.4159999999999995</v>
      </c>
      <c r="CA29" s="173">
        <f t="shared" si="108"/>
        <v>0.8227725785882265</v>
      </c>
      <c r="CB29" s="5">
        <f t="shared" si="109"/>
        <v>82.277257858822651</v>
      </c>
      <c r="CC29">
        <f t="shared" si="110"/>
        <v>24</v>
      </c>
      <c r="CE29" s="562">
        <f t="shared" si="44"/>
        <v>-50</v>
      </c>
      <c r="CF29">
        <f t="shared" si="45"/>
        <v>-50</v>
      </c>
      <c r="CG29" s="173">
        <f t="shared" si="46"/>
        <v>0.34641016151377552</v>
      </c>
      <c r="CH29" s="173">
        <f t="shared" si="47"/>
        <v>0.12103991796954627</v>
      </c>
      <c r="CI29" s="170">
        <v>24</v>
      </c>
      <c r="CJ29" s="217">
        <f t="shared" si="133"/>
        <v>0.24</v>
      </c>
      <c r="CK29" s="217">
        <f t="shared" si="111"/>
        <v>0.06</v>
      </c>
      <c r="CL29" s="217">
        <f t="shared" si="48"/>
        <v>3.9359999999999995</v>
      </c>
      <c r="CM29" s="217">
        <f t="shared" si="134"/>
        <v>0.48</v>
      </c>
      <c r="CN29" s="541">
        <f t="shared" si="112"/>
        <v>24</v>
      </c>
      <c r="CO29" s="443">
        <f t="shared" si="49"/>
        <v>17.099999999999998</v>
      </c>
      <c r="CP29" s="443">
        <f t="shared" si="50"/>
        <v>41.099999999999994</v>
      </c>
      <c r="CQ29" s="443"/>
      <c r="CR29" s="217">
        <f t="shared" si="113"/>
        <v>0.41176470588235292</v>
      </c>
      <c r="CS29" s="172">
        <f t="shared" si="114"/>
        <v>29.36061381074169</v>
      </c>
      <c r="CT29" s="172">
        <f t="shared" si="51"/>
        <v>4.0172166427546641</v>
      </c>
      <c r="CU29" s="217">
        <f t="shared" si="52"/>
        <v>1.7902813299232738</v>
      </c>
      <c r="CV29" s="217">
        <f t="shared" si="53"/>
        <v>3.6700767263427112</v>
      </c>
      <c r="CW29" s="443">
        <f t="shared" si="54"/>
        <v>16.399999999999999</v>
      </c>
      <c r="CX29" s="217">
        <f t="shared" si="55"/>
        <v>0.89371428571428557</v>
      </c>
      <c r="CY29" s="217">
        <f t="shared" si="56"/>
        <v>0.44685714285714279</v>
      </c>
      <c r="CZ29" s="217">
        <f t="shared" si="57"/>
        <v>0.62716791979949871</v>
      </c>
      <c r="DA29" s="197">
        <f t="shared" si="58"/>
        <v>350</v>
      </c>
      <c r="DB29" s="443">
        <f t="shared" si="115"/>
        <v>350</v>
      </c>
      <c r="DD29" s="217">
        <f t="shared" si="59"/>
        <v>2.377476538060479</v>
      </c>
      <c r="DE29" s="173">
        <f t="shared" si="60"/>
        <v>1.668404588112617</v>
      </c>
      <c r="DF29" s="173">
        <f t="shared" si="61"/>
        <v>0.69415373374028577</v>
      </c>
      <c r="DG29" s="173"/>
      <c r="DH29" s="173">
        <f t="shared" si="62"/>
        <v>0.93567251461988332</v>
      </c>
      <c r="DI29" s="545">
        <f t="shared" si="63"/>
        <v>384.74999999999983</v>
      </c>
      <c r="DJ29" s="528">
        <f t="shared" si="64"/>
        <v>0.21832358674463945</v>
      </c>
      <c r="DL29" s="173">
        <f t="shared" si="65"/>
        <v>1.450123147479945</v>
      </c>
      <c r="DM29" s="173">
        <f t="shared" si="66"/>
        <v>1.450123147479945</v>
      </c>
      <c r="DN29" s="173">
        <f t="shared" si="67"/>
        <v>1.2865109734419344</v>
      </c>
      <c r="DP29" s="545">
        <f t="shared" si="68"/>
        <v>240</v>
      </c>
      <c r="DQ29" s="460">
        <f t="shared" si="69"/>
        <v>350</v>
      </c>
      <c r="DS29">
        <f t="shared" si="116"/>
        <v>240</v>
      </c>
      <c r="DT29" s="460">
        <f t="shared" si="70"/>
        <v>350</v>
      </c>
      <c r="DU29" s="460"/>
      <c r="DV29" s="5">
        <f t="shared" si="117"/>
        <v>2.8571428571428572</v>
      </c>
      <c r="DW29" s="5">
        <f t="shared" si="71"/>
        <v>0.72506157373997249</v>
      </c>
      <c r="DX29" s="5">
        <f t="shared" si="118"/>
        <v>2.1320812834028846</v>
      </c>
      <c r="DY29" s="173">
        <f t="shared" si="119"/>
        <v>0.25377155080899039</v>
      </c>
      <c r="EA29" s="5">
        <f t="shared" si="72"/>
        <v>1.0610657176682525</v>
      </c>
      <c r="EB29" s="5">
        <f t="shared" si="73"/>
        <v>0.54379618030497934</v>
      </c>
      <c r="EC29" s="5">
        <f t="shared" si="74"/>
        <v>0.29138444206506081</v>
      </c>
      <c r="ED29" s="5"/>
      <c r="EE29" s="173">
        <f t="shared" si="120"/>
        <v>0.42176032620143378</v>
      </c>
      <c r="EF29" s="173">
        <f t="shared" si="75"/>
        <v>0.72323620498066943</v>
      </c>
      <c r="EG29" s="173">
        <f t="shared" si="76"/>
        <v>0.17743671599956162</v>
      </c>
      <c r="EH29" s="173"/>
      <c r="EI29" s="528">
        <f t="shared" si="77"/>
        <v>3.5576354551507968E-3</v>
      </c>
      <c r="EJ29" s="528">
        <f t="shared" si="78"/>
        <v>0.41720042952998015</v>
      </c>
      <c r="EK29" s="528">
        <f t="shared" si="79"/>
        <v>4.3749999999999997E-2</v>
      </c>
      <c r="EL29" s="528">
        <f t="shared" si="80"/>
        <v>5.9122349999999983E-2</v>
      </c>
      <c r="EM29">
        <f t="shared" si="81"/>
        <v>1.0800000000000001E-2</v>
      </c>
      <c r="EN29" s="460">
        <f t="shared" si="121"/>
        <v>54.550000000000004</v>
      </c>
      <c r="EO29">
        <f t="shared" si="82"/>
        <v>0.53584392230915834</v>
      </c>
      <c r="EP29" s="460">
        <f t="shared" si="122"/>
        <v>535.8439223091583</v>
      </c>
      <c r="EQ29" s="173">
        <f t="shared" si="83"/>
        <v>0.14909999999999998</v>
      </c>
      <c r="ER29" s="173">
        <f t="shared" si="84"/>
        <v>2.6624999999999999E-2</v>
      </c>
      <c r="ES29" s="528"/>
      <c r="EU29" s="460">
        <f t="shared" si="123"/>
        <v>175.72499999999999</v>
      </c>
      <c r="EV29" s="528">
        <f t="shared" si="85"/>
        <v>5.336453182726195E-3</v>
      </c>
      <c r="EW29" s="528">
        <f t="shared" si="124"/>
        <v>1.5692118245845224E-2</v>
      </c>
      <c r="EX29" s="528">
        <f t="shared" si="86"/>
        <v>1.5741894092354545E-4</v>
      </c>
      <c r="EY29" s="528">
        <f t="shared" si="87"/>
        <v>0.29016987837653591</v>
      </c>
      <c r="EZ29" s="528">
        <f t="shared" si="88"/>
        <v>0.31697774543167445</v>
      </c>
      <c r="FA29" s="625">
        <f t="shared" si="89"/>
        <v>3.6799999999999992E-3</v>
      </c>
      <c r="FB29" s="460">
        <f t="shared" si="125"/>
        <v>320.65774543167447</v>
      </c>
      <c r="FC29" s="173">
        <f t="shared" si="126"/>
        <v>1.0322266677408327</v>
      </c>
      <c r="FD29" s="5">
        <f t="shared" si="127"/>
        <v>4.4159999999999995</v>
      </c>
      <c r="FE29" s="173">
        <f t="shared" si="128"/>
        <v>0.8105389642004639</v>
      </c>
      <c r="FF29" s="5">
        <f t="shared" si="129"/>
        <v>81.053896420046385</v>
      </c>
      <c r="FG29">
        <f t="shared" si="130"/>
        <v>24</v>
      </c>
      <c r="FI29" s="562">
        <f t="shared" si="90"/>
        <v>-50</v>
      </c>
      <c r="FJ29">
        <f t="shared" si="91"/>
        <v>-50</v>
      </c>
      <c r="FL29">
        <f t="shared" si="92"/>
        <v>0.34641016151377552</v>
      </c>
    </row>
    <row r="30" spans="5:168">
      <c r="E30" s="170">
        <v>25</v>
      </c>
      <c r="F30" s="217">
        <f t="shared" si="131"/>
        <v>0.25</v>
      </c>
      <c r="G30" s="217">
        <f t="shared" si="93"/>
        <v>6.25E-2</v>
      </c>
      <c r="H30" s="217">
        <f t="shared" si="0"/>
        <v>4.0999999999999996</v>
      </c>
      <c r="I30" s="217">
        <f t="shared" si="132"/>
        <v>0.5</v>
      </c>
      <c r="J30" s="541">
        <f t="shared" si="1"/>
        <v>23.952070476313125</v>
      </c>
      <c r="K30" s="443">
        <f t="shared" si="2"/>
        <v>17.121213203435595</v>
      </c>
      <c r="L30" s="172">
        <f t="shared" si="3"/>
        <v>41.07328367974872</v>
      </c>
      <c r="M30" s="443"/>
      <c r="N30" s="217">
        <f t="shared" si="4"/>
        <v>0.41684549345825128</v>
      </c>
      <c r="O30" s="172">
        <f t="shared" si="94"/>
        <v>29.663537544845497</v>
      </c>
      <c r="P30" s="172">
        <f t="shared" si="5"/>
        <v>4.0586636735957553</v>
      </c>
      <c r="Q30" s="217">
        <f t="shared" si="6"/>
        <v>1.8087522893198476</v>
      </c>
      <c r="R30" s="217">
        <f t="shared" si="7"/>
        <v>3.7079421931056871</v>
      </c>
      <c r="S30" s="443">
        <f t="shared" si="8"/>
        <v>16.399999999999999</v>
      </c>
      <c r="T30" s="217">
        <f t="shared" si="9"/>
        <v>0.92144550500797995</v>
      </c>
      <c r="U30" s="217">
        <f t="shared" si="10"/>
        <v>0.46164468625084748</v>
      </c>
      <c r="V30" s="217">
        <f t="shared" si="11"/>
        <v>0.64582725118316731</v>
      </c>
      <c r="W30" s="197">
        <f t="shared" si="12"/>
        <v>350</v>
      </c>
      <c r="X30" s="443">
        <f t="shared" si="95"/>
        <v>350</v>
      </c>
      <c r="Z30" s="217">
        <f t="shared" si="13"/>
        <v>2.3772172945346566</v>
      </c>
      <c r="AA30" s="173">
        <f t="shared" si="14"/>
        <v>1.6661557329764249</v>
      </c>
      <c r="AB30" s="173">
        <f t="shared" si="15"/>
        <v>0.69314248916843424</v>
      </c>
      <c r="AC30" s="173"/>
      <c r="AD30" s="173">
        <f t="shared" si="16"/>
        <v>0.93451321526615849</v>
      </c>
      <c r="AE30" s="545">
        <f t="shared" si="17"/>
        <v>401.27843445552162</v>
      </c>
      <c r="AF30" s="528">
        <f t="shared" si="18"/>
        <v>0.21805308356210371</v>
      </c>
      <c r="AH30" s="173">
        <f t="shared" si="19"/>
        <v>1.4800257398019097</v>
      </c>
      <c r="AI30" s="173">
        <f t="shared" si="20"/>
        <v>1.4800257398019097</v>
      </c>
      <c r="AJ30" s="173">
        <f t="shared" si="21"/>
        <v>1.3086610418285749</v>
      </c>
      <c r="AL30" s="545">
        <f t="shared" si="22"/>
        <v>250</v>
      </c>
      <c r="AM30" s="460">
        <f t="shared" si="23"/>
        <v>350</v>
      </c>
      <c r="AO30">
        <f t="shared" si="96"/>
        <v>250</v>
      </c>
      <c r="AP30" s="460">
        <f t="shared" si="24"/>
        <v>350</v>
      </c>
      <c r="AQ30" s="460"/>
      <c r="AR30" s="5">
        <f t="shared" si="97"/>
        <v>2.8571428571428572</v>
      </c>
      <c r="AS30" s="5">
        <f t="shared" si="25"/>
        <v>0.74149367985479941</v>
      </c>
      <c r="AT30" s="5">
        <f t="shared" si="98"/>
        <v>2.1156491772880579</v>
      </c>
      <c r="AU30" s="173">
        <f t="shared" si="99"/>
        <v>0.25952278794917977</v>
      </c>
      <c r="AW30" s="5">
        <f t="shared" si="26"/>
        <v>1.1303257314859749</v>
      </c>
      <c r="AX30" s="5">
        <f t="shared" si="27"/>
        <v>0.57929193738656204</v>
      </c>
      <c r="AY30" s="5">
        <f t="shared" si="28"/>
        <v>0.30178885911133646</v>
      </c>
      <c r="AZ30" s="5"/>
      <c r="BA30" s="173">
        <f t="shared" si="100"/>
        <v>0.43530774091006746</v>
      </c>
      <c r="BB30" s="173">
        <f t="shared" si="29"/>
        <v>0.73529987138752007</v>
      </c>
      <c r="BC30" s="173">
        <f t="shared" si="30"/>
        <v>0.1803963816460056</v>
      </c>
      <c r="BD30" s="173"/>
      <c r="BE30" s="528">
        <f t="shared" si="31"/>
        <v>3.7898565859245288E-3</v>
      </c>
      <c r="BF30" s="528">
        <f t="shared" si="32"/>
        <v>0.39893120573390306</v>
      </c>
      <c r="BG30" s="528">
        <f t="shared" si="33"/>
        <v>0.20958061666773983</v>
      </c>
      <c r="BH30" s="528">
        <f t="shared" si="34"/>
        <v>5.9045512128298935E-2</v>
      </c>
      <c r="BI30">
        <f t="shared" si="35"/>
        <v>1.0778431714340906E-2</v>
      </c>
      <c r="BJ30" s="460">
        <f t="shared" si="101"/>
        <v>220.35904838208074</v>
      </c>
      <c r="BK30">
        <f t="shared" si="36"/>
        <v>0.46320693964444187</v>
      </c>
      <c r="BL30" s="460">
        <f t="shared" si="102"/>
        <v>463.20693964444189</v>
      </c>
      <c r="BM30" s="173">
        <f t="shared" si="37"/>
        <v>0.15531249999999999</v>
      </c>
      <c r="BN30" s="173">
        <f t="shared" si="38"/>
        <v>2.7734374999999999E-2</v>
      </c>
      <c r="BO30" s="528"/>
      <c r="BQ30" s="460">
        <f t="shared" si="103"/>
        <v>183.046875</v>
      </c>
      <c r="BR30" s="528">
        <f t="shared" si="39"/>
        <v>5.6847848788867932E-3</v>
      </c>
      <c r="BS30" s="528">
        <f t="shared" si="104"/>
        <v>1.6219977025875104E-2</v>
      </c>
      <c r="BT30" s="528">
        <f t="shared" si="40"/>
        <v>1.6271427255485656E-4</v>
      </c>
      <c r="BU30" s="528">
        <f t="shared" si="41"/>
        <v>0.30536080117183378</v>
      </c>
      <c r="BV30" s="528">
        <f t="shared" si="42"/>
        <v>0.33331290159294608</v>
      </c>
      <c r="BW30" s="625">
        <f t="shared" si="43"/>
        <v>3.8333333333333318E-3</v>
      </c>
      <c r="BX30" s="460">
        <f t="shared" si="105"/>
        <v>337.14623492627942</v>
      </c>
      <c r="BY30" s="173">
        <f t="shared" si="106"/>
        <v>0.98340004957072136</v>
      </c>
      <c r="BZ30" s="5">
        <f t="shared" si="107"/>
        <v>4.5999999999999996</v>
      </c>
      <c r="CA30" s="173">
        <f t="shared" si="108"/>
        <v>0.82387075243760655</v>
      </c>
      <c r="CB30" s="5">
        <f t="shared" si="109"/>
        <v>82.387075243760648</v>
      </c>
      <c r="CC30">
        <f t="shared" si="110"/>
        <v>25</v>
      </c>
      <c r="CE30" s="562">
        <f t="shared" si="44"/>
        <v>-50</v>
      </c>
      <c r="CF30">
        <f t="shared" si="45"/>
        <v>-50</v>
      </c>
      <c r="CG30" s="173">
        <f t="shared" si="46"/>
        <v>0.35355339059327379</v>
      </c>
      <c r="CH30" s="173">
        <f t="shared" si="47"/>
        <v>0.12353584897238372</v>
      </c>
      <c r="CI30" s="170">
        <v>25</v>
      </c>
      <c r="CJ30" s="217">
        <f t="shared" si="133"/>
        <v>0.25</v>
      </c>
      <c r="CK30" s="217">
        <f t="shared" si="111"/>
        <v>6.25E-2</v>
      </c>
      <c r="CL30" s="217">
        <f t="shared" si="48"/>
        <v>4.0999999999999996</v>
      </c>
      <c r="CM30" s="217">
        <f t="shared" si="134"/>
        <v>0.5</v>
      </c>
      <c r="CN30" s="541">
        <f t="shared" si="112"/>
        <v>24</v>
      </c>
      <c r="CO30" s="443">
        <f t="shared" si="49"/>
        <v>17.099999999999998</v>
      </c>
      <c r="CP30" s="443">
        <f t="shared" si="50"/>
        <v>41.099999999999994</v>
      </c>
      <c r="CQ30" s="443"/>
      <c r="CR30" s="217">
        <f t="shared" si="113"/>
        <v>0.41176470588235292</v>
      </c>
      <c r="CS30" s="172">
        <f t="shared" si="114"/>
        <v>29.36061381074169</v>
      </c>
      <c r="CT30" s="172">
        <f t="shared" si="51"/>
        <v>4.0172166427546641</v>
      </c>
      <c r="CU30" s="217">
        <f t="shared" si="52"/>
        <v>1.7902813299232738</v>
      </c>
      <c r="CV30" s="217">
        <f t="shared" si="53"/>
        <v>3.6700767263427112</v>
      </c>
      <c r="CW30" s="443">
        <f t="shared" si="54"/>
        <v>16.399999999999999</v>
      </c>
      <c r="CX30" s="217">
        <f t="shared" si="55"/>
        <v>0.93095238095238086</v>
      </c>
      <c r="CY30" s="217">
        <f t="shared" si="56"/>
        <v>0.46547619047619049</v>
      </c>
      <c r="CZ30" s="217">
        <f t="shared" si="57"/>
        <v>0.65329991645781127</v>
      </c>
      <c r="DA30" s="197">
        <f t="shared" si="58"/>
        <v>350</v>
      </c>
      <c r="DB30" s="443">
        <f t="shared" si="115"/>
        <v>350</v>
      </c>
      <c r="DD30" s="217">
        <f t="shared" si="59"/>
        <v>2.377476538060479</v>
      </c>
      <c r="DE30" s="173">
        <f t="shared" si="60"/>
        <v>1.668404588112617</v>
      </c>
      <c r="DF30" s="173">
        <f t="shared" si="61"/>
        <v>0.69415373374028577</v>
      </c>
      <c r="DG30" s="173"/>
      <c r="DH30" s="173">
        <f t="shared" si="62"/>
        <v>0.93567251461988332</v>
      </c>
      <c r="DI30" s="545">
        <f t="shared" si="63"/>
        <v>400.78124999999983</v>
      </c>
      <c r="DJ30" s="528">
        <f t="shared" si="64"/>
        <v>0.21832358674463945</v>
      </c>
      <c r="DL30" s="173">
        <f t="shared" si="65"/>
        <v>1.4800257398019097</v>
      </c>
      <c r="DM30" s="173">
        <f t="shared" si="66"/>
        <v>1.4800257398019097</v>
      </c>
      <c r="DN30" s="173">
        <f t="shared" si="67"/>
        <v>1.3086610418285749</v>
      </c>
      <c r="DP30" s="545">
        <f t="shared" si="68"/>
        <v>250</v>
      </c>
      <c r="DQ30" s="460">
        <f t="shared" si="69"/>
        <v>350</v>
      </c>
      <c r="DS30">
        <f t="shared" si="116"/>
        <v>250</v>
      </c>
      <c r="DT30" s="460">
        <f t="shared" si="70"/>
        <v>350</v>
      </c>
      <c r="DU30" s="460"/>
      <c r="DV30" s="5">
        <f t="shared" si="117"/>
        <v>2.8571428571428572</v>
      </c>
      <c r="DW30" s="5">
        <f t="shared" si="71"/>
        <v>0.74001286990095483</v>
      </c>
      <c r="DX30" s="5">
        <f t="shared" si="118"/>
        <v>2.1171299872419023</v>
      </c>
      <c r="DY30" s="173">
        <f t="shared" si="119"/>
        <v>0.25900450446533418</v>
      </c>
      <c r="EA30" s="5">
        <f t="shared" si="72"/>
        <v>1.1280683992392606</v>
      </c>
      <c r="EB30" s="5">
        <f t="shared" si="73"/>
        <v>0.57813505461012094</v>
      </c>
      <c r="EC30" s="5">
        <f t="shared" si="74"/>
        <v>0.3013969773504096</v>
      </c>
      <c r="ED30" s="5"/>
      <c r="EE30" s="173">
        <f t="shared" si="120"/>
        <v>0.43487285508042406</v>
      </c>
      <c r="EF30" s="173">
        <f t="shared" si="75"/>
        <v>0.73555715622440276</v>
      </c>
      <c r="EG30" s="173">
        <f t="shared" si="76"/>
        <v>0.18045950317700554</v>
      </c>
      <c r="EH30" s="173"/>
      <c r="EI30" s="528">
        <f t="shared" si="77"/>
        <v>3.7822880017159902E-3</v>
      </c>
      <c r="EJ30" s="528">
        <f t="shared" si="78"/>
        <v>0.42580340534100936</v>
      </c>
      <c r="EK30" s="528">
        <f t="shared" si="79"/>
        <v>4.3749999999999997E-2</v>
      </c>
      <c r="EL30" s="528">
        <f t="shared" si="80"/>
        <v>5.9122349999999983E-2</v>
      </c>
      <c r="EM30">
        <f t="shared" si="81"/>
        <v>1.0800000000000001E-2</v>
      </c>
      <c r="EN30" s="460">
        <f t="shared" si="121"/>
        <v>54.550000000000004</v>
      </c>
      <c r="EO30">
        <f t="shared" si="82"/>
        <v>0.54476882939464233</v>
      </c>
      <c r="EP30" s="460">
        <f t="shared" si="122"/>
        <v>544.76882939464235</v>
      </c>
      <c r="EQ30" s="173">
        <f t="shared" si="83"/>
        <v>0.15531249999999999</v>
      </c>
      <c r="ER30" s="173">
        <f t="shared" si="84"/>
        <v>2.7734374999999999E-2</v>
      </c>
      <c r="ES30" s="528"/>
      <c r="EU30" s="460">
        <f t="shared" si="123"/>
        <v>183.046875</v>
      </c>
      <c r="EV30" s="528">
        <f t="shared" si="85"/>
        <v>5.6734320025739844E-3</v>
      </c>
      <c r="EW30" s="528">
        <f t="shared" si="124"/>
        <v>1.623132990218791E-2</v>
      </c>
      <c r="EX30" s="528">
        <f t="shared" si="86"/>
        <v>1.6282816143445836E-4</v>
      </c>
      <c r="EY30" s="528">
        <f t="shared" si="87"/>
        <v>0.30536080117183378</v>
      </c>
      <c r="EZ30" s="528">
        <f t="shared" si="88"/>
        <v>0.33331304610713386</v>
      </c>
      <c r="FA30" s="625">
        <f t="shared" si="89"/>
        <v>3.8333333333333318E-3</v>
      </c>
      <c r="FB30" s="460">
        <f t="shared" si="125"/>
        <v>337.14637944046723</v>
      </c>
      <c r="FC30" s="173">
        <f t="shared" si="126"/>
        <v>1.0649620838351095</v>
      </c>
      <c r="FD30" s="5">
        <f t="shared" si="127"/>
        <v>4.5999999999999996</v>
      </c>
      <c r="FE30" s="173">
        <f t="shared" si="128"/>
        <v>0.8120089652719894</v>
      </c>
      <c r="FF30" s="5">
        <f t="shared" si="129"/>
        <v>81.200896527198935</v>
      </c>
      <c r="FG30">
        <f t="shared" si="130"/>
        <v>25</v>
      </c>
      <c r="FI30" s="562">
        <f t="shared" si="90"/>
        <v>-50</v>
      </c>
      <c r="FJ30">
        <f t="shared" si="91"/>
        <v>-50</v>
      </c>
      <c r="FL30">
        <f t="shared" si="92"/>
        <v>0.35355339059327379</v>
      </c>
    </row>
    <row r="31" spans="5:168">
      <c r="E31" s="170">
        <v>26</v>
      </c>
      <c r="F31" s="217">
        <f t="shared" si="131"/>
        <v>0.26</v>
      </c>
      <c r="G31" s="217">
        <f t="shared" si="93"/>
        <v>6.5000000000000002E-2</v>
      </c>
      <c r="H31" s="217">
        <f t="shared" si="0"/>
        <v>4.2639999999999993</v>
      </c>
      <c r="I31" s="217">
        <f t="shared" si="132"/>
        <v>0.52</v>
      </c>
      <c r="J31" s="541">
        <f t="shared" si="1"/>
        <v>23.951121284688686</v>
      </c>
      <c r="K31" s="443">
        <f t="shared" si="2"/>
        <v>17.121633307652782</v>
      </c>
      <c r="L31" s="172">
        <f t="shared" si="3"/>
        <v>41.072754592341468</v>
      </c>
      <c r="M31" s="443"/>
      <c r="N31" s="217">
        <f t="shared" si="4"/>
        <v>0.4168610914361543</v>
      </c>
      <c r="O31" s="172">
        <f t="shared" si="94"/>
        <v>29.663471953192481</v>
      </c>
      <c r="P31" s="172">
        <f t="shared" si="5"/>
        <v>4.0586546991280619</v>
      </c>
      <c r="Q31" s="217">
        <f t="shared" si="6"/>
        <v>1.8087482898288099</v>
      </c>
      <c r="R31" s="217">
        <f t="shared" si="7"/>
        <v>3.7079339941490601</v>
      </c>
      <c r="S31" s="443">
        <f t="shared" si="8"/>
        <v>16.399999999999999</v>
      </c>
      <c r="T31" s="217">
        <f t="shared" si="9"/>
        <v>0.95830544420162811</v>
      </c>
      <c r="U31" s="217">
        <f t="shared" si="10"/>
        <v>0.48013056231196027</v>
      </c>
      <c r="V31" s="217">
        <f t="shared" si="11"/>
        <v>0.67164534619951144</v>
      </c>
      <c r="W31" s="197">
        <f t="shared" si="12"/>
        <v>350</v>
      </c>
      <c r="X31" s="443">
        <f t="shared" si="95"/>
        <v>350</v>
      </c>
      <c r="Z31" s="217">
        <f t="shared" si="13"/>
        <v>2.3772120380607218</v>
      </c>
      <c r="AA31" s="173">
        <f t="shared" si="14"/>
        <v>1.6661111673252735</v>
      </c>
      <c r="AB31" s="173">
        <f t="shared" si="15"/>
        <v>0.69312241664978225</v>
      </c>
      <c r="AC31" s="173"/>
      <c r="AD31" s="173">
        <f t="shared" si="16"/>
        <v>0.93449028562295811</v>
      </c>
      <c r="AE31" s="545">
        <f t="shared" si="17"/>
        <v>417.33981187403646</v>
      </c>
      <c r="AF31" s="528">
        <f t="shared" si="18"/>
        <v>0.21804773331202359</v>
      </c>
      <c r="AH31" s="173">
        <f t="shared" si="19"/>
        <v>1.5093360255739068</v>
      </c>
      <c r="AI31" s="173">
        <f t="shared" si="20"/>
        <v>1.5093360255739068</v>
      </c>
      <c r="AJ31" s="173">
        <f t="shared" si="21"/>
        <v>1.3303723646226469</v>
      </c>
      <c r="AL31" s="545">
        <f t="shared" si="22"/>
        <v>260</v>
      </c>
      <c r="AM31" s="460">
        <f t="shared" si="23"/>
        <v>350</v>
      </c>
      <c r="AO31">
        <f t="shared" si="96"/>
        <v>260</v>
      </c>
      <c r="AP31" s="460">
        <f t="shared" si="24"/>
        <v>350</v>
      </c>
      <c r="AQ31" s="460"/>
      <c r="AR31" s="5">
        <f t="shared" si="97"/>
        <v>2.8571428571428572</v>
      </c>
      <c r="AS31" s="5">
        <f t="shared" si="25"/>
        <v>0.75620811617138861</v>
      </c>
      <c r="AT31" s="5">
        <f t="shared" si="98"/>
        <v>2.1009347409714687</v>
      </c>
      <c r="AU31" s="173">
        <f t="shared" si="99"/>
        <v>0.26467284065998603</v>
      </c>
      <c r="AW31" s="5">
        <f t="shared" si="26"/>
        <v>1.1988665256375677</v>
      </c>
      <c r="AX31" s="5">
        <f t="shared" si="27"/>
        <v>0.61441909438925335</v>
      </c>
      <c r="AY31" s="5">
        <f t="shared" si="28"/>
        <v>0.31168985190786586</v>
      </c>
      <c r="AZ31" s="5"/>
      <c r="BA31" s="173">
        <f t="shared" si="100"/>
        <v>0.44831162449076783</v>
      </c>
      <c r="BB31" s="173">
        <f t="shared" si="29"/>
        <v>0.74724946752174259</v>
      </c>
      <c r="BC31" s="173">
        <f t="shared" si="30"/>
        <v>0.1833280616158077</v>
      </c>
      <c r="BD31" s="173"/>
      <c r="BE31" s="528">
        <f t="shared" si="31"/>
        <v>4.0196662530710249E-3</v>
      </c>
      <c r="BF31" s="528">
        <f t="shared" si="32"/>
        <v>0.40682635990353722</v>
      </c>
      <c r="BG31" s="528">
        <f t="shared" si="33"/>
        <v>0.20957231124102599</v>
      </c>
      <c r="BH31" s="528">
        <f t="shared" si="34"/>
        <v>5.9043990943094746E-2</v>
      </c>
      <c r="BI31">
        <f t="shared" si="35"/>
        <v>1.0778004578109908E-2</v>
      </c>
      <c r="BJ31" s="460">
        <f t="shared" si="101"/>
        <v>220.35031581913589</v>
      </c>
      <c r="BK31">
        <f t="shared" si="36"/>
        <v>0.47142557268339935</v>
      </c>
      <c r="BL31" s="460">
        <f t="shared" si="102"/>
        <v>471.42557268339937</v>
      </c>
      <c r="BM31" s="173">
        <f t="shared" si="37"/>
        <v>0.16152499999999997</v>
      </c>
      <c r="BN31" s="173">
        <f t="shared" si="38"/>
        <v>2.8843749999999998E-2</v>
      </c>
      <c r="BO31" s="528"/>
      <c r="BQ31" s="460">
        <f t="shared" si="103"/>
        <v>190.36874999999998</v>
      </c>
      <c r="BR31" s="528">
        <f t="shared" si="39"/>
        <v>6.029499379606537E-3</v>
      </c>
      <c r="BS31" s="528">
        <f t="shared" si="104"/>
        <v>1.6751453001345836E-2</v>
      </c>
      <c r="BT31" s="528">
        <f t="shared" si="40"/>
        <v>1.6804589087904693E-4</v>
      </c>
      <c r="BU31" s="528">
        <f t="shared" si="41"/>
        <v>0.3207044311014946</v>
      </c>
      <c r="BV31" s="528">
        <f t="shared" si="42"/>
        <v>0.34980339996827375</v>
      </c>
      <c r="BW31" s="625">
        <f t="shared" si="43"/>
        <v>3.9866666666666644E-3</v>
      </c>
      <c r="BX31" s="460">
        <f t="shared" si="105"/>
        <v>353.79006663494039</v>
      </c>
      <c r="BY31" s="173">
        <f t="shared" si="106"/>
        <v>1.0155843893183396</v>
      </c>
      <c r="BZ31" s="5">
        <f t="shared" si="107"/>
        <v>4.7839999999999989</v>
      </c>
      <c r="CA31" s="173">
        <f t="shared" si="108"/>
        <v>0.82488669512442292</v>
      </c>
      <c r="CB31" s="5">
        <f t="shared" si="109"/>
        <v>82.488669512442286</v>
      </c>
      <c r="CC31">
        <f t="shared" si="110"/>
        <v>26</v>
      </c>
      <c r="CE31" s="562">
        <f t="shared" si="44"/>
        <v>-50</v>
      </c>
      <c r="CF31">
        <f t="shared" si="45"/>
        <v>-50</v>
      </c>
      <c r="CG31" s="173">
        <f t="shared" si="46"/>
        <v>0.36055512754639896</v>
      </c>
      <c r="CH31" s="173">
        <f t="shared" si="47"/>
        <v>0.12598234090768715</v>
      </c>
      <c r="CI31" s="170">
        <v>26</v>
      </c>
      <c r="CJ31" s="217">
        <f t="shared" si="133"/>
        <v>0.26</v>
      </c>
      <c r="CK31" s="217">
        <f t="shared" si="111"/>
        <v>6.5000000000000002E-2</v>
      </c>
      <c r="CL31" s="217">
        <f t="shared" si="48"/>
        <v>4.2639999999999993</v>
      </c>
      <c r="CM31" s="217">
        <f t="shared" si="134"/>
        <v>0.52</v>
      </c>
      <c r="CN31" s="541">
        <f t="shared" si="112"/>
        <v>24</v>
      </c>
      <c r="CO31" s="443">
        <f t="shared" si="49"/>
        <v>17.099999999999998</v>
      </c>
      <c r="CP31" s="443">
        <f t="shared" si="50"/>
        <v>41.099999999999994</v>
      </c>
      <c r="CQ31" s="443"/>
      <c r="CR31" s="217">
        <f t="shared" si="113"/>
        <v>0.41176470588235292</v>
      </c>
      <c r="CS31" s="172">
        <f t="shared" si="114"/>
        <v>29.36061381074169</v>
      </c>
      <c r="CT31" s="172">
        <f t="shared" si="51"/>
        <v>4.0172166427546641</v>
      </c>
      <c r="CU31" s="217">
        <f t="shared" si="52"/>
        <v>1.7902813299232738</v>
      </c>
      <c r="CV31" s="217">
        <f t="shared" si="53"/>
        <v>3.6700767263427112</v>
      </c>
      <c r="CW31" s="443">
        <f t="shared" si="54"/>
        <v>16.399999999999999</v>
      </c>
      <c r="CX31" s="217">
        <f t="shared" si="55"/>
        <v>0.96819047619047593</v>
      </c>
      <c r="CY31" s="217">
        <f t="shared" si="56"/>
        <v>0.48409523809523797</v>
      </c>
      <c r="CZ31" s="217">
        <f t="shared" si="57"/>
        <v>0.6794319131161235</v>
      </c>
      <c r="DA31" s="197">
        <f t="shared" si="58"/>
        <v>350</v>
      </c>
      <c r="DB31" s="443">
        <f t="shared" si="115"/>
        <v>350</v>
      </c>
      <c r="DD31" s="217">
        <f t="shared" si="59"/>
        <v>2.377476538060479</v>
      </c>
      <c r="DE31" s="173">
        <f t="shared" si="60"/>
        <v>1.668404588112617</v>
      </c>
      <c r="DF31" s="173">
        <f t="shared" si="61"/>
        <v>0.69415373374028577</v>
      </c>
      <c r="DG31" s="173"/>
      <c r="DH31" s="173">
        <f t="shared" si="62"/>
        <v>0.93567251461988332</v>
      </c>
      <c r="DI31" s="545">
        <f t="shared" si="63"/>
        <v>416.81249999999983</v>
      </c>
      <c r="DJ31" s="528">
        <f t="shared" si="64"/>
        <v>0.21832358674463945</v>
      </c>
      <c r="DL31" s="173">
        <f t="shared" si="65"/>
        <v>1.5093360255739068</v>
      </c>
      <c r="DM31" s="173">
        <f t="shared" si="66"/>
        <v>1.5093360255739068</v>
      </c>
      <c r="DN31" s="173">
        <f t="shared" si="67"/>
        <v>1.3303723646226469</v>
      </c>
      <c r="DP31" s="545">
        <f t="shared" si="68"/>
        <v>260</v>
      </c>
      <c r="DQ31" s="460">
        <f t="shared" si="69"/>
        <v>350</v>
      </c>
      <c r="DS31">
        <f t="shared" si="116"/>
        <v>260</v>
      </c>
      <c r="DT31" s="460">
        <f t="shared" si="70"/>
        <v>350</v>
      </c>
      <c r="DU31" s="460"/>
      <c r="DV31" s="5">
        <f t="shared" si="117"/>
        <v>2.8571428571428572</v>
      </c>
      <c r="DW31" s="5">
        <f t="shared" si="71"/>
        <v>0.75466801278695339</v>
      </c>
      <c r="DX31" s="5">
        <f t="shared" si="118"/>
        <v>2.1024748443559038</v>
      </c>
      <c r="DY31" s="173">
        <f t="shared" si="119"/>
        <v>0.26413380447543366</v>
      </c>
      <c r="EA31" s="5">
        <f t="shared" si="72"/>
        <v>1.1964248983207801</v>
      </c>
      <c r="EB31" s="5">
        <f t="shared" si="73"/>
        <v>0.61316776038939969</v>
      </c>
      <c r="EC31" s="5">
        <f t="shared" si="74"/>
        <v>0.31128308112269343</v>
      </c>
      <c r="ED31" s="5"/>
      <c r="EE31" s="173">
        <f t="shared" si="120"/>
        <v>0.44785487314361999</v>
      </c>
      <c r="EF31" s="173">
        <f t="shared" si="75"/>
        <v>0.74752330529996924</v>
      </c>
      <c r="EG31" s="173">
        <f t="shared" si="76"/>
        <v>0.18339524419841424</v>
      </c>
      <c r="EH31" s="173"/>
      <c r="EI31" s="528">
        <f t="shared" si="77"/>
        <v>4.0114797479697591E-3</v>
      </c>
      <c r="EJ31" s="528">
        <f t="shared" si="78"/>
        <v>0.43423597455761292</v>
      </c>
      <c r="EK31" s="528">
        <f t="shared" si="79"/>
        <v>4.3749999999999997E-2</v>
      </c>
      <c r="EL31" s="528">
        <f t="shared" si="80"/>
        <v>5.9122349999999983E-2</v>
      </c>
      <c r="EM31">
        <f t="shared" si="81"/>
        <v>1.0800000000000001E-2</v>
      </c>
      <c r="EN31" s="460">
        <f t="shared" si="121"/>
        <v>54.550000000000004</v>
      </c>
      <c r="EO31">
        <f t="shared" si="82"/>
        <v>0.55353048901748136</v>
      </c>
      <c r="EP31" s="460">
        <f t="shared" si="122"/>
        <v>553.53048901748139</v>
      </c>
      <c r="EQ31" s="173">
        <f t="shared" si="83"/>
        <v>0.16152499999999997</v>
      </c>
      <c r="ER31" s="173">
        <f t="shared" si="84"/>
        <v>2.8843749999999998E-2</v>
      </c>
      <c r="ES31" s="528"/>
      <c r="EU31" s="460">
        <f t="shared" si="123"/>
        <v>190.36874999999998</v>
      </c>
      <c r="EV31" s="528">
        <f t="shared" si="85"/>
        <v>6.0172196219546378E-3</v>
      </c>
      <c r="EW31" s="528">
        <f t="shared" si="124"/>
        <v>1.6763732758997729E-2</v>
      </c>
      <c r="EX31" s="528">
        <f t="shared" si="86"/>
        <v>1.6816907797297998E-4</v>
      </c>
      <c r="EY31" s="528">
        <f t="shared" si="87"/>
        <v>0.3207044311014946</v>
      </c>
      <c r="EZ31" s="528">
        <f t="shared" si="88"/>
        <v>0.34980355645486977</v>
      </c>
      <c r="FA31" s="625">
        <f t="shared" si="89"/>
        <v>3.9866666666666644E-3</v>
      </c>
      <c r="FB31" s="460">
        <f t="shared" si="125"/>
        <v>353.79022312153643</v>
      </c>
      <c r="FC31" s="173">
        <f t="shared" si="126"/>
        <v>1.0976894621390176</v>
      </c>
      <c r="FD31" s="5">
        <f t="shared" si="127"/>
        <v>4.7839999999999989</v>
      </c>
      <c r="FE31" s="173">
        <f t="shared" si="128"/>
        <v>0.81337174136700907</v>
      </c>
      <c r="FF31" s="5">
        <f t="shared" si="129"/>
        <v>81.337174136700909</v>
      </c>
      <c r="FG31">
        <f t="shared" si="130"/>
        <v>26</v>
      </c>
      <c r="FI31" s="562">
        <f t="shared" si="90"/>
        <v>-50</v>
      </c>
      <c r="FJ31">
        <f t="shared" si="91"/>
        <v>-50</v>
      </c>
      <c r="FL31">
        <f t="shared" si="92"/>
        <v>0.36055512754639896</v>
      </c>
    </row>
    <row r="32" spans="5:168">
      <c r="E32" s="170">
        <v>27</v>
      </c>
      <c r="F32" s="217">
        <f t="shared" si="131"/>
        <v>0.27</v>
      </c>
      <c r="G32" s="217">
        <f t="shared" si="93"/>
        <v>6.7500000000000004E-2</v>
      </c>
      <c r="H32" s="217">
        <f t="shared" si="0"/>
        <v>4.4279999999999999</v>
      </c>
      <c r="I32" s="217">
        <f t="shared" si="132"/>
        <v>0.54</v>
      </c>
      <c r="J32" s="541">
        <f t="shared" si="1"/>
        <v>23.950190177875054</v>
      </c>
      <c r="K32" s="443">
        <f t="shared" si="2"/>
        <v>17.122045407685047</v>
      </c>
      <c r="L32" s="172">
        <f t="shared" si="3"/>
        <v>41.072235585560101</v>
      </c>
      <c r="M32" s="443"/>
      <c r="N32" s="217">
        <f t="shared" si="4"/>
        <v>0.41687639261848947</v>
      </c>
      <c r="O32" s="172">
        <f t="shared" si="94"/>
        <v>29.663407553554535</v>
      </c>
      <c r="P32" s="172">
        <f t="shared" si="5"/>
        <v>4.0586458877558256</v>
      </c>
      <c r="Q32" s="217">
        <f t="shared" si="6"/>
        <v>1.8087443630216182</v>
      </c>
      <c r="R32" s="217">
        <f t="shared" si="7"/>
        <v>3.7079259441943169</v>
      </c>
      <c r="S32" s="443">
        <f t="shared" si="8"/>
        <v>16.399999999999999</v>
      </c>
      <c r="T32" s="217">
        <f t="shared" si="9"/>
        <v>0.99516550641406842</v>
      </c>
      <c r="U32" s="217">
        <f t="shared" si="10"/>
        <v>0.49861758876556683</v>
      </c>
      <c r="V32" s="217">
        <f t="shared" si="11"/>
        <v>0.69746258654405791</v>
      </c>
      <c r="W32" s="197">
        <f t="shared" si="12"/>
        <v>350</v>
      </c>
      <c r="X32" s="443">
        <f t="shared" si="95"/>
        <v>350</v>
      </c>
      <c r="Z32" s="217">
        <f t="shared" si="13"/>
        <v>2.3772068771141259</v>
      </c>
      <c r="AA32" s="173">
        <f t="shared" si="14"/>
        <v>1.6660674496614585</v>
      </c>
      <c r="AB32" s="173">
        <f t="shared" si="15"/>
        <v>0.69310272483746205</v>
      </c>
      <c r="AC32" s="173"/>
      <c r="AD32" s="173">
        <f t="shared" si="16"/>
        <v>0.93446779394817947</v>
      </c>
      <c r="AE32" s="545">
        <f t="shared" si="17"/>
        <v>433.40177438202767</v>
      </c>
      <c r="AF32" s="528">
        <f t="shared" si="18"/>
        <v>0.21804248525457523</v>
      </c>
      <c r="AH32" s="173">
        <f t="shared" si="19"/>
        <v>1.5380878667079738</v>
      </c>
      <c r="AI32" s="173">
        <f t="shared" si="20"/>
        <v>1.5380878667079738</v>
      </c>
      <c r="AJ32" s="173">
        <f t="shared" si="21"/>
        <v>1.3516700247219557</v>
      </c>
      <c r="AL32" s="545">
        <f t="shared" si="22"/>
        <v>270</v>
      </c>
      <c r="AM32" s="460">
        <f t="shared" si="23"/>
        <v>350</v>
      </c>
      <c r="AO32">
        <f t="shared" si="96"/>
        <v>270</v>
      </c>
      <c r="AP32" s="460">
        <f t="shared" si="24"/>
        <v>350</v>
      </c>
      <c r="AQ32" s="460"/>
      <c r="AR32" s="5">
        <f t="shared" si="97"/>
        <v>2.8571428571428572</v>
      </c>
      <c r="AS32" s="5">
        <f t="shared" si="25"/>
        <v>0.77064333366113014</v>
      </c>
      <c r="AT32" s="5">
        <f t="shared" si="98"/>
        <v>2.0864995234817272</v>
      </c>
      <c r="AU32" s="173">
        <f t="shared" si="99"/>
        <v>0.26972516678139552</v>
      </c>
      <c r="AW32" s="5">
        <f t="shared" si="26"/>
        <v>1.2687420737103974</v>
      </c>
      <c r="AX32" s="5">
        <f t="shared" si="27"/>
        <v>0.65023031277657861</v>
      </c>
      <c r="AY32" s="5">
        <f t="shared" si="28"/>
        <v>0.32146647623533275</v>
      </c>
      <c r="AZ32" s="5"/>
      <c r="BA32" s="173">
        <f t="shared" si="100"/>
        <v>0.46119145708747894</v>
      </c>
      <c r="BB32" s="173">
        <f t="shared" si="29"/>
        <v>0.75886353745647617</v>
      </c>
      <c r="BC32" s="173">
        <f t="shared" si="30"/>
        <v>0.18617742454097189</v>
      </c>
      <c r="BD32" s="173"/>
      <c r="BE32" s="528">
        <f t="shared" si="31"/>
        <v>4.2539512018094387E-3</v>
      </c>
      <c r="BF32" s="528">
        <f t="shared" si="32"/>
        <v>0.41457089108348455</v>
      </c>
      <c r="BG32" s="528">
        <f t="shared" si="33"/>
        <v>0.20956416405640674</v>
      </c>
      <c r="BH32" s="528">
        <f t="shared" si="34"/>
        <v>5.9042498759851229E-2</v>
      </c>
      <c r="BI32">
        <f t="shared" si="35"/>
        <v>1.0777585580043774E-2</v>
      </c>
      <c r="BJ32" s="460">
        <f t="shared" si="101"/>
        <v>220.34174963645052</v>
      </c>
      <c r="BK32">
        <f t="shared" si="36"/>
        <v>0.47950055769057448</v>
      </c>
      <c r="BL32" s="460">
        <f t="shared" si="102"/>
        <v>479.50055769057445</v>
      </c>
      <c r="BM32" s="173">
        <f t="shared" si="37"/>
        <v>0.16773749999999998</v>
      </c>
      <c r="BN32" s="173">
        <f t="shared" si="38"/>
        <v>2.9953125000000001E-2</v>
      </c>
      <c r="BO32" s="528"/>
      <c r="BQ32" s="460">
        <f t="shared" si="103"/>
        <v>197.69062499999998</v>
      </c>
      <c r="BR32" s="528">
        <f t="shared" si="39"/>
        <v>6.3809268027141576E-3</v>
      </c>
      <c r="BS32" s="528">
        <f t="shared" si="104"/>
        <v>1.7276216054428695E-2</v>
      </c>
      <c r="BT32" s="528">
        <f t="shared" si="40"/>
        <v>1.7331016704354643E-4</v>
      </c>
      <c r="BU32" s="528">
        <f t="shared" si="41"/>
        <v>0.33619633966772627</v>
      </c>
      <c r="BV32" s="528">
        <f t="shared" si="42"/>
        <v>0.36644470488377295</v>
      </c>
      <c r="BW32" s="625">
        <f t="shared" si="43"/>
        <v>4.1400000000000005E-3</v>
      </c>
      <c r="BX32" s="460">
        <f t="shared" si="105"/>
        <v>370.58470488377293</v>
      </c>
      <c r="BY32" s="173">
        <f t="shared" si="106"/>
        <v>1.0477758875743475</v>
      </c>
      <c r="BZ32" s="5">
        <f t="shared" si="107"/>
        <v>4.968</v>
      </c>
      <c r="CA32" s="173">
        <f t="shared" si="108"/>
        <v>0.82582863671192597</v>
      </c>
      <c r="CB32" s="5">
        <f t="shared" si="109"/>
        <v>82.582863671192598</v>
      </c>
      <c r="CC32">
        <f t="shared" si="110"/>
        <v>27</v>
      </c>
      <c r="CE32" s="562">
        <f t="shared" si="44"/>
        <v>-50</v>
      </c>
      <c r="CF32">
        <f t="shared" si="45"/>
        <v>-50</v>
      </c>
      <c r="CG32" s="173">
        <f t="shared" si="46"/>
        <v>0.36742346141747678</v>
      </c>
      <c r="CH32" s="173">
        <f t="shared" si="47"/>
        <v>0.12838222018579443</v>
      </c>
      <c r="CI32" s="170">
        <v>27</v>
      </c>
      <c r="CJ32" s="217">
        <f t="shared" si="133"/>
        <v>0.27</v>
      </c>
      <c r="CK32" s="217">
        <f t="shared" si="111"/>
        <v>6.7500000000000004E-2</v>
      </c>
      <c r="CL32" s="217">
        <f t="shared" si="48"/>
        <v>4.4279999999999999</v>
      </c>
      <c r="CM32" s="217">
        <f t="shared" si="134"/>
        <v>0.54</v>
      </c>
      <c r="CN32" s="541">
        <f t="shared" si="112"/>
        <v>24</v>
      </c>
      <c r="CO32" s="443">
        <f t="shared" si="49"/>
        <v>17.099999999999998</v>
      </c>
      <c r="CP32" s="443">
        <f t="shared" si="50"/>
        <v>41.099999999999994</v>
      </c>
      <c r="CQ32" s="443"/>
      <c r="CR32" s="217">
        <f t="shared" si="113"/>
        <v>0.41176470588235292</v>
      </c>
      <c r="CS32" s="172">
        <f t="shared" si="114"/>
        <v>29.36061381074169</v>
      </c>
      <c r="CT32" s="172">
        <f t="shared" si="51"/>
        <v>4.0172166427546641</v>
      </c>
      <c r="CU32" s="217">
        <f t="shared" si="52"/>
        <v>1.7902813299232738</v>
      </c>
      <c r="CV32" s="217">
        <f t="shared" si="53"/>
        <v>3.6700767263427112</v>
      </c>
      <c r="CW32" s="443">
        <f t="shared" si="54"/>
        <v>16.399999999999999</v>
      </c>
      <c r="CX32" s="217">
        <f t="shared" si="55"/>
        <v>1.0054285714285713</v>
      </c>
      <c r="CY32" s="217">
        <f t="shared" si="56"/>
        <v>0.50271428571428578</v>
      </c>
      <c r="CZ32" s="217">
        <f t="shared" si="57"/>
        <v>0.70556390977443617</v>
      </c>
      <c r="DA32" s="197">
        <f t="shared" si="58"/>
        <v>350</v>
      </c>
      <c r="DB32" s="443">
        <f t="shared" si="115"/>
        <v>350</v>
      </c>
      <c r="DD32" s="217">
        <f t="shared" si="59"/>
        <v>2.377476538060479</v>
      </c>
      <c r="DE32" s="173">
        <f t="shared" si="60"/>
        <v>1.668404588112617</v>
      </c>
      <c r="DF32" s="173">
        <f t="shared" si="61"/>
        <v>0.69415373374028577</v>
      </c>
      <c r="DG32" s="173"/>
      <c r="DH32" s="173">
        <f t="shared" si="62"/>
        <v>0.93567251461988332</v>
      </c>
      <c r="DI32" s="545">
        <f t="shared" si="63"/>
        <v>432.84374999999989</v>
      </c>
      <c r="DJ32" s="528">
        <f t="shared" si="64"/>
        <v>0.21832358674463945</v>
      </c>
      <c r="DL32" s="173">
        <f t="shared" si="65"/>
        <v>1.5380878667079738</v>
      </c>
      <c r="DM32" s="173">
        <f t="shared" si="66"/>
        <v>1.5380878667079738</v>
      </c>
      <c r="DN32" s="173">
        <f t="shared" si="67"/>
        <v>1.3516700247219557</v>
      </c>
      <c r="DP32" s="545">
        <f t="shared" si="68"/>
        <v>270</v>
      </c>
      <c r="DQ32" s="460">
        <f t="shared" si="69"/>
        <v>350</v>
      </c>
      <c r="DS32">
        <f t="shared" si="116"/>
        <v>270</v>
      </c>
      <c r="DT32" s="460">
        <f t="shared" si="70"/>
        <v>350</v>
      </c>
      <c r="DU32" s="460"/>
      <c r="DV32" s="5">
        <f t="shared" si="117"/>
        <v>2.8571428571428572</v>
      </c>
      <c r="DW32" s="5">
        <f t="shared" si="71"/>
        <v>0.76904393335398702</v>
      </c>
      <c r="DX32" s="5">
        <f t="shared" si="118"/>
        <v>2.0880989237888703</v>
      </c>
      <c r="DY32" s="173">
        <f t="shared" si="119"/>
        <v>0.26916537667389545</v>
      </c>
      <c r="EA32" s="5">
        <f t="shared" si="72"/>
        <v>1.2661089146681497</v>
      </c>
      <c r="EB32" s="5">
        <f t="shared" si="73"/>
        <v>0.64888081876742654</v>
      </c>
      <c r="EC32" s="5">
        <f t="shared" si="74"/>
        <v>0.32104520953253873</v>
      </c>
      <c r="ED32" s="5"/>
      <c r="EE32" s="173">
        <f t="shared" si="120"/>
        <v>0.46071262800763391</v>
      </c>
      <c r="EF32" s="173">
        <f t="shared" si="75"/>
        <v>0.75915433408874655</v>
      </c>
      <c r="EG32" s="173">
        <f t="shared" si="76"/>
        <v>0.18624876776065372</v>
      </c>
      <c r="EH32" s="173"/>
      <c r="EI32" s="528">
        <f t="shared" si="77"/>
        <v>4.2451225121140088E-3</v>
      </c>
      <c r="EJ32" s="528">
        <f t="shared" si="78"/>
        <v>0.44250787925188401</v>
      </c>
      <c r="EK32" s="528">
        <f t="shared" si="79"/>
        <v>4.3749999999999997E-2</v>
      </c>
      <c r="EL32" s="528">
        <f t="shared" si="80"/>
        <v>5.9122349999999983E-2</v>
      </c>
      <c r="EM32">
        <f t="shared" si="81"/>
        <v>1.0800000000000001E-2</v>
      </c>
      <c r="EN32" s="460">
        <f t="shared" si="121"/>
        <v>54.550000000000004</v>
      </c>
      <c r="EO32">
        <f t="shared" si="82"/>
        <v>0.56213853087339227</v>
      </c>
      <c r="EP32" s="460">
        <f t="shared" si="122"/>
        <v>562.13853087339226</v>
      </c>
      <c r="EQ32" s="173">
        <f t="shared" si="83"/>
        <v>0.16773749999999998</v>
      </c>
      <c r="ER32" s="173">
        <f t="shared" si="84"/>
        <v>2.9953125000000001E-2</v>
      </c>
      <c r="ES32" s="528"/>
      <c r="EU32" s="460">
        <f t="shared" si="123"/>
        <v>197.69062499999998</v>
      </c>
      <c r="EV32" s="528">
        <f t="shared" si="85"/>
        <v>6.3676837681710136E-3</v>
      </c>
      <c r="EW32" s="528">
        <f t="shared" si="124"/>
        <v>1.7289459088971844E-2</v>
      </c>
      <c r="EX32" s="528">
        <f t="shared" si="86"/>
        <v>1.734430174618096E-4</v>
      </c>
      <c r="EY32" s="528">
        <f t="shared" si="87"/>
        <v>0.33619633966772627</v>
      </c>
      <c r="EZ32" s="528">
        <f t="shared" si="88"/>
        <v>0.36644487383497465</v>
      </c>
      <c r="FA32" s="625">
        <f t="shared" si="89"/>
        <v>4.1400000000000005E-3</v>
      </c>
      <c r="FB32" s="460">
        <f t="shared" si="125"/>
        <v>370.58487383497464</v>
      </c>
      <c r="FC32" s="173">
        <f t="shared" si="126"/>
        <v>1.1304140297083669</v>
      </c>
      <c r="FD32" s="5">
        <f t="shared" si="127"/>
        <v>4.968</v>
      </c>
      <c r="FE32" s="173">
        <f t="shared" si="128"/>
        <v>0.81463803142889846</v>
      </c>
      <c r="FF32" s="5">
        <f t="shared" si="129"/>
        <v>81.463803142889844</v>
      </c>
      <c r="FG32">
        <f t="shared" si="130"/>
        <v>27</v>
      </c>
      <c r="FI32" s="562">
        <f t="shared" si="90"/>
        <v>-50</v>
      </c>
      <c r="FJ32">
        <f t="shared" si="91"/>
        <v>-50</v>
      </c>
      <c r="FL32">
        <f t="shared" si="92"/>
        <v>0.36742346141747678</v>
      </c>
    </row>
    <row r="33" spans="5:168">
      <c r="E33" s="170">
        <v>28</v>
      </c>
      <c r="F33" s="217">
        <f t="shared" si="131"/>
        <v>0.28000000000000003</v>
      </c>
      <c r="G33" s="217">
        <f t="shared" si="93"/>
        <v>7.0000000000000007E-2</v>
      </c>
      <c r="H33" s="217">
        <f t="shared" si="0"/>
        <v>4.5919999999999996</v>
      </c>
      <c r="I33" s="217">
        <f t="shared" si="132"/>
        <v>0.56000000000000005</v>
      </c>
      <c r="J33" s="541">
        <f t="shared" si="1"/>
        <v>23.949276159946702</v>
      </c>
      <c r="K33" s="443">
        <f t="shared" si="2"/>
        <v>17.122449944320643</v>
      </c>
      <c r="L33" s="172">
        <f t="shared" si="3"/>
        <v>41.071726104267341</v>
      </c>
      <c r="M33" s="443"/>
      <c r="N33" s="217">
        <f t="shared" si="4"/>
        <v>0.41689141334972102</v>
      </c>
      <c r="O33" s="172">
        <f t="shared" si="94"/>
        <v>29.663344280285607</v>
      </c>
      <c r="P33" s="172">
        <f t="shared" si="5"/>
        <v>4.0586372304971388</v>
      </c>
      <c r="Q33" s="217">
        <f t="shared" si="6"/>
        <v>1.8087405048954639</v>
      </c>
      <c r="R33" s="217">
        <f t="shared" si="7"/>
        <v>3.7079180350357008</v>
      </c>
      <c r="S33" s="443">
        <f t="shared" si="8"/>
        <v>16.399999999999999</v>
      </c>
      <c r="T33" s="217">
        <f t="shared" si="9"/>
        <v>1.0320256894863702</v>
      </c>
      <c r="U33" s="217">
        <f t="shared" si="10"/>
        <v>0.51710574428751344</v>
      </c>
      <c r="V33" s="217">
        <f t="shared" si="11"/>
        <v>0.72327898835202631</v>
      </c>
      <c r="W33" s="197">
        <f t="shared" si="12"/>
        <v>350</v>
      </c>
      <c r="X33" s="443">
        <f t="shared" si="95"/>
        <v>350</v>
      </c>
      <c r="Z33" s="217">
        <f t="shared" si="13"/>
        <v>2.3772018064340377</v>
      </c>
      <c r="AA33" s="173">
        <f t="shared" si="14"/>
        <v>1.6660245332865113</v>
      </c>
      <c r="AB33" s="173">
        <f t="shared" si="15"/>
        <v>0.69308339276612096</v>
      </c>
      <c r="AC33" s="173"/>
      <c r="AD33" s="173">
        <f t="shared" si="16"/>
        <v>0.93444571612294614</v>
      </c>
      <c r="AE33" s="545">
        <f t="shared" si="17"/>
        <v>449.46431103841684</v>
      </c>
      <c r="AF33" s="528">
        <f t="shared" si="18"/>
        <v>0.21803733376202078</v>
      </c>
      <c r="AH33" s="173">
        <f t="shared" si="19"/>
        <v>1.5663120165960973</v>
      </c>
      <c r="AI33" s="173">
        <f t="shared" si="20"/>
        <v>1.5663120165960973</v>
      </c>
      <c r="AJ33" s="173">
        <f t="shared" si="21"/>
        <v>1.3725768024168621</v>
      </c>
      <c r="AL33" s="545">
        <f t="shared" si="22"/>
        <v>280</v>
      </c>
      <c r="AM33" s="460">
        <f t="shared" si="23"/>
        <v>350</v>
      </c>
      <c r="AO33">
        <f t="shared" si="96"/>
        <v>280</v>
      </c>
      <c r="AP33" s="460">
        <f t="shared" si="24"/>
        <v>350</v>
      </c>
      <c r="AQ33" s="460"/>
      <c r="AR33" s="5">
        <f t="shared" si="97"/>
        <v>2.8571428571428572</v>
      </c>
      <c r="AS33" s="5">
        <f t="shared" si="25"/>
        <v>0.78481470895507</v>
      </c>
      <c r="AT33" s="5">
        <f t="shared" si="98"/>
        <v>2.0723281481877871</v>
      </c>
      <c r="AU33" s="173">
        <f t="shared" si="99"/>
        <v>0.27468514813427447</v>
      </c>
      <c r="AW33" s="5">
        <f t="shared" si="26"/>
        <v>1.3399275518745102</v>
      </c>
      <c r="AX33" s="5">
        <f t="shared" si="27"/>
        <v>0.6867128703356864</v>
      </c>
      <c r="AY33" s="5">
        <f t="shared" si="28"/>
        <v>0.33112103238960316</v>
      </c>
      <c r="AZ33" s="5"/>
      <c r="BA33" s="173">
        <f t="shared" si="100"/>
        <v>0.47395296183250785</v>
      </c>
      <c r="BB33" s="173">
        <f t="shared" si="29"/>
        <v>0.77015996244155094</v>
      </c>
      <c r="BC33" s="173">
        <f t="shared" si="30"/>
        <v>0.18894885735653541</v>
      </c>
      <c r="BD33" s="173"/>
      <c r="BE33" s="528">
        <f t="shared" si="31"/>
        <v>4.4926282005961328E-3</v>
      </c>
      <c r="BF33" s="528">
        <f t="shared" si="32"/>
        <v>0.42217309404019016</v>
      </c>
      <c r="BG33" s="528">
        <f t="shared" si="33"/>
        <v>0.20955616639953362</v>
      </c>
      <c r="BH33" s="528">
        <f t="shared" si="34"/>
        <v>5.9041033981438437E-2</v>
      </c>
      <c r="BI33">
        <f t="shared" si="35"/>
        <v>1.0777174271976015E-2</v>
      </c>
      <c r="BJ33" s="460">
        <f t="shared" si="101"/>
        <v>220.33334067150963</v>
      </c>
      <c r="BK33">
        <f t="shared" si="36"/>
        <v>0.48744008300255409</v>
      </c>
      <c r="BL33" s="460">
        <f t="shared" si="102"/>
        <v>487.4400830025541</v>
      </c>
      <c r="BM33" s="173">
        <f t="shared" si="37"/>
        <v>0.17394999999999999</v>
      </c>
      <c r="BN33" s="173">
        <f t="shared" si="38"/>
        <v>3.10625E-2</v>
      </c>
      <c r="BO33" s="528"/>
      <c r="BQ33" s="460">
        <f t="shared" si="103"/>
        <v>205.01249999999999</v>
      </c>
      <c r="BR33" s="528">
        <f t="shared" si="39"/>
        <v>6.7389423008941988E-3</v>
      </c>
      <c r="BS33" s="528">
        <f t="shared" si="104"/>
        <v>1.7794391032439134E-2</v>
      </c>
      <c r="BT33" s="528">
        <f t="shared" si="40"/>
        <v>1.7850835348170183E-4</v>
      </c>
      <c r="BU33" s="528">
        <f t="shared" si="41"/>
        <v>0.35183238695328578</v>
      </c>
      <c r="BV33" s="528">
        <f t="shared" si="42"/>
        <v>0.3832327015128561</v>
      </c>
      <c r="BW33" s="625">
        <f t="shared" si="43"/>
        <v>4.293333333333333E-3</v>
      </c>
      <c r="BX33" s="460">
        <f t="shared" si="105"/>
        <v>387.52603484618942</v>
      </c>
      <c r="BY33" s="173">
        <f t="shared" si="106"/>
        <v>1.0799786178487434</v>
      </c>
      <c r="BZ33" s="5">
        <f t="shared" si="107"/>
        <v>5.1519999999999992</v>
      </c>
      <c r="CA33" s="173">
        <f t="shared" si="108"/>
        <v>0.82670373502957428</v>
      </c>
      <c r="CB33" s="5">
        <f t="shared" si="109"/>
        <v>82.670373502957432</v>
      </c>
      <c r="CC33">
        <f t="shared" si="110"/>
        <v>28.000000000000004</v>
      </c>
      <c r="CE33" s="562">
        <f t="shared" si="44"/>
        <v>-50</v>
      </c>
      <c r="CF33">
        <f t="shared" si="45"/>
        <v>-50</v>
      </c>
      <c r="CG33" s="173">
        <f t="shared" si="46"/>
        <v>0.37416573867739417</v>
      </c>
      <c r="CH33" s="173">
        <f t="shared" si="47"/>
        <v>0.1307380537528646</v>
      </c>
      <c r="CI33" s="170">
        <v>28</v>
      </c>
      <c r="CJ33" s="217">
        <f t="shared" si="133"/>
        <v>0.28000000000000003</v>
      </c>
      <c r="CK33" s="217">
        <f t="shared" si="111"/>
        <v>7.0000000000000007E-2</v>
      </c>
      <c r="CL33" s="217">
        <f t="shared" si="48"/>
        <v>4.5919999999999996</v>
      </c>
      <c r="CM33" s="217">
        <f t="shared" si="134"/>
        <v>0.56000000000000005</v>
      </c>
      <c r="CN33" s="541">
        <f t="shared" si="112"/>
        <v>24</v>
      </c>
      <c r="CO33" s="443">
        <f t="shared" si="49"/>
        <v>17.099999999999998</v>
      </c>
      <c r="CP33" s="443">
        <f t="shared" si="50"/>
        <v>41.099999999999994</v>
      </c>
      <c r="CQ33" s="443"/>
      <c r="CR33" s="217">
        <f t="shared" si="113"/>
        <v>0.41176470588235292</v>
      </c>
      <c r="CS33" s="172">
        <f t="shared" si="114"/>
        <v>29.36061381074169</v>
      </c>
      <c r="CT33" s="172">
        <f t="shared" si="51"/>
        <v>4.0172166427546641</v>
      </c>
      <c r="CU33" s="217">
        <f t="shared" si="52"/>
        <v>1.7902813299232738</v>
      </c>
      <c r="CV33" s="217">
        <f t="shared" si="53"/>
        <v>3.6700767263427112</v>
      </c>
      <c r="CW33" s="443">
        <f t="shared" si="54"/>
        <v>16.399999999999999</v>
      </c>
      <c r="CX33" s="217">
        <f t="shared" si="55"/>
        <v>1.0426666666666664</v>
      </c>
      <c r="CY33" s="217">
        <f t="shared" si="56"/>
        <v>0.5213333333333332</v>
      </c>
      <c r="CZ33" s="217">
        <f t="shared" si="57"/>
        <v>0.7316959064327484</v>
      </c>
      <c r="DA33" s="197">
        <f t="shared" si="58"/>
        <v>350</v>
      </c>
      <c r="DB33" s="443">
        <f t="shared" si="115"/>
        <v>350</v>
      </c>
      <c r="DD33" s="217">
        <f t="shared" si="59"/>
        <v>2.377476538060479</v>
      </c>
      <c r="DE33" s="173">
        <f t="shared" si="60"/>
        <v>1.668404588112617</v>
      </c>
      <c r="DF33" s="173">
        <f t="shared" si="61"/>
        <v>0.69415373374028577</v>
      </c>
      <c r="DG33" s="173"/>
      <c r="DH33" s="173">
        <f t="shared" si="62"/>
        <v>0.93567251461988332</v>
      </c>
      <c r="DI33" s="545">
        <f t="shared" si="63"/>
        <v>448.87499999999989</v>
      </c>
      <c r="DJ33" s="528">
        <f t="shared" si="64"/>
        <v>0.21832358674463945</v>
      </c>
      <c r="DL33" s="173">
        <f t="shared" si="65"/>
        <v>1.5663120165960973</v>
      </c>
      <c r="DM33" s="173">
        <f t="shared" si="66"/>
        <v>1.5663120165960973</v>
      </c>
      <c r="DN33" s="173">
        <f t="shared" si="67"/>
        <v>1.3725768024168621</v>
      </c>
      <c r="DP33" s="545">
        <f t="shared" si="68"/>
        <v>280</v>
      </c>
      <c r="DQ33" s="460">
        <f t="shared" si="69"/>
        <v>350</v>
      </c>
      <c r="DS33">
        <f t="shared" si="116"/>
        <v>280</v>
      </c>
      <c r="DT33" s="460">
        <f t="shared" si="70"/>
        <v>350</v>
      </c>
      <c r="DU33" s="460"/>
      <c r="DV33" s="5">
        <f t="shared" si="117"/>
        <v>2.8571428571428572</v>
      </c>
      <c r="DW33" s="5">
        <f t="shared" si="71"/>
        <v>0.78315600829804866</v>
      </c>
      <c r="DX33" s="5">
        <f t="shared" si="118"/>
        <v>2.0739868488448083</v>
      </c>
      <c r="DY33" s="173">
        <f t="shared" si="119"/>
        <v>0.27410460290431704</v>
      </c>
      <c r="EA33" s="5">
        <f t="shared" si="72"/>
        <v>1.3370956239234979</v>
      </c>
      <c r="EB33" s="5">
        <f t="shared" si="73"/>
        <v>0.6852615072607926</v>
      </c>
      <c r="EC33" s="5">
        <f t="shared" si="74"/>
        <v>0.33068568089914441</v>
      </c>
      <c r="ED33" s="5"/>
      <c r="EE33" s="173">
        <f t="shared" si="120"/>
        <v>0.47345184870454621</v>
      </c>
      <c r="EF33" s="173">
        <f t="shared" si="75"/>
        <v>0.77046812051896418</v>
      </c>
      <c r="EG33" s="173">
        <f t="shared" si="76"/>
        <v>0.18902445998384915</v>
      </c>
      <c r="EH33" s="173"/>
      <c r="EI33" s="528">
        <f t="shared" si="77"/>
        <v>4.4831330608350499E-3</v>
      </c>
      <c r="EJ33" s="528">
        <f t="shared" si="78"/>
        <v>0.45062796717469722</v>
      </c>
      <c r="EK33" s="528">
        <f t="shared" si="79"/>
        <v>4.3749999999999997E-2</v>
      </c>
      <c r="EL33" s="528">
        <f t="shared" si="80"/>
        <v>5.9122349999999983E-2</v>
      </c>
      <c r="EM33">
        <f t="shared" si="81"/>
        <v>1.0800000000000001E-2</v>
      </c>
      <c r="EN33" s="460">
        <f t="shared" si="121"/>
        <v>54.550000000000004</v>
      </c>
      <c r="EO33">
        <f t="shared" si="82"/>
        <v>0.57060169676147932</v>
      </c>
      <c r="EP33" s="460">
        <f t="shared" si="122"/>
        <v>570.60169676147927</v>
      </c>
      <c r="EQ33" s="173">
        <f t="shared" si="83"/>
        <v>0.17394999999999999</v>
      </c>
      <c r="ER33" s="173">
        <f t="shared" si="84"/>
        <v>3.10625E-2</v>
      </c>
      <c r="ES33" s="528"/>
      <c r="EU33" s="460">
        <f t="shared" si="123"/>
        <v>205.01249999999999</v>
      </c>
      <c r="EV33" s="528">
        <f t="shared" si="85"/>
        <v>6.7246995912525745E-3</v>
      </c>
      <c r="EW33" s="528">
        <f t="shared" si="124"/>
        <v>1.7808633742080752E-2</v>
      </c>
      <c r="EX33" s="528">
        <f t="shared" si="86"/>
        <v>1.7865123236092897E-4</v>
      </c>
      <c r="EY33" s="528">
        <f t="shared" si="87"/>
        <v>0.35183238695328578</v>
      </c>
      <c r="EZ33" s="528">
        <f t="shared" si="88"/>
        <v>0.38323288342276346</v>
      </c>
      <c r="FA33" s="625">
        <f t="shared" si="89"/>
        <v>4.293333333333333E-3</v>
      </c>
      <c r="FB33" s="460">
        <f t="shared" si="125"/>
        <v>387.5262167560968</v>
      </c>
      <c r="FC33" s="173">
        <f t="shared" si="126"/>
        <v>1.163140413517576</v>
      </c>
      <c r="FD33" s="5">
        <f t="shared" si="127"/>
        <v>5.1519999999999992</v>
      </c>
      <c r="FE33" s="173">
        <f t="shared" si="128"/>
        <v>0.81581717311813517</v>
      </c>
      <c r="FF33" s="5">
        <f t="shared" si="129"/>
        <v>81.58171731181352</v>
      </c>
      <c r="FG33">
        <f t="shared" si="130"/>
        <v>28.000000000000004</v>
      </c>
      <c r="FI33" s="562">
        <f t="shared" si="90"/>
        <v>-50</v>
      </c>
      <c r="FJ33">
        <f t="shared" si="91"/>
        <v>-50</v>
      </c>
      <c r="FL33">
        <f t="shared" si="92"/>
        <v>0.37416573867739417</v>
      </c>
    </row>
    <row r="34" spans="5:168">
      <c r="E34" s="170">
        <v>29</v>
      </c>
      <c r="F34" s="217">
        <f t="shared" si="131"/>
        <v>0.28999999999999998</v>
      </c>
      <c r="G34" s="217">
        <f t="shared" si="93"/>
        <v>7.2499999999999995E-2</v>
      </c>
      <c r="H34" s="217">
        <f t="shared" si="0"/>
        <v>4.7559999999999993</v>
      </c>
      <c r="I34" s="217">
        <f t="shared" si="132"/>
        <v>0.57999999999999996</v>
      </c>
      <c r="J34" s="541">
        <f t="shared" si="1"/>
        <v>23.948378323163745</v>
      </c>
      <c r="K34" s="443">
        <f t="shared" si="2"/>
        <v>17.122847319317589</v>
      </c>
      <c r="L34" s="172">
        <f t="shared" si="3"/>
        <v>41.071225642481338</v>
      </c>
      <c r="M34" s="443"/>
      <c r="N34" s="217">
        <f t="shared" si="4"/>
        <v>0.41690616852706869</v>
      </c>
      <c r="O34" s="172">
        <f t="shared" si="94"/>
        <v>29.663282073552395</v>
      </c>
      <c r="P34" s="172">
        <f t="shared" si="5"/>
        <v>4.0586287191654078</v>
      </c>
      <c r="Q34" s="217">
        <f t="shared" si="6"/>
        <v>1.8087367118019755</v>
      </c>
      <c r="R34" s="217">
        <f t="shared" si="7"/>
        <v>3.7079102591940494</v>
      </c>
      <c r="S34" s="443">
        <f t="shared" si="8"/>
        <v>16.399999999999999</v>
      </c>
      <c r="T34" s="217">
        <f t="shared" si="9"/>
        <v>1.068885991376394</v>
      </c>
      <c r="U34" s="217">
        <f t="shared" si="10"/>
        <v>0.53559500870713828</v>
      </c>
      <c r="V34" s="217">
        <f t="shared" si="11"/>
        <v>0.74909456688584886</v>
      </c>
      <c r="W34" s="197">
        <f t="shared" si="12"/>
        <v>350</v>
      </c>
      <c r="X34" s="443">
        <f t="shared" si="95"/>
        <v>350</v>
      </c>
      <c r="Z34" s="217">
        <f t="shared" si="13"/>
        <v>2.3771968212254535</v>
      </c>
      <c r="AA34" s="173">
        <f t="shared" si="14"/>
        <v>1.6659823756369467</v>
      </c>
      <c r="AB34" s="173">
        <f t="shared" si="15"/>
        <v>0.69306440132681135</v>
      </c>
      <c r="AC34" s="173"/>
      <c r="AD34" s="173">
        <f t="shared" si="16"/>
        <v>0.93442403016402431</v>
      </c>
      <c r="AE34" s="545">
        <f t="shared" si="17"/>
        <v>465.52741149394672</v>
      </c>
      <c r="AF34" s="528">
        <f t="shared" si="18"/>
        <v>0.21803227370493905</v>
      </c>
      <c r="AH34" s="173">
        <f t="shared" si="19"/>
        <v>1.5940365055268906</v>
      </c>
      <c r="AI34" s="173">
        <f t="shared" si="20"/>
        <v>1.5940365055268906</v>
      </c>
      <c r="AJ34" s="173">
        <f t="shared" si="21"/>
        <v>1.3931134608841163</v>
      </c>
      <c r="AL34" s="545">
        <f t="shared" si="22"/>
        <v>290</v>
      </c>
      <c r="AM34" s="460">
        <f t="shared" si="23"/>
        <v>350</v>
      </c>
      <c r="AO34">
        <f t="shared" si="96"/>
        <v>290</v>
      </c>
      <c r="AP34" s="460">
        <f t="shared" si="24"/>
        <v>350</v>
      </c>
      <c r="AQ34" s="460"/>
      <c r="AR34" s="5">
        <f t="shared" si="97"/>
        <v>2.8571428571428572</v>
      </c>
      <c r="AS34" s="5">
        <f t="shared" si="25"/>
        <v>0.79873625713608198</v>
      </c>
      <c r="AT34" s="5">
        <f t="shared" si="98"/>
        <v>2.0584066000067751</v>
      </c>
      <c r="AU34" s="173">
        <f t="shared" si="99"/>
        <v>0.2795576899976287</v>
      </c>
      <c r="AW34" s="5">
        <f t="shared" si="26"/>
        <v>1.4123994790820964</v>
      </c>
      <c r="AX34" s="5">
        <f t="shared" si="27"/>
        <v>0.72385473302957426</v>
      </c>
      <c r="AY34" s="5">
        <f t="shared" si="28"/>
        <v>0.34065569623431752</v>
      </c>
      <c r="AZ34" s="5"/>
      <c r="BA34" s="173">
        <f t="shared" si="100"/>
        <v>0.48660140361936965</v>
      </c>
      <c r="BB34" s="173">
        <f t="shared" si="29"/>
        <v>0.78115504285627324</v>
      </c>
      <c r="BC34" s="173">
        <f t="shared" si="30"/>
        <v>0.19164635915125208</v>
      </c>
      <c r="BD34" s="173"/>
      <c r="BE34" s="528">
        <f t="shared" si="31"/>
        <v>4.7356185200868144E-3</v>
      </c>
      <c r="BF34" s="528">
        <f t="shared" si="32"/>
        <v>0.42964052906806083</v>
      </c>
      <c r="BG34" s="528">
        <f t="shared" si="33"/>
        <v>0.20954831032768276</v>
      </c>
      <c r="BH34" s="528">
        <f t="shared" si="34"/>
        <v>5.903959515214658E-2</v>
      </c>
      <c r="BI34">
        <f t="shared" si="35"/>
        <v>1.0776770245423685E-2</v>
      </c>
      <c r="BJ34" s="460">
        <f t="shared" si="101"/>
        <v>220.32508057310642</v>
      </c>
      <c r="BK34">
        <f t="shared" si="36"/>
        <v>0.4952516084115996</v>
      </c>
      <c r="BL34" s="460">
        <f t="shared" si="102"/>
        <v>495.25160841159959</v>
      </c>
      <c r="BM34" s="173">
        <f t="shared" si="37"/>
        <v>0.18016249999999998</v>
      </c>
      <c r="BN34" s="173">
        <f t="shared" si="38"/>
        <v>3.2171874999999996E-2</v>
      </c>
      <c r="BO34" s="528"/>
      <c r="BQ34" s="460">
        <f t="shared" si="103"/>
        <v>212.33437499999997</v>
      </c>
      <c r="BR34" s="528">
        <f t="shared" si="39"/>
        <v>7.1034277801302207E-3</v>
      </c>
      <c r="BS34" s="528">
        <f t="shared" si="104"/>
        <v>1.8306096029393582E-2</v>
      </c>
      <c r="BT34" s="528">
        <f t="shared" si="40"/>
        <v>1.8364163487965353E-4</v>
      </c>
      <c r="BU34" s="528">
        <f t="shared" si="41"/>
        <v>0.36760869312446687</v>
      </c>
      <c r="BV34" s="528">
        <f t="shared" si="42"/>
        <v>0.40016353439878199</v>
      </c>
      <c r="BW34" s="625">
        <f t="shared" si="43"/>
        <v>4.4466666666666665E-3</v>
      </c>
      <c r="BX34" s="460">
        <f t="shared" si="105"/>
        <v>404.61020106544868</v>
      </c>
      <c r="BY34" s="173">
        <f t="shared" si="106"/>
        <v>1.1121961844770483</v>
      </c>
      <c r="BZ34" s="5">
        <f t="shared" si="107"/>
        <v>5.3359999999999994</v>
      </c>
      <c r="CA34" s="173">
        <f t="shared" si="108"/>
        <v>0.82751824655172956</v>
      </c>
      <c r="CB34" s="5">
        <f t="shared" si="109"/>
        <v>82.751824655172953</v>
      </c>
      <c r="CC34">
        <f t="shared" si="110"/>
        <v>28.999999999999996</v>
      </c>
      <c r="CE34" s="562">
        <f t="shared" si="44"/>
        <v>-50</v>
      </c>
      <c r="CF34">
        <f t="shared" si="45"/>
        <v>-50</v>
      </c>
      <c r="CG34" s="173">
        <f t="shared" si="46"/>
        <v>0.38078865529319544</v>
      </c>
      <c r="CH34" s="173">
        <f t="shared" si="47"/>
        <v>0.13305218126111276</v>
      </c>
      <c r="CI34" s="170">
        <v>29</v>
      </c>
      <c r="CJ34" s="217">
        <f t="shared" si="133"/>
        <v>0.28999999999999998</v>
      </c>
      <c r="CK34" s="217">
        <f t="shared" si="111"/>
        <v>7.2499999999999995E-2</v>
      </c>
      <c r="CL34" s="217">
        <f t="shared" si="48"/>
        <v>4.7559999999999993</v>
      </c>
      <c r="CM34" s="217">
        <f t="shared" si="134"/>
        <v>0.57999999999999996</v>
      </c>
      <c r="CN34" s="541">
        <f t="shared" si="112"/>
        <v>24</v>
      </c>
      <c r="CO34" s="443">
        <f t="shared" si="49"/>
        <v>17.099999999999998</v>
      </c>
      <c r="CP34" s="443">
        <f t="shared" si="50"/>
        <v>41.099999999999994</v>
      </c>
      <c r="CQ34" s="443"/>
      <c r="CR34" s="217">
        <f t="shared" si="113"/>
        <v>0.41176470588235292</v>
      </c>
      <c r="CS34" s="172">
        <f t="shared" si="114"/>
        <v>29.36061381074169</v>
      </c>
      <c r="CT34" s="172">
        <f t="shared" si="51"/>
        <v>4.0172166427546641</v>
      </c>
      <c r="CU34" s="217">
        <f t="shared" si="52"/>
        <v>1.7902813299232738</v>
      </c>
      <c r="CV34" s="217">
        <f t="shared" si="53"/>
        <v>3.6700767263427112</v>
      </c>
      <c r="CW34" s="443">
        <f t="shared" si="54"/>
        <v>16.399999999999999</v>
      </c>
      <c r="CX34" s="217">
        <f t="shared" si="55"/>
        <v>1.0799047619047617</v>
      </c>
      <c r="CY34" s="217">
        <f t="shared" si="56"/>
        <v>0.53995238095238085</v>
      </c>
      <c r="CZ34" s="217">
        <f t="shared" si="57"/>
        <v>0.75782790309106096</v>
      </c>
      <c r="DA34" s="197">
        <f t="shared" si="58"/>
        <v>350</v>
      </c>
      <c r="DB34" s="443">
        <f t="shared" si="115"/>
        <v>350</v>
      </c>
      <c r="DD34" s="217">
        <f t="shared" si="59"/>
        <v>2.377476538060479</v>
      </c>
      <c r="DE34" s="173">
        <f t="shared" si="60"/>
        <v>1.668404588112617</v>
      </c>
      <c r="DF34" s="173">
        <f t="shared" si="61"/>
        <v>0.69415373374028577</v>
      </c>
      <c r="DG34" s="173"/>
      <c r="DH34" s="173">
        <f t="shared" si="62"/>
        <v>0.93567251461988332</v>
      </c>
      <c r="DI34" s="545">
        <f t="shared" si="63"/>
        <v>464.90624999999977</v>
      </c>
      <c r="DJ34" s="528">
        <f t="shared" si="64"/>
        <v>0.21832358674463945</v>
      </c>
      <c r="DL34" s="173">
        <f t="shared" si="65"/>
        <v>1.5940365055268906</v>
      </c>
      <c r="DM34" s="173">
        <f t="shared" si="66"/>
        <v>1.5940365055268906</v>
      </c>
      <c r="DN34" s="173">
        <f t="shared" si="67"/>
        <v>1.3931134608841163</v>
      </c>
      <c r="DP34" s="545">
        <f t="shared" si="68"/>
        <v>290</v>
      </c>
      <c r="DQ34" s="460">
        <f t="shared" si="69"/>
        <v>350</v>
      </c>
      <c r="DS34">
        <f t="shared" si="116"/>
        <v>290</v>
      </c>
      <c r="DT34" s="460">
        <f t="shared" si="70"/>
        <v>350</v>
      </c>
      <c r="DU34" s="460"/>
      <c r="DV34" s="5">
        <f t="shared" si="117"/>
        <v>2.8571428571428572</v>
      </c>
      <c r="DW34" s="5">
        <f t="shared" si="71"/>
        <v>0.7970182527634454</v>
      </c>
      <c r="DX34" s="5">
        <f t="shared" si="118"/>
        <v>2.0601246043794119</v>
      </c>
      <c r="DY34" s="173">
        <f t="shared" si="119"/>
        <v>0.27895638846720588</v>
      </c>
      <c r="EA34" s="5">
        <f t="shared" si="72"/>
        <v>1.4093615445207268</v>
      </c>
      <c r="EB34" s="5">
        <f t="shared" si="73"/>
        <v>0.72229779156687235</v>
      </c>
      <c r="EC34" s="5">
        <f t="shared" si="74"/>
        <v>0.34020668813987781</v>
      </c>
      <c r="ED34" s="5"/>
      <c r="EE34" s="173">
        <f t="shared" si="120"/>
        <v>0.48607780565722325</v>
      </c>
      <c r="EF34" s="173">
        <f t="shared" si="75"/>
        <v>0.78148096191243555</v>
      </c>
      <c r="EG34" s="173">
        <f t="shared" si="76"/>
        <v>0.19172631920663769</v>
      </c>
      <c r="EH34" s="173"/>
      <c r="EI34" s="528">
        <f t="shared" si="77"/>
        <v>4.7254326630508259E-3</v>
      </c>
      <c r="EJ34" s="528">
        <f t="shared" si="78"/>
        <v>0.45860430264008645</v>
      </c>
      <c r="EK34" s="528">
        <f t="shared" si="79"/>
        <v>4.3749999999999997E-2</v>
      </c>
      <c r="EL34" s="528">
        <f t="shared" si="80"/>
        <v>5.9122349999999983E-2</v>
      </c>
      <c r="EM34">
        <f t="shared" si="81"/>
        <v>1.0800000000000001E-2</v>
      </c>
      <c r="EN34" s="460">
        <f t="shared" si="121"/>
        <v>54.550000000000004</v>
      </c>
      <c r="EO34">
        <f t="shared" si="82"/>
        <v>0.57892795088972904</v>
      </c>
      <c r="EP34" s="460">
        <f t="shared" si="122"/>
        <v>578.927950889729</v>
      </c>
      <c r="EQ34" s="173">
        <f t="shared" si="83"/>
        <v>0.18016249999999998</v>
      </c>
      <c r="ER34" s="173">
        <f t="shared" si="84"/>
        <v>3.2171874999999996E-2</v>
      </c>
      <c r="ES34" s="528"/>
      <c r="EU34" s="460">
        <f t="shared" si="123"/>
        <v>212.33437499999997</v>
      </c>
      <c r="EV34" s="528">
        <f t="shared" si="85"/>
        <v>7.0881489945762389E-3</v>
      </c>
      <c r="EW34" s="528">
        <f t="shared" si="124"/>
        <v>1.8321374814947566E-2</v>
      </c>
      <c r="EX34" s="528">
        <f t="shared" si="86"/>
        <v>1.8379490738262762E-4</v>
      </c>
      <c r="EY34" s="528">
        <f t="shared" si="87"/>
        <v>0.36760869312446687</v>
      </c>
      <c r="EZ34" s="528">
        <f t="shared" si="88"/>
        <v>0.4001637297634133</v>
      </c>
      <c r="FA34" s="625">
        <f t="shared" si="89"/>
        <v>4.4466666666666665E-3</v>
      </c>
      <c r="FB34" s="460">
        <f t="shared" si="125"/>
        <v>404.61039643007996</v>
      </c>
      <c r="FC34" s="173">
        <f t="shared" si="126"/>
        <v>1.1958727223198091</v>
      </c>
      <c r="FD34" s="5">
        <f t="shared" si="127"/>
        <v>5.3359999999999994</v>
      </c>
      <c r="FE34" s="173">
        <f t="shared" si="128"/>
        <v>0.81691732629243696</v>
      </c>
      <c r="FF34" s="5">
        <f t="shared" si="129"/>
        <v>81.691732629243702</v>
      </c>
      <c r="FG34">
        <f t="shared" si="130"/>
        <v>28.999999999999996</v>
      </c>
      <c r="FI34" s="562">
        <f t="shared" si="90"/>
        <v>-50</v>
      </c>
      <c r="FJ34">
        <f t="shared" si="91"/>
        <v>-50</v>
      </c>
      <c r="FL34">
        <f t="shared" si="92"/>
        <v>0.38078865529319544</v>
      </c>
    </row>
    <row r="35" spans="5:168">
      <c r="E35" s="170">
        <v>30</v>
      </c>
      <c r="F35" s="217">
        <f t="shared" si="131"/>
        <v>0.3</v>
      </c>
      <c r="G35" s="217">
        <f t="shared" si="93"/>
        <v>7.4999999999999997E-2</v>
      </c>
      <c r="H35" s="217">
        <f t="shared" si="0"/>
        <v>4.919999999999999</v>
      </c>
      <c r="I35" s="217">
        <f t="shared" si="132"/>
        <v>0.6</v>
      </c>
      <c r="J35" s="541">
        <f t="shared" si="1"/>
        <v>23.947495837412443</v>
      </c>
      <c r="K35" s="443">
        <f t="shared" si="2"/>
        <v>17.123237900077243</v>
      </c>
      <c r="L35" s="172">
        <f t="shared" si="3"/>
        <v>41.070733737489689</v>
      </c>
      <c r="M35" s="443"/>
      <c r="N35" s="217">
        <f t="shared" si="4"/>
        <v>0.41692067177380415</v>
      </c>
      <c r="O35" s="172">
        <f t="shared" si="94"/>
        <v>29.663220878638363</v>
      </c>
      <c r="P35" s="172">
        <f t="shared" si="5"/>
        <v>4.0586203462741368</v>
      </c>
      <c r="Q35" s="217">
        <f t="shared" si="6"/>
        <v>1.8087329804047785</v>
      </c>
      <c r="R35" s="217">
        <f t="shared" si="7"/>
        <v>3.7079026098297954</v>
      </c>
      <c r="S35" s="443">
        <f t="shared" si="8"/>
        <v>16.399999999999999</v>
      </c>
      <c r="T35" s="217">
        <f t="shared" si="9"/>
        <v>1.105746410148621</v>
      </c>
      <c r="U35" s="217">
        <f t="shared" si="10"/>
        <v>0.55408536290687083</v>
      </c>
      <c r="V35" s="217">
        <f t="shared" si="11"/>
        <v>0.77490933661113215</v>
      </c>
      <c r="W35" s="197">
        <f t="shared" si="12"/>
        <v>350</v>
      </c>
      <c r="X35" s="443">
        <f t="shared" si="95"/>
        <v>350</v>
      </c>
      <c r="Z35" s="217">
        <f t="shared" si="13"/>
        <v>2.3771919171034224</v>
      </c>
      <c r="AA35" s="173">
        <f t="shared" si="14"/>
        <v>1.665940937789131</v>
      </c>
      <c r="AB35" s="173">
        <f t="shared" si="15"/>
        <v>0.69304573304470307</v>
      </c>
      <c r="AC35" s="173"/>
      <c r="AD35" s="173">
        <f t="shared" si="16"/>
        <v>0.93440271596809543</v>
      </c>
      <c r="AE35" s="545">
        <f t="shared" si="17"/>
        <v>481.59106593967232</v>
      </c>
      <c r="AF35" s="528">
        <f t="shared" si="18"/>
        <v>0.21802730039255563</v>
      </c>
      <c r="AH35" s="173">
        <f t="shared" si="19"/>
        <v>1.6212869667555549</v>
      </c>
      <c r="AI35" s="173">
        <f t="shared" si="20"/>
        <v>1.6212869667555549</v>
      </c>
      <c r="AJ35" s="173">
        <f t="shared" si="21"/>
        <v>1.413298987720164</v>
      </c>
      <c r="AL35" s="545">
        <f t="shared" si="22"/>
        <v>300</v>
      </c>
      <c r="AM35" s="460">
        <f t="shared" si="23"/>
        <v>350</v>
      </c>
      <c r="AO35">
        <f t="shared" si="96"/>
        <v>300</v>
      </c>
      <c r="AP35" s="460">
        <f t="shared" si="24"/>
        <v>350</v>
      </c>
      <c r="AQ35" s="460"/>
      <c r="AR35" s="5">
        <f t="shared" si="97"/>
        <v>2.8571428571428572</v>
      </c>
      <c r="AS35" s="5">
        <f t="shared" si="25"/>
        <v>0.81242079477354001</v>
      </c>
      <c r="AT35" s="5">
        <f t="shared" si="98"/>
        <v>2.044722062369317</v>
      </c>
      <c r="AU35" s="173">
        <f t="shared" si="99"/>
        <v>0.28434727817073902</v>
      </c>
      <c r="AW35" s="5">
        <f t="shared" si="26"/>
        <v>1.4861356001955</v>
      </c>
      <c r="AX35" s="5">
        <f t="shared" si="27"/>
        <v>0.76164449510019372</v>
      </c>
      <c r="AY35" s="5">
        <f t="shared" si="28"/>
        <v>0.35007253003118299</v>
      </c>
      <c r="AZ35" s="5"/>
      <c r="BA35" s="173">
        <f t="shared" si="100"/>
        <v>0.49914164028248093</v>
      </c>
      <c r="BB35" s="173">
        <f t="shared" si="29"/>
        <v>0.79186368721301426</v>
      </c>
      <c r="BC35" s="173">
        <f t="shared" si="30"/>
        <v>0.19427358753719573</v>
      </c>
      <c r="BD35" s="173"/>
      <c r="BE35" s="528">
        <f t="shared" si="31"/>
        <v>4.9828475412777122E-3</v>
      </c>
      <c r="BF35" s="528">
        <f t="shared" si="32"/>
        <v>0.43698010993664793</v>
      </c>
      <c r="BG35" s="528">
        <f t="shared" si="33"/>
        <v>0.20954058857735886</v>
      </c>
      <c r="BH35" s="528">
        <f t="shared" si="34"/>
        <v>5.9038180940752083E-2</v>
      </c>
      <c r="BI35">
        <f t="shared" si="35"/>
        <v>1.07763731268356E-2</v>
      </c>
      <c r="BJ35" s="460">
        <f t="shared" si="101"/>
        <v>220.31696170419445</v>
      </c>
      <c r="BK35">
        <f t="shared" si="36"/>
        <v>0.5029419525927018</v>
      </c>
      <c r="BL35" s="460">
        <f t="shared" si="102"/>
        <v>502.9419525927018</v>
      </c>
      <c r="BM35" s="173">
        <f t="shared" si="37"/>
        <v>0.18637499999999999</v>
      </c>
      <c r="BN35" s="173">
        <f t="shared" si="38"/>
        <v>3.3281249999999998E-2</v>
      </c>
      <c r="BO35" s="528"/>
      <c r="BQ35" s="460">
        <f t="shared" si="103"/>
        <v>219.65625</v>
      </c>
      <c r="BR35" s="528">
        <f t="shared" si="39"/>
        <v>7.4742713119165674E-3</v>
      </c>
      <c r="BS35" s="528">
        <f t="shared" si="104"/>
        <v>1.8811442973797714E-2</v>
      </c>
      <c r="BT35" s="528">
        <f t="shared" si="40"/>
        <v>1.8871113407286229E-4</v>
      </c>
      <c r="BU35" s="528">
        <f t="shared" si="41"/>
        <v>0.3835216136392407</v>
      </c>
      <c r="BV35" s="528">
        <f t="shared" si="42"/>
        <v>0.41723358270922201</v>
      </c>
      <c r="BW35" s="625">
        <f t="shared" si="43"/>
        <v>4.5999999999999991E-3</v>
      </c>
      <c r="BX35" s="460">
        <f t="shared" si="105"/>
        <v>421.83358270922201</v>
      </c>
      <c r="BY35" s="173">
        <f t="shared" si="106"/>
        <v>1.1444317853019237</v>
      </c>
      <c r="BZ35" s="5">
        <f t="shared" si="107"/>
        <v>5.5199999999999987</v>
      </c>
      <c r="CA35" s="173">
        <f t="shared" si="108"/>
        <v>0.82827766534786773</v>
      </c>
      <c r="CB35" s="5">
        <f t="shared" si="109"/>
        <v>82.827766534786775</v>
      </c>
      <c r="CC35">
        <f t="shared" si="110"/>
        <v>30</v>
      </c>
      <c r="CE35" s="562">
        <f t="shared" si="44"/>
        <v>-50</v>
      </c>
      <c r="CF35">
        <f t="shared" si="45"/>
        <v>-50</v>
      </c>
      <c r="CG35" s="173">
        <f t="shared" si="46"/>
        <v>0.3872983346207417</v>
      </c>
      <c r="CH35" s="173">
        <f t="shared" si="47"/>
        <v>0.13532674228545188</v>
      </c>
      <c r="CI35" s="170">
        <v>30</v>
      </c>
      <c r="CJ35" s="217">
        <f t="shared" si="133"/>
        <v>0.3</v>
      </c>
      <c r="CK35" s="217">
        <f t="shared" si="111"/>
        <v>7.4999999999999997E-2</v>
      </c>
      <c r="CL35" s="217">
        <f t="shared" si="48"/>
        <v>4.919999999999999</v>
      </c>
      <c r="CM35" s="217">
        <f t="shared" si="134"/>
        <v>0.6</v>
      </c>
      <c r="CN35" s="541">
        <f t="shared" si="112"/>
        <v>24</v>
      </c>
      <c r="CO35" s="443">
        <f t="shared" si="49"/>
        <v>17.099999999999998</v>
      </c>
      <c r="CP35" s="443">
        <f t="shared" si="50"/>
        <v>41.099999999999994</v>
      </c>
      <c r="CQ35" s="443"/>
      <c r="CR35" s="217">
        <f t="shared" si="113"/>
        <v>0.41176470588235292</v>
      </c>
      <c r="CS35" s="172">
        <f t="shared" si="114"/>
        <v>29.36061381074169</v>
      </c>
      <c r="CT35" s="172">
        <f t="shared" si="51"/>
        <v>4.0172166427546641</v>
      </c>
      <c r="CU35" s="217">
        <f t="shared" si="52"/>
        <v>1.7902813299232738</v>
      </c>
      <c r="CV35" s="217">
        <f t="shared" si="53"/>
        <v>3.6700767263427112</v>
      </c>
      <c r="CW35" s="443">
        <f t="shared" si="54"/>
        <v>16.399999999999999</v>
      </c>
      <c r="CX35" s="217">
        <f t="shared" si="55"/>
        <v>1.1171428571428568</v>
      </c>
      <c r="CY35" s="217">
        <f t="shared" si="56"/>
        <v>0.55857142857142839</v>
      </c>
      <c r="CZ35" s="217">
        <f t="shared" si="57"/>
        <v>0.7839598997493733</v>
      </c>
      <c r="DA35" s="197">
        <f t="shared" si="58"/>
        <v>350</v>
      </c>
      <c r="DB35" s="443">
        <f t="shared" si="115"/>
        <v>350</v>
      </c>
      <c r="DD35" s="217">
        <f t="shared" si="59"/>
        <v>2.377476538060479</v>
      </c>
      <c r="DE35" s="173">
        <f t="shared" si="60"/>
        <v>1.668404588112617</v>
      </c>
      <c r="DF35" s="173">
        <f t="shared" si="61"/>
        <v>0.69415373374028577</v>
      </c>
      <c r="DG35" s="173"/>
      <c r="DH35" s="173">
        <f t="shared" si="62"/>
        <v>0.93567251461988332</v>
      </c>
      <c r="DI35" s="545">
        <f t="shared" si="63"/>
        <v>480.93749999999977</v>
      </c>
      <c r="DJ35" s="528">
        <f t="shared" si="64"/>
        <v>0.21832358674463945</v>
      </c>
      <c r="DL35" s="173">
        <f t="shared" si="65"/>
        <v>1.6212869667555549</v>
      </c>
      <c r="DM35" s="173">
        <f t="shared" si="66"/>
        <v>1.6212869667555549</v>
      </c>
      <c r="DN35" s="173">
        <f t="shared" si="67"/>
        <v>1.413298987720164</v>
      </c>
      <c r="DP35" s="545">
        <f t="shared" si="68"/>
        <v>300</v>
      </c>
      <c r="DQ35" s="460">
        <f t="shared" si="69"/>
        <v>350</v>
      </c>
      <c r="DS35">
        <f t="shared" si="116"/>
        <v>300</v>
      </c>
      <c r="DT35" s="460">
        <f t="shared" si="70"/>
        <v>350</v>
      </c>
      <c r="DU35" s="460"/>
      <c r="DV35" s="5">
        <f t="shared" si="117"/>
        <v>2.8571428571428572</v>
      </c>
      <c r="DW35" s="5">
        <f t="shared" si="71"/>
        <v>0.81064348337777747</v>
      </c>
      <c r="DX35" s="5">
        <f t="shared" si="118"/>
        <v>2.0464993737650796</v>
      </c>
      <c r="DY35" s="173">
        <f t="shared" si="119"/>
        <v>0.2837252191822221</v>
      </c>
      <c r="EA35" s="5">
        <f t="shared" si="72"/>
        <v>1.4828844208130079</v>
      </c>
      <c r="EB35" s="5">
        <f t="shared" si="73"/>
        <v>0.75997826566666626</v>
      </c>
      <c r="EC35" s="5">
        <f t="shared" si="74"/>
        <v>0.34961030968486767</v>
      </c>
      <c r="ED35" s="5"/>
      <c r="EE35" s="173">
        <f t="shared" si="120"/>
        <v>0.49859536189431042</v>
      </c>
      <c r="EF35" s="173">
        <f t="shared" si="75"/>
        <v>0.79220776396596715</v>
      </c>
      <c r="EG35" s="173">
        <f t="shared" si="76"/>
        <v>0.19435800235033052</v>
      </c>
      <c r="EH35" s="173"/>
      <c r="EI35" s="528">
        <f t="shared" si="77"/>
        <v>4.9719466980503672E-3</v>
      </c>
      <c r="EJ35" s="528">
        <f t="shared" si="78"/>
        <v>0.46644426033557307</v>
      </c>
      <c r="EK35" s="528">
        <f t="shared" si="79"/>
        <v>4.3749999999999997E-2</v>
      </c>
      <c r="EL35" s="528">
        <f t="shared" si="80"/>
        <v>5.9122349999999983E-2</v>
      </c>
      <c r="EM35">
        <f t="shared" si="81"/>
        <v>1.0800000000000001E-2</v>
      </c>
      <c r="EN35" s="460">
        <f t="shared" si="121"/>
        <v>54.550000000000004</v>
      </c>
      <c r="EO35">
        <f t="shared" si="82"/>
        <v>0.58712457317700639</v>
      </c>
      <c r="EP35" s="460">
        <f t="shared" si="122"/>
        <v>587.12457317700637</v>
      </c>
      <c r="EQ35" s="173">
        <f t="shared" si="83"/>
        <v>0.18637499999999999</v>
      </c>
      <c r="ER35" s="173">
        <f t="shared" si="84"/>
        <v>3.3281249999999998E-2</v>
      </c>
      <c r="ES35" s="528"/>
      <c r="EU35" s="460">
        <f t="shared" si="123"/>
        <v>219.65625</v>
      </c>
      <c r="EV35" s="528">
        <f t="shared" si="85"/>
        <v>7.4579200470755507E-3</v>
      </c>
      <c r="EW35" s="528">
        <f t="shared" si="124"/>
        <v>1.8827794238638725E-2</v>
      </c>
      <c r="EX35" s="528">
        <f t="shared" si="86"/>
        <v>1.8887516538805543E-4</v>
      </c>
      <c r="EY35" s="528">
        <f t="shared" si="87"/>
        <v>0.3835216136392407</v>
      </c>
      <c r="EZ35" s="528">
        <f t="shared" si="88"/>
        <v>0.41723379202652988</v>
      </c>
      <c r="FA35" s="625">
        <f t="shared" si="89"/>
        <v>4.5999999999999991E-3</v>
      </c>
      <c r="FB35" s="460">
        <f t="shared" si="125"/>
        <v>421.83379202652986</v>
      </c>
      <c r="FC35" s="173">
        <f t="shared" si="126"/>
        <v>1.2286146152035362</v>
      </c>
      <c r="FD35" s="5">
        <f t="shared" si="127"/>
        <v>5.5199999999999987</v>
      </c>
      <c r="FE35" s="173">
        <f t="shared" si="128"/>
        <v>0.81794565473694902</v>
      </c>
      <c r="FF35" s="5">
        <f t="shared" si="129"/>
        <v>81.794565473694902</v>
      </c>
      <c r="FG35">
        <f t="shared" si="130"/>
        <v>30</v>
      </c>
      <c r="FI35" s="562">
        <f t="shared" si="90"/>
        <v>-50</v>
      </c>
      <c r="FJ35">
        <f t="shared" si="91"/>
        <v>-50</v>
      </c>
      <c r="FL35">
        <f t="shared" si="92"/>
        <v>0.3872983346207417</v>
      </c>
    </row>
    <row r="36" spans="5:168">
      <c r="E36" s="170">
        <v>31</v>
      </c>
      <c r="F36" s="217">
        <f t="shared" si="131"/>
        <v>0.31</v>
      </c>
      <c r="G36" s="217">
        <f t="shared" si="93"/>
        <v>7.7499999999999999E-2</v>
      </c>
      <c r="H36" s="217">
        <f t="shared" si="0"/>
        <v>5.0839999999999996</v>
      </c>
      <c r="I36" s="217">
        <f t="shared" si="132"/>
        <v>0.62</v>
      </c>
      <c r="J36" s="541">
        <f t="shared" si="1"/>
        <v>23.946627941217763</v>
      </c>
      <c r="K36" s="443">
        <f t="shared" si="2"/>
        <v>17.123622023622033</v>
      </c>
      <c r="L36" s="172">
        <f t="shared" si="3"/>
        <v>41.070249964839796</v>
      </c>
      <c r="M36" s="443"/>
      <c r="N36" s="217">
        <f t="shared" si="4"/>
        <v>0.41693493558674588</v>
      </c>
      <c r="O36" s="172">
        <f t="shared" si="94"/>
        <v>29.663160645351251</v>
      </c>
      <c r="P36" s="172">
        <f t="shared" si="5"/>
        <v>4.058612104955853</v>
      </c>
      <c r="Q36" s="217">
        <f t="shared" si="6"/>
        <v>1.808729307643369</v>
      </c>
      <c r="R36" s="217">
        <f t="shared" si="7"/>
        <v>3.7078950806689064</v>
      </c>
      <c r="S36" s="443">
        <f t="shared" si="8"/>
        <v>16.399999999999999</v>
      </c>
      <c r="T36" s="217">
        <f t="shared" si="9"/>
        <v>1.1426069439651914</v>
      </c>
      <c r="U36" s="217">
        <f t="shared" si="10"/>
        <v>0.57257678873366391</v>
      </c>
      <c r="V36" s="217">
        <f t="shared" si="11"/>
        <v>0.80072331126367913</v>
      </c>
      <c r="W36" s="197">
        <f t="shared" si="12"/>
        <v>350</v>
      </c>
      <c r="X36" s="443">
        <f t="shared" si="95"/>
        <v>350</v>
      </c>
      <c r="Z36" s="217">
        <f t="shared" si="13"/>
        <v>2.3771870900455707</v>
      </c>
      <c r="AA36" s="173">
        <f t="shared" si="14"/>
        <v>1.6659001840378687</v>
      </c>
      <c r="AB36" s="173">
        <f t="shared" si="15"/>
        <v>0.69302737188988828</v>
      </c>
      <c r="AC36" s="173"/>
      <c r="AD36" s="173">
        <f t="shared" si="16"/>
        <v>0.93438175509410371</v>
      </c>
      <c r="AE36" s="545">
        <f t="shared" si="17"/>
        <v>497.65526506151519</v>
      </c>
      <c r="AF36" s="528">
        <f t="shared" si="18"/>
        <v>0.21802240952195756</v>
      </c>
      <c r="AH36" s="173">
        <f t="shared" si="19"/>
        <v>1.6480869140280423</v>
      </c>
      <c r="AI36" s="173">
        <f t="shared" si="20"/>
        <v>1.6480869140280423</v>
      </c>
      <c r="AJ36" s="173">
        <f t="shared" si="21"/>
        <v>1.433150800514599</v>
      </c>
      <c r="AL36" s="545">
        <f t="shared" si="22"/>
        <v>310</v>
      </c>
      <c r="AM36" s="460">
        <f t="shared" si="23"/>
        <v>350</v>
      </c>
      <c r="AO36">
        <f t="shared" si="96"/>
        <v>310</v>
      </c>
      <c r="AP36" s="460">
        <f t="shared" si="24"/>
        <v>350</v>
      </c>
      <c r="AQ36" s="460"/>
      <c r="AR36" s="5">
        <f t="shared" si="97"/>
        <v>2.8571428571428572</v>
      </c>
      <c r="AS36" s="5">
        <f t="shared" si="25"/>
        <v>0.82588007868513202</v>
      </c>
      <c r="AT36" s="5">
        <f t="shared" si="98"/>
        <v>2.0312627784577253</v>
      </c>
      <c r="AU36" s="173">
        <f t="shared" si="99"/>
        <v>0.2890580275397962</v>
      </c>
      <c r="AW36" s="5">
        <f t="shared" si="26"/>
        <v>1.5611147828804328</v>
      </c>
      <c r="AX36" s="5">
        <f t="shared" si="27"/>
        <v>0.80007132622622168</v>
      </c>
      <c r="AY36" s="5">
        <f t="shared" si="28"/>
        <v>0.35937349199466989</v>
      </c>
      <c r="AZ36" s="5"/>
      <c r="BA36" s="173">
        <f t="shared" si="100"/>
        <v>0.51157816654935495</v>
      </c>
      <c r="BB36" s="173">
        <f t="shared" si="29"/>
        <v>0.80229957304415012</v>
      </c>
      <c r="BC36" s="173">
        <f t="shared" si="30"/>
        <v>0.19683389812130508</v>
      </c>
      <c r="BD36" s="173"/>
      <c r="BE36" s="528">
        <f t="shared" si="31"/>
        <v>5.2342444097999907E-3</v>
      </c>
      <c r="BF36" s="528">
        <f t="shared" si="32"/>
        <v>0.44419817874411738</v>
      </c>
      <c r="BG36" s="528">
        <f t="shared" si="33"/>
        <v>0.20953299448565543</v>
      </c>
      <c r="BH36" s="528">
        <f t="shared" si="34"/>
        <v>5.903679012610482E-2</v>
      </c>
      <c r="BI36">
        <f t="shared" si="35"/>
        <v>1.0775982573547994E-2</v>
      </c>
      <c r="BJ36" s="460">
        <f t="shared" si="101"/>
        <v>220.30897705920344</v>
      </c>
      <c r="BK36">
        <f t="shared" si="36"/>
        <v>0.51051736749870824</v>
      </c>
      <c r="BL36" s="460">
        <f t="shared" si="102"/>
        <v>510.51736749870827</v>
      </c>
      <c r="BM36" s="173">
        <f t="shared" si="37"/>
        <v>0.19258749999999999</v>
      </c>
      <c r="BN36" s="173">
        <f t="shared" si="38"/>
        <v>3.4390625000000001E-2</v>
      </c>
      <c r="BO36" s="528"/>
      <c r="BQ36" s="460">
        <f t="shared" si="103"/>
        <v>226.97812500000001</v>
      </c>
      <c r="BR36" s="528">
        <f t="shared" si="39"/>
        <v>7.8513666146999856E-3</v>
      </c>
      <c r="BS36" s="528">
        <f t="shared" si="104"/>
        <v>1.9310538147204764E-2</v>
      </c>
      <c r="BT36" s="528">
        <f t="shared" si="40"/>
        <v>1.9371791724814155E-4</v>
      </c>
      <c r="BU36" s="528">
        <f t="shared" si="41"/>
        <v>0.3995677175706745</v>
      </c>
      <c r="BV36" s="528">
        <f t="shared" si="42"/>
        <v>0.43443943860157025</v>
      </c>
      <c r="BW36" s="625">
        <f t="shared" si="43"/>
        <v>4.7533333333333325E-3</v>
      </c>
      <c r="BX36" s="460">
        <f t="shared" si="105"/>
        <v>439.19277193490359</v>
      </c>
      <c r="BY36" s="173">
        <f t="shared" si="106"/>
        <v>1.1766882644336119</v>
      </c>
      <c r="BZ36" s="5">
        <f t="shared" si="107"/>
        <v>5.7039999999999997</v>
      </c>
      <c r="CA36" s="173">
        <f t="shared" si="108"/>
        <v>0.82898683689596386</v>
      </c>
      <c r="CB36" s="5">
        <f t="shared" si="109"/>
        <v>82.898683689596382</v>
      </c>
      <c r="CC36">
        <f t="shared" si="110"/>
        <v>31</v>
      </c>
      <c r="CE36" s="562">
        <f t="shared" si="44"/>
        <v>-50</v>
      </c>
      <c r="CF36">
        <f t="shared" si="45"/>
        <v>-50</v>
      </c>
      <c r="CG36" s="173">
        <f t="shared" si="46"/>
        <v>0.39370039370059062</v>
      </c>
      <c r="CH36" s="173">
        <f t="shared" si="47"/>
        <v>0.13756369948807795</v>
      </c>
      <c r="CI36" s="170">
        <v>31</v>
      </c>
      <c r="CJ36" s="217">
        <f t="shared" si="133"/>
        <v>0.31</v>
      </c>
      <c r="CK36" s="217">
        <f t="shared" si="111"/>
        <v>7.7499999999999999E-2</v>
      </c>
      <c r="CL36" s="217">
        <f t="shared" si="48"/>
        <v>5.0839999999999996</v>
      </c>
      <c r="CM36" s="217">
        <f t="shared" si="134"/>
        <v>0.62</v>
      </c>
      <c r="CN36" s="541">
        <f t="shared" si="112"/>
        <v>24</v>
      </c>
      <c r="CO36" s="443">
        <f t="shared" si="49"/>
        <v>17.099999999999998</v>
      </c>
      <c r="CP36" s="443">
        <f t="shared" si="50"/>
        <v>41.099999999999994</v>
      </c>
      <c r="CQ36" s="443"/>
      <c r="CR36" s="217">
        <f t="shared" si="113"/>
        <v>0.41176470588235292</v>
      </c>
      <c r="CS36" s="172">
        <f t="shared" si="114"/>
        <v>29.36061381074169</v>
      </c>
      <c r="CT36" s="172">
        <f t="shared" si="51"/>
        <v>4.0172166427546641</v>
      </c>
      <c r="CU36" s="217">
        <f t="shared" si="52"/>
        <v>1.7902813299232738</v>
      </c>
      <c r="CV36" s="217">
        <f t="shared" si="53"/>
        <v>3.6700767263427112</v>
      </c>
      <c r="CW36" s="443">
        <f t="shared" si="54"/>
        <v>16.399999999999999</v>
      </c>
      <c r="CX36" s="217">
        <f t="shared" si="55"/>
        <v>1.1543809523809523</v>
      </c>
      <c r="CY36" s="217">
        <f t="shared" si="56"/>
        <v>0.57719047619047614</v>
      </c>
      <c r="CZ36" s="217">
        <f t="shared" si="57"/>
        <v>0.81009189640768597</v>
      </c>
      <c r="DA36" s="197">
        <f t="shared" si="58"/>
        <v>350</v>
      </c>
      <c r="DB36" s="443">
        <f t="shared" si="115"/>
        <v>350</v>
      </c>
      <c r="DD36" s="217">
        <f t="shared" si="59"/>
        <v>2.377476538060479</v>
      </c>
      <c r="DE36" s="173">
        <f t="shared" si="60"/>
        <v>1.668404588112617</v>
      </c>
      <c r="DF36" s="173">
        <f t="shared" si="61"/>
        <v>0.69415373374028577</v>
      </c>
      <c r="DG36" s="173"/>
      <c r="DH36" s="173">
        <f t="shared" si="62"/>
        <v>0.93567251461988332</v>
      </c>
      <c r="DI36" s="545">
        <f t="shared" si="63"/>
        <v>496.96874999999983</v>
      </c>
      <c r="DJ36" s="528">
        <f t="shared" si="64"/>
        <v>0.21832358674463945</v>
      </c>
      <c r="DL36" s="173">
        <f t="shared" si="65"/>
        <v>1.6480869140280423</v>
      </c>
      <c r="DM36" s="173">
        <f t="shared" si="66"/>
        <v>1.6480869140280423</v>
      </c>
      <c r="DN36" s="173">
        <f t="shared" si="67"/>
        <v>1.433150800514599</v>
      </c>
      <c r="DP36" s="545">
        <f t="shared" si="68"/>
        <v>310</v>
      </c>
      <c r="DQ36" s="460">
        <f t="shared" si="69"/>
        <v>350</v>
      </c>
      <c r="DS36">
        <f t="shared" si="116"/>
        <v>310</v>
      </c>
      <c r="DT36" s="460">
        <f t="shared" si="70"/>
        <v>350</v>
      </c>
      <c r="DU36" s="460"/>
      <c r="DV36" s="5">
        <f t="shared" si="117"/>
        <v>2.8571428571428572</v>
      </c>
      <c r="DW36" s="5">
        <f t="shared" si="71"/>
        <v>0.82404345701402115</v>
      </c>
      <c r="DX36" s="5">
        <f t="shared" si="118"/>
        <v>2.0330994001288358</v>
      </c>
      <c r="DY36" s="173">
        <f t="shared" si="119"/>
        <v>0.28841520995490738</v>
      </c>
      <c r="EA36" s="5">
        <f t="shared" si="72"/>
        <v>1.5576431199655281</v>
      </c>
      <c r="EB36" s="5">
        <f t="shared" si="73"/>
        <v>0.798292098982333</v>
      </c>
      <c r="EC36" s="5">
        <f t="shared" si="74"/>
        <v>0.35889851910607634</v>
      </c>
      <c r="ED36" s="5"/>
      <c r="EE36" s="173">
        <f t="shared" si="120"/>
        <v>0.51100901703329271</v>
      </c>
      <c r="EF36" s="173">
        <f t="shared" si="75"/>
        <v>0.80266220161877144</v>
      </c>
      <c r="EG36" s="173">
        <f t="shared" si="76"/>
        <v>0.196922864385667</v>
      </c>
      <c r="EH36" s="173"/>
      <c r="EI36" s="528">
        <f t="shared" si="77"/>
        <v>5.2226043097866404E-3</v>
      </c>
      <c r="EJ36" s="528">
        <f t="shared" si="78"/>
        <v>0.47415460516586766</v>
      </c>
      <c r="EK36" s="528">
        <f t="shared" si="79"/>
        <v>4.3749999999999997E-2</v>
      </c>
      <c r="EL36" s="528">
        <f t="shared" si="80"/>
        <v>5.9122349999999983E-2</v>
      </c>
      <c r="EM36">
        <f t="shared" si="81"/>
        <v>1.0800000000000001E-2</v>
      </c>
      <c r="EN36" s="460">
        <f t="shared" si="121"/>
        <v>54.550000000000004</v>
      </c>
      <c r="EO36">
        <f t="shared" si="82"/>
        <v>0.59519823864829158</v>
      </c>
      <c r="EP36" s="460">
        <f t="shared" si="122"/>
        <v>595.19823864829152</v>
      </c>
      <c r="EQ36" s="173">
        <f t="shared" si="83"/>
        <v>0.19258749999999999</v>
      </c>
      <c r="ER36" s="173">
        <f t="shared" si="84"/>
        <v>3.4390625000000001E-2</v>
      </c>
      <c r="ES36" s="528"/>
      <c r="EU36" s="460">
        <f t="shared" si="123"/>
        <v>226.97812500000001</v>
      </c>
      <c r="EV36" s="528">
        <f t="shared" si="85"/>
        <v>7.833906464679961E-3</v>
      </c>
      <c r="EW36" s="528">
        <f t="shared" si="124"/>
        <v>1.9327998297224799E-2</v>
      </c>
      <c r="EX36" s="528">
        <f t="shared" si="86"/>
        <v>1.9389307258927898E-4</v>
      </c>
      <c r="EY36" s="528">
        <f t="shared" si="87"/>
        <v>0.3995677175706745</v>
      </c>
      <c r="EZ36" s="528">
        <f t="shared" si="88"/>
        <v>0.43443966237145665</v>
      </c>
      <c r="FA36" s="625">
        <f t="shared" si="89"/>
        <v>4.7533333333333325E-3</v>
      </c>
      <c r="FB36" s="460">
        <f t="shared" si="125"/>
        <v>439.19299570478995</v>
      </c>
      <c r="FC36" s="173">
        <f t="shared" si="126"/>
        <v>1.2613693593530817</v>
      </c>
      <c r="FD36" s="5">
        <f t="shared" si="127"/>
        <v>5.7039999999999997</v>
      </c>
      <c r="FE36" s="173">
        <f t="shared" si="128"/>
        <v>0.81890847501729136</v>
      </c>
      <c r="FF36" s="5">
        <f t="shared" si="129"/>
        <v>81.890847501729141</v>
      </c>
      <c r="FG36">
        <f t="shared" si="130"/>
        <v>31</v>
      </c>
      <c r="FI36" s="562">
        <f t="shared" si="90"/>
        <v>-50</v>
      </c>
      <c r="FJ36">
        <f t="shared" si="91"/>
        <v>-50</v>
      </c>
      <c r="FL36">
        <f t="shared" si="92"/>
        <v>0.39370039370059057</v>
      </c>
    </row>
    <row r="37" spans="5:168">
      <c r="E37" s="170">
        <v>32</v>
      </c>
      <c r="F37" s="217">
        <f t="shared" si="131"/>
        <v>0.32</v>
      </c>
      <c r="G37" s="217">
        <f t="shared" si="93"/>
        <v>0.08</v>
      </c>
      <c r="H37" s="217">
        <f t="shared" ref="H37:H68" si="135">F37*Vout</f>
        <v>5.2479999999999993</v>
      </c>
      <c r="I37" s="217">
        <f t="shared" si="132"/>
        <v>0.64</v>
      </c>
      <c r="J37" s="541">
        <f t="shared" ref="J37:J68" si="136">Vin-(F37/CG37/Nps+G37/CH37/(Nps/Nsec1sec2))*(Rdcr_pri+RON/1000)</f>
        <v>23.945773934051154</v>
      </c>
      <c r="K37" s="443">
        <f t="shared" ref="K37:K68" si="137">MAX((S37+Vfwd2+Rdcr_sec*F37/CG37)*Nps,(Vout2+Vfwd22+Rdcr_sec2*G37/CH37)*Nps/Nsec1sec2)</f>
        <v>17.123999999999999</v>
      </c>
      <c r="L37" s="172">
        <f t="shared" ref="L37:L68" si="138">MAX((Vout+Vfwd2+F37/CG37*Rdcr_sec)*Nps+J37, (Vout2+Vfwd22+G37/CH37*Rdcr_sec2)*Nps/Nsec1sec2+J37)</f>
        <v>41.069773934051156</v>
      </c>
      <c r="M37" s="443"/>
      <c r="N37" s="217">
        <f t="shared" ref="N37:N68" si="139">MAX((Vout+Vfwd2+F37/CG37*Rdcr_sec)*Nps/((Vout+Vfwd2+F37/CG37*Rdcr_sec)*Nps+J37), (Vout2+Vfwd22+G37/CH37*Rdcr_sec2)*Nps/Nsec1sec2/((Vout2+Vfwd22+G37/CH37*Rdcr_sec2)*Nps/Nsec1sec2+J37))</f>
        <v>0.41694897146249943</v>
      </c>
      <c r="O37" s="172">
        <f t="shared" si="94"/>
        <v>29.663101327516117</v>
      </c>
      <c r="P37" s="172">
        <f t="shared" ref="P37:P68" si="140">N37*J37*Isw_max*0.5*Efficiency*(Pout2/Pout_total)</f>
        <v>4.058603988892747</v>
      </c>
      <c r="Q37" s="217">
        <f t="shared" si="6"/>
        <v>1.8087256907022025</v>
      </c>
      <c r="R37" s="217">
        <f t="shared" ref="R37:R68" si="141">O37/Vout2</f>
        <v>3.7078876659395146</v>
      </c>
      <c r="S37" s="443">
        <f t="shared" ref="S37:S68" si="142">MIN(Vout,O37/F37)</f>
        <v>16.399999999999999</v>
      </c>
      <c r="T37" s="217">
        <f t="shared" ref="T37:T68" si="143">MIN(2*(Vout*F37+Vout2*G37)/(Efficiency*J37*N37), Isw_max)</f>
        <v>1.1794675910779528</v>
      </c>
      <c r="U37" s="217">
        <f t="shared" si="10"/>
        <v>0.59106926892051059</v>
      </c>
      <c r="V37" s="217">
        <f t="shared" si="11"/>
        <v>0.82653650390886679</v>
      </c>
      <c r="W37" s="197">
        <f t="shared" si="12"/>
        <v>350</v>
      </c>
      <c r="X37" s="443">
        <f t="shared" si="95"/>
        <v>350</v>
      </c>
      <c r="Z37" s="217">
        <f t="shared" si="13"/>
        <v>2.3771823363514661</v>
      </c>
      <c r="AA37" s="173">
        <f t="shared" si="14"/>
        <v>1.6658600815357159</v>
      </c>
      <c r="AB37" s="173">
        <f t="shared" ref="AB37:AB68" si="144">0.5*AA37*Z37*Nps*W37/1000*(Pout/Pout_total)</f>
        <v>0.6930093031154505</v>
      </c>
      <c r="AC37" s="173"/>
      <c r="AD37" s="173">
        <f t="shared" si="16"/>
        <v>0.93436113057696812</v>
      </c>
      <c r="AE37" s="545">
        <f t="shared" ref="AE37:AE68" si="145">MAX(10, F37/(0.5*AD37/1000000*Isw_min*Nps)/1000*Pout_total/Pout)</f>
        <v>513.71999999999991</v>
      </c>
      <c r="AF37" s="528">
        <f t="shared" ref="AF37:AF68" si="146">0.5*AD37/1000000*Isw_min*Nps*W37*1000*(Pout/Pout_total)</f>
        <v>0.21801759713462593</v>
      </c>
      <c r="AH37" s="173">
        <f t="shared" ref="AH37:AH68" si="147">SQRT((H37+I37)/(0.5*L*Fsw_DCM))</f>
        <v>1.6744579791113072</v>
      </c>
      <c r="AI37" s="173">
        <f t="shared" ref="AI37:AI68" si="148">MAX(IF(F37&gt;AB37,T37,AH37),Isw_min)</f>
        <v>1.6744579791113072</v>
      </c>
      <c r="AJ37" s="173">
        <f t="shared" ref="AJ37:AJ68" si="149">IF(F37&gt;AF37, (AI37-Isw_min)/1.08*0.8+1.2, AE37*0.2/350+1)</f>
        <v>1.452684922798499</v>
      </c>
      <c r="AL37" s="545">
        <f t="shared" ref="AL37:AL68" si="150">F37*1000</f>
        <v>320</v>
      </c>
      <c r="AM37" s="460">
        <f t="shared" ref="AM37:AM68" si="151">IF(F37&gt;AF37, X37, AE37)</f>
        <v>350</v>
      </c>
      <c r="AO37">
        <f t="shared" si="96"/>
        <v>320</v>
      </c>
      <c r="AP37" s="460">
        <f t="shared" si="24"/>
        <v>350</v>
      </c>
      <c r="AQ37" s="460"/>
      <c r="AR37" s="5">
        <f t="shared" si="97"/>
        <v>2.8571428571428572</v>
      </c>
      <c r="AS37" s="5">
        <f t="shared" si="25"/>
        <v>0.83912492470174516</v>
      </c>
      <c r="AT37" s="5">
        <f t="shared" si="98"/>
        <v>2.0180179324411123</v>
      </c>
      <c r="AU37" s="173">
        <f t="shared" si="99"/>
        <v>0.2936937236456108</v>
      </c>
      <c r="AW37" s="5">
        <f t="shared" ref="AW37:AW68" si="152">F37*AS37/Vout_ripple*1000</f>
        <v>1.637316926247308</v>
      </c>
      <c r="AX37" s="5">
        <f t="shared" ref="AX37:AX68" si="153">G37*AS37/Vout_ripple2*1000</f>
        <v>0.83912492470174516</v>
      </c>
      <c r="AY37" s="5">
        <f t="shared" si="28"/>
        <v>0.36856044475802974</v>
      </c>
      <c r="AZ37" s="5"/>
      <c r="BA37" s="173">
        <f t="shared" si="100"/>
        <v>0.52391515198571537</v>
      </c>
      <c r="BB37" s="173">
        <f t="shared" ref="BB37:BB68" si="154">AI37*Npri_sec1*SQRT((1-AU37)/3)*(Pout/Pout_total)</f>
        <v>0.81247528462283647</v>
      </c>
      <c r="BC37" s="173">
        <f t="shared" ref="BC37:BC68" si="155">AI37*Npri_sec2*SQRT((1-AU37)/3)*(Pout2/Pout_total)</f>
        <v>0.1993303782934075</v>
      </c>
      <c r="BD37" s="173"/>
      <c r="BE37" s="528">
        <f t="shared" si="31"/>
        <v>5.4897417296043052E-3</v>
      </c>
      <c r="BF37" s="528">
        <f t="shared" ref="BF37:BF68" si="156">0.5*L37*AI37*AM37*1000*Tfall</f>
        <v>0.45130056998361257</v>
      </c>
      <c r="BG37" s="528">
        <f t="shared" ref="BG37:BG68" si="157">Qg*Vdd*AM37*1000*0+Qg*J37*AM37*1000</f>
        <v>0.20952552192294757</v>
      </c>
      <c r="BH37" s="528">
        <f t="shared" si="34"/>
        <v>5.9035421584792365E-2</v>
      </c>
      <c r="BI37">
        <f t="shared" si="35"/>
        <v>1.0775598270323018E-2</v>
      </c>
      <c r="BJ37" s="460">
        <f t="shared" si="101"/>
        <v>220.30112019327058</v>
      </c>
      <c r="BK37">
        <f t="shared" ref="BK37:BK68" si="158">(BF37+BG37*0+BH37+BI37*0+BE37*(1+RdsonTC*(Ta-25)))/(1-BE37*RdsonTC*ThetaJA)</f>
        <v>0.51798360202099747</v>
      </c>
      <c r="BL37" s="460">
        <f t="shared" si="102"/>
        <v>517.98360202099752</v>
      </c>
      <c r="BM37" s="173">
        <f t="shared" ref="BM37:BM68" si="159">Vfwd2*F37*(1+Diode_TC/1000*(Ta-25))</f>
        <v>0.19879999999999998</v>
      </c>
      <c r="BN37" s="173">
        <f t="shared" ref="BN37:BN68" si="160">Vfwd22*G37*(1+Diode_TC/1000*(Ta-25))</f>
        <v>3.5499999999999997E-2</v>
      </c>
      <c r="BO37" s="528"/>
      <c r="BQ37" s="460">
        <f t="shared" si="103"/>
        <v>234.29999999999998</v>
      </c>
      <c r="BR37" s="528">
        <f t="shared" si="39"/>
        <v>8.2346125944064569E-3</v>
      </c>
      <c r="BS37" s="528">
        <f t="shared" si="104"/>
        <v>1.9803482643688773E-2</v>
      </c>
      <c r="BT37" s="528">
        <f t="shared" ref="BT37:BT68" si="161">Rdcr_sec2*BC37^2</f>
        <v>1.9866299855296471E-4</v>
      </c>
      <c r="BU37" s="528">
        <f t="shared" si="41"/>
        <v>0.41574376856575956</v>
      </c>
      <c r="BV37" s="528">
        <f t="shared" ref="BV37:BV68" si="162">(BU37+(BR37+BS37+BT37)*(1+Ltc*(Ta-25)))/(1-(BR37+BS37+BT37)*Ltc*ThetaCa)</f>
        <v>0.45177788821970916</v>
      </c>
      <c r="BW37" s="625">
        <f t="shared" ref="BW37:BW68" si="163">0.5*Lleak*0.000000001*AI37^2*AM37*1000</f>
        <v>4.9066666666666659E-3</v>
      </c>
      <c r="BX37" s="460">
        <f t="shared" si="105"/>
        <v>456.68455488637585</v>
      </c>
      <c r="BY37" s="173">
        <f t="shared" si="106"/>
        <v>1.2089681569073731</v>
      </c>
      <c r="BZ37" s="5">
        <f t="shared" si="107"/>
        <v>5.887999999999999</v>
      </c>
      <c r="CA37" s="173">
        <f t="shared" si="108"/>
        <v>0.82965005194074282</v>
      </c>
      <c r="CB37" s="5">
        <f t="shared" si="109"/>
        <v>82.96500519407428</v>
      </c>
      <c r="CC37">
        <f t="shared" si="110"/>
        <v>32</v>
      </c>
      <c r="CE37" s="562">
        <f t="shared" ref="CE37:CE68" si="164">IF(ABS(F37-Ioutmax_Vinnom)&lt;Iout/200, AM37, -50)</f>
        <v>-50</v>
      </c>
      <c r="CF37">
        <f t="shared" ref="CF37:CF68" si="165">IF(ABS(F37-Ioutmax_Vinnom)&lt;Iout/200, (O37+P37)*CA37, -50)</f>
        <v>-50</v>
      </c>
      <c r="CG37" s="173">
        <f t="shared" ref="CG37:CG68" si="166">MIN(SQRT(2*DT37*1000*Ls1_*(CL37+CJ37*Vfwd1))/(CW37+Vfwd1), 1-DY37)</f>
        <v>0.40000000000000008</v>
      </c>
      <c r="CH37" s="173">
        <f t="shared" ref="CH37:CH68" si="167">MIN(SQRT(2*DT37*1000*Ls2_*(CM37+CK37*Vfwd22))/(Vout2+Vfwd22), 1-DY37)</f>
        <v>0.13976485844481551</v>
      </c>
      <c r="CI37" s="170">
        <v>32</v>
      </c>
      <c r="CJ37" s="217">
        <f t="shared" si="133"/>
        <v>0.32</v>
      </c>
      <c r="CK37" s="217">
        <f t="shared" si="111"/>
        <v>0.08</v>
      </c>
      <c r="CL37" s="217">
        <f t="shared" si="48"/>
        <v>5.2479999999999993</v>
      </c>
      <c r="CM37" s="217">
        <f t="shared" si="134"/>
        <v>0.64</v>
      </c>
      <c r="CN37" s="541">
        <f t="shared" si="112"/>
        <v>24</v>
      </c>
      <c r="CO37" s="443">
        <f t="shared" ref="CO37:CO68" si="168">(CW37+Vfwd2)*Nps</f>
        <v>17.099999999999998</v>
      </c>
      <c r="CP37" s="443">
        <f t="shared" ref="CP37:CP68" si="169">(Vout+Vfwd2)*Nps+CN37</f>
        <v>41.099999999999994</v>
      </c>
      <c r="CQ37" s="443"/>
      <c r="CR37" s="217">
        <f t="shared" si="113"/>
        <v>0.41176470588235292</v>
      </c>
      <c r="CS37" s="172">
        <f t="shared" si="114"/>
        <v>29.36061381074169</v>
      </c>
      <c r="CT37" s="172">
        <f t="shared" si="51"/>
        <v>4.0172166427546641</v>
      </c>
      <c r="CU37" s="217">
        <f t="shared" si="52"/>
        <v>1.7902813299232738</v>
      </c>
      <c r="CV37" s="217">
        <f t="shared" si="53"/>
        <v>3.6700767263427112</v>
      </c>
      <c r="CW37" s="443">
        <f t="shared" si="54"/>
        <v>16.399999999999999</v>
      </c>
      <c r="CX37" s="217">
        <f t="shared" si="55"/>
        <v>1.1916190476190474</v>
      </c>
      <c r="CY37" s="217">
        <f t="shared" si="56"/>
        <v>0.59580952380952368</v>
      </c>
      <c r="CZ37" s="217">
        <f t="shared" si="57"/>
        <v>0.83622389306599831</v>
      </c>
      <c r="DA37" s="197">
        <f t="shared" si="58"/>
        <v>350</v>
      </c>
      <c r="DB37" s="443">
        <f t="shared" si="115"/>
        <v>350</v>
      </c>
      <c r="DD37" s="217">
        <f t="shared" si="59"/>
        <v>2.377476538060479</v>
      </c>
      <c r="DE37" s="173">
        <f t="shared" si="60"/>
        <v>1.668404588112617</v>
      </c>
      <c r="DF37" s="173">
        <f t="shared" si="61"/>
        <v>0.69415373374028577</v>
      </c>
      <c r="DG37" s="173"/>
      <c r="DH37" s="173">
        <f t="shared" si="62"/>
        <v>0.93567251461988332</v>
      </c>
      <c r="DI37" s="545">
        <f t="shared" si="63"/>
        <v>512.99999999999977</v>
      </c>
      <c r="DJ37" s="528">
        <f t="shared" si="64"/>
        <v>0.21832358674463945</v>
      </c>
      <c r="DL37" s="173">
        <f t="shared" si="65"/>
        <v>1.6744579791113072</v>
      </c>
      <c r="DM37" s="173">
        <f t="shared" si="66"/>
        <v>1.6744579791113072</v>
      </c>
      <c r="DN37" s="173">
        <f t="shared" si="67"/>
        <v>1.452684922798499</v>
      </c>
      <c r="DP37" s="545">
        <f t="shared" si="68"/>
        <v>320</v>
      </c>
      <c r="DQ37" s="460">
        <f t="shared" si="69"/>
        <v>350</v>
      </c>
      <c r="DS37">
        <f t="shared" si="116"/>
        <v>320</v>
      </c>
      <c r="DT37" s="460">
        <f t="shared" si="70"/>
        <v>350</v>
      </c>
      <c r="DU37" s="460"/>
      <c r="DV37" s="5">
        <f t="shared" si="117"/>
        <v>2.8571428571428572</v>
      </c>
      <c r="DW37" s="5">
        <f t="shared" si="71"/>
        <v>0.8372289895556535</v>
      </c>
      <c r="DX37" s="5">
        <f t="shared" si="118"/>
        <v>2.0199138675872037</v>
      </c>
      <c r="DY37" s="173">
        <f t="shared" si="119"/>
        <v>0.29303014634447871</v>
      </c>
      <c r="EA37" s="5">
        <f t="shared" si="72"/>
        <v>1.6336175405963973</v>
      </c>
      <c r="EB37" s="5">
        <f t="shared" si="73"/>
        <v>0.8372289895556535</v>
      </c>
      <c r="EC37" s="5">
        <f t="shared" si="74"/>
        <v>0.3680731936492237</v>
      </c>
      <c r="ED37" s="5"/>
      <c r="EE37" s="173">
        <f t="shared" si="120"/>
        <v>0.52332294525272116</v>
      </c>
      <c r="EF37" s="173">
        <f t="shared" si="75"/>
        <v>0.81285685675596775</v>
      </c>
      <c r="EG37" s="173">
        <f t="shared" si="76"/>
        <v>0.19942399211660039</v>
      </c>
      <c r="EH37" s="173"/>
      <c r="EI37" s="528">
        <f t="shared" si="77"/>
        <v>5.4773381005596526E-3</v>
      </c>
      <c r="EJ37" s="528">
        <f t="shared" si="78"/>
        <v>0.48174156059032297</v>
      </c>
      <c r="EK37" s="528">
        <f t="shared" si="79"/>
        <v>4.3749999999999997E-2</v>
      </c>
      <c r="EL37" s="528">
        <f t="shared" si="80"/>
        <v>5.9122349999999983E-2</v>
      </c>
      <c r="EM37">
        <f t="shared" si="81"/>
        <v>1.0800000000000001E-2</v>
      </c>
      <c r="EN37" s="460">
        <f t="shared" si="121"/>
        <v>54.550000000000004</v>
      </c>
      <c r="EO37">
        <f t="shared" si="82"/>
        <v>0.60315508537476314</v>
      </c>
      <c r="EP37" s="460">
        <f t="shared" si="122"/>
        <v>603.15508537476319</v>
      </c>
      <c r="EQ37" s="173">
        <f t="shared" si="83"/>
        <v>0.19879999999999998</v>
      </c>
      <c r="ER37" s="173">
        <f t="shared" ref="ER37:ER68" si="170">Vfwd22*CK37*(1+Diode_TC/1000*(Ta-25))</f>
        <v>3.5499999999999997E-2</v>
      </c>
      <c r="ES37" s="528"/>
      <c r="EU37" s="460">
        <f t="shared" si="123"/>
        <v>234.29999999999998</v>
      </c>
      <c r="EV37" s="528">
        <f t="shared" si="85"/>
        <v>8.2160071508394772E-3</v>
      </c>
      <c r="EW37" s="528">
        <f t="shared" si="124"/>
        <v>1.9822088087255753E-2</v>
      </c>
      <c r="EX37" s="528">
        <f t="shared" si="86"/>
        <v>1.9884964315860948E-4</v>
      </c>
      <c r="EY37" s="528">
        <f t="shared" si="87"/>
        <v>0.41574376856575956</v>
      </c>
      <c r="EZ37" s="528">
        <f t="shared" si="88"/>
        <v>0.45177812694404029</v>
      </c>
      <c r="FA37" s="625">
        <f t="shared" si="89"/>
        <v>4.9066666666666659E-3</v>
      </c>
      <c r="FB37" s="460">
        <f t="shared" si="125"/>
        <v>456.68479361070695</v>
      </c>
      <c r="FC37" s="173">
        <f t="shared" si="126"/>
        <v>1.2941398789854699</v>
      </c>
      <c r="FD37" s="5">
        <f t="shared" si="127"/>
        <v>5.887999999999999</v>
      </c>
      <c r="FE37" s="173">
        <f t="shared" si="128"/>
        <v>0.81981137922806979</v>
      </c>
      <c r="FF37" s="5">
        <f t="shared" si="129"/>
        <v>81.98113792280698</v>
      </c>
      <c r="FG37">
        <f t="shared" si="130"/>
        <v>32</v>
      </c>
      <c r="FI37" s="562">
        <f t="shared" si="90"/>
        <v>-50</v>
      </c>
      <c r="FJ37">
        <f t="shared" si="91"/>
        <v>-50</v>
      </c>
      <c r="FL37">
        <f t="shared" si="92"/>
        <v>0.40000000000000008</v>
      </c>
    </row>
    <row r="38" spans="5:168">
      <c r="E38" s="170">
        <v>33</v>
      </c>
      <c r="F38" s="217">
        <f t="shared" si="131"/>
        <v>0.33</v>
      </c>
      <c r="G38" s="217">
        <f t="shared" ref="G38:G69" si="171">IF(PLOT_TYPE=1, E38/100*Iout2, min_I*EXP(Q38*rr/100))</f>
        <v>8.2500000000000004E-2</v>
      </c>
      <c r="H38" s="217">
        <f t="shared" si="135"/>
        <v>5.4119999999999999</v>
      </c>
      <c r="I38" s="217">
        <f t="shared" si="132"/>
        <v>0.66</v>
      </c>
      <c r="J38" s="541">
        <f t="shared" si="136"/>
        <v>23.944933169712407</v>
      </c>
      <c r="K38" s="443">
        <f t="shared" si="137"/>
        <v>17.124372115213905</v>
      </c>
      <c r="L38" s="172">
        <f t="shared" si="138"/>
        <v>41.069305284926315</v>
      </c>
      <c r="M38" s="443"/>
      <c r="N38" s="217">
        <f t="shared" si="139"/>
        <v>0.41696279000606984</v>
      </c>
      <c r="O38" s="172">
        <f t="shared" ref="O38:O69" si="172">N38*J38*Isw_max*0.5*Efficiency*Pout/(Pout+Pout2)</f>
        <v>29.663042882539052</v>
      </c>
      <c r="P38" s="172">
        <f t="shared" si="140"/>
        <v>4.0585959922569801</v>
      </c>
      <c r="Q38" s="217">
        <f t="shared" si="6"/>
        <v>1.8087221269840887</v>
      </c>
      <c r="R38" s="217">
        <f t="shared" si="141"/>
        <v>3.7078803603173816</v>
      </c>
      <c r="S38" s="443">
        <f t="shared" si="142"/>
        <v>16.399999999999999</v>
      </c>
      <c r="T38" s="217">
        <f t="shared" si="143"/>
        <v>1.2163283498213948</v>
      </c>
      <c r="U38" s="217">
        <f t="shared" si="10"/>
        <v>0.60956278701662558</v>
      </c>
      <c r="V38" s="217">
        <f t="shared" si="11"/>
        <v>0.8523489269944784</v>
      </c>
      <c r="W38" s="197">
        <f t="shared" si="12"/>
        <v>350</v>
      </c>
      <c r="X38" s="443">
        <f t="shared" si="95"/>
        <v>350</v>
      </c>
      <c r="Z38" s="217">
        <f t="shared" si="13"/>
        <v>2.3771776526076596</v>
      </c>
      <c r="AA38" s="173">
        <f t="shared" si="14"/>
        <v>1.6658205999826574</v>
      </c>
      <c r="AB38" s="173">
        <f t="shared" si="144"/>
        <v>0.69299151311814489</v>
      </c>
      <c r="AC38" s="173"/>
      <c r="AD38" s="173">
        <f t="shared" si="16"/>
        <v>0.93434082676730845</v>
      </c>
      <c r="AE38" s="545">
        <f t="shared" si="145"/>
        <v>529.78526231443004</v>
      </c>
      <c r="AF38" s="528">
        <f t="shared" si="146"/>
        <v>0.21801285957903865</v>
      </c>
      <c r="AH38" s="173">
        <f t="shared" si="147"/>
        <v>1.7004201161561725</v>
      </c>
      <c r="AI38" s="173">
        <f t="shared" si="148"/>
        <v>1.7004201161561725</v>
      </c>
      <c r="AJ38" s="173">
        <f t="shared" si="149"/>
        <v>1.4719161354243251</v>
      </c>
      <c r="AL38" s="545">
        <f t="shared" si="150"/>
        <v>330</v>
      </c>
      <c r="AM38" s="460">
        <f t="shared" si="151"/>
        <v>350</v>
      </c>
      <c r="AO38">
        <f t="shared" si="96"/>
        <v>330</v>
      </c>
      <c r="AP38" s="460">
        <f t="shared" si="24"/>
        <v>350</v>
      </c>
      <c r="AQ38" s="460"/>
      <c r="AR38" s="5">
        <f t="shared" si="97"/>
        <v>2.8571428571428572</v>
      </c>
      <c r="AS38" s="5">
        <f t="shared" si="25"/>
        <v>0.85216530984868677</v>
      </c>
      <c r="AT38" s="5">
        <f t="shared" si="98"/>
        <v>2.0049775472941702</v>
      </c>
      <c r="AU38" s="173">
        <f t="shared" si="99"/>
        <v>0.29825785844704034</v>
      </c>
      <c r="AW38" s="5">
        <f t="shared" si="152"/>
        <v>1.7147228795735774</v>
      </c>
      <c r="AX38" s="5">
        <f t="shared" si="153"/>
        <v>0.87879547578145822</v>
      </c>
      <c r="AY38" s="5">
        <f t="shared" si="28"/>
        <v>0.37763516290512628</v>
      </c>
      <c r="AZ38" s="5"/>
      <c r="BA38" s="173">
        <f t="shared" si="100"/>
        <v>0.53615647391623489</v>
      </c>
      <c r="BB38" s="173">
        <f t="shared" si="154"/>
        <v>0.82240243146967495</v>
      </c>
      <c r="BC38" s="173">
        <f t="shared" si="155"/>
        <v>0.2017658763003076</v>
      </c>
      <c r="BD38" s="173"/>
      <c r="BE38" s="528">
        <f t="shared" si="31"/>
        <v>5.7492752904458053E-3</v>
      </c>
      <c r="BF38" s="528">
        <f t="shared" si="156"/>
        <v>0.45829266566375054</v>
      </c>
      <c r="BG38" s="528">
        <f t="shared" si="157"/>
        <v>0.20951816523498357</v>
      </c>
      <c r="BH38" s="528">
        <f t="shared" si="34"/>
        <v>5.9034074280526677E-2</v>
      </c>
      <c r="BI38">
        <f t="shared" si="35"/>
        <v>1.0775219926370583E-2</v>
      </c>
      <c r="BJ38" s="460">
        <f t="shared" si="101"/>
        <v>220.29338516135417</v>
      </c>
      <c r="BK38">
        <f t="shared" si="158"/>
        <v>0.52534595674941398</v>
      </c>
      <c r="BL38" s="460">
        <f t="shared" si="102"/>
        <v>525.34595674941397</v>
      </c>
      <c r="BM38" s="173">
        <f t="shared" si="159"/>
        <v>0.20501249999999999</v>
      </c>
      <c r="BN38" s="173">
        <f t="shared" si="160"/>
        <v>3.6609375E-2</v>
      </c>
      <c r="BO38" s="528"/>
      <c r="BQ38" s="460">
        <f t="shared" si="103"/>
        <v>241.62187499999999</v>
      </c>
      <c r="BR38" s="528">
        <f t="shared" si="39"/>
        <v>8.6239129356687084E-3</v>
      </c>
      <c r="BS38" s="528">
        <f t="shared" si="104"/>
        <v>2.0290372778617002E-2</v>
      </c>
      <c r="BT38" s="528">
        <f t="shared" si="161"/>
        <v>2.0354734419615513E-4</v>
      </c>
      <c r="BU38" s="528">
        <f t="shared" si="41"/>
        <v>0.43204670804647244</v>
      </c>
      <c r="BV38" s="528">
        <f t="shared" si="162"/>
        <v>0.46924589492954488</v>
      </c>
      <c r="BW38" s="625">
        <f t="shared" si="163"/>
        <v>5.0599999999999994E-3</v>
      </c>
      <c r="BX38" s="460">
        <f t="shared" si="105"/>
        <v>474.30589492954488</v>
      </c>
      <c r="BY38" s="173">
        <f t="shared" si="106"/>
        <v>1.2412737266789589</v>
      </c>
      <c r="BZ38" s="5">
        <f t="shared" si="107"/>
        <v>6.0720000000000001</v>
      </c>
      <c r="CA38" s="173">
        <f t="shared" si="108"/>
        <v>0.83027112438704853</v>
      </c>
      <c r="CB38" s="5">
        <f t="shared" si="109"/>
        <v>83.027112438704847</v>
      </c>
      <c r="CC38">
        <f t="shared" ref="CC38:CC69" si="173">F38/Iout*100</f>
        <v>33</v>
      </c>
      <c r="CE38" s="562">
        <f t="shared" si="164"/>
        <v>-50</v>
      </c>
      <c r="CF38">
        <f t="shared" si="165"/>
        <v>-50</v>
      </c>
      <c r="CG38" s="173">
        <f t="shared" si="166"/>
        <v>0.40620192023179807</v>
      </c>
      <c r="CH38" s="173">
        <f t="shared" si="167"/>
        <v>0.14193188470302376</v>
      </c>
      <c r="CI38" s="170">
        <v>33</v>
      </c>
      <c r="CJ38" s="217">
        <f t="shared" si="133"/>
        <v>0.33</v>
      </c>
      <c r="CK38" s="217">
        <f t="shared" si="111"/>
        <v>8.2500000000000004E-2</v>
      </c>
      <c r="CL38" s="217">
        <f t="shared" si="48"/>
        <v>5.4119999999999999</v>
      </c>
      <c r="CM38" s="217">
        <f t="shared" si="134"/>
        <v>0.66</v>
      </c>
      <c r="CN38" s="541">
        <f t="shared" si="112"/>
        <v>24</v>
      </c>
      <c r="CO38" s="443">
        <f t="shared" si="168"/>
        <v>17.099999999999998</v>
      </c>
      <c r="CP38" s="443">
        <f t="shared" si="169"/>
        <v>41.099999999999994</v>
      </c>
      <c r="CQ38" s="443"/>
      <c r="CR38" s="217">
        <f t="shared" si="113"/>
        <v>0.41176470588235292</v>
      </c>
      <c r="CS38" s="172">
        <f t="shared" si="114"/>
        <v>29.36061381074169</v>
      </c>
      <c r="CT38" s="172">
        <f t="shared" si="51"/>
        <v>4.0172166427546641</v>
      </c>
      <c r="CU38" s="217">
        <f t="shared" si="52"/>
        <v>1.7902813299232738</v>
      </c>
      <c r="CV38" s="217">
        <f t="shared" si="53"/>
        <v>3.6700767263427112</v>
      </c>
      <c r="CW38" s="443">
        <f t="shared" si="54"/>
        <v>16.399999999999999</v>
      </c>
      <c r="CX38" s="217">
        <f t="shared" si="55"/>
        <v>1.2288571428571429</v>
      </c>
      <c r="CY38" s="217">
        <f t="shared" si="56"/>
        <v>0.61442857142857144</v>
      </c>
      <c r="CZ38" s="217">
        <f t="shared" si="57"/>
        <v>0.86235588972431099</v>
      </c>
      <c r="DA38" s="197">
        <f t="shared" si="58"/>
        <v>350</v>
      </c>
      <c r="DB38" s="443">
        <f t="shared" si="115"/>
        <v>350</v>
      </c>
      <c r="DD38" s="217">
        <f t="shared" si="59"/>
        <v>2.377476538060479</v>
      </c>
      <c r="DE38" s="173">
        <f t="shared" si="60"/>
        <v>1.668404588112617</v>
      </c>
      <c r="DF38" s="173">
        <f t="shared" si="61"/>
        <v>0.69415373374028577</v>
      </c>
      <c r="DG38" s="173"/>
      <c r="DH38" s="173">
        <f t="shared" si="62"/>
        <v>0.93567251461988332</v>
      </c>
      <c r="DI38" s="545">
        <f t="shared" si="63"/>
        <v>529.03124999999977</v>
      </c>
      <c r="DJ38" s="528">
        <f t="shared" si="64"/>
        <v>0.21832358674463945</v>
      </c>
      <c r="DL38" s="173">
        <f t="shared" si="65"/>
        <v>1.7004201161561725</v>
      </c>
      <c r="DM38" s="173">
        <f t="shared" si="66"/>
        <v>1.7004201161561725</v>
      </c>
      <c r="DN38" s="173">
        <f t="shared" si="67"/>
        <v>1.4719161354243251</v>
      </c>
      <c r="DP38" s="545">
        <f t="shared" si="68"/>
        <v>330</v>
      </c>
      <c r="DQ38" s="460">
        <f t="shared" si="69"/>
        <v>350</v>
      </c>
      <c r="DS38">
        <f t="shared" si="116"/>
        <v>330</v>
      </c>
      <c r="DT38" s="460">
        <f t="shared" si="70"/>
        <v>350</v>
      </c>
      <c r="DU38" s="460"/>
      <c r="DV38" s="5">
        <f t="shared" si="117"/>
        <v>2.8571428571428572</v>
      </c>
      <c r="DW38" s="5">
        <f t="shared" si="71"/>
        <v>0.85021005807808636</v>
      </c>
      <c r="DX38" s="5">
        <f t="shared" si="118"/>
        <v>2.0069327990647707</v>
      </c>
      <c r="DY38" s="173">
        <f t="shared" si="119"/>
        <v>0.2975735203273302</v>
      </c>
      <c r="EA38" s="5">
        <f t="shared" si="72"/>
        <v>1.7107885314985887</v>
      </c>
      <c r="EB38" s="5">
        <f t="shared" si="73"/>
        <v>0.87677912239302658</v>
      </c>
      <c r="EC38" s="5">
        <f t="shared" si="74"/>
        <v>0.37713612182425477</v>
      </c>
      <c r="ED38" s="5"/>
      <c r="EE38" s="173">
        <f t="shared" si="120"/>
        <v>0.53554102823687355</v>
      </c>
      <c r="EF38" s="173">
        <f t="shared" si="75"/>
        <v>0.82280333669991645</v>
      </c>
      <c r="EG38" s="173">
        <f t="shared" si="76"/>
        <v>0.20186423325062508</v>
      </c>
      <c r="EH38" s="173"/>
      <c r="EI38" s="528">
        <f t="shared" si="77"/>
        <v>5.7360838585001558E-3</v>
      </c>
      <c r="EJ38" s="528">
        <f t="shared" si="78"/>
        <v>0.4892108674181308</v>
      </c>
      <c r="EK38" s="528">
        <f t="shared" si="79"/>
        <v>4.3749999999999997E-2</v>
      </c>
      <c r="EL38" s="528">
        <f t="shared" si="80"/>
        <v>5.9122349999999983E-2</v>
      </c>
      <c r="EM38">
        <f t="shared" si="81"/>
        <v>1.0800000000000001E-2</v>
      </c>
      <c r="EN38" s="460">
        <f t="shared" si="121"/>
        <v>54.550000000000004</v>
      </c>
      <c r="EO38">
        <f t="shared" si="82"/>
        <v>0.61100077291546773</v>
      </c>
      <c r="EP38" s="460">
        <f t="shared" si="122"/>
        <v>611.00077291546768</v>
      </c>
      <c r="EQ38" s="173">
        <f t="shared" si="83"/>
        <v>0.20501249999999999</v>
      </c>
      <c r="ER38" s="173">
        <f t="shared" si="170"/>
        <v>3.6609375E-2</v>
      </c>
      <c r="ES38" s="528"/>
      <c r="EU38" s="460">
        <f t="shared" si="123"/>
        <v>241.62187499999999</v>
      </c>
      <c r="EV38" s="528">
        <f t="shared" si="85"/>
        <v>8.6041257877502338E-3</v>
      </c>
      <c r="EW38" s="528">
        <f t="shared" si="124"/>
        <v>2.0310159926535482E-2</v>
      </c>
      <c r="EX38" s="528">
        <f t="shared" si="86"/>
        <v>2.0374584332931385E-4</v>
      </c>
      <c r="EY38" s="528">
        <f t="shared" si="87"/>
        <v>0.43204670804647244</v>
      </c>
      <c r="EZ38" s="528">
        <f t="shared" si="88"/>
        <v>0.46924614911216606</v>
      </c>
      <c r="FA38" s="625">
        <f t="shared" si="89"/>
        <v>5.0599999999999994E-3</v>
      </c>
      <c r="FB38" s="460">
        <f t="shared" si="125"/>
        <v>474.30614911216605</v>
      </c>
      <c r="FC38" s="173">
        <f t="shared" si="126"/>
        <v>1.3269287970276338</v>
      </c>
      <c r="FD38" s="5">
        <f t="shared" si="127"/>
        <v>6.0720000000000001</v>
      </c>
      <c r="FE38" s="173">
        <f t="shared" si="128"/>
        <v>0.8206593368541808</v>
      </c>
      <c r="FF38" s="5">
        <f t="shared" si="129"/>
        <v>82.065933685418074</v>
      </c>
      <c r="FG38">
        <f t="shared" si="130"/>
        <v>33</v>
      </c>
      <c r="FI38" s="562">
        <f t="shared" si="90"/>
        <v>-50</v>
      </c>
      <c r="FJ38">
        <f t="shared" si="91"/>
        <v>-50</v>
      </c>
      <c r="FL38">
        <f t="shared" si="92"/>
        <v>0.40620192023179807</v>
      </c>
    </row>
    <row r="39" spans="5:168">
      <c r="E39" s="170">
        <v>34</v>
      </c>
      <c r="F39" s="217">
        <f t="shared" si="131"/>
        <v>0.34</v>
      </c>
      <c r="G39" s="217">
        <f t="shared" si="171"/>
        <v>8.5000000000000006E-2</v>
      </c>
      <c r="H39" s="217">
        <f t="shared" si="135"/>
        <v>5.5759999999999996</v>
      </c>
      <c r="I39" s="217">
        <f t="shared" si="132"/>
        <v>0.68</v>
      </c>
      <c r="J39" s="541">
        <f t="shared" si="136"/>
        <v>23.944105050607799</v>
      </c>
      <c r="K39" s="443">
        <f t="shared" si="137"/>
        <v>17.124738633753704</v>
      </c>
      <c r="L39" s="172">
        <f t="shared" si="138"/>
        <v>41.068843684361504</v>
      </c>
      <c r="M39" s="443"/>
      <c r="N39" s="217">
        <f t="shared" si="139"/>
        <v>0.41697640102476485</v>
      </c>
      <c r="O39" s="172">
        <f t="shared" si="172"/>
        <v>29.662985271030056</v>
      </c>
      <c r="P39" s="172">
        <f t="shared" si="140"/>
        <v>4.0585881096590803</v>
      </c>
      <c r="Q39" s="217">
        <f t="shared" si="6"/>
        <v>1.8087186140871987</v>
      </c>
      <c r="R39" s="217">
        <f t="shared" si="141"/>
        <v>3.707873158878757</v>
      </c>
      <c r="S39" s="443">
        <f t="shared" si="142"/>
        <v>16.399999999999999</v>
      </c>
      <c r="T39" s="217">
        <f t="shared" si="143"/>
        <v>1.2531892186063334</v>
      </c>
      <c r="U39" s="217">
        <f t="shared" si="10"/>
        <v>0.62805732732509323</v>
      </c>
      <c r="V39" s="217">
        <f t="shared" si="11"/>
        <v>0.87816059239787914</v>
      </c>
      <c r="W39" s="197">
        <f t="shared" si="12"/>
        <v>350</v>
      </c>
      <c r="X39" s="443">
        <f t="shared" si="95"/>
        <v>350</v>
      </c>
      <c r="Z39" s="217">
        <f t="shared" si="13"/>
        <v>2.3771730356574605</v>
      </c>
      <c r="AA39" s="173">
        <f t="shared" si="14"/>
        <v>1.6657817113578146</v>
      </c>
      <c r="AB39" s="173">
        <f t="shared" si="144"/>
        <v>0.69297398931794874</v>
      </c>
      <c r="AC39" s="173"/>
      <c r="AD39" s="173">
        <f t="shared" si="16"/>
        <v>0.93432082919287385</v>
      </c>
      <c r="AE39" s="545">
        <f t="shared" si="145"/>
        <v>545.85104395089922</v>
      </c>
      <c r="AF39" s="528">
        <f t="shared" si="146"/>
        <v>0.21800819347833722</v>
      </c>
      <c r="AH39" s="173">
        <f t="shared" si="147"/>
        <v>1.7259917783835526</v>
      </c>
      <c r="AI39" s="173">
        <f t="shared" si="148"/>
        <v>1.7259917783835526</v>
      </c>
      <c r="AJ39" s="173">
        <f t="shared" si="149"/>
        <v>1.4908581074446068</v>
      </c>
      <c r="AL39" s="545">
        <f t="shared" si="150"/>
        <v>340</v>
      </c>
      <c r="AM39" s="460">
        <f t="shared" si="151"/>
        <v>350</v>
      </c>
      <c r="AO39">
        <f t="shared" si="96"/>
        <v>340</v>
      </c>
      <c r="AP39" s="460">
        <f t="shared" si="24"/>
        <v>350</v>
      </c>
      <c r="AQ39" s="460"/>
      <c r="AR39" s="5">
        <f t="shared" si="97"/>
        <v>2.8571428571428572</v>
      </c>
      <c r="AS39" s="5">
        <f t="shared" si="25"/>
        <v>0.86501046068860599</v>
      </c>
      <c r="AT39" s="5">
        <f t="shared" si="98"/>
        <v>1.9921323964542512</v>
      </c>
      <c r="AU39" s="173">
        <f t="shared" si="99"/>
        <v>0.30275366124101211</v>
      </c>
      <c r="AW39" s="5">
        <f t="shared" si="152"/>
        <v>1.7933143697202811</v>
      </c>
      <c r="AX39" s="5">
        <f t="shared" si="153"/>
        <v>0.91907361448164404</v>
      </c>
      <c r="AY39" s="5">
        <f t="shared" si="28"/>
        <v>0.38659933969658961</v>
      </c>
      <c r="AZ39" s="5"/>
      <c r="BA39" s="173">
        <f t="shared" si="100"/>
        <v>0.54830574611798066</v>
      </c>
      <c r="BB39" s="173">
        <f t="shared" si="154"/>
        <v>0.83209175082431708</v>
      </c>
      <c r="BC39" s="173">
        <f t="shared" si="155"/>
        <v>0.20414302638587975</v>
      </c>
      <c r="BD39" s="173"/>
      <c r="BE39" s="528">
        <f t="shared" si="31"/>
        <v>6.0127838245199097E-3</v>
      </c>
      <c r="BF39" s="528">
        <f t="shared" si="156"/>
        <v>0.4651794429642101</v>
      </c>
      <c r="BG39" s="528">
        <f t="shared" si="157"/>
        <v>0.20951091919281822</v>
      </c>
      <c r="BH39" s="528">
        <f t="shared" si="34"/>
        <v>5.9032747254968196E-2</v>
      </c>
      <c r="BI39">
        <f t="shared" si="35"/>
        <v>1.0774847272773509E-2</v>
      </c>
      <c r="BJ39" s="460">
        <f t="shared" si="101"/>
        <v>220.28576646559173</v>
      </c>
      <c r="BK39">
        <f t="shared" si="158"/>
        <v>0.5326093313061615</v>
      </c>
      <c r="BL39" s="460">
        <f t="shared" si="102"/>
        <v>532.60933130616149</v>
      </c>
      <c r="BM39" s="173">
        <f t="shared" si="159"/>
        <v>0.21122499999999997</v>
      </c>
      <c r="BN39" s="173">
        <f t="shared" si="160"/>
        <v>3.7718750000000002E-2</v>
      </c>
      <c r="BO39" s="528"/>
      <c r="BQ39" s="460">
        <f t="shared" si="103"/>
        <v>248.94374999999997</v>
      </c>
      <c r="BR39" s="528">
        <f t="shared" si="39"/>
        <v>9.0191757367798636E-3</v>
      </c>
      <c r="BS39" s="528">
        <f t="shared" si="104"/>
        <v>2.0771300453696323E-2</v>
      </c>
      <c r="BT39" s="528">
        <f t="shared" si="161"/>
        <v>2.0837187610992999E-4</v>
      </c>
      <c r="BU39" s="528">
        <f t="shared" si="41"/>
        <v>0.44847364032874348</v>
      </c>
      <c r="BV39" s="528">
        <f t="shared" si="162"/>
        <v>0.48684058446940187</v>
      </c>
      <c r="BW39" s="625">
        <f t="shared" si="163"/>
        <v>5.2133333333333328E-3</v>
      </c>
      <c r="BX39" s="460">
        <f t="shared" si="105"/>
        <v>492.05391780273521</v>
      </c>
      <c r="BY39" s="173">
        <f t="shared" si="106"/>
        <v>1.2736069991088967</v>
      </c>
      <c r="BZ39" s="5">
        <f t="shared" si="107"/>
        <v>6.2559999999999993</v>
      </c>
      <c r="CA39" s="173">
        <f t="shared" si="108"/>
        <v>0.83085345632785035</v>
      </c>
      <c r="CB39" s="5">
        <f t="shared" si="109"/>
        <v>83.085345632785035</v>
      </c>
      <c r="CC39">
        <f t="shared" si="173"/>
        <v>34</v>
      </c>
      <c r="CE39" s="562">
        <f t="shared" si="164"/>
        <v>-50</v>
      </c>
      <c r="CF39">
        <f t="shared" si="165"/>
        <v>-50</v>
      </c>
      <c r="CG39" s="173">
        <f t="shared" si="166"/>
        <v>0.41231056256176613</v>
      </c>
      <c r="CH39" s="173">
        <f t="shared" si="167"/>
        <v>0.14406631852936871</v>
      </c>
      <c r="CI39" s="170">
        <v>34</v>
      </c>
      <c r="CJ39" s="217">
        <f t="shared" si="133"/>
        <v>0.34</v>
      </c>
      <c r="CK39" s="217">
        <f t="shared" si="111"/>
        <v>8.5000000000000006E-2</v>
      </c>
      <c r="CL39" s="217">
        <f t="shared" si="48"/>
        <v>5.5759999999999996</v>
      </c>
      <c r="CM39" s="217">
        <f t="shared" si="134"/>
        <v>0.68</v>
      </c>
      <c r="CN39" s="541">
        <f t="shared" si="112"/>
        <v>24</v>
      </c>
      <c r="CO39" s="443">
        <f t="shared" si="168"/>
        <v>17.099999999999998</v>
      </c>
      <c r="CP39" s="443">
        <f t="shared" si="169"/>
        <v>41.099999999999994</v>
      </c>
      <c r="CQ39" s="443"/>
      <c r="CR39" s="217">
        <f t="shared" si="113"/>
        <v>0.41176470588235292</v>
      </c>
      <c r="CS39" s="172">
        <f t="shared" si="114"/>
        <v>29.36061381074169</v>
      </c>
      <c r="CT39" s="172">
        <f t="shared" si="51"/>
        <v>4.0172166427546641</v>
      </c>
      <c r="CU39" s="217">
        <f t="shared" si="52"/>
        <v>1.7902813299232738</v>
      </c>
      <c r="CV39" s="217">
        <f t="shared" si="53"/>
        <v>3.6700767263427112</v>
      </c>
      <c r="CW39" s="443">
        <f t="shared" si="54"/>
        <v>16.399999999999999</v>
      </c>
      <c r="CX39" s="217">
        <f t="shared" si="55"/>
        <v>1.2660952380952379</v>
      </c>
      <c r="CY39" s="217">
        <f t="shared" si="56"/>
        <v>0.63304761904761897</v>
      </c>
      <c r="CZ39" s="217">
        <f t="shared" si="57"/>
        <v>0.88848788638262322</v>
      </c>
      <c r="DA39" s="197">
        <f t="shared" si="58"/>
        <v>350</v>
      </c>
      <c r="DB39" s="443">
        <f t="shared" si="115"/>
        <v>350</v>
      </c>
      <c r="DD39" s="217">
        <f t="shared" si="59"/>
        <v>2.377476538060479</v>
      </c>
      <c r="DE39" s="173">
        <f t="shared" si="60"/>
        <v>1.668404588112617</v>
      </c>
      <c r="DF39" s="173">
        <f t="shared" si="61"/>
        <v>0.69415373374028577</v>
      </c>
      <c r="DG39" s="173"/>
      <c r="DH39" s="173">
        <f t="shared" si="62"/>
        <v>0.93567251461988332</v>
      </c>
      <c r="DI39" s="545">
        <f t="shared" si="63"/>
        <v>545.06249999999977</v>
      </c>
      <c r="DJ39" s="528">
        <f t="shared" si="64"/>
        <v>0.21832358674463945</v>
      </c>
      <c r="DL39" s="173">
        <f t="shared" si="65"/>
        <v>1.7259917783835526</v>
      </c>
      <c r="DM39" s="173">
        <f t="shared" si="66"/>
        <v>1.7259917783835526</v>
      </c>
      <c r="DN39" s="173">
        <f t="shared" si="67"/>
        <v>1.4908581074446068</v>
      </c>
      <c r="DP39" s="545">
        <f t="shared" si="68"/>
        <v>340</v>
      </c>
      <c r="DQ39" s="460">
        <f t="shared" si="69"/>
        <v>350</v>
      </c>
      <c r="DS39">
        <f t="shared" si="116"/>
        <v>340</v>
      </c>
      <c r="DT39" s="460">
        <f t="shared" si="70"/>
        <v>350</v>
      </c>
      <c r="DU39" s="460"/>
      <c r="DV39" s="5">
        <f t="shared" si="117"/>
        <v>2.8571428571428572</v>
      </c>
      <c r="DW39" s="5">
        <f t="shared" si="71"/>
        <v>0.86299588919177628</v>
      </c>
      <c r="DX39" s="5">
        <f t="shared" si="118"/>
        <v>1.9941469679510808</v>
      </c>
      <c r="DY39" s="173">
        <f t="shared" si="119"/>
        <v>0.3020485612171217</v>
      </c>
      <c r="EA39" s="5">
        <f t="shared" si="72"/>
        <v>1.7891378190561218</v>
      </c>
      <c r="EB39" s="5">
        <f t="shared" si="73"/>
        <v>0.91693313226626239</v>
      </c>
      <c r="EC39" s="5">
        <f t="shared" si="74"/>
        <v>0.38608901018386194</v>
      </c>
      <c r="ED39" s="5"/>
      <c r="EE39" s="173">
        <f t="shared" si="120"/>
        <v>0.54766688389038853</v>
      </c>
      <c r="EF39" s="173">
        <f t="shared" si="75"/>
        <v>0.83251237666815758</v>
      </c>
      <c r="EG39" s="173">
        <f t="shared" si="76"/>
        <v>0.20424622153551639</v>
      </c>
      <c r="EH39" s="173"/>
      <c r="EI39" s="528">
        <f t="shared" si="77"/>
        <v>5.9987803142041666E-3</v>
      </c>
      <c r="EJ39" s="528">
        <f t="shared" si="78"/>
        <v>0.49656783464094795</v>
      </c>
      <c r="EK39" s="528">
        <f t="shared" si="79"/>
        <v>4.3749999999999997E-2</v>
      </c>
      <c r="EL39" s="528">
        <f t="shared" si="80"/>
        <v>5.9122349999999983E-2</v>
      </c>
      <c r="EM39">
        <f t="shared" si="81"/>
        <v>1.0800000000000001E-2</v>
      </c>
      <c r="EN39" s="460">
        <f t="shared" si="121"/>
        <v>54.550000000000004</v>
      </c>
      <c r="EO39">
        <f t="shared" si="82"/>
        <v>0.61874053283423203</v>
      </c>
      <c r="EP39" s="460">
        <f t="shared" si="122"/>
        <v>618.740532834232</v>
      </c>
      <c r="EQ39" s="173">
        <f t="shared" si="83"/>
        <v>0.21122499999999997</v>
      </c>
      <c r="ER39" s="173">
        <f t="shared" si="170"/>
        <v>3.7718750000000002E-2</v>
      </c>
      <c r="ES39" s="528"/>
      <c r="EU39" s="460">
        <f t="shared" si="123"/>
        <v>248.94374999999997</v>
      </c>
      <c r="EV39" s="528">
        <f t="shared" si="85"/>
        <v>8.998170471306249E-3</v>
      </c>
      <c r="EW39" s="528">
        <f t="shared" si="124"/>
        <v>2.0792305719169926E-2</v>
      </c>
      <c r="EX39" s="528">
        <f t="shared" si="86"/>
        <v>2.0858259505767619E-4</v>
      </c>
      <c r="EY39" s="528">
        <f t="shared" si="87"/>
        <v>0.44847364032874348</v>
      </c>
      <c r="EZ39" s="528">
        <f t="shared" si="88"/>
        <v>0.48684085461615179</v>
      </c>
      <c r="FA39" s="625">
        <f t="shared" si="89"/>
        <v>5.2133333333333328E-3</v>
      </c>
      <c r="FB39" s="460">
        <f t="shared" si="125"/>
        <v>492.05418794948514</v>
      </c>
      <c r="FC39" s="173">
        <f t="shared" si="126"/>
        <v>1.359738470783717</v>
      </c>
      <c r="FD39" s="5">
        <f t="shared" si="127"/>
        <v>6.2559999999999993</v>
      </c>
      <c r="FE39" s="173">
        <f t="shared" si="128"/>
        <v>0.82145677979882237</v>
      </c>
      <c r="FF39" s="5">
        <f t="shared" si="129"/>
        <v>82.145677979882237</v>
      </c>
      <c r="FG39">
        <f t="shared" si="130"/>
        <v>34</v>
      </c>
      <c r="FI39" s="562">
        <f t="shared" si="90"/>
        <v>-50</v>
      </c>
      <c r="FJ39">
        <f t="shared" si="91"/>
        <v>-50</v>
      </c>
      <c r="FL39">
        <f t="shared" si="92"/>
        <v>0.41231056256176607</v>
      </c>
    </row>
    <row r="40" spans="5:168">
      <c r="E40" s="170">
        <v>35</v>
      </c>
      <c r="F40" s="217">
        <f t="shared" ref="F40:F71" si="174">IF(PLOT_TYPE=1, E40/100*Iout_max, min_I*EXP(O40*rr/100))</f>
        <v>0.35</v>
      </c>
      <c r="G40" s="217">
        <f t="shared" si="171"/>
        <v>8.7499999999999994E-2</v>
      </c>
      <c r="H40" s="217">
        <f t="shared" si="135"/>
        <v>5.7399999999999993</v>
      </c>
      <c r="I40" s="217">
        <f t="shared" ref="I40:I71" si="175">Vout2*G40</f>
        <v>0.7</v>
      </c>
      <c r="J40" s="541">
        <f t="shared" si="136"/>
        <v>23.943289022780498</v>
      </c>
      <c r="K40" s="443">
        <f t="shared" si="137"/>
        <v>17.125099800796018</v>
      </c>
      <c r="L40" s="172">
        <f t="shared" si="138"/>
        <v>41.068388823576512</v>
      </c>
      <c r="M40" s="443"/>
      <c r="N40" s="217">
        <f t="shared" si="139"/>
        <v>0.41698981360975262</v>
      </c>
      <c r="O40" s="172">
        <f t="shared" si="172"/>
        <v>29.662928456475413</v>
      </c>
      <c r="P40" s="172">
        <f t="shared" si="140"/>
        <v>4.0585803361031205</v>
      </c>
      <c r="Q40" s="217">
        <f t="shared" si="6"/>
        <v>1.8087151497850864</v>
      </c>
      <c r="R40" s="217">
        <f t="shared" si="141"/>
        <v>3.7078660570594266</v>
      </c>
      <c r="S40" s="443">
        <f t="shared" si="142"/>
        <v>16.399999999999999</v>
      </c>
      <c r="T40" s="217">
        <f t="shared" si="143"/>
        <v>1.2900501959142558</v>
      </c>
      <c r="U40" s="217">
        <f t="shared" si="10"/>
        <v>0.64655287484698842</v>
      </c>
      <c r="V40" s="217">
        <f t="shared" si="11"/>
        <v>0.90397151146830068</v>
      </c>
      <c r="W40" s="197">
        <f t="shared" si="12"/>
        <v>350</v>
      </c>
      <c r="X40" s="443">
        <f t="shared" si="95"/>
        <v>350</v>
      </c>
      <c r="Z40" s="217">
        <f t="shared" si="13"/>
        <v>2.3771684825746848</v>
      </c>
      <c r="AA40" s="173">
        <f t="shared" si="14"/>
        <v>1.6657433896864215</v>
      </c>
      <c r="AB40" s="173">
        <f t="shared" si="144"/>
        <v>0.69295672005344455</v>
      </c>
      <c r="AC40" s="173"/>
      <c r="AD40" s="173">
        <f t="shared" si="16"/>
        <v>0.93430112443819346</v>
      </c>
      <c r="AE40" s="545">
        <f t="shared" si="145"/>
        <v>561.91733721361913</v>
      </c>
      <c r="AF40" s="528">
        <f t="shared" si="146"/>
        <v>0.21800359570224517</v>
      </c>
      <c r="AH40" s="173">
        <f t="shared" si="147"/>
        <v>1.7511900715418263</v>
      </c>
      <c r="AI40" s="173">
        <f t="shared" si="148"/>
        <v>1.7511900715418263</v>
      </c>
      <c r="AJ40" s="173">
        <f t="shared" si="149"/>
        <v>1.5095235097840687</v>
      </c>
      <c r="AL40" s="545">
        <f t="shared" si="150"/>
        <v>350</v>
      </c>
      <c r="AM40" s="460">
        <f t="shared" si="151"/>
        <v>350</v>
      </c>
      <c r="AO40">
        <f t="shared" si="96"/>
        <v>350</v>
      </c>
      <c r="AP40" s="460">
        <f t="shared" si="24"/>
        <v>350</v>
      </c>
      <c r="AQ40" s="460"/>
      <c r="AR40" s="5">
        <f t="shared" si="97"/>
        <v>2.8571428571428572</v>
      </c>
      <c r="AS40" s="5">
        <f t="shared" si="25"/>
        <v>0.87766893005001034</v>
      </c>
      <c r="AT40" s="5">
        <f t="shared" si="98"/>
        <v>1.979473927092847</v>
      </c>
      <c r="AU40" s="173">
        <f t="shared" si="99"/>
        <v>0.30718412551750363</v>
      </c>
      <c r="AW40" s="5">
        <f t="shared" si="152"/>
        <v>1.8730739360823394</v>
      </c>
      <c r="AX40" s="5">
        <f t="shared" si="153"/>
        <v>0.9599503922421988</v>
      </c>
      <c r="AY40" s="5">
        <f t="shared" si="28"/>
        <v>0.39545459309783199</v>
      </c>
      <c r="AZ40" s="5"/>
      <c r="BA40" s="173">
        <f t="shared" si="100"/>
        <v>0.56036634393751072</v>
      </c>
      <c r="BB40" s="173">
        <f t="shared" si="154"/>
        <v>0.84155319665742445</v>
      </c>
      <c r="BC40" s="173">
        <f t="shared" si="155"/>
        <v>0.20646427062900941</v>
      </c>
      <c r="BD40" s="173"/>
      <c r="BE40" s="528">
        <f t="shared" si="31"/>
        <v>6.2802087883578519E-3</v>
      </c>
      <c r="BF40" s="528">
        <f t="shared" si="156"/>
        <v>0.47196551562606132</v>
      </c>
      <c r="BG40" s="528">
        <f t="shared" si="157"/>
        <v>0.20950377894932934</v>
      </c>
      <c r="BH40" s="528">
        <f t="shared" si="34"/>
        <v>5.9031439619756251E-2</v>
      </c>
      <c r="BI40">
        <f t="shared" si="35"/>
        <v>1.0774480060251224E-2</v>
      </c>
      <c r="BJ40" s="460">
        <f t="shared" si="101"/>
        <v>220.27825900958055</v>
      </c>
      <c r="BK40">
        <f t="shared" si="158"/>
        <v>0.53977826544808027</v>
      </c>
      <c r="BL40" s="460">
        <f t="shared" si="102"/>
        <v>539.77826544808022</v>
      </c>
      <c r="BM40" s="173">
        <f t="shared" si="159"/>
        <v>0.21743749999999995</v>
      </c>
      <c r="BN40" s="173">
        <f t="shared" si="160"/>
        <v>3.8828124999999998E-2</v>
      </c>
      <c r="BO40" s="528"/>
      <c r="BQ40" s="460">
        <f t="shared" si="103"/>
        <v>256.26562499999994</v>
      </c>
      <c r="BR40" s="528">
        <f t="shared" si="39"/>
        <v>9.420313182536777E-3</v>
      </c>
      <c r="BS40" s="528">
        <f t="shared" si="104"/>
        <v>2.1246353484129891E-2</v>
      </c>
      <c r="BT40" s="528">
        <f t="shared" si="161"/>
        <v>2.1313747523184418E-4</v>
      </c>
      <c r="BU40" s="528">
        <f t="shared" si="41"/>
        <v>0.4650218193901316</v>
      </c>
      <c r="BV40" s="528">
        <f t="shared" si="162"/>
        <v>0.50455923174643103</v>
      </c>
      <c r="BW40" s="625">
        <f t="shared" si="163"/>
        <v>5.3666666666666663E-3</v>
      </c>
      <c r="BX40" s="460">
        <f t="shared" si="105"/>
        <v>509.92589841309768</v>
      </c>
      <c r="BY40" s="173">
        <f t="shared" si="106"/>
        <v>1.3059697888611779</v>
      </c>
      <c r="BZ40" s="5">
        <f t="shared" si="107"/>
        <v>6.4399999999999995</v>
      </c>
      <c r="CA40" s="173">
        <f t="shared" si="108"/>
        <v>0.83140009263408399</v>
      </c>
      <c r="CB40" s="5">
        <f t="shared" si="109"/>
        <v>83.140009263408402</v>
      </c>
      <c r="CC40">
        <f t="shared" si="173"/>
        <v>35</v>
      </c>
      <c r="CE40" s="562">
        <f t="shared" si="164"/>
        <v>-50</v>
      </c>
      <c r="CF40">
        <f t="shared" si="165"/>
        <v>-50</v>
      </c>
      <c r="CG40" s="173">
        <f t="shared" si="166"/>
        <v>0.41833001326703784</v>
      </c>
      <c r="CH40" s="173">
        <f t="shared" si="167"/>
        <v>0.14616958771871333</v>
      </c>
      <c r="CI40" s="170">
        <v>35</v>
      </c>
      <c r="CJ40" s="217">
        <f t="shared" si="133"/>
        <v>0.35</v>
      </c>
      <c r="CK40" s="217">
        <f t="shared" si="111"/>
        <v>8.7499999999999994E-2</v>
      </c>
      <c r="CL40" s="217">
        <f t="shared" si="48"/>
        <v>5.7399999999999993</v>
      </c>
      <c r="CM40" s="217">
        <f t="shared" si="134"/>
        <v>0.7</v>
      </c>
      <c r="CN40" s="541">
        <f t="shared" si="112"/>
        <v>24</v>
      </c>
      <c r="CO40" s="443">
        <f t="shared" si="168"/>
        <v>17.099999999999998</v>
      </c>
      <c r="CP40" s="443">
        <f t="shared" si="169"/>
        <v>41.099999999999994</v>
      </c>
      <c r="CQ40" s="443"/>
      <c r="CR40" s="217">
        <f t="shared" si="113"/>
        <v>0.41176470588235292</v>
      </c>
      <c r="CS40" s="172">
        <f t="shared" si="114"/>
        <v>29.36061381074169</v>
      </c>
      <c r="CT40" s="172">
        <f t="shared" si="51"/>
        <v>4.0172166427546641</v>
      </c>
      <c r="CU40" s="217">
        <f t="shared" si="52"/>
        <v>1.7902813299232738</v>
      </c>
      <c r="CV40" s="217">
        <f t="shared" si="53"/>
        <v>3.6700767263427112</v>
      </c>
      <c r="CW40" s="443">
        <f t="shared" si="54"/>
        <v>16.399999999999999</v>
      </c>
      <c r="CX40" s="217">
        <f t="shared" si="55"/>
        <v>1.3033333333333332</v>
      </c>
      <c r="CY40" s="217">
        <f t="shared" si="56"/>
        <v>0.65166666666666662</v>
      </c>
      <c r="CZ40" s="217">
        <f t="shared" si="57"/>
        <v>0.91461988304093578</v>
      </c>
      <c r="DA40" s="197">
        <f t="shared" si="58"/>
        <v>350</v>
      </c>
      <c r="DB40" s="443">
        <f t="shared" si="115"/>
        <v>350</v>
      </c>
      <c r="DD40" s="217">
        <f t="shared" si="59"/>
        <v>2.377476538060479</v>
      </c>
      <c r="DE40" s="173">
        <f t="shared" si="60"/>
        <v>1.668404588112617</v>
      </c>
      <c r="DF40" s="173">
        <f t="shared" si="61"/>
        <v>0.69415373374028577</v>
      </c>
      <c r="DG40" s="173"/>
      <c r="DH40" s="173">
        <f t="shared" si="62"/>
        <v>0.93567251461988332</v>
      </c>
      <c r="DI40" s="545">
        <f t="shared" si="63"/>
        <v>561.09374999999977</v>
      </c>
      <c r="DJ40" s="528">
        <f t="shared" si="64"/>
        <v>0.21832358674463945</v>
      </c>
      <c r="DL40" s="173">
        <f t="shared" si="65"/>
        <v>1.7511900715418263</v>
      </c>
      <c r="DM40" s="173">
        <f t="shared" si="66"/>
        <v>1.7511900715418263</v>
      </c>
      <c r="DN40" s="173">
        <f t="shared" si="67"/>
        <v>1.5095235097840687</v>
      </c>
      <c r="DP40" s="545">
        <f t="shared" si="68"/>
        <v>350</v>
      </c>
      <c r="DQ40" s="460">
        <f t="shared" si="69"/>
        <v>350</v>
      </c>
      <c r="DS40">
        <f t="shared" si="116"/>
        <v>350</v>
      </c>
      <c r="DT40" s="460">
        <f t="shared" si="70"/>
        <v>350</v>
      </c>
      <c r="DU40" s="460"/>
      <c r="DV40" s="5">
        <f t="shared" si="117"/>
        <v>2.8571428571428572</v>
      </c>
      <c r="DW40" s="5">
        <f t="shared" si="71"/>
        <v>0.87559503577091313</v>
      </c>
      <c r="DX40" s="5">
        <f t="shared" si="118"/>
        <v>1.9815478213719442</v>
      </c>
      <c r="DY40" s="173">
        <f t="shared" si="119"/>
        <v>0.30645826251981961</v>
      </c>
      <c r="EA40" s="5">
        <f t="shared" si="72"/>
        <v>1.8686479421940221</v>
      </c>
      <c r="EB40" s="5">
        <f t="shared" si="73"/>
        <v>0.9576820703744362</v>
      </c>
      <c r="EC40" s="5">
        <f t="shared" si="74"/>
        <v>0.39493348939843598</v>
      </c>
      <c r="ED40" s="5"/>
      <c r="EE40" s="173">
        <f t="shared" si="120"/>
        <v>0.55970389147420729</v>
      </c>
      <c r="EF40" s="173">
        <f t="shared" si="75"/>
        <v>0.84199392877315404</v>
      </c>
      <c r="EG40" s="173">
        <f t="shared" si="76"/>
        <v>0.20657239859427451</v>
      </c>
      <c r="EH40" s="173"/>
      <c r="EI40" s="528">
        <f t="shared" si="77"/>
        <v>6.2653689226274244E-3</v>
      </c>
      <c r="EJ40" s="528">
        <f t="shared" si="78"/>
        <v>0.50381738358258343</v>
      </c>
      <c r="EK40" s="528">
        <f t="shared" si="79"/>
        <v>4.3749999999999997E-2</v>
      </c>
      <c r="EL40" s="528">
        <f t="shared" si="80"/>
        <v>5.9122349999999983E-2</v>
      </c>
      <c r="EM40">
        <f t="shared" si="81"/>
        <v>1.0800000000000001E-2</v>
      </c>
      <c r="EN40" s="460">
        <f t="shared" si="121"/>
        <v>54.550000000000004</v>
      </c>
      <c r="EO40">
        <f t="shared" si="82"/>
        <v>0.62637921256640139</v>
      </c>
      <c r="EP40" s="460">
        <f t="shared" si="122"/>
        <v>626.37921256640141</v>
      </c>
      <c r="EQ40" s="173">
        <f t="shared" si="83"/>
        <v>0.21743749999999995</v>
      </c>
      <c r="ER40" s="173">
        <f t="shared" si="170"/>
        <v>3.8828124999999998E-2</v>
      </c>
      <c r="ES40" s="528"/>
      <c r="EU40" s="460">
        <f t="shared" si="123"/>
        <v>256.26562499999994</v>
      </c>
      <c r="EV40" s="528">
        <f t="shared" si="85"/>
        <v>9.3980533839411358E-3</v>
      </c>
      <c r="EW40" s="528">
        <f t="shared" si="124"/>
        <v>2.1268613282725536E-2</v>
      </c>
      <c r="EX40" s="528">
        <f t="shared" si="86"/>
        <v>2.1336077930495911E-4</v>
      </c>
      <c r="EY40" s="528">
        <f t="shared" si="87"/>
        <v>0.4650218193901316</v>
      </c>
      <c r="EZ40" s="528">
        <f t="shared" si="88"/>
        <v>0.50455951836515578</v>
      </c>
      <c r="FA40" s="625">
        <f t="shared" si="89"/>
        <v>5.3666666666666663E-3</v>
      </c>
      <c r="FB40" s="460">
        <f t="shared" si="125"/>
        <v>509.9261850318224</v>
      </c>
      <c r="FC40" s="173">
        <f t="shared" si="126"/>
        <v>1.392571022598224</v>
      </c>
      <c r="FD40" s="5">
        <f t="shared" si="127"/>
        <v>6.4399999999999995</v>
      </c>
      <c r="FE40" s="173">
        <f t="shared" si="128"/>
        <v>0.82220767375355641</v>
      </c>
      <c r="FF40" s="5">
        <f t="shared" si="129"/>
        <v>82.220767375355635</v>
      </c>
      <c r="FG40">
        <f t="shared" si="130"/>
        <v>35</v>
      </c>
      <c r="FI40" s="562">
        <f t="shared" si="90"/>
        <v>-50</v>
      </c>
      <c r="FJ40">
        <f t="shared" si="91"/>
        <v>-50</v>
      </c>
      <c r="FL40">
        <f t="shared" si="92"/>
        <v>0.41833001326703778</v>
      </c>
    </row>
    <row r="41" spans="5:168">
      <c r="E41" s="170">
        <v>36</v>
      </c>
      <c r="F41" s="217">
        <f t="shared" si="174"/>
        <v>0.36</v>
      </c>
      <c r="G41" s="217">
        <f t="shared" si="171"/>
        <v>0.09</v>
      </c>
      <c r="H41" s="217">
        <f t="shared" si="135"/>
        <v>5.903999999999999</v>
      </c>
      <c r="I41" s="217">
        <f t="shared" si="175"/>
        <v>0.72</v>
      </c>
      <c r="J41" s="541">
        <f t="shared" si="136"/>
        <v>23.942484571575751</v>
      </c>
      <c r="K41" s="443">
        <f t="shared" si="137"/>
        <v>17.125455844122712</v>
      </c>
      <c r="L41" s="172">
        <f t="shared" si="138"/>
        <v>41.067940415698459</v>
      </c>
      <c r="M41" s="443"/>
      <c r="N41" s="217">
        <f t="shared" si="139"/>
        <v>0.4170030362072018</v>
      </c>
      <c r="O41" s="172">
        <f t="shared" si="172"/>
        <v>29.662872404952044</v>
      </c>
      <c r="P41" s="172">
        <f t="shared" si="140"/>
        <v>4.0585726669476321</v>
      </c>
      <c r="Q41" s="217">
        <f t="shared" si="6"/>
        <v>1.8087117320092712</v>
      </c>
      <c r="R41" s="217">
        <f t="shared" si="141"/>
        <v>3.7078590506190054</v>
      </c>
      <c r="S41" s="443">
        <f t="shared" si="142"/>
        <v>16.399999999999999</v>
      </c>
      <c r="T41" s="217">
        <f t="shared" si="143"/>
        <v>1.3269112802922307</v>
      </c>
      <c r="U41" s="217">
        <f t="shared" si="10"/>
        <v>0.66504941523112848</v>
      </c>
      <c r="V41" s="217">
        <f t="shared" si="11"/>
        <v>0.92978169506485664</v>
      </c>
      <c r="W41" s="197">
        <f t="shared" si="12"/>
        <v>350</v>
      </c>
      <c r="X41" s="443">
        <f t="shared" si="95"/>
        <v>350</v>
      </c>
      <c r="Z41" s="217">
        <f t="shared" si="13"/>
        <v>2.3771639906407551</v>
      </c>
      <c r="AA41" s="173">
        <f t="shared" si="14"/>
        <v>1.6657056108365662</v>
      </c>
      <c r="AB41" s="173">
        <f t="shared" si="144"/>
        <v>0.69293969449056603</v>
      </c>
      <c r="AC41" s="173"/>
      <c r="AD41" s="173">
        <f t="shared" si="16"/>
        <v>0.93428170003959599</v>
      </c>
      <c r="AE41" s="545">
        <f t="shared" si="145"/>
        <v>577.98413473914138</v>
      </c>
      <c r="AF41" s="528">
        <f t="shared" si="146"/>
        <v>0.21799906334257244</v>
      </c>
      <c r="AH41" s="173">
        <f t="shared" si="147"/>
        <v>1.7760308877622915</v>
      </c>
      <c r="AI41" s="173">
        <f t="shared" si="148"/>
        <v>1.7760308877622915</v>
      </c>
      <c r="AJ41" s="173">
        <f t="shared" si="149"/>
        <v>1.5279241143918207</v>
      </c>
      <c r="AL41" s="545">
        <f t="shared" si="150"/>
        <v>360</v>
      </c>
      <c r="AM41" s="460">
        <f t="shared" si="151"/>
        <v>350</v>
      </c>
      <c r="AO41">
        <f t="shared" si="96"/>
        <v>360</v>
      </c>
      <c r="AP41" s="460">
        <f t="shared" si="24"/>
        <v>350</v>
      </c>
      <c r="AQ41" s="460"/>
      <c r="AR41" s="5">
        <f t="shared" si="97"/>
        <v>2.8571428571428572</v>
      </c>
      <c r="AS41" s="5">
        <f t="shared" si="25"/>
        <v>0.89014866395483894</v>
      </c>
      <c r="AT41" s="5">
        <f t="shared" si="98"/>
        <v>1.9669941931880182</v>
      </c>
      <c r="AU41" s="173">
        <f t="shared" si="99"/>
        <v>0.3115520323841936</v>
      </c>
      <c r="AW41" s="5">
        <f t="shared" si="152"/>
        <v>1.9539848720959885</v>
      </c>
      <c r="AX41" s="5">
        <f t="shared" si="153"/>
        <v>1.0014172469491938</v>
      </c>
      <c r="AY41" s="5">
        <f t="shared" si="28"/>
        <v>0.40420247119942593</v>
      </c>
      <c r="AZ41" s="5"/>
      <c r="BA41" s="173">
        <f t="shared" si="100"/>
        <v>0.572341426366623</v>
      </c>
      <c r="BB41" s="173">
        <f t="shared" si="154"/>
        <v>0.8507960173233009</v>
      </c>
      <c r="BC41" s="173">
        <f t="shared" si="155"/>
        <v>0.20873187799466919</v>
      </c>
      <c r="BD41" s="173"/>
      <c r="BE41" s="528">
        <f t="shared" si="31"/>
        <v>6.551494166707611E-3</v>
      </c>
      <c r="BF41" s="528">
        <f t="shared" si="156"/>
        <v>0.47865517005509312</v>
      </c>
      <c r="BG41" s="528">
        <f t="shared" si="157"/>
        <v>0.20949674000128782</v>
      </c>
      <c r="BH41" s="528">
        <f t="shared" si="34"/>
        <v>5.9030150549557563E-2</v>
      </c>
      <c r="BI41">
        <f t="shared" si="35"/>
        <v>1.0774118057209087E-2</v>
      </c>
      <c r="BJ41" s="460">
        <f t="shared" si="101"/>
        <v>220.27085805849691</v>
      </c>
      <c r="BK41">
        <f t="shared" si="158"/>
        <v>0.54685697491117147</v>
      </c>
      <c r="BL41" s="460">
        <f t="shared" si="102"/>
        <v>546.85697491117151</v>
      </c>
      <c r="BM41" s="173">
        <f t="shared" si="159"/>
        <v>0.22364999999999999</v>
      </c>
      <c r="BN41" s="173">
        <f t="shared" si="160"/>
        <v>3.9937499999999994E-2</v>
      </c>
      <c r="BO41" s="528"/>
      <c r="BQ41" s="460">
        <f t="shared" si="103"/>
        <v>263.58749999999998</v>
      </c>
      <c r="BR41" s="528">
        <f t="shared" si="39"/>
        <v>9.8272412500614165E-3</v>
      </c>
      <c r="BS41" s="528">
        <f t="shared" si="104"/>
        <v>2.1715615892795716E-2</v>
      </c>
      <c r="BT41" s="528">
        <f t="shared" si="161"/>
        <v>2.1784498445590733E-4</v>
      </c>
      <c r="BU41" s="528">
        <f t="shared" si="41"/>
        <v>0.48168863706143028</v>
      </c>
      <c r="BV41" s="528">
        <f t="shared" si="162"/>
        <v>0.52239924905455881</v>
      </c>
      <c r="BW41" s="625">
        <f t="shared" si="163"/>
        <v>5.519999999999998E-3</v>
      </c>
      <c r="BX41" s="460">
        <f t="shared" si="105"/>
        <v>527.9192490545588</v>
      </c>
      <c r="BY41" s="173">
        <f t="shared" si="106"/>
        <v>1.3383637239657302</v>
      </c>
      <c r="BZ41" s="5">
        <f t="shared" si="107"/>
        <v>6.6239999999999988</v>
      </c>
      <c r="CA41" s="173">
        <f t="shared" si="108"/>
        <v>0.83191376702154152</v>
      </c>
      <c r="CB41" s="5">
        <f t="shared" si="109"/>
        <v>83.191376702154145</v>
      </c>
      <c r="CC41">
        <f t="shared" si="173"/>
        <v>36</v>
      </c>
      <c r="CE41" s="562">
        <f t="shared" si="164"/>
        <v>-50</v>
      </c>
      <c r="CF41">
        <f t="shared" si="165"/>
        <v>-50</v>
      </c>
      <c r="CG41" s="173">
        <f t="shared" si="166"/>
        <v>0.42426406871192857</v>
      </c>
      <c r="CH41" s="173">
        <f t="shared" si="167"/>
        <v>0.14824301876686044</v>
      </c>
      <c r="CI41" s="170">
        <v>36</v>
      </c>
      <c r="CJ41" s="217">
        <f t="shared" si="133"/>
        <v>0.36</v>
      </c>
      <c r="CK41" s="217">
        <f t="shared" si="111"/>
        <v>0.09</v>
      </c>
      <c r="CL41" s="217">
        <f t="shared" si="48"/>
        <v>5.903999999999999</v>
      </c>
      <c r="CM41" s="217">
        <f t="shared" si="134"/>
        <v>0.72</v>
      </c>
      <c r="CN41" s="541">
        <f t="shared" si="112"/>
        <v>24</v>
      </c>
      <c r="CO41" s="443">
        <f t="shared" si="168"/>
        <v>17.099999999999998</v>
      </c>
      <c r="CP41" s="443">
        <f t="shared" si="169"/>
        <v>41.099999999999994</v>
      </c>
      <c r="CQ41" s="443"/>
      <c r="CR41" s="217">
        <f t="shared" si="113"/>
        <v>0.41176470588235292</v>
      </c>
      <c r="CS41" s="172">
        <f t="shared" si="114"/>
        <v>29.36061381074169</v>
      </c>
      <c r="CT41" s="172">
        <f t="shared" si="51"/>
        <v>4.0172166427546641</v>
      </c>
      <c r="CU41" s="217">
        <f t="shared" si="52"/>
        <v>1.7902813299232738</v>
      </c>
      <c r="CV41" s="217">
        <f t="shared" si="53"/>
        <v>3.6700767263427112</v>
      </c>
      <c r="CW41" s="443">
        <f t="shared" si="54"/>
        <v>16.399999999999999</v>
      </c>
      <c r="CX41" s="217">
        <f t="shared" si="55"/>
        <v>1.3405714285714283</v>
      </c>
      <c r="CY41" s="217">
        <f t="shared" si="56"/>
        <v>0.67028571428571415</v>
      </c>
      <c r="CZ41" s="217">
        <f t="shared" si="57"/>
        <v>0.94075187969924812</v>
      </c>
      <c r="DA41" s="197">
        <f t="shared" si="58"/>
        <v>350</v>
      </c>
      <c r="DB41" s="443">
        <f t="shared" si="115"/>
        <v>350</v>
      </c>
      <c r="DD41" s="217">
        <f t="shared" si="59"/>
        <v>2.377476538060479</v>
      </c>
      <c r="DE41" s="173">
        <f t="shared" si="60"/>
        <v>1.668404588112617</v>
      </c>
      <c r="DF41" s="173">
        <f t="shared" si="61"/>
        <v>0.69415373374028577</v>
      </c>
      <c r="DG41" s="173"/>
      <c r="DH41" s="173">
        <f t="shared" si="62"/>
        <v>0.93567251461988332</v>
      </c>
      <c r="DI41" s="545">
        <f t="shared" si="63"/>
        <v>577.12499999999977</v>
      </c>
      <c r="DJ41" s="528">
        <f t="shared" si="64"/>
        <v>0.21832358674463945</v>
      </c>
      <c r="DL41" s="173">
        <f t="shared" si="65"/>
        <v>1.7760308877622915</v>
      </c>
      <c r="DM41" s="173">
        <f t="shared" si="66"/>
        <v>1.7760308877622915</v>
      </c>
      <c r="DN41" s="173">
        <f t="shared" si="67"/>
        <v>1.5279241143918207</v>
      </c>
      <c r="DP41" s="545">
        <f t="shared" si="68"/>
        <v>360</v>
      </c>
      <c r="DQ41" s="460">
        <f t="shared" si="69"/>
        <v>350</v>
      </c>
      <c r="DS41">
        <f t="shared" si="116"/>
        <v>360</v>
      </c>
      <c r="DT41" s="460">
        <f t="shared" si="70"/>
        <v>350</v>
      </c>
      <c r="DU41" s="460"/>
      <c r="DV41" s="5">
        <f t="shared" si="117"/>
        <v>2.8571428571428572</v>
      </c>
      <c r="DW41" s="5">
        <f t="shared" si="71"/>
        <v>0.88801544388114584</v>
      </c>
      <c r="DX41" s="5">
        <f t="shared" si="118"/>
        <v>1.9691274132617114</v>
      </c>
      <c r="DY41" s="173">
        <f t="shared" si="119"/>
        <v>0.31080540535840101</v>
      </c>
      <c r="EA41" s="5">
        <f t="shared" si="72"/>
        <v>1.9493021938854422</v>
      </c>
      <c r="EB41" s="5">
        <f t="shared" si="73"/>
        <v>0.9990173743662889</v>
      </c>
      <c r="EC41" s="5">
        <f t="shared" si="74"/>
        <v>0.40367111971865072</v>
      </c>
      <c r="ED41" s="5"/>
      <c r="EE41" s="173">
        <f t="shared" si="120"/>
        <v>0.57165521369813599</v>
      </c>
      <c r="EF41" s="173">
        <f t="shared" si="75"/>
        <v>0.85125723966396283</v>
      </c>
      <c r="EG41" s="173">
        <f t="shared" si="76"/>
        <v>0.20884503297351165</v>
      </c>
      <c r="EH41" s="173"/>
      <c r="EI41" s="528">
        <f t="shared" si="77"/>
        <v>6.5357936669652311E-3</v>
      </c>
      <c r="EJ41" s="528">
        <f t="shared" si="78"/>
        <v>0.5109640864092112</v>
      </c>
      <c r="EK41" s="528">
        <f t="shared" si="79"/>
        <v>4.3749999999999997E-2</v>
      </c>
      <c r="EL41" s="528">
        <f t="shared" si="80"/>
        <v>5.9122349999999983E-2</v>
      </c>
      <c r="EM41">
        <f t="shared" si="81"/>
        <v>1.0800000000000001E-2</v>
      </c>
      <c r="EN41" s="460">
        <f t="shared" si="121"/>
        <v>54.550000000000004</v>
      </c>
      <c r="EO41">
        <f t="shared" si="82"/>
        <v>0.63392131367462401</v>
      </c>
      <c r="EP41" s="460">
        <f t="shared" si="122"/>
        <v>633.921313674624</v>
      </c>
      <c r="EQ41" s="173">
        <f t="shared" si="83"/>
        <v>0.22364999999999999</v>
      </c>
      <c r="ER41" s="173">
        <f t="shared" si="170"/>
        <v>3.9937499999999994E-2</v>
      </c>
      <c r="ES41" s="528"/>
      <c r="EU41" s="460">
        <f t="shared" si="123"/>
        <v>263.58749999999998</v>
      </c>
      <c r="EV41" s="528">
        <f t="shared" si="85"/>
        <v>9.8036905004478449E-3</v>
      </c>
      <c r="EW41" s="528">
        <f t="shared" si="124"/>
        <v>2.1739166642409283E-2</v>
      </c>
      <c r="EX41" s="528">
        <f t="shared" si="86"/>
        <v>2.1808123898853584E-4</v>
      </c>
      <c r="EY41" s="528">
        <f t="shared" si="87"/>
        <v>0.48168863706143028</v>
      </c>
      <c r="EZ41" s="528">
        <f t="shared" si="88"/>
        <v>0.5223995526551255</v>
      </c>
      <c r="FA41" s="625">
        <f t="shared" si="89"/>
        <v>5.519999999999998E-3</v>
      </c>
      <c r="FB41" s="460">
        <f t="shared" si="125"/>
        <v>527.91955265512547</v>
      </c>
      <c r="FC41" s="173">
        <f t="shared" si="126"/>
        <v>1.4254283663297496</v>
      </c>
      <c r="FD41" s="5">
        <f t="shared" si="127"/>
        <v>6.6239999999999988</v>
      </c>
      <c r="FE41" s="173">
        <f t="shared" si="128"/>
        <v>0.8229155784164468</v>
      </c>
      <c r="FF41" s="5">
        <f t="shared" si="129"/>
        <v>82.291557841644675</v>
      </c>
      <c r="FG41">
        <f t="shared" si="130"/>
        <v>36</v>
      </c>
      <c r="FI41" s="562">
        <f t="shared" si="90"/>
        <v>-50</v>
      </c>
      <c r="FJ41">
        <f t="shared" si="91"/>
        <v>-50</v>
      </c>
      <c r="FL41">
        <f t="shared" si="92"/>
        <v>0.42426406871192857</v>
      </c>
    </row>
    <row r="42" spans="5:168">
      <c r="E42" s="170">
        <v>37</v>
      </c>
      <c r="F42" s="217">
        <f t="shared" si="174"/>
        <v>0.37</v>
      </c>
      <c r="G42" s="217">
        <f t="shared" si="171"/>
        <v>9.2499999999999999E-2</v>
      </c>
      <c r="H42" s="217">
        <f t="shared" si="135"/>
        <v>6.0679999999999996</v>
      </c>
      <c r="I42" s="217">
        <f t="shared" si="175"/>
        <v>0.74</v>
      </c>
      <c r="J42" s="541">
        <f t="shared" si="136"/>
        <v>23.94169121784449</v>
      </c>
      <c r="K42" s="443">
        <f t="shared" si="137"/>
        <v>17.125806975801126</v>
      </c>
      <c r="L42" s="172">
        <f t="shared" si="138"/>
        <v>41.067498193645619</v>
      </c>
      <c r="M42" s="443"/>
      <c r="N42" s="217">
        <f t="shared" si="139"/>
        <v>0.41701607668058543</v>
      </c>
      <c r="O42" s="172">
        <f t="shared" si="172"/>
        <v>29.662817084877179</v>
      </c>
      <c r="P42" s="172">
        <f t="shared" si="140"/>
        <v>4.058565097871357</v>
      </c>
      <c r="Q42" s="217">
        <f t="shared" si="6"/>
        <v>1.8087083588339745</v>
      </c>
      <c r="R42" s="217">
        <f t="shared" si="141"/>
        <v>3.7078521356096474</v>
      </c>
      <c r="S42" s="443">
        <f t="shared" si="142"/>
        <v>16.399999999999999</v>
      </c>
      <c r="T42" s="217">
        <f t="shared" si="143"/>
        <v>1.3637724703483212</v>
      </c>
      <c r="U42" s="217">
        <f t="shared" si="10"/>
        <v>0.68354693472875083</v>
      </c>
      <c r="V42" s="217">
        <f t="shared" si="11"/>
        <v>0.95559115359084024</v>
      </c>
      <c r="W42" s="197">
        <f t="shared" si="12"/>
        <v>350</v>
      </c>
      <c r="X42" s="443">
        <f t="shared" si="95"/>
        <v>350</v>
      </c>
      <c r="Z42" s="217">
        <f t="shared" si="13"/>
        <v>2.3771595573246516</v>
      </c>
      <c r="AA42" s="173">
        <f t="shared" si="14"/>
        <v>1.6656683523411839</v>
      </c>
      <c r="AB42" s="173">
        <f t="shared" si="144"/>
        <v>0.69292290254268385</v>
      </c>
      <c r="AC42" s="173"/>
      <c r="AD42" s="173">
        <f t="shared" si="16"/>
        <v>0.93426254439327172</v>
      </c>
      <c r="AE42" s="545">
        <f t="shared" si="145"/>
        <v>594.05142947310139</v>
      </c>
      <c r="AF42" s="528">
        <f t="shared" si="146"/>
        <v>0.21799459369176341</v>
      </c>
      <c r="AH42" s="173">
        <f t="shared" si="147"/>
        <v>1.8005290227887918</v>
      </c>
      <c r="AI42" s="173">
        <f t="shared" si="148"/>
        <v>1.8005290227887918</v>
      </c>
      <c r="AJ42" s="173">
        <f t="shared" si="149"/>
        <v>1.5460708810781172</v>
      </c>
      <c r="AL42" s="545">
        <f t="shared" si="150"/>
        <v>370</v>
      </c>
      <c r="AM42" s="460">
        <f t="shared" si="151"/>
        <v>350</v>
      </c>
      <c r="AO42">
        <f t="shared" si="96"/>
        <v>370</v>
      </c>
      <c r="AP42" s="460">
        <f t="shared" si="24"/>
        <v>350</v>
      </c>
      <c r="AQ42" s="460"/>
      <c r="AR42" s="5">
        <f t="shared" si="97"/>
        <v>2.8571428571428572</v>
      </c>
      <c r="AS42" s="5">
        <f t="shared" si="25"/>
        <v>0.90245706023313921</v>
      </c>
      <c r="AT42" s="5">
        <f t="shared" si="98"/>
        <v>1.954685796909718</v>
      </c>
      <c r="AU42" s="173">
        <f t="shared" si="99"/>
        <v>0.31585997108159869</v>
      </c>
      <c r="AW42" s="5">
        <f t="shared" si="152"/>
        <v>2.0360311724772044</v>
      </c>
      <c r="AX42" s="5">
        <f t="shared" si="153"/>
        <v>1.0434659758945672</v>
      </c>
      <c r="AY42" s="5">
        <f t="shared" si="28"/>
        <v>0.41284445710640277</v>
      </c>
      <c r="AZ42" s="5"/>
      <c r="BA42" s="173">
        <f t="shared" si="100"/>
        <v>0.58423395551911539</v>
      </c>
      <c r="BB42" s="173">
        <f t="shared" si="154"/>
        <v>0.85982882357676804</v>
      </c>
      <c r="BC42" s="173">
        <f t="shared" si="155"/>
        <v>0.21094796102098609</v>
      </c>
      <c r="BD42" s="173"/>
      <c r="BE42" s="528">
        <f t="shared" si="31"/>
        <v>6.8265862956302338E-3</v>
      </c>
      <c r="BF42" s="528">
        <f t="shared" si="156"/>
        <v>0.48525239694084044</v>
      </c>
      <c r="BG42" s="528">
        <f t="shared" si="157"/>
        <v>0.20948979815613927</v>
      </c>
      <c r="BH42" s="528">
        <f t="shared" si="34"/>
        <v>5.9028879275978018E-2</v>
      </c>
      <c r="BI42">
        <f t="shared" si="35"/>
        <v>1.0773761048030021E-2</v>
      </c>
      <c r="BJ42" s="460">
        <f t="shared" si="101"/>
        <v>220.2635592041693</v>
      </c>
      <c r="BK42">
        <f t="shared" si="158"/>
        <v>0.5538493827963592</v>
      </c>
      <c r="BL42" s="460">
        <f t="shared" si="102"/>
        <v>553.84938279635924</v>
      </c>
      <c r="BM42" s="173">
        <f t="shared" si="159"/>
        <v>0.2298625</v>
      </c>
      <c r="BN42" s="173">
        <f t="shared" si="160"/>
        <v>4.1046874999999997E-2</v>
      </c>
      <c r="BO42" s="528"/>
      <c r="BQ42" s="460">
        <f t="shared" si="103"/>
        <v>270.90937500000001</v>
      </c>
      <c r="BR42" s="528">
        <f t="shared" si="39"/>
        <v>1.023987944344535E-2</v>
      </c>
      <c r="BS42" s="528">
        <f t="shared" si="104"/>
        <v>2.2179168175602264E-2</v>
      </c>
      <c r="BT42" s="528">
        <f t="shared" si="161"/>
        <v>2.2249521129455733E-4</v>
      </c>
      <c r="BU42" s="528">
        <f t="shared" si="41"/>
        <v>0.49847161245350941</v>
      </c>
      <c r="BV42" s="528">
        <f t="shared" si="162"/>
        <v>0.5403581755255451</v>
      </c>
      <c r="BW42" s="625">
        <f t="shared" si="163"/>
        <v>5.6733333333333332E-3</v>
      </c>
      <c r="BX42" s="460">
        <f t="shared" si="105"/>
        <v>546.0315088588784</v>
      </c>
      <c r="BY42" s="173">
        <f t="shared" si="106"/>
        <v>1.3707902666552376</v>
      </c>
      <c r="BZ42" s="5">
        <f t="shared" si="107"/>
        <v>6.8079999999999998</v>
      </c>
      <c r="CA42" s="173">
        <f t="shared" si="108"/>
        <v>0.83239694111683948</v>
      </c>
      <c r="CB42" s="5">
        <f t="shared" si="109"/>
        <v>83.239694111683946</v>
      </c>
      <c r="CC42">
        <f t="shared" si="173"/>
        <v>37</v>
      </c>
      <c r="CE42" s="562">
        <f t="shared" si="164"/>
        <v>-50</v>
      </c>
      <c r="CF42">
        <f t="shared" si="165"/>
        <v>-50</v>
      </c>
      <c r="CG42" s="173">
        <f t="shared" si="166"/>
        <v>0.43011626335213143</v>
      </c>
      <c r="CH42" s="173">
        <f t="shared" si="167"/>
        <v>0.15028784665555908</v>
      </c>
      <c r="CI42" s="170">
        <v>37</v>
      </c>
      <c r="CJ42" s="217">
        <f t="shared" si="133"/>
        <v>0.37</v>
      </c>
      <c r="CK42" s="217">
        <f t="shared" si="111"/>
        <v>9.2499999999999999E-2</v>
      </c>
      <c r="CL42" s="217">
        <f t="shared" si="48"/>
        <v>6.0679999999999996</v>
      </c>
      <c r="CM42" s="217">
        <f t="shared" si="134"/>
        <v>0.74</v>
      </c>
      <c r="CN42" s="541">
        <f t="shared" si="112"/>
        <v>24</v>
      </c>
      <c r="CO42" s="443">
        <f t="shared" si="168"/>
        <v>17.099999999999998</v>
      </c>
      <c r="CP42" s="443">
        <f t="shared" si="169"/>
        <v>41.099999999999994</v>
      </c>
      <c r="CQ42" s="443"/>
      <c r="CR42" s="217">
        <f t="shared" si="113"/>
        <v>0.41176470588235292</v>
      </c>
      <c r="CS42" s="172">
        <f t="shared" si="114"/>
        <v>29.36061381074169</v>
      </c>
      <c r="CT42" s="172">
        <f t="shared" si="51"/>
        <v>4.0172166427546641</v>
      </c>
      <c r="CU42" s="217">
        <f t="shared" si="52"/>
        <v>1.7902813299232738</v>
      </c>
      <c r="CV42" s="217">
        <f t="shared" si="53"/>
        <v>3.6700767263427112</v>
      </c>
      <c r="CW42" s="443">
        <f t="shared" si="54"/>
        <v>16.399999999999999</v>
      </c>
      <c r="CX42" s="217">
        <f t="shared" si="55"/>
        <v>1.3778095238095238</v>
      </c>
      <c r="CY42" s="217">
        <f t="shared" si="56"/>
        <v>0.6889047619047618</v>
      </c>
      <c r="CZ42" s="217">
        <f t="shared" si="57"/>
        <v>0.96688387635756079</v>
      </c>
      <c r="DA42" s="197">
        <f t="shared" si="58"/>
        <v>350</v>
      </c>
      <c r="DB42" s="443">
        <f t="shared" si="115"/>
        <v>350</v>
      </c>
      <c r="DD42" s="217">
        <f t="shared" si="59"/>
        <v>2.377476538060479</v>
      </c>
      <c r="DE42" s="173">
        <f t="shared" si="60"/>
        <v>1.668404588112617</v>
      </c>
      <c r="DF42" s="173">
        <f t="shared" si="61"/>
        <v>0.69415373374028577</v>
      </c>
      <c r="DG42" s="173"/>
      <c r="DH42" s="173">
        <f t="shared" si="62"/>
        <v>0.93567251461988332</v>
      </c>
      <c r="DI42" s="545">
        <f t="shared" si="63"/>
        <v>593.15624999999977</v>
      </c>
      <c r="DJ42" s="528">
        <f t="shared" si="64"/>
        <v>0.21832358674463945</v>
      </c>
      <c r="DL42" s="173">
        <f t="shared" si="65"/>
        <v>1.8005290227887918</v>
      </c>
      <c r="DM42" s="173">
        <f t="shared" si="66"/>
        <v>1.8005290227887918</v>
      </c>
      <c r="DN42" s="173">
        <f t="shared" si="67"/>
        <v>1.5460708810781172</v>
      </c>
      <c r="DP42" s="545">
        <f t="shared" si="68"/>
        <v>370</v>
      </c>
      <c r="DQ42" s="460">
        <f t="shared" si="69"/>
        <v>350</v>
      </c>
      <c r="DS42">
        <f t="shared" si="116"/>
        <v>370</v>
      </c>
      <c r="DT42" s="460">
        <f t="shared" si="70"/>
        <v>350</v>
      </c>
      <c r="DU42" s="460"/>
      <c r="DV42" s="5">
        <f t="shared" si="117"/>
        <v>2.8571428571428572</v>
      </c>
      <c r="DW42" s="5">
        <f t="shared" si="71"/>
        <v>0.90026451139439601</v>
      </c>
      <c r="DX42" s="5">
        <f t="shared" si="118"/>
        <v>1.9568783457484611</v>
      </c>
      <c r="DY42" s="173">
        <f t="shared" si="119"/>
        <v>0.31509257898803861</v>
      </c>
      <c r="EA42" s="5">
        <f t="shared" si="72"/>
        <v>2.0310845683897965</v>
      </c>
      <c r="EB42" s="5">
        <f t="shared" si="73"/>
        <v>1.0409308412997706</v>
      </c>
      <c r="EC42" s="5">
        <f t="shared" si="74"/>
        <v>0.41230339590283538</v>
      </c>
      <c r="ED42" s="5"/>
      <c r="EE42" s="173">
        <f t="shared" si="120"/>
        <v>0.58352381621266458</v>
      </c>
      <c r="EF42" s="173">
        <f t="shared" si="75"/>
        <v>0.86031091853325281</v>
      </c>
      <c r="EG42" s="173">
        <f t="shared" si="76"/>
        <v>0.21106623682810072</v>
      </c>
      <c r="EH42" s="173"/>
      <c r="EI42" s="528">
        <f t="shared" si="77"/>
        <v>6.8100008817478311E-3</v>
      </c>
      <c r="EJ42" s="528">
        <f t="shared" si="78"/>
        <v>0.51801219985633529</v>
      </c>
      <c r="EK42" s="528">
        <f t="shared" si="79"/>
        <v>4.3749999999999997E-2</v>
      </c>
      <c r="EL42" s="528">
        <f t="shared" si="80"/>
        <v>5.9122349999999983E-2</v>
      </c>
      <c r="EM42">
        <f t="shared" si="81"/>
        <v>1.0800000000000001E-2</v>
      </c>
      <c r="EN42" s="460">
        <f t="shared" si="121"/>
        <v>54.550000000000004</v>
      </c>
      <c r="EO42">
        <f t="shared" si="82"/>
        <v>0.64137102534631207</v>
      </c>
      <c r="EP42" s="460">
        <f t="shared" si="122"/>
        <v>641.37102534631208</v>
      </c>
      <c r="EQ42" s="173">
        <f t="shared" si="83"/>
        <v>0.2298625</v>
      </c>
      <c r="ER42" s="173">
        <f t="shared" si="170"/>
        <v>4.1046874999999997E-2</v>
      </c>
      <c r="ES42" s="528"/>
      <c r="EU42" s="460">
        <f t="shared" si="123"/>
        <v>270.90937500000001</v>
      </c>
      <c r="EV42" s="528">
        <f t="shared" si="85"/>
        <v>1.0215001322621747E-2</v>
      </c>
      <c r="EW42" s="528">
        <f t="shared" si="124"/>
        <v>2.2204046296425875E-2</v>
      </c>
      <c r="EX42" s="528">
        <f t="shared" si="86"/>
        <v>2.2274478164387951E-4</v>
      </c>
      <c r="EY42" s="528">
        <f t="shared" si="87"/>
        <v>0.49847161245350941</v>
      </c>
      <c r="EZ42" s="528">
        <f t="shared" si="88"/>
        <v>0.54035849661985613</v>
      </c>
      <c r="FA42" s="625">
        <f t="shared" si="89"/>
        <v>5.6733333333333332E-3</v>
      </c>
      <c r="FB42" s="460">
        <f t="shared" si="125"/>
        <v>546.03182995318946</v>
      </c>
      <c r="FC42" s="173">
        <f t="shared" si="126"/>
        <v>1.4583122302995017</v>
      </c>
      <c r="FD42" s="5">
        <f t="shared" si="127"/>
        <v>6.8079999999999998</v>
      </c>
      <c r="FE42" s="173">
        <f t="shared" si="128"/>
        <v>0.82358369855010127</v>
      </c>
      <c r="FF42" s="5">
        <f t="shared" si="129"/>
        <v>82.358369855010125</v>
      </c>
      <c r="FG42">
        <f t="shared" si="130"/>
        <v>37</v>
      </c>
      <c r="FI42" s="562">
        <f t="shared" si="90"/>
        <v>-50</v>
      </c>
      <c r="FJ42">
        <f t="shared" si="91"/>
        <v>-50</v>
      </c>
      <c r="FL42">
        <f t="shared" si="92"/>
        <v>0.43011626335213138</v>
      </c>
    </row>
    <row r="43" spans="5:168">
      <c r="E43" s="170">
        <v>38</v>
      </c>
      <c r="F43" s="217">
        <f t="shared" si="174"/>
        <v>0.38</v>
      </c>
      <c r="G43" s="217">
        <f t="shared" si="171"/>
        <v>9.5000000000000001E-2</v>
      </c>
      <c r="H43" s="217">
        <f t="shared" si="135"/>
        <v>6.2319999999999993</v>
      </c>
      <c r="I43" s="217">
        <f t="shared" si="175"/>
        <v>0.76</v>
      </c>
      <c r="J43" s="541">
        <f t="shared" si="136"/>
        <v>23.940908514605802</v>
      </c>
      <c r="K43" s="443">
        <f t="shared" si="137"/>
        <v>17.126153393661241</v>
      </c>
      <c r="L43" s="172">
        <f t="shared" si="138"/>
        <v>41.067061908267043</v>
      </c>
      <c r="M43" s="443"/>
      <c r="N43" s="217">
        <f t="shared" si="139"/>
        <v>0.41702894236545429</v>
      </c>
      <c r="O43" s="172">
        <f t="shared" si="172"/>
        <v>29.66276246678844</v>
      </c>
      <c r="P43" s="172">
        <f t="shared" si="140"/>
        <v>4.0585576248431536</v>
      </c>
      <c r="Q43" s="217">
        <f t="shared" si="6"/>
        <v>1.80870502846271</v>
      </c>
      <c r="R43" s="217">
        <f t="shared" si="141"/>
        <v>3.707845308348555</v>
      </c>
      <c r="S43" s="443">
        <f t="shared" si="142"/>
        <v>16.399999999999999</v>
      </c>
      <c r="T43" s="217">
        <f t="shared" si="143"/>
        <v>1.4006337647474303</v>
      </c>
      <c r="U43" s="217">
        <f t="shared" si="10"/>
        <v>0.70204542015250704</v>
      </c>
      <c r="V43" s="217">
        <f t="shared" si="11"/>
        <v>0.98139989702474695</v>
      </c>
      <c r="W43" s="197">
        <f t="shared" si="12"/>
        <v>350</v>
      </c>
      <c r="X43" s="443">
        <f t="shared" si="95"/>
        <v>350</v>
      </c>
      <c r="Z43" s="217">
        <f t="shared" si="13"/>
        <v>2.3771551802652753</v>
      </c>
      <c r="AA43" s="173">
        <f t="shared" si="14"/>
        <v>1.6656315932415588</v>
      </c>
      <c r="AB43" s="173">
        <f t="shared" si="144"/>
        <v>0.69290633480034314</v>
      </c>
      <c r="AC43" s="173"/>
      <c r="AD43" s="173">
        <f t="shared" si="16"/>
        <v>0.93424364667444515</v>
      </c>
      <c r="AE43" s="545">
        <f t="shared" si="145"/>
        <v>610.11921464918157</v>
      </c>
      <c r="AF43" s="528">
        <f t="shared" si="146"/>
        <v>0.21799018422403721</v>
      </c>
      <c r="AH43" s="173">
        <f t="shared" si="147"/>
        <v>1.8246982790378821</v>
      </c>
      <c r="AI43" s="173">
        <f t="shared" si="148"/>
        <v>1.8246982790378821</v>
      </c>
      <c r="AJ43" s="173">
        <f t="shared" si="149"/>
        <v>1.563974033855221</v>
      </c>
      <c r="AL43" s="545">
        <f t="shared" si="150"/>
        <v>380</v>
      </c>
      <c r="AM43" s="460">
        <f t="shared" si="151"/>
        <v>350</v>
      </c>
      <c r="AO43">
        <f t="shared" si="96"/>
        <v>380</v>
      </c>
      <c r="AP43" s="460">
        <f t="shared" si="24"/>
        <v>350</v>
      </c>
      <c r="AQ43" s="460"/>
      <c r="AR43" s="5">
        <f t="shared" si="97"/>
        <v>2.8571428571428572</v>
      </c>
      <c r="AS43" s="5">
        <f t="shared" si="25"/>
        <v>0.91460102005302357</v>
      </c>
      <c r="AT43" s="5">
        <f t="shared" si="98"/>
        <v>1.9425418370898337</v>
      </c>
      <c r="AU43" s="173">
        <f t="shared" si="99"/>
        <v>0.32011035701855822</v>
      </c>
      <c r="AW43" s="5">
        <f t="shared" si="152"/>
        <v>2.1191974854887135</v>
      </c>
      <c r="AX43" s="5">
        <f t="shared" si="153"/>
        <v>1.0860887113129654</v>
      </c>
      <c r="AY43" s="5">
        <f t="shared" si="28"/>
        <v>0.42138197336156141</v>
      </c>
      <c r="AZ43" s="5"/>
      <c r="BA43" s="173">
        <f t="shared" si="100"/>
        <v>0.59604671387636954</v>
      </c>
      <c r="BB43" s="173">
        <f t="shared" si="154"/>
        <v>0.86865964837699849</v>
      </c>
      <c r="BC43" s="173">
        <f t="shared" si="155"/>
        <v>0.21311449049134396</v>
      </c>
      <c r="BD43" s="173"/>
      <c r="BE43" s="528">
        <f t="shared" si="31"/>
        <v>7.1054337024563756E-3</v>
      </c>
      <c r="BF43" s="528">
        <f t="shared" si="156"/>
        <v>0.491760919053843</v>
      </c>
      <c r="BG43" s="528">
        <f t="shared" si="157"/>
        <v>0.20948294950280075</v>
      </c>
      <c r="BH43" s="528">
        <f t="shared" si="34"/>
        <v>5.9027625082210329E-2</v>
      </c>
      <c r="BI43">
        <f t="shared" si="35"/>
        <v>1.0773408831572611E-2</v>
      </c>
      <c r="BJ43" s="460">
        <f t="shared" si="101"/>
        <v>220.25635833437335</v>
      </c>
      <c r="BK43">
        <f t="shared" si="158"/>
        <v>0.56075914715586828</v>
      </c>
      <c r="BL43" s="460">
        <f t="shared" si="102"/>
        <v>560.75914715586828</v>
      </c>
      <c r="BM43" s="173">
        <f t="shared" si="159"/>
        <v>0.23607499999999995</v>
      </c>
      <c r="BN43" s="173">
        <f t="shared" si="160"/>
        <v>4.2156249999999999E-2</v>
      </c>
      <c r="BO43" s="528"/>
      <c r="BQ43" s="460">
        <f t="shared" si="103"/>
        <v>278.23124999999993</v>
      </c>
      <c r="BR43" s="528">
        <f t="shared" si="39"/>
        <v>1.0658150553684562E-2</v>
      </c>
      <c r="BS43" s="528">
        <f t="shared" si="104"/>
        <v>2.2637087541553521E-2</v>
      </c>
      <c r="BT43" s="528">
        <f t="shared" si="161"/>
        <v>2.2708893028692566E-4</v>
      </c>
      <c r="BU43" s="528">
        <f t="shared" si="41"/>
        <v>0.51536838246013106</v>
      </c>
      <c r="BV43" s="528">
        <f t="shared" si="162"/>
        <v>0.55843366765411517</v>
      </c>
      <c r="BW43" s="625">
        <f t="shared" si="163"/>
        <v>5.8266666666666658E-3</v>
      </c>
      <c r="BX43" s="460">
        <f t="shared" si="105"/>
        <v>564.26033432078179</v>
      </c>
      <c r="BY43" s="173">
        <f t="shared" si="106"/>
        <v>1.40325073147665</v>
      </c>
      <c r="BZ43" s="5">
        <f t="shared" si="107"/>
        <v>6.9919999999999991</v>
      </c>
      <c r="CA43" s="173">
        <f t="shared" si="108"/>
        <v>0.83285183774018967</v>
      </c>
      <c r="CB43" s="5">
        <f t="shared" si="109"/>
        <v>83.285183774018961</v>
      </c>
      <c r="CC43">
        <f t="shared" si="173"/>
        <v>38</v>
      </c>
      <c r="CE43" s="562">
        <f t="shared" si="164"/>
        <v>-50</v>
      </c>
      <c r="CF43">
        <f t="shared" si="165"/>
        <v>-50</v>
      </c>
      <c r="CG43" s="173">
        <f t="shared" si="166"/>
        <v>0.43588989435406744</v>
      </c>
      <c r="CH43" s="173">
        <f t="shared" si="167"/>
        <v>0.15230522345480454</v>
      </c>
      <c r="CI43" s="170">
        <v>38</v>
      </c>
      <c r="CJ43" s="217">
        <f t="shared" si="133"/>
        <v>0.38</v>
      </c>
      <c r="CK43" s="217">
        <f t="shared" si="111"/>
        <v>9.5000000000000001E-2</v>
      </c>
      <c r="CL43" s="217">
        <f t="shared" si="48"/>
        <v>6.2319999999999993</v>
      </c>
      <c r="CM43" s="217">
        <f t="shared" si="134"/>
        <v>0.76</v>
      </c>
      <c r="CN43" s="541">
        <f t="shared" si="112"/>
        <v>24</v>
      </c>
      <c r="CO43" s="443">
        <f t="shared" si="168"/>
        <v>17.099999999999998</v>
      </c>
      <c r="CP43" s="443">
        <f t="shared" si="169"/>
        <v>41.099999999999994</v>
      </c>
      <c r="CQ43" s="443"/>
      <c r="CR43" s="217">
        <f t="shared" si="113"/>
        <v>0.41176470588235292</v>
      </c>
      <c r="CS43" s="172">
        <f t="shared" si="114"/>
        <v>29.36061381074169</v>
      </c>
      <c r="CT43" s="172">
        <f t="shared" si="51"/>
        <v>4.0172166427546641</v>
      </c>
      <c r="CU43" s="217">
        <f t="shared" si="52"/>
        <v>1.7902813299232738</v>
      </c>
      <c r="CV43" s="217">
        <f t="shared" si="53"/>
        <v>3.6700767263427112</v>
      </c>
      <c r="CW43" s="443">
        <f t="shared" si="54"/>
        <v>16.399999999999999</v>
      </c>
      <c r="CX43" s="217">
        <f t="shared" si="55"/>
        <v>1.4150476190476189</v>
      </c>
      <c r="CY43" s="217">
        <f t="shared" si="56"/>
        <v>0.70752380952380933</v>
      </c>
      <c r="CZ43" s="217">
        <f t="shared" si="57"/>
        <v>0.99301587301587291</v>
      </c>
      <c r="DA43" s="197">
        <f t="shared" si="58"/>
        <v>350</v>
      </c>
      <c r="DB43" s="443">
        <f t="shared" si="115"/>
        <v>350</v>
      </c>
      <c r="DD43" s="217">
        <f t="shared" si="59"/>
        <v>2.377476538060479</v>
      </c>
      <c r="DE43" s="173">
        <f t="shared" si="60"/>
        <v>1.668404588112617</v>
      </c>
      <c r="DF43" s="173">
        <f t="shared" si="61"/>
        <v>0.69415373374028577</v>
      </c>
      <c r="DG43" s="173"/>
      <c r="DH43" s="173">
        <f t="shared" si="62"/>
        <v>0.93567251461988332</v>
      </c>
      <c r="DI43" s="545">
        <f t="shared" si="63"/>
        <v>609.18749999999977</v>
      </c>
      <c r="DJ43" s="528">
        <f t="shared" si="64"/>
        <v>0.21832358674463945</v>
      </c>
      <c r="DL43" s="173">
        <f t="shared" si="65"/>
        <v>1.8246982790378821</v>
      </c>
      <c r="DM43" s="173">
        <f t="shared" si="66"/>
        <v>1.8246982790378821</v>
      </c>
      <c r="DN43" s="173">
        <f t="shared" si="67"/>
        <v>1.563974033855221</v>
      </c>
      <c r="DP43" s="545">
        <f t="shared" si="68"/>
        <v>380</v>
      </c>
      <c r="DQ43" s="460">
        <f t="shared" si="69"/>
        <v>350</v>
      </c>
      <c r="DS43">
        <f t="shared" si="116"/>
        <v>380</v>
      </c>
      <c r="DT43" s="460">
        <f t="shared" si="70"/>
        <v>350</v>
      </c>
      <c r="DU43" s="460"/>
      <c r="DV43" s="5">
        <f t="shared" si="117"/>
        <v>2.8571428571428572</v>
      </c>
      <c r="DW43" s="5">
        <f t="shared" si="71"/>
        <v>0.91234913951894092</v>
      </c>
      <c r="DX43" s="5">
        <f t="shared" si="118"/>
        <v>1.9447937176239163</v>
      </c>
      <c r="DY43" s="173">
        <f t="shared" si="119"/>
        <v>0.31932219883162932</v>
      </c>
      <c r="EA43" s="5">
        <f t="shared" si="72"/>
        <v>2.1139797135194978</v>
      </c>
      <c r="EB43" s="5">
        <f t="shared" si="73"/>
        <v>1.0834146031787422</v>
      </c>
      <c r="EC43" s="5">
        <f t="shared" si="74"/>
        <v>0.42083175167473069</v>
      </c>
      <c r="ED43" s="5"/>
      <c r="EE43" s="173">
        <f t="shared" si="120"/>
        <v>0.59531248486807486</v>
      </c>
      <c r="EF43" s="173">
        <f t="shared" si="75"/>
        <v>0.86916299691224064</v>
      </c>
      <c r="EG43" s="173">
        <f t="shared" si="76"/>
        <v>0.21323798059109486</v>
      </c>
      <c r="EH43" s="173"/>
      <c r="EI43" s="528">
        <f t="shared" si="77"/>
        <v>7.087939092796037E-3</v>
      </c>
      <c r="EJ43" s="528">
        <f t="shared" si="78"/>
        <v>0.52496569487919864</v>
      </c>
      <c r="EK43" s="528">
        <f t="shared" si="79"/>
        <v>4.3749999999999997E-2</v>
      </c>
      <c r="EL43" s="528">
        <f t="shared" si="80"/>
        <v>5.9122349999999983E-2</v>
      </c>
      <c r="EM43">
        <f t="shared" si="81"/>
        <v>1.0800000000000001E-2</v>
      </c>
      <c r="EN43" s="460">
        <f t="shared" si="121"/>
        <v>54.550000000000004</v>
      </c>
      <c r="EO43">
        <f t="shared" si="82"/>
        <v>0.64873225383641697</v>
      </c>
      <c r="EP43" s="460">
        <f t="shared" si="122"/>
        <v>648.73225383641693</v>
      </c>
      <c r="EQ43" s="173">
        <f t="shared" si="83"/>
        <v>0.23607499999999995</v>
      </c>
      <c r="ER43" s="173">
        <f t="shared" si="170"/>
        <v>4.2156249999999999E-2</v>
      </c>
      <c r="ES43" s="528"/>
      <c r="EU43" s="460">
        <f t="shared" si="123"/>
        <v>278.23124999999993</v>
      </c>
      <c r="EV43" s="528">
        <f t="shared" si="85"/>
        <v>1.0631908639194056E-2</v>
      </c>
      <c r="EW43" s="528">
        <f t="shared" si="124"/>
        <v>2.2663329456044028E-2</v>
      </c>
      <c r="EX43" s="528">
        <f t="shared" si="86"/>
        <v>2.2735218183284075E-4</v>
      </c>
      <c r="EY43" s="528">
        <f t="shared" si="87"/>
        <v>0.51536838246013106</v>
      </c>
      <c r="EZ43" s="528">
        <f t="shared" si="88"/>
        <v>0.55843400675612054</v>
      </c>
      <c r="FA43" s="625">
        <f t="shared" si="89"/>
        <v>5.8266666666666658E-3</v>
      </c>
      <c r="FB43" s="460">
        <f t="shared" si="125"/>
        <v>564.26067342278714</v>
      </c>
      <c r="FC43" s="173">
        <f t="shared" si="126"/>
        <v>1.4912241772592041</v>
      </c>
      <c r="FD43" s="5">
        <f t="shared" si="127"/>
        <v>6.9919999999999991</v>
      </c>
      <c r="FE43" s="173">
        <f t="shared" si="128"/>
        <v>0.824214927473366</v>
      </c>
      <c r="FF43" s="5">
        <f t="shared" si="129"/>
        <v>82.4214927473366</v>
      </c>
      <c r="FG43">
        <f t="shared" si="130"/>
        <v>38</v>
      </c>
      <c r="FI43" s="562">
        <f t="shared" si="90"/>
        <v>-50</v>
      </c>
      <c r="FJ43">
        <f t="shared" si="91"/>
        <v>-50</v>
      </c>
      <c r="FL43">
        <f t="shared" si="92"/>
        <v>0.43588989435406739</v>
      </c>
    </row>
    <row r="44" spans="5:168">
      <c r="E44" s="170">
        <v>39</v>
      </c>
      <c r="F44" s="217">
        <f t="shared" si="174"/>
        <v>0.39</v>
      </c>
      <c r="G44" s="217">
        <f t="shared" si="171"/>
        <v>9.7500000000000003E-2</v>
      </c>
      <c r="H44" s="217">
        <f t="shared" si="135"/>
        <v>6.3959999999999999</v>
      </c>
      <c r="I44" s="217">
        <f t="shared" si="175"/>
        <v>0.78</v>
      </c>
      <c r="J44" s="541">
        <f t="shared" si="136"/>
        <v>23.940136044102257</v>
      </c>
      <c r="K44" s="443">
        <f t="shared" si="137"/>
        <v>17.126495282598981</v>
      </c>
      <c r="L44" s="172">
        <f t="shared" si="138"/>
        <v>41.066631326701241</v>
      </c>
      <c r="M44" s="443"/>
      <c r="N44" s="217">
        <f t="shared" si="139"/>
        <v>0.41704164011776274</v>
      </c>
      <c r="O44" s="172">
        <f t="shared" si="172"/>
        <v>29.662708523149689</v>
      </c>
      <c r="P44" s="172">
        <f t="shared" si="140"/>
        <v>4.0585502440954366</v>
      </c>
      <c r="Q44" s="217">
        <f t="shared" si="6"/>
        <v>1.8087017392164446</v>
      </c>
      <c r="R44" s="217">
        <f t="shared" si="141"/>
        <v>3.7078385653937111</v>
      </c>
      <c r="S44" s="443">
        <f t="shared" si="142"/>
        <v>16.399999999999999</v>
      </c>
      <c r="T44" s="217">
        <f t="shared" si="143"/>
        <v>1.4374951622075385</v>
      </c>
      <c r="U44" s="217">
        <f t="shared" si="10"/>
        <v>0.72054485883926511</v>
      </c>
      <c r="V44" s="217">
        <f t="shared" si="11"/>
        <v>1.0072079349484249</v>
      </c>
      <c r="W44" s="197">
        <f t="shared" si="12"/>
        <v>350</v>
      </c>
      <c r="X44" s="443">
        <f t="shared" si="95"/>
        <v>350</v>
      </c>
      <c r="Z44" s="217">
        <f t="shared" si="13"/>
        <v>2.377150857255899</v>
      </c>
      <c r="AA44" s="173">
        <f t="shared" si="14"/>
        <v>1.6655953139492494</v>
      </c>
      <c r="AB44" s="173">
        <f t="shared" si="144"/>
        <v>0.69288998246927669</v>
      </c>
      <c r="AC44" s="173"/>
      <c r="AD44" s="173">
        <f t="shared" si="16"/>
        <v>0.93422499676606163</v>
      </c>
      <c r="AE44" s="545">
        <f t="shared" si="145"/>
        <v>626.1874837700251</v>
      </c>
      <c r="AF44" s="528">
        <f t="shared" si="146"/>
        <v>0.21798583257874771</v>
      </c>
      <c r="AH44" s="173">
        <f t="shared" si="147"/>
        <v>1.8485515565282071</v>
      </c>
      <c r="AI44" s="173">
        <f t="shared" si="148"/>
        <v>1.8485515565282071</v>
      </c>
      <c r="AJ44" s="173">
        <f t="shared" si="149"/>
        <v>1.581643128292499</v>
      </c>
      <c r="AL44" s="545">
        <f t="shared" si="150"/>
        <v>390</v>
      </c>
      <c r="AM44" s="460">
        <f t="shared" si="151"/>
        <v>350</v>
      </c>
      <c r="AO44">
        <f t="shared" si="96"/>
        <v>390</v>
      </c>
      <c r="AP44" s="460">
        <f t="shared" si="24"/>
        <v>350</v>
      </c>
      <c r="AQ44" s="460"/>
      <c r="AR44" s="5">
        <f t="shared" si="97"/>
        <v>2.8571428571428572</v>
      </c>
      <c r="AS44" s="5">
        <f t="shared" si="25"/>
        <v>0.92658699338524675</v>
      </c>
      <c r="AT44" s="5">
        <f t="shared" si="98"/>
        <v>1.9305558637576103</v>
      </c>
      <c r="AU44" s="173">
        <f t="shared" si="99"/>
        <v>0.32430544768483638</v>
      </c>
      <c r="AW44" s="5">
        <f t="shared" si="152"/>
        <v>2.203469069635648</v>
      </c>
      <c r="AX44" s="5">
        <f t="shared" si="153"/>
        <v>1.1292778981882696</v>
      </c>
      <c r="AY44" s="5">
        <f t="shared" si="28"/>
        <v>0.42981638595838334</v>
      </c>
      <c r="AZ44" s="5"/>
      <c r="BA44" s="173">
        <f t="shared" si="100"/>
        <v>0.60778231960923723</v>
      </c>
      <c r="BB44" s="173">
        <f t="shared" si="154"/>
        <v>0.87729599965919935</v>
      </c>
      <c r="BC44" s="173">
        <f t="shared" si="155"/>
        <v>0.21523330838123828</v>
      </c>
      <c r="BD44" s="173"/>
      <c r="BE44" s="528">
        <f t="shared" si="31"/>
        <v>7.3879869605917008E-3</v>
      </c>
      <c r="BF44" s="528">
        <f t="shared" si="156"/>
        <v>0.49818421577100497</v>
      </c>
      <c r="BG44" s="528">
        <f t="shared" si="157"/>
        <v>0.20947619038589477</v>
      </c>
      <c r="BH44" s="528">
        <f t="shared" si="34"/>
        <v>5.9026387298312E-2</v>
      </c>
      <c r="BI44">
        <f t="shared" si="35"/>
        <v>1.0773061219846015E-2</v>
      </c>
      <c r="BJ44" s="460">
        <f t="shared" si="101"/>
        <v>220.24925160574077</v>
      </c>
      <c r="BK44">
        <f t="shared" si="158"/>
        <v>0.56758968532740206</v>
      </c>
      <c r="BL44" s="460">
        <f t="shared" si="102"/>
        <v>567.58968532740209</v>
      </c>
      <c r="BM44" s="173">
        <f t="shared" si="159"/>
        <v>0.24228749999999996</v>
      </c>
      <c r="BN44" s="173">
        <f t="shared" si="160"/>
        <v>4.3265625000000002E-2</v>
      </c>
      <c r="BO44" s="528"/>
      <c r="BQ44" s="460">
        <f t="shared" si="103"/>
        <v>285.55312499999997</v>
      </c>
      <c r="BR44" s="528">
        <f t="shared" si="39"/>
        <v>1.108198044088755E-2</v>
      </c>
      <c r="BS44" s="528">
        <f t="shared" si="104"/>
        <v>2.3089448130541017E-2</v>
      </c>
      <c r="BT44" s="528">
        <f t="shared" si="161"/>
        <v>2.3162688518366608E-4</v>
      </c>
      <c r="BU44" s="528">
        <f t="shared" si="41"/>
        <v>0.53237669320170267</v>
      </c>
      <c r="BV44" s="528">
        <f t="shared" si="162"/>
        <v>0.57662349076232433</v>
      </c>
      <c r="BW44" s="625">
        <f t="shared" si="163"/>
        <v>5.9800000000000009E-3</v>
      </c>
      <c r="BX44" s="460">
        <f t="shared" si="105"/>
        <v>582.60349076232433</v>
      </c>
      <c r="BY44" s="173">
        <f t="shared" si="106"/>
        <v>1.4357463010897265</v>
      </c>
      <c r="BZ44" s="5">
        <f t="shared" si="107"/>
        <v>7.1760000000000002</v>
      </c>
      <c r="CA44" s="173">
        <f t="shared" si="108"/>
        <v>0.83328046938539646</v>
      </c>
      <c r="CB44" s="5">
        <f t="shared" si="109"/>
        <v>83.328046938539643</v>
      </c>
      <c r="CC44">
        <f t="shared" si="173"/>
        <v>39</v>
      </c>
      <c r="CE44" s="562">
        <f t="shared" si="164"/>
        <v>-50</v>
      </c>
      <c r="CF44">
        <f t="shared" si="165"/>
        <v>-50</v>
      </c>
      <c r="CG44" s="173">
        <f t="shared" si="166"/>
        <v>0.4415880433163924</v>
      </c>
      <c r="CH44" s="173">
        <f t="shared" si="167"/>
        <v>0.15429622591259659</v>
      </c>
      <c r="CI44" s="170">
        <v>39</v>
      </c>
      <c r="CJ44" s="217">
        <f t="shared" si="133"/>
        <v>0.39</v>
      </c>
      <c r="CK44" s="217">
        <f t="shared" si="111"/>
        <v>9.7500000000000003E-2</v>
      </c>
      <c r="CL44" s="217">
        <f t="shared" si="48"/>
        <v>6.3959999999999999</v>
      </c>
      <c r="CM44" s="217">
        <f t="shared" si="134"/>
        <v>0.78</v>
      </c>
      <c r="CN44" s="541">
        <f t="shared" si="112"/>
        <v>24</v>
      </c>
      <c r="CO44" s="443">
        <f t="shared" si="168"/>
        <v>17.099999999999998</v>
      </c>
      <c r="CP44" s="443">
        <f t="shared" si="169"/>
        <v>41.099999999999994</v>
      </c>
      <c r="CQ44" s="443"/>
      <c r="CR44" s="217">
        <f t="shared" si="113"/>
        <v>0.41176470588235292</v>
      </c>
      <c r="CS44" s="172">
        <f t="shared" si="114"/>
        <v>29.36061381074169</v>
      </c>
      <c r="CT44" s="172">
        <f t="shared" si="51"/>
        <v>4.0172166427546641</v>
      </c>
      <c r="CU44" s="217">
        <f t="shared" si="52"/>
        <v>1.7902813299232738</v>
      </c>
      <c r="CV44" s="217">
        <f t="shared" si="53"/>
        <v>3.6700767263427112</v>
      </c>
      <c r="CW44" s="443">
        <f t="shared" si="54"/>
        <v>16.399999999999999</v>
      </c>
      <c r="CX44" s="217">
        <f t="shared" si="55"/>
        <v>1.4522857142857142</v>
      </c>
      <c r="CY44" s="217">
        <f t="shared" si="56"/>
        <v>0.72614285714285709</v>
      </c>
      <c r="CZ44" s="217">
        <f t="shared" si="57"/>
        <v>1.0191478696741856</v>
      </c>
      <c r="DA44" s="197">
        <f t="shared" si="58"/>
        <v>350</v>
      </c>
      <c r="DB44" s="443">
        <f t="shared" si="115"/>
        <v>350</v>
      </c>
      <c r="DD44" s="217">
        <f t="shared" si="59"/>
        <v>2.377476538060479</v>
      </c>
      <c r="DE44" s="173">
        <f t="shared" si="60"/>
        <v>1.668404588112617</v>
      </c>
      <c r="DF44" s="173">
        <f t="shared" si="61"/>
        <v>0.69415373374028577</v>
      </c>
      <c r="DG44" s="173"/>
      <c r="DH44" s="173">
        <f t="shared" si="62"/>
        <v>0.93567251461988332</v>
      </c>
      <c r="DI44" s="545">
        <f t="shared" si="63"/>
        <v>625.21874999999977</v>
      </c>
      <c r="DJ44" s="528">
        <f t="shared" si="64"/>
        <v>0.21832358674463945</v>
      </c>
      <c r="DL44" s="173">
        <f t="shared" si="65"/>
        <v>1.8485515565282071</v>
      </c>
      <c r="DM44" s="173">
        <f t="shared" si="66"/>
        <v>1.8485515565282071</v>
      </c>
      <c r="DN44" s="173">
        <f t="shared" si="67"/>
        <v>1.581643128292499</v>
      </c>
      <c r="DP44" s="545">
        <f t="shared" si="68"/>
        <v>390</v>
      </c>
      <c r="DQ44" s="460">
        <f t="shared" si="69"/>
        <v>350</v>
      </c>
      <c r="DS44">
        <f t="shared" si="116"/>
        <v>390</v>
      </c>
      <c r="DT44" s="460">
        <f t="shared" si="70"/>
        <v>350</v>
      </c>
      <c r="DU44" s="460"/>
      <c r="DV44" s="5">
        <f t="shared" si="117"/>
        <v>2.8571428571428572</v>
      </c>
      <c r="DW44" s="5">
        <f t="shared" si="71"/>
        <v>0.92427577826410345</v>
      </c>
      <c r="DX44" s="5">
        <f t="shared" si="118"/>
        <v>1.9328670788787536</v>
      </c>
      <c r="DY44" s="173">
        <f t="shared" si="119"/>
        <v>0.3234965223924362</v>
      </c>
      <c r="EA44" s="5">
        <f t="shared" si="72"/>
        <v>2.1979728873353683</v>
      </c>
      <c r="EB44" s="5">
        <f t="shared" si="73"/>
        <v>1.1264611047593762</v>
      </c>
      <c r="EC44" s="5">
        <f t="shared" si="74"/>
        <v>0.4292575637676565</v>
      </c>
      <c r="ED44" s="5"/>
      <c r="EE44" s="173">
        <f t="shared" si="120"/>
        <v>0.60702384104851215</v>
      </c>
      <c r="EF44" s="173">
        <f t="shared" si="75"/>
        <v>0.87782098143432974</v>
      </c>
      <c r="EG44" s="173">
        <f t="shared" si="76"/>
        <v>0.21536210591860883</v>
      </c>
      <c r="EH44" s="173"/>
      <c r="EI44" s="528">
        <f t="shared" si="77"/>
        <v>7.3695588720257867E-3</v>
      </c>
      <c r="EJ44" s="528">
        <f t="shared" si="78"/>
        <v>0.53182828281316508</v>
      </c>
      <c r="EK44" s="528">
        <f t="shared" si="79"/>
        <v>4.3749999999999997E-2</v>
      </c>
      <c r="EL44" s="528">
        <f t="shared" si="80"/>
        <v>5.9122349999999983E-2</v>
      </c>
      <c r="EM44">
        <f t="shared" si="81"/>
        <v>1.0800000000000001E-2</v>
      </c>
      <c r="EN44" s="460">
        <f t="shared" si="121"/>
        <v>54.550000000000004</v>
      </c>
      <c r="EO44">
        <f t="shared" si="82"/>
        <v>0.65600864843944107</v>
      </c>
      <c r="EP44" s="460">
        <f t="shared" si="122"/>
        <v>656.00864843944112</v>
      </c>
      <c r="EQ44" s="173">
        <f t="shared" si="83"/>
        <v>0.24228749999999996</v>
      </c>
      <c r="ER44" s="173">
        <f t="shared" si="170"/>
        <v>4.3265625000000002E-2</v>
      </c>
      <c r="ES44" s="528"/>
      <c r="EU44" s="460">
        <f t="shared" si="123"/>
        <v>285.55312499999997</v>
      </c>
      <c r="EV44" s="528">
        <f t="shared" si="85"/>
        <v>1.105433830803868E-2</v>
      </c>
      <c r="EW44" s="528">
        <f t="shared" si="124"/>
        <v>2.3117090263389897E-2</v>
      </c>
      <c r="EX44" s="528">
        <f t="shared" si="86"/>
        <v>2.3190418332849044E-4</v>
      </c>
      <c r="EY44" s="528">
        <f t="shared" si="87"/>
        <v>0.53237669320170267</v>
      </c>
      <c r="EZ44" s="528">
        <f t="shared" si="88"/>
        <v>0.57662384838803515</v>
      </c>
      <c r="FA44" s="625">
        <f t="shared" si="89"/>
        <v>5.9800000000000009E-3</v>
      </c>
      <c r="FB44" s="460">
        <f t="shared" si="125"/>
        <v>582.60384838803509</v>
      </c>
      <c r="FC44" s="173">
        <f t="shared" si="126"/>
        <v>1.5241656218274762</v>
      </c>
      <c r="FD44" s="5">
        <f t="shared" si="127"/>
        <v>7.1760000000000002</v>
      </c>
      <c r="FE44" s="173">
        <f t="shared" si="128"/>
        <v>0.82481188426993135</v>
      </c>
      <c r="FF44" s="5">
        <f t="shared" si="129"/>
        <v>82.481188426993128</v>
      </c>
      <c r="FG44">
        <f t="shared" si="130"/>
        <v>39</v>
      </c>
      <c r="FI44" s="562">
        <f t="shared" si="90"/>
        <v>-50</v>
      </c>
      <c r="FJ44">
        <f t="shared" si="91"/>
        <v>-50</v>
      </c>
      <c r="FL44">
        <f t="shared" si="92"/>
        <v>0.4415880433163924</v>
      </c>
    </row>
    <row r="45" spans="5:168">
      <c r="E45" s="170">
        <v>40</v>
      </c>
      <c r="F45" s="217">
        <f t="shared" si="174"/>
        <v>0.4</v>
      </c>
      <c r="G45" s="217">
        <f t="shared" si="171"/>
        <v>0.1</v>
      </c>
      <c r="H45" s="217">
        <f t="shared" si="135"/>
        <v>6.56</v>
      </c>
      <c r="I45" s="217">
        <f t="shared" si="175"/>
        <v>0.8</v>
      </c>
      <c r="J45" s="541">
        <f t="shared" si="136"/>
        <v>23.939373415192996</v>
      </c>
      <c r="K45" s="443">
        <f t="shared" si="137"/>
        <v>17.126832815729994</v>
      </c>
      <c r="L45" s="172">
        <f t="shared" si="138"/>
        <v>41.066206230922987</v>
      </c>
      <c r="M45" s="443"/>
      <c r="N45" s="217">
        <f t="shared" si="139"/>
        <v>0.41705417635665193</v>
      </c>
      <c r="O45" s="172">
        <f t="shared" si="172"/>
        <v>29.662655228179233</v>
      </c>
      <c r="P45" s="172">
        <f t="shared" si="140"/>
        <v>4.0585429521006686</v>
      </c>
      <c r="Q45" s="217">
        <f t="shared" si="6"/>
        <v>1.8086984895231242</v>
      </c>
      <c r="R45" s="217">
        <f t="shared" si="141"/>
        <v>3.7078319035224041</v>
      </c>
      <c r="S45" s="443">
        <f t="shared" si="142"/>
        <v>16.399999999999999</v>
      </c>
      <c r="T45" s="217">
        <f t="shared" si="143"/>
        <v>1.474356661496274</v>
      </c>
      <c r="U45" s="217">
        <f t="shared" si="10"/>
        <v>0.7390452386162697</v>
      </c>
      <c r="V45" s="217">
        <f t="shared" si="11"/>
        <v>1.0330152765726752</v>
      </c>
      <c r="W45" s="197">
        <f t="shared" si="12"/>
        <v>350</v>
      </c>
      <c r="X45" s="443">
        <f t="shared" si="95"/>
        <v>350</v>
      </c>
      <c r="Z45" s="217">
        <f t="shared" si="13"/>
        <v>2.3771465862303915</v>
      </c>
      <c r="AA45" s="173">
        <f t="shared" si="14"/>
        <v>1.665559496123852</v>
      </c>
      <c r="AB45" s="173">
        <f t="shared" si="144"/>
        <v>0.69287383731552454</v>
      </c>
      <c r="AC45" s="173"/>
      <c r="AD45" s="173">
        <f t="shared" si="16"/>
        <v>0.93420658519565503</v>
      </c>
      <c r="AE45" s="545">
        <f t="shared" si="145"/>
        <v>642.25623058987469</v>
      </c>
      <c r="AF45" s="528">
        <f t="shared" si="146"/>
        <v>0.21798153654565286</v>
      </c>
      <c r="AH45" s="173">
        <f t="shared" si="147"/>
        <v>1.872100933379903</v>
      </c>
      <c r="AI45" s="173">
        <f t="shared" si="148"/>
        <v>1.872100933379903</v>
      </c>
      <c r="AJ45" s="173">
        <f t="shared" si="149"/>
        <v>1.5990871111456071</v>
      </c>
      <c r="AL45" s="545">
        <f t="shared" si="150"/>
        <v>400</v>
      </c>
      <c r="AM45" s="460">
        <f t="shared" si="151"/>
        <v>350</v>
      </c>
      <c r="AO45">
        <f t="shared" si="96"/>
        <v>400</v>
      </c>
      <c r="AP45" s="460">
        <f t="shared" si="24"/>
        <v>350</v>
      </c>
      <c r="AQ45" s="460"/>
      <c r="AR45" s="5">
        <f t="shared" si="97"/>
        <v>2.8571428571428572</v>
      </c>
      <c r="AS45" s="5">
        <f t="shared" si="25"/>
        <v>0.93842101925280175</v>
      </c>
      <c r="AT45" s="5">
        <f t="shared" si="98"/>
        <v>1.9187218378900555</v>
      </c>
      <c r="AU45" s="173">
        <f t="shared" si="99"/>
        <v>0.32844735673848058</v>
      </c>
      <c r="AW45" s="5">
        <f t="shared" si="152"/>
        <v>2.2888317542751269</v>
      </c>
      <c r="AX45" s="5">
        <f t="shared" si="153"/>
        <v>1.1730262740660022</v>
      </c>
      <c r="AY45" s="5">
        <f t="shared" si="28"/>
        <v>0.43814900799125223</v>
      </c>
      <c r="AZ45" s="5"/>
      <c r="BA45" s="173">
        <f t="shared" si="100"/>
        <v>0.61944324023453234</v>
      </c>
      <c r="BB45" s="173">
        <f t="shared" si="154"/>
        <v>0.8857449070594261</v>
      </c>
      <c r="BC45" s="173">
        <f t="shared" si="155"/>
        <v>0.21730613932160953</v>
      </c>
      <c r="BD45" s="173"/>
      <c r="BE45" s="528">
        <f t="shared" si="31"/>
        <v>7.674198557445131E-3</v>
      </c>
      <c r="BF45" s="528">
        <f t="shared" si="156"/>
        <v>0.50452554478779144</v>
      </c>
      <c r="BG45" s="528">
        <f t="shared" si="157"/>
        <v>0.20946951738293873</v>
      </c>
      <c r="BH45" s="528">
        <f t="shared" si="34"/>
        <v>5.902516529702443E-2</v>
      </c>
      <c r="BI45">
        <f t="shared" si="35"/>
        <v>1.0772718036836848E-2</v>
      </c>
      <c r="BJ45" s="460">
        <f t="shared" si="101"/>
        <v>220.2422354197756</v>
      </c>
      <c r="BK45">
        <f t="shared" si="158"/>
        <v>0.57434419547254922</v>
      </c>
      <c r="BL45" s="460">
        <f t="shared" si="102"/>
        <v>574.34419547254925</v>
      </c>
      <c r="BM45" s="173">
        <f t="shared" si="159"/>
        <v>0.24849999999999997</v>
      </c>
      <c r="BN45" s="173">
        <f t="shared" si="160"/>
        <v>4.4374999999999998E-2</v>
      </c>
      <c r="BO45" s="528"/>
      <c r="BQ45" s="460">
        <f t="shared" si="103"/>
        <v>292.875</v>
      </c>
      <c r="BR45" s="528">
        <f t="shared" si="39"/>
        <v>1.1511297836167696E-2</v>
      </c>
      <c r="BS45" s="528">
        <f t="shared" si="104"/>
        <v>2.3536321211451338E-2</v>
      </c>
      <c r="BT45" s="528">
        <f t="shared" si="161"/>
        <v>2.3610979093431386E-4</v>
      </c>
      <c r="BU45" s="528">
        <f t="shared" si="41"/>
        <v>0.54949439229489827</v>
      </c>
      <c r="BV45" s="528">
        <f t="shared" si="162"/>
        <v>0.59492551128825899</v>
      </c>
      <c r="BW45" s="625">
        <f t="shared" si="163"/>
        <v>6.1333333333333327E-3</v>
      </c>
      <c r="BX45" s="460">
        <f t="shared" si="105"/>
        <v>601.05884462159236</v>
      </c>
      <c r="BY45" s="173">
        <f t="shared" si="106"/>
        <v>1.4682780400941415</v>
      </c>
      <c r="BZ45" s="5">
        <f t="shared" si="107"/>
        <v>7.3599999999999994</v>
      </c>
      <c r="CA45" s="173">
        <f t="shared" si="108"/>
        <v>0.83368466269119856</v>
      </c>
      <c r="CB45" s="5">
        <f t="shared" si="109"/>
        <v>83.36846626911985</v>
      </c>
      <c r="CC45">
        <f t="shared" si="173"/>
        <v>40</v>
      </c>
      <c r="CE45" s="562">
        <f t="shared" si="164"/>
        <v>-50</v>
      </c>
      <c r="CF45">
        <f t="shared" si="165"/>
        <v>-50</v>
      </c>
      <c r="CG45" s="173">
        <f t="shared" si="166"/>
        <v>0.44721359549995798</v>
      </c>
      <c r="CH45" s="173">
        <f t="shared" si="167"/>
        <v>0.15626186217412152</v>
      </c>
      <c r="CI45" s="170">
        <v>40</v>
      </c>
      <c r="CJ45" s="217">
        <f t="shared" si="133"/>
        <v>0.4</v>
      </c>
      <c r="CK45" s="217">
        <f t="shared" si="111"/>
        <v>0.1</v>
      </c>
      <c r="CL45" s="217">
        <f t="shared" si="48"/>
        <v>6.56</v>
      </c>
      <c r="CM45" s="217">
        <f t="shared" si="134"/>
        <v>0.8</v>
      </c>
      <c r="CN45" s="541">
        <f t="shared" si="112"/>
        <v>24</v>
      </c>
      <c r="CO45" s="443">
        <f t="shared" si="168"/>
        <v>17.099999999999998</v>
      </c>
      <c r="CP45" s="443">
        <f t="shared" si="169"/>
        <v>41.099999999999994</v>
      </c>
      <c r="CQ45" s="443"/>
      <c r="CR45" s="217">
        <f t="shared" si="113"/>
        <v>0.41176470588235292</v>
      </c>
      <c r="CS45" s="172">
        <f t="shared" si="114"/>
        <v>29.36061381074169</v>
      </c>
      <c r="CT45" s="172">
        <f t="shared" si="51"/>
        <v>4.0172166427546641</v>
      </c>
      <c r="CU45" s="217">
        <f t="shared" si="52"/>
        <v>1.7902813299232738</v>
      </c>
      <c r="CV45" s="217">
        <f t="shared" si="53"/>
        <v>3.6700767263427112</v>
      </c>
      <c r="CW45" s="443">
        <f t="shared" si="54"/>
        <v>16.399999999999999</v>
      </c>
      <c r="CX45" s="217">
        <f t="shared" si="55"/>
        <v>1.4895238095238093</v>
      </c>
      <c r="CY45" s="217">
        <f t="shared" si="56"/>
        <v>0.74476190476190474</v>
      </c>
      <c r="CZ45" s="217">
        <f t="shared" si="57"/>
        <v>1.0452798663324978</v>
      </c>
      <c r="DA45" s="197">
        <f t="shared" si="58"/>
        <v>350</v>
      </c>
      <c r="DB45" s="443">
        <f t="shared" si="115"/>
        <v>350</v>
      </c>
      <c r="DD45" s="217">
        <f t="shared" si="59"/>
        <v>2.377476538060479</v>
      </c>
      <c r="DE45" s="173">
        <f t="shared" si="60"/>
        <v>1.668404588112617</v>
      </c>
      <c r="DF45" s="173">
        <f t="shared" si="61"/>
        <v>0.69415373374028577</v>
      </c>
      <c r="DG45" s="173"/>
      <c r="DH45" s="173">
        <f t="shared" si="62"/>
        <v>0.93567251461988332</v>
      </c>
      <c r="DI45" s="545">
        <f t="shared" si="63"/>
        <v>641.24999999999977</v>
      </c>
      <c r="DJ45" s="528">
        <f t="shared" si="64"/>
        <v>0.21832358674463945</v>
      </c>
      <c r="DL45" s="173">
        <f t="shared" si="65"/>
        <v>1.872100933379903</v>
      </c>
      <c r="DM45" s="173">
        <f t="shared" si="66"/>
        <v>1.872100933379903</v>
      </c>
      <c r="DN45" s="173">
        <f t="shared" si="67"/>
        <v>1.5990871111456071</v>
      </c>
      <c r="DP45" s="545">
        <f t="shared" si="68"/>
        <v>400</v>
      </c>
      <c r="DQ45" s="460">
        <f t="shared" si="69"/>
        <v>350</v>
      </c>
      <c r="DS45">
        <f t="shared" si="116"/>
        <v>400</v>
      </c>
      <c r="DT45" s="460">
        <f t="shared" si="70"/>
        <v>350</v>
      </c>
      <c r="DU45" s="460"/>
      <c r="DV45" s="5">
        <f t="shared" si="117"/>
        <v>2.8571428571428572</v>
      </c>
      <c r="DW45" s="5">
        <f t="shared" si="71"/>
        <v>0.93605046668995151</v>
      </c>
      <c r="DX45" s="5">
        <f t="shared" si="118"/>
        <v>1.9210923904529058</v>
      </c>
      <c r="DY45" s="173">
        <f t="shared" si="119"/>
        <v>0.32761766334148301</v>
      </c>
      <c r="EA45" s="5">
        <f t="shared" si="72"/>
        <v>2.2830499187559798</v>
      </c>
      <c r="EB45" s="5">
        <f t="shared" si="73"/>
        <v>1.1700630833624397</v>
      </c>
      <c r="EC45" s="5">
        <f t="shared" si="74"/>
        <v>0.43758215560316172</v>
      </c>
      <c r="ED45" s="5"/>
      <c r="EE45" s="173">
        <f t="shared" si="120"/>
        <v>0.61866035533948682</v>
      </c>
      <c r="EF45" s="173">
        <f t="shared" si="75"/>
        <v>0.88629190055262719</v>
      </c>
      <c r="EG45" s="173">
        <f t="shared" si="76"/>
        <v>0.21744033715136185</v>
      </c>
      <c r="EH45" s="173"/>
      <c r="EI45" s="528">
        <f t="shared" si="77"/>
        <v>7.6548127053756021E-3</v>
      </c>
      <c r="EJ45" s="528">
        <f t="shared" si="78"/>
        <v>0.53860343853339798</v>
      </c>
      <c r="EK45" s="528">
        <f t="shared" si="79"/>
        <v>4.3749999999999997E-2</v>
      </c>
      <c r="EL45" s="528">
        <f t="shared" si="80"/>
        <v>5.9122349999999983E-2</v>
      </c>
      <c r="EM45">
        <f t="shared" si="81"/>
        <v>1.0800000000000001E-2</v>
      </c>
      <c r="EN45" s="460">
        <f t="shared" si="121"/>
        <v>54.550000000000004</v>
      </c>
      <c r="EO45">
        <f t="shared" si="82"/>
        <v>0.66320362447776771</v>
      </c>
      <c r="EP45" s="460">
        <f t="shared" si="122"/>
        <v>663.20362447776768</v>
      </c>
      <c r="EQ45" s="173">
        <f t="shared" si="83"/>
        <v>0.24849999999999997</v>
      </c>
      <c r="ER45" s="173">
        <f t="shared" si="170"/>
        <v>4.4374999999999998E-2</v>
      </c>
      <c r="ES45" s="528"/>
      <c r="EU45" s="460">
        <f t="shared" si="123"/>
        <v>292.875</v>
      </c>
      <c r="EV45" s="528">
        <f t="shared" si="85"/>
        <v>1.1482219058063403E-2</v>
      </c>
      <c r="EW45" s="528">
        <f t="shared" si="124"/>
        <v>2.356539998955564E-2</v>
      </c>
      <c r="EX45" s="528">
        <f t="shared" si="86"/>
        <v>2.364015011024896E-4</v>
      </c>
      <c r="EY45" s="528">
        <f t="shared" si="87"/>
        <v>0.54949439229489827</v>
      </c>
      <c r="EZ45" s="528">
        <f t="shared" si="88"/>
        <v>0.59492588795576073</v>
      </c>
      <c r="FA45" s="625">
        <f t="shared" si="89"/>
        <v>6.1333333333333327E-3</v>
      </c>
      <c r="FB45" s="460">
        <f t="shared" si="125"/>
        <v>601.05922128909401</v>
      </c>
      <c r="FC45" s="173">
        <f t="shared" si="126"/>
        <v>1.5571378457668617</v>
      </c>
      <c r="FD45" s="5">
        <f t="shared" si="127"/>
        <v>7.3599999999999994</v>
      </c>
      <c r="FE45" s="173">
        <f t="shared" si="128"/>
        <v>0.82537694575327603</v>
      </c>
      <c r="FF45" s="5">
        <f t="shared" si="129"/>
        <v>82.537694575327606</v>
      </c>
      <c r="FG45">
        <f t="shared" si="130"/>
        <v>40</v>
      </c>
      <c r="FI45" s="562">
        <f t="shared" si="90"/>
        <v>-50</v>
      </c>
      <c r="FJ45">
        <f t="shared" si="91"/>
        <v>-50</v>
      </c>
      <c r="FL45">
        <f t="shared" si="92"/>
        <v>0.44721359549995798</v>
      </c>
    </row>
    <row r="46" spans="5:168">
      <c r="E46" s="170">
        <v>41</v>
      </c>
      <c r="F46" s="217">
        <f t="shared" si="174"/>
        <v>0.41</v>
      </c>
      <c r="G46" s="217">
        <f t="shared" si="171"/>
        <v>0.10249999999999999</v>
      </c>
      <c r="H46" s="217">
        <f t="shared" si="135"/>
        <v>6.7239999999999993</v>
      </c>
      <c r="I46" s="217">
        <f t="shared" si="175"/>
        <v>0.82</v>
      </c>
      <c r="J46" s="541">
        <f t="shared" si="136"/>
        <v>23.938620261038395</v>
      </c>
      <c r="K46" s="443">
        <f t="shared" si="137"/>
        <v>17.127166155414411</v>
      </c>
      <c r="L46" s="172">
        <f t="shared" si="138"/>
        <v>41.065786416452809</v>
      </c>
      <c r="M46" s="443"/>
      <c r="N46" s="217">
        <f t="shared" si="139"/>
        <v>0.41706655710244706</v>
      </c>
      <c r="O46" s="172">
        <f t="shared" si="172"/>
        <v>29.662602557697166</v>
      </c>
      <c r="P46" s="172">
        <f t="shared" si="140"/>
        <v>4.0585357455504747</v>
      </c>
      <c r="Q46" s="217">
        <f t="shared" si="6"/>
        <v>1.808695277908364</v>
      </c>
      <c r="R46" s="217">
        <f t="shared" si="141"/>
        <v>3.7078253197121458</v>
      </c>
      <c r="S46" s="443">
        <f t="shared" si="142"/>
        <v>16.399999999999999</v>
      </c>
      <c r="T46" s="217">
        <f t="shared" si="143"/>
        <v>1.5112182614277916</v>
      </c>
      <c r="U46" s="217">
        <f t="shared" si="10"/>
        <v>0.75754654777028763</v>
      </c>
      <c r="V46" s="217">
        <f t="shared" si="11"/>
        <v>1.0588219307606006</v>
      </c>
      <c r="W46" s="197">
        <f t="shared" si="12"/>
        <v>350</v>
      </c>
      <c r="X46" s="443">
        <f t="shared" si="95"/>
        <v>350</v>
      </c>
      <c r="Z46" s="217">
        <f t="shared" si="13"/>
        <v>2.3771423652509922</v>
      </c>
      <c r="AA46" s="173">
        <f t="shared" si="14"/>
        <v>1.6655241225644368</v>
      </c>
      <c r="AB46" s="173">
        <f t="shared" si="144"/>
        <v>0.69285789161669653</v>
      </c>
      <c r="AC46" s="173"/>
      <c r="AD46" s="173">
        <f t="shared" si="16"/>
        <v>0.93418840307927542</v>
      </c>
      <c r="AE46" s="545">
        <f t="shared" si="145"/>
        <v>658.32544909874127</v>
      </c>
      <c r="AF46" s="528">
        <f t="shared" si="146"/>
        <v>0.21797729405183094</v>
      </c>
      <c r="AH46" s="173">
        <f t="shared" si="147"/>
        <v>1.8953577373100183</v>
      </c>
      <c r="AI46" s="173">
        <f t="shared" si="148"/>
        <v>1.8953577373100183</v>
      </c>
      <c r="AJ46" s="173">
        <f t="shared" si="149"/>
        <v>1.6163143733160628</v>
      </c>
      <c r="AL46" s="545">
        <f t="shared" si="150"/>
        <v>410</v>
      </c>
      <c r="AM46" s="460">
        <f t="shared" si="151"/>
        <v>350</v>
      </c>
      <c r="AO46">
        <f t="shared" si="96"/>
        <v>410</v>
      </c>
      <c r="AP46" s="460">
        <f t="shared" si="24"/>
        <v>350</v>
      </c>
      <c r="AQ46" s="460"/>
      <c r="AR46" s="5">
        <f t="shared" si="97"/>
        <v>2.8571428571428572</v>
      </c>
      <c r="AS46" s="5">
        <f t="shared" si="25"/>
        <v>0.95010876147853773</v>
      </c>
      <c r="AT46" s="5">
        <f t="shared" si="98"/>
        <v>1.9070340956643195</v>
      </c>
      <c r="AU46" s="173">
        <f t="shared" si="99"/>
        <v>0.33253806651748818</v>
      </c>
      <c r="AW46" s="5">
        <f t="shared" si="152"/>
        <v>2.3752719036963446</v>
      </c>
      <c r="AX46" s="5">
        <f t="shared" si="153"/>
        <v>1.2173268506443764</v>
      </c>
      <c r="AY46" s="5">
        <f t="shared" si="28"/>
        <v>0.44638110298406763</v>
      </c>
      <c r="AZ46" s="5"/>
      <c r="BA46" s="173">
        <f t="shared" si="100"/>
        <v>0.63103180482418753</v>
      </c>
      <c r="BB46" s="173">
        <f t="shared" si="154"/>
        <v>0.89401296341867775</v>
      </c>
      <c r="BC46" s="173">
        <f t="shared" si="155"/>
        <v>0.21933460078133984</v>
      </c>
      <c r="BD46" s="173"/>
      <c r="BE46" s="528">
        <f t="shared" si="31"/>
        <v>7.9640227739934295E-3</v>
      </c>
      <c r="BF46" s="528">
        <f t="shared" si="156"/>
        <v>0.51078796140188565</v>
      </c>
      <c r="BG46" s="528">
        <f t="shared" si="157"/>
        <v>0.20946292728408594</v>
      </c>
      <c r="BH46" s="528">
        <f t="shared" si="34"/>
        <v>5.9023958490060202E-2</v>
      </c>
      <c r="BI46">
        <f t="shared" si="35"/>
        <v>1.0772379117467278E-2</v>
      </c>
      <c r="BJ46" s="460">
        <f t="shared" si="101"/>
        <v>220.23530640155323</v>
      </c>
      <c r="BK46">
        <f t="shared" si="158"/>
        <v>0.58102567570206076</v>
      </c>
      <c r="BL46" s="460">
        <f t="shared" si="102"/>
        <v>581.02567570206077</v>
      </c>
      <c r="BM46" s="173">
        <f t="shared" si="159"/>
        <v>0.25471249999999995</v>
      </c>
      <c r="BN46" s="173">
        <f t="shared" si="160"/>
        <v>4.5484374999999994E-2</v>
      </c>
      <c r="BO46" s="528"/>
      <c r="BQ46" s="460">
        <f t="shared" si="103"/>
        <v>300.19687499999992</v>
      </c>
      <c r="BR46" s="528">
        <f t="shared" si="39"/>
        <v>1.1946034160990144E-2</v>
      </c>
      <c r="BS46" s="528">
        <f t="shared" si="104"/>
        <v>2.3977775362819378E-2</v>
      </c>
      <c r="BT46" s="528">
        <f t="shared" si="161"/>
        <v>2.4053833549954863E-4</v>
      </c>
      <c r="BU46" s="528">
        <f t="shared" si="41"/>
        <v>0.56671942184970769</v>
      </c>
      <c r="BV46" s="528">
        <f t="shared" si="162"/>
        <v>0.6133376898007854</v>
      </c>
      <c r="BW46" s="625">
        <f t="shared" si="163"/>
        <v>6.2866666666666678E-3</v>
      </c>
      <c r="BX46" s="460">
        <f t="shared" si="105"/>
        <v>619.62435646745212</v>
      </c>
      <c r="BY46" s="173">
        <f t="shared" si="106"/>
        <v>1.500846907169513</v>
      </c>
      <c r="BZ46" s="5">
        <f t="shared" si="107"/>
        <v>7.5439999999999996</v>
      </c>
      <c r="CA46" s="173">
        <f t="shared" si="108"/>
        <v>0.83406607955079404</v>
      </c>
      <c r="CB46" s="5">
        <f t="shared" si="109"/>
        <v>83.406607955079409</v>
      </c>
      <c r="CC46">
        <f t="shared" si="173"/>
        <v>41</v>
      </c>
      <c r="CE46" s="562">
        <f t="shared" si="164"/>
        <v>-50</v>
      </c>
      <c r="CF46">
        <f t="shared" si="165"/>
        <v>-50</v>
      </c>
      <c r="CG46" s="173">
        <f t="shared" si="166"/>
        <v>0.45276925690687087</v>
      </c>
      <c r="CH46" s="173">
        <f t="shared" si="167"/>
        <v>0.15820307774938278</v>
      </c>
      <c r="CI46" s="170">
        <v>41</v>
      </c>
      <c r="CJ46" s="217">
        <f t="shared" si="133"/>
        <v>0.41</v>
      </c>
      <c r="CK46" s="217">
        <f t="shared" si="111"/>
        <v>0.10249999999999999</v>
      </c>
      <c r="CL46" s="217">
        <f t="shared" si="48"/>
        <v>6.7239999999999993</v>
      </c>
      <c r="CM46" s="217">
        <f t="shared" si="134"/>
        <v>0.82</v>
      </c>
      <c r="CN46" s="541">
        <f t="shared" si="112"/>
        <v>24</v>
      </c>
      <c r="CO46" s="443">
        <f t="shared" si="168"/>
        <v>17.099999999999998</v>
      </c>
      <c r="CP46" s="443">
        <f t="shared" si="169"/>
        <v>41.099999999999994</v>
      </c>
      <c r="CQ46" s="443"/>
      <c r="CR46" s="217">
        <f t="shared" si="113"/>
        <v>0.41176470588235292</v>
      </c>
      <c r="CS46" s="172">
        <f t="shared" si="114"/>
        <v>29.36061381074169</v>
      </c>
      <c r="CT46" s="172">
        <f t="shared" si="51"/>
        <v>4.0172166427546641</v>
      </c>
      <c r="CU46" s="217">
        <f t="shared" si="52"/>
        <v>1.7902813299232738</v>
      </c>
      <c r="CV46" s="217">
        <f t="shared" si="53"/>
        <v>3.6700767263427112</v>
      </c>
      <c r="CW46" s="443">
        <f t="shared" si="54"/>
        <v>16.399999999999999</v>
      </c>
      <c r="CX46" s="217">
        <f t="shared" si="55"/>
        <v>1.5267619047619045</v>
      </c>
      <c r="CY46" s="217">
        <f t="shared" si="56"/>
        <v>0.76338095238095238</v>
      </c>
      <c r="CZ46" s="217">
        <f t="shared" si="57"/>
        <v>1.0714118629908105</v>
      </c>
      <c r="DA46" s="197">
        <f t="shared" si="58"/>
        <v>350</v>
      </c>
      <c r="DB46" s="443">
        <f t="shared" si="115"/>
        <v>350</v>
      </c>
      <c r="DD46" s="217">
        <f t="shared" si="59"/>
        <v>2.377476538060479</v>
      </c>
      <c r="DE46" s="173">
        <f t="shared" si="60"/>
        <v>1.668404588112617</v>
      </c>
      <c r="DF46" s="173">
        <f t="shared" si="61"/>
        <v>0.69415373374028577</v>
      </c>
      <c r="DG46" s="173"/>
      <c r="DH46" s="173">
        <f t="shared" si="62"/>
        <v>0.93567251461988332</v>
      </c>
      <c r="DI46" s="545">
        <f t="shared" si="63"/>
        <v>657.28124999999966</v>
      </c>
      <c r="DJ46" s="528">
        <f t="shared" si="64"/>
        <v>0.21832358674463945</v>
      </c>
      <c r="DL46" s="173">
        <f t="shared" si="65"/>
        <v>1.8953577373100183</v>
      </c>
      <c r="DM46" s="173">
        <f t="shared" si="66"/>
        <v>1.8953577373100183</v>
      </c>
      <c r="DN46" s="173">
        <f t="shared" si="67"/>
        <v>1.6163143733160628</v>
      </c>
      <c r="DP46" s="545">
        <f t="shared" si="68"/>
        <v>410</v>
      </c>
      <c r="DQ46" s="460">
        <f t="shared" si="69"/>
        <v>350</v>
      </c>
      <c r="DS46">
        <f t="shared" si="116"/>
        <v>410</v>
      </c>
      <c r="DT46" s="460">
        <f t="shared" si="70"/>
        <v>350</v>
      </c>
      <c r="DU46" s="460"/>
      <c r="DV46" s="5">
        <f t="shared" si="117"/>
        <v>2.8571428571428572</v>
      </c>
      <c r="DW46" s="5">
        <f t="shared" si="71"/>
        <v>0.94767886865500917</v>
      </c>
      <c r="DX46" s="5">
        <f t="shared" si="118"/>
        <v>1.9094639884878482</v>
      </c>
      <c r="DY46" s="173">
        <f t="shared" si="119"/>
        <v>0.33168760402925318</v>
      </c>
      <c r="EA46" s="5">
        <f t="shared" si="72"/>
        <v>2.3691971716375231</v>
      </c>
      <c r="EB46" s="5">
        <f t="shared" si="73"/>
        <v>1.2142135504642304</v>
      </c>
      <c r="EC46" s="5">
        <f t="shared" si="74"/>
        <v>0.44580680064556549</v>
      </c>
      <c r="ED46" s="5"/>
      <c r="EE46" s="173">
        <f t="shared" si="120"/>
        <v>0.6302243597470043</v>
      </c>
      <c r="EF46" s="173">
        <f t="shared" si="75"/>
        <v>0.89458234603740971</v>
      </c>
      <c r="EG46" s="173">
        <f t="shared" si="76"/>
        <v>0.21947429149554812</v>
      </c>
      <c r="EH46" s="173"/>
      <c r="EI46" s="528">
        <f t="shared" si="77"/>
        <v>7.9436548723704307E-3</v>
      </c>
      <c r="EJ46" s="528">
        <f t="shared" si="78"/>
        <v>0.5452944210240922</v>
      </c>
      <c r="EK46" s="528">
        <f t="shared" si="79"/>
        <v>4.3749999999999997E-2</v>
      </c>
      <c r="EL46" s="528">
        <f t="shared" si="80"/>
        <v>5.9122349999999983E-2</v>
      </c>
      <c r="EM46">
        <f t="shared" si="81"/>
        <v>1.0800000000000001E-2</v>
      </c>
      <c r="EN46" s="460">
        <f t="shared" si="121"/>
        <v>54.550000000000004</v>
      </c>
      <c r="EO46">
        <f t="shared" si="82"/>
        <v>0.67032038371464009</v>
      </c>
      <c r="EP46" s="460">
        <f t="shared" si="122"/>
        <v>670.32038371464012</v>
      </c>
      <c r="EQ46" s="173">
        <f t="shared" si="83"/>
        <v>0.25471249999999995</v>
      </c>
      <c r="ER46" s="173">
        <f t="shared" si="170"/>
        <v>4.5484374999999994E-2</v>
      </c>
      <c r="ES46" s="528"/>
      <c r="EU46" s="460">
        <f t="shared" si="123"/>
        <v>300.19687499999992</v>
      </c>
      <c r="EV46" s="528">
        <f t="shared" si="85"/>
        <v>1.1915482308555644E-2</v>
      </c>
      <c r="EW46" s="528">
        <f t="shared" si="124"/>
        <v>2.4008327215253877E-2</v>
      </c>
      <c r="EX46" s="528">
        <f t="shared" si="86"/>
        <v>2.4084482313736414E-4</v>
      </c>
      <c r="EY46" s="528">
        <f t="shared" si="87"/>
        <v>0.56671942184970769</v>
      </c>
      <c r="EZ46" s="528">
        <f t="shared" si="88"/>
        <v>0.61333808603024997</v>
      </c>
      <c r="FA46" s="625">
        <f t="shared" si="89"/>
        <v>6.2866666666666678E-3</v>
      </c>
      <c r="FB46" s="460">
        <f t="shared" si="125"/>
        <v>619.62475269691663</v>
      </c>
      <c r="FC46" s="173">
        <f t="shared" si="126"/>
        <v>1.5901420114115568</v>
      </c>
      <c r="FD46" s="5">
        <f t="shared" si="127"/>
        <v>7.5439999999999996</v>
      </c>
      <c r="FE46" s="173">
        <f t="shared" si="128"/>
        <v>0.82591227403461154</v>
      </c>
      <c r="FF46" s="5">
        <f t="shared" si="129"/>
        <v>82.591227403461147</v>
      </c>
      <c r="FG46">
        <f t="shared" si="130"/>
        <v>41</v>
      </c>
      <c r="FI46" s="562">
        <f t="shared" si="90"/>
        <v>-50</v>
      </c>
      <c r="FJ46">
        <f t="shared" si="91"/>
        <v>-50</v>
      </c>
      <c r="FL46">
        <f t="shared" si="92"/>
        <v>0.45276925690687081</v>
      </c>
    </row>
    <row r="47" spans="5:168">
      <c r="E47" s="170">
        <v>42</v>
      </c>
      <c r="F47" s="217">
        <f t="shared" si="174"/>
        <v>0.42</v>
      </c>
      <c r="G47" s="217">
        <f t="shared" si="171"/>
        <v>0.105</v>
      </c>
      <c r="H47" s="217">
        <f t="shared" si="135"/>
        <v>6.887999999999999</v>
      </c>
      <c r="I47" s="217">
        <f t="shared" si="175"/>
        <v>0.84</v>
      </c>
      <c r="J47" s="541">
        <f t="shared" si="136"/>
        <v>23.937876237037436</v>
      </c>
      <c r="K47" s="443">
        <f t="shared" si="137"/>
        <v>17.127495454169733</v>
      </c>
      <c r="L47" s="172">
        <f t="shared" si="138"/>
        <v>41.065371691207169</v>
      </c>
      <c r="M47" s="443"/>
      <c r="N47" s="217">
        <f t="shared" si="139"/>
        <v>0.41707878801050852</v>
      </c>
      <c r="O47" s="172">
        <f t="shared" si="172"/>
        <v>29.662550488989435</v>
      </c>
      <c r="P47" s="172">
        <f t="shared" si="140"/>
        <v>4.058528621337044</v>
      </c>
      <c r="Q47" s="217">
        <f t="shared" si="6"/>
        <v>1.8086921029871608</v>
      </c>
      <c r="R47" s="217">
        <f t="shared" si="141"/>
        <v>3.7078188111236794</v>
      </c>
      <c r="S47" s="443">
        <f t="shared" si="142"/>
        <v>16.399999999999999</v>
      </c>
      <c r="T47" s="217">
        <f t="shared" si="143"/>
        <v>1.5480799608599143</v>
      </c>
      <c r="U47" s="217">
        <f t="shared" si="10"/>
        <v>0.77604877501940273</v>
      </c>
      <c r="V47" s="217">
        <f t="shared" si="11"/>
        <v>1.0846279060489468</v>
      </c>
      <c r="W47" s="197">
        <f t="shared" si="12"/>
        <v>350</v>
      </c>
      <c r="X47" s="443">
        <f t="shared" si="95"/>
        <v>350</v>
      </c>
      <c r="Z47" s="217">
        <f t="shared" si="13"/>
        <v>2.3771381924974109</v>
      </c>
      <c r="AA47" s="173">
        <f t="shared" si="14"/>
        <v>1.6654891771128326</v>
      </c>
      <c r="AB47" s="173">
        <f t="shared" si="144"/>
        <v>0.69284213811854978</v>
      </c>
      <c r="AC47" s="173"/>
      <c r="AD47" s="173">
        <f t="shared" si="16"/>
        <v>0.93417044207153832</v>
      </c>
      <c r="AE47" s="545">
        <f t="shared" si="145"/>
        <v>674.395133507933</v>
      </c>
      <c r="AF47" s="528">
        <f t="shared" si="146"/>
        <v>0.21797310315002566</v>
      </c>
      <c r="AH47" s="173">
        <f t="shared" si="147"/>
        <v>1.9183326093250876</v>
      </c>
      <c r="AI47" s="173">
        <f t="shared" si="148"/>
        <v>1.9183326093250876</v>
      </c>
      <c r="AJ47" s="173">
        <f t="shared" si="149"/>
        <v>1.633332797030929</v>
      </c>
      <c r="AL47" s="545">
        <f t="shared" si="150"/>
        <v>420</v>
      </c>
      <c r="AM47" s="460">
        <f t="shared" si="151"/>
        <v>350</v>
      </c>
      <c r="AO47">
        <f t="shared" si="96"/>
        <v>420</v>
      </c>
      <c r="AP47" s="460">
        <f t="shared" si="24"/>
        <v>350</v>
      </c>
      <c r="AQ47" s="460"/>
      <c r="AR47" s="5">
        <f t="shared" si="97"/>
        <v>2.8571428571428572</v>
      </c>
      <c r="AS47" s="5">
        <f t="shared" si="25"/>
        <v>0.96165554053136082</v>
      </c>
      <c r="AT47" s="5">
        <f t="shared" si="98"/>
        <v>1.8954873166114963</v>
      </c>
      <c r="AU47" s="173">
        <f t="shared" si="99"/>
        <v>0.33657943918597627</v>
      </c>
      <c r="AW47" s="5">
        <f t="shared" si="152"/>
        <v>2.4627763842876318</v>
      </c>
      <c r="AX47" s="5">
        <f t="shared" si="153"/>
        <v>1.2621728969474111</v>
      </c>
      <c r="AY47" s="5">
        <f t="shared" si="28"/>
        <v>0.45451388793279646</v>
      </c>
      <c r="AZ47" s="5"/>
      <c r="BA47" s="173">
        <f t="shared" si="100"/>
        <v>0.64255021495195019</v>
      </c>
      <c r="BB47" s="173">
        <f t="shared" si="154"/>
        <v>0.90210636176221981</v>
      </c>
      <c r="BC47" s="173">
        <f t="shared" si="155"/>
        <v>0.22132021213965505</v>
      </c>
      <c r="BD47" s="173"/>
      <c r="BE47" s="528">
        <f t="shared" si="31"/>
        <v>8.2574155746959477E-3</v>
      </c>
      <c r="BF47" s="528">
        <f t="shared" si="156"/>
        <v>0.51697433569226836</v>
      </c>
      <c r="BG47" s="528">
        <f t="shared" si="157"/>
        <v>0.20945641707407753</v>
      </c>
      <c r="BH47" s="528">
        <f t="shared" si="34"/>
        <v>5.9022766324794973E-2</v>
      </c>
      <c r="BI47">
        <f t="shared" si="35"/>
        <v>1.0772044306666846E-2</v>
      </c>
      <c r="BJ47" s="460">
        <f t="shared" si="101"/>
        <v>220.22846138074436</v>
      </c>
      <c r="BK47">
        <f t="shared" si="158"/>
        <v>0.58763694111024545</v>
      </c>
      <c r="BL47" s="460">
        <f t="shared" si="102"/>
        <v>587.6369411102454</v>
      </c>
      <c r="BM47" s="173">
        <f t="shared" si="159"/>
        <v>0.26092499999999996</v>
      </c>
      <c r="BN47" s="173">
        <f t="shared" si="160"/>
        <v>4.6593749999999996E-2</v>
      </c>
      <c r="BO47" s="528"/>
      <c r="BQ47" s="460">
        <f t="shared" si="103"/>
        <v>307.51874999999995</v>
      </c>
      <c r="BR47" s="528">
        <f t="shared" si="39"/>
        <v>1.2386123362043922E-2</v>
      </c>
      <c r="BS47" s="528">
        <f t="shared" si="104"/>
        <v>2.4413876637956067E-2</v>
      </c>
      <c r="BT47" s="528">
        <f t="shared" si="161"/>
        <v>2.4491318150770961E-4</v>
      </c>
      <c r="BU47" s="528">
        <f t="shared" si="41"/>
        <v>0.58404981210931306</v>
      </c>
      <c r="BV47" s="528">
        <f t="shared" si="162"/>
        <v>0.63185807465587551</v>
      </c>
      <c r="BW47" s="625">
        <f t="shared" si="163"/>
        <v>6.4399999999999987E-3</v>
      </c>
      <c r="BX47" s="460">
        <f t="shared" si="105"/>
        <v>638.29807465587555</v>
      </c>
      <c r="BY47" s="173">
        <f t="shared" si="106"/>
        <v>1.5334537657661209</v>
      </c>
      <c r="BZ47" s="5">
        <f t="shared" si="107"/>
        <v>7.7279999999999989</v>
      </c>
      <c r="CA47" s="173">
        <f t="shared" si="108"/>
        <v>0.83442623538926974</v>
      </c>
      <c r="CB47" s="5">
        <f t="shared" si="109"/>
        <v>83.442623538926981</v>
      </c>
      <c r="CC47">
        <f t="shared" si="173"/>
        <v>42</v>
      </c>
      <c r="CE47" s="562">
        <f t="shared" si="164"/>
        <v>-50</v>
      </c>
      <c r="CF47">
        <f t="shared" si="165"/>
        <v>-50</v>
      </c>
      <c r="CG47" s="173">
        <f t="shared" si="166"/>
        <v>0.45825756949558405</v>
      </c>
      <c r="CH47" s="173">
        <f t="shared" si="167"/>
        <v>0.16012076082953877</v>
      </c>
      <c r="CI47" s="170">
        <v>42</v>
      </c>
      <c r="CJ47" s="217">
        <f t="shared" si="133"/>
        <v>0.42</v>
      </c>
      <c r="CK47" s="217">
        <f t="shared" si="111"/>
        <v>0.105</v>
      </c>
      <c r="CL47" s="217">
        <f t="shared" si="48"/>
        <v>6.887999999999999</v>
      </c>
      <c r="CM47" s="217">
        <f t="shared" si="134"/>
        <v>0.84</v>
      </c>
      <c r="CN47" s="541">
        <f t="shared" si="112"/>
        <v>24</v>
      </c>
      <c r="CO47" s="443">
        <f t="shared" si="168"/>
        <v>17.099999999999998</v>
      </c>
      <c r="CP47" s="443">
        <f t="shared" si="169"/>
        <v>41.099999999999994</v>
      </c>
      <c r="CQ47" s="443"/>
      <c r="CR47" s="217">
        <f t="shared" si="113"/>
        <v>0.41176470588235292</v>
      </c>
      <c r="CS47" s="172">
        <f t="shared" si="114"/>
        <v>29.36061381074169</v>
      </c>
      <c r="CT47" s="172">
        <f t="shared" si="51"/>
        <v>4.0172166427546641</v>
      </c>
      <c r="CU47" s="217">
        <f t="shared" si="52"/>
        <v>1.7902813299232738</v>
      </c>
      <c r="CV47" s="217">
        <f t="shared" si="53"/>
        <v>3.6700767263427112</v>
      </c>
      <c r="CW47" s="443">
        <f t="shared" si="54"/>
        <v>16.399999999999999</v>
      </c>
      <c r="CX47" s="217">
        <f t="shared" si="55"/>
        <v>1.5639999999999996</v>
      </c>
      <c r="CY47" s="217">
        <f t="shared" si="56"/>
        <v>0.78199999999999992</v>
      </c>
      <c r="CZ47" s="217">
        <f t="shared" si="57"/>
        <v>1.0975438596491227</v>
      </c>
      <c r="DA47" s="197">
        <f t="shared" si="58"/>
        <v>350</v>
      </c>
      <c r="DB47" s="443">
        <f t="shared" si="115"/>
        <v>350</v>
      </c>
      <c r="DD47" s="217">
        <f t="shared" si="59"/>
        <v>2.377476538060479</v>
      </c>
      <c r="DE47" s="173">
        <f t="shared" si="60"/>
        <v>1.668404588112617</v>
      </c>
      <c r="DF47" s="173">
        <f t="shared" si="61"/>
        <v>0.69415373374028577</v>
      </c>
      <c r="DG47" s="173"/>
      <c r="DH47" s="173">
        <f t="shared" si="62"/>
        <v>0.93567251461988332</v>
      </c>
      <c r="DI47" s="545">
        <f t="shared" si="63"/>
        <v>673.31249999999977</v>
      </c>
      <c r="DJ47" s="528">
        <f t="shared" si="64"/>
        <v>0.21832358674463945</v>
      </c>
      <c r="DL47" s="173">
        <f t="shared" si="65"/>
        <v>1.9183326093250876</v>
      </c>
      <c r="DM47" s="173">
        <f t="shared" si="66"/>
        <v>1.9183326093250876</v>
      </c>
      <c r="DN47" s="173">
        <f t="shared" si="67"/>
        <v>1.633332797030929</v>
      </c>
      <c r="DP47" s="545">
        <f t="shared" si="68"/>
        <v>420</v>
      </c>
      <c r="DQ47" s="460">
        <f t="shared" si="69"/>
        <v>350</v>
      </c>
      <c r="DS47">
        <f t="shared" si="116"/>
        <v>420</v>
      </c>
      <c r="DT47" s="460">
        <f t="shared" si="70"/>
        <v>350</v>
      </c>
      <c r="DU47" s="460"/>
      <c r="DV47" s="5">
        <f t="shared" si="117"/>
        <v>2.8571428571428572</v>
      </c>
      <c r="DW47" s="5">
        <f t="shared" si="71"/>
        <v>0.95916630466254393</v>
      </c>
      <c r="DX47" s="5">
        <f t="shared" si="118"/>
        <v>1.8979765524803134</v>
      </c>
      <c r="DY47" s="173">
        <f t="shared" si="119"/>
        <v>0.33570820663189038</v>
      </c>
      <c r="EA47" s="5">
        <f t="shared" si="72"/>
        <v>2.4564015119406619</v>
      </c>
      <c r="EB47" s="5">
        <f t="shared" si="73"/>
        <v>1.2589057748695889</v>
      </c>
      <c r="EC47" s="5">
        <f t="shared" si="74"/>
        <v>0.45393272546820818</v>
      </c>
      <c r="ED47" s="5"/>
      <c r="EE47" s="173">
        <f t="shared" si="120"/>
        <v>0.64171805865331966</v>
      </c>
      <c r="EF47" s="173">
        <f t="shared" si="75"/>
        <v>0.90269850994940781</v>
      </c>
      <c r="EG47" s="173">
        <f t="shared" si="76"/>
        <v>0.22146548809375713</v>
      </c>
      <c r="EH47" s="173"/>
      <c r="EI47" s="528">
        <f t="shared" si="77"/>
        <v>8.2360413360357074E-3</v>
      </c>
      <c r="EJ47" s="528">
        <f t="shared" si="78"/>
        <v>0.55190429170282762</v>
      </c>
      <c r="EK47" s="528">
        <f t="shared" si="79"/>
        <v>4.3749999999999997E-2</v>
      </c>
      <c r="EL47" s="528">
        <f t="shared" si="80"/>
        <v>5.9122349999999983E-2</v>
      </c>
      <c r="EM47">
        <f t="shared" si="81"/>
        <v>1.0800000000000001E-2</v>
      </c>
      <c r="EN47" s="460">
        <f t="shared" si="121"/>
        <v>54.550000000000004</v>
      </c>
      <c r="EO47">
        <f t="shared" si="82"/>
        <v>0.67736193253568799</v>
      </c>
      <c r="EP47" s="460">
        <f t="shared" si="122"/>
        <v>677.36193253568797</v>
      </c>
      <c r="EQ47" s="173">
        <f t="shared" si="83"/>
        <v>0.26092499999999996</v>
      </c>
      <c r="ER47" s="173">
        <f t="shared" si="170"/>
        <v>4.6593749999999996E-2</v>
      </c>
      <c r="ES47" s="528"/>
      <c r="EU47" s="460">
        <f t="shared" si="123"/>
        <v>307.51874999999995</v>
      </c>
      <c r="EV47" s="528">
        <f t="shared" si="85"/>
        <v>1.235406200405356E-2</v>
      </c>
      <c r="EW47" s="528">
        <f t="shared" si="124"/>
        <v>2.4445937995946434E-2</v>
      </c>
      <c r="EX47" s="528">
        <f t="shared" si="86"/>
        <v>2.4523481208303042E-4</v>
      </c>
      <c r="EY47" s="528">
        <f t="shared" si="87"/>
        <v>0.58404981210931306</v>
      </c>
      <c r="EZ47" s="528">
        <f t="shared" si="88"/>
        <v>0.63185849096957414</v>
      </c>
      <c r="FA47" s="625">
        <f t="shared" si="89"/>
        <v>6.4399999999999987E-3</v>
      </c>
      <c r="FB47" s="460">
        <f t="shared" si="125"/>
        <v>638.29849096957412</v>
      </c>
      <c r="FC47" s="173">
        <f t="shared" si="126"/>
        <v>1.6231791735052621</v>
      </c>
      <c r="FD47" s="5">
        <f t="shared" si="127"/>
        <v>7.7279999999999989</v>
      </c>
      <c r="FE47" s="173">
        <f t="shared" si="128"/>
        <v>0.82641984038716487</v>
      </c>
      <c r="FF47" s="5">
        <f t="shared" si="129"/>
        <v>82.641984038716487</v>
      </c>
      <c r="FG47">
        <f t="shared" si="130"/>
        <v>42</v>
      </c>
      <c r="FI47" s="562">
        <f t="shared" si="90"/>
        <v>-50</v>
      </c>
      <c r="FJ47">
        <f t="shared" si="91"/>
        <v>-50</v>
      </c>
      <c r="FL47">
        <f t="shared" si="92"/>
        <v>0.45825756949558399</v>
      </c>
    </row>
    <row r="48" spans="5:168">
      <c r="E48" s="170">
        <v>43</v>
      </c>
      <c r="F48" s="217">
        <f t="shared" si="174"/>
        <v>0.43</v>
      </c>
      <c r="G48" s="217">
        <f t="shared" si="171"/>
        <v>0.1075</v>
      </c>
      <c r="H48" s="217">
        <f t="shared" si="135"/>
        <v>7.0519999999999996</v>
      </c>
      <c r="I48" s="217">
        <f t="shared" si="175"/>
        <v>0.86</v>
      </c>
      <c r="J48" s="541">
        <f t="shared" si="136"/>
        <v>23.93714101898485</v>
      </c>
      <c r="K48" s="443">
        <f t="shared" si="137"/>
        <v>17.127820855486483</v>
      </c>
      <c r="L48" s="172">
        <f t="shared" si="138"/>
        <v>41.064961874471337</v>
      </c>
      <c r="M48" s="443"/>
      <c r="N48" s="217">
        <f t="shared" si="139"/>
        <v>0.41709087440147496</v>
      </c>
      <c r="O48" s="172">
        <f t="shared" si="172"/>
        <v>29.662499000686381</v>
      </c>
      <c r="P48" s="172">
        <f t="shared" si="140"/>
        <v>4.0585215765365072</v>
      </c>
      <c r="Q48" s="217">
        <f t="shared" si="6"/>
        <v>1.8086889634564869</v>
      </c>
      <c r="R48" s="217">
        <f t="shared" si="141"/>
        <v>3.7078123750857976</v>
      </c>
      <c r="S48" s="443">
        <f t="shared" si="142"/>
        <v>16.399999999999999</v>
      </c>
      <c r="T48" s="217">
        <f t="shared" si="143"/>
        <v>1.5849417586915204</v>
      </c>
      <c r="U48" s="217">
        <f t="shared" si="10"/>
        <v>0.79455190948717713</v>
      </c>
      <c r="V48" s="217">
        <f t="shared" si="11"/>
        <v>1.1104332106676531</v>
      </c>
      <c r="W48" s="197">
        <f t="shared" si="12"/>
        <v>350</v>
      </c>
      <c r="X48" s="443">
        <f t="shared" si="95"/>
        <v>350</v>
      </c>
      <c r="Z48" s="217">
        <f t="shared" si="13"/>
        <v>2.3771340662570966</v>
      </c>
      <c r="AA48" s="173">
        <f t="shared" si="14"/>
        <v>1.6654546445672143</v>
      </c>
      <c r="AB48" s="173">
        <f t="shared" si="144"/>
        <v>0.69282656999619519</v>
      </c>
      <c r="AC48" s="173"/>
      <c r="AD48" s="173">
        <f t="shared" si="16"/>
        <v>0.93415269432099357</v>
      </c>
      <c r="AE48" s="545">
        <f t="shared" si="145"/>
        <v>690.46527823679867</v>
      </c>
      <c r="AF48" s="528">
        <f t="shared" si="146"/>
        <v>0.21796896200823185</v>
      </c>
      <c r="AH48" s="173">
        <f t="shared" si="147"/>
        <v>1.9410355606271223</v>
      </c>
      <c r="AI48" s="173">
        <f t="shared" si="148"/>
        <v>1.9410355606271223</v>
      </c>
      <c r="AJ48" s="173">
        <f t="shared" si="149"/>
        <v>1.6501497979953992</v>
      </c>
      <c r="AL48" s="545">
        <f t="shared" si="150"/>
        <v>430</v>
      </c>
      <c r="AM48" s="460">
        <f t="shared" si="151"/>
        <v>350</v>
      </c>
      <c r="AO48">
        <f t="shared" si="96"/>
        <v>430</v>
      </c>
      <c r="AP48" s="460">
        <f t="shared" si="24"/>
        <v>350</v>
      </c>
      <c r="AQ48" s="460"/>
      <c r="AR48" s="5">
        <f t="shared" si="97"/>
        <v>2.8571428571428572</v>
      </c>
      <c r="AS48" s="5">
        <f t="shared" si="25"/>
        <v>0.97306636197914986</v>
      </c>
      <c r="AT48" s="5">
        <f t="shared" si="98"/>
        <v>1.8840764951637072</v>
      </c>
      <c r="AU48" s="173">
        <f t="shared" si="99"/>
        <v>0.34057322669270246</v>
      </c>
      <c r="AW48" s="5">
        <f t="shared" si="152"/>
        <v>2.5513325344575275</v>
      </c>
      <c r="AX48" s="5">
        <f t="shared" si="153"/>
        <v>1.3075579239094826</v>
      </c>
      <c r="AY48" s="5">
        <f t="shared" si="28"/>
        <v>0.4625485360928151</v>
      </c>
      <c r="AZ48" s="5"/>
      <c r="BA48" s="173">
        <f t="shared" si="100"/>
        <v>0.6540005545350619</v>
      </c>
      <c r="BB48" s="173">
        <f t="shared" si="154"/>
        <v>0.91003092834301369</v>
      </c>
      <c r="BC48" s="173">
        <f t="shared" si="155"/>
        <v>0.22326440279290574</v>
      </c>
      <c r="BD48" s="173"/>
      <c r="BE48" s="528">
        <f t="shared" si="31"/>
        <v>8.5543345066433699E-3</v>
      </c>
      <c r="BF48" s="528">
        <f t="shared" si="156"/>
        <v>0.52308736786783228</v>
      </c>
      <c r="BG48" s="528">
        <f t="shared" si="157"/>
        <v>0.20944998391611741</v>
      </c>
      <c r="BH48" s="528">
        <f t="shared" si="34"/>
        <v>5.9021588281312452E-2</v>
      </c>
      <c r="BI48">
        <f t="shared" si="35"/>
        <v>1.0771713458543181E-2</v>
      </c>
      <c r="BJ48" s="460">
        <f t="shared" si="101"/>
        <v>220.22169737466061</v>
      </c>
      <c r="BK48">
        <f t="shared" si="158"/>
        <v>0.59418063899111007</v>
      </c>
      <c r="BL48" s="460">
        <f t="shared" si="102"/>
        <v>594.18063899111007</v>
      </c>
      <c r="BM48" s="173">
        <f t="shared" si="159"/>
        <v>0.26713749999999997</v>
      </c>
      <c r="BN48" s="173">
        <f t="shared" si="160"/>
        <v>4.7703124999999999E-2</v>
      </c>
      <c r="BO48" s="528"/>
      <c r="BQ48" s="460">
        <f t="shared" si="103"/>
        <v>314.84062499999999</v>
      </c>
      <c r="BR48" s="528">
        <f t="shared" si="39"/>
        <v>1.2831501759965053E-2</v>
      </c>
      <c r="BS48" s="528">
        <f t="shared" si="104"/>
        <v>2.4844688716225416E-2</v>
      </c>
      <c r="BT48" s="528">
        <f t="shared" si="161"/>
        <v>2.4923496777236429E-4</v>
      </c>
      <c r="BU48" s="528">
        <f t="shared" si="41"/>
        <v>0.60148367565983651</v>
      </c>
      <c r="BV48" s="528">
        <f t="shared" si="162"/>
        <v>0.65048479622167332</v>
      </c>
      <c r="BW48" s="625">
        <f t="shared" si="163"/>
        <v>6.5933333333333339E-3</v>
      </c>
      <c r="BX48" s="460">
        <f t="shared" si="105"/>
        <v>657.07812955500663</v>
      </c>
      <c r="BY48" s="173">
        <f t="shared" si="106"/>
        <v>1.5660993935461165</v>
      </c>
      <c r="BZ48" s="5">
        <f t="shared" si="107"/>
        <v>7.9119999999999999</v>
      </c>
      <c r="CA48" s="173">
        <f t="shared" si="108"/>
        <v>0.8347665150449346</v>
      </c>
      <c r="CB48" s="5">
        <f t="shared" si="109"/>
        <v>83.476651504493461</v>
      </c>
      <c r="CC48">
        <f t="shared" si="173"/>
        <v>43</v>
      </c>
      <c r="CE48" s="562">
        <f t="shared" si="164"/>
        <v>-50</v>
      </c>
      <c r="CF48">
        <f t="shared" si="165"/>
        <v>-50</v>
      </c>
      <c r="CG48" s="173">
        <f t="shared" si="166"/>
        <v>0.46368092477478529</v>
      </c>
      <c r="CH48" s="173">
        <f t="shared" si="167"/>
        <v>0.16201574703677252</v>
      </c>
      <c r="CI48" s="170">
        <v>43</v>
      </c>
      <c r="CJ48" s="217">
        <f t="shared" si="133"/>
        <v>0.43</v>
      </c>
      <c r="CK48" s="217">
        <f t="shared" si="111"/>
        <v>0.1075</v>
      </c>
      <c r="CL48" s="217">
        <f t="shared" si="48"/>
        <v>7.0519999999999996</v>
      </c>
      <c r="CM48" s="217">
        <f t="shared" si="134"/>
        <v>0.86</v>
      </c>
      <c r="CN48" s="541">
        <f t="shared" si="112"/>
        <v>24</v>
      </c>
      <c r="CO48" s="443">
        <f t="shared" si="168"/>
        <v>17.099999999999998</v>
      </c>
      <c r="CP48" s="443">
        <f t="shared" si="169"/>
        <v>41.099999999999994</v>
      </c>
      <c r="CQ48" s="443"/>
      <c r="CR48" s="217">
        <f t="shared" si="113"/>
        <v>0.41176470588235292</v>
      </c>
      <c r="CS48" s="172">
        <f t="shared" si="114"/>
        <v>29.36061381074169</v>
      </c>
      <c r="CT48" s="172">
        <f t="shared" si="51"/>
        <v>4.0172166427546641</v>
      </c>
      <c r="CU48" s="217">
        <f t="shared" si="52"/>
        <v>1.7902813299232738</v>
      </c>
      <c r="CV48" s="217">
        <f t="shared" si="53"/>
        <v>3.6700767263427112</v>
      </c>
      <c r="CW48" s="443">
        <f t="shared" si="54"/>
        <v>16.399999999999999</v>
      </c>
      <c r="CX48" s="217">
        <f t="shared" si="55"/>
        <v>1.6012380952380951</v>
      </c>
      <c r="CY48" s="217">
        <f t="shared" si="56"/>
        <v>0.80061904761904756</v>
      </c>
      <c r="CZ48" s="217">
        <f t="shared" si="57"/>
        <v>1.1236758563074354</v>
      </c>
      <c r="DA48" s="197">
        <f t="shared" si="58"/>
        <v>350</v>
      </c>
      <c r="DB48" s="443">
        <f t="shared" si="115"/>
        <v>350</v>
      </c>
      <c r="DD48" s="217">
        <f t="shared" si="59"/>
        <v>2.377476538060479</v>
      </c>
      <c r="DE48" s="173">
        <f t="shared" si="60"/>
        <v>1.668404588112617</v>
      </c>
      <c r="DF48" s="173">
        <f t="shared" si="61"/>
        <v>0.69415373374028577</v>
      </c>
      <c r="DG48" s="173"/>
      <c r="DH48" s="173">
        <f t="shared" si="62"/>
        <v>0.93567251461988332</v>
      </c>
      <c r="DI48" s="545">
        <f t="shared" si="63"/>
        <v>689.34374999999977</v>
      </c>
      <c r="DJ48" s="528">
        <f t="shared" si="64"/>
        <v>0.21832358674463945</v>
      </c>
      <c r="DL48" s="173">
        <f t="shared" si="65"/>
        <v>1.9410355606271223</v>
      </c>
      <c r="DM48" s="173">
        <f t="shared" si="66"/>
        <v>1.9410355606271223</v>
      </c>
      <c r="DN48" s="173">
        <f t="shared" si="67"/>
        <v>1.6501497979953992</v>
      </c>
      <c r="DP48" s="545">
        <f t="shared" si="68"/>
        <v>430</v>
      </c>
      <c r="DQ48" s="460">
        <f t="shared" si="69"/>
        <v>350</v>
      </c>
      <c r="DS48">
        <f t="shared" si="116"/>
        <v>430</v>
      </c>
      <c r="DT48" s="460">
        <f t="shared" si="70"/>
        <v>350</v>
      </c>
      <c r="DU48" s="460"/>
      <c r="DV48" s="5">
        <f t="shared" si="117"/>
        <v>2.8571428571428572</v>
      </c>
      <c r="DW48" s="5">
        <f t="shared" si="71"/>
        <v>0.97051778031356117</v>
      </c>
      <c r="DX48" s="5">
        <f t="shared" si="118"/>
        <v>1.886625076829296</v>
      </c>
      <c r="DY48" s="173">
        <f t="shared" si="119"/>
        <v>0.33968122310974641</v>
      </c>
      <c r="EA48" s="5">
        <f t="shared" si="72"/>
        <v>2.5446502776514111</v>
      </c>
      <c r="EB48" s="5">
        <f t="shared" si="73"/>
        <v>1.3041332672963477</v>
      </c>
      <c r="EC48" s="5">
        <f t="shared" si="74"/>
        <v>0.46196111256250671</v>
      </c>
      <c r="ED48" s="5"/>
      <c r="EE48" s="173">
        <f t="shared" si="120"/>
        <v>0.65314353866686292</v>
      </c>
      <c r="EF48" s="173">
        <f t="shared" si="75"/>
        <v>0.91064621767772358</v>
      </c>
      <c r="EG48" s="173">
        <f t="shared" si="76"/>
        <v>0.22341535613040273</v>
      </c>
      <c r="EH48" s="173"/>
      <c r="EI48" s="528">
        <f t="shared" si="77"/>
        <v>8.5319296420454365E-3</v>
      </c>
      <c r="EJ48" s="528">
        <f t="shared" si="78"/>
        <v>0.55843593079242293</v>
      </c>
      <c r="EK48" s="528">
        <f t="shared" si="79"/>
        <v>4.3749999999999997E-2</v>
      </c>
      <c r="EL48" s="528">
        <f t="shared" si="80"/>
        <v>5.9122349999999983E-2</v>
      </c>
      <c r="EM48">
        <f t="shared" si="81"/>
        <v>1.0800000000000001E-2</v>
      </c>
      <c r="EN48" s="460">
        <f t="shared" si="121"/>
        <v>54.550000000000004</v>
      </c>
      <c r="EO48">
        <f t="shared" si="82"/>
        <v>0.68433109818993354</v>
      </c>
      <c r="EP48" s="460">
        <f t="shared" si="122"/>
        <v>684.33109818993353</v>
      </c>
      <c r="EQ48" s="173">
        <f t="shared" si="83"/>
        <v>0.26713749999999997</v>
      </c>
      <c r="ER48" s="173">
        <f t="shared" si="170"/>
        <v>4.7703124999999999E-2</v>
      </c>
      <c r="ES48" s="528"/>
      <c r="EU48" s="460">
        <f t="shared" si="123"/>
        <v>314.84062499999999</v>
      </c>
      <c r="EV48" s="528">
        <f t="shared" si="85"/>
        <v>1.2797894463068156E-2</v>
      </c>
      <c r="EW48" s="528">
        <f t="shared" si="124"/>
        <v>2.4878296013122317E-2</v>
      </c>
      <c r="EX48" s="528">
        <f t="shared" si="86"/>
        <v>2.495721067743734E-4</v>
      </c>
      <c r="EY48" s="528">
        <f t="shared" si="87"/>
        <v>0.60148367565983651</v>
      </c>
      <c r="EZ48" s="528">
        <f t="shared" si="88"/>
        <v>0.65048523314398832</v>
      </c>
      <c r="FA48" s="625">
        <f t="shared" si="89"/>
        <v>6.5933333333333339E-3</v>
      </c>
      <c r="FB48" s="460">
        <f t="shared" si="125"/>
        <v>657.0785664773216</v>
      </c>
      <c r="FC48" s="173">
        <f t="shared" si="126"/>
        <v>1.6562502896672551</v>
      </c>
      <c r="FD48" s="5">
        <f t="shared" si="127"/>
        <v>7.9119999999999999</v>
      </c>
      <c r="FE48" s="173">
        <f t="shared" si="128"/>
        <v>0.82690144597744919</v>
      </c>
      <c r="FF48" s="5">
        <f t="shared" si="129"/>
        <v>82.690144597744919</v>
      </c>
      <c r="FG48">
        <f t="shared" si="130"/>
        <v>43</v>
      </c>
      <c r="FI48" s="562">
        <f t="shared" si="90"/>
        <v>-50</v>
      </c>
      <c r="FJ48">
        <f t="shared" si="91"/>
        <v>-50</v>
      </c>
      <c r="FL48">
        <f t="shared" si="92"/>
        <v>0.46368092477478523</v>
      </c>
    </row>
    <row r="49" spans="5:168">
      <c r="E49" s="170">
        <v>44</v>
      </c>
      <c r="F49" s="217">
        <f t="shared" si="174"/>
        <v>0.44</v>
      </c>
      <c r="G49" s="217">
        <f t="shared" si="171"/>
        <v>0.11</v>
      </c>
      <c r="H49" s="217">
        <f t="shared" si="135"/>
        <v>7.2159999999999993</v>
      </c>
      <c r="I49" s="217">
        <f t="shared" si="175"/>
        <v>0.88</v>
      </c>
      <c r="J49" s="541">
        <f t="shared" si="136"/>
        <v>23.936414301420076</v>
      </c>
      <c r="K49" s="443">
        <f t="shared" si="137"/>
        <v>17.12814249455894</v>
      </c>
      <c r="L49" s="172">
        <f t="shared" si="138"/>
        <v>41.064556795979016</v>
      </c>
      <c r="M49" s="443"/>
      <c r="N49" s="217">
        <f t="shared" si="139"/>
        <v>0.4171028212883599</v>
      </c>
      <c r="O49" s="172">
        <f t="shared" si="172"/>
        <v>29.662448072653895</v>
      </c>
      <c r="P49" s="172">
        <f t="shared" si="140"/>
        <v>4.0585146083940487</v>
      </c>
      <c r="Q49" s="217">
        <f t="shared" si="6"/>
        <v>1.8086858580886522</v>
      </c>
      <c r="R49" s="217">
        <f t="shared" si="141"/>
        <v>3.7078060090817369</v>
      </c>
      <c r="S49" s="443">
        <f t="shared" si="142"/>
        <v>16.399999999999999</v>
      </c>
      <c r="T49" s="217">
        <f t="shared" si="143"/>
        <v>1.6218036538601373</v>
      </c>
      <c r="U49" s="217">
        <f t="shared" si="10"/>
        <v>0.81305594067892806</v>
      </c>
      <c r="V49" s="217">
        <f t="shared" si="11"/>
        <v>1.1362378525577999</v>
      </c>
      <c r="W49" s="197">
        <f t="shared" si="12"/>
        <v>350</v>
      </c>
      <c r="X49" s="443">
        <f t="shared" si="95"/>
        <v>350</v>
      </c>
      <c r="Z49" s="217">
        <f t="shared" si="13"/>
        <v>2.3771299849165142</v>
      </c>
      <c r="AA49" s="173">
        <f t="shared" si="14"/>
        <v>1.665420510604686</v>
      </c>
      <c r="AB49" s="173">
        <f t="shared" si="144"/>
        <v>0.69281118081933979</v>
      </c>
      <c r="AC49" s="173"/>
      <c r="AD49" s="173">
        <f t="shared" si="16"/>
        <v>0.93413515243014167</v>
      </c>
      <c r="AE49" s="545">
        <f t="shared" si="145"/>
        <v>706.5358779005561</v>
      </c>
      <c r="AF49" s="528">
        <f t="shared" si="146"/>
        <v>0.21796486890036643</v>
      </c>
      <c r="AH49" s="173">
        <f t="shared" si="147"/>
        <v>1.9634760235964419</v>
      </c>
      <c r="AI49" s="173">
        <f t="shared" si="148"/>
        <v>1.9634760235964419</v>
      </c>
      <c r="AJ49" s="173">
        <f t="shared" si="149"/>
        <v>1.6667723631578582</v>
      </c>
      <c r="AL49" s="545">
        <f t="shared" si="150"/>
        <v>440</v>
      </c>
      <c r="AM49" s="460">
        <f t="shared" si="151"/>
        <v>350</v>
      </c>
      <c r="AO49">
        <f t="shared" si="96"/>
        <v>440</v>
      </c>
      <c r="AP49" s="460">
        <f t="shared" si="24"/>
        <v>350</v>
      </c>
      <c r="AQ49" s="460"/>
      <c r="AR49" s="5">
        <f t="shared" si="97"/>
        <v>2.8571428571428572</v>
      </c>
      <c r="AS49" s="5">
        <f t="shared" si="25"/>
        <v>0.98434594198010095</v>
      </c>
      <c r="AT49" s="5">
        <f t="shared" si="98"/>
        <v>1.8727969151627564</v>
      </c>
      <c r="AU49" s="173">
        <f t="shared" si="99"/>
        <v>0.3445210796930353</v>
      </c>
      <c r="AW49" s="5">
        <f t="shared" si="152"/>
        <v>2.6409281370197832</v>
      </c>
      <c r="AX49" s="5">
        <f t="shared" si="153"/>
        <v>1.3534756702226389</v>
      </c>
      <c r="AY49" s="5">
        <f t="shared" si="28"/>
        <v>0.47048617953792321</v>
      </c>
      <c r="AZ49" s="5"/>
      <c r="BA49" s="173">
        <f t="shared" si="100"/>
        <v>0.66538479870551825</v>
      </c>
      <c r="BB49" s="173">
        <f t="shared" si="154"/>
        <v>0.91779215224961574</v>
      </c>
      <c r="BC49" s="173">
        <f t="shared" si="155"/>
        <v>0.22516851941848531</v>
      </c>
      <c r="BD49" s="173"/>
      <c r="BE49" s="528">
        <f t="shared" si="31"/>
        <v>8.854738606967661E-3</v>
      </c>
      <c r="BF49" s="528">
        <f t="shared" si="156"/>
        <v>0.52912960201840675</v>
      </c>
      <c r="BG49" s="528">
        <f t="shared" si="157"/>
        <v>0.20944362513742568</v>
      </c>
      <c r="BH49" s="528">
        <f t="shared" si="34"/>
        <v>5.9020423869756519E-2</v>
      </c>
      <c r="BI49">
        <f t="shared" si="35"/>
        <v>1.0771386435639034E-2</v>
      </c>
      <c r="BJ49" s="460">
        <f t="shared" si="101"/>
        <v>220.21501157306471</v>
      </c>
      <c r="BK49">
        <f t="shared" si="158"/>
        <v>0.6006592624678273</v>
      </c>
      <c r="BL49" s="460">
        <f t="shared" si="102"/>
        <v>600.65926246782726</v>
      </c>
      <c r="BM49" s="173">
        <f t="shared" si="159"/>
        <v>0.27334999999999998</v>
      </c>
      <c r="BN49" s="173">
        <f t="shared" si="160"/>
        <v>4.8812499999999995E-2</v>
      </c>
      <c r="BO49" s="528"/>
      <c r="BQ49" s="460">
        <f t="shared" si="103"/>
        <v>322.16249999999997</v>
      </c>
      <c r="BR49" s="528">
        <f t="shared" si="39"/>
        <v>1.3282107910451492E-2</v>
      </c>
      <c r="BS49" s="528">
        <f t="shared" si="104"/>
        <v>2.5270273041929452E-2</v>
      </c>
      <c r="BT49" s="528">
        <f t="shared" si="161"/>
        <v>2.5350431068556402E-4</v>
      </c>
      <c r="BU49" s="528">
        <f t="shared" si="41"/>
        <v>0.61901920214677819</v>
      </c>
      <c r="BV49" s="528">
        <f t="shared" si="162"/>
        <v>0.66921606160922142</v>
      </c>
      <c r="BW49" s="625">
        <f t="shared" si="163"/>
        <v>6.7466666666666664E-3</v>
      </c>
      <c r="BX49" s="460">
        <f t="shared" si="105"/>
        <v>675.96272827588814</v>
      </c>
      <c r="BY49" s="173">
        <f t="shared" si="106"/>
        <v>1.5987844907437154</v>
      </c>
      <c r="BZ49" s="5">
        <f t="shared" si="107"/>
        <v>8.0960000000000001</v>
      </c>
      <c r="CA49" s="173">
        <f t="shared" si="108"/>
        <v>0.83508818661516548</v>
      </c>
      <c r="CB49" s="5">
        <f t="shared" si="109"/>
        <v>83.508818661516543</v>
      </c>
      <c r="CC49">
        <f t="shared" si="173"/>
        <v>44</v>
      </c>
      <c r="CE49" s="562">
        <f t="shared" si="164"/>
        <v>-50</v>
      </c>
      <c r="CF49">
        <f t="shared" si="165"/>
        <v>-50</v>
      </c>
      <c r="CG49" s="173">
        <f t="shared" si="166"/>
        <v>0.46904157598234297</v>
      </c>
      <c r="CH49" s="173">
        <f t="shared" si="167"/>
        <v>0.16388882367976337</v>
      </c>
      <c r="CI49" s="170">
        <v>44</v>
      </c>
      <c r="CJ49" s="217">
        <f t="shared" si="133"/>
        <v>0.44</v>
      </c>
      <c r="CK49" s="217">
        <f t="shared" si="111"/>
        <v>0.11</v>
      </c>
      <c r="CL49" s="217">
        <f t="shared" si="48"/>
        <v>7.2159999999999993</v>
      </c>
      <c r="CM49" s="217">
        <f t="shared" si="134"/>
        <v>0.88</v>
      </c>
      <c r="CN49" s="541">
        <f t="shared" si="112"/>
        <v>24</v>
      </c>
      <c r="CO49" s="443">
        <f t="shared" si="168"/>
        <v>17.099999999999998</v>
      </c>
      <c r="CP49" s="443">
        <f t="shared" si="169"/>
        <v>41.099999999999994</v>
      </c>
      <c r="CQ49" s="443"/>
      <c r="CR49" s="217">
        <f t="shared" si="113"/>
        <v>0.41176470588235292</v>
      </c>
      <c r="CS49" s="172">
        <f t="shared" si="114"/>
        <v>29.36061381074169</v>
      </c>
      <c r="CT49" s="172">
        <f t="shared" si="51"/>
        <v>4.0172166427546641</v>
      </c>
      <c r="CU49" s="217">
        <f t="shared" si="52"/>
        <v>1.7902813299232738</v>
      </c>
      <c r="CV49" s="217">
        <f t="shared" si="53"/>
        <v>3.6700767263427112</v>
      </c>
      <c r="CW49" s="443">
        <f t="shared" si="54"/>
        <v>16.399999999999999</v>
      </c>
      <c r="CX49" s="217">
        <f t="shared" si="55"/>
        <v>1.6384761904761904</v>
      </c>
      <c r="CY49" s="217">
        <f t="shared" si="56"/>
        <v>0.81923809523809532</v>
      </c>
      <c r="CZ49" s="217">
        <f t="shared" si="57"/>
        <v>1.1498078529657478</v>
      </c>
      <c r="DA49" s="197">
        <f t="shared" si="58"/>
        <v>350</v>
      </c>
      <c r="DB49" s="443">
        <f t="shared" si="115"/>
        <v>350</v>
      </c>
      <c r="DD49" s="217">
        <f t="shared" si="59"/>
        <v>2.377476538060479</v>
      </c>
      <c r="DE49" s="173">
        <f t="shared" si="60"/>
        <v>1.668404588112617</v>
      </c>
      <c r="DF49" s="173">
        <f t="shared" si="61"/>
        <v>0.69415373374028577</v>
      </c>
      <c r="DG49" s="173"/>
      <c r="DH49" s="173">
        <f t="shared" si="62"/>
        <v>0.93567251461988332</v>
      </c>
      <c r="DI49" s="545">
        <f t="shared" si="63"/>
        <v>705.37499999999977</v>
      </c>
      <c r="DJ49" s="528">
        <f t="shared" si="64"/>
        <v>0.21832358674463945</v>
      </c>
      <c r="DL49" s="173">
        <f t="shared" si="65"/>
        <v>1.9634760235964419</v>
      </c>
      <c r="DM49" s="173">
        <f t="shared" si="66"/>
        <v>1.9634760235964419</v>
      </c>
      <c r="DN49" s="173">
        <f t="shared" si="67"/>
        <v>1.6667723631578582</v>
      </c>
      <c r="DP49" s="545">
        <f t="shared" si="68"/>
        <v>440</v>
      </c>
      <c r="DQ49" s="460">
        <f t="shared" si="69"/>
        <v>350</v>
      </c>
      <c r="DS49">
        <f t="shared" si="116"/>
        <v>440</v>
      </c>
      <c r="DT49" s="460">
        <f t="shared" si="70"/>
        <v>350</v>
      </c>
      <c r="DU49" s="460"/>
      <c r="DV49" s="5">
        <f t="shared" si="117"/>
        <v>2.8571428571428572</v>
      </c>
      <c r="DW49" s="5">
        <f t="shared" si="71"/>
        <v>0.98173801179822096</v>
      </c>
      <c r="DX49" s="5">
        <f t="shared" si="118"/>
        <v>1.8754048453446361</v>
      </c>
      <c r="DY49" s="173">
        <f t="shared" si="119"/>
        <v>0.34360830412937732</v>
      </c>
      <c r="EA49" s="5">
        <f t="shared" si="72"/>
        <v>2.6339312511659592</v>
      </c>
      <c r="EB49" s="5">
        <f t="shared" si="73"/>
        <v>1.3498897662225537</v>
      </c>
      <c r="EC49" s="5">
        <f t="shared" si="74"/>
        <v>0.46989310291690595</v>
      </c>
      <c r="ED49" s="5"/>
      <c r="EE49" s="173">
        <f t="shared" si="120"/>
        <v>0.6645027775010256</v>
      </c>
      <c r="EF49" s="173">
        <f t="shared" si="75"/>
        <v>0.91843095754269277</v>
      </c>
      <c r="EG49" s="173">
        <f t="shared" si="76"/>
        <v>0.22532524209440521</v>
      </c>
      <c r="EH49" s="173"/>
      <c r="EI49" s="528">
        <f t="shared" si="77"/>
        <v>8.8312788261315518E-3</v>
      </c>
      <c r="EJ49" s="528">
        <f t="shared" si="78"/>
        <v>0.5648920519886963</v>
      </c>
      <c r="EK49" s="528">
        <f t="shared" si="79"/>
        <v>4.3749999999999997E-2</v>
      </c>
      <c r="EL49" s="528">
        <f t="shared" si="80"/>
        <v>5.9122349999999983E-2</v>
      </c>
      <c r="EM49">
        <f t="shared" si="81"/>
        <v>1.0800000000000001E-2</v>
      </c>
      <c r="EN49" s="460">
        <f t="shared" si="121"/>
        <v>54.550000000000004</v>
      </c>
      <c r="EO49">
        <f t="shared" si="82"/>
        <v>0.69123054333742029</v>
      </c>
      <c r="EP49" s="460">
        <f t="shared" si="122"/>
        <v>691.23054333742027</v>
      </c>
      <c r="EQ49" s="173">
        <f t="shared" si="83"/>
        <v>0.27334999999999998</v>
      </c>
      <c r="ER49" s="173">
        <f t="shared" si="170"/>
        <v>4.8812499999999995E-2</v>
      </c>
      <c r="ES49" s="528"/>
      <c r="EU49" s="460">
        <f t="shared" si="123"/>
        <v>322.16249999999997</v>
      </c>
      <c r="EV49" s="528">
        <f t="shared" si="85"/>
        <v>1.3246918239197327E-2</v>
      </c>
      <c r="EW49" s="528">
        <f t="shared" si="124"/>
        <v>2.5305462713183624E-2</v>
      </c>
      <c r="EX49" s="528">
        <f t="shared" si="86"/>
        <v>2.5385732362451159E-4</v>
      </c>
      <c r="EY49" s="528">
        <f t="shared" si="87"/>
        <v>0.61901920214677819</v>
      </c>
      <c r="EZ49" s="528">
        <f t="shared" si="88"/>
        <v>0.66921651966665885</v>
      </c>
      <c r="FA49" s="625">
        <f t="shared" si="89"/>
        <v>6.7466666666666664E-3</v>
      </c>
      <c r="FB49" s="460">
        <f t="shared" si="125"/>
        <v>675.96318633332555</v>
      </c>
      <c r="FC49" s="173">
        <f t="shared" si="126"/>
        <v>1.6893562296707458</v>
      </c>
      <c r="FD49" s="5">
        <f t="shared" si="127"/>
        <v>8.0960000000000001</v>
      </c>
      <c r="FE49" s="173">
        <f t="shared" si="128"/>
        <v>0.82735873993546072</v>
      </c>
      <c r="FF49" s="5">
        <f t="shared" si="129"/>
        <v>82.735873993546079</v>
      </c>
      <c r="FG49">
        <f t="shared" si="130"/>
        <v>44</v>
      </c>
      <c r="FI49" s="562">
        <f t="shared" si="90"/>
        <v>-50</v>
      </c>
      <c r="FJ49">
        <f t="shared" si="91"/>
        <v>-50</v>
      </c>
      <c r="FL49">
        <f t="shared" si="92"/>
        <v>0.46904157598234297</v>
      </c>
    </row>
    <row r="50" spans="5:168">
      <c r="E50" s="170">
        <v>45</v>
      </c>
      <c r="F50" s="217">
        <f t="shared" si="174"/>
        <v>0.45</v>
      </c>
      <c r="G50" s="217">
        <f t="shared" si="171"/>
        <v>0.1125</v>
      </c>
      <c r="H50" s="217">
        <f t="shared" si="135"/>
        <v>7.38</v>
      </c>
      <c r="I50" s="217">
        <f t="shared" si="175"/>
        <v>0.9</v>
      </c>
      <c r="J50" s="541">
        <f t="shared" si="136"/>
        <v>23.935695796144177</v>
      </c>
      <c r="K50" s="443">
        <f t="shared" si="137"/>
        <v>17.128460498941514</v>
      </c>
      <c r="L50" s="172">
        <f t="shared" si="138"/>
        <v>41.064156295085695</v>
      </c>
      <c r="M50" s="443"/>
      <c r="N50" s="217">
        <f t="shared" si="139"/>
        <v>0.41711463340088989</v>
      </c>
      <c r="O50" s="172">
        <f t="shared" si="172"/>
        <v>29.662397685895652</v>
      </c>
      <c r="P50" s="172">
        <f t="shared" si="140"/>
        <v>4.0585077143105295</v>
      </c>
      <c r="Q50" s="217">
        <f t="shared" si="6"/>
        <v>1.8086827857253447</v>
      </c>
      <c r="R50" s="217">
        <f t="shared" si="141"/>
        <v>3.7077997107369565</v>
      </c>
      <c r="S50" s="443">
        <f t="shared" si="142"/>
        <v>16.399999999999999</v>
      </c>
      <c r="T50" s="217">
        <f t="shared" si="143"/>
        <v>1.6586656453397361</v>
      </c>
      <c r="U50" s="217">
        <f t="shared" si="10"/>
        <v>0.83156085845990679</v>
      </c>
      <c r="V50" s="217">
        <f t="shared" si="11"/>
        <v>1.1620418393881249</v>
      </c>
      <c r="W50" s="197">
        <f t="shared" si="12"/>
        <v>350</v>
      </c>
      <c r="X50" s="443">
        <f t="shared" si="95"/>
        <v>350</v>
      </c>
      <c r="Z50" s="217">
        <f t="shared" si="13"/>
        <v>2.3771259469533095</v>
      </c>
      <c r="AA50" s="173">
        <f t="shared" si="14"/>
        <v>1.6653867617117428</v>
      </c>
      <c r="AB50" s="173">
        <f t="shared" si="144"/>
        <v>0.69279596452106817</v>
      </c>
      <c r="AC50" s="173"/>
      <c r="AD50" s="173">
        <f t="shared" si="16"/>
        <v>0.93411780941951872</v>
      </c>
      <c r="AE50" s="545">
        <f t="shared" si="145"/>
        <v>722.60692729909488</v>
      </c>
      <c r="AF50" s="528">
        <f t="shared" si="146"/>
        <v>0.21796082219788773</v>
      </c>
      <c r="AH50" s="173">
        <f t="shared" si="147"/>
        <v>1.9856628975878918</v>
      </c>
      <c r="AI50" s="173">
        <f t="shared" si="148"/>
        <v>1.9856628975878918</v>
      </c>
      <c r="AJ50" s="173">
        <f t="shared" si="149"/>
        <v>1.6832070846330063</v>
      </c>
      <c r="AL50" s="545">
        <f t="shared" si="150"/>
        <v>450</v>
      </c>
      <c r="AM50" s="460">
        <f t="shared" si="151"/>
        <v>350</v>
      </c>
      <c r="AO50">
        <f t="shared" si="96"/>
        <v>450</v>
      </c>
      <c r="AP50" s="460">
        <f t="shared" si="24"/>
        <v>350</v>
      </c>
      <c r="AQ50" s="460"/>
      <c r="AR50" s="5">
        <f t="shared" si="97"/>
        <v>2.8571428571428572</v>
      </c>
      <c r="AS50" s="5">
        <f t="shared" si="25"/>
        <v>0.99549873018076918</v>
      </c>
      <c r="AT50" s="5">
        <f t="shared" si="98"/>
        <v>1.861644126962088</v>
      </c>
      <c r="AU50" s="173">
        <f t="shared" si="99"/>
        <v>0.34842455556326918</v>
      </c>
      <c r="AW50" s="5">
        <f t="shared" si="152"/>
        <v>2.7315513937886959</v>
      </c>
      <c r="AX50" s="5">
        <f t="shared" si="153"/>
        <v>1.3999200893167065</v>
      </c>
      <c r="AY50" s="5">
        <f t="shared" si="28"/>
        <v>0.47832791151453335</v>
      </c>
      <c r="AZ50" s="5"/>
      <c r="BA50" s="173">
        <f t="shared" si="100"/>
        <v>0.67670482182643987</v>
      </c>
      <c r="BB50" s="173">
        <f t="shared" si="154"/>
        <v>0.9253952120054223</v>
      </c>
      <c r="BC50" s="173">
        <f t="shared" si="155"/>
        <v>0.22703383250061288</v>
      </c>
      <c r="BD50" s="173"/>
      <c r="BE50" s="528">
        <f t="shared" si="31"/>
        <v>9.1585883176630752E-3</v>
      </c>
      <c r="BF50" s="528">
        <f t="shared" si="156"/>
        <v>0.53510343846685637</v>
      </c>
      <c r="BG50" s="528">
        <f t="shared" si="157"/>
        <v>0.20943733821626154</v>
      </c>
      <c r="BH50" s="528">
        <f t="shared" si="34"/>
        <v>5.9019272627952916E-2</v>
      </c>
      <c r="BI50">
        <f t="shared" si="35"/>
        <v>1.0771063108264879E-2</v>
      </c>
      <c r="BJ50" s="460">
        <f t="shared" si="101"/>
        <v>220.20840132452639</v>
      </c>
      <c r="BK50">
        <f t="shared" si="158"/>
        <v>0.6070751627330615</v>
      </c>
      <c r="BL50" s="460">
        <f t="shared" si="102"/>
        <v>607.07516273306146</v>
      </c>
      <c r="BM50" s="173">
        <f t="shared" si="159"/>
        <v>0.27956249999999999</v>
      </c>
      <c r="BN50" s="173">
        <f t="shared" si="160"/>
        <v>4.9921874999999998E-2</v>
      </c>
      <c r="BO50" s="528"/>
      <c r="BQ50" s="460">
        <f t="shared" si="103"/>
        <v>329.484375</v>
      </c>
      <c r="BR50" s="528">
        <f t="shared" si="39"/>
        <v>1.3737882476494611E-2</v>
      </c>
      <c r="BS50" s="528">
        <f t="shared" si="104"/>
        <v>2.5690688952076813E-2</v>
      </c>
      <c r="BT50" s="528">
        <f t="shared" si="161"/>
        <v>2.5772180549958173E-4</v>
      </c>
      <c r="BU50" s="528">
        <f t="shared" si="41"/>
        <v>0.63665465344326011</v>
      </c>
      <c r="BV50" s="528">
        <f t="shared" si="162"/>
        <v>0.68805014985405655</v>
      </c>
      <c r="BW50" s="625">
        <f t="shared" si="163"/>
        <v>6.8999999999999999E-3</v>
      </c>
      <c r="BX50" s="460">
        <f t="shared" si="105"/>
        <v>694.95014985405658</v>
      </c>
      <c r="BY50" s="173">
        <f t="shared" si="106"/>
        <v>1.6315096875871178</v>
      </c>
      <c r="BZ50" s="5">
        <f t="shared" si="107"/>
        <v>8.2799999999999994</v>
      </c>
      <c r="CA50" s="173">
        <f t="shared" si="108"/>
        <v>0.83539241356638416</v>
      </c>
      <c r="CB50" s="5">
        <f t="shared" si="109"/>
        <v>83.539241356638414</v>
      </c>
      <c r="CC50">
        <f t="shared" si="173"/>
        <v>45</v>
      </c>
      <c r="CE50" s="562">
        <f t="shared" si="164"/>
        <v>-50</v>
      </c>
      <c r="CF50">
        <f t="shared" si="165"/>
        <v>-50</v>
      </c>
      <c r="CG50" s="173">
        <f t="shared" si="166"/>
        <v>0.474341649025257</v>
      </c>
      <c r="CH50" s="173">
        <f t="shared" si="167"/>
        <v>0.1657407335762385</v>
      </c>
      <c r="CI50" s="170">
        <v>45</v>
      </c>
      <c r="CJ50" s="217">
        <f t="shared" si="133"/>
        <v>0.45</v>
      </c>
      <c r="CK50" s="217">
        <f t="shared" si="111"/>
        <v>0.1125</v>
      </c>
      <c r="CL50" s="217">
        <f t="shared" si="48"/>
        <v>7.38</v>
      </c>
      <c r="CM50" s="217">
        <f t="shared" si="134"/>
        <v>0.9</v>
      </c>
      <c r="CN50" s="541">
        <f t="shared" si="112"/>
        <v>24</v>
      </c>
      <c r="CO50" s="443">
        <f t="shared" si="168"/>
        <v>17.099999999999998</v>
      </c>
      <c r="CP50" s="443">
        <f t="shared" si="169"/>
        <v>41.099999999999994</v>
      </c>
      <c r="CQ50" s="443"/>
      <c r="CR50" s="217">
        <f t="shared" si="113"/>
        <v>0.41176470588235292</v>
      </c>
      <c r="CS50" s="172">
        <f t="shared" si="114"/>
        <v>29.36061381074169</v>
      </c>
      <c r="CT50" s="172">
        <f t="shared" si="51"/>
        <v>4.0172166427546641</v>
      </c>
      <c r="CU50" s="217">
        <f t="shared" si="52"/>
        <v>1.7902813299232738</v>
      </c>
      <c r="CV50" s="217">
        <f t="shared" si="53"/>
        <v>3.6700767263427112</v>
      </c>
      <c r="CW50" s="443">
        <f t="shared" si="54"/>
        <v>16.399999999999999</v>
      </c>
      <c r="CX50" s="217">
        <f t="shared" si="55"/>
        <v>1.6757142857142855</v>
      </c>
      <c r="CY50" s="217">
        <f t="shared" si="56"/>
        <v>0.83785714285714286</v>
      </c>
      <c r="CZ50" s="217">
        <f t="shared" si="57"/>
        <v>1.1759398496240603</v>
      </c>
      <c r="DA50" s="197">
        <f t="shared" si="58"/>
        <v>350</v>
      </c>
      <c r="DB50" s="443">
        <f t="shared" si="115"/>
        <v>350</v>
      </c>
      <c r="DD50" s="217">
        <f t="shared" si="59"/>
        <v>2.377476538060479</v>
      </c>
      <c r="DE50" s="173">
        <f t="shared" si="60"/>
        <v>1.668404588112617</v>
      </c>
      <c r="DF50" s="173">
        <f t="shared" si="61"/>
        <v>0.69415373374028577</v>
      </c>
      <c r="DG50" s="173"/>
      <c r="DH50" s="173">
        <f t="shared" si="62"/>
        <v>0.93567251461988332</v>
      </c>
      <c r="DI50" s="545">
        <f t="shared" si="63"/>
        <v>721.40624999999977</v>
      </c>
      <c r="DJ50" s="528">
        <f t="shared" si="64"/>
        <v>0.21832358674463945</v>
      </c>
      <c r="DL50" s="173">
        <f t="shared" si="65"/>
        <v>1.9856628975878918</v>
      </c>
      <c r="DM50" s="173">
        <f t="shared" si="66"/>
        <v>1.9856628975878918</v>
      </c>
      <c r="DN50" s="173">
        <f t="shared" si="67"/>
        <v>1.6832070846330063</v>
      </c>
      <c r="DP50" s="545">
        <f t="shared" si="68"/>
        <v>450</v>
      </c>
      <c r="DQ50" s="460">
        <f t="shared" si="69"/>
        <v>350</v>
      </c>
      <c r="DS50">
        <f t="shared" si="116"/>
        <v>450</v>
      </c>
      <c r="DT50" s="460">
        <f t="shared" si="70"/>
        <v>350</v>
      </c>
      <c r="DU50" s="460"/>
      <c r="DV50" s="5">
        <f t="shared" si="117"/>
        <v>2.8571428571428572</v>
      </c>
      <c r="DW50" s="5">
        <f t="shared" si="71"/>
        <v>0.99283144879394603</v>
      </c>
      <c r="DX50" s="5">
        <f t="shared" si="118"/>
        <v>1.8643114083489112</v>
      </c>
      <c r="DY50" s="173">
        <f t="shared" si="119"/>
        <v>0.34749100707788111</v>
      </c>
      <c r="EA50" s="5">
        <f t="shared" si="72"/>
        <v>2.724232633885828</v>
      </c>
      <c r="EB50" s="5">
        <f t="shared" si="73"/>
        <v>1.3961692248664865</v>
      </c>
      <c r="EC50" s="5">
        <f t="shared" si="74"/>
        <v>0.47772979838940838</v>
      </c>
      <c r="ED50" s="5"/>
      <c r="EE50" s="173">
        <f t="shared" si="120"/>
        <v>0.67579765199741204</v>
      </c>
      <c r="EF50" s="173">
        <f t="shared" si="75"/>
        <v>0.92605790739051452</v>
      </c>
      <c r="EG50" s="173">
        <f t="shared" si="76"/>
        <v>0.22719641630384213</v>
      </c>
      <c r="EH50" s="173"/>
      <c r="EI50" s="528">
        <f t="shared" si="77"/>
        <v>9.1340493289043048E-3</v>
      </c>
      <c r="EJ50" s="528">
        <f t="shared" si="78"/>
        <v>0.57127521563603645</v>
      </c>
      <c r="EK50" s="528">
        <f t="shared" si="79"/>
        <v>4.3749999999999997E-2</v>
      </c>
      <c r="EL50" s="528">
        <f t="shared" si="80"/>
        <v>5.9122349999999983E-2</v>
      </c>
      <c r="EM50">
        <f t="shared" si="81"/>
        <v>1.0800000000000001E-2</v>
      </c>
      <c r="EN50" s="460">
        <f t="shared" si="121"/>
        <v>54.550000000000004</v>
      </c>
      <c r="EO50">
        <f t="shared" si="82"/>
        <v>0.6980627791142674</v>
      </c>
      <c r="EP50" s="460">
        <f t="shared" si="122"/>
        <v>698.06277911426741</v>
      </c>
      <c r="EQ50" s="173">
        <f t="shared" si="83"/>
        <v>0.27956249999999999</v>
      </c>
      <c r="ER50" s="173">
        <f t="shared" si="170"/>
        <v>4.9921874999999998E-2</v>
      </c>
      <c r="ES50" s="528"/>
      <c r="EU50" s="460">
        <f t="shared" si="123"/>
        <v>329.484375</v>
      </c>
      <c r="EV50" s="528">
        <f t="shared" si="85"/>
        <v>1.3701073993356455E-2</v>
      </c>
      <c r="EW50" s="528">
        <f t="shared" si="124"/>
        <v>2.5727497435214963E-2</v>
      </c>
      <c r="EX50" s="528">
        <f t="shared" si="86"/>
        <v>2.5809105790654372E-4</v>
      </c>
      <c r="EY50" s="528">
        <f t="shared" si="87"/>
        <v>0.63665465344326011</v>
      </c>
      <c r="EZ50" s="528">
        <f t="shared" si="88"/>
        <v>0.68805062957525776</v>
      </c>
      <c r="FA50" s="625">
        <f t="shared" si="89"/>
        <v>6.8999999999999999E-3</v>
      </c>
      <c r="FB50" s="460">
        <f t="shared" si="125"/>
        <v>694.95062957525772</v>
      </c>
      <c r="FC50" s="173">
        <f t="shared" si="126"/>
        <v>1.722497783689525</v>
      </c>
      <c r="FD50" s="5">
        <f t="shared" si="127"/>
        <v>8.2799999999999994</v>
      </c>
      <c r="FE50" s="173">
        <f t="shared" si="128"/>
        <v>0.82779323515589287</v>
      </c>
      <c r="FF50" s="5">
        <f t="shared" si="129"/>
        <v>82.779323515589283</v>
      </c>
      <c r="FG50">
        <f t="shared" si="130"/>
        <v>45</v>
      </c>
      <c r="FI50" s="562">
        <f t="shared" si="90"/>
        <v>-50</v>
      </c>
      <c r="FJ50">
        <f t="shared" si="91"/>
        <v>-50</v>
      </c>
      <c r="FL50">
        <f t="shared" si="92"/>
        <v>0.47434164902525694</v>
      </c>
    </row>
    <row r="51" spans="5:168">
      <c r="E51" s="170">
        <v>46</v>
      </c>
      <c r="F51" s="217">
        <f t="shared" si="174"/>
        <v>0.46</v>
      </c>
      <c r="G51" s="217">
        <f t="shared" si="171"/>
        <v>0.115</v>
      </c>
      <c r="H51" s="217">
        <f t="shared" si="135"/>
        <v>7.5439999999999996</v>
      </c>
      <c r="I51" s="217">
        <f t="shared" si="175"/>
        <v>0.92</v>
      </c>
      <c r="J51" s="541">
        <f t="shared" si="136"/>
        <v>23.934985230884323</v>
      </c>
      <c r="K51" s="443">
        <f t="shared" si="137"/>
        <v>17.128774989139874</v>
      </c>
      <c r="L51" s="172">
        <f t="shared" si="138"/>
        <v>41.063760220024193</v>
      </c>
      <c r="M51" s="443"/>
      <c r="N51" s="217">
        <f t="shared" si="139"/>
        <v>0.4171263152074236</v>
      </c>
      <c r="O51" s="172">
        <f t="shared" si="172"/>
        <v>29.662347822465087</v>
      </c>
      <c r="P51" s="172">
        <f t="shared" si="140"/>
        <v>4.0585008918304402</v>
      </c>
      <c r="Q51" s="217">
        <f t="shared" si="6"/>
        <v>1.8086797452722616</v>
      </c>
      <c r="R51" s="217">
        <f t="shared" si="141"/>
        <v>3.7077934778081358</v>
      </c>
      <c r="S51" s="443">
        <f t="shared" si="142"/>
        <v>16.399999999999999</v>
      </c>
      <c r="T51" s="217">
        <f t="shared" si="143"/>
        <v>1.6955277321386932</v>
      </c>
      <c r="U51" s="217">
        <f t="shared" si="10"/>
        <v>0.8500666530351807</v>
      </c>
      <c r="V51" s="217">
        <f t="shared" si="11"/>
        <v>1.1878451785702402</v>
      </c>
      <c r="W51" s="197">
        <f t="shared" si="12"/>
        <v>350</v>
      </c>
      <c r="X51" s="443">
        <f t="shared" si="95"/>
        <v>350</v>
      </c>
      <c r="Z51" s="217">
        <f t="shared" si="13"/>
        <v>2.3771219509292578</v>
      </c>
      <c r="AA51" s="173">
        <f t="shared" si="14"/>
        <v>1.6653533851216473</v>
      </c>
      <c r="AB51" s="173">
        <f t="shared" si="144"/>
        <v>0.69278091536972752</v>
      </c>
      <c r="AC51" s="173"/>
      <c r="AD51" s="173">
        <f t="shared" si="16"/>
        <v>0.93410065869535053</v>
      </c>
      <c r="AE51" s="545">
        <f t="shared" si="145"/>
        <v>738.67842140665687</v>
      </c>
      <c r="AF51" s="528">
        <f t="shared" si="146"/>
        <v>0.2179568203622485</v>
      </c>
      <c r="AH51" s="173">
        <f t="shared" si="147"/>
        <v>2.0076045901711299</v>
      </c>
      <c r="AI51" s="173">
        <f t="shared" si="148"/>
        <v>2.0076045901711299</v>
      </c>
      <c r="AJ51" s="173">
        <f t="shared" si="149"/>
        <v>1.6994601902502195</v>
      </c>
      <c r="AL51" s="545">
        <f t="shared" si="150"/>
        <v>460</v>
      </c>
      <c r="AM51" s="460">
        <f t="shared" si="151"/>
        <v>350</v>
      </c>
      <c r="AO51">
        <f t="shared" si="96"/>
        <v>460</v>
      </c>
      <c r="AP51" s="460">
        <f t="shared" si="24"/>
        <v>350</v>
      </c>
      <c r="AQ51" s="460"/>
      <c r="AR51" s="5">
        <f t="shared" si="97"/>
        <v>2.8571428571428572</v>
      </c>
      <c r="AS51" s="5">
        <f t="shared" si="25"/>
        <v>1.0065289303361507</v>
      </c>
      <c r="AT51" s="5">
        <f t="shared" si="98"/>
        <v>1.8506139268067066</v>
      </c>
      <c r="AU51" s="173">
        <f t="shared" si="99"/>
        <v>0.35228512561765274</v>
      </c>
      <c r="AW51" s="5">
        <f t="shared" si="152"/>
        <v>2.823190902162374</v>
      </c>
      <c r="AX51" s="5">
        <f t="shared" si="153"/>
        <v>1.4468853373582167</v>
      </c>
      <c r="AY51" s="5">
        <f t="shared" si="28"/>
        <v>0.48607478861164011</v>
      </c>
      <c r="AZ51" s="5"/>
      <c r="BA51" s="173">
        <f t="shared" si="100"/>
        <v>0.6879624047530658</v>
      </c>
      <c r="BB51" s="173">
        <f t="shared" si="154"/>
        <v>0.93284499952480981</v>
      </c>
      <c r="BC51" s="173">
        <f t="shared" si="155"/>
        <v>0.22886154220766494</v>
      </c>
      <c r="BD51" s="173"/>
      <c r="BE51" s="528">
        <f t="shared" si="31"/>
        <v>9.4658454070724232E-3</v>
      </c>
      <c r="BF51" s="528">
        <f t="shared" si="156"/>
        <v>0.54101114489235991</v>
      </c>
      <c r="BG51" s="528">
        <f t="shared" si="157"/>
        <v>0.20943112077023782</v>
      </c>
      <c r="BH51" s="528">
        <f t="shared" si="34"/>
        <v>5.901813411926745E-2</v>
      </c>
      <c r="BI51">
        <f t="shared" si="35"/>
        <v>1.0770743353897945E-2</v>
      </c>
      <c r="BJ51" s="460">
        <f t="shared" si="101"/>
        <v>220.20186412413577</v>
      </c>
      <c r="BK51">
        <f t="shared" si="158"/>
        <v>0.61343056006927188</v>
      </c>
      <c r="BL51" s="460">
        <f t="shared" si="102"/>
        <v>613.43056006927191</v>
      </c>
      <c r="BM51" s="173">
        <f t="shared" si="159"/>
        <v>0.285775</v>
      </c>
      <c r="BN51" s="173">
        <f t="shared" si="160"/>
        <v>5.103125E-2</v>
      </c>
      <c r="BO51" s="528"/>
      <c r="BQ51" s="460">
        <f t="shared" si="103"/>
        <v>336.80624999999998</v>
      </c>
      <c r="BR51" s="528">
        <f t="shared" si="39"/>
        <v>1.4198768110608634E-2</v>
      </c>
      <c r="BS51" s="528">
        <f t="shared" si="104"/>
        <v>2.6105993794153272E-2</v>
      </c>
      <c r="BT51" s="528">
        <f t="shared" si="161"/>
        <v>2.6188802750835404E-4</v>
      </c>
      <c r="BU51" s="528">
        <f t="shared" si="41"/>
        <v>0.65438835922222582</v>
      </c>
      <c r="BV51" s="528">
        <f t="shared" si="162"/>
        <v>0.70698540750090599</v>
      </c>
      <c r="BW51" s="625">
        <f t="shared" si="163"/>
        <v>7.0533333333333333E-3</v>
      </c>
      <c r="BX51" s="460">
        <f t="shared" si="105"/>
        <v>714.03874083423932</v>
      </c>
      <c r="BY51" s="173">
        <f t="shared" si="106"/>
        <v>1.6642755509035112</v>
      </c>
      <c r="BZ51" s="5">
        <f t="shared" si="107"/>
        <v>8.4640000000000004</v>
      </c>
      <c r="CA51" s="173">
        <f t="shared" si="108"/>
        <v>0.8356802653581985</v>
      </c>
      <c r="CB51" s="5">
        <f t="shared" si="109"/>
        <v>83.568026535819854</v>
      </c>
      <c r="CC51">
        <f t="shared" si="173"/>
        <v>46</v>
      </c>
      <c r="CE51" s="562">
        <f t="shared" si="164"/>
        <v>-50</v>
      </c>
      <c r="CF51">
        <f t="shared" si="165"/>
        <v>-50</v>
      </c>
      <c r="CG51" s="173">
        <f t="shared" si="166"/>
        <v>0.47958315233127208</v>
      </c>
      <c r="CH51" s="173">
        <f t="shared" si="167"/>
        <v>0.16757217849524658</v>
      </c>
      <c r="CI51" s="170">
        <v>46</v>
      </c>
      <c r="CJ51" s="217">
        <f t="shared" si="133"/>
        <v>0.46</v>
      </c>
      <c r="CK51" s="217">
        <f t="shared" si="111"/>
        <v>0.115</v>
      </c>
      <c r="CL51" s="217">
        <f t="shared" si="48"/>
        <v>7.5439999999999996</v>
      </c>
      <c r="CM51" s="217">
        <f t="shared" si="134"/>
        <v>0.92</v>
      </c>
      <c r="CN51" s="541">
        <f t="shared" si="112"/>
        <v>24</v>
      </c>
      <c r="CO51" s="443">
        <f t="shared" si="168"/>
        <v>17.099999999999998</v>
      </c>
      <c r="CP51" s="443">
        <f t="shared" si="169"/>
        <v>41.099999999999994</v>
      </c>
      <c r="CQ51" s="443"/>
      <c r="CR51" s="217">
        <f t="shared" si="113"/>
        <v>0.41176470588235292</v>
      </c>
      <c r="CS51" s="172">
        <f t="shared" si="114"/>
        <v>29.36061381074169</v>
      </c>
      <c r="CT51" s="172">
        <f t="shared" si="51"/>
        <v>4.0172166427546641</v>
      </c>
      <c r="CU51" s="217">
        <f t="shared" si="52"/>
        <v>1.7902813299232738</v>
      </c>
      <c r="CV51" s="217">
        <f t="shared" si="53"/>
        <v>3.6700767263427112</v>
      </c>
      <c r="CW51" s="443">
        <f t="shared" si="54"/>
        <v>16.399999999999999</v>
      </c>
      <c r="CX51" s="217">
        <f t="shared" si="55"/>
        <v>1.712952380952381</v>
      </c>
      <c r="CY51" s="217">
        <f t="shared" si="56"/>
        <v>0.8564761904761905</v>
      </c>
      <c r="CZ51" s="217">
        <f t="shared" si="57"/>
        <v>1.2020718462823727</v>
      </c>
      <c r="DA51" s="197">
        <f t="shared" si="58"/>
        <v>350</v>
      </c>
      <c r="DB51" s="443">
        <f t="shared" si="115"/>
        <v>350</v>
      </c>
      <c r="DD51" s="217">
        <f t="shared" si="59"/>
        <v>2.377476538060479</v>
      </c>
      <c r="DE51" s="173">
        <f t="shared" si="60"/>
        <v>1.668404588112617</v>
      </c>
      <c r="DF51" s="173">
        <f t="shared" si="61"/>
        <v>0.69415373374028577</v>
      </c>
      <c r="DG51" s="173"/>
      <c r="DH51" s="173">
        <f t="shared" si="62"/>
        <v>0.93567251461988332</v>
      </c>
      <c r="DI51" s="545">
        <f t="shared" si="63"/>
        <v>737.43749999999977</v>
      </c>
      <c r="DJ51" s="528">
        <f t="shared" si="64"/>
        <v>0.21832358674463945</v>
      </c>
      <c r="DL51" s="173">
        <f t="shared" si="65"/>
        <v>2.0076045901711299</v>
      </c>
      <c r="DM51" s="173">
        <f t="shared" si="66"/>
        <v>2.0076045901711299</v>
      </c>
      <c r="DN51" s="173">
        <f t="shared" si="67"/>
        <v>1.6994601902502195</v>
      </c>
      <c r="DP51" s="545">
        <f t="shared" si="68"/>
        <v>460</v>
      </c>
      <c r="DQ51" s="460">
        <f t="shared" si="69"/>
        <v>350</v>
      </c>
      <c r="DS51">
        <f t="shared" si="116"/>
        <v>460</v>
      </c>
      <c r="DT51" s="460">
        <f t="shared" si="70"/>
        <v>350</v>
      </c>
      <c r="DU51" s="460"/>
      <c r="DV51" s="5">
        <f t="shared" si="117"/>
        <v>2.8571428571428572</v>
      </c>
      <c r="DW51" s="5">
        <f t="shared" si="71"/>
        <v>1.003802295085565</v>
      </c>
      <c r="DX51" s="5">
        <f t="shared" si="118"/>
        <v>1.8533405620572923</v>
      </c>
      <c r="DY51" s="173">
        <f t="shared" si="119"/>
        <v>0.3513308032799477</v>
      </c>
      <c r="EA51" s="5">
        <f t="shared" si="72"/>
        <v>2.8155430228009757</v>
      </c>
      <c r="EB51" s="5">
        <f t="shared" si="73"/>
        <v>1.4429657991854998</v>
      </c>
      <c r="EC51" s="5">
        <f t="shared" si="74"/>
        <v>0.48547226389445169</v>
      </c>
      <c r="ED51" s="5"/>
      <c r="EE51" s="173">
        <f t="shared" si="120"/>
        <v>0.68702994539314011</v>
      </c>
      <c r="EF51" s="173">
        <f t="shared" si="75"/>
        <v>0.93353195854516002</v>
      </c>
      <c r="EG51" s="173">
        <f t="shared" si="76"/>
        <v>0.22903007878224152</v>
      </c>
      <c r="EH51" s="173"/>
      <c r="EI51" s="528">
        <f t="shared" si="77"/>
        <v>9.4402029173380215E-3</v>
      </c>
      <c r="EJ51" s="528">
        <f t="shared" si="78"/>
        <v>0.577587840592234</v>
      </c>
      <c r="EK51" s="528">
        <f t="shared" si="79"/>
        <v>4.3749999999999997E-2</v>
      </c>
      <c r="EL51" s="528">
        <f t="shared" si="80"/>
        <v>5.9122349999999983E-2</v>
      </c>
      <c r="EM51">
        <f t="shared" si="81"/>
        <v>1.0800000000000001E-2</v>
      </c>
      <c r="EN51" s="460">
        <f t="shared" si="121"/>
        <v>54.550000000000004</v>
      </c>
      <c r="EO51">
        <f t="shared" si="82"/>
        <v>0.70483017689562999</v>
      </c>
      <c r="EP51" s="460">
        <f t="shared" si="122"/>
        <v>704.83017689562996</v>
      </c>
      <c r="EQ51" s="173">
        <f t="shared" si="83"/>
        <v>0.285775</v>
      </c>
      <c r="ER51" s="173">
        <f t="shared" si="170"/>
        <v>5.103125E-2</v>
      </c>
      <c r="ES51" s="528"/>
      <c r="EU51" s="460">
        <f t="shared" si="123"/>
        <v>336.80624999999998</v>
      </c>
      <c r="EV51" s="528">
        <f t="shared" si="85"/>
        <v>1.4160304376007033E-2</v>
      </c>
      <c r="EW51" s="528">
        <f t="shared" si="124"/>
        <v>2.6144457528754869E-2</v>
      </c>
      <c r="EX51" s="528">
        <f t="shared" si="86"/>
        <v>2.622738849349988E-4</v>
      </c>
      <c r="EY51" s="528">
        <f t="shared" si="87"/>
        <v>0.65438835922222582</v>
      </c>
      <c r="EZ51" s="528">
        <f t="shared" si="88"/>
        <v>0.70698590941665929</v>
      </c>
      <c r="FA51" s="625">
        <f t="shared" si="89"/>
        <v>7.0533333333333333E-3</v>
      </c>
      <c r="FB51" s="460">
        <f t="shared" si="125"/>
        <v>714.0392427499927</v>
      </c>
      <c r="FC51" s="173">
        <f t="shared" si="126"/>
        <v>1.7556756696456226</v>
      </c>
      <c r="FD51" s="5">
        <f t="shared" si="127"/>
        <v>8.4640000000000004</v>
      </c>
      <c r="FE51" s="173">
        <f t="shared" si="128"/>
        <v>0.82820632215753065</v>
      </c>
      <c r="FF51" s="5">
        <f t="shared" si="129"/>
        <v>82.820632215753065</v>
      </c>
      <c r="FG51">
        <f t="shared" si="130"/>
        <v>46</v>
      </c>
      <c r="FI51" s="562">
        <f t="shared" si="90"/>
        <v>-50</v>
      </c>
      <c r="FJ51">
        <f t="shared" si="91"/>
        <v>-50</v>
      </c>
      <c r="FL51">
        <f t="shared" si="92"/>
        <v>0.47958315233127208</v>
      </c>
    </row>
    <row r="52" spans="5:168">
      <c r="E52" s="170">
        <v>47</v>
      </c>
      <c r="F52" s="217">
        <f t="shared" si="174"/>
        <v>0.47</v>
      </c>
      <c r="G52" s="217">
        <f t="shared" si="171"/>
        <v>0.11749999999999999</v>
      </c>
      <c r="H52" s="217">
        <f t="shared" si="135"/>
        <v>7.7079999999999993</v>
      </c>
      <c r="I52" s="217">
        <f t="shared" si="175"/>
        <v>0.94</v>
      </c>
      <c r="J52" s="541">
        <f t="shared" si="136"/>
        <v>23.93428234808821</v>
      </c>
      <c r="K52" s="443">
        <f t="shared" si="137"/>
        <v>17.129086079144496</v>
      </c>
      <c r="L52" s="172">
        <f t="shared" si="138"/>
        <v>41.063368427232703</v>
      </c>
      <c r="M52" s="443"/>
      <c r="N52" s="217">
        <f t="shared" si="139"/>
        <v>0.4171378709347357</v>
      </c>
      <c r="O52" s="172">
        <f t="shared" si="172"/>
        <v>29.662298465385948</v>
      </c>
      <c r="P52" s="172">
        <f t="shared" si="140"/>
        <v>4.0584941386310343</v>
      </c>
      <c r="Q52" s="217">
        <f t="shared" si="6"/>
        <v>1.8086767356942652</v>
      </c>
      <c r="R52" s="217">
        <f t="shared" si="141"/>
        <v>3.7077873081732435</v>
      </c>
      <c r="S52" s="443">
        <f t="shared" si="142"/>
        <v>16.399999999999999</v>
      </c>
      <c r="T52" s="217">
        <f t="shared" si="143"/>
        <v>1.7323899132979093</v>
      </c>
      <c r="U52" s="217">
        <f t="shared" si="10"/>
        <v>0.86857331493105916</v>
      </c>
      <c r="V52" s="217">
        <f t="shared" si="11"/>
        <v>1.2136478772726904</v>
      </c>
      <c r="W52" s="197">
        <f t="shared" si="12"/>
        <v>350</v>
      </c>
      <c r="X52" s="443">
        <f t="shared" si="95"/>
        <v>350</v>
      </c>
      <c r="Z52" s="217">
        <f t="shared" si="13"/>
        <v>2.377117995483891</v>
      </c>
      <c r="AA52" s="173">
        <f t="shared" si="14"/>
        <v>1.6653203687578981</v>
      </c>
      <c r="AB52" s="173">
        <f t="shared" si="144"/>
        <v>0.69276602794354714</v>
      </c>
      <c r="AC52" s="173"/>
      <c r="AD52" s="173">
        <f t="shared" si="16"/>
        <v>0.93408369402035918</v>
      </c>
      <c r="AE52" s="545">
        <f t="shared" si="145"/>
        <v>754.75035536230416</v>
      </c>
      <c r="AF52" s="528">
        <f t="shared" si="146"/>
        <v>0.21795286193808383</v>
      </c>
      <c r="AH52" s="173">
        <f t="shared" si="147"/>
        <v>2.0293090543569843</v>
      </c>
      <c r="AI52" s="173">
        <f t="shared" si="148"/>
        <v>2.0293090543569843</v>
      </c>
      <c r="AJ52" s="173">
        <f t="shared" si="149"/>
        <v>1.71553757112863</v>
      </c>
      <c r="AL52" s="545">
        <f t="shared" si="150"/>
        <v>470</v>
      </c>
      <c r="AM52" s="460">
        <f t="shared" si="151"/>
        <v>350</v>
      </c>
      <c r="AO52">
        <f t="shared" si="96"/>
        <v>470</v>
      </c>
      <c r="AP52" s="460">
        <f t="shared" si="24"/>
        <v>350</v>
      </c>
      <c r="AQ52" s="460"/>
      <c r="AR52" s="5">
        <f t="shared" si="97"/>
        <v>2.8571428571428572</v>
      </c>
      <c r="AS52" s="5">
        <f t="shared" si="25"/>
        <v>1.0174405189228053</v>
      </c>
      <c r="AT52" s="5">
        <f t="shared" si="98"/>
        <v>1.8397023382200519</v>
      </c>
      <c r="AU52" s="173">
        <f t="shared" si="99"/>
        <v>0.35610418162298185</v>
      </c>
      <c r="AW52" s="5">
        <f t="shared" si="152"/>
        <v>2.915835633498284</v>
      </c>
      <c r="AX52" s="5">
        <f t="shared" si="153"/>
        <v>1.4943657621678701</v>
      </c>
      <c r="AY52" s="5">
        <f t="shared" si="28"/>
        <v>0.49372783276470517</v>
      </c>
      <c r="AZ52" s="5"/>
      <c r="BA52" s="173">
        <f t="shared" si="100"/>
        <v>0.69915924142439423</v>
      </c>
      <c r="BB52" s="173">
        <f t="shared" si="154"/>
        <v>0.94014614174035627</v>
      </c>
      <c r="BC52" s="173">
        <f t="shared" si="155"/>
        <v>0.23065278369813616</v>
      </c>
      <c r="BD52" s="173"/>
      <c r="BE52" s="528">
        <f t="shared" si="31"/>
        <v>9.7764728973826886E-3</v>
      </c>
      <c r="BF52" s="528">
        <f t="shared" si="156"/>
        <v>0.54685486637105651</v>
      </c>
      <c r="BG52" s="528">
        <f t="shared" si="157"/>
        <v>0.20942497054577186</v>
      </c>
      <c r="BH52" s="528">
        <f t="shared" si="34"/>
        <v>5.9017007930672806E-2</v>
      </c>
      <c r="BI52">
        <f t="shared" si="35"/>
        <v>1.0770427056639694E-2</v>
      </c>
      <c r="BJ52" s="460">
        <f t="shared" si="101"/>
        <v>220.19539760241156</v>
      </c>
      <c r="BK52">
        <f t="shared" si="158"/>
        <v>0.61972755379430855</v>
      </c>
      <c r="BL52" s="460">
        <f t="shared" si="102"/>
        <v>619.72755379430851</v>
      </c>
      <c r="BM52" s="173">
        <f t="shared" si="159"/>
        <v>0.29198749999999996</v>
      </c>
      <c r="BN52" s="173">
        <f t="shared" si="160"/>
        <v>5.2140624999999996E-2</v>
      </c>
      <c r="BO52" s="528"/>
      <c r="BQ52" s="460">
        <f t="shared" si="103"/>
        <v>344.12812499999995</v>
      </c>
      <c r="BR52" s="528">
        <f t="shared" si="39"/>
        <v>1.466470934607403E-2</v>
      </c>
      <c r="BS52" s="528">
        <f t="shared" si="104"/>
        <v>2.6516243034878342E-2</v>
      </c>
      <c r="BT52" s="528">
        <f t="shared" si="161"/>
        <v>2.6600353313849592E-4</v>
      </c>
      <c r="BU52" s="528">
        <f t="shared" si="41"/>
        <v>0.67221871289074275</v>
      </c>
      <c r="BV52" s="528">
        <f t="shared" si="162"/>
        <v>0.7260202445497026</v>
      </c>
      <c r="BW52" s="625">
        <f t="shared" si="163"/>
        <v>7.2066666666666668E-3</v>
      </c>
      <c r="BX52" s="460">
        <f t="shared" si="105"/>
        <v>733.22691121636933</v>
      </c>
      <c r="BY52" s="173">
        <f t="shared" si="106"/>
        <v>1.6970825900106776</v>
      </c>
      <c r="BZ52" s="5">
        <f t="shared" si="107"/>
        <v>8.6479999999999997</v>
      </c>
      <c r="CA52" s="173">
        <f t="shared" si="108"/>
        <v>0.83595272679123911</v>
      </c>
      <c r="CB52" s="5">
        <f t="shared" si="109"/>
        <v>83.595272679123909</v>
      </c>
      <c r="CC52">
        <f t="shared" si="173"/>
        <v>47</v>
      </c>
      <c r="CE52" s="562">
        <f t="shared" si="164"/>
        <v>-50</v>
      </c>
      <c r="CF52">
        <f t="shared" si="165"/>
        <v>-50</v>
      </c>
      <c r="CG52" s="173">
        <f t="shared" si="166"/>
        <v>0.48476798574163299</v>
      </c>
      <c r="CH52" s="173">
        <f t="shared" si="167"/>
        <v>0.16938382226439416</v>
      </c>
      <c r="CI52" s="170">
        <v>47</v>
      </c>
      <c r="CJ52" s="217">
        <f t="shared" si="133"/>
        <v>0.47</v>
      </c>
      <c r="CK52" s="217">
        <f t="shared" si="111"/>
        <v>0.11749999999999999</v>
      </c>
      <c r="CL52" s="217">
        <f t="shared" si="48"/>
        <v>7.7079999999999993</v>
      </c>
      <c r="CM52" s="217">
        <f t="shared" si="134"/>
        <v>0.94</v>
      </c>
      <c r="CN52" s="541">
        <f t="shared" si="112"/>
        <v>24</v>
      </c>
      <c r="CO52" s="443">
        <f t="shared" si="168"/>
        <v>17.099999999999998</v>
      </c>
      <c r="CP52" s="443">
        <f t="shared" si="169"/>
        <v>41.099999999999994</v>
      </c>
      <c r="CQ52" s="443"/>
      <c r="CR52" s="217">
        <f t="shared" si="113"/>
        <v>0.41176470588235292</v>
      </c>
      <c r="CS52" s="172">
        <f t="shared" si="114"/>
        <v>29.36061381074169</v>
      </c>
      <c r="CT52" s="172">
        <f t="shared" si="51"/>
        <v>4.0172166427546641</v>
      </c>
      <c r="CU52" s="217">
        <f t="shared" si="52"/>
        <v>1.7902813299232738</v>
      </c>
      <c r="CV52" s="217">
        <f t="shared" si="53"/>
        <v>3.6700767263427112</v>
      </c>
      <c r="CW52" s="443">
        <f t="shared" si="54"/>
        <v>16.399999999999999</v>
      </c>
      <c r="CX52" s="217">
        <f t="shared" si="55"/>
        <v>1.7501904761904761</v>
      </c>
      <c r="CY52" s="217">
        <f t="shared" si="56"/>
        <v>0.87509523809523804</v>
      </c>
      <c r="CZ52" s="217">
        <f t="shared" si="57"/>
        <v>1.228203842940685</v>
      </c>
      <c r="DA52" s="197">
        <f t="shared" si="58"/>
        <v>350</v>
      </c>
      <c r="DB52" s="443">
        <f t="shared" si="115"/>
        <v>350</v>
      </c>
      <c r="DD52" s="217">
        <f t="shared" si="59"/>
        <v>2.377476538060479</v>
      </c>
      <c r="DE52" s="173">
        <f t="shared" si="60"/>
        <v>1.668404588112617</v>
      </c>
      <c r="DF52" s="173">
        <f t="shared" si="61"/>
        <v>0.69415373374028577</v>
      </c>
      <c r="DG52" s="173"/>
      <c r="DH52" s="173">
        <f t="shared" si="62"/>
        <v>0.93567251461988332</v>
      </c>
      <c r="DI52" s="545">
        <f t="shared" si="63"/>
        <v>753.46874999999966</v>
      </c>
      <c r="DJ52" s="528">
        <f t="shared" si="64"/>
        <v>0.21832358674463945</v>
      </c>
      <c r="DL52" s="173">
        <f t="shared" si="65"/>
        <v>2.0293090543569843</v>
      </c>
      <c r="DM52" s="173">
        <f t="shared" si="66"/>
        <v>2.0293090543569843</v>
      </c>
      <c r="DN52" s="173">
        <f t="shared" si="67"/>
        <v>1.71553757112863</v>
      </c>
      <c r="DP52" s="545">
        <f t="shared" si="68"/>
        <v>470</v>
      </c>
      <c r="DQ52" s="460">
        <f t="shared" si="69"/>
        <v>350</v>
      </c>
      <c r="DS52">
        <f t="shared" si="116"/>
        <v>470</v>
      </c>
      <c r="DT52" s="460">
        <f t="shared" si="70"/>
        <v>350</v>
      </c>
      <c r="DU52" s="460"/>
      <c r="DV52" s="5">
        <f t="shared" si="117"/>
        <v>2.8571428571428572</v>
      </c>
      <c r="DW52" s="5">
        <f t="shared" si="71"/>
        <v>1.0146545271784921</v>
      </c>
      <c r="DX52" s="5">
        <f t="shared" si="118"/>
        <v>1.8424883299643651</v>
      </c>
      <c r="DY52" s="173">
        <f t="shared" si="119"/>
        <v>0.35512908451247222</v>
      </c>
      <c r="EA52" s="5">
        <f t="shared" si="72"/>
        <v>2.9078513888651911</v>
      </c>
      <c r="EB52" s="5">
        <f t="shared" si="73"/>
        <v>1.4902738367934103</v>
      </c>
      <c r="EC52" s="5">
        <f t="shared" si="74"/>
        <v>0.493121529422407</v>
      </c>
      <c r="ED52" s="5"/>
      <c r="EE52" s="173">
        <f t="shared" si="120"/>
        <v>0.69820135391827409</v>
      </c>
      <c r="EF52" s="173">
        <f t="shared" si="75"/>
        <v>0.94085773743170209</v>
      </c>
      <c r="EG52" s="173">
        <f t="shared" si="76"/>
        <v>0.23082736456358829</v>
      </c>
      <c r="EH52" s="173"/>
      <c r="EI52" s="528">
        <f t="shared" si="77"/>
        <v>9.7497026122662211E-3</v>
      </c>
      <c r="EJ52" s="528">
        <f t="shared" si="78"/>
        <v>0.58383221493850423</v>
      </c>
      <c r="EK52" s="528">
        <f t="shared" si="79"/>
        <v>4.3749999999999997E-2</v>
      </c>
      <c r="EL52" s="528">
        <f t="shared" si="80"/>
        <v>5.9122349999999983E-2</v>
      </c>
      <c r="EM52">
        <f t="shared" si="81"/>
        <v>1.0800000000000001E-2</v>
      </c>
      <c r="EN52" s="460">
        <f t="shared" si="121"/>
        <v>54.550000000000004</v>
      </c>
      <c r="EO52">
        <f t="shared" si="82"/>
        <v>0.7115349789116473</v>
      </c>
      <c r="EP52" s="460">
        <f t="shared" si="122"/>
        <v>711.53497891164727</v>
      </c>
      <c r="EQ52" s="173">
        <f t="shared" si="83"/>
        <v>0.29198749999999996</v>
      </c>
      <c r="ER52" s="173">
        <f t="shared" si="170"/>
        <v>5.2140624999999996E-2</v>
      </c>
      <c r="ES52" s="528"/>
      <c r="EU52" s="460">
        <f t="shared" si="123"/>
        <v>344.12812499999995</v>
      </c>
      <c r="EV52" s="528">
        <f t="shared" si="85"/>
        <v>1.4624553918399331E-2</v>
      </c>
      <c r="EW52" s="528">
        <f t="shared" si="124"/>
        <v>2.655639846255305E-2</v>
      </c>
      <c r="EX52" s="528">
        <f t="shared" si="86"/>
        <v>2.664063611568585E-4</v>
      </c>
      <c r="EY52" s="528">
        <f t="shared" si="87"/>
        <v>0.67221871289074275</v>
      </c>
      <c r="EZ52" s="528">
        <f t="shared" si="88"/>
        <v>0.72602076919295522</v>
      </c>
      <c r="FA52" s="625">
        <f t="shared" si="89"/>
        <v>7.2066666666666668E-3</v>
      </c>
      <c r="FB52" s="460">
        <f t="shared" si="125"/>
        <v>733.22743585962189</v>
      </c>
      <c r="FC52" s="173">
        <f t="shared" si="126"/>
        <v>1.7888905397712691</v>
      </c>
      <c r="FD52" s="5">
        <f t="shared" si="127"/>
        <v>8.6479999999999997</v>
      </c>
      <c r="FE52" s="173">
        <f t="shared" si="128"/>
        <v>0.82859928127496929</v>
      </c>
      <c r="FF52" s="5">
        <f t="shared" si="129"/>
        <v>82.859928127496929</v>
      </c>
      <c r="FG52">
        <f t="shared" si="130"/>
        <v>47</v>
      </c>
      <c r="FI52" s="562">
        <f t="shared" si="90"/>
        <v>-50</v>
      </c>
      <c r="FJ52">
        <f t="shared" si="91"/>
        <v>-50</v>
      </c>
      <c r="FL52">
        <f t="shared" si="92"/>
        <v>0.48476798574163299</v>
      </c>
    </row>
    <row r="53" spans="5:168">
      <c r="E53" s="170">
        <v>48</v>
      </c>
      <c r="F53" s="217">
        <f t="shared" si="174"/>
        <v>0.48</v>
      </c>
      <c r="G53" s="217">
        <f t="shared" si="171"/>
        <v>0.12</v>
      </c>
      <c r="H53" s="217">
        <f t="shared" si="135"/>
        <v>7.871999999999999</v>
      </c>
      <c r="I53" s="217">
        <f t="shared" si="175"/>
        <v>0.96</v>
      </c>
      <c r="J53" s="541">
        <f t="shared" si="136"/>
        <v>23.933586903833408</v>
      </c>
      <c r="K53" s="443">
        <f t="shared" si="137"/>
        <v>17.129393876913397</v>
      </c>
      <c r="L53" s="172">
        <f t="shared" si="138"/>
        <v>41.062980780746805</v>
      </c>
      <c r="M53" s="443"/>
      <c r="N53" s="217">
        <f t="shared" si="139"/>
        <v>0.41714930458591681</v>
      </c>
      <c r="O53" s="172">
        <f t="shared" si="172"/>
        <v>29.662249598580377</v>
      </c>
      <c r="P53" s="172">
        <f t="shared" si="140"/>
        <v>4.0584874525124848</v>
      </c>
      <c r="Q53" s="217">
        <f t="shared" si="6"/>
        <v>1.8086737560109987</v>
      </c>
      <c r="R53" s="217">
        <f t="shared" si="141"/>
        <v>3.7077811998225472</v>
      </c>
      <c r="S53" s="443">
        <f t="shared" si="142"/>
        <v>16.399999999999999</v>
      </c>
      <c r="T53" s="217">
        <f t="shared" si="143"/>
        <v>1.769252187889069</v>
      </c>
      <c r="U53" s="217">
        <f t="shared" si="10"/>
        <v>0.88708083497790657</v>
      </c>
      <c r="V53" s="217">
        <f t="shared" si="11"/>
        <v>1.2394499424339536</v>
      </c>
      <c r="W53" s="197">
        <f t="shared" si="12"/>
        <v>350</v>
      </c>
      <c r="X53" s="443">
        <f t="shared" si="95"/>
        <v>350</v>
      </c>
      <c r="Z53" s="217">
        <f t="shared" si="13"/>
        <v>2.3771140793287411</v>
      </c>
      <c r="AA53" s="173">
        <f t="shared" si="14"/>
        <v>1.6652877011830949</v>
      </c>
      <c r="AB53" s="173">
        <f t="shared" si="144"/>
        <v>0.69275129710768235</v>
      </c>
      <c r="AC53" s="173"/>
      <c r="AD53" s="173">
        <f t="shared" si="16"/>
        <v>0.93406690948734816</v>
      </c>
      <c r="AE53" s="545">
        <f t="shared" si="145"/>
        <v>770.82272446110278</v>
      </c>
      <c r="AF53" s="528">
        <f t="shared" si="146"/>
        <v>0.21794894554704791</v>
      </c>
      <c r="AH53" s="173">
        <f t="shared" si="147"/>
        <v>2.0507838222772983</v>
      </c>
      <c r="AI53" s="173">
        <f t="shared" si="148"/>
        <v>2.0507838222772983</v>
      </c>
      <c r="AJ53" s="173">
        <f t="shared" si="149"/>
        <v>1.7314448066251589</v>
      </c>
      <c r="AL53" s="545">
        <f t="shared" si="150"/>
        <v>480</v>
      </c>
      <c r="AM53" s="460">
        <f t="shared" si="151"/>
        <v>350</v>
      </c>
      <c r="AO53">
        <f t="shared" si="96"/>
        <v>480</v>
      </c>
      <c r="AP53" s="460">
        <f t="shared" si="24"/>
        <v>350</v>
      </c>
      <c r="AQ53" s="460"/>
      <c r="AR53" s="5">
        <f t="shared" si="97"/>
        <v>2.8571428571428572</v>
      </c>
      <c r="AS53" s="5">
        <f t="shared" si="25"/>
        <v>1.028237261978727</v>
      </c>
      <c r="AT53" s="5">
        <f t="shared" si="98"/>
        <v>1.8289055951641302</v>
      </c>
      <c r="AU53" s="173">
        <f t="shared" si="99"/>
        <v>0.35988304169255442</v>
      </c>
      <c r="AW53" s="5">
        <f t="shared" si="152"/>
        <v>3.0094749131084697</v>
      </c>
      <c r="AX53" s="5">
        <f t="shared" si="153"/>
        <v>1.5423558929680903</v>
      </c>
      <c r="AY53" s="5">
        <f t="shared" si="28"/>
        <v>0.50128803310944792</v>
      </c>
      <c r="AZ53" s="5"/>
      <c r="BA53" s="173">
        <f t="shared" si="100"/>
        <v>0.71029694486007888</v>
      </c>
      <c r="BB53" s="173">
        <f t="shared" si="154"/>
        <v>0.94730302017210932</v>
      </c>
      <c r="BC53" s="173">
        <f t="shared" si="155"/>
        <v>0.23240863192170827</v>
      </c>
      <c r="BD53" s="173"/>
      <c r="BE53" s="528">
        <f t="shared" si="31"/>
        <v>1.0090434997551238E-2</v>
      </c>
      <c r="BF53" s="528">
        <f t="shared" si="156"/>
        <v>0.55263663446013211</v>
      </c>
      <c r="BG53" s="528">
        <f t="shared" si="157"/>
        <v>0.20941888540854231</v>
      </c>
      <c r="BH53" s="528">
        <f t="shared" si="34"/>
        <v>5.9015893670999353E-2</v>
      </c>
      <c r="BI53">
        <f t="shared" si="35"/>
        <v>1.0770114106725034E-2</v>
      </c>
      <c r="BJ53" s="460">
        <f t="shared" si="101"/>
        <v>220.18899951526734</v>
      </c>
      <c r="BK53">
        <f t="shared" si="158"/>
        <v>0.62596813125760642</v>
      </c>
      <c r="BL53" s="460">
        <f t="shared" si="102"/>
        <v>625.96813125760639</v>
      </c>
      <c r="BM53" s="173">
        <f t="shared" si="159"/>
        <v>0.29819999999999997</v>
      </c>
      <c r="BN53" s="173">
        <f t="shared" si="160"/>
        <v>5.3249999999999999E-2</v>
      </c>
      <c r="BO53" s="528"/>
      <c r="BQ53" s="460">
        <f t="shared" si="103"/>
        <v>351.45</v>
      </c>
      <c r="BR53" s="528">
        <f t="shared" si="39"/>
        <v>1.5135652496326858E-2</v>
      </c>
      <c r="BS53" s="528">
        <f t="shared" si="104"/>
        <v>2.6921490360815991E-2</v>
      </c>
      <c r="BT53" s="528">
        <f t="shared" si="161"/>
        <v>2.7006886095860041E-4</v>
      </c>
      <c r="BU53" s="528">
        <f t="shared" si="41"/>
        <v>0.69014416784970156</v>
      </c>
      <c r="BV53" s="528">
        <f t="shared" si="162"/>
        <v>0.74515313072627998</v>
      </c>
      <c r="BW53" s="625">
        <f t="shared" si="163"/>
        <v>7.3600000000000002E-3</v>
      </c>
      <c r="BX53" s="460">
        <f t="shared" si="105"/>
        <v>752.51313072628</v>
      </c>
      <c r="BY53" s="173">
        <f t="shared" si="106"/>
        <v>1.7299312619838865</v>
      </c>
      <c r="BZ53" s="5">
        <f t="shared" si="107"/>
        <v>8.831999999999999</v>
      </c>
      <c r="CA53" s="173">
        <f t="shared" si="108"/>
        <v>0.83621070625497074</v>
      </c>
      <c r="CB53" s="5">
        <f t="shared" si="109"/>
        <v>83.621070625497069</v>
      </c>
      <c r="CC53">
        <f t="shared" si="173"/>
        <v>48</v>
      </c>
      <c r="CE53" s="562">
        <f t="shared" si="164"/>
        <v>-50</v>
      </c>
      <c r="CF53">
        <f t="shared" si="165"/>
        <v>-50</v>
      </c>
      <c r="CG53" s="173">
        <f t="shared" si="166"/>
        <v>0.48989794855663565</v>
      </c>
      <c r="CH53" s="173">
        <f t="shared" si="167"/>
        <v>0.17117629358105924</v>
      </c>
      <c r="CI53" s="170">
        <v>48</v>
      </c>
      <c r="CJ53" s="217">
        <f t="shared" si="133"/>
        <v>0.48</v>
      </c>
      <c r="CK53" s="217">
        <f t="shared" si="111"/>
        <v>0.12</v>
      </c>
      <c r="CL53" s="217">
        <f t="shared" si="48"/>
        <v>7.871999999999999</v>
      </c>
      <c r="CM53" s="217">
        <f t="shared" si="134"/>
        <v>0.96</v>
      </c>
      <c r="CN53" s="541">
        <f t="shared" si="112"/>
        <v>24</v>
      </c>
      <c r="CO53" s="443">
        <f t="shared" si="168"/>
        <v>17.099999999999998</v>
      </c>
      <c r="CP53" s="443">
        <f t="shared" si="169"/>
        <v>41.099999999999994</v>
      </c>
      <c r="CQ53" s="443"/>
      <c r="CR53" s="217">
        <f t="shared" si="113"/>
        <v>0.41176470588235292</v>
      </c>
      <c r="CS53" s="172">
        <f t="shared" si="114"/>
        <v>29.36061381074169</v>
      </c>
      <c r="CT53" s="172">
        <f t="shared" si="51"/>
        <v>4.0172166427546641</v>
      </c>
      <c r="CU53" s="217">
        <f t="shared" si="52"/>
        <v>1.7902813299232738</v>
      </c>
      <c r="CV53" s="217">
        <f t="shared" si="53"/>
        <v>3.6700767263427112</v>
      </c>
      <c r="CW53" s="443">
        <f t="shared" si="54"/>
        <v>16.399999999999999</v>
      </c>
      <c r="CX53" s="217">
        <f t="shared" si="55"/>
        <v>1.7874285714285711</v>
      </c>
      <c r="CY53" s="217">
        <f t="shared" si="56"/>
        <v>0.89371428571428557</v>
      </c>
      <c r="CZ53" s="217">
        <f t="shared" si="57"/>
        <v>1.2543358395989974</v>
      </c>
      <c r="DA53" s="197">
        <f t="shared" si="58"/>
        <v>350</v>
      </c>
      <c r="DB53" s="443">
        <f t="shared" si="115"/>
        <v>350</v>
      </c>
      <c r="DD53" s="217">
        <f t="shared" si="59"/>
        <v>2.377476538060479</v>
      </c>
      <c r="DE53" s="173">
        <f t="shared" si="60"/>
        <v>1.668404588112617</v>
      </c>
      <c r="DF53" s="173">
        <f t="shared" si="61"/>
        <v>0.69415373374028577</v>
      </c>
      <c r="DG53" s="173"/>
      <c r="DH53" s="173">
        <f t="shared" si="62"/>
        <v>0.93567251461988332</v>
      </c>
      <c r="DI53" s="545">
        <f t="shared" si="63"/>
        <v>769.49999999999966</v>
      </c>
      <c r="DJ53" s="528">
        <f t="shared" si="64"/>
        <v>0.21832358674463945</v>
      </c>
      <c r="DL53" s="173">
        <f t="shared" si="65"/>
        <v>2.0507838222772983</v>
      </c>
      <c r="DM53" s="173">
        <f t="shared" si="66"/>
        <v>2.0507838222772983</v>
      </c>
      <c r="DN53" s="173">
        <f t="shared" si="67"/>
        <v>1.7314448066251589</v>
      </c>
      <c r="DP53" s="545">
        <f t="shared" si="68"/>
        <v>480</v>
      </c>
      <c r="DQ53" s="460">
        <f t="shared" si="69"/>
        <v>350</v>
      </c>
      <c r="DS53">
        <f t="shared" si="116"/>
        <v>480</v>
      </c>
      <c r="DT53" s="460">
        <f t="shared" si="70"/>
        <v>350</v>
      </c>
      <c r="DU53" s="460"/>
      <c r="DV53" s="5">
        <f t="shared" si="117"/>
        <v>2.8571428571428572</v>
      </c>
      <c r="DW53" s="5">
        <f t="shared" si="71"/>
        <v>1.0253919111386494</v>
      </c>
      <c r="DX53" s="5">
        <f t="shared" si="118"/>
        <v>1.8317509460042078</v>
      </c>
      <c r="DY53" s="173">
        <f t="shared" si="119"/>
        <v>0.35888716889852729</v>
      </c>
      <c r="EA53" s="5">
        <f t="shared" si="72"/>
        <v>3.0011470569911691</v>
      </c>
      <c r="EB53" s="5">
        <f t="shared" si="73"/>
        <v>1.5380878667079738</v>
      </c>
      <c r="EC53" s="5">
        <f t="shared" si="74"/>
        <v>0.50067859190781672</v>
      </c>
      <c r="ED53" s="5"/>
      <c r="EE53" s="173">
        <f t="shared" si="120"/>
        <v>0.70931349279804623</v>
      </c>
      <c r="EF53" s="173">
        <f t="shared" si="75"/>
        <v>0.94803962514200724</v>
      </c>
      <c r="EG53" s="173">
        <f t="shared" si="76"/>
        <v>0.23258934849251536</v>
      </c>
      <c r="EH53" s="173"/>
      <c r="EI53" s="528">
        <f t="shared" si="77"/>
        <v>1.0062512621307281E-2</v>
      </c>
      <c r="EJ53" s="528">
        <f t="shared" si="78"/>
        <v>0.59001050566917868</v>
      </c>
      <c r="EK53" s="528">
        <f t="shared" si="79"/>
        <v>4.3749999999999997E-2</v>
      </c>
      <c r="EL53" s="528">
        <f t="shared" si="80"/>
        <v>5.9122349999999983E-2</v>
      </c>
      <c r="EM53">
        <f t="shared" si="81"/>
        <v>1.0800000000000001E-2</v>
      </c>
      <c r="EN53" s="460">
        <f t="shared" si="121"/>
        <v>54.550000000000004</v>
      </c>
      <c r="EO53">
        <f t="shared" si="82"/>
        <v>0.71817930785010464</v>
      </c>
      <c r="EP53" s="460">
        <f t="shared" si="122"/>
        <v>718.17930785010469</v>
      </c>
      <c r="EQ53" s="173">
        <f t="shared" si="83"/>
        <v>0.29819999999999997</v>
      </c>
      <c r="ER53" s="173">
        <f t="shared" si="170"/>
        <v>5.3249999999999999E-2</v>
      </c>
      <c r="ES53" s="528"/>
      <c r="EU53" s="460">
        <f t="shared" si="123"/>
        <v>351.45</v>
      </c>
      <c r="EV53" s="528">
        <f t="shared" si="85"/>
        <v>1.509376893196092E-2</v>
      </c>
      <c r="EW53" s="528">
        <f t="shared" si="124"/>
        <v>2.696337392518193E-2</v>
      </c>
      <c r="EX53" s="528">
        <f t="shared" si="86"/>
        <v>2.7048902516086379E-4</v>
      </c>
      <c r="EY53" s="528">
        <f t="shared" si="87"/>
        <v>0.69014416784970156</v>
      </c>
      <c r="EZ53" s="528">
        <f t="shared" si="88"/>
        <v>0.7451536786321491</v>
      </c>
      <c r="FA53" s="625">
        <f t="shared" si="89"/>
        <v>7.3600000000000002E-3</v>
      </c>
      <c r="FB53" s="460">
        <f t="shared" si="125"/>
        <v>752.51367863214909</v>
      </c>
      <c r="FC53" s="173">
        <f t="shared" si="126"/>
        <v>1.8221429864822538</v>
      </c>
      <c r="FD53" s="5">
        <f t="shared" si="127"/>
        <v>8.831999999999999</v>
      </c>
      <c r="FE53" s="173">
        <f t="shared" si="128"/>
        <v>0.82897329341326187</v>
      </c>
      <c r="FF53" s="5">
        <f t="shared" si="129"/>
        <v>82.897329341326184</v>
      </c>
      <c r="FG53">
        <f t="shared" si="130"/>
        <v>48</v>
      </c>
      <c r="FI53" s="562">
        <f t="shared" si="90"/>
        <v>-50</v>
      </c>
      <c r="FJ53">
        <f t="shared" si="91"/>
        <v>-50</v>
      </c>
      <c r="FL53">
        <f t="shared" si="92"/>
        <v>0.48989794855663565</v>
      </c>
    </row>
    <row r="54" spans="5:168">
      <c r="E54" s="170">
        <v>49</v>
      </c>
      <c r="F54" s="217">
        <f t="shared" si="174"/>
        <v>0.49</v>
      </c>
      <c r="G54" s="217">
        <f t="shared" si="171"/>
        <v>0.1225</v>
      </c>
      <c r="H54" s="217">
        <f t="shared" si="135"/>
        <v>8.0359999999999996</v>
      </c>
      <c r="I54" s="217">
        <f t="shared" si="175"/>
        <v>0.98</v>
      </c>
      <c r="J54" s="541">
        <f t="shared" si="136"/>
        <v>23.932898666838376</v>
      </c>
      <c r="K54" s="443">
        <f t="shared" si="137"/>
        <v>17.129698484809833</v>
      </c>
      <c r="L54" s="172">
        <f t="shared" si="138"/>
        <v>41.062597151648205</v>
      </c>
      <c r="M54" s="443"/>
      <c r="N54" s="217">
        <f t="shared" si="139"/>
        <v>0.41716061995660364</v>
      </c>
      <c r="O54" s="172">
        <f t="shared" si="172"/>
        <v>29.662201206803747</v>
      </c>
      <c r="P54" s="172">
        <f t="shared" si="140"/>
        <v>4.0584808313889722</v>
      </c>
      <c r="Q54" s="217">
        <f t="shared" si="6"/>
        <v>1.8086708052929115</v>
      </c>
      <c r="R54" s="217">
        <f t="shared" si="141"/>
        <v>3.7077751508504684</v>
      </c>
      <c r="S54" s="443">
        <f t="shared" si="142"/>
        <v>16.399999999999999</v>
      </c>
      <c r="T54" s="217">
        <f t="shared" si="143"/>
        <v>1.8061145550130311</v>
      </c>
      <c r="U54" s="217">
        <f t="shared" si="10"/>
        <v>0.90558920429422052</v>
      </c>
      <c r="V54" s="217">
        <f t="shared" si="11"/>
        <v>1.2652513807744927</v>
      </c>
      <c r="W54" s="197">
        <f t="shared" si="12"/>
        <v>350</v>
      </c>
      <c r="X54" s="443">
        <f t="shared" si="95"/>
        <v>350</v>
      </c>
      <c r="Z54" s="217">
        <f t="shared" si="13"/>
        <v>2.3771102012421115</v>
      </c>
      <c r="AA54" s="173">
        <f t="shared" si="14"/>
        <v>1.6652553715525611</v>
      </c>
      <c r="AB54" s="173">
        <f t="shared" si="144"/>
        <v>0.69273671799339276</v>
      </c>
      <c r="AC54" s="173"/>
      <c r="AD54" s="173">
        <f t="shared" si="16"/>
        <v>0.93405029949525287</v>
      </c>
      <c r="AE54" s="545">
        <f t="shared" si="145"/>
        <v>786.89552414595153</v>
      </c>
      <c r="AF54" s="528">
        <f t="shared" si="146"/>
        <v>0.21794506988222567</v>
      </c>
      <c r="AH54" s="173">
        <f t="shared" si="147"/>
        <v>2.0720360357226735</v>
      </c>
      <c r="AI54" s="173">
        <f t="shared" si="148"/>
        <v>2.0720360357226735</v>
      </c>
      <c r="AJ54" s="173">
        <f t="shared" si="149"/>
        <v>1.7471871869550666</v>
      </c>
      <c r="AL54" s="545">
        <f t="shared" si="150"/>
        <v>490</v>
      </c>
      <c r="AM54" s="460">
        <f t="shared" si="151"/>
        <v>350</v>
      </c>
      <c r="AO54">
        <f t="shared" si="96"/>
        <v>490</v>
      </c>
      <c r="AP54" s="460">
        <f t="shared" si="24"/>
        <v>350</v>
      </c>
      <c r="AQ54" s="460"/>
      <c r="AR54" s="5">
        <f t="shared" si="97"/>
        <v>2.8571428571428572</v>
      </c>
      <c r="AS54" s="5">
        <f t="shared" si="25"/>
        <v>1.0389227303721653</v>
      </c>
      <c r="AT54" s="5">
        <f t="shared" si="98"/>
        <v>1.8182201267706919</v>
      </c>
      <c r="AU54" s="173">
        <f t="shared" si="99"/>
        <v>0.36362295563025787</v>
      </c>
      <c r="AW54" s="5">
        <f t="shared" si="152"/>
        <v>3.1040984017217137</v>
      </c>
      <c r="AX54" s="5">
        <f t="shared" si="153"/>
        <v>1.5908504308823779</v>
      </c>
      <c r="AY54" s="5">
        <f t="shared" si="28"/>
        <v>0.50875634769970079</v>
      </c>
      <c r="AZ54" s="5"/>
      <c r="BA54" s="173">
        <f t="shared" si="100"/>
        <v>0.72137705262748997</v>
      </c>
      <c r="BB54" s="173">
        <f t="shared" si="154"/>
        <v>0.95431978867337031</v>
      </c>
      <c r="BC54" s="173">
        <f t="shared" si="155"/>
        <v>0.23413010597295017</v>
      </c>
      <c r="BD54" s="173"/>
      <c r="BE54" s="528">
        <f t="shared" si="31"/>
        <v>1.0407697041150488E-2</v>
      </c>
      <c r="BF54" s="528">
        <f t="shared" si="156"/>
        <v>0.55835837543441991</v>
      </c>
      <c r="BG54" s="528">
        <f t="shared" si="157"/>
        <v>0.2094128633348358</v>
      </c>
      <c r="BH54" s="528">
        <f t="shared" si="34"/>
        <v>5.9014790969349161E-2</v>
      </c>
      <c r="BI54">
        <f t="shared" si="35"/>
        <v>1.0769804400077269E-2</v>
      </c>
      <c r="BJ54" s="460">
        <f t="shared" si="101"/>
        <v>220.18266773491308</v>
      </c>
      <c r="BK54">
        <f t="shared" si="158"/>
        <v>0.63215417599537116</v>
      </c>
      <c r="BL54" s="460">
        <f t="shared" si="102"/>
        <v>632.15417599537113</v>
      </c>
      <c r="BM54" s="173">
        <f t="shared" si="159"/>
        <v>0.30441249999999997</v>
      </c>
      <c r="BN54" s="173">
        <f t="shared" si="160"/>
        <v>5.4359374999999995E-2</v>
      </c>
      <c r="BO54" s="528"/>
      <c r="BQ54" s="460">
        <f t="shared" si="103"/>
        <v>358.77187499999997</v>
      </c>
      <c r="BR54" s="528">
        <f t="shared" si="39"/>
        <v>1.5611545561725731E-2</v>
      </c>
      <c r="BS54" s="528">
        <f t="shared" si="104"/>
        <v>2.7321787771607584E-2</v>
      </c>
      <c r="BT54" s="528">
        <f t="shared" si="161"/>
        <v>2.7408453261452438E-4</v>
      </c>
      <c r="BU54" s="528">
        <f t="shared" si="41"/>
        <v>0.70816323404660453</v>
      </c>
      <c r="BV54" s="528">
        <f t="shared" si="162"/>
        <v>0.76438259204549708</v>
      </c>
      <c r="BW54" s="625">
        <f t="shared" si="163"/>
        <v>7.5133333333333311E-3</v>
      </c>
      <c r="BX54" s="460">
        <f t="shared" si="105"/>
        <v>771.8959253788305</v>
      </c>
      <c r="BY54" s="173">
        <f t="shared" si="106"/>
        <v>1.7628219763742015</v>
      </c>
      <c r="BZ54" s="5">
        <f t="shared" si="107"/>
        <v>9.016</v>
      </c>
      <c r="CA54" s="173">
        <f t="shared" si="108"/>
        <v>0.83645504302436002</v>
      </c>
      <c r="CB54" s="5">
        <f t="shared" si="109"/>
        <v>83.645504302435995</v>
      </c>
      <c r="CC54">
        <f t="shared" si="173"/>
        <v>49</v>
      </c>
      <c r="CE54" s="562">
        <f t="shared" si="164"/>
        <v>-50</v>
      </c>
      <c r="CF54">
        <f t="shared" si="165"/>
        <v>-50</v>
      </c>
      <c r="CG54" s="173">
        <f t="shared" si="166"/>
        <v>0.49497474683058335</v>
      </c>
      <c r="CH54" s="173">
        <f t="shared" si="167"/>
        <v>0.17295018856133718</v>
      </c>
      <c r="CI54" s="170">
        <v>49</v>
      </c>
      <c r="CJ54" s="217">
        <f t="shared" si="133"/>
        <v>0.49</v>
      </c>
      <c r="CK54" s="217">
        <f t="shared" si="111"/>
        <v>0.1225</v>
      </c>
      <c r="CL54" s="217">
        <f t="shared" si="48"/>
        <v>8.0359999999999996</v>
      </c>
      <c r="CM54" s="217">
        <f t="shared" si="134"/>
        <v>0.98</v>
      </c>
      <c r="CN54" s="541">
        <f t="shared" si="112"/>
        <v>24</v>
      </c>
      <c r="CO54" s="443">
        <f t="shared" si="168"/>
        <v>17.099999999999998</v>
      </c>
      <c r="CP54" s="443">
        <f t="shared" si="169"/>
        <v>41.099999999999994</v>
      </c>
      <c r="CQ54" s="443"/>
      <c r="CR54" s="217">
        <f t="shared" si="113"/>
        <v>0.41176470588235292</v>
      </c>
      <c r="CS54" s="172">
        <f t="shared" si="114"/>
        <v>29.36061381074169</v>
      </c>
      <c r="CT54" s="172">
        <f t="shared" si="51"/>
        <v>4.0172166427546641</v>
      </c>
      <c r="CU54" s="217">
        <f t="shared" si="52"/>
        <v>1.7902813299232738</v>
      </c>
      <c r="CV54" s="217">
        <f t="shared" si="53"/>
        <v>3.6700767263427112</v>
      </c>
      <c r="CW54" s="443">
        <f t="shared" si="54"/>
        <v>16.399999999999999</v>
      </c>
      <c r="CX54" s="217">
        <f t="shared" si="55"/>
        <v>1.8246666666666667</v>
      </c>
      <c r="CY54" s="217">
        <f t="shared" si="56"/>
        <v>0.91233333333333344</v>
      </c>
      <c r="CZ54" s="217">
        <f t="shared" si="57"/>
        <v>1.2804678362573103</v>
      </c>
      <c r="DA54" s="197">
        <f t="shared" si="58"/>
        <v>350</v>
      </c>
      <c r="DB54" s="443">
        <f t="shared" si="115"/>
        <v>350</v>
      </c>
      <c r="DD54" s="217">
        <f t="shared" si="59"/>
        <v>2.377476538060479</v>
      </c>
      <c r="DE54" s="173">
        <f t="shared" si="60"/>
        <v>1.668404588112617</v>
      </c>
      <c r="DF54" s="173">
        <f t="shared" si="61"/>
        <v>0.69415373374028577</v>
      </c>
      <c r="DG54" s="173"/>
      <c r="DH54" s="173">
        <f t="shared" si="62"/>
        <v>0.93567251461988332</v>
      </c>
      <c r="DI54" s="545">
        <f t="shared" si="63"/>
        <v>785.53124999999966</v>
      </c>
      <c r="DJ54" s="528">
        <f t="shared" si="64"/>
        <v>0.21832358674463945</v>
      </c>
      <c r="DL54" s="173">
        <f t="shared" si="65"/>
        <v>2.0720360357226735</v>
      </c>
      <c r="DM54" s="173">
        <f t="shared" si="66"/>
        <v>2.0720360357226735</v>
      </c>
      <c r="DN54" s="173">
        <f t="shared" si="67"/>
        <v>1.7471871869550666</v>
      </c>
      <c r="DP54" s="545">
        <f t="shared" si="68"/>
        <v>490</v>
      </c>
      <c r="DQ54" s="460">
        <f t="shared" si="69"/>
        <v>350</v>
      </c>
      <c r="DS54">
        <f t="shared" si="116"/>
        <v>490</v>
      </c>
      <c r="DT54" s="460">
        <f t="shared" si="70"/>
        <v>350</v>
      </c>
      <c r="DU54" s="460"/>
      <c r="DV54" s="5">
        <f t="shared" si="117"/>
        <v>2.8571428571428572</v>
      </c>
      <c r="DW54" s="5">
        <f t="shared" si="71"/>
        <v>1.0360180178613367</v>
      </c>
      <c r="DX54" s="5">
        <f t="shared" si="118"/>
        <v>1.8211248392815205</v>
      </c>
      <c r="DY54" s="173">
        <f t="shared" si="119"/>
        <v>0.36260630625146784</v>
      </c>
      <c r="EA54" s="5">
        <f t="shared" si="72"/>
        <v>3.0954196875125306</v>
      </c>
      <c r="EB54" s="5">
        <f t="shared" si="73"/>
        <v>1.5864025898501717</v>
      </c>
      <c r="EC54" s="5">
        <f t="shared" si="74"/>
        <v>0.50814441696063528</v>
      </c>
      <c r="ED54" s="5"/>
      <c r="EE54" s="173">
        <f t="shared" si="120"/>
        <v>0.72036790172482967</v>
      </c>
      <c r="EF54" s="173">
        <f t="shared" si="75"/>
        <v>0.9550817751772237</v>
      </c>
      <c r="EG54" s="173">
        <f t="shared" si="76"/>
        <v>0.23431704957719546</v>
      </c>
      <c r="EH54" s="173"/>
      <c r="EI54" s="528">
        <f t="shared" si="77"/>
        <v>1.0378598276708678E-2</v>
      </c>
      <c r="EJ54" s="528">
        <f t="shared" si="78"/>
        <v>0.59612476747741305</v>
      </c>
      <c r="EK54" s="528">
        <f t="shared" si="79"/>
        <v>4.3749999999999997E-2</v>
      </c>
      <c r="EL54" s="528">
        <f t="shared" si="80"/>
        <v>5.9122349999999983E-2</v>
      </c>
      <c r="EM54">
        <f t="shared" si="81"/>
        <v>1.0800000000000001E-2</v>
      </c>
      <c r="EN54" s="460">
        <f t="shared" si="121"/>
        <v>54.550000000000004</v>
      </c>
      <c r="EO54">
        <f t="shared" si="82"/>
        <v>0.72476517556149234</v>
      </c>
      <c r="EP54" s="460">
        <f t="shared" si="122"/>
        <v>724.76517556149236</v>
      </c>
      <c r="EQ54" s="173">
        <f t="shared" si="83"/>
        <v>0.30441249999999997</v>
      </c>
      <c r="ER54" s="173">
        <f t="shared" si="170"/>
        <v>5.4359374999999995E-2</v>
      </c>
      <c r="ES54" s="528"/>
      <c r="EU54" s="460">
        <f t="shared" si="123"/>
        <v>358.77187499999997</v>
      </c>
      <c r="EV54" s="528">
        <f t="shared" si="85"/>
        <v>1.5567897415063016E-2</v>
      </c>
      <c r="EW54" s="528">
        <f t="shared" si="124"/>
        <v>2.7365435918270307E-2</v>
      </c>
      <c r="EX54" s="528">
        <f t="shared" si="86"/>
        <v>2.7452239861280934E-4</v>
      </c>
      <c r="EY54" s="528">
        <f t="shared" si="87"/>
        <v>0.70816323404660453</v>
      </c>
      <c r="EZ54" s="528">
        <f t="shared" si="88"/>
        <v>0.76438316375128113</v>
      </c>
      <c r="FA54" s="625">
        <f t="shared" si="89"/>
        <v>7.5133333333333311E-3</v>
      </c>
      <c r="FB54" s="460">
        <f t="shared" si="125"/>
        <v>771.89649708461445</v>
      </c>
      <c r="FC54" s="173">
        <f t="shared" si="126"/>
        <v>1.8554335476461068</v>
      </c>
      <c r="FD54" s="5">
        <f t="shared" si="127"/>
        <v>9.016</v>
      </c>
      <c r="FE54" s="173">
        <f t="shared" si="128"/>
        <v>0.82932944956023336</v>
      </c>
      <c r="FF54" s="5">
        <f t="shared" si="129"/>
        <v>82.932944956023334</v>
      </c>
      <c r="FG54">
        <f t="shared" si="130"/>
        <v>49</v>
      </c>
      <c r="FI54" s="562">
        <f t="shared" si="90"/>
        <v>-50</v>
      </c>
      <c r="FJ54">
        <f t="shared" si="91"/>
        <v>-50</v>
      </c>
      <c r="FL54">
        <f t="shared" si="92"/>
        <v>0.49497474683058329</v>
      </c>
    </row>
    <row r="55" spans="5:168">
      <c r="E55" s="170">
        <v>50</v>
      </c>
      <c r="F55" s="217">
        <f t="shared" si="174"/>
        <v>0.5</v>
      </c>
      <c r="G55" s="217">
        <f t="shared" si="171"/>
        <v>0.125</v>
      </c>
      <c r="H55" s="217">
        <f t="shared" si="135"/>
        <v>8.1999999999999993</v>
      </c>
      <c r="I55" s="217">
        <f t="shared" si="175"/>
        <v>1</v>
      </c>
      <c r="J55" s="541">
        <f t="shared" si="136"/>
        <v>23.93221741756394</v>
      </c>
      <c r="K55" s="443">
        <f t="shared" si="137"/>
        <v>17.13</v>
      </c>
      <c r="L55" s="172">
        <f t="shared" si="138"/>
        <v>41.062217417563943</v>
      </c>
      <c r="M55" s="443"/>
      <c r="N55" s="217">
        <f t="shared" si="139"/>
        <v>0.41717182064972497</v>
      </c>
      <c r="O55" s="172">
        <f t="shared" si="172"/>
        <v>29.662153275585403</v>
      </c>
      <c r="P55" s="172">
        <f t="shared" si="140"/>
        <v>4.0584742732805736</v>
      </c>
      <c r="Q55" s="217">
        <f t="shared" si="6"/>
        <v>1.8086678826576468</v>
      </c>
      <c r="R55" s="217">
        <f t="shared" si="141"/>
        <v>3.7077691594481754</v>
      </c>
      <c r="S55" s="443">
        <f t="shared" si="142"/>
        <v>16.399999999999999</v>
      </c>
      <c r="T55" s="217">
        <f t="shared" si="143"/>
        <v>1.8429770137983275</v>
      </c>
      <c r="U55" s="217">
        <f t="shared" si="10"/>
        <v>0.92409841427184769</v>
      </c>
      <c r="V55" s="217">
        <f t="shared" si="11"/>
        <v>1.2910521988079353</v>
      </c>
      <c r="W55" s="197">
        <f t="shared" si="12"/>
        <v>350</v>
      </c>
      <c r="X55" s="443">
        <f t="shared" si="95"/>
        <v>350</v>
      </c>
      <c r="Z55" s="217">
        <f t="shared" si="13"/>
        <v>2.3771063600643356</v>
      </c>
      <c r="AA55" s="173">
        <f t="shared" si="14"/>
        <v>1.6652233695722143</v>
      </c>
      <c r="AB55" s="173">
        <f t="shared" si="144"/>
        <v>0.69272228597912799</v>
      </c>
      <c r="AC55" s="173"/>
      <c r="AD55" s="173">
        <f t="shared" si="16"/>
        <v>0.93403385872737898</v>
      </c>
      <c r="AE55" s="545">
        <f t="shared" si="145"/>
        <v>802.96874999999977</v>
      </c>
      <c r="AF55" s="528">
        <f t="shared" si="146"/>
        <v>0.21794123370305513</v>
      </c>
      <c r="AH55" s="173">
        <f t="shared" si="147"/>
        <v>2.0930724738891344</v>
      </c>
      <c r="AI55" s="173">
        <f t="shared" si="148"/>
        <v>2.0930724738891344</v>
      </c>
      <c r="AJ55" s="173">
        <f t="shared" si="149"/>
        <v>1.7627697337450376</v>
      </c>
      <c r="AL55" s="545">
        <f t="shared" si="150"/>
        <v>500</v>
      </c>
      <c r="AM55" s="460">
        <f t="shared" si="151"/>
        <v>350</v>
      </c>
      <c r="AO55">
        <f t="shared" si="96"/>
        <v>500</v>
      </c>
      <c r="AP55" s="460">
        <f t="shared" si="24"/>
        <v>350</v>
      </c>
      <c r="AQ55" s="460"/>
      <c r="AR55" s="5">
        <f t="shared" si="97"/>
        <v>2.8571428571428572</v>
      </c>
      <c r="AS55" s="5">
        <f t="shared" si="25"/>
        <v>1.0495003136749146</v>
      </c>
      <c r="AT55" s="5">
        <f t="shared" si="98"/>
        <v>1.8076425434679426</v>
      </c>
      <c r="AU55" s="173">
        <f t="shared" si="99"/>
        <v>0.36732510978622007</v>
      </c>
      <c r="AW55" s="5">
        <f t="shared" si="152"/>
        <v>3.1996960782771793</v>
      </c>
      <c r="AX55" s="5">
        <f t="shared" si="153"/>
        <v>1.6398442401170539</v>
      </c>
      <c r="AY55" s="5">
        <f t="shared" si="28"/>
        <v>0.51613370510187639</v>
      </c>
      <c r="AZ55" s="5"/>
      <c r="BA55" s="173">
        <f t="shared" si="100"/>
        <v>0.73240103183559568</v>
      </c>
      <c r="BB55" s="173">
        <f t="shared" si="154"/>
        <v>0.96120038955652498</v>
      </c>
      <c r="BC55" s="173">
        <f t="shared" si="155"/>
        <v>0.23581817304758357</v>
      </c>
      <c r="BD55" s="173"/>
      <c r="BE55" s="528">
        <f t="shared" si="31"/>
        <v>1.0728225428676906E-2</v>
      </c>
      <c r="BF55" s="528">
        <f t="shared" si="156"/>
        <v>0.56402191777019861</v>
      </c>
      <c r="BG55" s="528">
        <f t="shared" si="157"/>
        <v>0.20940690240368448</v>
      </c>
      <c r="BH55" s="528">
        <f t="shared" si="34"/>
        <v>5.9013699473655201E-2</v>
      </c>
      <c r="BI55">
        <f t="shared" si="35"/>
        <v>1.0769497837903774E-2</v>
      </c>
      <c r="BJ55" s="460">
        <f t="shared" si="101"/>
        <v>220.17640024158825</v>
      </c>
      <c r="BK55">
        <f t="shared" si="158"/>
        <v>0.63828747513884332</v>
      </c>
      <c r="BL55" s="460">
        <f t="shared" si="102"/>
        <v>638.28747513884332</v>
      </c>
      <c r="BM55" s="173">
        <f t="shared" si="159"/>
        <v>0.31062499999999998</v>
      </c>
      <c r="BN55" s="173">
        <f t="shared" si="160"/>
        <v>5.5468749999999997E-2</v>
      </c>
      <c r="BO55" s="528"/>
      <c r="BQ55" s="460">
        <f t="shared" si="103"/>
        <v>366.09375</v>
      </c>
      <c r="BR55" s="528">
        <f t="shared" si="39"/>
        <v>1.6092338143015358E-2</v>
      </c>
      <c r="BS55" s="528">
        <f t="shared" si="104"/>
        <v>2.7717185666508461E-2</v>
      </c>
      <c r="BT55" s="528">
        <f t="shared" si="161"/>
        <v>2.7805105369750036E-4</v>
      </c>
      <c r="BU55" s="528">
        <f t="shared" si="41"/>
        <v>0.72627447479295248</v>
      </c>
      <c r="BV55" s="528">
        <f t="shared" si="162"/>
        <v>0.78370720763835511</v>
      </c>
      <c r="BW55" s="625">
        <f t="shared" si="163"/>
        <v>7.6666666666666671E-3</v>
      </c>
      <c r="BX55" s="460">
        <f t="shared" si="105"/>
        <v>791.37387430502179</v>
      </c>
      <c r="BY55" s="173">
        <f t="shared" si="106"/>
        <v>1.7957550994438651</v>
      </c>
      <c r="BZ55" s="5">
        <f t="shared" si="107"/>
        <v>9.1999999999999993</v>
      </c>
      <c r="CA55" s="173">
        <f t="shared" si="108"/>
        <v>0.83668651373158642</v>
      </c>
      <c r="CB55" s="5">
        <f t="shared" si="109"/>
        <v>83.668651373158639</v>
      </c>
      <c r="CC55">
        <f t="shared" si="173"/>
        <v>50</v>
      </c>
      <c r="CE55" s="562">
        <f t="shared" si="164"/>
        <v>-50</v>
      </c>
      <c r="CF55">
        <f t="shared" si="165"/>
        <v>-50</v>
      </c>
      <c r="CG55" s="173">
        <f t="shared" si="166"/>
        <v>0.5</v>
      </c>
      <c r="CH55" s="173">
        <f t="shared" si="167"/>
        <v>0.1747060730560194</v>
      </c>
      <c r="CI55" s="170">
        <v>50</v>
      </c>
      <c r="CJ55" s="217">
        <f t="shared" si="133"/>
        <v>0.5</v>
      </c>
      <c r="CK55" s="217">
        <f t="shared" si="111"/>
        <v>0.125</v>
      </c>
      <c r="CL55" s="217">
        <f t="shared" si="48"/>
        <v>8.1999999999999993</v>
      </c>
      <c r="CM55" s="217">
        <f t="shared" si="134"/>
        <v>1</v>
      </c>
      <c r="CN55" s="541">
        <f t="shared" si="112"/>
        <v>24</v>
      </c>
      <c r="CO55" s="443">
        <f t="shared" si="168"/>
        <v>17.099999999999998</v>
      </c>
      <c r="CP55" s="443">
        <f t="shared" si="169"/>
        <v>41.099999999999994</v>
      </c>
      <c r="CQ55" s="443"/>
      <c r="CR55" s="217">
        <f t="shared" si="113"/>
        <v>0.41176470588235292</v>
      </c>
      <c r="CS55" s="172">
        <f t="shared" si="114"/>
        <v>29.36061381074169</v>
      </c>
      <c r="CT55" s="172">
        <f t="shared" si="51"/>
        <v>4.0172166427546641</v>
      </c>
      <c r="CU55" s="217">
        <f t="shared" si="52"/>
        <v>1.7902813299232738</v>
      </c>
      <c r="CV55" s="217">
        <f t="shared" si="53"/>
        <v>3.6700767263427112</v>
      </c>
      <c r="CW55" s="443">
        <f t="shared" si="54"/>
        <v>16.399999999999999</v>
      </c>
      <c r="CX55" s="217">
        <f t="shared" si="55"/>
        <v>1.8619047619047617</v>
      </c>
      <c r="CY55" s="217">
        <f t="shared" si="56"/>
        <v>0.93095238095238098</v>
      </c>
      <c r="CZ55" s="217">
        <f t="shared" si="57"/>
        <v>1.3065998329156225</v>
      </c>
      <c r="DA55" s="197">
        <f t="shared" si="58"/>
        <v>350</v>
      </c>
      <c r="DB55" s="443">
        <f t="shared" si="115"/>
        <v>350</v>
      </c>
      <c r="DD55" s="217">
        <f t="shared" si="59"/>
        <v>2.377476538060479</v>
      </c>
      <c r="DE55" s="173">
        <f t="shared" si="60"/>
        <v>1.668404588112617</v>
      </c>
      <c r="DF55" s="173">
        <f t="shared" si="61"/>
        <v>0.69415373374028577</v>
      </c>
      <c r="DG55" s="173"/>
      <c r="DH55" s="173">
        <f t="shared" si="62"/>
        <v>0.93567251461988332</v>
      </c>
      <c r="DI55" s="545">
        <f t="shared" si="63"/>
        <v>801.56249999999966</v>
      </c>
      <c r="DJ55" s="528">
        <f t="shared" si="64"/>
        <v>0.21832358674463945</v>
      </c>
      <c r="DL55" s="173">
        <f t="shared" si="65"/>
        <v>2.0930724738891344</v>
      </c>
      <c r="DM55" s="173">
        <f t="shared" si="66"/>
        <v>2.0930724738891344</v>
      </c>
      <c r="DN55" s="173">
        <f t="shared" si="67"/>
        <v>1.7627697337450376</v>
      </c>
      <c r="DP55" s="545">
        <f t="shared" si="68"/>
        <v>500</v>
      </c>
      <c r="DQ55" s="460">
        <f t="shared" si="69"/>
        <v>350</v>
      </c>
      <c r="DS55">
        <f t="shared" si="116"/>
        <v>500</v>
      </c>
      <c r="DT55" s="460">
        <f t="shared" si="70"/>
        <v>350</v>
      </c>
      <c r="DU55" s="460"/>
      <c r="DV55" s="5">
        <f t="shared" si="117"/>
        <v>2.8571428571428572</v>
      </c>
      <c r="DW55" s="5">
        <f t="shared" si="71"/>
        <v>1.0465362369445672</v>
      </c>
      <c r="DX55" s="5">
        <f t="shared" si="118"/>
        <v>1.81060662019829</v>
      </c>
      <c r="DY55" s="173">
        <f t="shared" si="119"/>
        <v>0.36628768293059849</v>
      </c>
      <c r="EA55" s="5">
        <f t="shared" si="72"/>
        <v>3.1906592589773397</v>
      </c>
      <c r="EB55" s="5">
        <f t="shared" si="73"/>
        <v>1.6352128702258861</v>
      </c>
      <c r="EC55" s="5">
        <f t="shared" si="74"/>
        <v>0.51551994047312399</v>
      </c>
      <c r="ED55" s="5"/>
      <c r="EE55" s="173">
        <f t="shared" si="120"/>
        <v>0.73136604985655362</v>
      </c>
      <c r="EF55" s="173">
        <f t="shared" si="75"/>
        <v>0.96198812957056878</v>
      </c>
      <c r="EG55" s="173">
        <f t="shared" si="76"/>
        <v>0.23601143494485977</v>
      </c>
      <c r="EH55" s="173"/>
      <c r="EI55" s="528">
        <f t="shared" si="77"/>
        <v>1.0697925977655579E-2</v>
      </c>
      <c r="EJ55" s="528">
        <f t="shared" si="78"/>
        <v>0.60217695073790389</v>
      </c>
      <c r="EK55" s="528">
        <f t="shared" si="79"/>
        <v>4.3749999999999997E-2</v>
      </c>
      <c r="EL55" s="528">
        <f t="shared" si="80"/>
        <v>5.9122349999999983E-2</v>
      </c>
      <c r="EM55">
        <f t="shared" si="81"/>
        <v>1.0800000000000001E-2</v>
      </c>
      <c r="EN55" s="460">
        <f t="shared" si="121"/>
        <v>54.550000000000004</v>
      </c>
      <c r="EO55">
        <f t="shared" si="82"/>
        <v>0.7312944909668645</v>
      </c>
      <c r="EP55" s="460">
        <f t="shared" si="122"/>
        <v>731.29449096686449</v>
      </c>
      <c r="EQ55" s="173">
        <f t="shared" si="83"/>
        <v>0.31062499999999998</v>
      </c>
      <c r="ER55" s="173">
        <f t="shared" si="170"/>
        <v>5.5468749999999997E-2</v>
      </c>
      <c r="ES55" s="528"/>
      <c r="EU55" s="460">
        <f t="shared" si="123"/>
        <v>366.09375</v>
      </c>
      <c r="EV55" s="528">
        <f t="shared" si="85"/>
        <v>1.6046888966483368E-2</v>
      </c>
      <c r="EW55" s="528">
        <f t="shared" si="124"/>
        <v>2.7762634843040441E-2</v>
      </c>
      <c r="EX55" s="528">
        <f t="shared" si="86"/>
        <v>2.7850698712365883E-4</v>
      </c>
      <c r="EY55" s="528">
        <f t="shared" si="87"/>
        <v>0.72627447479295248</v>
      </c>
      <c r="EZ55" s="528">
        <f t="shared" si="88"/>
        <v>0.7837078036835452</v>
      </c>
      <c r="FA55" s="625">
        <f t="shared" si="89"/>
        <v>7.6666666666666671E-3</v>
      </c>
      <c r="FB55" s="460">
        <f t="shared" si="125"/>
        <v>791.37447035021194</v>
      </c>
      <c r="FC55" s="173">
        <f t="shared" si="126"/>
        <v>1.8887627113170764</v>
      </c>
      <c r="FD55" s="5">
        <f t="shared" si="127"/>
        <v>9.1999999999999993</v>
      </c>
      <c r="FE55" s="173">
        <f t="shared" si="128"/>
        <v>0.82966875922149319</v>
      </c>
      <c r="FF55" s="5">
        <f t="shared" si="129"/>
        <v>82.966875922149313</v>
      </c>
      <c r="FG55">
        <f t="shared" si="130"/>
        <v>50</v>
      </c>
      <c r="FI55" s="562">
        <f t="shared" si="90"/>
        <v>-50</v>
      </c>
      <c r="FJ55">
        <f t="shared" si="91"/>
        <v>-50</v>
      </c>
      <c r="FL55">
        <f t="shared" si="92"/>
        <v>0.5</v>
      </c>
    </row>
    <row r="56" spans="5:168">
      <c r="E56" s="170">
        <v>51</v>
      </c>
      <c r="F56" s="217">
        <f t="shared" si="174"/>
        <v>0.51</v>
      </c>
      <c r="G56" s="217">
        <f t="shared" si="171"/>
        <v>0.1275</v>
      </c>
      <c r="H56" s="217">
        <f t="shared" si="135"/>
        <v>8.363999999999999</v>
      </c>
      <c r="I56" s="217">
        <f t="shared" si="175"/>
        <v>1.02</v>
      </c>
      <c r="J56" s="541">
        <f t="shared" si="136"/>
        <v>23.931542947395208</v>
      </c>
      <c r="K56" s="443">
        <f t="shared" si="137"/>
        <v>17.130298514815085</v>
      </c>
      <c r="L56" s="172">
        <f t="shared" si="138"/>
        <v>41.061841462210296</v>
      </c>
      <c r="M56" s="443"/>
      <c r="N56" s="217">
        <f t="shared" si="139"/>
        <v>0.41718291008892777</v>
      </c>
      <c r="O56" s="172">
        <f t="shared" si="172"/>
        <v>29.662105791174788</v>
      </c>
      <c r="P56" s="172">
        <f t="shared" si="140"/>
        <v>4.058467776305891</v>
      </c>
      <c r="Q56" s="217">
        <f t="shared" si="6"/>
        <v>1.8086649872667555</v>
      </c>
      <c r="R56" s="217">
        <f t="shared" si="141"/>
        <v>3.7077632238968485</v>
      </c>
      <c r="S56" s="443">
        <f t="shared" si="142"/>
        <v>16.399999999999999</v>
      </c>
      <c r="T56" s="217">
        <f t="shared" si="143"/>
        <v>1.8798395633997764</v>
      </c>
      <c r="U56" s="217">
        <f t="shared" si="10"/>
        <v>0.94260845656224679</v>
      </c>
      <c r="V56" s="217">
        <f t="shared" si="11"/>
        <v>1.3168524028514763</v>
      </c>
      <c r="W56" s="197">
        <f t="shared" si="12"/>
        <v>350</v>
      </c>
      <c r="X56" s="443">
        <f t="shared" si="95"/>
        <v>350</v>
      </c>
      <c r="Z56" s="217">
        <f t="shared" si="13"/>
        <v>2.3771025546934497</v>
      </c>
      <c r="AA56" s="173">
        <f t="shared" si="14"/>
        <v>1.665191685460206</v>
      </c>
      <c r="AB56" s="173">
        <f t="shared" si="144"/>
        <v>0.69270799667330574</v>
      </c>
      <c r="AC56" s="173"/>
      <c r="AD56" s="173">
        <f t="shared" si="16"/>
        <v>0.93401758213159292</v>
      </c>
      <c r="AE56" s="545">
        <f t="shared" si="145"/>
        <v>819.04239773959591</v>
      </c>
      <c r="AF56" s="528">
        <f t="shared" si="146"/>
        <v>0.21793743583070505</v>
      </c>
      <c r="AH56" s="173">
        <f t="shared" si="147"/>
        <v>2.1138995786393044</v>
      </c>
      <c r="AI56" s="173">
        <f t="shared" si="148"/>
        <v>2.1138995786393044</v>
      </c>
      <c r="AJ56" s="173">
        <f t="shared" si="149"/>
        <v>1.7781972187451636</v>
      </c>
      <c r="AL56" s="545">
        <f t="shared" si="150"/>
        <v>510</v>
      </c>
      <c r="AM56" s="460">
        <f t="shared" si="151"/>
        <v>350</v>
      </c>
      <c r="AO56">
        <f t="shared" si="96"/>
        <v>510</v>
      </c>
      <c r="AP56" s="460">
        <f t="shared" si="24"/>
        <v>350</v>
      </c>
      <c r="AQ56" s="460"/>
      <c r="AR56" s="5">
        <f t="shared" si="97"/>
        <v>2.8571428571428572</v>
      </c>
      <c r="AS56" s="5">
        <f t="shared" si="25"/>
        <v>1.0599732327928593</v>
      </c>
      <c r="AT56" s="5">
        <f t="shared" si="98"/>
        <v>1.7971696243499979</v>
      </c>
      <c r="AU56" s="173">
        <f t="shared" si="99"/>
        <v>0.37099063147750072</v>
      </c>
      <c r="AW56" s="5">
        <f t="shared" si="152"/>
        <v>3.2962582239290144</v>
      </c>
      <c r="AX56" s="5">
        <f t="shared" si="153"/>
        <v>1.6893323397636195</v>
      </c>
      <c r="AY56" s="5">
        <f t="shared" si="28"/>
        <v>0.52342100587721963</v>
      </c>
      <c r="AZ56" s="5"/>
      <c r="BA56" s="173">
        <f t="shared" si="100"/>
        <v>0.74337028370524105</v>
      </c>
      <c r="BB56" s="173">
        <f t="shared" si="154"/>
        <v>0.96794856827612441</v>
      </c>
      <c r="BC56" s="173">
        <f t="shared" si="155"/>
        <v>0.23747375204478802</v>
      </c>
      <c r="BD56" s="173"/>
      <c r="BE56" s="528">
        <f t="shared" si="31"/>
        <v>1.1051987573920213E-2</v>
      </c>
      <c r="BF56" s="528">
        <f t="shared" si="156"/>
        <v>0.56962899895860175</v>
      </c>
      <c r="BG56" s="528">
        <f t="shared" si="157"/>
        <v>0.20940100078970805</v>
      </c>
      <c r="BH56" s="528">
        <f t="shared" si="34"/>
        <v>5.9012618849369244E-2</v>
      </c>
      <c r="BI56">
        <f t="shared" si="35"/>
        <v>1.0769194326327843E-2</v>
      </c>
      <c r="BJ56" s="460">
        <f t="shared" si="101"/>
        <v>220.1701951160359</v>
      </c>
      <c r="BK56">
        <f t="shared" si="158"/>
        <v>0.64436972615751476</v>
      </c>
      <c r="BL56" s="460">
        <f t="shared" si="102"/>
        <v>644.36972615751472</v>
      </c>
      <c r="BM56" s="173">
        <f t="shared" si="159"/>
        <v>0.31683749999999999</v>
      </c>
      <c r="BN56" s="173">
        <f t="shared" si="160"/>
        <v>5.6578125E-2</v>
      </c>
      <c r="BO56" s="528"/>
      <c r="BQ56" s="460">
        <f t="shared" si="103"/>
        <v>373.41562499999998</v>
      </c>
      <c r="BR56" s="528">
        <f t="shared" si="39"/>
        <v>1.6577981360880317E-2</v>
      </c>
      <c r="BS56" s="528">
        <f t="shared" si="104"/>
        <v>2.810773292483397E-2</v>
      </c>
      <c r="BT56" s="528">
        <f t="shared" si="161"/>
        <v>2.8196891455114728E-4</v>
      </c>
      <c r="BU56" s="528">
        <f t="shared" si="41"/>
        <v>0.74447650382100838</v>
      </c>
      <c r="BV56" s="528">
        <f t="shared" si="162"/>
        <v>0.80312560681793033</v>
      </c>
      <c r="BW56" s="625">
        <f t="shared" si="163"/>
        <v>7.8199999999999988E-3</v>
      </c>
      <c r="BX56" s="460">
        <f t="shared" si="105"/>
        <v>810.94560681793041</v>
      </c>
      <c r="BY56" s="173">
        <f t="shared" si="106"/>
        <v>1.8287309579754452</v>
      </c>
      <c r="BZ56" s="5">
        <f t="shared" si="107"/>
        <v>9.3839999999999986</v>
      </c>
      <c r="CA56" s="173">
        <f t="shared" si="108"/>
        <v>0.83690583812013286</v>
      </c>
      <c r="CB56" s="5">
        <f t="shared" si="109"/>
        <v>83.690583812013287</v>
      </c>
      <c r="CC56">
        <f t="shared" si="173"/>
        <v>51</v>
      </c>
      <c r="CE56" s="562">
        <f t="shared" si="164"/>
        <v>-50</v>
      </c>
      <c r="CF56">
        <f t="shared" si="165"/>
        <v>-50</v>
      </c>
      <c r="CG56" s="173">
        <f t="shared" si="166"/>
        <v>0.50497524691810391</v>
      </c>
      <c r="CH56" s="173">
        <f t="shared" si="167"/>
        <v>0.17644448475911137</v>
      </c>
      <c r="CI56" s="170">
        <v>51</v>
      </c>
      <c r="CJ56" s="217">
        <f t="shared" si="133"/>
        <v>0.51</v>
      </c>
      <c r="CK56" s="217">
        <f t="shared" si="111"/>
        <v>0.1275</v>
      </c>
      <c r="CL56" s="217">
        <f t="shared" si="48"/>
        <v>8.363999999999999</v>
      </c>
      <c r="CM56" s="217">
        <f t="shared" si="134"/>
        <v>1.02</v>
      </c>
      <c r="CN56" s="541">
        <f t="shared" si="112"/>
        <v>24</v>
      </c>
      <c r="CO56" s="443">
        <f t="shared" si="168"/>
        <v>17.099999999999998</v>
      </c>
      <c r="CP56" s="443">
        <f t="shared" si="169"/>
        <v>41.099999999999994</v>
      </c>
      <c r="CQ56" s="443"/>
      <c r="CR56" s="217">
        <f t="shared" si="113"/>
        <v>0.41176470588235292</v>
      </c>
      <c r="CS56" s="172">
        <f t="shared" si="114"/>
        <v>29.36061381074169</v>
      </c>
      <c r="CT56" s="172">
        <f t="shared" si="51"/>
        <v>4.0172166427546641</v>
      </c>
      <c r="CU56" s="217">
        <f t="shared" si="52"/>
        <v>1.7902813299232738</v>
      </c>
      <c r="CV56" s="217">
        <f t="shared" si="53"/>
        <v>3.6700767263427112</v>
      </c>
      <c r="CW56" s="443">
        <f t="shared" si="54"/>
        <v>16.399999999999999</v>
      </c>
      <c r="CX56" s="217">
        <f t="shared" si="55"/>
        <v>1.8991428571428568</v>
      </c>
      <c r="CY56" s="217">
        <f t="shared" si="56"/>
        <v>0.94957142857142829</v>
      </c>
      <c r="CZ56" s="217">
        <f t="shared" si="57"/>
        <v>1.3327318295739345</v>
      </c>
      <c r="DA56" s="197">
        <f t="shared" si="58"/>
        <v>350</v>
      </c>
      <c r="DB56" s="443">
        <f t="shared" si="115"/>
        <v>350</v>
      </c>
      <c r="DD56" s="217">
        <f t="shared" si="59"/>
        <v>2.377476538060479</v>
      </c>
      <c r="DE56" s="173">
        <f t="shared" si="60"/>
        <v>1.668404588112617</v>
      </c>
      <c r="DF56" s="173">
        <f t="shared" si="61"/>
        <v>0.69415373374028577</v>
      </c>
      <c r="DG56" s="173"/>
      <c r="DH56" s="173">
        <f t="shared" si="62"/>
        <v>0.93567251461988332</v>
      </c>
      <c r="DI56" s="545">
        <f t="shared" si="63"/>
        <v>817.59374999999966</v>
      </c>
      <c r="DJ56" s="528">
        <f t="shared" si="64"/>
        <v>0.21832358674463945</v>
      </c>
      <c r="DL56" s="173">
        <f t="shared" si="65"/>
        <v>2.1138995786393044</v>
      </c>
      <c r="DM56" s="173">
        <f t="shared" si="66"/>
        <v>2.1138995786393044</v>
      </c>
      <c r="DN56" s="173">
        <f t="shared" si="67"/>
        <v>1.7781972187451636</v>
      </c>
      <c r="DP56" s="545">
        <f t="shared" si="68"/>
        <v>510</v>
      </c>
      <c r="DQ56" s="460">
        <f t="shared" si="69"/>
        <v>350</v>
      </c>
      <c r="DS56">
        <f t="shared" si="116"/>
        <v>510</v>
      </c>
      <c r="DT56" s="460">
        <f t="shared" si="70"/>
        <v>350</v>
      </c>
      <c r="DU56" s="460"/>
      <c r="DV56" s="5">
        <f t="shared" si="117"/>
        <v>2.8571428571428572</v>
      </c>
      <c r="DW56" s="5">
        <f t="shared" si="71"/>
        <v>1.0569497893196522</v>
      </c>
      <c r="DX56" s="5">
        <f t="shared" si="118"/>
        <v>1.800193067823205</v>
      </c>
      <c r="DY56" s="173">
        <f t="shared" si="119"/>
        <v>0.36993242626187828</v>
      </c>
      <c r="EA56" s="5">
        <f t="shared" si="72"/>
        <v>3.2868560521525771</v>
      </c>
      <c r="EB56" s="5">
        <f t="shared" si="73"/>
        <v>1.6845137267281958</v>
      </c>
      <c r="EC56" s="5">
        <f t="shared" si="74"/>
        <v>0.52280607011365565</v>
      </c>
      <c r="ED56" s="5"/>
      <c r="EE56" s="173">
        <f t="shared" si="120"/>
        <v>0.74230934039117324</v>
      </c>
      <c r="EF56" s="173">
        <f t="shared" si="75"/>
        <v>0.96876243356760638</v>
      </c>
      <c r="EG56" s="173">
        <f t="shared" si="76"/>
        <v>0.23767342344341558</v>
      </c>
      <c r="EH56" s="173"/>
      <c r="EI56" s="528">
        <f t="shared" si="77"/>
        <v>1.1020463136639574E-2</v>
      </c>
      <c r="EJ56" s="528">
        <f t="shared" si="78"/>
        <v>0.60816890877452789</v>
      </c>
      <c r="EK56" s="528">
        <f t="shared" si="79"/>
        <v>4.3749999999999997E-2</v>
      </c>
      <c r="EL56" s="528">
        <f t="shared" si="80"/>
        <v>5.9122349999999983E-2</v>
      </c>
      <c r="EM56">
        <f t="shared" si="81"/>
        <v>1.0800000000000001E-2</v>
      </c>
      <c r="EN56" s="460">
        <f t="shared" si="121"/>
        <v>54.550000000000004</v>
      </c>
      <c r="EO56">
        <f t="shared" si="82"/>
        <v>0.73776906725588953</v>
      </c>
      <c r="EP56" s="460">
        <f t="shared" si="122"/>
        <v>737.76906725588958</v>
      </c>
      <c r="EQ56" s="173">
        <f t="shared" si="83"/>
        <v>0.31683749999999999</v>
      </c>
      <c r="ER56" s="173">
        <f t="shared" si="170"/>
        <v>5.6578125E-2</v>
      </c>
      <c r="ES56" s="528"/>
      <c r="EU56" s="460">
        <f t="shared" si="123"/>
        <v>373.41562499999998</v>
      </c>
      <c r="EV56" s="528">
        <f t="shared" si="85"/>
        <v>1.653069470495936E-2</v>
      </c>
      <c r="EW56" s="528">
        <f t="shared" si="124"/>
        <v>2.815501958075493E-2</v>
      </c>
      <c r="EX56" s="528">
        <f t="shared" si="86"/>
        <v>2.8244328105656561E-4</v>
      </c>
      <c r="EY56" s="528">
        <f t="shared" si="87"/>
        <v>0.74447650382100838</v>
      </c>
      <c r="EZ56" s="528">
        <f t="shared" si="88"/>
        <v>0.80312622774422093</v>
      </c>
      <c r="FA56" s="625">
        <f t="shared" si="89"/>
        <v>7.8199999999999988E-3</v>
      </c>
      <c r="FB56" s="460">
        <f t="shared" si="125"/>
        <v>810.94622774422101</v>
      </c>
      <c r="FC56" s="173">
        <f t="shared" si="126"/>
        <v>1.9221309200001102</v>
      </c>
      <c r="FD56" s="5">
        <f t="shared" si="127"/>
        <v>9.3839999999999986</v>
      </c>
      <c r="FE56" s="173">
        <f t="shared" si="128"/>
        <v>0.82999215791850278</v>
      </c>
      <c r="FF56" s="5">
        <f t="shared" si="129"/>
        <v>82.999215791850276</v>
      </c>
      <c r="FG56">
        <f t="shared" si="130"/>
        <v>51</v>
      </c>
      <c r="FI56" s="562">
        <f t="shared" si="90"/>
        <v>-50</v>
      </c>
      <c r="FJ56">
        <f t="shared" si="91"/>
        <v>-50</v>
      </c>
      <c r="FL56">
        <f t="shared" si="92"/>
        <v>0.50497524691810391</v>
      </c>
    </row>
    <row r="57" spans="5:168">
      <c r="E57" s="170">
        <v>52</v>
      </c>
      <c r="F57" s="217">
        <f t="shared" si="174"/>
        <v>0.52</v>
      </c>
      <c r="G57" s="217">
        <f t="shared" si="171"/>
        <v>0.13</v>
      </c>
      <c r="H57" s="217">
        <f t="shared" si="135"/>
        <v>8.5279999999999987</v>
      </c>
      <c r="I57" s="217">
        <f t="shared" si="175"/>
        <v>1.04</v>
      </c>
      <c r="J57" s="541">
        <f t="shared" si="136"/>
        <v>23.930875057895364</v>
      </c>
      <c r="K57" s="443">
        <f t="shared" si="137"/>
        <v>17.130594117081554</v>
      </c>
      <c r="L57" s="172">
        <f t="shared" si="138"/>
        <v>41.061469174976921</v>
      </c>
      <c r="M57" s="443"/>
      <c r="N57" s="217">
        <f t="shared" si="139"/>
        <v>0.41719389153082298</v>
      </c>
      <c r="O57" s="172">
        <f t="shared" si="172"/>
        <v>29.662058740492199</v>
      </c>
      <c r="P57" s="172">
        <f t="shared" si="140"/>
        <v>4.0584613386753157</v>
      </c>
      <c r="Q57" s="217">
        <f t="shared" si="6"/>
        <v>1.8086621183226952</v>
      </c>
      <c r="R57" s="217">
        <f t="shared" si="141"/>
        <v>3.7077573425615249</v>
      </c>
      <c r="S57" s="443">
        <f t="shared" si="142"/>
        <v>16.399999999999999</v>
      </c>
      <c r="T57" s="217">
        <f t="shared" si="143"/>
        <v>1.9167022029971859</v>
      </c>
      <c r="U57" s="217">
        <f t="shared" si="10"/>
        <v>0.96111932306369396</v>
      </c>
      <c r="V57" s="217">
        <f t="shared" si="11"/>
        <v>1.3426519990355528</v>
      </c>
      <c r="W57" s="197">
        <f t="shared" si="12"/>
        <v>350</v>
      </c>
      <c r="X57" s="443">
        <f t="shared" si="95"/>
        <v>350</v>
      </c>
      <c r="Z57" s="217">
        <f t="shared" si="13"/>
        <v>2.3770987840812561</v>
      </c>
      <c r="AA57" s="173">
        <f t="shared" si="14"/>
        <v>1.6651603099119339</v>
      </c>
      <c r="AB57" s="173">
        <f t="shared" si="144"/>
        <v>0.69269384589860439</v>
      </c>
      <c r="AC57" s="173"/>
      <c r="AD57" s="173">
        <f t="shared" si="16"/>
        <v>0.93400146490224789</v>
      </c>
      <c r="AE57" s="545">
        <f t="shared" si="145"/>
        <v>835.11646320772559</v>
      </c>
      <c r="AF57" s="528">
        <f t="shared" si="146"/>
        <v>0.21793367514385789</v>
      </c>
      <c r="AH57" s="173">
        <f t="shared" si="147"/>
        <v>2.1345234775449238</v>
      </c>
      <c r="AI57" s="173">
        <f t="shared" si="148"/>
        <v>2.1345234775449238</v>
      </c>
      <c r="AJ57" s="173">
        <f t="shared" si="149"/>
        <v>1.7934741808974741</v>
      </c>
      <c r="AL57" s="545">
        <f t="shared" si="150"/>
        <v>520</v>
      </c>
      <c r="AM57" s="460">
        <f t="shared" si="151"/>
        <v>350</v>
      </c>
      <c r="AO57">
        <f t="shared" si="96"/>
        <v>520</v>
      </c>
      <c r="AP57" s="460">
        <f t="shared" si="24"/>
        <v>350</v>
      </c>
      <c r="AQ57" s="460"/>
      <c r="AR57" s="5">
        <f t="shared" si="97"/>
        <v>2.8571428571428572</v>
      </c>
      <c r="AS57" s="5">
        <f t="shared" si="25"/>
        <v>1.0703445514871939</v>
      </c>
      <c r="AT57" s="5">
        <f t="shared" si="98"/>
        <v>1.7867983056556633</v>
      </c>
      <c r="AU57" s="173">
        <f t="shared" si="99"/>
        <v>0.37462059302051787</v>
      </c>
      <c r="AW57" s="5">
        <f t="shared" si="152"/>
        <v>3.3937754071545179</v>
      </c>
      <c r="AX57" s="5">
        <f t="shared" si="153"/>
        <v>1.7393098961666902</v>
      </c>
      <c r="AY57" s="5">
        <f t="shared" si="28"/>
        <v>0.53061912396179367</v>
      </c>
      <c r="AZ57" s="5"/>
      <c r="BA57" s="173">
        <f t="shared" si="100"/>
        <v>0.7542861477593481</v>
      </c>
      <c r="BB57" s="173">
        <f t="shared" si="154"/>
        <v>0.97456788682396123</v>
      </c>
      <c r="BC57" s="173">
        <f t="shared" si="155"/>
        <v>0.23909771685351125</v>
      </c>
      <c r="BD57" s="173"/>
      <c r="BE57" s="528">
        <f t="shared" si="31"/>
        <v>1.1378951854032742E-2</v>
      </c>
      <c r="BF57" s="528">
        <f t="shared" si="156"/>
        <v>0.57518127172061995</v>
      </c>
      <c r="BG57" s="528">
        <f t="shared" si="157"/>
        <v>0.20939515675658441</v>
      </c>
      <c r="BH57" s="528">
        <f t="shared" si="34"/>
        <v>5.9011548778265296E-2</v>
      </c>
      <c r="BI57">
        <f t="shared" si="35"/>
        <v>1.0768893776052913E-2</v>
      </c>
      <c r="BJ57" s="460">
        <f t="shared" si="101"/>
        <v>220.16405053263733</v>
      </c>
      <c r="BK57">
        <f t="shared" si="158"/>
        <v>0.65040254300880551</v>
      </c>
      <c r="BL57" s="460">
        <f t="shared" si="102"/>
        <v>650.40254300880554</v>
      </c>
      <c r="BM57" s="173">
        <f t="shared" si="159"/>
        <v>0.32304999999999995</v>
      </c>
      <c r="BN57" s="173">
        <f t="shared" si="160"/>
        <v>5.7687499999999996E-2</v>
      </c>
      <c r="BO57" s="528"/>
      <c r="BQ57" s="460">
        <f t="shared" si="103"/>
        <v>380.73749999999995</v>
      </c>
      <c r="BR57" s="528">
        <f t="shared" si="39"/>
        <v>1.7068427781049111E-2</v>
      </c>
      <c r="BS57" s="528">
        <f t="shared" si="104"/>
        <v>2.8493476980855637E-2</v>
      </c>
      <c r="BT57" s="528">
        <f t="shared" si="161"/>
        <v>2.8583859102280921E-4</v>
      </c>
      <c r="BU57" s="528">
        <f t="shared" si="41"/>
        <v>0.76276798255759481</v>
      </c>
      <c r="BV57" s="528">
        <f t="shared" si="162"/>
        <v>0.8226364663618263</v>
      </c>
      <c r="BW57" s="625">
        <f t="shared" si="163"/>
        <v>7.9733333333333305E-3</v>
      </c>
      <c r="BX57" s="460">
        <f t="shared" si="105"/>
        <v>830.60979969515961</v>
      </c>
      <c r="BY57" s="173">
        <f t="shared" si="106"/>
        <v>1.8617498427039652</v>
      </c>
      <c r="BZ57" s="5">
        <f t="shared" si="107"/>
        <v>9.5679999999999978</v>
      </c>
      <c r="CA57" s="173">
        <f t="shared" si="108"/>
        <v>0.8371136841728527</v>
      </c>
      <c r="CB57" s="5">
        <f t="shared" si="109"/>
        <v>83.711368417285271</v>
      </c>
      <c r="CC57">
        <f t="shared" si="173"/>
        <v>52</v>
      </c>
      <c r="CE57" s="562">
        <f t="shared" si="164"/>
        <v>-50</v>
      </c>
      <c r="CF57">
        <f t="shared" si="165"/>
        <v>-50</v>
      </c>
      <c r="CG57" s="173">
        <f t="shared" si="166"/>
        <v>0.50990195135927852</v>
      </c>
      <c r="CH57" s="173">
        <f t="shared" si="167"/>
        <v>0.17816593513116194</v>
      </c>
      <c r="CI57" s="170">
        <v>52</v>
      </c>
      <c r="CJ57" s="217">
        <f t="shared" si="133"/>
        <v>0.52</v>
      </c>
      <c r="CK57" s="217">
        <f t="shared" si="111"/>
        <v>0.13</v>
      </c>
      <c r="CL57" s="217">
        <f t="shared" si="48"/>
        <v>8.5279999999999987</v>
      </c>
      <c r="CM57" s="217">
        <f t="shared" si="134"/>
        <v>1.04</v>
      </c>
      <c r="CN57" s="541">
        <f t="shared" si="112"/>
        <v>24</v>
      </c>
      <c r="CO57" s="443">
        <f t="shared" si="168"/>
        <v>17.099999999999998</v>
      </c>
      <c r="CP57" s="443">
        <f t="shared" si="169"/>
        <v>41.099999999999994</v>
      </c>
      <c r="CQ57" s="443"/>
      <c r="CR57" s="217">
        <f t="shared" si="113"/>
        <v>0.41176470588235292</v>
      </c>
      <c r="CS57" s="172">
        <f t="shared" si="114"/>
        <v>29.36061381074169</v>
      </c>
      <c r="CT57" s="172">
        <f t="shared" si="51"/>
        <v>4.0172166427546641</v>
      </c>
      <c r="CU57" s="217">
        <f t="shared" si="52"/>
        <v>1.7902813299232738</v>
      </c>
      <c r="CV57" s="217">
        <f t="shared" si="53"/>
        <v>3.6700767263427112</v>
      </c>
      <c r="CW57" s="443">
        <f t="shared" si="54"/>
        <v>16.399999999999999</v>
      </c>
      <c r="CX57" s="217">
        <f t="shared" si="55"/>
        <v>1.9363809523809519</v>
      </c>
      <c r="CY57" s="217">
        <f t="shared" si="56"/>
        <v>0.96819047619047593</v>
      </c>
      <c r="CZ57" s="217">
        <f t="shared" si="57"/>
        <v>1.358863826232247</v>
      </c>
      <c r="DA57" s="197">
        <f t="shared" si="58"/>
        <v>350</v>
      </c>
      <c r="DB57" s="443">
        <f t="shared" si="115"/>
        <v>350</v>
      </c>
      <c r="DD57" s="217">
        <f t="shared" si="59"/>
        <v>2.377476538060479</v>
      </c>
      <c r="DE57" s="173">
        <f t="shared" si="60"/>
        <v>1.668404588112617</v>
      </c>
      <c r="DF57" s="173">
        <f t="shared" si="61"/>
        <v>0.69415373374028577</v>
      </c>
      <c r="DG57" s="173"/>
      <c r="DH57" s="173">
        <f t="shared" si="62"/>
        <v>0.93567251461988332</v>
      </c>
      <c r="DI57" s="545">
        <f t="shared" si="63"/>
        <v>833.62499999999966</v>
      </c>
      <c r="DJ57" s="528">
        <f t="shared" si="64"/>
        <v>0.21832358674463945</v>
      </c>
      <c r="DL57" s="173">
        <f t="shared" si="65"/>
        <v>2.1345234775449238</v>
      </c>
      <c r="DM57" s="173">
        <f t="shared" si="66"/>
        <v>2.1345234775449238</v>
      </c>
      <c r="DN57" s="173">
        <f t="shared" si="67"/>
        <v>1.7934741808974741</v>
      </c>
      <c r="DP57" s="545">
        <f t="shared" si="68"/>
        <v>520</v>
      </c>
      <c r="DQ57" s="460">
        <f t="shared" si="69"/>
        <v>350</v>
      </c>
      <c r="DS57">
        <f t="shared" si="116"/>
        <v>520</v>
      </c>
      <c r="DT57" s="460">
        <f t="shared" si="70"/>
        <v>350</v>
      </c>
      <c r="DU57" s="460"/>
      <c r="DV57" s="5">
        <f t="shared" si="117"/>
        <v>2.8571428571428572</v>
      </c>
      <c r="DW57" s="5">
        <f t="shared" si="71"/>
        <v>1.0672617387724619</v>
      </c>
      <c r="DX57" s="5">
        <f t="shared" si="118"/>
        <v>1.7898811183703953</v>
      </c>
      <c r="DY57" s="173">
        <f t="shared" si="119"/>
        <v>0.37354160857036167</v>
      </c>
      <c r="EA57" s="5">
        <f t="shared" si="72"/>
        <v>3.3840006351321965</v>
      </c>
      <c r="EB57" s="5">
        <f t="shared" si="73"/>
        <v>1.7343003255052507</v>
      </c>
      <c r="EC57" s="5">
        <f t="shared" si="74"/>
        <v>0.53000368671745579</v>
      </c>
      <c r="ED57" s="5"/>
      <c r="EE57" s="173">
        <f t="shared" si="120"/>
        <v>0.7531991147607543</v>
      </c>
      <c r="EF57" s="173">
        <f t="shared" si="75"/>
        <v>0.97540824901872458</v>
      </c>
      <c r="EG57" s="173">
        <f t="shared" si="76"/>
        <v>0.2393038889271189</v>
      </c>
      <c r="EH57" s="173"/>
      <c r="EI57" s="528">
        <f t="shared" si="77"/>
        <v>1.1346178129527677E-2</v>
      </c>
      <c r="EJ57" s="528">
        <f t="shared" si="78"/>
        <v>0.61410240448967446</v>
      </c>
      <c r="EK57" s="528">
        <f t="shared" si="79"/>
        <v>4.3749999999999997E-2</v>
      </c>
      <c r="EL57" s="528">
        <f t="shared" si="80"/>
        <v>5.9122349999999983E-2</v>
      </c>
      <c r="EM57">
        <f t="shared" si="81"/>
        <v>1.0800000000000001E-2</v>
      </c>
      <c r="EN57" s="460">
        <f t="shared" si="121"/>
        <v>54.550000000000004</v>
      </c>
      <c r="EO57">
        <f t="shared" si="82"/>
        <v>0.74419062845139239</v>
      </c>
      <c r="EP57" s="460">
        <f t="shared" si="122"/>
        <v>744.1906284513924</v>
      </c>
      <c r="EQ57" s="173">
        <f t="shared" si="83"/>
        <v>0.32304999999999995</v>
      </c>
      <c r="ER57" s="173">
        <f t="shared" si="170"/>
        <v>5.7687499999999996E-2</v>
      </c>
      <c r="ES57" s="528"/>
      <c r="EU57" s="460">
        <f t="shared" si="123"/>
        <v>380.73749999999995</v>
      </c>
      <c r="EV57" s="528">
        <f t="shared" si="85"/>
        <v>1.7019267194291515E-2</v>
      </c>
      <c r="EW57" s="528">
        <f t="shared" si="124"/>
        <v>2.8542637567613226E-2</v>
      </c>
      <c r="EX57" s="528">
        <f t="shared" si="86"/>
        <v>2.8633175627821434E-4</v>
      </c>
      <c r="EY57" s="528">
        <f t="shared" si="87"/>
        <v>0.76276798255759481</v>
      </c>
      <c r="EZ57" s="528">
        <f t="shared" si="88"/>
        <v>0.82263711271312612</v>
      </c>
      <c r="FA57" s="625">
        <f t="shared" si="89"/>
        <v>7.9733333333333305E-3</v>
      </c>
      <c r="FB57" s="460">
        <f t="shared" si="125"/>
        <v>830.6104460464594</v>
      </c>
      <c r="FC57" s="173">
        <f t="shared" si="126"/>
        <v>1.9555385744978515</v>
      </c>
      <c r="FD57" s="5">
        <f t="shared" si="127"/>
        <v>9.5679999999999978</v>
      </c>
      <c r="FE57" s="173">
        <f t="shared" si="128"/>
        <v>0.83030051386945036</v>
      </c>
      <c r="FF57" s="5">
        <f t="shared" si="129"/>
        <v>83.030051386945033</v>
      </c>
      <c r="FG57">
        <f t="shared" si="130"/>
        <v>52</v>
      </c>
      <c r="FI57" s="562">
        <f t="shared" si="90"/>
        <v>-50</v>
      </c>
      <c r="FJ57">
        <f t="shared" si="91"/>
        <v>-50</v>
      </c>
      <c r="FL57">
        <f t="shared" si="92"/>
        <v>0.50990195135927852</v>
      </c>
    </row>
    <row r="58" spans="5:168">
      <c r="E58" s="170">
        <v>53</v>
      </c>
      <c r="F58" s="217">
        <f t="shared" si="174"/>
        <v>0.53</v>
      </c>
      <c r="G58" s="217">
        <f t="shared" si="171"/>
        <v>0.13250000000000001</v>
      </c>
      <c r="H58" s="217">
        <f t="shared" si="135"/>
        <v>8.6920000000000002</v>
      </c>
      <c r="I58" s="217">
        <f t="shared" si="175"/>
        <v>1.06</v>
      </c>
      <c r="J58" s="541">
        <f t="shared" si="136"/>
        <v>23.930213560123736</v>
      </c>
      <c r="K58" s="443">
        <f t="shared" si="137"/>
        <v>17.130886890422961</v>
      </c>
      <c r="L58" s="172">
        <f t="shared" si="138"/>
        <v>41.061100450546697</v>
      </c>
      <c r="M58" s="443"/>
      <c r="N58" s="217">
        <f t="shared" si="139"/>
        <v>0.41720476807617746</v>
      </c>
      <c r="O58" s="172">
        <f t="shared" si="172"/>
        <v>29.662012111083893</v>
      </c>
      <c r="P58" s="172">
        <f t="shared" si="140"/>
        <v>4.0584549586848873</v>
      </c>
      <c r="Q58" s="217">
        <f t="shared" si="6"/>
        <v>1.8086592750660913</v>
      </c>
      <c r="R58" s="217">
        <f t="shared" si="141"/>
        <v>3.7077515138854866</v>
      </c>
      <c r="S58" s="443">
        <f t="shared" si="142"/>
        <v>16.399999999999999</v>
      </c>
      <c r="T58" s="217">
        <f t="shared" si="143"/>
        <v>1.9535649317941441</v>
      </c>
      <c r="U58" s="217">
        <f t="shared" si="10"/>
        <v>0.97963100590935615</v>
      </c>
      <c r="V58" s="217">
        <f t="shared" si="11"/>
        <v>1.3684509933128703</v>
      </c>
      <c r="W58" s="197">
        <f t="shared" si="12"/>
        <v>350</v>
      </c>
      <c r="X58" s="443">
        <f t="shared" si="95"/>
        <v>350</v>
      </c>
      <c r="Z58" s="217">
        <f t="shared" si="13"/>
        <v>2.377095047229719</v>
      </c>
      <c r="AA58" s="173">
        <f t="shared" si="14"/>
        <v>1.6651292340680643</v>
      </c>
      <c r="AB58" s="173">
        <f t="shared" si="144"/>
        <v>0.692679829677607</v>
      </c>
      <c r="AC58" s="173"/>
      <c r="AD58" s="173">
        <f t="shared" si="16"/>
        <v>0.93398550246367096</v>
      </c>
      <c r="AE58" s="545">
        <f t="shared" si="145"/>
        <v>851.19094236789078</v>
      </c>
      <c r="AF58" s="528">
        <f t="shared" si="146"/>
        <v>0.21792995057485656</v>
      </c>
      <c r="AH58" s="173">
        <f t="shared" si="147"/>
        <v>2.15495000494432</v>
      </c>
      <c r="AI58" s="173">
        <f t="shared" si="148"/>
        <v>2.15495000494432</v>
      </c>
      <c r="AJ58" s="173">
        <f t="shared" si="149"/>
        <v>1.808604941934064</v>
      </c>
      <c r="AL58" s="545">
        <f t="shared" si="150"/>
        <v>530</v>
      </c>
      <c r="AM58" s="460">
        <f t="shared" si="151"/>
        <v>350</v>
      </c>
      <c r="AO58">
        <f t="shared" si="96"/>
        <v>530</v>
      </c>
      <c r="AP58" s="460">
        <f t="shared" si="24"/>
        <v>350</v>
      </c>
      <c r="AQ58" s="460"/>
      <c r="AR58" s="5">
        <f t="shared" si="97"/>
        <v>2.8571428571428572</v>
      </c>
      <c r="AS58" s="5">
        <f t="shared" si="25"/>
        <v>1.0806171869031214</v>
      </c>
      <c r="AT58" s="5">
        <f t="shared" si="98"/>
        <v>1.7765256702397358</v>
      </c>
      <c r="AU58" s="173">
        <f t="shared" si="99"/>
        <v>0.37821601541609245</v>
      </c>
      <c r="AW58" s="5">
        <f t="shared" si="152"/>
        <v>3.4922384698698439</v>
      </c>
      <c r="AX58" s="5">
        <f t="shared" si="153"/>
        <v>1.7897722158082947</v>
      </c>
      <c r="AY58" s="5">
        <f t="shared" si="28"/>
        <v>0.53772890795310069</v>
      </c>
      <c r="AZ58" s="5"/>
      <c r="BA58" s="173">
        <f t="shared" si="100"/>
        <v>0.76514990567133101</v>
      </c>
      <c r="BB58" s="173">
        <f t="shared" si="154"/>
        <v>0.98106173597162649</v>
      </c>
      <c r="BC58" s="173">
        <f t="shared" si="155"/>
        <v>0.24069089935602314</v>
      </c>
      <c r="BD58" s="173"/>
      <c r="BE58" s="528">
        <f t="shared" si="31"/>
        <v>1.1709087562976934E-2</v>
      </c>
      <c r="BF58" s="528">
        <f t="shared" si="156"/>
        <v>0.58068030968669415</v>
      </c>
      <c r="BG58" s="528">
        <f t="shared" si="157"/>
        <v>0.20938936865108268</v>
      </c>
      <c r="BH58" s="528">
        <f t="shared" si="34"/>
        <v>5.9010488957346022E-2</v>
      </c>
      <c r="BI58">
        <f t="shared" si="35"/>
        <v>1.0768596102055682E-2</v>
      </c>
      <c r="BJ58" s="460">
        <f t="shared" si="101"/>
        <v>220.15796475313837</v>
      </c>
      <c r="BK58">
        <f t="shared" si="158"/>
        <v>0.65638746175677309</v>
      </c>
      <c r="BL58" s="460">
        <f t="shared" si="102"/>
        <v>656.38746175677306</v>
      </c>
      <c r="BM58" s="173">
        <f t="shared" si="159"/>
        <v>0.32926249999999996</v>
      </c>
      <c r="BN58" s="173">
        <f t="shared" si="160"/>
        <v>5.8796874999999998E-2</v>
      </c>
      <c r="BO58" s="528"/>
      <c r="BQ58" s="460">
        <f t="shared" si="103"/>
        <v>388.05937499999999</v>
      </c>
      <c r="BR58" s="528">
        <f t="shared" si="39"/>
        <v>1.75636313444654E-2</v>
      </c>
      <c r="BS58" s="528">
        <f t="shared" si="104"/>
        <v>2.887446389362984E-2</v>
      </c>
      <c r="BT58" s="528">
        <f t="shared" si="161"/>
        <v>2.8966054516405633E-4</v>
      </c>
      <c r="BU58" s="528">
        <f t="shared" si="41"/>
        <v>0.78114761759502516</v>
      </c>
      <c r="BV58" s="528">
        <f t="shared" si="162"/>
        <v>0.84223850799128042</v>
      </c>
      <c r="BW58" s="625">
        <f t="shared" si="163"/>
        <v>8.1266666666666675E-3</v>
      </c>
      <c r="BX58" s="460">
        <f t="shared" si="105"/>
        <v>850.36517465794702</v>
      </c>
      <c r="BY58" s="173">
        <f t="shared" si="106"/>
        <v>1.8948120114147202</v>
      </c>
      <c r="BZ58" s="5">
        <f t="shared" si="107"/>
        <v>9.7520000000000007</v>
      </c>
      <c r="CA58" s="173">
        <f t="shared" si="108"/>
        <v>0.83731067269243575</v>
      </c>
      <c r="CB58" s="5">
        <f t="shared" si="109"/>
        <v>83.731067269243582</v>
      </c>
      <c r="CC58">
        <f t="shared" si="173"/>
        <v>53</v>
      </c>
      <c r="CE58" s="562">
        <f t="shared" si="164"/>
        <v>-50</v>
      </c>
      <c r="CF58">
        <f t="shared" si="165"/>
        <v>-50</v>
      </c>
      <c r="CG58" s="173">
        <f t="shared" si="166"/>
        <v>0.51478150704935011</v>
      </c>
      <c r="CH58" s="173">
        <f t="shared" si="167"/>
        <v>0.17987091115690301</v>
      </c>
      <c r="CI58" s="170">
        <v>53</v>
      </c>
      <c r="CJ58" s="217">
        <f t="shared" si="133"/>
        <v>0.53</v>
      </c>
      <c r="CK58" s="217">
        <f t="shared" si="111"/>
        <v>0.13250000000000001</v>
      </c>
      <c r="CL58" s="217">
        <f t="shared" si="48"/>
        <v>8.6920000000000002</v>
      </c>
      <c r="CM58" s="217">
        <f t="shared" si="134"/>
        <v>1.06</v>
      </c>
      <c r="CN58" s="541">
        <f t="shared" si="112"/>
        <v>24</v>
      </c>
      <c r="CO58" s="443">
        <f t="shared" si="168"/>
        <v>17.099999999999998</v>
      </c>
      <c r="CP58" s="443">
        <f t="shared" si="169"/>
        <v>41.099999999999994</v>
      </c>
      <c r="CQ58" s="443"/>
      <c r="CR58" s="217">
        <f t="shared" si="113"/>
        <v>0.41176470588235292</v>
      </c>
      <c r="CS58" s="172">
        <f t="shared" si="114"/>
        <v>29.36061381074169</v>
      </c>
      <c r="CT58" s="172">
        <f t="shared" si="51"/>
        <v>4.0172166427546641</v>
      </c>
      <c r="CU58" s="217">
        <f t="shared" si="52"/>
        <v>1.7902813299232738</v>
      </c>
      <c r="CV58" s="217">
        <f t="shared" si="53"/>
        <v>3.6700767263427112</v>
      </c>
      <c r="CW58" s="443">
        <f t="shared" si="54"/>
        <v>16.399999999999999</v>
      </c>
      <c r="CX58" s="217">
        <f t="shared" si="55"/>
        <v>1.9736190476190476</v>
      </c>
      <c r="CY58" s="217">
        <f t="shared" si="56"/>
        <v>0.98680952380952391</v>
      </c>
      <c r="CZ58" s="217">
        <f t="shared" si="57"/>
        <v>1.3849958228905601</v>
      </c>
      <c r="DA58" s="197">
        <f t="shared" si="58"/>
        <v>350</v>
      </c>
      <c r="DB58" s="443">
        <f t="shared" si="115"/>
        <v>350</v>
      </c>
      <c r="DD58" s="217">
        <f t="shared" si="59"/>
        <v>2.377476538060479</v>
      </c>
      <c r="DE58" s="173">
        <f t="shared" si="60"/>
        <v>1.668404588112617</v>
      </c>
      <c r="DF58" s="173">
        <f t="shared" si="61"/>
        <v>0.69415373374028577</v>
      </c>
      <c r="DG58" s="173"/>
      <c r="DH58" s="173">
        <f t="shared" si="62"/>
        <v>0.93567251461988332</v>
      </c>
      <c r="DI58" s="545">
        <f t="shared" si="63"/>
        <v>849.65624999999977</v>
      </c>
      <c r="DJ58" s="528">
        <f t="shared" si="64"/>
        <v>0.21832358674463945</v>
      </c>
      <c r="DL58" s="173">
        <f t="shared" si="65"/>
        <v>2.15495000494432</v>
      </c>
      <c r="DM58" s="173">
        <f t="shared" si="66"/>
        <v>2.15495000494432</v>
      </c>
      <c r="DN58" s="173">
        <f t="shared" si="67"/>
        <v>1.808604941934064</v>
      </c>
      <c r="DP58" s="545">
        <f t="shared" si="68"/>
        <v>530</v>
      </c>
      <c r="DQ58" s="460">
        <f t="shared" si="69"/>
        <v>350</v>
      </c>
      <c r="DS58">
        <f t="shared" si="116"/>
        <v>530</v>
      </c>
      <c r="DT58" s="460">
        <f t="shared" si="70"/>
        <v>350</v>
      </c>
      <c r="DU58" s="460"/>
      <c r="DV58" s="5">
        <f t="shared" si="117"/>
        <v>2.8571428571428572</v>
      </c>
      <c r="DW58" s="5">
        <f t="shared" si="71"/>
        <v>1.0774750024721602</v>
      </c>
      <c r="DX58" s="5">
        <f t="shared" si="118"/>
        <v>1.779667854670697</v>
      </c>
      <c r="DY58" s="173">
        <f t="shared" si="119"/>
        <v>0.37711625086525608</v>
      </c>
      <c r="EA58" s="5">
        <f t="shared" si="72"/>
        <v>3.4820838494527138</v>
      </c>
      <c r="EB58" s="5">
        <f t="shared" si="73"/>
        <v>1.7845679728445154</v>
      </c>
      <c r="EC58" s="5">
        <f t="shared" si="74"/>
        <v>0.53711364558325336</v>
      </c>
      <c r="ED58" s="5"/>
      <c r="EE58" s="173">
        <f t="shared" si="120"/>
        <v>0.76403665648349151</v>
      </c>
      <c r="EF58" s="173">
        <f t="shared" si="75"/>
        <v>0.98192896661929441</v>
      </c>
      <c r="EG58" s="173">
        <f t="shared" si="76"/>
        <v>0.24090366325953996</v>
      </c>
      <c r="EH58" s="173"/>
      <c r="EI58" s="528">
        <f t="shared" si="77"/>
        <v>1.1675040249009457E-2</v>
      </c>
      <c r="EJ58" s="528">
        <f t="shared" si="78"/>
        <v>0.61997911642248082</v>
      </c>
      <c r="EK58" s="528">
        <f t="shared" si="79"/>
        <v>4.3749999999999997E-2</v>
      </c>
      <c r="EL58" s="528">
        <f t="shared" si="80"/>
        <v>5.9122349999999983E-2</v>
      </c>
      <c r="EM58">
        <f t="shared" si="81"/>
        <v>1.0800000000000001E-2</v>
      </c>
      <c r="EN58" s="460">
        <f t="shared" si="121"/>
        <v>54.550000000000004</v>
      </c>
      <c r="EO58">
        <f t="shared" si="82"/>
        <v>0.75056081540718267</v>
      </c>
      <c r="EP58" s="460">
        <f t="shared" si="122"/>
        <v>750.56081540718264</v>
      </c>
      <c r="EQ58" s="173">
        <f t="shared" si="83"/>
        <v>0.32926249999999996</v>
      </c>
      <c r="ER58" s="173">
        <f t="shared" si="170"/>
        <v>5.8796874999999998E-2</v>
      </c>
      <c r="ES58" s="528"/>
      <c r="EU58" s="460">
        <f t="shared" si="123"/>
        <v>388.05937499999999</v>
      </c>
      <c r="EV58" s="528">
        <f t="shared" si="85"/>
        <v>1.7512560373514185E-2</v>
      </c>
      <c r="EW58" s="528">
        <f t="shared" si="124"/>
        <v>2.8925534864581059E-2</v>
      </c>
      <c r="EX58" s="528">
        <f t="shared" si="86"/>
        <v>2.9017287485932913E-4</v>
      </c>
      <c r="EY58" s="528">
        <f t="shared" si="87"/>
        <v>0.78114761759502516</v>
      </c>
      <c r="EZ58" s="528">
        <f t="shared" si="88"/>
        <v>0.84223918031372358</v>
      </c>
      <c r="FA58" s="625">
        <f t="shared" si="89"/>
        <v>8.1266666666666675E-3</v>
      </c>
      <c r="FB58" s="460">
        <f t="shared" si="125"/>
        <v>850.36584698039019</v>
      </c>
      <c r="FC58" s="173">
        <f t="shared" si="126"/>
        <v>1.9889860373875727</v>
      </c>
      <c r="FD58" s="5">
        <f t="shared" si="127"/>
        <v>9.7520000000000007</v>
      </c>
      <c r="FE58" s="173">
        <f t="shared" si="128"/>
        <v>0.83059463395545163</v>
      </c>
      <c r="FF58" s="5">
        <f t="shared" si="129"/>
        <v>83.059463395545166</v>
      </c>
      <c r="FG58">
        <f t="shared" si="130"/>
        <v>53</v>
      </c>
      <c r="FI58" s="562">
        <f t="shared" si="90"/>
        <v>-50</v>
      </c>
      <c r="FJ58">
        <f t="shared" si="91"/>
        <v>-50</v>
      </c>
      <c r="FL58">
        <f t="shared" si="92"/>
        <v>0.51478150704935011</v>
      </c>
    </row>
    <row r="59" spans="5:168">
      <c r="E59" s="170">
        <v>54</v>
      </c>
      <c r="F59" s="217">
        <f t="shared" si="174"/>
        <v>0.54</v>
      </c>
      <c r="G59" s="217">
        <f t="shared" si="171"/>
        <v>0.13500000000000001</v>
      </c>
      <c r="H59" s="217">
        <f t="shared" si="135"/>
        <v>8.8559999999999999</v>
      </c>
      <c r="I59" s="217">
        <f t="shared" si="175"/>
        <v>1.08</v>
      </c>
      <c r="J59" s="541">
        <f t="shared" si="136"/>
        <v>23.929558274011512</v>
      </c>
      <c r="K59" s="443">
        <f t="shared" si="137"/>
        <v>17.131176914536237</v>
      </c>
      <c r="L59" s="172">
        <f t="shared" si="138"/>
        <v>41.060735188547753</v>
      </c>
      <c r="M59" s="443"/>
      <c r="N59" s="217">
        <f t="shared" si="139"/>
        <v>0.41721554268015865</v>
      </c>
      <c r="O59" s="172">
        <f t="shared" si="172"/>
        <v>29.661965891080861</v>
      </c>
      <c r="P59" s="172">
        <f t="shared" si="140"/>
        <v>4.0584486347106479</v>
      </c>
      <c r="Q59" s="217">
        <f t="shared" si="6"/>
        <v>1.8086564567732233</v>
      </c>
      <c r="R59" s="217">
        <f t="shared" si="141"/>
        <v>3.7077457363851076</v>
      </c>
      <c r="S59" s="443">
        <f t="shared" si="142"/>
        <v>16.399999999999999</v>
      </c>
      <c r="T59" s="217">
        <f t="shared" si="143"/>
        <v>1.9904277490168949</v>
      </c>
      <c r="U59" s="217">
        <f t="shared" si="10"/>
        <v>0.9981434974561556</v>
      </c>
      <c r="V59" s="217">
        <f t="shared" si="11"/>
        <v>1.394249391466829</v>
      </c>
      <c r="W59" s="197">
        <f t="shared" si="12"/>
        <v>350</v>
      </c>
      <c r="X59" s="443">
        <f t="shared" si="95"/>
        <v>350</v>
      </c>
      <c r="Z59" s="217">
        <f t="shared" si="13"/>
        <v>2.3770913431876655</v>
      </c>
      <c r="AA59" s="173">
        <f t="shared" si="14"/>
        <v>1.665098449485261</v>
      </c>
      <c r="AB59" s="173">
        <f t="shared" si="144"/>
        <v>0.69266594421965821</v>
      </c>
      <c r="AC59" s="173"/>
      <c r="AD59" s="173">
        <f t="shared" si="16"/>
        <v>0.93396969045504397</v>
      </c>
      <c r="AE59" s="545">
        <f t="shared" si="145"/>
        <v>867.26583129839685</v>
      </c>
      <c r="AF59" s="528">
        <f t="shared" si="146"/>
        <v>0.21792626110617694</v>
      </c>
      <c r="AH59" s="173">
        <f t="shared" si="147"/>
        <v>2.1751847212199178</v>
      </c>
      <c r="AI59" s="173">
        <f t="shared" si="148"/>
        <v>2.1751847212199178</v>
      </c>
      <c r="AJ59" s="173">
        <f t="shared" si="149"/>
        <v>1.8235936206567291</v>
      </c>
      <c r="AL59" s="545">
        <f t="shared" si="150"/>
        <v>540</v>
      </c>
      <c r="AM59" s="460">
        <f t="shared" si="151"/>
        <v>350</v>
      </c>
      <c r="AO59">
        <f t="shared" si="96"/>
        <v>540</v>
      </c>
      <c r="AP59" s="460">
        <f t="shared" si="24"/>
        <v>350</v>
      </c>
      <c r="AQ59" s="460"/>
      <c r="AR59" s="5">
        <f t="shared" si="97"/>
        <v>2.8571428571428572</v>
      </c>
      <c r="AS59" s="5">
        <f t="shared" si="25"/>
        <v>1.0907939192085756</v>
      </c>
      <c r="AT59" s="5">
        <f t="shared" si="98"/>
        <v>1.7663489379342816</v>
      </c>
      <c r="AU59" s="173">
        <f t="shared" si="99"/>
        <v>0.38177787172300143</v>
      </c>
      <c r="AW59" s="5">
        <f t="shared" si="152"/>
        <v>3.5916385144672622</v>
      </c>
      <c r="AX59" s="5">
        <f t="shared" si="153"/>
        <v>1.8407147386644713</v>
      </c>
      <c r="AY59" s="5">
        <f t="shared" si="28"/>
        <v>0.54475118231130304</v>
      </c>
      <c r="AZ59" s="5"/>
      <c r="BA59" s="173">
        <f t="shared" si="100"/>
        <v>0.77596278480551739</v>
      </c>
      <c r="BB59" s="173">
        <f t="shared" si="154"/>
        <v>0.98743334647950975</v>
      </c>
      <c r="BC59" s="173">
        <f t="shared" si="155"/>
        <v>0.24225409217789978</v>
      </c>
      <c r="BD59" s="173"/>
      <c r="BE59" s="528">
        <f t="shared" si="31"/>
        <v>1.2042364868062674E-2</v>
      </c>
      <c r="BF59" s="528">
        <f t="shared" si="156"/>
        <v>0.58612761259622137</v>
      </c>
      <c r="BG59" s="528">
        <f t="shared" si="157"/>
        <v>0.20938363489760073</v>
      </c>
      <c r="BH59" s="528">
        <f t="shared" si="34"/>
        <v>5.9009439097841523E-2</v>
      </c>
      <c r="BI59">
        <f t="shared" si="35"/>
        <v>1.0768301223305181E-2</v>
      </c>
      <c r="BJ59" s="460">
        <f t="shared" si="101"/>
        <v>220.15193612090593</v>
      </c>
      <c r="BK59">
        <f t="shared" si="158"/>
        <v>0.66232594571479442</v>
      </c>
      <c r="BL59" s="460">
        <f t="shared" si="102"/>
        <v>662.32594571479444</v>
      </c>
      <c r="BM59" s="173">
        <f t="shared" si="159"/>
        <v>0.33547499999999997</v>
      </c>
      <c r="BN59" s="173">
        <f t="shared" si="160"/>
        <v>5.9906250000000001E-2</v>
      </c>
      <c r="BO59" s="528"/>
      <c r="BQ59" s="460">
        <f t="shared" si="103"/>
        <v>395.38124999999997</v>
      </c>
      <c r="BR59" s="528">
        <f t="shared" si="39"/>
        <v>1.8063547302094009E-2</v>
      </c>
      <c r="BS59" s="528">
        <f t="shared" si="104"/>
        <v>2.9250738412191706E-2</v>
      </c>
      <c r="BT59" s="528">
        <f t="shared" si="161"/>
        <v>2.9343522588469185E-4</v>
      </c>
      <c r="BU59" s="528">
        <f t="shared" si="41"/>
        <v>0.7996141583414631</v>
      </c>
      <c r="BV59" s="528">
        <f t="shared" si="162"/>
        <v>0.8619304960292572</v>
      </c>
      <c r="BW59" s="625">
        <f t="shared" si="163"/>
        <v>8.2800000000000009E-3</v>
      </c>
      <c r="BX59" s="460">
        <f t="shared" si="105"/>
        <v>870.21049602925711</v>
      </c>
      <c r="BY59" s="173">
        <f t="shared" si="106"/>
        <v>1.9279176917440517</v>
      </c>
      <c r="BZ59" s="5">
        <f t="shared" si="107"/>
        <v>9.9359999999999999</v>
      </c>
      <c r="CA59" s="173">
        <f t="shared" si="108"/>
        <v>0.83749738140162044</v>
      </c>
      <c r="CB59" s="5">
        <f t="shared" si="109"/>
        <v>83.749738140162037</v>
      </c>
      <c r="CC59">
        <f t="shared" si="173"/>
        <v>54</v>
      </c>
      <c r="CE59" s="562">
        <f t="shared" si="164"/>
        <v>-50</v>
      </c>
      <c r="CF59">
        <f t="shared" si="165"/>
        <v>-50</v>
      </c>
      <c r="CG59" s="173">
        <f t="shared" si="166"/>
        <v>0.51961524227066325</v>
      </c>
      <c r="CH59" s="173">
        <f t="shared" si="167"/>
        <v>0.18155987695431941</v>
      </c>
      <c r="CI59" s="170">
        <v>54</v>
      </c>
      <c r="CJ59" s="217">
        <f t="shared" si="133"/>
        <v>0.54</v>
      </c>
      <c r="CK59" s="217">
        <f t="shared" si="111"/>
        <v>0.13500000000000001</v>
      </c>
      <c r="CL59" s="217">
        <f t="shared" si="48"/>
        <v>8.8559999999999999</v>
      </c>
      <c r="CM59" s="217">
        <f t="shared" si="134"/>
        <v>1.08</v>
      </c>
      <c r="CN59" s="541">
        <f t="shared" si="112"/>
        <v>24</v>
      </c>
      <c r="CO59" s="443">
        <f t="shared" si="168"/>
        <v>17.099999999999998</v>
      </c>
      <c r="CP59" s="443">
        <f t="shared" si="169"/>
        <v>41.099999999999994</v>
      </c>
      <c r="CQ59" s="443"/>
      <c r="CR59" s="217">
        <f t="shared" si="113"/>
        <v>0.41176470588235292</v>
      </c>
      <c r="CS59" s="172">
        <f t="shared" si="114"/>
        <v>29.36061381074169</v>
      </c>
      <c r="CT59" s="172">
        <f t="shared" si="51"/>
        <v>4.0172166427546641</v>
      </c>
      <c r="CU59" s="217">
        <f t="shared" si="52"/>
        <v>1.7902813299232738</v>
      </c>
      <c r="CV59" s="217">
        <f t="shared" si="53"/>
        <v>3.6700767263427112</v>
      </c>
      <c r="CW59" s="443">
        <f t="shared" si="54"/>
        <v>16.399999999999999</v>
      </c>
      <c r="CX59" s="217">
        <f t="shared" si="55"/>
        <v>2.0108571428571427</v>
      </c>
      <c r="CY59" s="217">
        <f t="shared" si="56"/>
        <v>1.0054285714285716</v>
      </c>
      <c r="CZ59" s="217">
        <f t="shared" si="57"/>
        <v>1.4111278195488723</v>
      </c>
      <c r="DA59" s="197">
        <f t="shared" si="58"/>
        <v>350</v>
      </c>
      <c r="DB59" s="443">
        <f t="shared" si="115"/>
        <v>350</v>
      </c>
      <c r="DD59" s="217">
        <f t="shared" si="59"/>
        <v>2.377476538060479</v>
      </c>
      <c r="DE59" s="173">
        <f t="shared" si="60"/>
        <v>1.668404588112617</v>
      </c>
      <c r="DF59" s="173">
        <f t="shared" si="61"/>
        <v>0.69415373374028577</v>
      </c>
      <c r="DG59" s="173"/>
      <c r="DH59" s="173">
        <f t="shared" si="62"/>
        <v>0.93567251461988332</v>
      </c>
      <c r="DI59" s="545">
        <f t="shared" si="63"/>
        <v>865.68749999999977</v>
      </c>
      <c r="DJ59" s="528">
        <f t="shared" si="64"/>
        <v>0.21832358674463945</v>
      </c>
      <c r="DL59" s="173">
        <f t="shared" si="65"/>
        <v>2.1751847212199178</v>
      </c>
      <c r="DM59" s="173">
        <f t="shared" si="66"/>
        <v>2.1751847212199178</v>
      </c>
      <c r="DN59" s="173">
        <f t="shared" si="67"/>
        <v>1.8235936206567291</v>
      </c>
      <c r="DP59" s="545">
        <f t="shared" si="68"/>
        <v>540</v>
      </c>
      <c r="DQ59" s="460">
        <f t="shared" si="69"/>
        <v>350</v>
      </c>
      <c r="DS59">
        <f t="shared" si="116"/>
        <v>540</v>
      </c>
      <c r="DT59" s="460">
        <f t="shared" si="70"/>
        <v>350</v>
      </c>
      <c r="DU59" s="460"/>
      <c r="DV59" s="5">
        <f t="shared" si="117"/>
        <v>2.8571428571428572</v>
      </c>
      <c r="DW59" s="5">
        <f t="shared" si="71"/>
        <v>1.0875923606099591</v>
      </c>
      <c r="DX59" s="5">
        <f t="shared" si="118"/>
        <v>1.7695504965328981</v>
      </c>
      <c r="DY59" s="173">
        <f t="shared" si="119"/>
        <v>0.38065732621348569</v>
      </c>
      <c r="EA59" s="5">
        <f t="shared" si="72"/>
        <v>3.5810967971303542</v>
      </c>
      <c r="EB59" s="5">
        <f t="shared" si="73"/>
        <v>1.8353121085293063</v>
      </c>
      <c r="EC59" s="5">
        <f t="shared" si="74"/>
        <v>0.54413677768386604</v>
      </c>
      <c r="ED59" s="5"/>
      <c r="EE59" s="173">
        <f t="shared" si="120"/>
        <v>0.77482319470747474</v>
      </c>
      <c r="EF59" s="173">
        <f t="shared" si="75"/>
        <v>0.98832781711644635</v>
      </c>
      <c r="EG59" s="173">
        <f t="shared" si="76"/>
        <v>0.24247353906300187</v>
      </c>
      <c r="EH59" s="173"/>
      <c r="EI59" s="528">
        <f t="shared" si="77"/>
        <v>1.2007019661133947E-2</v>
      </c>
      <c r="EJ59" s="528">
        <f t="shared" si="78"/>
        <v>0.62580064429497029</v>
      </c>
      <c r="EK59" s="528">
        <f t="shared" si="79"/>
        <v>4.3749999999999997E-2</v>
      </c>
      <c r="EL59" s="528">
        <f t="shared" si="80"/>
        <v>5.9122349999999983E-2</v>
      </c>
      <c r="EM59">
        <f t="shared" si="81"/>
        <v>1.0800000000000001E-2</v>
      </c>
      <c r="EN59" s="460">
        <f t="shared" si="121"/>
        <v>54.550000000000004</v>
      </c>
      <c r="EO59">
        <f t="shared" si="82"/>
        <v>0.75688119129779541</v>
      </c>
      <c r="EP59" s="460">
        <f t="shared" si="122"/>
        <v>756.88119129779545</v>
      </c>
      <c r="EQ59" s="173">
        <f t="shared" si="83"/>
        <v>0.33547499999999997</v>
      </c>
      <c r="ER59" s="173">
        <f t="shared" si="170"/>
        <v>5.9906250000000001E-2</v>
      </c>
      <c r="ES59" s="528"/>
      <c r="EU59" s="460">
        <f t="shared" si="123"/>
        <v>395.38124999999997</v>
      </c>
      <c r="EV59" s="528">
        <f t="shared" si="85"/>
        <v>1.801052949170092E-2</v>
      </c>
      <c r="EW59" s="528">
        <f t="shared" si="124"/>
        <v>2.9303756222584795E-2</v>
      </c>
      <c r="EX59" s="528">
        <f t="shared" si="86"/>
        <v>2.939670857286855E-4</v>
      </c>
      <c r="EY59" s="528">
        <f t="shared" si="87"/>
        <v>0.7996141583414631</v>
      </c>
      <c r="EZ59" s="528">
        <f t="shared" si="88"/>
        <v>0.86193119487121272</v>
      </c>
      <c r="FA59" s="625">
        <f t="shared" si="89"/>
        <v>8.2800000000000009E-3</v>
      </c>
      <c r="FB59" s="460">
        <f t="shared" si="125"/>
        <v>870.21119487121268</v>
      </c>
      <c r="FC59" s="173">
        <f t="shared" si="126"/>
        <v>2.0224736361690083</v>
      </c>
      <c r="FD59" s="5">
        <f t="shared" si="127"/>
        <v>9.9359999999999999</v>
      </c>
      <c r="FE59" s="173">
        <f t="shared" si="128"/>
        <v>0.8308752690600969</v>
      </c>
      <c r="FF59" s="5">
        <f t="shared" si="129"/>
        <v>83.087526906009685</v>
      </c>
      <c r="FG59">
        <f t="shared" si="130"/>
        <v>54</v>
      </c>
      <c r="FI59" s="562">
        <f t="shared" si="90"/>
        <v>-50</v>
      </c>
      <c r="FJ59">
        <f t="shared" si="91"/>
        <v>-50</v>
      </c>
      <c r="FL59">
        <f t="shared" si="92"/>
        <v>0.51961524227066325</v>
      </c>
    </row>
    <row r="60" spans="5:168">
      <c r="E60" s="170">
        <v>55</v>
      </c>
      <c r="F60" s="217">
        <f t="shared" si="174"/>
        <v>0.55000000000000004</v>
      </c>
      <c r="G60" s="217">
        <f t="shared" si="171"/>
        <v>0.13750000000000001</v>
      </c>
      <c r="H60" s="217">
        <f t="shared" si="135"/>
        <v>9.02</v>
      </c>
      <c r="I60" s="217">
        <f t="shared" si="175"/>
        <v>1.1000000000000001</v>
      </c>
      <c r="J60" s="541">
        <f t="shared" si="136"/>
        <v>23.928909027789238</v>
      </c>
      <c r="K60" s="443">
        <f t="shared" si="137"/>
        <v>17.131464265445103</v>
      </c>
      <c r="L60" s="172">
        <f t="shared" si="138"/>
        <v>41.060373293234342</v>
      </c>
      <c r="M60" s="443"/>
      <c r="N60" s="217">
        <f t="shared" si="139"/>
        <v>0.41722621816173094</v>
      </c>
      <c r="O60" s="172">
        <f t="shared" si="172"/>
        <v>29.661920069161223</v>
      </c>
      <c r="P60" s="172">
        <f t="shared" si="140"/>
        <v>4.0584423652034989</v>
      </c>
      <c r="Q60" s="217">
        <f t="shared" si="6"/>
        <v>1.8086536627537333</v>
      </c>
      <c r="R60" s="217">
        <f t="shared" si="141"/>
        <v>3.7077400086451529</v>
      </c>
      <c r="S60" s="443">
        <f t="shared" si="142"/>
        <v>16.399999999999999</v>
      </c>
      <c r="T60" s="217">
        <f t="shared" si="143"/>
        <v>2.0272906539132811</v>
      </c>
      <c r="U60" s="217">
        <f t="shared" si="10"/>
        <v>1.0166567902743604</v>
      </c>
      <c r="V60" s="217">
        <f t="shared" si="11"/>
        <v>1.4200471991193981</v>
      </c>
      <c r="W60" s="197">
        <f t="shared" si="12"/>
        <v>350</v>
      </c>
      <c r="X60" s="443">
        <f t="shared" si="95"/>
        <v>350</v>
      </c>
      <c r="Z60" s="217">
        <f t="shared" si="13"/>
        <v>2.3770876710477635</v>
      </c>
      <c r="AA60" s="173">
        <f t="shared" si="14"/>
        <v>1.6650679481093402</v>
      </c>
      <c r="AB60" s="173">
        <f t="shared" si="144"/>
        <v>0.69265218590881417</v>
      </c>
      <c r="AC60" s="173"/>
      <c r="AD60" s="173">
        <f t="shared" si="16"/>
        <v>0.93395402471653799</v>
      </c>
      <c r="AE60" s="545">
        <f t="shared" si="145"/>
        <v>883.34112618701295</v>
      </c>
      <c r="AF60" s="528">
        <f t="shared" si="146"/>
        <v>0.21792260576719222</v>
      </c>
      <c r="AH60" s="173">
        <f t="shared" si="147"/>
        <v>2.1952329304763127</v>
      </c>
      <c r="AI60" s="173">
        <f t="shared" si="148"/>
        <v>2.1952329304763127</v>
      </c>
      <c r="AJ60" s="173">
        <f t="shared" si="149"/>
        <v>1.8384441460318364</v>
      </c>
      <c r="AL60" s="545">
        <f t="shared" si="150"/>
        <v>550</v>
      </c>
      <c r="AM60" s="460">
        <f t="shared" si="151"/>
        <v>350</v>
      </c>
      <c r="AO60">
        <f t="shared" si="96"/>
        <v>550</v>
      </c>
      <c r="AP60">
        <f t="shared" si="24"/>
        <v>350</v>
      </c>
      <c r="AR60" s="5">
        <f t="shared" si="97"/>
        <v>2.8571428571428572</v>
      </c>
      <c r="AS60" s="5">
        <f t="shared" si="25"/>
        <v>1.1008774004332254</v>
      </c>
      <c r="AT60" s="5">
        <f t="shared" si="98"/>
        <v>1.7562654567096319</v>
      </c>
      <c r="AU60" s="173">
        <f t="shared" si="99"/>
        <v>0.38530709015162884</v>
      </c>
      <c r="AW60" s="5">
        <f t="shared" si="152"/>
        <v>3.6919668916967932</v>
      </c>
      <c r="AX60" s="5">
        <f t="shared" si="153"/>
        <v>1.8921330319946061</v>
      </c>
      <c r="AY60" s="5">
        <f t="shared" si="28"/>
        <v>0.55168674848219956</v>
      </c>
      <c r="AZ60" s="5"/>
      <c r="BA60" s="173">
        <f t="shared" si="100"/>
        <v>0.78672596147946661</v>
      </c>
      <c r="BB60" s="173">
        <f t="shared" si="154"/>
        <v>0.99368579937695356</v>
      </c>
      <c r="BC60" s="173">
        <f t="shared" si="155"/>
        <v>0.24378805121012775</v>
      </c>
      <c r="BD60" s="173"/>
      <c r="BE60" s="528">
        <f t="shared" si="31"/>
        <v>1.2378754769315823E-2</v>
      </c>
      <c r="BF60" s="528">
        <f t="shared" si="156"/>
        <v>0.5915246110656629</v>
      </c>
      <c r="BG60" s="528">
        <f t="shared" si="157"/>
        <v>0.20937795399315584</v>
      </c>
      <c r="BH60" s="528">
        <f t="shared" si="34"/>
        <v>5.9008398924291321E-2</v>
      </c>
      <c r="BI60">
        <f t="shared" si="35"/>
        <v>1.0768009062505158E-2</v>
      </c>
      <c r="BJ60" s="460">
        <f t="shared" si="101"/>
        <v>220.14596305566101</v>
      </c>
      <c r="BK60">
        <f t="shared" si="158"/>
        <v>0.6682193901605703</v>
      </c>
      <c r="BL60" s="460">
        <f t="shared" si="102"/>
        <v>668.21939016057036</v>
      </c>
      <c r="BM60" s="173">
        <f t="shared" si="159"/>
        <v>0.34168749999999998</v>
      </c>
      <c r="BN60" s="173">
        <f t="shared" si="160"/>
        <v>6.1015625000000004E-2</v>
      </c>
      <c r="BO60" s="528"/>
      <c r="BQ60" s="460">
        <f t="shared" si="103"/>
        <v>402.703125</v>
      </c>
      <c r="BR60" s="528">
        <f t="shared" si="39"/>
        <v>1.8568132153973734E-2</v>
      </c>
      <c r="BS60" s="528">
        <f t="shared" si="104"/>
        <v>2.9622344036502452E-2</v>
      </c>
      <c r="BT60" s="528">
        <f t="shared" si="161"/>
        <v>2.9716306956415937E-4</v>
      </c>
      <c r="BU60" s="528">
        <f t="shared" si="41"/>
        <v>0.81816639483488596</v>
      </c>
      <c r="BV60" s="528">
        <f t="shared" si="162"/>
        <v>0.88171123522173245</v>
      </c>
      <c r="BW60" s="625">
        <f t="shared" si="163"/>
        <v>8.4333333333333343E-3</v>
      </c>
      <c r="BX60" s="460">
        <f t="shared" si="105"/>
        <v>890.14456855506569</v>
      </c>
      <c r="BY60" s="173">
        <f t="shared" si="106"/>
        <v>1.9610670837156361</v>
      </c>
      <c r="BZ60" s="5">
        <f t="shared" si="107"/>
        <v>10.119999999999999</v>
      </c>
      <c r="CA60" s="173">
        <f t="shared" si="108"/>
        <v>0.83767434862115731</v>
      </c>
      <c r="CB60" s="5">
        <f t="shared" si="109"/>
        <v>83.767434862115735</v>
      </c>
      <c r="CC60">
        <f t="shared" si="173"/>
        <v>55.000000000000007</v>
      </c>
      <c r="CE60" s="562">
        <f t="shared" si="164"/>
        <v>-50</v>
      </c>
      <c r="CF60">
        <f t="shared" si="165"/>
        <v>-50</v>
      </c>
      <c r="CG60" s="173">
        <f t="shared" si="166"/>
        <v>0.52440442408507582</v>
      </c>
      <c r="CH60" s="173">
        <f t="shared" si="167"/>
        <v>0.18323327525021407</v>
      </c>
      <c r="CI60" s="170">
        <v>55</v>
      </c>
      <c r="CJ60" s="217">
        <f t="shared" si="133"/>
        <v>0.55000000000000004</v>
      </c>
      <c r="CK60" s="217">
        <f t="shared" si="111"/>
        <v>0.13750000000000001</v>
      </c>
      <c r="CL60" s="217">
        <f t="shared" si="48"/>
        <v>9.02</v>
      </c>
      <c r="CM60" s="217">
        <f t="shared" si="134"/>
        <v>1.1000000000000001</v>
      </c>
      <c r="CN60" s="541">
        <f t="shared" si="112"/>
        <v>24</v>
      </c>
      <c r="CO60" s="443">
        <f t="shared" si="168"/>
        <v>17.099999999999998</v>
      </c>
      <c r="CP60" s="443">
        <f t="shared" si="169"/>
        <v>41.099999999999994</v>
      </c>
      <c r="CQ60" s="443"/>
      <c r="CR60" s="217">
        <f t="shared" si="113"/>
        <v>0.41176470588235292</v>
      </c>
      <c r="CS60" s="172">
        <f t="shared" si="114"/>
        <v>29.36061381074169</v>
      </c>
      <c r="CT60" s="172">
        <f t="shared" si="51"/>
        <v>4.0172166427546641</v>
      </c>
      <c r="CU60" s="217">
        <f t="shared" si="52"/>
        <v>1.7902813299232738</v>
      </c>
      <c r="CV60" s="217">
        <f t="shared" si="53"/>
        <v>3.6700767263427112</v>
      </c>
      <c r="CW60" s="443">
        <f t="shared" si="54"/>
        <v>16.399999999999999</v>
      </c>
      <c r="CX60" s="217">
        <f t="shared" si="55"/>
        <v>2.0480952380952377</v>
      </c>
      <c r="CY60" s="217">
        <f t="shared" si="56"/>
        <v>1.0240476190476191</v>
      </c>
      <c r="CZ60" s="217">
        <f t="shared" si="57"/>
        <v>1.4372598162071846</v>
      </c>
      <c r="DA60" s="197">
        <f t="shared" si="58"/>
        <v>350</v>
      </c>
      <c r="DB60" s="443">
        <f t="shared" si="115"/>
        <v>350</v>
      </c>
      <c r="DD60" s="217">
        <f t="shared" si="59"/>
        <v>2.377476538060479</v>
      </c>
      <c r="DE60" s="173">
        <f t="shared" si="60"/>
        <v>1.668404588112617</v>
      </c>
      <c r="DF60" s="173">
        <f t="shared" si="61"/>
        <v>0.69415373374028577</v>
      </c>
      <c r="DG60" s="173"/>
      <c r="DH60" s="173">
        <f t="shared" si="62"/>
        <v>0.93567251461988332</v>
      </c>
      <c r="DI60" s="545">
        <f t="shared" si="63"/>
        <v>881.71874999999977</v>
      </c>
      <c r="DJ60" s="528">
        <f t="shared" si="64"/>
        <v>0.21832358674463945</v>
      </c>
      <c r="DL60" s="173">
        <f t="shared" si="65"/>
        <v>2.1952329304763127</v>
      </c>
      <c r="DM60" s="173">
        <f t="shared" si="66"/>
        <v>2.1952329304763127</v>
      </c>
      <c r="DN60" s="173">
        <f t="shared" si="67"/>
        <v>1.8384441460318364</v>
      </c>
      <c r="DP60" s="545">
        <f t="shared" si="68"/>
        <v>550</v>
      </c>
      <c r="DQ60" s="460">
        <f t="shared" si="69"/>
        <v>350</v>
      </c>
      <c r="DS60">
        <f t="shared" si="116"/>
        <v>550</v>
      </c>
      <c r="DT60">
        <f t="shared" si="70"/>
        <v>350</v>
      </c>
      <c r="DV60" s="5">
        <f t="shared" si="117"/>
        <v>2.8571428571428572</v>
      </c>
      <c r="DW60" s="5">
        <f t="shared" si="71"/>
        <v>1.0976164652381564</v>
      </c>
      <c r="DX60" s="5">
        <f t="shared" si="118"/>
        <v>1.7595263919047008</v>
      </c>
      <c r="DY60" s="173">
        <f t="shared" si="119"/>
        <v>0.38416576283335474</v>
      </c>
      <c r="EA60" s="5">
        <f t="shared" si="72"/>
        <v>3.6810308285425988</v>
      </c>
      <c r="EB60" s="5">
        <f t="shared" si="73"/>
        <v>1.8865282996280817</v>
      </c>
      <c r="EC60" s="5">
        <f t="shared" si="74"/>
        <v>0.55107389079793045</v>
      </c>
      <c r="ED60" s="5"/>
      <c r="EE60" s="173">
        <f t="shared" si="120"/>
        <v>0.78555990747612425</v>
      </c>
      <c r="EF60" s="173">
        <f t="shared" si="75"/>
        <v>0.99460788158716573</v>
      </c>
      <c r="EG60" s="173">
        <f t="shared" si="76"/>
        <v>0.2440142722401798</v>
      </c>
      <c r="EH60" s="173"/>
      <c r="EI60" s="528">
        <f t="shared" si="77"/>
        <v>1.2342087364677939E-2</v>
      </c>
      <c r="EJ60" s="528">
        <f t="shared" si="78"/>
        <v>0.63156851409803516</v>
      </c>
      <c r="EK60" s="528">
        <f t="shared" si="79"/>
        <v>4.3749999999999997E-2</v>
      </c>
      <c r="EL60" s="528">
        <f t="shared" si="80"/>
        <v>5.9122349999999983E-2</v>
      </c>
      <c r="EM60">
        <f t="shared" si="81"/>
        <v>1.0800000000000001E-2</v>
      </c>
      <c r="EN60" s="460">
        <f t="shared" si="121"/>
        <v>54.550000000000004</v>
      </c>
      <c r="EO60">
        <f t="shared" si="82"/>
        <v>0.76315324665174866</v>
      </c>
      <c r="EP60" s="460">
        <f t="shared" si="122"/>
        <v>763.15324665174865</v>
      </c>
      <c r="EQ60" s="173">
        <f t="shared" si="83"/>
        <v>0.34168749999999998</v>
      </c>
      <c r="ER60" s="173">
        <f t="shared" si="170"/>
        <v>6.1015625000000004E-2</v>
      </c>
      <c r="ES60" s="528"/>
      <c r="EU60" s="460">
        <f t="shared" si="123"/>
        <v>402.703125</v>
      </c>
      <c r="EV60" s="528">
        <f t="shared" si="85"/>
        <v>1.8513131047016906E-2</v>
      </c>
      <c r="EW60" s="528">
        <f t="shared" si="124"/>
        <v>2.9677345143459283E-2</v>
      </c>
      <c r="EX60" s="528">
        <f t="shared" si="86"/>
        <v>2.9771482528452293E-4</v>
      </c>
      <c r="EY60" s="528">
        <f t="shared" si="87"/>
        <v>0.81816639483488596</v>
      </c>
      <c r="EZ60" s="528">
        <f t="shared" si="88"/>
        <v>0.88171196113381622</v>
      </c>
      <c r="FA60" s="625">
        <f t="shared" si="89"/>
        <v>8.4333333333333343E-3</v>
      </c>
      <c r="FB60" s="460">
        <f t="shared" si="125"/>
        <v>890.14529446714948</v>
      </c>
      <c r="FC60" s="173">
        <f t="shared" si="126"/>
        <v>2.0560016661188985</v>
      </c>
      <c r="FD60" s="5">
        <f t="shared" si="127"/>
        <v>10.119999999999999</v>
      </c>
      <c r="FE60" s="173">
        <f t="shared" si="128"/>
        <v>0.8311431188581424</v>
      </c>
      <c r="FF60" s="5">
        <f t="shared" si="129"/>
        <v>83.114311885814246</v>
      </c>
      <c r="FG60">
        <f t="shared" si="130"/>
        <v>55.000000000000007</v>
      </c>
      <c r="FI60" s="562">
        <f t="shared" si="90"/>
        <v>-50</v>
      </c>
      <c r="FJ60">
        <f t="shared" si="91"/>
        <v>-50</v>
      </c>
      <c r="FL60">
        <f t="shared" si="92"/>
        <v>0.52440442408507582</v>
      </c>
    </row>
    <row r="61" spans="5:168">
      <c r="E61" s="170">
        <v>56</v>
      </c>
      <c r="F61" s="217">
        <f t="shared" si="174"/>
        <v>0.56000000000000005</v>
      </c>
      <c r="G61" s="217">
        <f t="shared" si="171"/>
        <v>0.14000000000000001</v>
      </c>
      <c r="H61" s="217">
        <f t="shared" si="135"/>
        <v>9.1839999999999993</v>
      </c>
      <c r="I61" s="217">
        <f t="shared" si="175"/>
        <v>1.1200000000000001</v>
      </c>
      <c r="J61" s="541">
        <f t="shared" si="136"/>
        <v>23.92826565746098</v>
      </c>
      <c r="K61" s="443">
        <f t="shared" si="137"/>
        <v>17.131749015732773</v>
      </c>
      <c r="L61" s="172">
        <f t="shared" si="138"/>
        <v>41.060014673193749</v>
      </c>
      <c r="M61" s="443"/>
      <c r="N61" s="217">
        <f t="shared" si="139"/>
        <v>0.41723679721228468</v>
      </c>
      <c r="O61" s="172">
        <f t="shared" si="172"/>
        <v>29.66187463451541</v>
      </c>
      <c r="P61" s="172">
        <f t="shared" si="140"/>
        <v>4.0584361486844411</v>
      </c>
      <c r="Q61" s="217">
        <f t="shared" si="6"/>
        <v>1.8086508923485007</v>
      </c>
      <c r="R61" s="217">
        <f t="shared" si="141"/>
        <v>3.7077343293144263</v>
      </c>
      <c r="S61" s="443">
        <f t="shared" si="142"/>
        <v>16.399999999999999</v>
      </c>
      <c r="T61" s="217">
        <f t="shared" si="143"/>
        <v>2.0641536457517611</v>
      </c>
      <c r="U61" s="217">
        <f t="shared" si="10"/>
        <v>1.0351708771378401</v>
      </c>
      <c r="V61" s="217">
        <f t="shared" si="11"/>
        <v>1.4458444217384923</v>
      </c>
      <c r="W61" s="197">
        <f t="shared" si="12"/>
        <v>350</v>
      </c>
      <c r="X61" s="443">
        <f t="shared" si="95"/>
        <v>350</v>
      </c>
      <c r="Z61" s="217">
        <f t="shared" si="13"/>
        <v>2.377084029943743</v>
      </c>
      <c r="AA61" s="173">
        <f t="shared" si="14"/>
        <v>1.6650377222506152</v>
      </c>
      <c r="AB61" s="173">
        <f t="shared" si="144"/>
        <v>0.69263855129277252</v>
      </c>
      <c r="AC61" s="173"/>
      <c r="AD61" s="173">
        <f t="shared" si="16"/>
        <v>0.93393850127658073</v>
      </c>
      <c r="AE61" s="545">
        <f t="shared" si="145"/>
        <v>899.41682332597043</v>
      </c>
      <c r="AF61" s="528">
        <f t="shared" si="146"/>
        <v>0.21791898363120218</v>
      </c>
      <c r="AH61" s="173">
        <f t="shared" si="147"/>
        <v>2.2150996967781529</v>
      </c>
      <c r="AI61" s="173">
        <f t="shared" si="148"/>
        <v>2.2150996967781529</v>
      </c>
      <c r="AJ61" s="173">
        <f t="shared" si="149"/>
        <v>1.8531602692183846</v>
      </c>
      <c r="AL61" s="545">
        <f t="shared" si="150"/>
        <v>560</v>
      </c>
      <c r="AM61" s="460">
        <f t="shared" si="151"/>
        <v>350</v>
      </c>
      <c r="AO61">
        <f t="shared" si="96"/>
        <v>560</v>
      </c>
      <c r="AP61">
        <f t="shared" si="24"/>
        <v>350</v>
      </c>
      <c r="AR61" s="5">
        <f t="shared" si="97"/>
        <v>2.8571428571428572</v>
      </c>
      <c r="AS61" s="5">
        <f t="shared" si="25"/>
        <v>1.1108701625873858</v>
      </c>
      <c r="AT61" s="5">
        <f t="shared" si="98"/>
        <v>1.7462726945554714</v>
      </c>
      <c r="AU61" s="173">
        <f t="shared" si="99"/>
        <v>0.38880455690558502</v>
      </c>
      <c r="AW61" s="5">
        <f t="shared" si="152"/>
        <v>3.7932151893227819</v>
      </c>
      <c r="AX61" s="5">
        <f t="shared" si="153"/>
        <v>1.9440227845279254</v>
      </c>
      <c r="AY61" s="5">
        <f t="shared" si="28"/>
        <v>0.55853638594838884</v>
      </c>
      <c r="AZ61" s="5"/>
      <c r="BA61" s="173">
        <f t="shared" si="100"/>
        <v>0.79744056397467356</v>
      </c>
      <c r="BB61" s="173">
        <f t="shared" si="154"/>
        <v>0.99982203540595649</v>
      </c>
      <c r="BC61" s="173">
        <f t="shared" si="155"/>
        <v>0.245293497925995</v>
      </c>
      <c r="BD61" s="173"/>
      <c r="BE61" s="528">
        <f t="shared" si="31"/>
        <v>1.2718229061444907E-2</v>
      </c>
      <c r="BF61" s="528">
        <f t="shared" si="156"/>
        <v>0.59687267096820551</v>
      </c>
      <c r="BG61" s="528">
        <f t="shared" si="157"/>
        <v>0.20937232450278356</v>
      </c>
      <c r="BH61" s="528">
        <f t="shared" si="34"/>
        <v>5.9007368173701003E-2</v>
      </c>
      <c r="BI61">
        <f t="shared" si="35"/>
        <v>1.0767719545857441E-2</v>
      </c>
      <c r="BJ61" s="460">
        <f t="shared" si="101"/>
        <v>220.14004404864102</v>
      </c>
      <c r="BK61">
        <f t="shared" si="158"/>
        <v>0.67406912666609164</v>
      </c>
      <c r="BL61" s="460">
        <f t="shared" si="102"/>
        <v>674.06912666609162</v>
      </c>
      <c r="BM61" s="173">
        <f t="shared" si="159"/>
        <v>0.34789999999999999</v>
      </c>
      <c r="BN61" s="173">
        <f t="shared" si="160"/>
        <v>6.2125E-2</v>
      </c>
      <c r="BO61" s="528"/>
      <c r="BQ61" s="460">
        <f t="shared" si="103"/>
        <v>410.02499999999998</v>
      </c>
      <c r="BR61" s="528">
        <f t="shared" si="39"/>
        <v>1.907734359216736E-2</v>
      </c>
      <c r="BS61" s="528">
        <f t="shared" si="104"/>
        <v>2.998932307449929E-2</v>
      </c>
      <c r="BT61" s="528">
        <f t="shared" si="161"/>
        <v>3.0084450062385057E-4</v>
      </c>
      <c r="BU61" s="528">
        <f t="shared" si="41"/>
        <v>0.83680315570647568</v>
      </c>
      <c r="BV61" s="528">
        <f t="shared" si="162"/>
        <v>0.90157956870802747</v>
      </c>
      <c r="BW61" s="625">
        <f t="shared" si="163"/>
        <v>8.5866666666666643E-3</v>
      </c>
      <c r="BX61" s="460">
        <f t="shared" si="105"/>
        <v>910.16623537469411</v>
      </c>
      <c r="BY61" s="173">
        <f t="shared" si="106"/>
        <v>1.9942603620407859</v>
      </c>
      <c r="BZ61" s="5">
        <f t="shared" si="107"/>
        <v>10.303999999999998</v>
      </c>
      <c r="CA61" s="173">
        <f t="shared" si="108"/>
        <v>0.83784207657562915</v>
      </c>
      <c r="CB61" s="5">
        <f t="shared" si="109"/>
        <v>83.784207657562916</v>
      </c>
      <c r="CC61">
        <f t="shared" si="173"/>
        <v>56.000000000000007</v>
      </c>
      <c r="CE61" s="562">
        <f t="shared" si="164"/>
        <v>-50</v>
      </c>
      <c r="CF61">
        <f t="shared" si="165"/>
        <v>-50</v>
      </c>
      <c r="CG61" s="173">
        <f t="shared" si="166"/>
        <v>0.52915026221291817</v>
      </c>
      <c r="CH61" s="173">
        <f t="shared" si="167"/>
        <v>0.1848915287355638</v>
      </c>
      <c r="CI61" s="170">
        <v>56</v>
      </c>
      <c r="CJ61" s="217">
        <f t="shared" si="133"/>
        <v>0.56000000000000005</v>
      </c>
      <c r="CK61" s="217">
        <f t="shared" si="111"/>
        <v>0.14000000000000001</v>
      </c>
      <c r="CL61" s="217">
        <f t="shared" si="48"/>
        <v>9.1839999999999993</v>
      </c>
      <c r="CM61" s="217">
        <f t="shared" si="134"/>
        <v>1.1200000000000001</v>
      </c>
      <c r="CN61" s="541">
        <f t="shared" si="112"/>
        <v>24</v>
      </c>
      <c r="CO61" s="443">
        <f t="shared" si="168"/>
        <v>17.099999999999998</v>
      </c>
      <c r="CP61" s="443">
        <f t="shared" si="169"/>
        <v>41.099999999999994</v>
      </c>
      <c r="CQ61" s="443"/>
      <c r="CR61" s="217">
        <f t="shared" si="113"/>
        <v>0.41176470588235292</v>
      </c>
      <c r="CS61" s="172">
        <f t="shared" si="114"/>
        <v>29.36061381074169</v>
      </c>
      <c r="CT61" s="172">
        <f t="shared" si="51"/>
        <v>4.0172166427546641</v>
      </c>
      <c r="CU61" s="217">
        <f t="shared" si="52"/>
        <v>1.7902813299232738</v>
      </c>
      <c r="CV61" s="217">
        <f t="shared" si="53"/>
        <v>3.6700767263427112</v>
      </c>
      <c r="CW61" s="443">
        <f t="shared" si="54"/>
        <v>16.399999999999999</v>
      </c>
      <c r="CX61" s="217">
        <f t="shared" si="55"/>
        <v>2.0853333333333328</v>
      </c>
      <c r="CY61" s="217">
        <f t="shared" si="56"/>
        <v>1.0426666666666664</v>
      </c>
      <c r="CZ61" s="217">
        <f t="shared" si="57"/>
        <v>1.4633918128654968</v>
      </c>
      <c r="DA61" s="197">
        <f t="shared" si="58"/>
        <v>350</v>
      </c>
      <c r="DB61" s="443">
        <f t="shared" si="115"/>
        <v>350</v>
      </c>
      <c r="DD61" s="217">
        <f t="shared" si="59"/>
        <v>2.377476538060479</v>
      </c>
      <c r="DE61" s="173">
        <f t="shared" si="60"/>
        <v>1.668404588112617</v>
      </c>
      <c r="DF61" s="173">
        <f t="shared" si="61"/>
        <v>0.69415373374028577</v>
      </c>
      <c r="DG61" s="173"/>
      <c r="DH61" s="173">
        <f t="shared" si="62"/>
        <v>0.93567251461988332</v>
      </c>
      <c r="DI61" s="545">
        <f t="shared" si="63"/>
        <v>897.74999999999977</v>
      </c>
      <c r="DJ61" s="528">
        <f t="shared" si="64"/>
        <v>0.21832358674463945</v>
      </c>
      <c r="DL61" s="173">
        <f t="shared" si="65"/>
        <v>2.2150996967781529</v>
      </c>
      <c r="DM61" s="173">
        <f t="shared" si="66"/>
        <v>2.2150996967781529</v>
      </c>
      <c r="DN61" s="173">
        <f t="shared" si="67"/>
        <v>1.8531602692183846</v>
      </c>
      <c r="DP61" s="545">
        <f t="shared" si="68"/>
        <v>560</v>
      </c>
      <c r="DQ61" s="460">
        <f t="shared" si="69"/>
        <v>350</v>
      </c>
      <c r="DS61">
        <f t="shared" si="116"/>
        <v>560</v>
      </c>
      <c r="DT61">
        <f t="shared" si="70"/>
        <v>350</v>
      </c>
      <c r="DV61" s="5">
        <f t="shared" si="117"/>
        <v>2.8571428571428572</v>
      </c>
      <c r="DW61" s="5">
        <f t="shared" si="71"/>
        <v>1.1075498483890764</v>
      </c>
      <c r="DX61" s="5">
        <f t="shared" si="118"/>
        <v>1.7495930087537808</v>
      </c>
      <c r="DY61" s="173">
        <f t="shared" si="119"/>
        <v>0.38764244693617672</v>
      </c>
      <c r="EA61" s="5">
        <f t="shared" si="72"/>
        <v>3.7818775310846524</v>
      </c>
      <c r="EB61" s="5">
        <f t="shared" si="73"/>
        <v>1.9382122346808841</v>
      </c>
      <c r="EC61" s="5">
        <f t="shared" si="74"/>
        <v>0.55792577056926118</v>
      </c>
      <c r="ED61" s="5"/>
      <c r="EE61" s="173">
        <f t="shared" si="120"/>
        <v>0.79624792474179373</v>
      </c>
      <c r="EF61" s="173">
        <f t="shared" si="75"/>
        <v>1.0007721008800863</v>
      </c>
      <c r="EG61" s="173">
        <f t="shared" si="76"/>
        <v>0.24552658429052329</v>
      </c>
      <c r="EH61" s="173"/>
      <c r="EI61" s="528">
        <f t="shared" si="77"/>
        <v>1.2680215153112264E-2</v>
      </c>
      <c r="EJ61" s="528">
        <f t="shared" si="78"/>
        <v>0.63728418276307452</v>
      </c>
      <c r="EK61" s="528">
        <f t="shared" si="79"/>
        <v>4.3749999999999997E-2</v>
      </c>
      <c r="EL61" s="528">
        <f t="shared" si="80"/>
        <v>5.9122349999999983E-2</v>
      </c>
      <c r="EM61">
        <f t="shared" si="81"/>
        <v>1.0800000000000001E-2</v>
      </c>
      <c r="EN61" s="460">
        <f t="shared" si="121"/>
        <v>54.550000000000004</v>
      </c>
      <c r="EO61">
        <f t="shared" si="82"/>
        <v>0.76937840397382651</v>
      </c>
      <c r="EP61" s="460">
        <f t="shared" si="122"/>
        <v>769.37840397382649</v>
      </c>
      <c r="EQ61" s="173">
        <f t="shared" si="83"/>
        <v>0.34789999999999999</v>
      </c>
      <c r="ER61" s="173">
        <f t="shared" si="170"/>
        <v>6.2125E-2</v>
      </c>
      <c r="ES61" s="528"/>
      <c r="EU61" s="460">
        <f t="shared" si="123"/>
        <v>410.02499999999998</v>
      </c>
      <c r="EV61" s="528">
        <f t="shared" si="85"/>
        <v>1.9020322729668394E-2</v>
      </c>
      <c r="EW61" s="528">
        <f t="shared" si="124"/>
        <v>3.0046343936998249E-2</v>
      </c>
      <c r="EX61" s="528">
        <f t="shared" si="86"/>
        <v>3.0141651796685722E-4</v>
      </c>
      <c r="EY61" s="528">
        <f t="shared" si="87"/>
        <v>0.83680315570647568</v>
      </c>
      <c r="EZ61" s="528">
        <f t="shared" si="88"/>
        <v>0.90158032224311146</v>
      </c>
      <c r="FA61" s="625">
        <f t="shared" si="89"/>
        <v>8.5866666666666643E-3</v>
      </c>
      <c r="FB61" s="460">
        <f t="shared" si="125"/>
        <v>910.16698890977807</v>
      </c>
      <c r="FC61" s="173">
        <f t="shared" si="126"/>
        <v>2.0895703928836045</v>
      </c>
      <c r="FD61" s="5">
        <f t="shared" si="127"/>
        <v>10.303999999999998</v>
      </c>
      <c r="FE61" s="173">
        <f t="shared" si="128"/>
        <v>0.83139883611881227</v>
      </c>
      <c r="FF61" s="5">
        <f t="shared" si="129"/>
        <v>83.139883611881231</v>
      </c>
      <c r="FG61">
        <f t="shared" si="130"/>
        <v>56.000000000000007</v>
      </c>
      <c r="FI61" s="562">
        <f t="shared" si="90"/>
        <v>-50</v>
      </c>
      <c r="FJ61">
        <f t="shared" si="91"/>
        <v>-50</v>
      </c>
      <c r="FL61">
        <f t="shared" si="92"/>
        <v>0.52915026221291817</v>
      </c>
    </row>
    <row r="62" spans="5:168">
      <c r="E62" s="170">
        <v>57</v>
      </c>
      <c r="F62" s="217">
        <f t="shared" si="174"/>
        <v>0.56999999999999995</v>
      </c>
      <c r="G62" s="217">
        <f t="shared" si="171"/>
        <v>0.14249999999999999</v>
      </c>
      <c r="H62" s="217">
        <f t="shared" si="135"/>
        <v>9.347999999999999</v>
      </c>
      <c r="I62" s="217">
        <f t="shared" si="175"/>
        <v>1.1399999999999999</v>
      </c>
      <c r="J62" s="541">
        <f t="shared" si="136"/>
        <v>23.927628006320543</v>
      </c>
      <c r="K62" s="443">
        <f t="shared" si="137"/>
        <v>17.132031234756091</v>
      </c>
      <c r="L62" s="172">
        <f t="shared" si="138"/>
        <v>41.059659241076631</v>
      </c>
      <c r="M62" s="443"/>
      <c r="N62" s="217">
        <f t="shared" si="139"/>
        <v>0.41724728240357578</v>
      </c>
      <c r="O62" s="172">
        <f t="shared" si="172"/>
        <v>29.661829576814377</v>
      </c>
      <c r="P62" s="172">
        <f t="shared" si="140"/>
        <v>4.0584299837402185</v>
      </c>
      <c r="Q62" s="217">
        <f t="shared" si="6"/>
        <v>1.8086481449277061</v>
      </c>
      <c r="R62" s="217">
        <f t="shared" si="141"/>
        <v>3.7077286971017971</v>
      </c>
      <c r="S62" s="443">
        <f t="shared" si="142"/>
        <v>16.399999999999999</v>
      </c>
      <c r="T62" s="217">
        <f t="shared" si="143"/>
        <v>2.1010167238204813</v>
      </c>
      <c r="U62" s="217">
        <f t="shared" si="10"/>
        <v>1.053685751014932</v>
      </c>
      <c r="V62" s="217">
        <f t="shared" si="11"/>
        <v>1.4716410646448792</v>
      </c>
      <c r="W62" s="197">
        <f t="shared" si="12"/>
        <v>350</v>
      </c>
      <c r="X62" s="443">
        <f t="shared" si="95"/>
        <v>350</v>
      </c>
      <c r="Z62" s="217">
        <f t="shared" si="13"/>
        <v>2.3770804190478416</v>
      </c>
      <c r="AA62" s="173">
        <f t="shared" si="14"/>
        <v>1.665007764561212</v>
      </c>
      <c r="AB62" s="173">
        <f t="shared" si="144"/>
        <v>0.6926250370726883</v>
      </c>
      <c r="AC62" s="173"/>
      <c r="AD62" s="173">
        <f t="shared" si="16"/>
        <v>0.93392311634013869</v>
      </c>
      <c r="AE62" s="545">
        <f t="shared" si="145"/>
        <v>915.49291910727823</v>
      </c>
      <c r="AF62" s="528">
        <f t="shared" si="146"/>
        <v>0.21791539381269906</v>
      </c>
      <c r="AH62" s="173">
        <f t="shared" si="147"/>
        <v>2.2347898590887048</v>
      </c>
      <c r="AI62" s="173">
        <f t="shared" si="148"/>
        <v>2.2347898590887048</v>
      </c>
      <c r="AJ62" s="173">
        <f t="shared" si="149"/>
        <v>1.8677455746336082</v>
      </c>
      <c r="AL62" s="545">
        <f t="shared" si="150"/>
        <v>570</v>
      </c>
      <c r="AM62" s="460">
        <f t="shared" si="151"/>
        <v>350</v>
      </c>
      <c r="AO62">
        <f t="shared" si="96"/>
        <v>570</v>
      </c>
      <c r="AP62">
        <f t="shared" si="24"/>
        <v>350</v>
      </c>
      <c r="AR62" s="5">
        <f t="shared" si="97"/>
        <v>2.8571428571428572</v>
      </c>
      <c r="AS62" s="5">
        <f t="shared" si="25"/>
        <v>1.1207746251312731</v>
      </c>
      <c r="AT62" s="5">
        <f t="shared" si="98"/>
        <v>1.7363682320115841</v>
      </c>
      <c r="AU62" s="173">
        <f t="shared" si="99"/>
        <v>0.39227111879594556</v>
      </c>
      <c r="AW62" s="5">
        <f t="shared" si="152"/>
        <v>3.8953752214928401</v>
      </c>
      <c r="AX62" s="5">
        <f t="shared" si="153"/>
        <v>1.9963798010150802</v>
      </c>
      <c r="AY62" s="5">
        <f t="shared" si="28"/>
        <v>0.56530085321441925</v>
      </c>
      <c r="AZ62" s="5"/>
      <c r="BA62" s="173">
        <f t="shared" si="100"/>
        <v>0.80810767531921235</v>
      </c>
      <c r="BB62" s="173">
        <f t="shared" si="154"/>
        <v>1.0058448637101463</v>
      </c>
      <c r="BC62" s="173">
        <f t="shared" si="155"/>
        <v>0.24677112151281916</v>
      </c>
      <c r="BD62" s="173"/>
      <c r="BE62" s="528">
        <f t="shared" si="31"/>
        <v>1.306076029819643E-2</v>
      </c>
      <c r="BF62" s="528">
        <f t="shared" si="156"/>
        <v>0.60217309746297287</v>
      </c>
      <c r="BG62" s="528">
        <f t="shared" si="157"/>
        <v>0.20936674505530475</v>
      </c>
      <c r="BH62" s="528">
        <f t="shared" si="34"/>
        <v>5.9006346594766536E-2</v>
      </c>
      <c r="BI62">
        <f t="shared" si="35"/>
        <v>1.0767432602844244E-2</v>
      </c>
      <c r="BJ62" s="460">
        <f t="shared" si="101"/>
        <v>220.13417765814899</v>
      </c>
      <c r="BK62">
        <f t="shared" si="158"/>
        <v>0.67987642708029494</v>
      </c>
      <c r="BL62" s="460">
        <f t="shared" si="102"/>
        <v>679.87642708029489</v>
      </c>
      <c r="BM62" s="173">
        <f t="shared" si="159"/>
        <v>0.35411249999999994</v>
      </c>
      <c r="BN62" s="173">
        <f t="shared" si="160"/>
        <v>6.3234374999999995E-2</v>
      </c>
      <c r="BO62" s="528"/>
      <c r="BQ62" s="460">
        <f t="shared" si="103"/>
        <v>417.34687499999995</v>
      </c>
      <c r="BR62" s="528">
        <f t="shared" si="39"/>
        <v>1.9591140447294646E-2</v>
      </c>
      <c r="BS62" s="528">
        <f t="shared" si="104"/>
        <v>3.0351716695562476E-2</v>
      </c>
      <c r="BT62" s="528">
        <f t="shared" si="161"/>
        <v>3.0447993206347281E-4</v>
      </c>
      <c r="BU62" s="528">
        <f t="shared" si="41"/>
        <v>0.85552330628074102</v>
      </c>
      <c r="BV62" s="528">
        <f t="shared" si="162"/>
        <v>0.9215343761275151</v>
      </c>
      <c r="BW62" s="625">
        <f t="shared" si="163"/>
        <v>8.7399999999999978E-3</v>
      </c>
      <c r="BX62" s="460">
        <f t="shared" si="105"/>
        <v>930.2743761275151</v>
      </c>
      <c r="BY62" s="173">
        <f t="shared" si="106"/>
        <v>2.0274976782078098</v>
      </c>
      <c r="BZ62" s="5">
        <f t="shared" si="107"/>
        <v>10.488</v>
      </c>
      <c r="CA62" s="173">
        <f t="shared" si="108"/>
        <v>0.83800103437052109</v>
      </c>
      <c r="CB62" s="5">
        <f t="shared" si="109"/>
        <v>83.800103437052115</v>
      </c>
      <c r="CC62">
        <f t="shared" si="173"/>
        <v>56.999999999999993</v>
      </c>
      <c r="CE62" s="562">
        <f t="shared" si="164"/>
        <v>-50</v>
      </c>
      <c r="CF62">
        <f t="shared" si="165"/>
        <v>-50</v>
      </c>
      <c r="CG62" s="173">
        <f t="shared" si="166"/>
        <v>0.53385391260156567</v>
      </c>
      <c r="CH62" s="173">
        <f t="shared" si="167"/>
        <v>0.18653504131242182</v>
      </c>
      <c r="CI62" s="170">
        <v>57</v>
      </c>
      <c r="CJ62" s="217">
        <f t="shared" si="133"/>
        <v>0.56999999999999995</v>
      </c>
      <c r="CK62" s="217">
        <f t="shared" si="111"/>
        <v>0.14249999999999999</v>
      </c>
      <c r="CL62" s="217">
        <f t="shared" si="48"/>
        <v>9.347999999999999</v>
      </c>
      <c r="CM62" s="217">
        <f t="shared" si="134"/>
        <v>1.1399999999999999</v>
      </c>
      <c r="CN62" s="541">
        <f t="shared" si="112"/>
        <v>24</v>
      </c>
      <c r="CO62" s="443">
        <f t="shared" si="168"/>
        <v>17.099999999999998</v>
      </c>
      <c r="CP62" s="443">
        <f t="shared" si="169"/>
        <v>41.099999999999994</v>
      </c>
      <c r="CQ62" s="443"/>
      <c r="CR62" s="217">
        <f t="shared" si="113"/>
        <v>0.41176470588235292</v>
      </c>
      <c r="CS62" s="172">
        <f t="shared" si="114"/>
        <v>29.36061381074169</v>
      </c>
      <c r="CT62" s="172">
        <f t="shared" si="51"/>
        <v>4.0172166427546641</v>
      </c>
      <c r="CU62" s="217">
        <f t="shared" si="52"/>
        <v>1.7902813299232738</v>
      </c>
      <c r="CV62" s="217">
        <f t="shared" si="53"/>
        <v>3.6700767263427112</v>
      </c>
      <c r="CW62" s="443">
        <f t="shared" si="54"/>
        <v>16.399999999999999</v>
      </c>
      <c r="CX62" s="217">
        <f t="shared" si="55"/>
        <v>2.1225714285714283</v>
      </c>
      <c r="CY62" s="217">
        <f t="shared" si="56"/>
        <v>1.0612857142857142</v>
      </c>
      <c r="CZ62" s="217">
        <f t="shared" si="57"/>
        <v>1.4895238095238095</v>
      </c>
      <c r="DA62" s="197">
        <f t="shared" si="58"/>
        <v>350</v>
      </c>
      <c r="DB62" s="443">
        <f t="shared" si="115"/>
        <v>350</v>
      </c>
      <c r="DD62" s="217">
        <f t="shared" si="59"/>
        <v>2.377476538060479</v>
      </c>
      <c r="DE62" s="173">
        <f t="shared" si="60"/>
        <v>1.668404588112617</v>
      </c>
      <c r="DF62" s="173">
        <f t="shared" si="61"/>
        <v>0.69415373374028577</v>
      </c>
      <c r="DG62" s="173"/>
      <c r="DH62" s="173">
        <f t="shared" si="62"/>
        <v>0.93567251461988332</v>
      </c>
      <c r="DI62" s="545">
        <f t="shared" si="63"/>
        <v>913.78124999999955</v>
      </c>
      <c r="DJ62" s="528">
        <f t="shared" si="64"/>
        <v>0.21832358674463945</v>
      </c>
      <c r="DL62" s="173">
        <f t="shared" si="65"/>
        <v>2.2347898590887048</v>
      </c>
      <c r="DM62" s="173">
        <f t="shared" si="66"/>
        <v>2.2347898590887048</v>
      </c>
      <c r="DN62" s="173">
        <f t="shared" si="67"/>
        <v>1.8677455746336082</v>
      </c>
      <c r="DP62" s="545">
        <f t="shared" si="68"/>
        <v>570</v>
      </c>
      <c r="DQ62" s="460">
        <f t="shared" si="69"/>
        <v>350</v>
      </c>
      <c r="DS62">
        <f t="shared" si="116"/>
        <v>570</v>
      </c>
      <c r="DT62">
        <f t="shared" si="70"/>
        <v>350</v>
      </c>
      <c r="DV62" s="5">
        <f t="shared" si="117"/>
        <v>2.8571428571428572</v>
      </c>
      <c r="DW62" s="5">
        <f t="shared" si="71"/>
        <v>1.1173949295443526</v>
      </c>
      <c r="DX62" s="5">
        <f t="shared" si="118"/>
        <v>1.7397479275985046</v>
      </c>
      <c r="DY62" s="173">
        <f t="shared" si="119"/>
        <v>0.3910882253405234</v>
      </c>
      <c r="EA62" s="5">
        <f t="shared" si="72"/>
        <v>3.8836287185382989</v>
      </c>
      <c r="EB62" s="5">
        <f t="shared" si="73"/>
        <v>1.9903597182508777</v>
      </c>
      <c r="EC62" s="5">
        <f t="shared" si="74"/>
        <v>0.56469318149968117</v>
      </c>
      <c r="ED62" s="5"/>
      <c r="EE62" s="173">
        <f t="shared" si="120"/>
        <v>0.80688833115112191</v>
      </c>
      <c r="EF62" s="173">
        <f t="shared" si="75"/>
        <v>1.0068232843026932</v>
      </c>
      <c r="EG62" s="173">
        <f t="shared" si="76"/>
        <v>0.24701116444155022</v>
      </c>
      <c r="EH62" s="173"/>
      <c r="EI62" s="528">
        <f t="shared" si="77"/>
        <v>1.3021375578956851E-2</v>
      </c>
      <c r="EJ62" s="528">
        <f t="shared" si="78"/>
        <v>0.64294904245982032</v>
      </c>
      <c r="EK62" s="528">
        <f t="shared" si="79"/>
        <v>4.3749999999999997E-2</v>
      </c>
      <c r="EL62" s="528">
        <f t="shared" si="80"/>
        <v>5.9122349999999983E-2</v>
      </c>
      <c r="EM62">
        <f t="shared" si="81"/>
        <v>1.0800000000000001E-2</v>
      </c>
      <c r="EN62" s="460">
        <f t="shared" si="121"/>
        <v>54.550000000000004</v>
      </c>
      <c r="EO62">
        <f t="shared" si="82"/>
        <v>0.77555802199665091</v>
      </c>
      <c r="EP62" s="460">
        <f t="shared" si="122"/>
        <v>775.55802199665095</v>
      </c>
      <c r="EQ62" s="173">
        <f t="shared" si="83"/>
        <v>0.35411249999999994</v>
      </c>
      <c r="ER62" s="173">
        <f t="shared" si="170"/>
        <v>6.3234374999999995E-2</v>
      </c>
      <c r="ES62" s="528"/>
      <c r="EU62" s="460">
        <f t="shared" si="123"/>
        <v>417.34687499999995</v>
      </c>
      <c r="EV62" s="528">
        <f t="shared" si="85"/>
        <v>1.9532063368435274E-2</v>
      </c>
      <c r="EW62" s="528">
        <f t="shared" si="124"/>
        <v>3.0410793774421851E-2</v>
      </c>
      <c r="EX62" s="528">
        <f t="shared" si="86"/>
        <v>3.0507257679385279E-4</v>
      </c>
      <c r="EY62" s="528">
        <f t="shared" si="87"/>
        <v>0.85552330628074102</v>
      </c>
      <c r="EZ62" s="528">
        <f t="shared" si="88"/>
        <v>0.9215351578407377</v>
      </c>
      <c r="FA62" s="625">
        <f t="shared" si="89"/>
        <v>8.7399999999999978E-3</v>
      </c>
      <c r="FB62" s="460">
        <f t="shared" si="125"/>
        <v>930.27515784073762</v>
      </c>
      <c r="FC62" s="173">
        <f t="shared" si="126"/>
        <v>2.1231800548373885</v>
      </c>
      <c r="FD62" s="5">
        <f t="shared" si="127"/>
        <v>10.488</v>
      </c>
      <c r="FE62" s="173">
        <f t="shared" si="128"/>
        <v>0.83164303058039524</v>
      </c>
      <c r="FF62" s="5">
        <f t="shared" si="129"/>
        <v>83.164303058039522</v>
      </c>
      <c r="FG62">
        <f t="shared" si="130"/>
        <v>56.999999999999993</v>
      </c>
      <c r="FI62" s="562">
        <f t="shared" si="90"/>
        <v>-50</v>
      </c>
      <c r="FJ62">
        <f t="shared" si="91"/>
        <v>-50</v>
      </c>
      <c r="FL62">
        <f t="shared" si="92"/>
        <v>0.53385391260156556</v>
      </c>
    </row>
    <row r="63" spans="5:168">
      <c r="E63" s="170">
        <v>58</v>
      </c>
      <c r="F63" s="217">
        <f t="shared" si="174"/>
        <v>0.57999999999999996</v>
      </c>
      <c r="G63" s="217">
        <f t="shared" si="171"/>
        <v>0.14499999999999999</v>
      </c>
      <c r="H63" s="217">
        <f t="shared" si="135"/>
        <v>9.5119999999999987</v>
      </c>
      <c r="I63" s="217">
        <f t="shared" si="175"/>
        <v>1.1599999999999999</v>
      </c>
      <c r="J63" s="541">
        <f t="shared" si="136"/>
        <v>23.926995924505729</v>
      </c>
      <c r="K63" s="443">
        <f t="shared" si="137"/>
        <v>17.132310988842804</v>
      </c>
      <c r="L63" s="172">
        <f t="shared" si="138"/>
        <v>41.059306913348536</v>
      </c>
      <c r="M63" s="443"/>
      <c r="N63" s="217">
        <f t="shared" si="139"/>
        <v>0.41725767619504128</v>
      </c>
      <c r="O63" s="172">
        <f t="shared" si="172"/>
        <v>29.661784886180207</v>
      </c>
      <c r="P63" s="172">
        <f t="shared" si="140"/>
        <v>4.0584238690193031</v>
      </c>
      <c r="Q63" s="217">
        <f t="shared" si="6"/>
        <v>1.8086454198890372</v>
      </c>
      <c r="R63" s="217">
        <f t="shared" si="141"/>
        <v>3.7077231107725259</v>
      </c>
      <c r="S63" s="443">
        <f t="shared" si="142"/>
        <v>16.399999999999999</v>
      </c>
      <c r="T63" s="217">
        <f t="shared" si="143"/>
        <v>2.13787988742641</v>
      </c>
      <c r="U63" s="217">
        <f t="shared" si="10"/>
        <v>1.072201405059874</v>
      </c>
      <c r="V63" s="217">
        <f t="shared" si="11"/>
        <v>1.4974371330186642</v>
      </c>
      <c r="W63" s="197">
        <f t="shared" si="12"/>
        <v>350</v>
      </c>
      <c r="X63" s="443">
        <f t="shared" si="95"/>
        <v>350</v>
      </c>
      <c r="Z63" s="217">
        <f t="shared" si="13"/>
        <v>2.3770768375684486</v>
      </c>
      <c r="AA63" s="173">
        <f t="shared" si="14"/>
        <v>1.6649780680141675</v>
      </c>
      <c r="AB63" s="173">
        <f t="shared" si="144"/>
        <v>0.69261164009378995</v>
      </c>
      <c r="AC63" s="173"/>
      <c r="AD63" s="173">
        <f t="shared" si="16"/>
        <v>0.93390786627792344</v>
      </c>
      <c r="AE63" s="545">
        <f t="shared" si="145"/>
        <v>931.56941001832706</v>
      </c>
      <c r="AF63" s="528">
        <f t="shared" si="146"/>
        <v>0.21791183546484882</v>
      </c>
      <c r="AH63" s="173">
        <f t="shared" si="147"/>
        <v>2.2543080450339437</v>
      </c>
      <c r="AI63" s="173">
        <f t="shared" si="148"/>
        <v>2.2543080450339437</v>
      </c>
      <c r="AJ63" s="173">
        <f t="shared" si="149"/>
        <v>1.8822034901486</v>
      </c>
      <c r="AL63" s="545">
        <f t="shared" si="150"/>
        <v>580</v>
      </c>
      <c r="AM63" s="460">
        <f t="shared" si="151"/>
        <v>350</v>
      </c>
      <c r="AO63">
        <f t="shared" si="96"/>
        <v>580</v>
      </c>
      <c r="AP63">
        <f t="shared" si="24"/>
        <v>350</v>
      </c>
      <c r="AR63" s="5">
        <f t="shared" si="97"/>
        <v>2.8571428571428572</v>
      </c>
      <c r="AS63" s="5">
        <f t="shared" si="25"/>
        <v>1.1305931018570248</v>
      </c>
      <c r="AT63" s="5">
        <f t="shared" si="98"/>
        <v>1.7265497552858324</v>
      </c>
      <c r="AU63" s="173">
        <f t="shared" si="99"/>
        <v>0.39570758564995867</v>
      </c>
      <c r="AW63" s="5">
        <f t="shared" si="152"/>
        <v>3.9984390187626491</v>
      </c>
      <c r="AX63" s="5">
        <f t="shared" si="153"/>
        <v>2.0491999971158577</v>
      </c>
      <c r="AY63" s="5">
        <f t="shared" si="28"/>
        <v>0.57198088873116271</v>
      </c>
      <c r="AZ63" s="5"/>
      <c r="BA63" s="173">
        <f t="shared" si="100"/>
        <v>0.81872833586327864</v>
      </c>
      <c r="BB63" s="173">
        <f t="shared" si="154"/>
        <v>1.0117569698414732</v>
      </c>
      <c r="BC63" s="173">
        <f t="shared" si="155"/>
        <v>0.24822158083628681</v>
      </c>
      <c r="BD63" s="173"/>
      <c r="BE63" s="528">
        <f t="shared" si="31"/>
        <v>1.3406321758909073E-2</v>
      </c>
      <c r="BF63" s="528">
        <f t="shared" si="156"/>
        <v>0.60742713870745879</v>
      </c>
      <c r="BG63" s="528">
        <f t="shared" si="157"/>
        <v>0.20936121433942509</v>
      </c>
      <c r="BH63" s="528">
        <f t="shared" si="34"/>
        <v>5.9005333947159282E-2</v>
      </c>
      <c r="BI63">
        <f t="shared" si="35"/>
        <v>1.0767148166027578E-2</v>
      </c>
      <c r="BJ63" s="460">
        <f t="shared" si="101"/>
        <v>220.12836250545269</v>
      </c>
      <c r="BK63">
        <f t="shared" si="158"/>
        <v>0.68564250719782016</v>
      </c>
      <c r="BL63" s="460">
        <f t="shared" si="102"/>
        <v>685.64250719782012</v>
      </c>
      <c r="BM63" s="173">
        <f t="shared" si="159"/>
        <v>0.36032499999999995</v>
      </c>
      <c r="BN63" s="173">
        <f t="shared" si="160"/>
        <v>6.4343749999999991E-2</v>
      </c>
      <c r="BO63" s="528"/>
      <c r="BQ63" s="460">
        <f t="shared" si="103"/>
        <v>424.66874999999993</v>
      </c>
      <c r="BR63" s="528">
        <f t="shared" si="39"/>
        <v>2.0109482638363606E-2</v>
      </c>
      <c r="BS63" s="528">
        <f t="shared" si="104"/>
        <v>3.0709564980683991E-2</v>
      </c>
      <c r="BT63" s="528">
        <f t="shared" si="161"/>
        <v>3.0806976596432637E-4</v>
      </c>
      <c r="BU63" s="528">
        <f t="shared" si="41"/>
        <v>0.87432574680093555</v>
      </c>
      <c r="BV63" s="528">
        <f t="shared" si="162"/>
        <v>0.94157457185129301</v>
      </c>
      <c r="BW63" s="625">
        <f t="shared" si="163"/>
        <v>8.893333333333333E-3</v>
      </c>
      <c r="BX63" s="460">
        <f t="shared" si="105"/>
        <v>950.46790518462626</v>
      </c>
      <c r="BY63" s="173">
        <f t="shared" si="106"/>
        <v>2.0607791623824463</v>
      </c>
      <c r="BZ63" s="5">
        <f t="shared" si="107"/>
        <v>10.671999999999999</v>
      </c>
      <c r="CA63" s="173">
        <f t="shared" si="108"/>
        <v>0.83815166067822922</v>
      </c>
      <c r="CB63" s="5">
        <f t="shared" si="109"/>
        <v>83.815166067822915</v>
      </c>
      <c r="CC63">
        <f t="shared" si="173"/>
        <v>57.999999999999993</v>
      </c>
      <c r="CE63" s="562">
        <f t="shared" si="164"/>
        <v>-50</v>
      </c>
      <c r="CF63">
        <f t="shared" si="165"/>
        <v>-50</v>
      </c>
      <c r="CG63" s="173">
        <f t="shared" si="166"/>
        <v>0.53851648071345037</v>
      </c>
      <c r="CH63" s="173">
        <f t="shared" si="167"/>
        <v>0.18816419924278907</v>
      </c>
      <c r="CI63" s="170">
        <v>58</v>
      </c>
      <c r="CJ63" s="217">
        <f t="shared" si="133"/>
        <v>0.57999999999999996</v>
      </c>
      <c r="CK63" s="217">
        <f t="shared" si="111"/>
        <v>0.14499999999999999</v>
      </c>
      <c r="CL63" s="217">
        <f t="shared" si="48"/>
        <v>9.5119999999999987</v>
      </c>
      <c r="CM63" s="217">
        <f t="shared" si="134"/>
        <v>1.1599999999999999</v>
      </c>
      <c r="CN63" s="541">
        <f t="shared" si="112"/>
        <v>24</v>
      </c>
      <c r="CO63" s="443">
        <f t="shared" si="168"/>
        <v>17.099999999999998</v>
      </c>
      <c r="CP63" s="443">
        <f t="shared" si="169"/>
        <v>41.099999999999994</v>
      </c>
      <c r="CQ63" s="443"/>
      <c r="CR63" s="217">
        <f t="shared" si="113"/>
        <v>0.41176470588235292</v>
      </c>
      <c r="CS63" s="172">
        <f t="shared" si="114"/>
        <v>29.36061381074169</v>
      </c>
      <c r="CT63" s="172">
        <f t="shared" si="51"/>
        <v>4.0172166427546641</v>
      </c>
      <c r="CU63" s="217">
        <f t="shared" si="52"/>
        <v>1.7902813299232738</v>
      </c>
      <c r="CV63" s="217">
        <f t="shared" si="53"/>
        <v>3.6700767263427112</v>
      </c>
      <c r="CW63" s="443">
        <f t="shared" si="54"/>
        <v>16.399999999999999</v>
      </c>
      <c r="CX63" s="217">
        <f t="shared" si="55"/>
        <v>2.1598095238095234</v>
      </c>
      <c r="CY63" s="217">
        <f t="shared" si="56"/>
        <v>1.0799047619047617</v>
      </c>
      <c r="CZ63" s="217">
        <f t="shared" si="57"/>
        <v>1.5156558061821219</v>
      </c>
      <c r="DA63" s="197">
        <f t="shared" si="58"/>
        <v>350</v>
      </c>
      <c r="DB63" s="443">
        <f t="shared" si="115"/>
        <v>350</v>
      </c>
      <c r="DD63" s="217">
        <f t="shared" si="59"/>
        <v>2.377476538060479</v>
      </c>
      <c r="DE63" s="173">
        <f t="shared" si="60"/>
        <v>1.668404588112617</v>
      </c>
      <c r="DF63" s="173">
        <f t="shared" si="61"/>
        <v>0.69415373374028577</v>
      </c>
      <c r="DG63" s="173"/>
      <c r="DH63" s="173">
        <f t="shared" si="62"/>
        <v>0.93567251461988332</v>
      </c>
      <c r="DI63" s="545">
        <f t="shared" si="63"/>
        <v>929.81249999999955</v>
      </c>
      <c r="DJ63" s="528">
        <f t="shared" si="64"/>
        <v>0.21832358674463945</v>
      </c>
      <c r="DL63" s="173">
        <f t="shared" si="65"/>
        <v>2.2543080450339437</v>
      </c>
      <c r="DM63" s="173">
        <f t="shared" si="66"/>
        <v>2.2543080450339437</v>
      </c>
      <c r="DN63" s="173">
        <f t="shared" si="67"/>
        <v>1.8822034901486</v>
      </c>
      <c r="DP63" s="545">
        <f t="shared" si="68"/>
        <v>580</v>
      </c>
      <c r="DQ63" s="460">
        <f t="shared" si="69"/>
        <v>350</v>
      </c>
      <c r="DS63">
        <f t="shared" si="116"/>
        <v>580</v>
      </c>
      <c r="DT63">
        <f t="shared" si="70"/>
        <v>350</v>
      </c>
      <c r="DV63" s="5">
        <f t="shared" si="117"/>
        <v>2.8571428571428572</v>
      </c>
      <c r="DW63" s="5">
        <f t="shared" si="71"/>
        <v>1.1271540225169718</v>
      </c>
      <c r="DX63" s="5">
        <f t="shared" si="118"/>
        <v>1.7299888346258854</v>
      </c>
      <c r="DY63" s="173">
        <f t="shared" si="119"/>
        <v>0.39450390788094014</v>
      </c>
      <c r="EA63" s="5">
        <f t="shared" si="72"/>
        <v>3.9862764210966084</v>
      </c>
      <c r="EB63" s="5">
        <f t="shared" si="73"/>
        <v>2.0429666658120111</v>
      </c>
      <c r="EC63" s="5">
        <f t="shared" si="74"/>
        <v>0.57137686788060471</v>
      </c>
      <c r="ED63" s="5"/>
      <c r="EE63" s="173">
        <f t="shared" si="120"/>
        <v>0.81748216862310152</v>
      </c>
      <c r="EF63" s="173">
        <f t="shared" si="75"/>
        <v>1.0127641176263724</v>
      </c>
      <c r="EG63" s="173">
        <f t="shared" si="76"/>
        <v>0.24846867161278283</v>
      </c>
      <c r="EH63" s="173"/>
      <c r="EI63" s="528">
        <f t="shared" si="77"/>
        <v>1.3365541920334581E-2</v>
      </c>
      <c r="EJ63" s="528">
        <f t="shared" si="78"/>
        <v>0.64856442455626551</v>
      </c>
      <c r="EK63" s="528">
        <f t="shared" si="79"/>
        <v>4.3749999999999997E-2</v>
      </c>
      <c r="EL63" s="528">
        <f t="shared" si="80"/>
        <v>5.9122349999999983E-2</v>
      </c>
      <c r="EM63">
        <f t="shared" si="81"/>
        <v>1.0800000000000001E-2</v>
      </c>
      <c r="EN63" s="460">
        <f t="shared" si="121"/>
        <v>54.550000000000004</v>
      </c>
      <c r="EO63">
        <f t="shared" si="82"/>
        <v>0.78169339959720729</v>
      </c>
      <c r="EP63" s="460">
        <f t="shared" si="122"/>
        <v>781.6933995972073</v>
      </c>
      <c r="EQ63" s="173">
        <f t="shared" si="83"/>
        <v>0.36032499999999995</v>
      </c>
      <c r="ER63" s="173">
        <f t="shared" si="170"/>
        <v>6.4343749999999991E-2</v>
      </c>
      <c r="ES63" s="528"/>
      <c r="EU63" s="460">
        <f t="shared" si="123"/>
        <v>424.66874999999993</v>
      </c>
      <c r="EV63" s="528">
        <f t="shared" si="85"/>
        <v>2.0048312880501871E-2</v>
      </c>
      <c r="EW63" s="528">
        <f t="shared" si="124"/>
        <v>3.0770734738545739E-2</v>
      </c>
      <c r="EX63" s="528">
        <f t="shared" si="86"/>
        <v>3.0868340386510458E-4</v>
      </c>
      <c r="EY63" s="528">
        <f t="shared" si="87"/>
        <v>0.87432574680093555</v>
      </c>
      <c r="EZ63" s="528">
        <f t="shared" si="88"/>
        <v>0.9415753823000701</v>
      </c>
      <c r="FA63" s="625">
        <f t="shared" si="89"/>
        <v>8.893333333333333E-3</v>
      </c>
      <c r="FB63" s="460">
        <f t="shared" si="125"/>
        <v>950.46871563340335</v>
      </c>
      <c r="FC63" s="173">
        <f t="shared" si="126"/>
        <v>2.1568308652306105</v>
      </c>
      <c r="FD63" s="5">
        <f t="shared" si="127"/>
        <v>10.671999999999999</v>
      </c>
      <c r="FE63" s="173">
        <f t="shared" si="128"/>
        <v>0.83187627244535822</v>
      </c>
      <c r="FF63" s="5">
        <f t="shared" si="129"/>
        <v>83.187627244535818</v>
      </c>
      <c r="FG63">
        <f t="shared" si="130"/>
        <v>57.999999999999993</v>
      </c>
      <c r="FI63" s="562">
        <f t="shared" si="90"/>
        <v>-50</v>
      </c>
      <c r="FJ63">
        <f t="shared" si="91"/>
        <v>-50</v>
      </c>
      <c r="FL63">
        <f t="shared" si="92"/>
        <v>0.53851648071345037</v>
      </c>
    </row>
    <row r="64" spans="5:168">
      <c r="E64" s="170">
        <v>59</v>
      </c>
      <c r="F64" s="217">
        <f t="shared" si="174"/>
        <v>0.59</v>
      </c>
      <c r="G64" s="217">
        <f t="shared" si="171"/>
        <v>0.14749999999999999</v>
      </c>
      <c r="H64" s="217">
        <f t="shared" si="135"/>
        <v>9.6759999999999984</v>
      </c>
      <c r="I64" s="217">
        <f t="shared" si="175"/>
        <v>1.18</v>
      </c>
      <c r="J64" s="541">
        <f t="shared" si="136"/>
        <v>23.926369268587042</v>
      </c>
      <c r="K64" s="443">
        <f t="shared" si="137"/>
        <v>17.1325883414736</v>
      </c>
      <c r="L64" s="172">
        <f t="shared" si="138"/>
        <v>41.058957610060645</v>
      </c>
      <c r="M64" s="443"/>
      <c r="N64" s="217">
        <f t="shared" si="139"/>
        <v>0.41726798094054912</v>
      </c>
      <c r="O64" s="172">
        <f t="shared" si="172"/>
        <v>29.661740553158989</v>
      </c>
      <c r="P64" s="172">
        <f t="shared" si="140"/>
        <v>4.0584178032281786</v>
      </c>
      <c r="Q64" s="217">
        <f t="shared" si="6"/>
        <v>1.8086427166560362</v>
      </c>
      <c r="R64" s="217">
        <f t="shared" si="141"/>
        <v>3.7077175691448736</v>
      </c>
      <c r="S64" s="443">
        <f t="shared" si="142"/>
        <v>16.399999999999999</v>
      </c>
      <c r="T64" s="217">
        <f t="shared" si="143"/>
        <v>2.1747431358945208</v>
      </c>
      <c r="U64" s="217">
        <f t="shared" si="10"/>
        <v>1.0907178326047542</v>
      </c>
      <c r="V64" s="217">
        <f t="shared" si="11"/>
        <v>1.5232326319053795</v>
      </c>
      <c r="W64" s="197">
        <f t="shared" si="12"/>
        <v>350</v>
      </c>
      <c r="X64" s="443">
        <f t="shared" si="95"/>
        <v>350</v>
      </c>
      <c r="Z64" s="217">
        <f t="shared" si="13"/>
        <v>2.377073284747933</v>
      </c>
      <c r="AA64" s="173">
        <f t="shared" si="14"/>
        <v>1.6649486258841451</v>
      </c>
      <c r="AB64" s="173">
        <f t="shared" si="144"/>
        <v>0.69259835733672181</v>
      </c>
      <c r="AC64" s="173"/>
      <c r="AD64" s="173">
        <f t="shared" si="16"/>
        <v>0.93389274761643037</v>
      </c>
      <c r="AE64" s="545">
        <f t="shared" si="145"/>
        <v>947.64629263775817</v>
      </c>
      <c r="AF64" s="528">
        <f t="shared" si="146"/>
        <v>0.2179083077771671</v>
      </c>
      <c r="AH64" s="173">
        <f t="shared" si="147"/>
        <v>2.2736586836031059</v>
      </c>
      <c r="AI64" s="173">
        <f t="shared" si="148"/>
        <v>2.2736586836031059</v>
      </c>
      <c r="AJ64" s="173">
        <f t="shared" si="149"/>
        <v>1.8965372964961276</v>
      </c>
      <c r="AL64" s="545">
        <f t="shared" si="150"/>
        <v>590</v>
      </c>
      <c r="AM64" s="460">
        <f t="shared" si="151"/>
        <v>350</v>
      </c>
      <c r="AO64">
        <f t="shared" si="96"/>
        <v>590</v>
      </c>
      <c r="AP64">
        <f t="shared" si="24"/>
        <v>350</v>
      </c>
      <c r="AR64" s="5">
        <f t="shared" si="97"/>
        <v>2.8571428571428572</v>
      </c>
      <c r="AS64" s="5">
        <f t="shared" si="25"/>
        <v>1.1403278072389504</v>
      </c>
      <c r="AT64" s="5">
        <f t="shared" si="98"/>
        <v>1.7168150499039068</v>
      </c>
      <c r="AU64" s="173">
        <f t="shared" si="99"/>
        <v>0.39911473253363267</v>
      </c>
      <c r="AW64" s="5">
        <f t="shared" si="152"/>
        <v>4.1023988187254927</v>
      </c>
      <c r="AX64" s="5">
        <f t="shared" si="153"/>
        <v>2.102479394596815</v>
      </c>
      <c r="AY64" s="5">
        <f t="shared" si="28"/>
        <v>0.57857721176414834</v>
      </c>
      <c r="AZ64" s="5"/>
      <c r="BA64" s="173">
        <f t="shared" si="100"/>
        <v>0.82930354566635023</v>
      </c>
      <c r="BB64" s="173">
        <f t="shared" si="154"/>
        <v>1.017560923148989</v>
      </c>
      <c r="BC64" s="173">
        <f t="shared" si="155"/>
        <v>0.24964550625319523</v>
      </c>
      <c r="BD64" s="173"/>
      <c r="BE64" s="528">
        <f t="shared" si="31"/>
        <v>1.3754887417095605E-2</v>
      </c>
      <c r="BF64" s="528">
        <f t="shared" si="156"/>
        <v>0.61263598928310325</v>
      </c>
      <c r="BG64" s="528">
        <f t="shared" si="157"/>
        <v>0.20935573110013658</v>
      </c>
      <c r="BH64" s="528">
        <f t="shared" si="34"/>
        <v>5.9004330000866495E-2</v>
      </c>
      <c r="BI64">
        <f t="shared" si="35"/>
        <v>1.0766866170864168E-2</v>
      </c>
      <c r="BJ64" s="460">
        <f t="shared" si="101"/>
        <v>220.12259727100076</v>
      </c>
      <c r="BK64">
        <f t="shared" si="158"/>
        <v>0.69136853014357458</v>
      </c>
      <c r="BL64" s="460">
        <f t="shared" si="102"/>
        <v>691.36853014357462</v>
      </c>
      <c r="BM64" s="173">
        <f t="shared" si="159"/>
        <v>0.36653749999999996</v>
      </c>
      <c r="BN64" s="173">
        <f t="shared" si="160"/>
        <v>6.5453124999999987E-2</v>
      </c>
      <c r="BO64" s="528"/>
      <c r="BQ64" s="460">
        <f t="shared" si="103"/>
        <v>431.99062499999997</v>
      </c>
      <c r="BR64" s="528">
        <f t="shared" si="39"/>
        <v>2.0632331125643406E-2</v>
      </c>
      <c r="BS64" s="528">
        <f t="shared" si="104"/>
        <v>3.1062906969594684E-2</v>
      </c>
      <c r="BT64" s="528">
        <f t="shared" si="161"/>
        <v>3.1161439396207069E-4</v>
      </c>
      <c r="BU64" s="528">
        <f t="shared" si="41"/>
        <v>0.89320941076949811</v>
      </c>
      <c r="BV64" s="528">
        <f t="shared" si="162"/>
        <v>0.96169910332857078</v>
      </c>
      <c r="BW64" s="625">
        <f t="shared" si="163"/>
        <v>9.0466666666666647E-3</v>
      </c>
      <c r="BX64" s="460">
        <f t="shared" si="105"/>
        <v>970.74576999523742</v>
      </c>
      <c r="BY64" s="173">
        <f t="shared" si="106"/>
        <v>2.094104925138812</v>
      </c>
      <c r="BZ64" s="5">
        <f t="shared" si="107"/>
        <v>10.855999999999998</v>
      </c>
      <c r="CA64" s="173">
        <f t="shared" si="108"/>
        <v>0.83829436616581199</v>
      </c>
      <c r="CB64" s="5">
        <f t="shared" si="109"/>
        <v>83.829436616581205</v>
      </c>
      <c r="CC64">
        <f t="shared" si="173"/>
        <v>59</v>
      </c>
      <c r="CE64" s="562">
        <f t="shared" si="164"/>
        <v>-50</v>
      </c>
      <c r="CF64">
        <f t="shared" si="165"/>
        <v>-50</v>
      </c>
      <c r="CG64" s="173">
        <f t="shared" si="166"/>
        <v>0.54313902456001084</v>
      </c>
      <c r="CH64" s="173">
        <f t="shared" si="167"/>
        <v>0.18977937220871272</v>
      </c>
      <c r="CI64" s="170">
        <v>59</v>
      </c>
      <c r="CJ64" s="217">
        <f t="shared" si="133"/>
        <v>0.59</v>
      </c>
      <c r="CK64" s="217">
        <f t="shared" si="111"/>
        <v>0.14749999999999999</v>
      </c>
      <c r="CL64" s="217">
        <f t="shared" si="48"/>
        <v>9.6759999999999984</v>
      </c>
      <c r="CM64" s="217">
        <f t="shared" si="134"/>
        <v>1.18</v>
      </c>
      <c r="CN64" s="541">
        <f t="shared" si="112"/>
        <v>24</v>
      </c>
      <c r="CO64" s="443">
        <f t="shared" si="168"/>
        <v>17.099999999999998</v>
      </c>
      <c r="CP64" s="443">
        <f t="shared" si="169"/>
        <v>41.099999999999994</v>
      </c>
      <c r="CQ64" s="443"/>
      <c r="CR64" s="217">
        <f t="shared" si="113"/>
        <v>0.41176470588235292</v>
      </c>
      <c r="CS64" s="172">
        <f t="shared" si="114"/>
        <v>29.36061381074169</v>
      </c>
      <c r="CT64" s="172">
        <f t="shared" si="51"/>
        <v>4.0172166427546641</v>
      </c>
      <c r="CU64" s="217">
        <f t="shared" si="52"/>
        <v>1.7902813299232738</v>
      </c>
      <c r="CV64" s="217">
        <f t="shared" si="53"/>
        <v>3.6700767263427112</v>
      </c>
      <c r="CW64" s="443">
        <f t="shared" si="54"/>
        <v>16.399999999999999</v>
      </c>
      <c r="CX64" s="217">
        <f t="shared" si="55"/>
        <v>2.1970476190476185</v>
      </c>
      <c r="CY64" s="217">
        <f t="shared" si="56"/>
        <v>1.0985238095238092</v>
      </c>
      <c r="CZ64" s="217">
        <f t="shared" si="57"/>
        <v>1.5417878028404344</v>
      </c>
      <c r="DA64" s="197">
        <f t="shared" si="58"/>
        <v>350</v>
      </c>
      <c r="DB64" s="443">
        <f t="shared" si="115"/>
        <v>350</v>
      </c>
      <c r="DD64" s="217">
        <f t="shared" si="59"/>
        <v>2.377476538060479</v>
      </c>
      <c r="DE64" s="173">
        <f t="shared" si="60"/>
        <v>1.668404588112617</v>
      </c>
      <c r="DF64" s="173">
        <f t="shared" si="61"/>
        <v>0.69415373374028577</v>
      </c>
      <c r="DG64" s="173"/>
      <c r="DH64" s="173">
        <f t="shared" si="62"/>
        <v>0.93567251461988332</v>
      </c>
      <c r="DI64" s="545">
        <f t="shared" si="63"/>
        <v>945.84374999999955</v>
      </c>
      <c r="DJ64" s="528">
        <f t="shared" si="64"/>
        <v>0.21832358674463945</v>
      </c>
      <c r="DL64" s="173">
        <f t="shared" si="65"/>
        <v>2.2736586836031059</v>
      </c>
      <c r="DM64" s="173">
        <f t="shared" si="66"/>
        <v>2.2736586836031059</v>
      </c>
      <c r="DN64" s="173">
        <f t="shared" si="67"/>
        <v>1.8965372964961276</v>
      </c>
      <c r="DP64" s="545">
        <f t="shared" si="68"/>
        <v>590</v>
      </c>
      <c r="DQ64" s="460">
        <f t="shared" si="69"/>
        <v>350</v>
      </c>
      <c r="DS64">
        <f t="shared" si="116"/>
        <v>590</v>
      </c>
      <c r="DT64">
        <f t="shared" si="70"/>
        <v>350</v>
      </c>
      <c r="DV64" s="5">
        <f t="shared" si="117"/>
        <v>2.8571428571428572</v>
      </c>
      <c r="DW64" s="5">
        <f t="shared" si="71"/>
        <v>1.1368293418015529</v>
      </c>
      <c r="DX64" s="5">
        <f t="shared" si="118"/>
        <v>1.7203135153413043</v>
      </c>
      <c r="DY64" s="173">
        <f t="shared" si="119"/>
        <v>0.39789026963054352</v>
      </c>
      <c r="EA64" s="5">
        <f t="shared" si="72"/>
        <v>4.0898128759933927</v>
      </c>
      <c r="EB64" s="5">
        <f t="shared" si="73"/>
        <v>2.0960290989466133</v>
      </c>
      <c r="EC64" s="5">
        <f t="shared" si="74"/>
        <v>0.57797755466814082</v>
      </c>
      <c r="ED64" s="5"/>
      <c r="EE64" s="173">
        <f t="shared" si="120"/>
        <v>0.8280304387386056</v>
      </c>
      <c r="EF64" s="173">
        <f t="shared" si="75"/>
        <v>1.0185971704736643</v>
      </c>
      <c r="EG64" s="173">
        <f t="shared" si="76"/>
        <v>0.24989973622811562</v>
      </c>
      <c r="EH64" s="173"/>
      <c r="EI64" s="528">
        <f t="shared" si="77"/>
        <v>1.3712688149552954E-2</v>
      </c>
      <c r="EJ64" s="528">
        <f t="shared" si="78"/>
        <v>0.65413160327261344</v>
      </c>
      <c r="EK64" s="528">
        <f t="shared" si="79"/>
        <v>4.3749999999999997E-2</v>
      </c>
      <c r="EL64" s="528">
        <f t="shared" si="80"/>
        <v>5.9122349999999983E-2</v>
      </c>
      <c r="EM64">
        <f t="shared" si="81"/>
        <v>1.0800000000000001E-2</v>
      </c>
      <c r="EN64" s="460">
        <f t="shared" si="121"/>
        <v>54.550000000000004</v>
      </c>
      <c r="EO64">
        <f t="shared" si="82"/>
        <v>0.78778577941002204</v>
      </c>
      <c r="EP64" s="460">
        <f t="shared" si="122"/>
        <v>787.78577941002209</v>
      </c>
      <c r="EQ64" s="173">
        <f t="shared" si="83"/>
        <v>0.36653749999999996</v>
      </c>
      <c r="ER64" s="173">
        <f t="shared" si="170"/>
        <v>6.5453124999999987E-2</v>
      </c>
      <c r="ES64" s="528"/>
      <c r="EU64" s="460">
        <f t="shared" si="123"/>
        <v>431.99062499999997</v>
      </c>
      <c r="EV64" s="528">
        <f t="shared" si="85"/>
        <v>2.0569032224329431E-2</v>
      </c>
      <c r="EW64" s="528">
        <f t="shared" si="124"/>
        <v>3.1126205870908648E-2</v>
      </c>
      <c r="EX64" s="528">
        <f t="shared" si="86"/>
        <v>3.1224939083440885E-4</v>
      </c>
      <c r="EY64" s="528">
        <f t="shared" si="87"/>
        <v>0.89320941076949811</v>
      </c>
      <c r="EZ64" s="528">
        <f t="shared" si="88"/>
        <v>0.96169994307260431</v>
      </c>
      <c r="FA64" s="625">
        <f t="shared" si="89"/>
        <v>9.0466666666666647E-3</v>
      </c>
      <c r="FB64" s="460">
        <f t="shared" si="125"/>
        <v>970.74660973927098</v>
      </c>
      <c r="FC64" s="173">
        <f t="shared" si="126"/>
        <v>2.1905230141492931</v>
      </c>
      <c r="FD64" s="5">
        <f t="shared" si="127"/>
        <v>10.855999999999998</v>
      </c>
      <c r="FE64" s="173">
        <f t="shared" si="128"/>
        <v>0.832099095538818</v>
      </c>
      <c r="FF64" s="5">
        <f t="shared" si="129"/>
        <v>83.209909553881801</v>
      </c>
      <c r="FG64">
        <f t="shared" si="130"/>
        <v>59</v>
      </c>
      <c r="FI64" s="562">
        <f t="shared" si="90"/>
        <v>-50</v>
      </c>
      <c r="FJ64">
        <f t="shared" si="91"/>
        <v>-50</v>
      </c>
      <c r="FL64">
        <f t="shared" si="92"/>
        <v>0.54313902456001084</v>
      </c>
    </row>
    <row r="65" spans="5:168">
      <c r="E65" s="170">
        <v>60</v>
      </c>
      <c r="F65" s="217">
        <f t="shared" si="174"/>
        <v>0.6</v>
      </c>
      <c r="G65" s="217">
        <f t="shared" si="171"/>
        <v>0.15</v>
      </c>
      <c r="H65" s="217">
        <f t="shared" si="135"/>
        <v>9.8399999999999981</v>
      </c>
      <c r="I65" s="217">
        <f t="shared" si="175"/>
        <v>1.2</v>
      </c>
      <c r="J65" s="541">
        <f t="shared" si="136"/>
        <v>23.925747901187634</v>
      </c>
      <c r="K65" s="443">
        <f t="shared" si="137"/>
        <v>17.132863353450308</v>
      </c>
      <c r="L65" s="172">
        <f t="shared" si="138"/>
        <v>41.058611254637938</v>
      </c>
      <c r="M65" s="443"/>
      <c r="N65" s="217">
        <f t="shared" si="139"/>
        <v>0.41727819889463497</v>
      </c>
      <c r="O65" s="172">
        <f t="shared" si="172"/>
        <v>29.661696568695756</v>
      </c>
      <c r="P65" s="172">
        <f t="shared" si="140"/>
        <v>4.0584117851279142</v>
      </c>
      <c r="Q65" s="217">
        <f t="shared" si="6"/>
        <v>1.8086400346765708</v>
      </c>
      <c r="R65" s="217">
        <f t="shared" si="141"/>
        <v>3.7077120710869695</v>
      </c>
      <c r="S65" s="443">
        <f t="shared" si="142"/>
        <v>16.399999999999999</v>
      </c>
      <c r="T65" s="217">
        <f t="shared" si="143"/>
        <v>2.2116064685670289</v>
      </c>
      <c r="U65" s="217">
        <f t="shared" si="10"/>
        <v>1.1092350271519407</v>
      </c>
      <c r="V65" s="217">
        <f t="shared" si="11"/>
        <v>1.5490275662217154</v>
      </c>
      <c r="W65" s="197">
        <f t="shared" si="12"/>
        <v>350</v>
      </c>
      <c r="X65" s="443">
        <f t="shared" si="95"/>
        <v>349.86288604773813</v>
      </c>
      <c r="Z65" s="217">
        <f t="shared" si="13"/>
        <v>2.3770697598606354</v>
      </c>
      <c r="AA65" s="173">
        <f t="shared" si="14"/>
        <v>1.6649194317296148</v>
      </c>
      <c r="AB65" s="173">
        <f t="shared" si="144"/>
        <v>0.69258518590954365</v>
      </c>
      <c r="AC65" s="173"/>
      <c r="AD65" s="173">
        <f t="shared" si="16"/>
        <v>0.9338777570287361</v>
      </c>
      <c r="AE65" s="545">
        <f t="shared" si="145"/>
        <v>963.7235636315794</v>
      </c>
      <c r="AF65" s="528">
        <f t="shared" si="146"/>
        <v>0.21790480997337178</v>
      </c>
      <c r="AH65" s="173">
        <f t="shared" si="147"/>
        <v>2.2928460168844431</v>
      </c>
      <c r="AI65" s="173">
        <f t="shared" si="148"/>
        <v>2.2928460168844431</v>
      </c>
      <c r="AJ65" s="173">
        <f t="shared" si="149"/>
        <v>1.9107501359637848</v>
      </c>
      <c r="AL65" s="545">
        <f t="shared" si="150"/>
        <v>600</v>
      </c>
      <c r="AM65" s="460">
        <f t="shared" si="151"/>
        <v>349.86288604773813</v>
      </c>
      <c r="AO65">
        <f t="shared" si="96"/>
        <v>600</v>
      </c>
      <c r="AP65">
        <f t="shared" si="24"/>
        <v>349.86288604773813</v>
      </c>
      <c r="AR65" s="5">
        <f t="shared" si="97"/>
        <v>2.8582625933736563</v>
      </c>
      <c r="AS65" s="5">
        <f t="shared" si="25"/>
        <v>1.1499808623013854</v>
      </c>
      <c r="AT65" s="5">
        <f t="shared" si="98"/>
        <v>1.7082817310722709</v>
      </c>
      <c r="AU65" s="173">
        <f t="shared" si="99"/>
        <v>0.40233562338442924</v>
      </c>
      <c r="AW65" s="5">
        <f t="shared" si="152"/>
        <v>4.2072470572001919</v>
      </c>
      <c r="AX65" s="5">
        <f t="shared" si="153"/>
        <v>2.1562141168150974</v>
      </c>
      <c r="AY65" s="5">
        <f t="shared" si="28"/>
        <v>0.58547428705864146</v>
      </c>
      <c r="AZ65" s="5"/>
      <c r="BA65" s="173">
        <f t="shared" si="100"/>
        <v>0.83966974631886682</v>
      </c>
      <c r="BB65" s="173">
        <f t="shared" si="154"/>
        <v>1.0233941906703212</v>
      </c>
      <c r="BC65" s="173">
        <f t="shared" si="155"/>
        <v>0.25107662353604721</v>
      </c>
      <c r="BD65" s="173"/>
      <c r="BE65" s="528">
        <f t="shared" si="31"/>
        <v>1.4100905657663802E-2</v>
      </c>
      <c r="BF65" s="528">
        <f t="shared" si="156"/>
        <v>0.61755876733639514</v>
      </c>
      <c r="BG65" s="528">
        <f t="shared" si="157"/>
        <v>0.20926828028900296</v>
      </c>
      <c r="BH65" s="528">
        <f t="shared" si="34"/>
        <v>5.8980219734453831E-2</v>
      </c>
      <c r="BI65">
        <f t="shared" si="35"/>
        <v>1.0766586555534434E-2</v>
      </c>
      <c r="BJ65" s="460">
        <f t="shared" si="101"/>
        <v>220.03486684453742</v>
      </c>
      <c r="BK65">
        <f t="shared" si="158"/>
        <v>0.69678161709484576</v>
      </c>
      <c r="BL65" s="460">
        <f t="shared" si="102"/>
        <v>696.78161709484573</v>
      </c>
      <c r="BM65" s="173">
        <f t="shared" si="159"/>
        <v>0.37274999999999997</v>
      </c>
      <c r="BN65" s="173">
        <f t="shared" si="160"/>
        <v>6.6562499999999997E-2</v>
      </c>
      <c r="BO65" s="528"/>
      <c r="BQ65" s="460">
        <f t="shared" si="103"/>
        <v>439.3125</v>
      </c>
      <c r="BR65" s="528">
        <f t="shared" si="39"/>
        <v>2.1151358486495703E-2</v>
      </c>
      <c r="BS65" s="528">
        <f t="shared" si="104"/>
        <v>3.1420070084932854E-2</v>
      </c>
      <c r="BT65" s="528">
        <f t="shared" si="161"/>
        <v>3.1519735443130985E-4</v>
      </c>
      <c r="BU65" s="528">
        <f t="shared" si="41"/>
        <v>0.91128015671080453</v>
      </c>
      <c r="BV65" s="528">
        <f t="shared" si="162"/>
        <v>0.98101015824033688</v>
      </c>
      <c r="BW65" s="625">
        <f t="shared" si="163"/>
        <v>9.1963958618262575E-3</v>
      </c>
      <c r="BX65" s="460">
        <f t="shared" si="105"/>
        <v>990.20655410216318</v>
      </c>
      <c r="BY65" s="173">
        <f t="shared" si="106"/>
        <v>2.1263006711970087</v>
      </c>
      <c r="BZ65" s="5">
        <f t="shared" si="107"/>
        <v>11.039999999999997</v>
      </c>
      <c r="CA65" s="173">
        <f t="shared" si="108"/>
        <v>0.83850432066703684</v>
      </c>
      <c r="CB65" s="5">
        <f t="shared" si="109"/>
        <v>83.850432066703689</v>
      </c>
      <c r="CC65">
        <f t="shared" si="173"/>
        <v>60</v>
      </c>
      <c r="CE65" s="562">
        <f t="shared" si="164"/>
        <v>-50</v>
      </c>
      <c r="CF65">
        <f t="shared" si="165"/>
        <v>-50</v>
      </c>
      <c r="CG65" s="173">
        <f t="shared" si="166"/>
        <v>0.54772255750516619</v>
      </c>
      <c r="CH65" s="173">
        <f t="shared" si="167"/>
        <v>0.19138091429185466</v>
      </c>
      <c r="CI65" s="170">
        <v>60</v>
      </c>
      <c r="CJ65" s="217">
        <f t="shared" si="133"/>
        <v>0.6</v>
      </c>
      <c r="CK65" s="217">
        <f t="shared" si="111"/>
        <v>0.15</v>
      </c>
      <c r="CL65" s="217">
        <f t="shared" si="48"/>
        <v>9.8399999999999981</v>
      </c>
      <c r="CM65" s="217">
        <f t="shared" si="134"/>
        <v>1.2</v>
      </c>
      <c r="CN65" s="541">
        <f t="shared" si="112"/>
        <v>24</v>
      </c>
      <c r="CO65" s="443">
        <f t="shared" si="168"/>
        <v>17.099999999999998</v>
      </c>
      <c r="CP65" s="443">
        <f t="shared" si="169"/>
        <v>41.099999999999994</v>
      </c>
      <c r="CQ65" s="443"/>
      <c r="CR65" s="217">
        <f t="shared" si="113"/>
        <v>0.41176470588235292</v>
      </c>
      <c r="CS65" s="172">
        <f t="shared" si="114"/>
        <v>29.36061381074169</v>
      </c>
      <c r="CT65" s="172">
        <f t="shared" si="51"/>
        <v>4.0172166427546641</v>
      </c>
      <c r="CU65" s="217">
        <f t="shared" si="52"/>
        <v>1.7902813299232738</v>
      </c>
      <c r="CV65" s="217">
        <f t="shared" si="53"/>
        <v>3.6700767263427112</v>
      </c>
      <c r="CW65" s="443">
        <f t="shared" si="54"/>
        <v>16.399999999999999</v>
      </c>
      <c r="CX65" s="217">
        <f t="shared" si="55"/>
        <v>2.2342857142857135</v>
      </c>
      <c r="CY65" s="217">
        <f t="shared" si="56"/>
        <v>1.1171428571428568</v>
      </c>
      <c r="CZ65" s="217">
        <f t="shared" si="57"/>
        <v>1.5679197994987466</v>
      </c>
      <c r="DA65" s="197">
        <f t="shared" si="58"/>
        <v>350</v>
      </c>
      <c r="DB65" s="443">
        <f t="shared" si="115"/>
        <v>350</v>
      </c>
      <c r="DD65" s="217">
        <f t="shared" si="59"/>
        <v>2.377476538060479</v>
      </c>
      <c r="DE65" s="173">
        <f t="shared" si="60"/>
        <v>1.668404588112617</v>
      </c>
      <c r="DF65" s="173">
        <f t="shared" si="61"/>
        <v>0.69415373374028577</v>
      </c>
      <c r="DG65" s="173"/>
      <c r="DH65" s="173">
        <f t="shared" si="62"/>
        <v>0.93567251461988332</v>
      </c>
      <c r="DI65" s="545">
        <f t="shared" si="63"/>
        <v>961.87499999999955</v>
      </c>
      <c r="DJ65" s="528">
        <f t="shared" si="64"/>
        <v>0.21832358674463945</v>
      </c>
      <c r="DL65" s="173">
        <f t="shared" si="65"/>
        <v>2.2928460168844431</v>
      </c>
      <c r="DM65" s="173">
        <f t="shared" si="66"/>
        <v>2.2928460168844431</v>
      </c>
      <c r="DN65" s="173">
        <f t="shared" si="67"/>
        <v>1.9107501359637848</v>
      </c>
      <c r="DP65" s="545">
        <f t="shared" si="68"/>
        <v>600</v>
      </c>
      <c r="DQ65" s="460">
        <f t="shared" si="69"/>
        <v>350</v>
      </c>
      <c r="DS65">
        <f t="shared" si="116"/>
        <v>600</v>
      </c>
      <c r="DT65">
        <f t="shared" si="70"/>
        <v>350</v>
      </c>
      <c r="DV65" s="5">
        <f t="shared" si="117"/>
        <v>2.8571428571428572</v>
      </c>
      <c r="DW65" s="5">
        <f t="shared" si="71"/>
        <v>1.1464230084422216</v>
      </c>
      <c r="DX65" s="5">
        <f t="shared" si="118"/>
        <v>1.7107198487006356</v>
      </c>
      <c r="DY65" s="173">
        <f t="shared" si="119"/>
        <v>0.40124805295477756</v>
      </c>
      <c r="EA65" s="5">
        <f t="shared" si="72"/>
        <v>4.1942305186910547</v>
      </c>
      <c r="EB65" s="5">
        <f t="shared" si="73"/>
        <v>2.1495431408291656</v>
      </c>
      <c r="EC65" s="5">
        <f t="shared" si="74"/>
        <v>0.58449594830605034</v>
      </c>
      <c r="ED65" s="5"/>
      <c r="EE65" s="173">
        <f t="shared" si="120"/>
        <v>0.83853410495810832</v>
      </c>
      <c r="EF65" s="173">
        <f t="shared" si="75"/>
        <v>1.0243249031450208</v>
      </c>
      <c r="EG65" s="173">
        <f t="shared" si="76"/>
        <v>0.2513049618906722</v>
      </c>
      <c r="EH65" s="173"/>
      <c r="EI65" s="528">
        <f t="shared" si="77"/>
        <v>1.4062788903557917E-2</v>
      </c>
      <c r="EJ65" s="528">
        <f t="shared" si="78"/>
        <v>0.65965179905765414</v>
      </c>
      <c r="EK65" s="528">
        <f t="shared" si="79"/>
        <v>4.3749999999999997E-2</v>
      </c>
      <c r="EL65" s="528">
        <f t="shared" si="80"/>
        <v>5.9122349999999983E-2</v>
      </c>
      <c r="EM65">
        <f t="shared" si="81"/>
        <v>1.0800000000000001E-2</v>
      </c>
      <c r="EN65" s="460">
        <f t="shared" si="121"/>
        <v>54.550000000000004</v>
      </c>
      <c r="EO65">
        <f t="shared" si="82"/>
        <v>0.79383635116519746</v>
      </c>
      <c r="EP65" s="460">
        <f t="shared" si="122"/>
        <v>793.83635116519747</v>
      </c>
      <c r="EQ65" s="173">
        <f t="shared" si="83"/>
        <v>0.37274999999999997</v>
      </c>
      <c r="ER65" s="173">
        <f t="shared" si="170"/>
        <v>6.6562499999999997E-2</v>
      </c>
      <c r="ES65" s="528"/>
      <c r="EU65" s="460">
        <f t="shared" si="123"/>
        <v>439.3125</v>
      </c>
      <c r="EV65" s="528">
        <f t="shared" si="85"/>
        <v>2.1094183355336873E-2</v>
      </c>
      <c r="EW65" s="528">
        <f t="shared" si="124"/>
        <v>3.1477245216091687E-2</v>
      </c>
      <c r="EX65" s="528">
        <f t="shared" si="86"/>
        <v>3.1577091935436108E-4</v>
      </c>
      <c r="EY65" s="528">
        <f t="shared" si="87"/>
        <v>0.91217326339421956</v>
      </c>
      <c r="EZ65" s="528">
        <f t="shared" si="88"/>
        <v>0.98190781913978287</v>
      </c>
      <c r="FA65" s="625">
        <f t="shared" si="89"/>
        <v>9.1999999999999981E-3</v>
      </c>
      <c r="FB65" s="460">
        <f t="shared" si="125"/>
        <v>991.1078191397828</v>
      </c>
      <c r="FC65" s="173">
        <f t="shared" si="126"/>
        <v>2.2242566703049804</v>
      </c>
      <c r="FD65" s="5">
        <f t="shared" si="127"/>
        <v>11.039999999999997</v>
      </c>
      <c r="FE65" s="173">
        <f t="shared" si="128"/>
        <v>0.8323120001677532</v>
      </c>
      <c r="FF65" s="5">
        <f t="shared" si="129"/>
        <v>83.231200016775318</v>
      </c>
      <c r="FG65">
        <f t="shared" si="130"/>
        <v>60</v>
      </c>
      <c r="FI65" s="562">
        <f t="shared" si="90"/>
        <v>-50</v>
      </c>
      <c r="FJ65">
        <f t="shared" si="91"/>
        <v>-50</v>
      </c>
      <c r="FL65">
        <f t="shared" si="92"/>
        <v>0.54772255750516619</v>
      </c>
    </row>
    <row r="66" spans="5:168">
      <c r="E66" s="170">
        <v>61</v>
      </c>
      <c r="F66" s="217">
        <f t="shared" si="174"/>
        <v>0.61</v>
      </c>
      <c r="G66" s="217">
        <f t="shared" si="171"/>
        <v>0.1525</v>
      </c>
      <c r="H66" s="217">
        <f t="shared" si="135"/>
        <v>10.004</v>
      </c>
      <c r="I66" s="217">
        <f t="shared" si="175"/>
        <v>1.22</v>
      </c>
      <c r="J66" s="541">
        <f t="shared" si="136"/>
        <v>23.925131690631648</v>
      </c>
      <c r="K66" s="443">
        <f t="shared" si="137"/>
        <v>17.133136083051561</v>
      </c>
      <c r="L66" s="172">
        <f t="shared" si="138"/>
        <v>41.058267773683212</v>
      </c>
      <c r="M66" s="443"/>
      <c r="N66" s="217">
        <f t="shared" si="139"/>
        <v>0.41728833221827366</v>
      </c>
      <c r="O66" s="172">
        <f t="shared" si="172"/>
        <v>29.661652924111316</v>
      </c>
      <c r="P66" s="172">
        <f t="shared" si="140"/>
        <v>4.0584058135309959</v>
      </c>
      <c r="Q66" s="217">
        <f t="shared" si="6"/>
        <v>1.8086373734214218</v>
      </c>
      <c r="R66" s="217">
        <f t="shared" si="141"/>
        <v>3.7077066155139144</v>
      </c>
      <c r="S66" s="443">
        <f t="shared" si="142"/>
        <v>16.399999999999999</v>
      </c>
      <c r="T66" s="217">
        <f t="shared" si="143"/>
        <v>2.2484698848026698</v>
      </c>
      <c r="U66" s="217">
        <f t="shared" si="10"/>
        <v>1.127752982366957</v>
      </c>
      <c r="V66" s="217">
        <f t="shared" si="11"/>
        <v>1.5748219407609101</v>
      </c>
      <c r="W66" s="197">
        <f t="shared" si="12"/>
        <v>350</v>
      </c>
      <c r="X66" s="443">
        <f t="shared" si="95"/>
        <v>344.52168384421304</v>
      </c>
      <c r="Z66" s="217">
        <f t="shared" si="13"/>
        <v>2.3770662622110112</v>
      </c>
      <c r="AA66" s="173">
        <f t="shared" si="14"/>
        <v>1.6648904793763606</v>
      </c>
      <c r="AB66" s="173">
        <f t="shared" si="144"/>
        <v>0.69257212304032623</v>
      </c>
      <c r="AC66" s="173"/>
      <c r="AD66" s="173">
        <f t="shared" si="16"/>
        <v>0.93386289132597977</v>
      </c>
      <c r="AE66" s="545">
        <f t="shared" si="145"/>
        <v>979.80121974951089</v>
      </c>
      <c r="AF66" s="528">
        <f t="shared" si="146"/>
        <v>0.21790134130939529</v>
      </c>
      <c r="AH66" s="173">
        <f t="shared" si="147"/>
        <v>2.3118741109242746</v>
      </c>
      <c r="AI66" s="173">
        <f t="shared" si="148"/>
        <v>2.3118741109242746</v>
      </c>
      <c r="AJ66" s="173">
        <f t="shared" si="149"/>
        <v>1.9248450204377341</v>
      </c>
      <c r="AL66" s="545">
        <f t="shared" si="150"/>
        <v>610</v>
      </c>
      <c r="AM66" s="460">
        <f t="shared" si="151"/>
        <v>344.52168384421304</v>
      </c>
      <c r="AO66">
        <f t="shared" si="96"/>
        <v>610</v>
      </c>
      <c r="AP66">
        <f t="shared" si="24"/>
        <v>344.52168384421304</v>
      </c>
      <c r="AR66" s="5">
        <f t="shared" si="97"/>
        <v>2.902574923127867</v>
      </c>
      <c r="AS66" s="5">
        <f t="shared" si="25"/>
        <v>1.159554300048196</v>
      </c>
      <c r="AT66" s="5">
        <f t="shared" si="98"/>
        <v>1.743020623079671</v>
      </c>
      <c r="AU66" s="173">
        <f t="shared" si="99"/>
        <v>0.39949159996140238</v>
      </c>
      <c r="AW66" s="5">
        <f t="shared" si="152"/>
        <v>4.3129763599353641</v>
      </c>
      <c r="AX66" s="5">
        <f t="shared" si="153"/>
        <v>2.2104003844668738</v>
      </c>
      <c r="AY66" s="5">
        <f t="shared" si="28"/>
        <v>0.60735222341245221</v>
      </c>
      <c r="AZ66" s="5"/>
      <c r="BA66" s="173">
        <f t="shared" si="100"/>
        <v>0.84364042197018307</v>
      </c>
      <c r="BB66" s="173">
        <f t="shared" si="154"/>
        <v>1.0343394703893267</v>
      </c>
      <c r="BC66" s="173">
        <f t="shared" si="155"/>
        <v>0.25376190736954785</v>
      </c>
      <c r="BD66" s="173"/>
      <c r="BE66" s="528">
        <f t="shared" si="31"/>
        <v>1.4234583231640572E-2</v>
      </c>
      <c r="BF66" s="528">
        <f t="shared" si="156"/>
        <v>0.61317245561670231</v>
      </c>
      <c r="BG66" s="528">
        <f t="shared" si="157"/>
        <v>0.20606816640627396</v>
      </c>
      <c r="BH66" s="528">
        <f t="shared" si="34"/>
        <v>5.8078823018247711E-2</v>
      </c>
      <c r="BI66">
        <f t="shared" si="35"/>
        <v>1.0766309260784241E-2</v>
      </c>
      <c r="BJ66" s="460">
        <f t="shared" si="101"/>
        <v>216.83447566705817</v>
      </c>
      <c r="BK66">
        <f t="shared" si="158"/>
        <v>0.6916685170055209</v>
      </c>
      <c r="BL66" s="460">
        <f t="shared" si="102"/>
        <v>691.66851700552093</v>
      </c>
      <c r="BM66" s="173">
        <f t="shared" si="159"/>
        <v>0.37896249999999998</v>
      </c>
      <c r="BN66" s="173">
        <f t="shared" si="160"/>
        <v>6.7671874999999992E-2</v>
      </c>
      <c r="BO66" s="528"/>
      <c r="BQ66" s="460">
        <f t="shared" si="103"/>
        <v>446.63437499999998</v>
      </c>
      <c r="BR66" s="528">
        <f t="shared" si="39"/>
        <v>2.1351874847460858E-2</v>
      </c>
      <c r="BS66" s="528">
        <f t="shared" si="104"/>
        <v>3.2095744200158184E-2</v>
      </c>
      <c r="BT66" s="528">
        <f t="shared" si="161"/>
        <v>3.2197552815915493E-4</v>
      </c>
      <c r="BU66" s="528">
        <f t="shared" si="41"/>
        <v>0.89520368518512505</v>
      </c>
      <c r="BV66" s="528">
        <f t="shared" si="162"/>
        <v>0.96603344057479812</v>
      </c>
      <c r="BW66" s="625">
        <f t="shared" si="163"/>
        <v>9.206931855874876E-3</v>
      </c>
      <c r="BX66" s="460">
        <f t="shared" si="105"/>
        <v>975.24037243067301</v>
      </c>
      <c r="BY66" s="173">
        <f t="shared" si="106"/>
        <v>2.1135432644361938</v>
      </c>
      <c r="BZ66" s="5">
        <f t="shared" si="107"/>
        <v>11.224</v>
      </c>
      <c r="CA66" s="173">
        <f t="shared" si="108"/>
        <v>0.8415342898964131</v>
      </c>
      <c r="CB66" s="5">
        <f t="shared" si="109"/>
        <v>84.153428989641313</v>
      </c>
      <c r="CC66">
        <f t="shared" si="173"/>
        <v>61</v>
      </c>
      <c r="CE66" s="562">
        <f t="shared" si="164"/>
        <v>-50</v>
      </c>
      <c r="CF66">
        <f t="shared" si="165"/>
        <v>-50</v>
      </c>
      <c r="CG66" s="173">
        <f t="shared" si="166"/>
        <v>0.55226805085936315</v>
      </c>
      <c r="CH66" s="173">
        <f t="shared" si="167"/>
        <v>0.19296916487988261</v>
      </c>
      <c r="CI66" s="170">
        <v>61</v>
      </c>
      <c r="CJ66" s="217">
        <f t="shared" si="133"/>
        <v>0.61</v>
      </c>
      <c r="CK66" s="217">
        <f t="shared" si="111"/>
        <v>0.1525</v>
      </c>
      <c r="CL66" s="217">
        <f t="shared" si="48"/>
        <v>10.004</v>
      </c>
      <c r="CM66" s="217">
        <f t="shared" si="134"/>
        <v>1.22</v>
      </c>
      <c r="CN66" s="541">
        <f t="shared" si="112"/>
        <v>24</v>
      </c>
      <c r="CO66" s="443">
        <f t="shared" si="168"/>
        <v>17.099999999999998</v>
      </c>
      <c r="CP66" s="443">
        <f t="shared" si="169"/>
        <v>41.099999999999994</v>
      </c>
      <c r="CQ66" s="443"/>
      <c r="CR66" s="217">
        <f t="shared" si="113"/>
        <v>0.41176470588235292</v>
      </c>
      <c r="CS66" s="172">
        <f t="shared" si="114"/>
        <v>29.36061381074169</v>
      </c>
      <c r="CT66" s="172">
        <f t="shared" si="51"/>
        <v>4.0172166427546641</v>
      </c>
      <c r="CU66" s="217">
        <f t="shared" si="52"/>
        <v>1.7902813299232738</v>
      </c>
      <c r="CV66" s="217">
        <f t="shared" si="53"/>
        <v>3.6700767263427112</v>
      </c>
      <c r="CW66" s="443">
        <f t="shared" si="54"/>
        <v>16.399999999999999</v>
      </c>
      <c r="CX66" s="217">
        <f t="shared" si="55"/>
        <v>2.2715238095238095</v>
      </c>
      <c r="CY66" s="217">
        <f t="shared" si="56"/>
        <v>1.1357619047619048</v>
      </c>
      <c r="CZ66" s="217">
        <f t="shared" si="57"/>
        <v>1.5940517961570595</v>
      </c>
      <c r="DA66" s="197">
        <f t="shared" si="58"/>
        <v>350</v>
      </c>
      <c r="DB66" s="443">
        <f t="shared" si="115"/>
        <v>350</v>
      </c>
      <c r="DD66" s="217">
        <f t="shared" si="59"/>
        <v>2.377476538060479</v>
      </c>
      <c r="DE66" s="173">
        <f t="shared" si="60"/>
        <v>1.668404588112617</v>
      </c>
      <c r="DF66" s="173">
        <f t="shared" si="61"/>
        <v>0.69415373374028577</v>
      </c>
      <c r="DG66" s="173"/>
      <c r="DH66" s="173">
        <f t="shared" si="62"/>
        <v>0.93567251461988332</v>
      </c>
      <c r="DI66" s="545">
        <f t="shared" si="63"/>
        <v>977.90624999999966</v>
      </c>
      <c r="DJ66" s="528">
        <f t="shared" si="64"/>
        <v>0.21832358674463945</v>
      </c>
      <c r="DL66" s="173">
        <f t="shared" si="65"/>
        <v>2.3118741109242746</v>
      </c>
      <c r="DM66" s="173">
        <f t="shared" si="66"/>
        <v>2.3118741109242746</v>
      </c>
      <c r="DN66" s="173">
        <f t="shared" si="67"/>
        <v>1.9248450204377341</v>
      </c>
      <c r="DP66" s="545">
        <f t="shared" si="68"/>
        <v>610</v>
      </c>
      <c r="DQ66" s="460">
        <f t="shared" si="69"/>
        <v>350</v>
      </c>
      <c r="DS66">
        <f t="shared" si="116"/>
        <v>610</v>
      </c>
      <c r="DT66">
        <f t="shared" si="70"/>
        <v>350</v>
      </c>
      <c r="DV66" s="5">
        <f t="shared" si="117"/>
        <v>2.8571428571428572</v>
      </c>
      <c r="DW66" s="5">
        <f t="shared" si="71"/>
        <v>1.1559370554621373</v>
      </c>
      <c r="DX66" s="5">
        <f t="shared" si="118"/>
        <v>1.7012058016807199</v>
      </c>
      <c r="DY66" s="173">
        <f t="shared" si="119"/>
        <v>0.40457796941174806</v>
      </c>
      <c r="EA66" s="5">
        <f t="shared" si="72"/>
        <v>4.2995219745847795</v>
      </c>
      <c r="EB66" s="5">
        <f t="shared" si="73"/>
        <v>2.2035050119746993</v>
      </c>
      <c r="EC66" s="5">
        <f t="shared" si="74"/>
        <v>0.59093273750048336</v>
      </c>
      <c r="ED66" s="5"/>
      <c r="EE66" s="173">
        <f t="shared" si="120"/>
        <v>0.848994094682611</v>
      </c>
      <c r="EF66" s="173">
        <f t="shared" si="75"/>
        <v>1.0299496729361857</v>
      </c>
      <c r="EG66" s="173">
        <f t="shared" si="76"/>
        <v>0.25268492693269401</v>
      </c>
      <c r="EH66" s="173"/>
      <c r="EI66" s="528">
        <f t="shared" si="77"/>
        <v>1.4415819456118925E-2</v>
      </c>
      <c r="EJ66" s="528">
        <f t="shared" si="78"/>
        <v>0.66512618171291371</v>
      </c>
      <c r="EK66" s="528">
        <f t="shared" si="79"/>
        <v>4.3749999999999997E-2</v>
      </c>
      <c r="EL66" s="528">
        <f t="shared" si="80"/>
        <v>5.9122349999999983E-2</v>
      </c>
      <c r="EM66">
        <f t="shared" si="81"/>
        <v>1.0800000000000001E-2</v>
      </c>
      <c r="EN66" s="460">
        <f t="shared" si="121"/>
        <v>54.550000000000004</v>
      </c>
      <c r="EO66">
        <f t="shared" si="82"/>
        <v>0.79984625477646365</v>
      </c>
      <c r="EP66" s="460">
        <f t="shared" si="122"/>
        <v>799.84625477646364</v>
      </c>
      <c r="EQ66" s="173">
        <f t="shared" si="83"/>
        <v>0.37896249999999998</v>
      </c>
      <c r="ER66" s="173">
        <f t="shared" si="170"/>
        <v>6.7671874999999992E-2</v>
      </c>
      <c r="ES66" s="528"/>
      <c r="EU66" s="460">
        <f t="shared" si="123"/>
        <v>446.63437499999998</v>
      </c>
      <c r="EV66" s="528">
        <f t="shared" si="85"/>
        <v>2.1623729184178389E-2</v>
      </c>
      <c r="EW66" s="528">
        <f t="shared" si="124"/>
        <v>3.1823889863440674E-2</v>
      </c>
      <c r="EX66" s="528">
        <f t="shared" si="86"/>
        <v>3.1924836149490454E-4</v>
      </c>
      <c r="EY66" s="528">
        <f t="shared" si="87"/>
        <v>0.93121630013175738</v>
      </c>
      <c r="EZ66" s="528">
        <f t="shared" si="88"/>
        <v>1.0021980195618956</v>
      </c>
      <c r="FA66" s="625">
        <f t="shared" si="89"/>
        <v>9.353333333333335E-3</v>
      </c>
      <c r="FB66" s="460">
        <f t="shared" si="125"/>
        <v>1011.5513528952289</v>
      </c>
      <c r="FC66" s="173">
        <f t="shared" si="126"/>
        <v>2.2580319826716924</v>
      </c>
      <c r="FD66" s="5">
        <f t="shared" si="127"/>
        <v>11.224</v>
      </c>
      <c r="FE66" s="173">
        <f t="shared" si="128"/>
        <v>0.83251545571365537</v>
      </c>
      <c r="FF66" s="5">
        <f t="shared" si="129"/>
        <v>83.25154557136554</v>
      </c>
      <c r="FG66">
        <f t="shared" si="130"/>
        <v>61</v>
      </c>
      <c r="FI66" s="562">
        <f t="shared" si="90"/>
        <v>-50</v>
      </c>
      <c r="FJ66">
        <f t="shared" si="91"/>
        <v>-50</v>
      </c>
      <c r="FL66">
        <f t="shared" si="92"/>
        <v>0.55226805085936304</v>
      </c>
    </row>
    <row r="67" spans="5:168">
      <c r="E67" s="170">
        <v>62</v>
      </c>
      <c r="F67" s="217">
        <f t="shared" si="174"/>
        <v>0.62</v>
      </c>
      <c r="G67" s="217">
        <f t="shared" si="171"/>
        <v>0.155</v>
      </c>
      <c r="H67" s="217">
        <f t="shared" si="135"/>
        <v>10.167999999999999</v>
      </c>
      <c r="I67" s="217">
        <f t="shared" si="175"/>
        <v>1.24</v>
      </c>
      <c r="J67" s="541">
        <f t="shared" si="136"/>
        <v>23.924520510618386</v>
      </c>
      <c r="K67" s="443">
        <f t="shared" si="137"/>
        <v>17.133406586176978</v>
      </c>
      <c r="L67" s="172">
        <f t="shared" si="138"/>
        <v>41.057927096795368</v>
      </c>
      <c r="M67" s="443"/>
      <c r="N67" s="217">
        <f t="shared" si="139"/>
        <v>0.41729838298422683</v>
      </c>
      <c r="O67" s="172">
        <f t="shared" si="172"/>
        <v>29.661609611080788</v>
      </c>
      <c r="P67" s="172">
        <f t="shared" si="140"/>
        <v>4.0583998872983829</v>
      </c>
      <c r="Q67" s="217">
        <f t="shared" si="6"/>
        <v>1.808634732382975</v>
      </c>
      <c r="R67" s="217">
        <f t="shared" si="141"/>
        <v>3.7077012013850985</v>
      </c>
      <c r="S67" s="443">
        <f t="shared" si="142"/>
        <v>16.399999999999999</v>
      </c>
      <c r="T67" s="217">
        <f t="shared" si="143"/>
        <v>2.2853333839760119</v>
      </c>
      <c r="U67" s="217">
        <f t="shared" si="10"/>
        <v>1.1462716920717633</v>
      </c>
      <c r="V67" s="217">
        <f t="shared" si="11"/>
        <v>1.6006157601978284</v>
      </c>
      <c r="W67" s="197">
        <f t="shared" si="12"/>
        <v>350</v>
      </c>
      <c r="X67" s="443">
        <f t="shared" si="95"/>
        <v>339.34108994554043</v>
      </c>
      <c r="Z67" s="217">
        <f t="shared" si="13"/>
        <v>2.3770627911319098</v>
      </c>
      <c r="AA67" s="173">
        <f t="shared" si="14"/>
        <v>1.6648617629022087</v>
      </c>
      <c r="AB67" s="173">
        <f t="shared" si="144"/>
        <v>0.69255916607029533</v>
      </c>
      <c r="AC67" s="173"/>
      <c r="AD67" s="173">
        <f t="shared" si="16"/>
        <v>0.93384814744947486</v>
      </c>
      <c r="AE67" s="545">
        <f t="shared" si="145"/>
        <v>995.87925782153661</v>
      </c>
      <c r="AF67" s="528">
        <f t="shared" si="146"/>
        <v>0.21789790107154416</v>
      </c>
      <c r="AH67" s="173">
        <f t="shared" si="147"/>
        <v>2.3307468657880785</v>
      </c>
      <c r="AI67" s="173">
        <f t="shared" si="148"/>
        <v>2.3307468657880785</v>
      </c>
      <c r="AJ67" s="173">
        <f t="shared" si="149"/>
        <v>1.9388248388553666</v>
      </c>
      <c r="AL67" s="545">
        <f t="shared" si="150"/>
        <v>620</v>
      </c>
      <c r="AM67" s="460">
        <f t="shared" si="151"/>
        <v>339.34108994554043</v>
      </c>
      <c r="AO67">
        <f t="shared" si="96"/>
        <v>620</v>
      </c>
      <c r="AP67">
        <f t="shared" si="24"/>
        <v>339.34108994554043</v>
      </c>
      <c r="AR67" s="5">
        <f t="shared" si="97"/>
        <v>2.9468874522695918</v>
      </c>
      <c r="AS67" s="5">
        <f t="shared" si="25"/>
        <v>1.1690500704933049</v>
      </c>
      <c r="AT67" s="5">
        <f t="shared" si="98"/>
        <v>1.7778373817762869</v>
      </c>
      <c r="AU67" s="173">
        <f t="shared" si="99"/>
        <v>0.39670672512210892</v>
      </c>
      <c r="AW67" s="5">
        <f t="shared" si="152"/>
        <v>4.4195795347917626</v>
      </c>
      <c r="AX67" s="5">
        <f t="shared" si="153"/>
        <v>2.2650345115807782</v>
      </c>
      <c r="AY67" s="5">
        <f t="shared" si="28"/>
        <v>0.62965561803276859</v>
      </c>
      <c r="AZ67" s="5"/>
      <c r="BA67" s="173">
        <f t="shared" si="100"/>
        <v>0.84755767890938061</v>
      </c>
      <c r="BB67" s="173">
        <f t="shared" si="154"/>
        <v>1.0451983695525906</v>
      </c>
      <c r="BC67" s="173">
        <f t="shared" si="155"/>
        <v>0.25642599884288803</v>
      </c>
      <c r="BD67" s="173"/>
      <c r="BE67" s="528">
        <f t="shared" si="31"/>
        <v>1.4367080381565134E-2</v>
      </c>
      <c r="BF67" s="528">
        <f t="shared" si="156"/>
        <v>0.60887739466587276</v>
      </c>
      <c r="BG67" s="528">
        <f t="shared" si="157"/>
        <v>0.20296432166244202</v>
      </c>
      <c r="BH67" s="528">
        <f t="shared" si="34"/>
        <v>5.7204538849539494E-2</v>
      </c>
      <c r="BI67">
        <f t="shared" si="35"/>
        <v>1.0766034229778274E-2</v>
      </c>
      <c r="BJ67" s="460">
        <f t="shared" si="101"/>
        <v>213.73035589222027</v>
      </c>
      <c r="BK67">
        <f t="shared" si="158"/>
        <v>0.68667216225826511</v>
      </c>
      <c r="BL67" s="460">
        <f t="shared" si="102"/>
        <v>686.67216225826508</v>
      </c>
      <c r="BM67" s="173">
        <f t="shared" si="159"/>
        <v>0.38517499999999999</v>
      </c>
      <c r="BN67" s="173">
        <f t="shared" si="160"/>
        <v>6.8781250000000002E-2</v>
      </c>
      <c r="BO67" s="528"/>
      <c r="BQ67" s="460">
        <f t="shared" si="103"/>
        <v>453.95625000000001</v>
      </c>
      <c r="BR67" s="528">
        <f t="shared" si="39"/>
        <v>2.15506205723477E-2</v>
      </c>
      <c r="BS67" s="528">
        <f t="shared" si="104"/>
        <v>3.2773188951461807E-2</v>
      </c>
      <c r="BT67" s="528">
        <f t="shared" si="161"/>
        <v>3.2877146441286407E-4</v>
      </c>
      <c r="BU67" s="528">
        <f t="shared" si="41"/>
        <v>0.87962771124797967</v>
      </c>
      <c r="BV67" s="528">
        <f t="shared" si="162"/>
        <v>0.95155731673881561</v>
      </c>
      <c r="BW67" s="625">
        <f t="shared" si="163"/>
        <v>9.2171503669017246E-3</v>
      </c>
      <c r="BX67" s="460">
        <f t="shared" si="105"/>
        <v>960.77446710571735</v>
      </c>
      <c r="BY67" s="173">
        <f t="shared" si="106"/>
        <v>2.1014028793639823</v>
      </c>
      <c r="BZ67" s="5">
        <f t="shared" si="107"/>
        <v>11.407999999999999</v>
      </c>
      <c r="CA67" s="173">
        <f t="shared" si="108"/>
        <v>0.84444887030692239</v>
      </c>
      <c r="CB67" s="5">
        <f t="shared" si="109"/>
        <v>84.444887030692243</v>
      </c>
      <c r="CC67">
        <f t="shared" si="173"/>
        <v>62</v>
      </c>
      <c r="CE67" s="562">
        <f t="shared" si="164"/>
        <v>-50</v>
      </c>
      <c r="CF67">
        <f t="shared" si="165"/>
        <v>-50</v>
      </c>
      <c r="CG67" s="173">
        <f t="shared" si="166"/>
        <v>0.55677643628300233</v>
      </c>
      <c r="CH67" s="173">
        <f t="shared" si="167"/>
        <v>0.19454444950625663</v>
      </c>
      <c r="CI67" s="170">
        <v>62</v>
      </c>
      <c r="CJ67" s="217">
        <f t="shared" si="133"/>
        <v>0.62</v>
      </c>
      <c r="CK67" s="217">
        <f t="shared" si="111"/>
        <v>0.155</v>
      </c>
      <c r="CL67" s="217">
        <f t="shared" si="48"/>
        <v>10.167999999999999</v>
      </c>
      <c r="CM67" s="217">
        <f t="shared" si="134"/>
        <v>1.24</v>
      </c>
      <c r="CN67" s="541">
        <f t="shared" si="112"/>
        <v>24</v>
      </c>
      <c r="CO67" s="443">
        <f t="shared" si="168"/>
        <v>17.099999999999998</v>
      </c>
      <c r="CP67" s="443">
        <f t="shared" si="169"/>
        <v>41.099999999999994</v>
      </c>
      <c r="CQ67" s="443"/>
      <c r="CR67" s="217">
        <f t="shared" si="113"/>
        <v>0.41176470588235292</v>
      </c>
      <c r="CS67" s="172">
        <f t="shared" si="114"/>
        <v>29.36061381074169</v>
      </c>
      <c r="CT67" s="172">
        <f t="shared" si="51"/>
        <v>4.0172166427546641</v>
      </c>
      <c r="CU67" s="217">
        <f t="shared" si="52"/>
        <v>1.7902813299232738</v>
      </c>
      <c r="CV67" s="217">
        <f t="shared" si="53"/>
        <v>3.6700767263427112</v>
      </c>
      <c r="CW67" s="443">
        <f t="shared" si="54"/>
        <v>16.399999999999999</v>
      </c>
      <c r="CX67" s="217">
        <f t="shared" si="55"/>
        <v>2.3087619047619046</v>
      </c>
      <c r="CY67" s="217">
        <f t="shared" si="56"/>
        <v>1.1543809523809523</v>
      </c>
      <c r="CZ67" s="217">
        <f t="shared" si="57"/>
        <v>1.6201837928153719</v>
      </c>
      <c r="DA67" s="197">
        <f t="shared" si="58"/>
        <v>350</v>
      </c>
      <c r="DB67" s="443">
        <f t="shared" si="115"/>
        <v>350</v>
      </c>
      <c r="DD67" s="217">
        <f t="shared" si="59"/>
        <v>2.377476538060479</v>
      </c>
      <c r="DE67" s="173">
        <f t="shared" si="60"/>
        <v>1.668404588112617</v>
      </c>
      <c r="DF67" s="173">
        <f t="shared" si="61"/>
        <v>0.69415373374028577</v>
      </c>
      <c r="DG67" s="173"/>
      <c r="DH67" s="173">
        <f t="shared" si="62"/>
        <v>0.93567251461988332</v>
      </c>
      <c r="DI67" s="545">
        <f t="shared" si="63"/>
        <v>993.93749999999966</v>
      </c>
      <c r="DJ67" s="528">
        <f t="shared" si="64"/>
        <v>0.21832358674463945</v>
      </c>
      <c r="DL67" s="173">
        <f t="shared" si="65"/>
        <v>2.3307468657880785</v>
      </c>
      <c r="DM67" s="173">
        <f t="shared" si="66"/>
        <v>2.3307468657880785</v>
      </c>
      <c r="DN67" s="173">
        <f t="shared" si="67"/>
        <v>1.9388248388553666</v>
      </c>
      <c r="DP67" s="545">
        <f t="shared" si="68"/>
        <v>620</v>
      </c>
      <c r="DQ67" s="460">
        <f t="shared" si="69"/>
        <v>350</v>
      </c>
      <c r="DS67">
        <f t="shared" si="116"/>
        <v>620</v>
      </c>
      <c r="DT67">
        <f t="shared" si="70"/>
        <v>350</v>
      </c>
      <c r="DV67" s="5">
        <f t="shared" si="117"/>
        <v>2.8571428571428572</v>
      </c>
      <c r="DW67" s="5">
        <f t="shared" si="71"/>
        <v>1.1653734328940393</v>
      </c>
      <c r="DX67" s="5">
        <f t="shared" si="118"/>
        <v>1.6917694242488179</v>
      </c>
      <c r="DY67" s="173">
        <f t="shared" si="119"/>
        <v>0.40788070151291372</v>
      </c>
      <c r="EA67" s="5">
        <f t="shared" si="72"/>
        <v>4.4056800511847829</v>
      </c>
      <c r="EB67" s="5">
        <f t="shared" si="73"/>
        <v>2.2579110262322009</v>
      </c>
      <c r="EC67" s="5">
        <f t="shared" si="74"/>
        <v>0.59728859395006861</v>
      </c>
      <c r="ED67" s="5"/>
      <c r="EE67" s="173">
        <f t="shared" si="120"/>
        <v>0.85941130117124032</v>
      </c>
      <c r="EF67" s="173">
        <f t="shared" si="75"/>
        <v>1.0354737399918967</v>
      </c>
      <c r="EG67" s="173">
        <f t="shared" si="76"/>
        <v>0.25404018585167043</v>
      </c>
      <c r="EH67" s="173"/>
      <c r="EI67" s="528">
        <f t="shared" si="77"/>
        <v>1.4771755691616886E-2</v>
      </c>
      <c r="EJ67" s="528">
        <f t="shared" si="78"/>
        <v>0.67055587328723021</v>
      </c>
      <c r="EK67" s="528">
        <f t="shared" si="79"/>
        <v>4.3749999999999997E-2</v>
      </c>
      <c r="EL67" s="528">
        <f t="shared" si="80"/>
        <v>5.9122349999999983E-2</v>
      </c>
      <c r="EM67">
        <f t="shared" si="81"/>
        <v>1.0800000000000001E-2</v>
      </c>
      <c r="EN67" s="460">
        <f t="shared" si="121"/>
        <v>54.550000000000004</v>
      </c>
      <c r="EO67">
        <f t="shared" si="82"/>
        <v>0.80581658320173966</v>
      </c>
      <c r="EP67" s="460">
        <f t="shared" si="122"/>
        <v>805.8165832017396</v>
      </c>
      <c r="EQ67" s="173">
        <f t="shared" si="83"/>
        <v>0.38517499999999999</v>
      </c>
      <c r="ER67" s="173">
        <f t="shared" si="170"/>
        <v>6.8781250000000002E-2</v>
      </c>
      <c r="ES67" s="528"/>
      <c r="EU67" s="460">
        <f t="shared" si="123"/>
        <v>453.95625000000001</v>
      </c>
      <c r="EV67" s="528">
        <f t="shared" si="85"/>
        <v>2.2157633537425329E-2</v>
      </c>
      <c r="EW67" s="528">
        <f t="shared" si="124"/>
        <v>3.2166175986384188E-2</v>
      </c>
      <c r="EX67" s="528">
        <f t="shared" si="86"/>
        <v>3.2268208013775627E-4</v>
      </c>
      <c r="EY67" s="528">
        <f t="shared" si="87"/>
        <v>0.95033754532088777</v>
      </c>
      <c r="EZ67" s="528">
        <f t="shared" si="88"/>
        <v>1.0225695821164689</v>
      </c>
      <c r="FA67" s="625">
        <f t="shared" si="89"/>
        <v>9.506666666666665E-3</v>
      </c>
      <c r="FB67" s="460">
        <f t="shared" si="125"/>
        <v>1032.0762487831357</v>
      </c>
      <c r="FC67" s="173">
        <f t="shared" si="126"/>
        <v>2.2918490819848754</v>
      </c>
      <c r="FD67" s="5">
        <f t="shared" si="127"/>
        <v>11.407999999999999</v>
      </c>
      <c r="FE67" s="173">
        <f t="shared" si="128"/>
        <v>0.83270990298727987</v>
      </c>
      <c r="FF67" s="5">
        <f t="shared" si="129"/>
        <v>83.27099029872798</v>
      </c>
      <c r="FG67">
        <f t="shared" si="130"/>
        <v>62</v>
      </c>
      <c r="FI67" s="562">
        <f t="shared" si="90"/>
        <v>-50</v>
      </c>
      <c r="FJ67">
        <f t="shared" si="91"/>
        <v>-50</v>
      </c>
      <c r="FL67">
        <f t="shared" si="92"/>
        <v>0.55677643628300222</v>
      </c>
    </row>
    <row r="68" spans="5:168">
      <c r="E68" s="170">
        <v>63</v>
      </c>
      <c r="F68" s="217">
        <f t="shared" si="174"/>
        <v>0.63</v>
      </c>
      <c r="G68" s="217">
        <f t="shared" si="171"/>
        <v>0.1575</v>
      </c>
      <c r="H68" s="217">
        <f t="shared" si="135"/>
        <v>10.331999999999999</v>
      </c>
      <c r="I68" s="217">
        <f t="shared" si="175"/>
        <v>1.26</v>
      </c>
      <c r="J68" s="541">
        <f t="shared" si="136"/>
        <v>23.923914239920052</v>
      </c>
      <c r="K68" s="443">
        <f t="shared" si="137"/>
        <v>17.133674916480963</v>
      </c>
      <c r="L68" s="172">
        <f t="shared" si="138"/>
        <v>41.057589156401015</v>
      </c>
      <c r="M68" s="443"/>
      <c r="N68" s="217">
        <f t="shared" si="139"/>
        <v>0.41730835318200282</v>
      </c>
      <c r="O68" s="172">
        <f t="shared" si="172"/>
        <v>29.66156662161367</v>
      </c>
      <c r="P68" s="172">
        <f t="shared" si="140"/>
        <v>4.0583940053367904</v>
      </c>
      <c r="Q68" s="217">
        <f t="shared" si="6"/>
        <v>1.8086321110740045</v>
      </c>
      <c r="R68" s="217">
        <f t="shared" si="141"/>
        <v>3.7076958277017087</v>
      </c>
      <c r="S68" s="443">
        <f t="shared" si="142"/>
        <v>16.399999999999999</v>
      </c>
      <c r="T68" s="217">
        <f t="shared" si="143"/>
        <v>2.3221969654768269</v>
      </c>
      <c r="U68" s="217">
        <f t="shared" si="10"/>
        <v>1.1647911502384256</v>
      </c>
      <c r="V68" s="217">
        <f t="shared" si="11"/>
        <v>1.6264090290937607</v>
      </c>
      <c r="W68" s="197">
        <f t="shared" si="12"/>
        <v>350</v>
      </c>
      <c r="X68" s="443">
        <f t="shared" si="95"/>
        <v>334.31396765403355</v>
      </c>
      <c r="Z68" s="217">
        <f t="shared" si="13"/>
        <v>2.377059345982977</v>
      </c>
      <c r="AA68" s="173">
        <f t="shared" si="14"/>
        <v>1.6648332766228493</v>
      </c>
      <c r="AB68" s="173">
        <f t="shared" si="144"/>
        <v>0.69254631244746623</v>
      </c>
      <c r="AC68" s="173"/>
      <c r="AD68" s="173">
        <f t="shared" si="16"/>
        <v>0.93383352246338736</v>
      </c>
      <c r="AE68" s="545">
        <f t="shared" si="145"/>
        <v>1011.9576747546565</v>
      </c>
      <c r="AF68" s="528">
        <f t="shared" si="146"/>
        <v>0.21789448857479041</v>
      </c>
      <c r="AH68" s="173">
        <f t="shared" si="147"/>
        <v>2.3494680248941462</v>
      </c>
      <c r="AI68" s="173">
        <f t="shared" si="148"/>
        <v>2.3494680248941462</v>
      </c>
      <c r="AJ68" s="173">
        <f t="shared" si="149"/>
        <v>1.9526923641191205</v>
      </c>
      <c r="AL68" s="545">
        <f t="shared" si="150"/>
        <v>630</v>
      </c>
      <c r="AM68" s="460">
        <f t="shared" si="151"/>
        <v>334.31396765403355</v>
      </c>
      <c r="AO68">
        <f t="shared" si="96"/>
        <v>630</v>
      </c>
      <c r="AP68">
        <f t="shared" si="24"/>
        <v>334.31396765403355</v>
      </c>
      <c r="AR68" s="5">
        <f t="shared" si="97"/>
        <v>2.9912001793321865</v>
      </c>
      <c r="AS68" s="5">
        <f t="shared" si="25"/>
        <v>1.1784700453274977</v>
      </c>
      <c r="AT68" s="5">
        <f t="shared" si="98"/>
        <v>1.8127301340046889</v>
      </c>
      <c r="AU68" s="173">
        <f t="shared" si="99"/>
        <v>0.39397899661486452</v>
      </c>
      <c r="AW68" s="5">
        <f t="shared" si="152"/>
        <v>4.5270495643678279</v>
      </c>
      <c r="AX68" s="5">
        <f t="shared" si="153"/>
        <v>2.3201129017385114</v>
      </c>
      <c r="AY68" s="5">
        <f t="shared" si="28"/>
        <v>0.65238515308406841</v>
      </c>
      <c r="AZ68" s="5"/>
      <c r="BA68" s="173">
        <f t="shared" si="100"/>
        <v>0.85142313438815531</v>
      </c>
      <c r="BB68" s="173">
        <f t="shared" si="154"/>
        <v>1.0559728435090787</v>
      </c>
      <c r="BC68" s="173">
        <f t="shared" si="155"/>
        <v>0.25906937767582844</v>
      </c>
      <c r="BD68" s="173"/>
      <c r="BE68" s="528">
        <f t="shared" si="31"/>
        <v>1.4498427075427017E-2</v>
      </c>
      <c r="BF68" s="528">
        <f t="shared" si="156"/>
        <v>0.60467049461067734</v>
      </c>
      <c r="BG68" s="528">
        <f t="shared" si="157"/>
        <v>0.1999524672840626</v>
      </c>
      <c r="BH68" s="528">
        <f t="shared" si="34"/>
        <v>5.6356162285072224E-2</v>
      </c>
      <c r="BI68">
        <f t="shared" si="35"/>
        <v>1.0765761407964022E-2</v>
      </c>
      <c r="BJ68" s="460">
        <f t="shared" si="101"/>
        <v>210.7182286920266</v>
      </c>
      <c r="BK68">
        <f t="shared" si="158"/>
        <v>0.68178830153537784</v>
      </c>
      <c r="BL68" s="460">
        <f t="shared" si="102"/>
        <v>681.78830153537785</v>
      </c>
      <c r="BM68" s="173">
        <f t="shared" si="159"/>
        <v>0.39138749999999994</v>
      </c>
      <c r="BN68" s="173">
        <f t="shared" si="160"/>
        <v>6.9890624999999998E-2</v>
      </c>
      <c r="BO68" s="528"/>
      <c r="BQ68" s="460">
        <f t="shared" si="103"/>
        <v>461.27812499999993</v>
      </c>
      <c r="BR68" s="528">
        <f t="shared" si="39"/>
        <v>2.1747640613140523E-2</v>
      </c>
      <c r="BS68" s="528">
        <f t="shared" si="104"/>
        <v>3.3452359386859476E-2</v>
      </c>
      <c r="BT68" s="528">
        <f t="shared" si="161"/>
        <v>3.3558471224670518E-4</v>
      </c>
      <c r="BU68" s="528">
        <f t="shared" si="41"/>
        <v>0.86453017466465121</v>
      </c>
      <c r="BV68" s="528">
        <f t="shared" si="162"/>
        <v>0.93755973395004311</v>
      </c>
      <c r="BW68" s="625">
        <f t="shared" si="163"/>
        <v>9.2270655072513256E-3</v>
      </c>
      <c r="BX68" s="460">
        <f t="shared" si="105"/>
        <v>946.78679945729436</v>
      </c>
      <c r="BY68" s="173">
        <f t="shared" si="106"/>
        <v>2.0898532259926723</v>
      </c>
      <c r="BZ68" s="5">
        <f t="shared" si="107"/>
        <v>11.591999999999999</v>
      </c>
      <c r="CA68" s="173">
        <f t="shared" si="108"/>
        <v>0.84725364382491786</v>
      </c>
      <c r="CB68" s="5">
        <f t="shared" si="109"/>
        <v>84.72536438249179</v>
      </c>
      <c r="CC68">
        <f t="shared" si="173"/>
        <v>63</v>
      </c>
      <c r="CE68" s="562">
        <f t="shared" si="164"/>
        <v>-50</v>
      </c>
      <c r="CF68">
        <f t="shared" si="165"/>
        <v>-50</v>
      </c>
      <c r="CG68" s="173">
        <f t="shared" si="166"/>
        <v>0.56124860801609133</v>
      </c>
      <c r="CH68" s="173">
        <f t="shared" si="167"/>
        <v>0.19610708062929685</v>
      </c>
      <c r="CI68" s="170">
        <v>63</v>
      </c>
      <c r="CJ68" s="217">
        <f t="shared" si="133"/>
        <v>0.63</v>
      </c>
      <c r="CK68" s="217">
        <f t="shared" si="111"/>
        <v>0.1575</v>
      </c>
      <c r="CL68" s="217">
        <f t="shared" si="48"/>
        <v>10.331999999999999</v>
      </c>
      <c r="CM68" s="217">
        <f t="shared" si="134"/>
        <v>1.26</v>
      </c>
      <c r="CN68" s="541">
        <f t="shared" si="112"/>
        <v>24</v>
      </c>
      <c r="CO68" s="443">
        <f t="shared" si="168"/>
        <v>17.099999999999998</v>
      </c>
      <c r="CP68" s="443">
        <f t="shared" si="169"/>
        <v>41.099999999999994</v>
      </c>
      <c r="CQ68" s="443"/>
      <c r="CR68" s="217">
        <f t="shared" si="113"/>
        <v>0.41176470588235292</v>
      </c>
      <c r="CS68" s="172">
        <f t="shared" si="114"/>
        <v>29.36061381074169</v>
      </c>
      <c r="CT68" s="172">
        <f t="shared" si="51"/>
        <v>4.0172166427546641</v>
      </c>
      <c r="CU68" s="217">
        <f t="shared" si="52"/>
        <v>1.7902813299232738</v>
      </c>
      <c r="CV68" s="217">
        <f t="shared" si="53"/>
        <v>3.6700767263427112</v>
      </c>
      <c r="CW68" s="443">
        <f t="shared" si="54"/>
        <v>16.399999999999999</v>
      </c>
      <c r="CX68" s="217">
        <f t="shared" si="55"/>
        <v>2.3459999999999996</v>
      </c>
      <c r="CY68" s="217">
        <f t="shared" si="56"/>
        <v>1.1729999999999998</v>
      </c>
      <c r="CZ68" s="217">
        <f t="shared" si="57"/>
        <v>1.6463157894736844</v>
      </c>
      <c r="DA68" s="197">
        <f t="shared" si="58"/>
        <v>350</v>
      </c>
      <c r="DB68" s="443">
        <f t="shared" si="115"/>
        <v>350</v>
      </c>
      <c r="DD68" s="217">
        <f t="shared" si="59"/>
        <v>2.377476538060479</v>
      </c>
      <c r="DE68" s="173">
        <f t="shared" si="60"/>
        <v>1.668404588112617</v>
      </c>
      <c r="DF68" s="173">
        <f t="shared" si="61"/>
        <v>0.69415373374028577</v>
      </c>
      <c r="DG68" s="173"/>
      <c r="DH68" s="173">
        <f t="shared" si="62"/>
        <v>0.93567251461988332</v>
      </c>
      <c r="DI68" s="545">
        <f t="shared" si="63"/>
        <v>1009.9687499999995</v>
      </c>
      <c r="DJ68" s="528">
        <f t="shared" si="64"/>
        <v>0.21832358674463945</v>
      </c>
      <c r="DL68" s="173">
        <f t="shared" si="65"/>
        <v>2.3494680248941462</v>
      </c>
      <c r="DM68" s="173">
        <f t="shared" si="66"/>
        <v>2.3494680248941462</v>
      </c>
      <c r="DN68" s="173">
        <f t="shared" si="67"/>
        <v>1.9526923641191205</v>
      </c>
      <c r="DP68" s="545">
        <f t="shared" si="68"/>
        <v>630</v>
      </c>
      <c r="DQ68" s="460">
        <f t="shared" si="69"/>
        <v>350</v>
      </c>
      <c r="DS68">
        <f t="shared" si="116"/>
        <v>630</v>
      </c>
      <c r="DT68">
        <f t="shared" si="70"/>
        <v>350</v>
      </c>
      <c r="DV68" s="5">
        <f t="shared" si="117"/>
        <v>2.8571428571428572</v>
      </c>
      <c r="DW68" s="5">
        <f t="shared" si="71"/>
        <v>1.1747340124470731</v>
      </c>
      <c r="DX68" s="5">
        <f t="shared" si="118"/>
        <v>1.6824088446957841</v>
      </c>
      <c r="DY68" s="173">
        <f t="shared" si="119"/>
        <v>0.41115690435647556</v>
      </c>
      <c r="EA68" s="5">
        <f t="shared" si="72"/>
        <v>4.5126977307418059</v>
      </c>
      <c r="EB68" s="5">
        <f t="shared" si="73"/>
        <v>2.3127575870051746</v>
      </c>
      <c r="EC68" s="5">
        <f t="shared" si="74"/>
        <v>0.60356417303461229</v>
      </c>
      <c r="ED68" s="5"/>
      <c r="EE68" s="173">
        <f t="shared" si="120"/>
        <v>0.86978658532763942</v>
      </c>
      <c r="EF68" s="173">
        <f t="shared" si="75"/>
        <v>1.0408992727368414</v>
      </c>
      <c r="EG68" s="173">
        <f t="shared" si="76"/>
        <v>0.25537127064275444</v>
      </c>
      <c r="EH68" s="173"/>
      <c r="EI68" s="528">
        <f t="shared" si="77"/>
        <v>1.51305740803183E-2</v>
      </c>
      <c r="EJ68" s="528">
        <f t="shared" si="78"/>
        <v>0.67594195076204566</v>
      </c>
      <c r="EK68" s="528">
        <f t="shared" si="79"/>
        <v>4.3749999999999997E-2</v>
      </c>
      <c r="EL68" s="528">
        <f t="shared" si="80"/>
        <v>5.9122349999999983E-2</v>
      </c>
      <c r="EM68">
        <f t="shared" si="81"/>
        <v>1.0800000000000001E-2</v>
      </c>
      <c r="EN68" s="460">
        <f t="shared" si="121"/>
        <v>54.550000000000004</v>
      </c>
      <c r="EO68">
        <f t="shared" si="82"/>
        <v>0.81174838509633618</v>
      </c>
      <c r="EP68" s="460">
        <f t="shared" si="122"/>
        <v>811.74838509633616</v>
      </c>
      <c r="EQ68" s="173">
        <f t="shared" si="83"/>
        <v>0.39138749999999994</v>
      </c>
      <c r="ER68" s="173">
        <f t="shared" si="170"/>
        <v>6.9890624999999998E-2</v>
      </c>
      <c r="ES68" s="528"/>
      <c r="EU68" s="460">
        <f t="shared" si="123"/>
        <v>461.27812499999993</v>
      </c>
      <c r="EV68" s="528">
        <f t="shared" si="85"/>
        <v>2.2695861120477449E-2</v>
      </c>
      <c r="EW68" s="528">
        <f t="shared" si="124"/>
        <v>3.2504138879522561E-2</v>
      </c>
      <c r="EX68" s="528">
        <f t="shared" si="86"/>
        <v>3.2607242934847475E-4</v>
      </c>
      <c r="EY68" s="528">
        <f t="shared" si="87"/>
        <v>0.9695360508986206</v>
      </c>
      <c r="EZ68" s="528">
        <f t="shared" si="88"/>
        <v>1.0430215720192781</v>
      </c>
      <c r="FA68" s="625">
        <f t="shared" si="89"/>
        <v>9.6600000000000002E-3</v>
      </c>
      <c r="FB68" s="460">
        <f t="shared" si="125"/>
        <v>1052.6815720192781</v>
      </c>
      <c r="FC68" s="173">
        <f t="shared" si="126"/>
        <v>2.325708082115614</v>
      </c>
      <c r="FD68" s="5">
        <f t="shared" si="127"/>
        <v>11.591999999999999</v>
      </c>
      <c r="FE68" s="173">
        <f t="shared" si="128"/>
        <v>0.83289575637067925</v>
      </c>
      <c r="FF68" s="5">
        <f t="shared" si="129"/>
        <v>83.289575637067927</v>
      </c>
      <c r="FG68">
        <f t="shared" si="130"/>
        <v>63</v>
      </c>
      <c r="FI68" s="562">
        <f t="shared" si="90"/>
        <v>-50</v>
      </c>
      <c r="FJ68">
        <f t="shared" si="91"/>
        <v>-50</v>
      </c>
      <c r="FL68">
        <f t="shared" si="92"/>
        <v>0.56124860801609122</v>
      </c>
    </row>
    <row r="69" spans="5:168">
      <c r="E69" s="170">
        <v>64</v>
      </c>
      <c r="F69" s="217">
        <f t="shared" si="174"/>
        <v>0.64</v>
      </c>
      <c r="G69" s="217">
        <f t="shared" si="171"/>
        <v>0.16</v>
      </c>
      <c r="H69" s="217">
        <f t="shared" ref="H69:H105" si="176">F69*Vout</f>
        <v>10.495999999999999</v>
      </c>
      <c r="I69" s="217">
        <f t="shared" si="175"/>
        <v>1.28</v>
      </c>
      <c r="J69" s="541">
        <f t="shared" ref="J69:J105" si="177">Vin-(F69/CG69/Nps+G69/CH69/(Nps/Nsec1sec2))*(Rdcr_pri+RON/1000)</f>
        <v>23.923219896717022</v>
      </c>
      <c r="K69" s="443">
        <f t="shared" ref="K69:K105" si="178">MAX((S69+Vfwd2+Rdcr_sec*F69/CG69)*Nps,(Vout2+Vfwd22+Rdcr_sec2*G69/CH69)*Nps/Nsec1sec2)</f>
        <v>17.133982226933622</v>
      </c>
      <c r="L69" s="172">
        <f t="shared" ref="L69:L105" si="179">MAX((Vout+Vfwd2+F69/CG69*Rdcr_sec)*Nps+J69, (Vout2+Vfwd22+G69/CH69*Rdcr_sec2)*Nps/Nsec1sec2+J69)</f>
        <v>41.05720212365064</v>
      </c>
      <c r="M69" s="443"/>
      <c r="N69" s="217">
        <f t="shared" ref="N69:N105" si="180">MAX((Vout+Vfwd2+F69/CG69*Rdcr_sec)*Nps/((Vout+Vfwd2+F69/CG69*Rdcr_sec)*Nps+J69), (Vout2+Vfwd22+G69/CH69*Rdcr_sec2)*Nps/Nsec1sec2/((Vout2+Vfwd22+G69/CH69*Rdcr_sec2)*Nps/Nsec1sec2+J69))</f>
        <v>0.41731977194480435</v>
      </c>
      <c r="O69" s="172">
        <f t="shared" si="172"/>
        <v>29.661517357305623</v>
      </c>
      <c r="P69" s="172">
        <f t="shared" ref="P69:P105" si="181">N69*J69*Isw_max*0.5*Efficiency*(Pout2/Pout_total)</f>
        <v>4.0583872648306327</v>
      </c>
      <c r="Q69" s="217">
        <f t="shared" ref="Q69:Q105" si="182">O69/Vout</f>
        <v>1.808629107152782</v>
      </c>
      <c r="R69" s="217">
        <f t="shared" ref="R69:R105" si="183">O69/Vout2</f>
        <v>3.7076896696632029</v>
      </c>
      <c r="S69" s="443">
        <f t="shared" ref="S69:S105" si="184">MIN(Vout,O69/F69)</f>
        <v>16.399999999999999</v>
      </c>
      <c r="T69" s="217">
        <f t="shared" ref="T69:T105" si="185">MIN(2*(Vout*F69+Vout2*G69)/(Efficiency*J69*N69), Isw_max)</f>
        <v>2.359061152888017</v>
      </c>
      <c r="U69" s="217">
        <f t="shared" ref="U69:U105" si="186">L*T69/J69*1000000</f>
        <v>1.1833162073028893</v>
      </c>
      <c r="V69" s="217">
        <f t="shared" ref="V69:V105" si="187">L*T69/K69*1000000</f>
        <v>1.6521981556719794</v>
      </c>
      <c r="W69" s="197">
        <f t="shared" ref="W69:W105" si="188">IF(1/((350000*L)*(1/J69+1/K69))&gt;Isw_min, 350, 0.001/((Isw_min*L)*(1/J69+1/K69)))</f>
        <v>350</v>
      </c>
      <c r="X69" s="443">
        <f t="shared" si="95"/>
        <v>329.43346017311495</v>
      </c>
      <c r="Z69" s="217">
        <f t="shared" ref="Z69:Z105" si="189">1/((W69*1000*L)*(1/J69+1/K69))</f>
        <v>2.3770553979722266</v>
      </c>
      <c r="AA69" s="173">
        <f t="shared" ref="AA69:AA105" si="190">L*Z69/K69*1000000</f>
        <v>1.6648006515862734</v>
      </c>
      <c r="AB69" s="173">
        <f t="shared" ref="AB69:AB100" si="191">0.5*AA69*Z69*Nps*W69/1000*(Pout/Pout_total)</f>
        <v>0.69253159069514547</v>
      </c>
      <c r="AC69" s="173"/>
      <c r="AD69" s="173">
        <f t="shared" ref="AD69:AD105" si="192">L*Isw_min/K69*1000000</f>
        <v>0.9338167734789018</v>
      </c>
      <c r="AE69" s="545">
        <f t="shared" ref="AE69:AE100" si="193">MAX(10, F69/(0.5*AD69/1000000*Isw_min*Nps)/1000*Pout_total/Pout)</f>
        <v>1028.0389336160169</v>
      </c>
      <c r="AF69" s="528">
        <f t="shared" ref="AF69:AF105" si="194">0.5*AD69/1000000*Isw_min*Nps*W69*1000*(Pout/Pout_total)</f>
        <v>0.21789058047841045</v>
      </c>
      <c r="AH69" s="173">
        <f t="shared" ref="AH69:AH105" si="195">SQRT((H69+I69)/(0.5*L*Fsw_DCM))</f>
        <v>2.3680411836830553</v>
      </c>
      <c r="AI69" s="173">
        <f t="shared" ref="AI69:AI100" si="196">MAX(IF(F69&gt;AB69,T69,AH69),Isw_min)</f>
        <v>2.3680411836830553</v>
      </c>
      <c r="AJ69" s="173">
        <f t="shared" ref="AJ69:AJ100" si="197">IF(F69&gt;AF69, (AI69-Isw_min)/1.08*0.8+1.2, AE69*0.2/350+1)</f>
        <v>1.9664502595183124</v>
      </c>
      <c r="AL69" s="545">
        <f t="shared" ref="AL69:AL105" si="198">F69*1000</f>
        <v>640</v>
      </c>
      <c r="AM69" s="460">
        <f t="shared" ref="AM69:AM105" si="199">IF(F69&gt;AF69, X69, AE69)</f>
        <v>329.43346017311495</v>
      </c>
      <c r="AO69">
        <f t="shared" si="96"/>
        <v>640</v>
      </c>
      <c r="AP69">
        <f t="shared" ref="AP69:AP105" si="200">IF(H69&gt;O69, "",AM69)</f>
        <v>329.43346017311495</v>
      </c>
      <c r="AR69" s="5">
        <f t="shared" si="97"/>
        <v>3.0355143629748693</v>
      </c>
      <c r="AS69" s="5">
        <f t="shared" ref="AS69:AS105" si="201">L*AI69/J69*1000000</f>
        <v>1.1878206331287475</v>
      </c>
      <c r="AT69" s="5">
        <f t="shared" si="98"/>
        <v>1.8476937298461218</v>
      </c>
      <c r="AU69" s="173">
        <f t="shared" si="99"/>
        <v>0.39130786123662342</v>
      </c>
      <c r="AW69" s="5">
        <f t="shared" ref="AW69:AW105" si="202">F69*AS69/Vout_ripple*1000</f>
        <v>4.6353975926975517</v>
      </c>
      <c r="AX69" s="5">
        <f t="shared" ref="AX69:AX105" si="203">G69*AS69/Vout_ripple2*1000</f>
        <v>2.3756412662574951</v>
      </c>
      <c r="AY69" s="5">
        <f t="shared" ref="AY69:AY105" si="204">H69/Efficiency/J69*AT69/Vinripple1</f>
        <v>0.67554289208669049</v>
      </c>
      <c r="AZ69" s="5"/>
      <c r="BA69" s="173">
        <f t="shared" si="100"/>
        <v>0.8552398135715229</v>
      </c>
      <c r="BB69" s="173">
        <f t="shared" ref="BB69:BB105" si="205">AI69*Npri_sec1*SQRT((1-AU69)/3)*(Pout/Pout_total)</f>
        <v>1.0666635882453732</v>
      </c>
      <c r="BC69" s="173">
        <f t="shared" ref="BC69:BC105" si="206">AI69*Npri_sec2*SQRT((1-AU69)/3)*(Pout2/Pout_total)</f>
        <v>0.26169221461974002</v>
      </c>
      <c r="BD69" s="173"/>
      <c r="BE69" s="528">
        <f t="shared" ref="BE69:BE105" si="207">Rdson*BA69^2</f>
        <v>1.4628702774357065E-2</v>
      </c>
      <c r="BF69" s="528">
        <f t="shared" ref="BF69:BF105" si="208">0.5*L69*AI69*AM69*1000*Tfall</f>
        <v>0.6005478019320013</v>
      </c>
      <c r="BG69" s="528">
        <f t="shared" ref="BG69:BG105" si="209">Qg*Vdd*AM69*1000*0+Qg*J69*AM69*1000</f>
        <v>0.19702772772644495</v>
      </c>
      <c r="BH69" s="528">
        <f t="shared" ref="BH69:BH105" si="210">0.5*(Coss+Csw)*L69^2*AM69*1000</f>
        <v>5.5532395655353992E-2</v>
      </c>
      <c r="BI69">
        <f t="shared" ref="BI69:BI105" si="211">J69*IQ</f>
        <v>1.0765448953522659E-2</v>
      </c>
      <c r="BJ69" s="460">
        <f t="shared" si="101"/>
        <v>207.79317667996762</v>
      </c>
      <c r="BK69">
        <f t="shared" ref="BK69:BK105" si="212">(BF69+BG69*0+BH69+BI69*0+BE69*(1+RdsonTC*(Ta-25)))/(1-BE69*RdsonTC*ThetaJA)</f>
        <v>0.67701179401469624</v>
      </c>
      <c r="BL69" s="460">
        <f t="shared" si="102"/>
        <v>677.01179401469619</v>
      </c>
      <c r="BM69" s="173">
        <f t="shared" ref="BM69:BM105" si="213">Vfwd2*F69*(1+Diode_TC/1000*(Ta-25))</f>
        <v>0.39759999999999995</v>
      </c>
      <c r="BN69" s="173">
        <f t="shared" ref="BN69:BN105" si="214">Vfwd22*G69*(1+Diode_TC/1000*(Ta-25))</f>
        <v>7.0999999999999994E-2</v>
      </c>
      <c r="BO69" s="528"/>
      <c r="BQ69" s="460">
        <f t="shared" si="103"/>
        <v>468.59999999999997</v>
      </c>
      <c r="BR69" s="528">
        <f t="shared" ref="BR69:BR105" si="215">Rdcr_pri*BA69^2</f>
        <v>2.1943054161535597E-2</v>
      </c>
      <c r="BS69" s="528">
        <f t="shared" ref="BS69:BS105" si="216">Rdcr_sec*BB69^2</f>
        <v>3.4133136314654852E-2</v>
      </c>
      <c r="BT69" s="528">
        <f t="shared" ref="BT69:BT105" si="217">Rdcr_sec2*BC69^2</f>
        <v>3.4241407596292039E-4</v>
      </c>
      <c r="BU69" s="528">
        <f t="shared" ref="BU69:BU105" si="218">AI69^2.5*AM69^2.5*k_core</f>
        <v>0.84988937876061532</v>
      </c>
      <c r="BV69" s="528">
        <f t="shared" ref="BV69:BV100" si="219">(BU69+(BR69+BS69+BT69)*(1+Ltc*(Ta-25)))/(1-(BR69+BS69+BT69)*Ltc*ThetaCa)</f>
        <v>0.92401899739831694</v>
      </c>
      <c r="BW69" s="625">
        <f t="shared" ref="BW69:BW105" si="220">0.5*Lleak*0.000000001*AI69^2*AM69*1000</f>
        <v>9.2366867309490487E-3</v>
      </c>
      <c r="BX69" s="460">
        <f t="shared" si="105"/>
        <v>933.255684129266</v>
      </c>
      <c r="BY69" s="173">
        <f t="shared" si="106"/>
        <v>2.078867478143962</v>
      </c>
      <c r="BZ69" s="5">
        <f t="shared" si="107"/>
        <v>11.775999999999998</v>
      </c>
      <c r="CA69" s="173">
        <f t="shared" si="108"/>
        <v>0.84995399765292778</v>
      </c>
      <c r="CB69" s="5">
        <f t="shared" si="109"/>
        <v>84.995399765292774</v>
      </c>
      <c r="CC69">
        <f t="shared" si="173"/>
        <v>64</v>
      </c>
      <c r="CE69" s="562">
        <f t="shared" ref="CE69:CE105" si="221">IF(ABS(F69-Ioutmax_Vinnom)&lt;Iout/200, AM69, -50)</f>
        <v>-50</v>
      </c>
      <c r="CF69">
        <f t="shared" ref="CF69:CF105" si="222">IF(ABS(F69-Ioutmax_Vinnom)&lt;Iout/200, (O69+P69)*CA69, -50)</f>
        <v>-50</v>
      </c>
      <c r="CG69" s="173">
        <f t="shared" ref="CG69:CG105" si="223">MIN(SQRT(2*DT69*1000*Ls1_*(CL69+CJ69*Vfwd1))/(CW69+Vfwd1), 1-DY69)</f>
        <v>0.56500122953983234</v>
      </c>
      <c r="CH69" s="173">
        <f t="shared" ref="CH69:CH105" si="224">MIN(SQRT(2*DT69*1000*Ls2_*(CM69+CK69*Vfwd22))/(Vout2+Vfwd22), 1-DY69)</f>
        <v>0.19741829216945347</v>
      </c>
      <c r="CI69" s="170">
        <v>64</v>
      </c>
      <c r="CJ69" s="217">
        <f t="shared" si="133"/>
        <v>0.64</v>
      </c>
      <c r="CK69" s="217">
        <f t="shared" si="111"/>
        <v>0.16</v>
      </c>
      <c r="CL69" s="217">
        <f t="shared" ref="CL69:CL105" si="225">CJ69*Vout</f>
        <v>10.495999999999999</v>
      </c>
      <c r="CM69" s="217">
        <f t="shared" si="134"/>
        <v>1.28</v>
      </c>
      <c r="CN69" s="541">
        <f t="shared" si="112"/>
        <v>24</v>
      </c>
      <c r="CO69" s="443">
        <f t="shared" ref="CO69:CO105" si="226">(CW69+Vfwd2)*Nps</f>
        <v>17.099999999999998</v>
      </c>
      <c r="CP69" s="443">
        <f t="shared" ref="CP69:CP105" si="227">(Vout+Vfwd2)*Nps+CN69</f>
        <v>41.099999999999994</v>
      </c>
      <c r="CQ69" s="443"/>
      <c r="CR69" s="217">
        <f t="shared" ref="CR69:CR105" si="228">(Vout+Vfwd1)*Nps/((Vout+Vfwd1)*Nps+CN69)</f>
        <v>0.41176470588235292</v>
      </c>
      <c r="CS69" s="172">
        <f t="shared" si="114"/>
        <v>29.36061381074169</v>
      </c>
      <c r="CT69" s="172">
        <f t="shared" ref="CT69:CT105" si="229">CR69*CN69*Isw_max*0.5*Efficiency*(Pout2/Pout_total)</f>
        <v>4.0172166427546641</v>
      </c>
      <c r="CU69" s="217">
        <f t="shared" ref="CU69:CU105" si="230">CS69/Vout</f>
        <v>1.7902813299232738</v>
      </c>
      <c r="CV69" s="217">
        <f t="shared" ref="CV69:CV105" si="231">CS69/Vout2</f>
        <v>3.6700767263427112</v>
      </c>
      <c r="CW69" s="443">
        <f t="shared" ref="CW69:CW105" si="232">MIN(Vout,CS69/CJ69)</f>
        <v>16.399999999999999</v>
      </c>
      <c r="CX69" s="217">
        <f t="shared" ref="CX69:CX105" si="233">MIN(2*(Vout*CJ69+Vout2*CK69)/(Efficiency*CN69*CR69), Isw_max)</f>
        <v>2.3832380952380947</v>
      </c>
      <c r="CY69" s="217">
        <f t="shared" ref="CY69:CY105" si="234">L*CX69/CN69*1000000</f>
        <v>1.1916190476190474</v>
      </c>
      <c r="CZ69" s="217">
        <f t="shared" ref="CZ69:CZ105" si="235">L*CX69/CO69*1000000</f>
        <v>1.6724477861319966</v>
      </c>
      <c r="DA69" s="197">
        <f t="shared" ref="DA69:DA105" si="236">IF(1/((350000*L)*(1/CN69+1/CO69))&gt;Isw_min, 350, 0.001/((Isw_min*L)*(1/CN69+1/CO69)))</f>
        <v>350</v>
      </c>
      <c r="DB69" s="443">
        <f t="shared" si="115"/>
        <v>349.15386338603992</v>
      </c>
      <c r="DD69" s="217">
        <f t="shared" ref="DD69:DD105" si="237">1/((DA69*1000*L)*(1/CN69+1/CO69))</f>
        <v>2.377476538060479</v>
      </c>
      <c r="DE69" s="173">
        <f t="shared" ref="DE69:DE105" si="238">L*DD69/CO69*1000000</f>
        <v>1.668404588112617</v>
      </c>
      <c r="DF69" s="173">
        <f t="shared" ref="DF69:DF105" si="239">0.5*DE69*DD69*Nps*DA69/1000*(Pout/Pout_total)</f>
        <v>0.69415373374028577</v>
      </c>
      <c r="DG69" s="173"/>
      <c r="DH69" s="173">
        <f t="shared" ref="DH69:DH105" si="240">L*Isw_min/CO69*1000000</f>
        <v>0.93567251461988332</v>
      </c>
      <c r="DI69" s="545">
        <f t="shared" ref="DI69:DI105" si="241">MAX(10, CJ69/(0.5*DH69/1000000*Isw_min*Nps)/1000*Pout_total/Pout)</f>
        <v>1025.9999999999995</v>
      </c>
      <c r="DJ69" s="528">
        <f t="shared" ref="DJ69:DJ105" si="242">0.5*DH69/1000000*Isw_min*Nps*DA69*1000*(Pout/Pout_total)</f>
        <v>0.21832358674463945</v>
      </c>
      <c r="DL69" s="173">
        <f t="shared" ref="DL69:DL105" si="243">SQRT((CL69+CM69)/(0.5*L*Fsw_DCM))</f>
        <v>2.3680411836830553</v>
      </c>
      <c r="DM69" s="173">
        <f t="shared" ref="DM69:DM105" si="244">MAX(IF(CJ69&gt;DF69,CX69,DL69),Isw_min)</f>
        <v>2.3680411836830553</v>
      </c>
      <c r="DN69" s="173">
        <f t="shared" ref="DN69:DN105" si="245">IF(CJ69&gt;DJ69, (DM69-Isw_min)/1.08*0.8+1.2, DI69*0.2/350+1)</f>
        <v>1.9664502595183124</v>
      </c>
      <c r="DP69" s="545">
        <f t="shared" ref="DP69:DP105" si="246">CJ69*1000</f>
        <v>640</v>
      </c>
      <c r="DQ69" s="460">
        <f t="shared" ref="DQ69:DQ105" si="247">IF(CJ69&gt;DJ69, DB69, DI69)</f>
        <v>349.15386338603992</v>
      </c>
      <c r="DS69">
        <f t="shared" si="116"/>
        <v>640</v>
      </c>
      <c r="DT69">
        <f t="shared" ref="DT69:DT90" si="248">IF(CL69&gt;CS69, "",DQ69)</f>
        <v>349.15386338603992</v>
      </c>
      <c r="DV69" s="5">
        <f t="shared" si="117"/>
        <v>2.864066833751044</v>
      </c>
      <c r="DW69" s="5">
        <f t="shared" ref="DW69:DW105" si="249">L*DM69/CN69*1000000</f>
        <v>1.1840205918415276</v>
      </c>
      <c r="DX69" s="5">
        <f t="shared" si="118"/>
        <v>1.6800462419095163</v>
      </c>
      <c r="DY69" s="173">
        <f t="shared" si="119"/>
        <v>0.41340536397009492</v>
      </c>
      <c r="EA69" s="5">
        <f t="shared" ref="EA69:EA105" si="250">CJ69*DW69/Vout_ripple*1000</f>
        <v>4.6205681632840117</v>
      </c>
      <c r="EB69" s="5">
        <f t="shared" ref="EB69:EB105" si="251">CK69*DW69/Vout_ripple2*1000</f>
        <v>2.3680411836830553</v>
      </c>
      <c r="EC69" s="5">
        <f t="shared" ref="EC69:EC105" si="252">CL69/Efficiency/CN69*DX69/Vinripple1</f>
        <v>0.61228351927369029</v>
      </c>
      <c r="ED69" s="5"/>
      <c r="EE69" s="173">
        <f t="shared" si="120"/>
        <v>0.87905627301604694</v>
      </c>
      <c r="EF69" s="173">
        <f t="shared" ref="EF69:EF105" si="253">DM69*Npri_sec1*SQRT((1-DY69)/3)*(Pout/Pout_total)</f>
        <v>1.0471229240530864</v>
      </c>
      <c r="EG69" s="173">
        <f t="shared" ref="EG69:EG105" si="254">DM69*Npri_sec2*SQRT((1-DY69)/3)*(Pout2/Pout_total)</f>
        <v>0.25689816357686907</v>
      </c>
      <c r="EH69" s="173"/>
      <c r="EI69" s="528">
        <f t="shared" ref="EI69:EI105" si="255">Rdson*EE69^2</f>
        <v>1.5454798622577258E-2</v>
      </c>
      <c r="EJ69" s="528">
        <f t="shared" ref="EJ69:EJ105" si="256">0.5*CP69*DM69*DQ69*1000*Trise</f>
        <v>0.67963841836683592</v>
      </c>
      <c r="EK69" s="528">
        <f t="shared" ref="EK69:EK105" si="257">Qg*Vdd*DQ69*1000</f>
        <v>4.3644232923254991E-2</v>
      </c>
      <c r="EL69" s="528">
        <f t="shared" ref="EL69:EL105" si="258">0.5*(Coss+Csw)*CP69^2*DQ69*1000</f>
        <v>5.8979419757033233E-2</v>
      </c>
      <c r="EM69">
        <f t="shared" ref="EM69:EM105" si="259">CN69*IQ</f>
        <v>1.0800000000000001E-2</v>
      </c>
      <c r="EN69" s="460">
        <f t="shared" si="121"/>
        <v>54.444232923254994</v>
      </c>
      <c r="EO69">
        <f t="shared" ref="EO69:EO105" si="260">(EJ69+EK69+EL69+EM69+EI69*(1+RdsonTC*(Ta-25)))/(1-EI69*RdsonTC*ThetaJA)</f>
        <v>0.81568490935060223</v>
      </c>
      <c r="EP69" s="460">
        <f t="shared" si="122"/>
        <v>815.6849093506022</v>
      </c>
      <c r="EQ69" s="173">
        <f t="shared" ref="EQ69:EQ105" si="261">Vfwd2*CJ69*(1+Diode_TC/1000*(Ta-25))</f>
        <v>0.39759999999999995</v>
      </c>
      <c r="ER69" s="173">
        <f t="shared" ref="ER69:ER105" si="262">Vfwd22*CK69*(1+Diode_TC/1000*(Ta-25))</f>
        <v>7.0999999999999994E-2</v>
      </c>
      <c r="ES69" s="528"/>
      <c r="EU69" s="460">
        <f t="shared" si="123"/>
        <v>468.59999999999997</v>
      </c>
      <c r="EV69" s="528">
        <f t="shared" ref="EV69:EV105" si="263">Rdcr_pri*EE69^2</f>
        <v>2.3182197933865886E-2</v>
      </c>
      <c r="EW69" s="528">
        <f t="shared" si="124"/>
        <v>3.2893992542324571E-2</v>
      </c>
      <c r="EX69" s="528">
        <f t="shared" ref="EX69:EX105" si="264">Rdcr_sec2*EG69^2</f>
        <v>3.2998333224583892E-4</v>
      </c>
      <c r="EY69" s="528">
        <f t="shared" ref="EY69:EY105" si="265">DM69^2.5*DQ69^2.5*k_core</f>
        <v>0.98284551870977388</v>
      </c>
      <c r="EZ69" s="528">
        <f t="shared" ref="EZ69:EZ105" si="266">(EY69+(EV69+EW69+EX69)*(1+Ltc*(Ta-25)))/(1-(EV69+EW69+EX69)*Ltc*ThetaCa)</f>
        <v>1.0575614136652185</v>
      </c>
      <c r="FA69" s="625">
        <f t="shared" ref="FA69:FA105" si="267">0.5*Lleak*0.000000001*DM69^2*DQ69*1000</f>
        <v>9.7896092743666764E-3</v>
      </c>
      <c r="FB69" s="460">
        <f t="shared" si="125"/>
        <v>1067.3510229395854</v>
      </c>
      <c r="FC69" s="173">
        <f t="shared" si="126"/>
        <v>2.3516359322901872</v>
      </c>
      <c r="FD69" s="5">
        <f t="shared" si="127"/>
        <v>11.775999999999998</v>
      </c>
      <c r="FE69" s="173">
        <f t="shared" si="128"/>
        <v>0.83354356358268844</v>
      </c>
      <c r="FF69" s="5">
        <f t="shared" si="129"/>
        <v>83.354356358268845</v>
      </c>
      <c r="FG69">
        <f t="shared" si="130"/>
        <v>64</v>
      </c>
      <c r="FI69" s="562">
        <f t="shared" ref="FI69:FI105" si="268">IF(ABS(CJ69-Ioutmax_Vinnom)&lt;Iout/200, DQ69, -50)</f>
        <v>-50</v>
      </c>
      <c r="FJ69">
        <f t="shared" ref="FJ69:FJ105" si="269">IF(ABS(CJ69-Ioutmax_Vinnom)&lt;Iout/200, (CS69+CT69)*FE69, -50)</f>
        <v>-50</v>
      </c>
      <c r="FL69">
        <f t="shared" ref="FL69:FL105" si="270">MIN(SQRT(2*DQ69*1000*L*CJ69*(Vout+Vfwd1))/(Nps*(Vout+Vfwd1)),1-DY69)</f>
        <v>0.56500122953983234</v>
      </c>
    </row>
    <row r="70" spans="5:168">
      <c r="E70" s="170">
        <v>65</v>
      </c>
      <c r="F70" s="217">
        <f t="shared" si="174"/>
        <v>0.65</v>
      </c>
      <c r="G70" s="217">
        <f t="shared" ref="G70:G105" si="271">IF(PLOT_TYPE=1, E70/100*Iout2, min_I*EXP(Q70*rr/100))</f>
        <v>0.16250000000000001</v>
      </c>
      <c r="H70" s="217">
        <f t="shared" si="176"/>
        <v>10.66</v>
      </c>
      <c r="I70" s="217">
        <f t="shared" si="175"/>
        <v>1.3</v>
      </c>
      <c r="J70" s="541">
        <f t="shared" si="177"/>
        <v>23.922020207603225</v>
      </c>
      <c r="K70" s="443">
        <f t="shared" si="178"/>
        <v>17.13451319922946</v>
      </c>
      <c r="L70" s="172">
        <f t="shared" si="179"/>
        <v>41.056533406832685</v>
      </c>
      <c r="M70" s="443"/>
      <c r="N70" s="217">
        <f t="shared" si="180"/>
        <v>0.41733950183865037</v>
      </c>
      <c r="O70" s="172">
        <f t="shared" ref="O70:O101" si="272">N70*J70*Isw_max*0.5*Efficiency*Pout/(Pout+Pout2)</f>
        <v>29.66143216326272</v>
      </c>
      <c r="P70" s="172">
        <f t="shared" si="181"/>
        <v>4.0583756082988858</v>
      </c>
      <c r="Q70" s="217">
        <f t="shared" si="182"/>
        <v>1.8086239123940684</v>
      </c>
      <c r="R70" s="217">
        <f t="shared" si="183"/>
        <v>3.70767902040784</v>
      </c>
      <c r="S70" s="443">
        <f t="shared" si="184"/>
        <v>16.399999999999999</v>
      </c>
      <c r="T70" s="217">
        <f t="shared" si="185"/>
        <v>2.3959283650061427</v>
      </c>
      <c r="U70" s="217">
        <f t="shared" si="186"/>
        <v>1.2018692455972271</v>
      </c>
      <c r="V70" s="217">
        <f t="shared" si="187"/>
        <v>1.6779665722494324</v>
      </c>
      <c r="W70" s="197">
        <f t="shared" si="188"/>
        <v>350</v>
      </c>
      <c r="X70" s="443">
        <f t="shared" ref="X70:X105" si="273">MIN(1/(U70+V70+0.2)*1000, 350)</f>
        <v>324.69263270636736</v>
      </c>
      <c r="Z70" s="217">
        <f t="shared" si="189"/>
        <v>2.3770485705750617</v>
      </c>
      <c r="AA70" s="173">
        <f t="shared" si="190"/>
        <v>1.6647442804609991</v>
      </c>
      <c r="AB70" s="173">
        <f t="shared" si="191"/>
        <v>0.69250615214249478</v>
      </c>
      <c r="AC70" s="173"/>
      <c r="AD70" s="173">
        <f t="shared" si="192"/>
        <v>0.93378783592868708</v>
      </c>
      <c r="AE70" s="545">
        <f t="shared" si="193"/>
        <v>1044.134398078045</v>
      </c>
      <c r="AF70" s="528">
        <f t="shared" si="194"/>
        <v>0.21788382838336035</v>
      </c>
      <c r="AH70" s="173">
        <f t="shared" si="195"/>
        <v>2.3864697976798483</v>
      </c>
      <c r="AI70" s="173">
        <f t="shared" si="196"/>
        <v>2.3864697976798483</v>
      </c>
      <c r="AJ70" s="173">
        <f t="shared" si="197"/>
        <v>1.980101084701122</v>
      </c>
      <c r="AL70" s="545">
        <f t="shared" si="198"/>
        <v>650</v>
      </c>
      <c r="AM70" s="460">
        <f t="shared" si="199"/>
        <v>324.69263270636736</v>
      </c>
      <c r="AO70">
        <f t="shared" ref="AO70:AO105" si="274">IF(H70&gt;O70, "",AL70)</f>
        <v>650</v>
      </c>
      <c r="AP70">
        <f t="shared" si="200"/>
        <v>324.69263270636736</v>
      </c>
      <c r="AR70" s="5">
        <f t="shared" ref="AR70:AR133" si="275">1/AM70*1000</f>
        <v>3.0798358178466598</v>
      </c>
      <c r="AS70" s="5">
        <f t="shared" si="201"/>
        <v>1.1971245456542243</v>
      </c>
      <c r="AT70" s="5">
        <f t="shared" ref="AT70:AT105" si="276">AR70-AS70</f>
        <v>1.8827112721924355</v>
      </c>
      <c r="AU70" s="173">
        <f t="shared" ref="AU70:AU105" si="277">AS70/AR70</f>
        <v>0.38869752040588396</v>
      </c>
      <c r="AW70" s="5">
        <f t="shared" si="202"/>
        <v>4.7447009431417433</v>
      </c>
      <c r="AX70" s="5">
        <f t="shared" si="203"/>
        <v>2.4316592333601434</v>
      </c>
      <c r="AY70" s="5">
        <f t="shared" si="204"/>
        <v>0.69913626258010497</v>
      </c>
      <c r="AZ70" s="5"/>
      <c r="BA70" s="173">
        <f t="shared" ref="BA70:BA105" si="278">AI70*SQRT(AU70/3)</f>
        <v>0.85901589541757561</v>
      </c>
      <c r="BB70" s="173">
        <f t="shared" si="205"/>
        <v>1.0772670930798172</v>
      </c>
      <c r="BC70" s="173">
        <f t="shared" si="206"/>
        <v>0.26429364837395797</v>
      </c>
      <c r="BD70" s="173"/>
      <c r="BE70" s="528">
        <f t="shared" si="207"/>
        <v>1.4758166171601184E-2</v>
      </c>
      <c r="BF70" s="528">
        <f t="shared" si="208"/>
        <v>0.59650203026900972</v>
      </c>
      <c r="BG70" s="528">
        <f t="shared" si="209"/>
        <v>0.19418259302154028</v>
      </c>
      <c r="BH70" s="528">
        <f t="shared" si="210"/>
        <v>5.4731454372295818E-2</v>
      </c>
      <c r="BI70">
        <f t="shared" si="211"/>
        <v>1.0764909093421451E-2</v>
      </c>
      <c r="BJ70" s="460">
        <f t="shared" ref="BJ70:BJ105" si="279">(BG70+BI70)*1000</f>
        <v>204.94750211496174</v>
      </c>
      <c r="BK70">
        <f t="shared" si="212"/>
        <v>0.67233392165874073</v>
      </c>
      <c r="BL70" s="460">
        <f t="shared" ref="BL70:BL105" si="280">BK70*1000</f>
        <v>672.33392165874068</v>
      </c>
      <c r="BM70" s="173">
        <f t="shared" si="213"/>
        <v>0.40381249999999996</v>
      </c>
      <c r="BN70" s="173">
        <f t="shared" si="214"/>
        <v>7.2109375000000003E-2</v>
      </c>
      <c r="BO70" s="528"/>
      <c r="BQ70" s="460">
        <f t="shared" ref="BQ70:BQ105" si="281">SUM(BM70:BP70)*1000</f>
        <v>475.92187499999994</v>
      </c>
      <c r="BR70" s="528">
        <f t="shared" si="215"/>
        <v>2.2137249257401775E-2</v>
      </c>
      <c r="BS70" s="528">
        <f t="shared" si="216"/>
        <v>3.4815131694979184E-2</v>
      </c>
      <c r="BT70" s="528">
        <f t="shared" si="217"/>
        <v>3.492556628540867E-4</v>
      </c>
      <c r="BU70" s="528">
        <f t="shared" si="218"/>
        <v>0.83568180573577089</v>
      </c>
      <c r="BV70" s="528">
        <f t="shared" si="219"/>
        <v>0.91091157305448478</v>
      </c>
      <c r="BW70" s="625">
        <f t="shared" si="220"/>
        <v>9.2460092551622727E-3</v>
      </c>
      <c r="BX70" s="460">
        <f t="shared" ref="BX70:BX105" si="282">(BV70+BW70)*1000</f>
        <v>920.15758230964707</v>
      </c>
      <c r="BY70" s="173">
        <f t="shared" ref="BY70:BY104" si="283">SUM(BK70,BM70:BP70,BV70:BW70)</f>
        <v>2.0684133789683874</v>
      </c>
      <c r="BZ70" s="5">
        <f t="shared" ref="BZ70:BZ105" si="284">MIN(H70+I70,O70+P70)</f>
        <v>11.96</v>
      </c>
      <c r="CA70" s="173">
        <f t="shared" ref="CA70:CA105" si="285">BZ70/(BZ70+BY70)</f>
        <v>0.85255542996263678</v>
      </c>
      <c r="CB70" s="5">
        <f t="shared" ref="CB70:CB105" si="286">CA70*100</f>
        <v>85.255542996263671</v>
      </c>
      <c r="CC70">
        <f t="shared" ref="CC70:CC105" si="287">F70/Iout*100</f>
        <v>65</v>
      </c>
      <c r="CE70" s="562">
        <f t="shared" si="221"/>
        <v>-50</v>
      </c>
      <c r="CF70">
        <f t="shared" si="222"/>
        <v>-50</v>
      </c>
      <c r="CG70" s="173">
        <f t="shared" si="223"/>
        <v>0.56500122953983234</v>
      </c>
      <c r="CH70" s="173">
        <f t="shared" si="224"/>
        <v>0.19741829216945345</v>
      </c>
      <c r="CI70" s="170">
        <v>65</v>
      </c>
      <c r="CJ70" s="217">
        <f t="shared" si="133"/>
        <v>0.65</v>
      </c>
      <c r="CK70" s="217">
        <f t="shared" ref="CK70:CK105" si="288">IF(PLOT_TYPE=1, CI70/100*Iout2, min_I*EXP(CU70*rr/100))</f>
        <v>0.16250000000000001</v>
      </c>
      <c r="CL70" s="217">
        <f t="shared" si="225"/>
        <v>10.66</v>
      </c>
      <c r="CM70" s="217">
        <f t="shared" si="134"/>
        <v>1.3</v>
      </c>
      <c r="CN70" s="541">
        <f t="shared" ref="CN70:CN105" si="289">Vin</f>
        <v>24</v>
      </c>
      <c r="CO70" s="443">
        <f t="shared" si="226"/>
        <v>17.099999999999998</v>
      </c>
      <c r="CP70" s="443">
        <f t="shared" si="227"/>
        <v>41.099999999999994</v>
      </c>
      <c r="CQ70" s="443"/>
      <c r="CR70" s="217">
        <f t="shared" si="228"/>
        <v>0.41176470588235292</v>
      </c>
      <c r="CS70" s="172">
        <f t="shared" ref="CS70:CS105" si="290">CR70*CN70*Isw_max*0.5*Efficiency*Pout/(Pout+Pout2)</f>
        <v>29.36061381074169</v>
      </c>
      <c r="CT70" s="172">
        <f t="shared" si="229"/>
        <v>4.0172166427546641</v>
      </c>
      <c r="CU70" s="217">
        <f t="shared" si="230"/>
        <v>1.7902813299232738</v>
      </c>
      <c r="CV70" s="217">
        <f t="shared" si="231"/>
        <v>3.6700767263427112</v>
      </c>
      <c r="CW70" s="443">
        <f t="shared" si="232"/>
        <v>16.399999999999999</v>
      </c>
      <c r="CX70" s="217">
        <f t="shared" si="233"/>
        <v>2.4204761904761907</v>
      </c>
      <c r="CY70" s="217">
        <f t="shared" si="234"/>
        <v>1.2102380952380953</v>
      </c>
      <c r="CZ70" s="217">
        <f t="shared" si="235"/>
        <v>1.6985797827903095</v>
      </c>
      <c r="DA70" s="197">
        <f t="shared" si="236"/>
        <v>350</v>
      </c>
      <c r="DB70" s="443">
        <f t="shared" ref="DB70:DB105" si="291">MIN(1/(CY70+CZ70)*1000, 350)</f>
        <v>343.7822654877931</v>
      </c>
      <c r="DD70" s="217">
        <f t="shared" si="237"/>
        <v>2.377476538060479</v>
      </c>
      <c r="DE70" s="173">
        <f t="shared" si="238"/>
        <v>1.668404588112617</v>
      </c>
      <c r="DF70" s="173">
        <f t="shared" si="239"/>
        <v>0.69415373374028577</v>
      </c>
      <c r="DG70" s="173"/>
      <c r="DH70" s="173">
        <f t="shared" si="240"/>
        <v>0.93567251461988332</v>
      </c>
      <c r="DI70" s="545">
        <f t="shared" si="241"/>
        <v>1042.0312499999995</v>
      </c>
      <c r="DJ70" s="528">
        <f t="shared" si="242"/>
        <v>0.21832358674463945</v>
      </c>
      <c r="DL70" s="173">
        <f t="shared" si="243"/>
        <v>2.3864697976798483</v>
      </c>
      <c r="DM70" s="173">
        <f t="shared" si="244"/>
        <v>2.3864697976798483</v>
      </c>
      <c r="DN70" s="173">
        <f t="shared" si="245"/>
        <v>1.980101084701122</v>
      </c>
      <c r="DP70" s="545">
        <f t="shared" si="246"/>
        <v>650</v>
      </c>
      <c r="DQ70" s="460">
        <f t="shared" si="247"/>
        <v>343.7822654877931</v>
      </c>
      <c r="DS70">
        <f t="shared" ref="DS70:DS90" si="292">IF(CL70&gt;CS70, "",DP70)</f>
        <v>650</v>
      </c>
      <c r="DT70">
        <f t="shared" si="248"/>
        <v>343.7822654877931</v>
      </c>
      <c r="DV70" s="5">
        <f t="shared" ref="DV70:DV105" si="293">1/DQ70*1000</f>
        <v>2.9088178780284051</v>
      </c>
      <c r="DW70" s="5">
        <f t="shared" si="249"/>
        <v>1.1932348988399242</v>
      </c>
      <c r="DX70" s="5">
        <f t="shared" ref="DX70:DX105" si="294">DV70-DW70</f>
        <v>1.7155829791884809</v>
      </c>
      <c r="DY70" s="173">
        <f t="shared" ref="DY70:DY105" si="295">DW70/DV70</f>
        <v>0.41021299678228673</v>
      </c>
      <c r="EA70" s="5">
        <f t="shared" si="250"/>
        <v>4.729284660036285</v>
      </c>
      <c r="EB70" s="5">
        <f t="shared" si="251"/>
        <v>2.4237583882685958</v>
      </c>
      <c r="EC70" s="5">
        <f t="shared" si="252"/>
        <v>0.63500397771351402</v>
      </c>
      <c r="ED70" s="5"/>
      <c r="EE70" s="173">
        <f t="shared" ref="EE70:EE105" si="296">DM70*SQRT(DY70/3)</f>
        <v>0.88247014801942203</v>
      </c>
      <c r="EF70" s="173">
        <f t="shared" si="253"/>
        <v>1.0581394691945283</v>
      </c>
      <c r="EG70" s="173">
        <f t="shared" si="254"/>
        <v>0.2596009314666633</v>
      </c>
      <c r="EH70" s="173"/>
      <c r="EI70" s="528">
        <f t="shared" si="255"/>
        <v>1.5575071242908411E-2</v>
      </c>
      <c r="EJ70" s="528">
        <f t="shared" si="256"/>
        <v>0.67439016671007934</v>
      </c>
      <c r="EK70" s="528">
        <f t="shared" si="257"/>
        <v>4.2972783185974139E-2</v>
      </c>
      <c r="EL70" s="528">
        <f t="shared" si="258"/>
        <v>5.8072044068463481E-2</v>
      </c>
      <c r="EM70">
        <f t="shared" si="259"/>
        <v>1.0800000000000001E-2</v>
      </c>
      <c r="EN70" s="460">
        <f t="shared" ref="EN70:EN105" si="297">(EK70+EM70)*1000</f>
        <v>53.772783185974141</v>
      </c>
      <c r="EO70">
        <f t="shared" si="260"/>
        <v>0.80900918370275798</v>
      </c>
      <c r="EP70" s="460">
        <f t="shared" ref="EP70:EP105" si="298">EO70*1000</f>
        <v>809.00918370275804</v>
      </c>
      <c r="EQ70" s="173">
        <f t="shared" si="261"/>
        <v>0.40381249999999996</v>
      </c>
      <c r="ER70" s="173">
        <f t="shared" si="262"/>
        <v>7.2109375000000003E-2</v>
      </c>
      <c r="ES70" s="528"/>
      <c r="EU70" s="460">
        <f t="shared" ref="EU70:EU105" si="299">SUM(EQ70:ET70)*1000</f>
        <v>475.92187499999994</v>
      </c>
      <c r="EV70" s="528">
        <f t="shared" si="263"/>
        <v>2.3362606864362617E-2</v>
      </c>
      <c r="EW70" s="528">
        <f t="shared" ref="EW70:EW105" si="300">Rdcr_sec*EF70^2</f>
        <v>3.3589774088018338E-2</v>
      </c>
      <c r="EX70" s="528">
        <f t="shared" si="264"/>
        <v>3.3696321809179605E-4</v>
      </c>
      <c r="EY70" s="528">
        <f t="shared" si="265"/>
        <v>0.963981131935573</v>
      </c>
      <c r="EZ70" s="528">
        <f t="shared" si="266"/>
        <v>1.0397854086380716</v>
      </c>
      <c r="FA70" s="625">
        <f t="shared" si="267"/>
        <v>9.7896092743666816E-3</v>
      </c>
      <c r="FB70" s="460">
        <f t="shared" ref="FB70:FB105" si="301">(EZ70+FA70)*1000</f>
        <v>1049.5750179124384</v>
      </c>
      <c r="FC70" s="173">
        <f t="shared" ref="FC70:FC105" si="302">SUM(EO70,EQ70:ET70,EZ70:FA70)</f>
        <v>2.3345060766151962</v>
      </c>
      <c r="FD70" s="5">
        <f t="shared" ref="FD70:FD105" si="303">MIN(CL70+CM70,CS70+CT70)</f>
        <v>11.96</v>
      </c>
      <c r="FE70" s="173">
        <f t="shared" ref="FE70:FE105" si="304">FD70/(FD70+FC70)</f>
        <v>0.83668508277916065</v>
      </c>
      <c r="FF70" s="5">
        <f t="shared" ref="FF70:FF105" si="305">FE70*100</f>
        <v>83.668508277916061</v>
      </c>
      <c r="FG70">
        <f t="shared" ref="FG70:FG105" si="306">CJ70/Iout*100</f>
        <v>65</v>
      </c>
      <c r="FI70" s="562">
        <f t="shared" si="268"/>
        <v>-50</v>
      </c>
      <c r="FJ70">
        <f t="shared" si="269"/>
        <v>-50</v>
      </c>
      <c r="FL70">
        <f t="shared" si="270"/>
        <v>0.56500122953983234</v>
      </c>
    </row>
    <row r="71" spans="5:168">
      <c r="E71" s="170">
        <v>66</v>
      </c>
      <c r="F71" s="217">
        <f t="shared" si="174"/>
        <v>0.66</v>
      </c>
      <c r="G71" s="217">
        <f t="shared" si="271"/>
        <v>0.16500000000000001</v>
      </c>
      <c r="H71" s="217">
        <f t="shared" si="176"/>
        <v>10.824</v>
      </c>
      <c r="I71" s="217">
        <f t="shared" si="175"/>
        <v>1.32</v>
      </c>
      <c r="J71" s="541">
        <f t="shared" si="177"/>
        <v>23.920820518489428</v>
      </c>
      <c r="K71" s="443">
        <f t="shared" si="178"/>
        <v>17.135044171525298</v>
      </c>
      <c r="L71" s="172">
        <f t="shared" si="179"/>
        <v>41.055864690014729</v>
      </c>
      <c r="M71" s="443"/>
      <c r="N71" s="217">
        <f t="shared" si="180"/>
        <v>0.41735923237521638</v>
      </c>
      <c r="O71" s="172">
        <f t="shared" si="272"/>
        <v>29.661346874251091</v>
      </c>
      <c r="P71" s="172">
        <f t="shared" si="181"/>
        <v>4.0583639387732013</v>
      </c>
      <c r="Q71" s="217">
        <f t="shared" si="182"/>
        <v>1.8086187118445789</v>
      </c>
      <c r="R71" s="217">
        <f t="shared" si="183"/>
        <v>3.7076683592813864</v>
      </c>
      <c r="S71" s="443">
        <f t="shared" si="184"/>
        <v>16.399999999999999</v>
      </c>
      <c r="T71" s="217">
        <f t="shared" si="185"/>
        <v>2.4327957966953226</v>
      </c>
      <c r="U71" s="217">
        <f t="shared" si="186"/>
        <v>1.2204242550032482</v>
      </c>
      <c r="V71" s="217">
        <f t="shared" si="187"/>
        <v>1.7037335455987432</v>
      </c>
      <c r="W71" s="197">
        <f t="shared" si="188"/>
        <v>350</v>
      </c>
      <c r="X71" s="443">
        <f t="shared" si="273"/>
        <v>320.08626446695831</v>
      </c>
      <c r="Z71" s="217">
        <f t="shared" si="189"/>
        <v>2.3770417355671603</v>
      </c>
      <c r="AA71" s="173">
        <f t="shared" si="190"/>
        <v>1.6646879074993817</v>
      </c>
      <c r="AB71" s="173">
        <f t="shared" si="191"/>
        <v>0.69248071074349904</v>
      </c>
      <c r="AC71" s="173"/>
      <c r="AD71" s="173">
        <f t="shared" si="192"/>
        <v>0.93375890017187757</v>
      </c>
      <c r="AE71" s="545">
        <f t="shared" si="193"/>
        <v>1060.2308581131276</v>
      </c>
      <c r="AF71" s="528">
        <f t="shared" si="194"/>
        <v>0.21787707670677145</v>
      </c>
      <c r="AH71" s="173">
        <f t="shared" si="195"/>
        <v>2.404757190000093</v>
      </c>
      <c r="AI71" s="173">
        <f t="shared" si="196"/>
        <v>2.404757190000093</v>
      </c>
      <c r="AJ71" s="173">
        <f t="shared" si="197"/>
        <v>1.9936473012346365</v>
      </c>
      <c r="AL71" s="545">
        <f t="shared" si="198"/>
        <v>660</v>
      </c>
      <c r="AM71" s="460">
        <f t="shared" si="199"/>
        <v>320.08626446695831</v>
      </c>
      <c r="AO71">
        <f t="shared" si="274"/>
        <v>660</v>
      </c>
      <c r="AP71">
        <f t="shared" si="200"/>
        <v>320.08626446695831</v>
      </c>
      <c r="AR71" s="5">
        <f t="shared" si="275"/>
        <v>3.1241578006019921</v>
      </c>
      <c r="AS71" s="5">
        <f t="shared" si="201"/>
        <v>1.206358546844003</v>
      </c>
      <c r="AT71" s="5">
        <f t="shared" si="276"/>
        <v>1.9177992537579891</v>
      </c>
      <c r="AU71" s="173">
        <f t="shared" si="277"/>
        <v>0.38613880086708502</v>
      </c>
      <c r="AW71" s="5">
        <f t="shared" si="202"/>
        <v>4.8548575665673299</v>
      </c>
      <c r="AX71" s="5">
        <f t="shared" si="203"/>
        <v>2.4881145028657565</v>
      </c>
      <c r="AY71" s="5">
        <f t="shared" si="204"/>
        <v>0.7231586916312619</v>
      </c>
      <c r="AZ71" s="5"/>
      <c r="BA71" s="173">
        <f t="shared" si="278"/>
        <v>0.86274475227391068</v>
      </c>
      <c r="BB71" s="173">
        <f t="shared" si="205"/>
        <v>1.0877915885144895</v>
      </c>
      <c r="BC71" s="173">
        <f t="shared" si="206"/>
        <v>0.2668756981864816</v>
      </c>
      <c r="BD71" s="173"/>
      <c r="BE71" s="528">
        <f t="shared" si="207"/>
        <v>1.4886570151523431E-2</v>
      </c>
      <c r="BF71" s="528">
        <f t="shared" si="208"/>
        <v>0.59253600553939545</v>
      </c>
      <c r="BG71" s="528">
        <f t="shared" si="209"/>
        <v>0.19141815206869622</v>
      </c>
      <c r="BH71" s="528">
        <f t="shared" si="210"/>
        <v>5.3953229414980389E-2</v>
      </c>
      <c r="BI71">
        <f t="shared" si="211"/>
        <v>1.0764369233320243E-2</v>
      </c>
      <c r="BJ71" s="460">
        <f t="shared" si="279"/>
        <v>202.18252130201648</v>
      </c>
      <c r="BK71">
        <f t="shared" si="212"/>
        <v>0.667757068563826</v>
      </c>
      <c r="BL71" s="460">
        <f t="shared" si="280"/>
        <v>667.75706856382601</v>
      </c>
      <c r="BM71" s="173">
        <f t="shared" si="213"/>
        <v>0.41002499999999997</v>
      </c>
      <c r="BN71" s="173">
        <f t="shared" si="214"/>
        <v>7.3218749999999999E-2</v>
      </c>
      <c r="BO71" s="528"/>
      <c r="BQ71" s="460">
        <f t="shared" si="281"/>
        <v>483.24374999999998</v>
      </c>
      <c r="BR71" s="528">
        <f t="shared" si="215"/>
        <v>2.2329855227285145E-2</v>
      </c>
      <c r="BS71" s="528">
        <f t="shared" si="216"/>
        <v>3.54987162012863E-2</v>
      </c>
      <c r="BT71" s="528">
        <f t="shared" si="217"/>
        <v>3.5611319141261012E-4</v>
      </c>
      <c r="BU71" s="528">
        <f t="shared" si="218"/>
        <v>0.82189375278142074</v>
      </c>
      <c r="BV71" s="528">
        <f t="shared" si="219"/>
        <v>0.8982237911507025</v>
      </c>
      <c r="BW71" s="625">
        <f t="shared" si="220"/>
        <v>9.2550657040160536E-3</v>
      </c>
      <c r="BX71" s="460">
        <f t="shared" si="282"/>
        <v>907.47885685471852</v>
      </c>
      <c r="BY71" s="173">
        <f t="shared" si="283"/>
        <v>2.0584796754185444</v>
      </c>
      <c r="BZ71" s="5">
        <f t="shared" si="284"/>
        <v>12.144</v>
      </c>
      <c r="CA71" s="173">
        <f t="shared" si="285"/>
        <v>0.85506195238699534</v>
      </c>
      <c r="CB71" s="5">
        <f t="shared" si="286"/>
        <v>85.506195238699533</v>
      </c>
      <c r="CC71">
        <f t="shared" si="287"/>
        <v>66</v>
      </c>
      <c r="CE71" s="562">
        <f t="shared" si="221"/>
        <v>-50</v>
      </c>
      <c r="CF71">
        <f t="shared" si="222"/>
        <v>-50</v>
      </c>
      <c r="CG71" s="173">
        <f t="shared" si="223"/>
        <v>0.56500122953983234</v>
      </c>
      <c r="CH71" s="173">
        <f t="shared" si="224"/>
        <v>0.19741829216945345</v>
      </c>
      <c r="CI71" s="170">
        <v>66</v>
      </c>
      <c r="CJ71" s="217">
        <f t="shared" si="133"/>
        <v>0.66</v>
      </c>
      <c r="CK71" s="217">
        <f t="shared" si="288"/>
        <v>0.16500000000000001</v>
      </c>
      <c r="CL71" s="217">
        <f t="shared" si="225"/>
        <v>10.824</v>
      </c>
      <c r="CM71" s="217">
        <f t="shared" si="134"/>
        <v>1.32</v>
      </c>
      <c r="CN71" s="541">
        <f t="shared" si="289"/>
        <v>24</v>
      </c>
      <c r="CO71" s="443">
        <f t="shared" si="226"/>
        <v>17.099999999999998</v>
      </c>
      <c r="CP71" s="443">
        <f t="shared" si="227"/>
        <v>41.099999999999994</v>
      </c>
      <c r="CQ71" s="443"/>
      <c r="CR71" s="217">
        <f t="shared" si="228"/>
        <v>0.41176470588235292</v>
      </c>
      <c r="CS71" s="172">
        <f t="shared" si="290"/>
        <v>29.36061381074169</v>
      </c>
      <c r="CT71" s="172">
        <f t="shared" si="229"/>
        <v>4.0172166427546641</v>
      </c>
      <c r="CU71" s="217">
        <f t="shared" si="230"/>
        <v>1.7902813299232738</v>
      </c>
      <c r="CV71" s="217">
        <f t="shared" si="231"/>
        <v>3.6700767263427112</v>
      </c>
      <c r="CW71" s="443">
        <f t="shared" si="232"/>
        <v>16.399999999999999</v>
      </c>
      <c r="CX71" s="217">
        <f t="shared" si="233"/>
        <v>2.4577142857142857</v>
      </c>
      <c r="CY71" s="217">
        <f t="shared" si="234"/>
        <v>1.2288571428571429</v>
      </c>
      <c r="CZ71" s="217">
        <f t="shared" si="235"/>
        <v>1.724711779448622</v>
      </c>
      <c r="DA71" s="197">
        <f t="shared" si="236"/>
        <v>350</v>
      </c>
      <c r="DB71" s="443">
        <f t="shared" si="291"/>
        <v>338.5734432834326</v>
      </c>
      <c r="DD71" s="217">
        <f t="shared" si="237"/>
        <v>2.377476538060479</v>
      </c>
      <c r="DE71" s="173">
        <f t="shared" si="238"/>
        <v>1.668404588112617</v>
      </c>
      <c r="DF71" s="173">
        <f t="shared" si="239"/>
        <v>0.69415373374028577</v>
      </c>
      <c r="DG71" s="173"/>
      <c r="DH71" s="173">
        <f t="shared" si="240"/>
        <v>0.93567251461988332</v>
      </c>
      <c r="DI71" s="545">
        <f t="shared" si="241"/>
        <v>1058.0624999999995</v>
      </c>
      <c r="DJ71" s="528">
        <f t="shared" si="242"/>
        <v>0.21832358674463945</v>
      </c>
      <c r="DL71" s="173">
        <f t="shared" si="243"/>
        <v>2.404757190000093</v>
      </c>
      <c r="DM71" s="173">
        <f t="shared" si="244"/>
        <v>2.404757190000093</v>
      </c>
      <c r="DN71" s="173">
        <f t="shared" si="245"/>
        <v>1.9936473012346365</v>
      </c>
      <c r="DP71" s="545">
        <f t="shared" si="246"/>
        <v>660</v>
      </c>
      <c r="DQ71" s="460">
        <f t="shared" si="247"/>
        <v>338.5734432834326</v>
      </c>
      <c r="DS71">
        <f t="shared" si="292"/>
        <v>660</v>
      </c>
      <c r="DT71">
        <f t="shared" si="248"/>
        <v>338.5734432834326</v>
      </c>
      <c r="DV71" s="5">
        <f t="shared" si="293"/>
        <v>2.9535689223057648</v>
      </c>
      <c r="DW71" s="5">
        <f t="shared" si="249"/>
        <v>1.2023785950000465</v>
      </c>
      <c r="DX71" s="5">
        <f t="shared" si="294"/>
        <v>1.7511903273057183</v>
      </c>
      <c r="DY71" s="173">
        <f t="shared" si="295"/>
        <v>0.40709346103946159</v>
      </c>
      <c r="EA71" s="5">
        <f t="shared" si="250"/>
        <v>4.8388406871953107</v>
      </c>
      <c r="EB71" s="5">
        <f t="shared" si="251"/>
        <v>2.4799058521875961</v>
      </c>
      <c r="EC71" s="5">
        <f t="shared" si="252"/>
        <v>0.65815569801239904</v>
      </c>
      <c r="ED71" s="5"/>
      <c r="EE71" s="173">
        <f t="shared" si="296"/>
        <v>0.88584485642849953</v>
      </c>
      <c r="EF71" s="173">
        <f t="shared" si="253"/>
        <v>1.0690640476408413</v>
      </c>
      <c r="EG71" s="173">
        <f t="shared" si="254"/>
        <v>0.26228113650872859</v>
      </c>
      <c r="EH71" s="173"/>
      <c r="EI71" s="528">
        <f t="shared" si="255"/>
        <v>1.5694422193216581E-2</v>
      </c>
      <c r="EJ71" s="528">
        <f t="shared" si="256"/>
        <v>0.66926164994887483</v>
      </c>
      <c r="EK71" s="528">
        <f t="shared" si="257"/>
        <v>4.2321680410429073E-2</v>
      </c>
      <c r="EL71" s="528">
        <f t="shared" si="258"/>
        <v>5.7192164612880701E-2</v>
      </c>
      <c r="EM71">
        <f t="shared" si="259"/>
        <v>1.0800000000000001E-2</v>
      </c>
      <c r="EN71" s="460">
        <f t="shared" si="297"/>
        <v>53.121680410429072</v>
      </c>
      <c r="EO71">
        <f t="shared" si="260"/>
        <v>0.80249992915064217</v>
      </c>
      <c r="EP71" s="460">
        <f t="shared" si="298"/>
        <v>802.49992915064217</v>
      </c>
      <c r="EQ71" s="173">
        <f t="shared" si="261"/>
        <v>0.41002499999999997</v>
      </c>
      <c r="ER71" s="173">
        <f t="shared" si="262"/>
        <v>7.3218749999999999E-2</v>
      </c>
      <c r="ES71" s="528"/>
      <c r="EU71" s="460">
        <f t="shared" si="299"/>
        <v>483.24374999999998</v>
      </c>
      <c r="EV71" s="528">
        <f t="shared" si="263"/>
        <v>2.3541633289824868E-2</v>
      </c>
      <c r="EW71" s="528">
        <f t="shared" si="300"/>
        <v>3.4286938138746566E-2</v>
      </c>
      <c r="EX71" s="528">
        <f t="shared" si="264"/>
        <v>3.4395697284155159E-4</v>
      </c>
      <c r="EY71" s="528">
        <f t="shared" si="265"/>
        <v>0.94575862344591355</v>
      </c>
      <c r="EZ71" s="528">
        <f t="shared" si="266"/>
        <v>1.0226517778309154</v>
      </c>
      <c r="FA71" s="625">
        <f t="shared" si="267"/>
        <v>9.7896092743666816E-3</v>
      </c>
      <c r="FB71" s="460">
        <f t="shared" si="301"/>
        <v>1032.4413871052823</v>
      </c>
      <c r="FC71" s="173">
        <f t="shared" si="302"/>
        <v>2.318185066255924</v>
      </c>
      <c r="FD71" s="5">
        <f t="shared" si="303"/>
        <v>12.144</v>
      </c>
      <c r="FE71" s="173">
        <f t="shared" si="304"/>
        <v>0.83970713584181289</v>
      </c>
      <c r="FF71" s="5">
        <f t="shared" si="305"/>
        <v>83.970713584181283</v>
      </c>
      <c r="FG71">
        <f t="shared" si="306"/>
        <v>66</v>
      </c>
      <c r="FI71" s="562">
        <f t="shared" si="268"/>
        <v>-50</v>
      </c>
      <c r="FJ71">
        <f t="shared" si="269"/>
        <v>-50</v>
      </c>
      <c r="FL71">
        <f t="shared" si="270"/>
        <v>0.56500122953983223</v>
      </c>
    </row>
    <row r="72" spans="5:168">
      <c r="E72" s="170">
        <v>67</v>
      </c>
      <c r="F72" s="217">
        <f t="shared" ref="F72:F103" si="307">IF(PLOT_TYPE=1, E72/100*Iout_max, min_I*EXP(O72*rr/100))</f>
        <v>0.67</v>
      </c>
      <c r="G72" s="217">
        <f t="shared" si="271"/>
        <v>0.16750000000000001</v>
      </c>
      <c r="H72" s="217">
        <f t="shared" si="176"/>
        <v>10.988</v>
      </c>
      <c r="I72" s="217">
        <f t="shared" ref="I72:I105" si="308">Vout2*G72</f>
        <v>1.34</v>
      </c>
      <c r="J72" s="541">
        <f t="shared" si="177"/>
        <v>23.919620829375631</v>
      </c>
      <c r="K72" s="443">
        <f t="shared" si="178"/>
        <v>17.135575143821136</v>
      </c>
      <c r="L72" s="172">
        <f t="shared" si="179"/>
        <v>41.055195973196767</v>
      </c>
      <c r="M72" s="443"/>
      <c r="N72" s="217">
        <f t="shared" si="180"/>
        <v>0.4173789635545338</v>
      </c>
      <c r="O72" s="172">
        <f t="shared" si="272"/>
        <v>29.661261490266075</v>
      </c>
      <c r="P72" s="172">
        <f t="shared" si="181"/>
        <v>4.0583522562529435</v>
      </c>
      <c r="Q72" s="217">
        <f t="shared" si="182"/>
        <v>1.8086135055040291</v>
      </c>
      <c r="R72" s="217">
        <f t="shared" si="183"/>
        <v>3.7076576862832593</v>
      </c>
      <c r="S72" s="443">
        <f t="shared" si="184"/>
        <v>16.399999999999999</v>
      </c>
      <c r="T72" s="217">
        <f t="shared" si="185"/>
        <v>2.4696634483119624</v>
      </c>
      <c r="U72" s="217">
        <f t="shared" si="186"/>
        <v>1.238981235996337</v>
      </c>
      <c r="V72" s="217">
        <f t="shared" si="187"/>
        <v>1.729499076103663</v>
      </c>
      <c r="W72" s="197">
        <f t="shared" si="188"/>
        <v>350</v>
      </c>
      <c r="X72" s="443">
        <f t="shared" si="273"/>
        <v>315.60871506164466</v>
      </c>
      <c r="Z72" s="217">
        <f t="shared" si="189"/>
        <v>2.377034892948152</v>
      </c>
      <c r="AA72" s="173">
        <f t="shared" si="190"/>
        <v>1.6646315327013319</v>
      </c>
      <c r="AB72" s="173">
        <f t="shared" si="191"/>
        <v>0.69245526649824496</v>
      </c>
      <c r="AC72" s="173"/>
      <c r="AD72" s="173">
        <f t="shared" si="192"/>
        <v>0.93372996620830628</v>
      </c>
      <c r="AE72" s="545">
        <f t="shared" si="193"/>
        <v>1076.328313721265</v>
      </c>
      <c r="AF72" s="528">
        <f t="shared" si="194"/>
        <v>0.21787032544860482</v>
      </c>
      <c r="AH72" s="173">
        <f t="shared" si="195"/>
        <v>2.422906558346027</v>
      </c>
      <c r="AI72" s="173">
        <f t="shared" si="196"/>
        <v>2.422906558346027</v>
      </c>
      <c r="AJ72" s="173">
        <f t="shared" si="197"/>
        <v>2.0070912777871803</v>
      </c>
      <c r="AL72" s="545">
        <f t="shared" si="198"/>
        <v>670</v>
      </c>
      <c r="AM72" s="460">
        <f t="shared" si="199"/>
        <v>315.60871506164466</v>
      </c>
      <c r="AO72">
        <f t="shared" si="274"/>
        <v>670</v>
      </c>
      <c r="AP72">
        <f t="shared" si="200"/>
        <v>315.60871506164466</v>
      </c>
      <c r="AR72" s="5">
        <f t="shared" si="275"/>
        <v>3.1684803121000003</v>
      </c>
      <c r="AS72" s="5">
        <f t="shared" si="201"/>
        <v>1.2155242304027467</v>
      </c>
      <c r="AT72" s="5">
        <f t="shared" si="276"/>
        <v>1.9529560816972535</v>
      </c>
      <c r="AU72" s="173">
        <f t="shared" si="277"/>
        <v>0.38363004048370541</v>
      </c>
      <c r="AW72" s="5">
        <f t="shared" si="202"/>
        <v>4.9658611851819545</v>
      </c>
      <c r="AX72" s="5">
        <f t="shared" si="203"/>
        <v>2.5450038574057512</v>
      </c>
      <c r="AY72" s="5">
        <f t="shared" si="204"/>
        <v>0.7476108414218523</v>
      </c>
      <c r="AZ72" s="5"/>
      <c r="BA72" s="173">
        <f t="shared" si="278"/>
        <v>0.86642772705152371</v>
      </c>
      <c r="BB72" s="173">
        <f t="shared" si="205"/>
        <v>1.0982387675827723</v>
      </c>
      <c r="BC72" s="173">
        <f t="shared" si="206"/>
        <v>0.26943877942131145</v>
      </c>
      <c r="BD72" s="173"/>
      <c r="BE72" s="528">
        <f t="shared" si="207"/>
        <v>1.5013940124073394E-2</v>
      </c>
      <c r="BF72" s="528">
        <f t="shared" si="208"/>
        <v>0.58864716152980845</v>
      </c>
      <c r="BG72" s="528">
        <f t="shared" si="209"/>
        <v>0.18873101986802485</v>
      </c>
      <c r="BH72" s="528">
        <f t="shared" si="210"/>
        <v>5.3196767862523336E-2</v>
      </c>
      <c r="BI72">
        <f t="shared" si="211"/>
        <v>1.0763829373219035E-2</v>
      </c>
      <c r="BJ72" s="460">
        <f t="shared" si="279"/>
        <v>199.49484924124388</v>
      </c>
      <c r="BK72">
        <f t="shared" si="212"/>
        <v>0.66327775214954643</v>
      </c>
      <c r="BL72" s="460">
        <f t="shared" si="280"/>
        <v>663.27775214954647</v>
      </c>
      <c r="BM72" s="173">
        <f t="shared" si="213"/>
        <v>0.41623749999999993</v>
      </c>
      <c r="BN72" s="173">
        <f t="shared" si="214"/>
        <v>7.4328124999999995E-2</v>
      </c>
      <c r="BO72" s="528"/>
      <c r="BQ72" s="460">
        <f t="shared" si="281"/>
        <v>490.5656249999999</v>
      </c>
      <c r="BR72" s="528">
        <f t="shared" si="215"/>
        <v>2.2520910186110087E-2</v>
      </c>
      <c r="BS72" s="528">
        <f t="shared" si="216"/>
        <v>3.6183851718651794E-2</v>
      </c>
      <c r="BT72" s="528">
        <f t="shared" si="217"/>
        <v>3.629862792802306E-4</v>
      </c>
      <c r="BU72" s="528">
        <f t="shared" si="218"/>
        <v>0.80850765426161253</v>
      </c>
      <c r="BV72" s="528">
        <f t="shared" si="219"/>
        <v>0.88593809145725266</v>
      </c>
      <c r="BW72" s="625">
        <f t="shared" si="220"/>
        <v>9.2638672363808457E-3</v>
      </c>
      <c r="BX72" s="460">
        <f t="shared" si="282"/>
        <v>895.20195869363351</v>
      </c>
      <c r="BY72" s="173">
        <f t="shared" si="283"/>
        <v>2.0490453358431799</v>
      </c>
      <c r="BZ72" s="5">
        <f t="shared" si="284"/>
        <v>12.327999999999999</v>
      </c>
      <c r="CA72" s="173">
        <f t="shared" si="285"/>
        <v>0.85747799440162165</v>
      </c>
      <c r="CB72" s="5">
        <f t="shared" si="286"/>
        <v>85.747799440162169</v>
      </c>
      <c r="CC72">
        <f t="shared" si="287"/>
        <v>67</v>
      </c>
      <c r="CE72" s="562">
        <f t="shared" si="221"/>
        <v>-50</v>
      </c>
      <c r="CF72">
        <f t="shared" si="222"/>
        <v>-50</v>
      </c>
      <c r="CG72" s="173">
        <f t="shared" si="223"/>
        <v>0.56500122953983234</v>
      </c>
      <c r="CH72" s="173">
        <f t="shared" si="224"/>
        <v>0.19741829216945345</v>
      </c>
      <c r="CI72" s="170">
        <v>67</v>
      </c>
      <c r="CJ72" s="217">
        <f t="shared" ref="CJ72:CJ105" si="309">IF(PLOT_TYPE=1, CI72/100*Iout_max, min_I*EXP(CS72*rr/100))</f>
        <v>0.67</v>
      </c>
      <c r="CK72" s="217">
        <f t="shared" si="288"/>
        <v>0.16750000000000001</v>
      </c>
      <c r="CL72" s="217">
        <f t="shared" si="225"/>
        <v>10.988</v>
      </c>
      <c r="CM72" s="217">
        <f t="shared" ref="CM72:CM105" si="310">Vout2*CK72</f>
        <v>1.34</v>
      </c>
      <c r="CN72" s="541">
        <f t="shared" si="289"/>
        <v>24</v>
      </c>
      <c r="CO72" s="443">
        <f t="shared" si="226"/>
        <v>17.099999999999998</v>
      </c>
      <c r="CP72" s="443">
        <f t="shared" si="227"/>
        <v>41.099999999999994</v>
      </c>
      <c r="CQ72" s="443"/>
      <c r="CR72" s="217">
        <f t="shared" si="228"/>
        <v>0.41176470588235292</v>
      </c>
      <c r="CS72" s="172">
        <f t="shared" si="290"/>
        <v>29.36061381074169</v>
      </c>
      <c r="CT72" s="172">
        <f t="shared" si="229"/>
        <v>4.0172166427546641</v>
      </c>
      <c r="CU72" s="217">
        <f t="shared" si="230"/>
        <v>1.7902813299232738</v>
      </c>
      <c r="CV72" s="217">
        <f t="shared" si="231"/>
        <v>3.6700767263427112</v>
      </c>
      <c r="CW72" s="443">
        <f t="shared" si="232"/>
        <v>16.399999999999999</v>
      </c>
      <c r="CX72" s="217">
        <f t="shared" si="233"/>
        <v>2.4949523809523808</v>
      </c>
      <c r="CY72" s="217">
        <f t="shared" si="234"/>
        <v>1.2474761904761904</v>
      </c>
      <c r="CZ72" s="217">
        <f t="shared" si="235"/>
        <v>1.7508437761069344</v>
      </c>
      <c r="DA72" s="197">
        <f t="shared" si="236"/>
        <v>350</v>
      </c>
      <c r="DB72" s="443">
        <f t="shared" si="291"/>
        <v>333.520108309053</v>
      </c>
      <c r="DD72" s="217">
        <f t="shared" si="237"/>
        <v>2.377476538060479</v>
      </c>
      <c r="DE72" s="173">
        <f t="shared" si="238"/>
        <v>1.668404588112617</v>
      </c>
      <c r="DF72" s="173">
        <f t="shared" si="239"/>
        <v>0.69415373374028577</v>
      </c>
      <c r="DG72" s="173"/>
      <c r="DH72" s="173">
        <f t="shared" si="240"/>
        <v>0.93567251461988332</v>
      </c>
      <c r="DI72" s="545">
        <f t="shared" si="241"/>
        <v>1074.0937499999995</v>
      </c>
      <c r="DJ72" s="528">
        <f t="shared" si="242"/>
        <v>0.21832358674463945</v>
      </c>
      <c r="DL72" s="173">
        <f t="shared" si="243"/>
        <v>2.422906558346027</v>
      </c>
      <c r="DM72" s="173">
        <f t="shared" si="244"/>
        <v>2.422906558346027</v>
      </c>
      <c r="DN72" s="173">
        <f t="shared" si="245"/>
        <v>2.0070912777871803</v>
      </c>
      <c r="DP72" s="545">
        <f t="shared" si="246"/>
        <v>670</v>
      </c>
      <c r="DQ72" s="460">
        <f t="shared" si="247"/>
        <v>333.520108309053</v>
      </c>
      <c r="DS72">
        <f t="shared" si="292"/>
        <v>670</v>
      </c>
      <c r="DT72">
        <f t="shared" si="248"/>
        <v>333.520108309053</v>
      </c>
      <c r="DV72" s="5">
        <f t="shared" si="293"/>
        <v>2.9983199665831251</v>
      </c>
      <c r="DW72" s="5">
        <f t="shared" si="249"/>
        <v>1.2114532791730135</v>
      </c>
      <c r="DX72" s="5">
        <f t="shared" si="294"/>
        <v>1.7868666874101116</v>
      </c>
      <c r="DY72" s="173">
        <f t="shared" si="295"/>
        <v>0.40404402888114088</v>
      </c>
      <c r="EA72" s="5">
        <f t="shared" si="250"/>
        <v>4.9492298600360929</v>
      </c>
      <c r="EB72" s="5">
        <f t="shared" si="251"/>
        <v>2.536480303268497</v>
      </c>
      <c r="EC72" s="5">
        <f t="shared" si="252"/>
        <v>0.68173927643271881</v>
      </c>
      <c r="ED72" s="5"/>
      <c r="EE72" s="173">
        <f t="shared" si="296"/>
        <v>0.88918143095223845</v>
      </c>
      <c r="EF72" s="173">
        <f t="shared" si="253"/>
        <v>1.0798989673460782</v>
      </c>
      <c r="EG72" s="173">
        <f t="shared" si="254"/>
        <v>0.26493934492995602</v>
      </c>
      <c r="EH72" s="173"/>
      <c r="EI72" s="528">
        <f t="shared" si="255"/>
        <v>1.5812872343005407E-2</v>
      </c>
      <c r="EJ72" s="528">
        <f t="shared" si="256"/>
        <v>0.66424838348059556</v>
      </c>
      <c r="EK72" s="528">
        <f t="shared" si="257"/>
        <v>4.1690013538631623E-2</v>
      </c>
      <c r="EL72" s="528">
        <f t="shared" si="258"/>
        <v>5.6338550215673529E-2</v>
      </c>
      <c r="EM72">
        <f t="shared" si="259"/>
        <v>1.0800000000000001E-2</v>
      </c>
      <c r="EN72" s="460">
        <f t="shared" si="297"/>
        <v>52.490013538631629</v>
      </c>
      <c r="EO72">
        <f t="shared" si="260"/>
        <v>0.79615054294228105</v>
      </c>
      <c r="EP72" s="460">
        <f t="shared" si="298"/>
        <v>796.15054294228105</v>
      </c>
      <c r="EQ72" s="173">
        <f t="shared" si="261"/>
        <v>0.41623749999999993</v>
      </c>
      <c r="ER72" s="173">
        <f t="shared" si="262"/>
        <v>7.4328124999999995E-2</v>
      </c>
      <c r="ES72" s="528"/>
      <c r="EU72" s="460">
        <f t="shared" si="299"/>
        <v>490.5656249999999</v>
      </c>
      <c r="EV72" s="528">
        <f t="shared" si="263"/>
        <v>2.3719308514508111E-2</v>
      </c>
      <c r="EW72" s="528">
        <f t="shared" si="300"/>
        <v>3.4985453390253773E-2</v>
      </c>
      <c r="EX72" s="528">
        <f t="shared" si="264"/>
        <v>3.5096428245957108E-4</v>
      </c>
      <c r="EY72" s="528">
        <f t="shared" si="265"/>
        <v>0.92814691596098542</v>
      </c>
      <c r="EZ72" s="528">
        <f t="shared" si="266"/>
        <v>1.0061294327764159</v>
      </c>
      <c r="FA72" s="625">
        <f t="shared" si="267"/>
        <v>9.7896092743666781E-3</v>
      </c>
      <c r="FB72" s="460">
        <f t="shared" si="301"/>
        <v>1015.9190420507827</v>
      </c>
      <c r="FC72" s="173">
        <f t="shared" si="302"/>
        <v>2.3026352099930634</v>
      </c>
      <c r="FD72" s="5">
        <f t="shared" si="303"/>
        <v>12.327999999999999</v>
      </c>
      <c r="FE72" s="173">
        <f t="shared" si="304"/>
        <v>0.84261549980958383</v>
      </c>
      <c r="FF72" s="5">
        <f t="shared" si="305"/>
        <v>84.261549980958378</v>
      </c>
      <c r="FG72">
        <f t="shared" si="306"/>
        <v>67</v>
      </c>
      <c r="FI72" s="562">
        <f t="shared" si="268"/>
        <v>-50</v>
      </c>
      <c r="FJ72">
        <f t="shared" si="269"/>
        <v>-50</v>
      </c>
      <c r="FL72">
        <f t="shared" si="270"/>
        <v>0.56500122953983234</v>
      </c>
    </row>
    <row r="73" spans="5:168">
      <c r="E73" s="170">
        <v>68</v>
      </c>
      <c r="F73" s="217">
        <f t="shared" si="307"/>
        <v>0.68</v>
      </c>
      <c r="G73" s="217">
        <f t="shared" si="271"/>
        <v>0.17</v>
      </c>
      <c r="H73" s="217">
        <f t="shared" si="176"/>
        <v>11.151999999999999</v>
      </c>
      <c r="I73" s="217">
        <f t="shared" si="308"/>
        <v>1.36</v>
      </c>
      <c r="J73" s="541">
        <f t="shared" si="177"/>
        <v>23.918421140261835</v>
      </c>
      <c r="K73" s="443">
        <f t="shared" si="178"/>
        <v>17.136106116116974</v>
      </c>
      <c r="L73" s="172">
        <f t="shared" si="179"/>
        <v>41.054527256378805</v>
      </c>
      <c r="M73" s="443"/>
      <c r="N73" s="217">
        <f t="shared" si="180"/>
        <v>0.41739869537663399</v>
      </c>
      <c r="O73" s="172">
        <f t="shared" si="272"/>
        <v>29.661176011303041</v>
      </c>
      <c r="P73" s="172">
        <f t="shared" si="181"/>
        <v>4.0583405607374772</v>
      </c>
      <c r="Q73" s="217">
        <f t="shared" si="182"/>
        <v>1.8086082933721368</v>
      </c>
      <c r="R73" s="217">
        <f t="shared" si="183"/>
        <v>3.7076470014128802</v>
      </c>
      <c r="S73" s="443">
        <f t="shared" si="184"/>
        <v>16.399999999999999</v>
      </c>
      <c r="T73" s="217">
        <f t="shared" si="185"/>
        <v>2.5065313202124972</v>
      </c>
      <c r="U73" s="217">
        <f t="shared" si="186"/>
        <v>1.2575401890519895</v>
      </c>
      <c r="V73" s="217">
        <f t="shared" si="187"/>
        <v>1.7552631641479179</v>
      </c>
      <c r="W73" s="197">
        <f t="shared" si="188"/>
        <v>350</v>
      </c>
      <c r="X73" s="443">
        <f t="shared" si="273"/>
        <v>311.25465522314454</v>
      </c>
      <c r="Z73" s="217">
        <f t="shared" si="189"/>
        <v>2.3770280427176647</v>
      </c>
      <c r="AA73" s="173">
        <f t="shared" si="190"/>
        <v>1.6645751560667601</v>
      </c>
      <c r="AB73" s="173">
        <f t="shared" si="191"/>
        <v>0.69242981940681891</v>
      </c>
      <c r="AC73" s="173"/>
      <c r="AD73" s="173">
        <f t="shared" si="192"/>
        <v>0.9337010340378068</v>
      </c>
      <c r="AE73" s="545">
        <f t="shared" si="193"/>
        <v>1092.4267649024569</v>
      </c>
      <c r="AF73" s="528">
        <f t="shared" si="194"/>
        <v>0.21786357460882161</v>
      </c>
      <c r="AH73" s="173">
        <f t="shared" si="195"/>
        <v>2.4409209815344775</v>
      </c>
      <c r="AI73" s="173">
        <f t="shared" si="196"/>
        <v>2.4409209815344775</v>
      </c>
      <c r="AJ73" s="173">
        <f t="shared" si="197"/>
        <v>2.0204352949638102</v>
      </c>
      <c r="AL73" s="545">
        <f t="shared" si="198"/>
        <v>680</v>
      </c>
      <c r="AM73" s="460">
        <f t="shared" si="199"/>
        <v>311.25465522314454</v>
      </c>
      <c r="AO73">
        <f t="shared" si="274"/>
        <v>680</v>
      </c>
      <c r="AP73">
        <f t="shared" si="200"/>
        <v>311.25465522314454</v>
      </c>
      <c r="AR73" s="5">
        <f t="shared" si="275"/>
        <v>3.2128033531999081</v>
      </c>
      <c r="AS73" s="5">
        <f t="shared" si="201"/>
        <v>1.224623130709416</v>
      </c>
      <c r="AT73" s="5">
        <f t="shared" si="276"/>
        <v>1.9881802224904921</v>
      </c>
      <c r="AU73" s="173">
        <f t="shared" si="277"/>
        <v>0.38116965032724714</v>
      </c>
      <c r="AW73" s="5">
        <f t="shared" si="202"/>
        <v>5.0777056639170919</v>
      </c>
      <c r="AX73" s="5">
        <f t="shared" si="203"/>
        <v>2.6023241527575087</v>
      </c>
      <c r="AY73" s="5">
        <f t="shared" si="204"/>
        <v>0.77249336091181076</v>
      </c>
      <c r="AZ73" s="5"/>
      <c r="BA73" s="173">
        <f t="shared" si="278"/>
        <v>0.87006610448501698</v>
      </c>
      <c r="BB73" s="173">
        <f t="shared" si="205"/>
        <v>1.1086102650877869</v>
      </c>
      <c r="BC73" s="173">
        <f t="shared" si="206"/>
        <v>0.27198329315640107</v>
      </c>
      <c r="BD73" s="173"/>
      <c r="BE73" s="528">
        <f t="shared" si="207"/>
        <v>1.514030052347465E-2</v>
      </c>
      <c r="BF73" s="528">
        <f t="shared" si="208"/>
        <v>0.58483304502942191</v>
      </c>
      <c r="BG73" s="528">
        <f t="shared" si="209"/>
        <v>0.18611799813735419</v>
      </c>
      <c r="BH73" s="528">
        <f t="shared" si="210"/>
        <v>5.2461169357472227E-2</v>
      </c>
      <c r="BI73">
        <f t="shared" si="211"/>
        <v>1.0763289513117825E-2</v>
      </c>
      <c r="BJ73" s="460">
        <f t="shared" si="279"/>
        <v>196.88128765047202</v>
      </c>
      <c r="BK73">
        <f t="shared" si="212"/>
        <v>0.65889265392334972</v>
      </c>
      <c r="BL73" s="460">
        <f t="shared" si="280"/>
        <v>658.89265392334971</v>
      </c>
      <c r="BM73" s="173">
        <f t="shared" si="213"/>
        <v>0.42244999999999994</v>
      </c>
      <c r="BN73" s="173">
        <f t="shared" si="214"/>
        <v>7.5437500000000005E-2</v>
      </c>
      <c r="BO73" s="528"/>
      <c r="BQ73" s="460">
        <f t="shared" si="281"/>
        <v>497.88749999999993</v>
      </c>
      <c r="BR73" s="528">
        <f t="shared" si="215"/>
        <v>2.2710450785211975E-2</v>
      </c>
      <c r="BS73" s="528">
        <f t="shared" si="216"/>
        <v>3.6870501595740394E-2</v>
      </c>
      <c r="BT73" s="528">
        <f t="shared" si="217"/>
        <v>3.6987455878100401E-4</v>
      </c>
      <c r="BU73" s="528">
        <f t="shared" si="218"/>
        <v>0.79550688830110294</v>
      </c>
      <c r="BV73" s="528">
        <f t="shared" si="219"/>
        <v>0.87403785709111192</v>
      </c>
      <c r="BW73" s="625">
        <f t="shared" si="220"/>
        <v>9.2724243955999621E-3</v>
      </c>
      <c r="BX73" s="460">
        <f t="shared" si="282"/>
        <v>883.31028148671192</v>
      </c>
      <c r="BY73" s="173">
        <f t="shared" si="283"/>
        <v>2.040090435410062</v>
      </c>
      <c r="BZ73" s="5">
        <f t="shared" si="284"/>
        <v>12.511999999999999</v>
      </c>
      <c r="CA73" s="173">
        <f t="shared" si="285"/>
        <v>0.85980774071841626</v>
      </c>
      <c r="CB73" s="5">
        <f t="shared" si="286"/>
        <v>85.980774071841623</v>
      </c>
      <c r="CC73">
        <f t="shared" si="287"/>
        <v>68</v>
      </c>
      <c r="CE73" s="562">
        <f t="shared" si="221"/>
        <v>-50</v>
      </c>
      <c r="CF73">
        <f t="shared" si="222"/>
        <v>-50</v>
      </c>
      <c r="CG73" s="173">
        <f t="shared" si="223"/>
        <v>0.56500122953983234</v>
      </c>
      <c r="CH73" s="173">
        <f t="shared" si="224"/>
        <v>0.19741829216945347</v>
      </c>
      <c r="CI73" s="170">
        <v>68</v>
      </c>
      <c r="CJ73" s="217">
        <f t="shared" si="309"/>
        <v>0.68</v>
      </c>
      <c r="CK73" s="217">
        <f t="shared" si="288"/>
        <v>0.17</v>
      </c>
      <c r="CL73" s="217">
        <f t="shared" si="225"/>
        <v>11.151999999999999</v>
      </c>
      <c r="CM73" s="217">
        <f t="shared" si="310"/>
        <v>1.36</v>
      </c>
      <c r="CN73" s="541">
        <f t="shared" si="289"/>
        <v>24</v>
      </c>
      <c r="CO73" s="443">
        <f t="shared" si="226"/>
        <v>17.099999999999998</v>
      </c>
      <c r="CP73" s="443">
        <f t="shared" si="227"/>
        <v>41.099999999999994</v>
      </c>
      <c r="CQ73" s="443"/>
      <c r="CR73" s="217">
        <f t="shared" si="228"/>
        <v>0.41176470588235292</v>
      </c>
      <c r="CS73" s="172">
        <f t="shared" si="290"/>
        <v>29.36061381074169</v>
      </c>
      <c r="CT73" s="172">
        <f t="shared" si="229"/>
        <v>4.0172166427546641</v>
      </c>
      <c r="CU73" s="217">
        <f t="shared" si="230"/>
        <v>1.7902813299232738</v>
      </c>
      <c r="CV73" s="217">
        <f t="shared" si="231"/>
        <v>3.6700767263427112</v>
      </c>
      <c r="CW73" s="443">
        <f t="shared" si="232"/>
        <v>16.399999999999999</v>
      </c>
      <c r="CX73" s="217">
        <f t="shared" si="233"/>
        <v>2.5321904761904759</v>
      </c>
      <c r="CY73" s="217">
        <f t="shared" si="234"/>
        <v>1.2660952380952379</v>
      </c>
      <c r="CZ73" s="217">
        <f t="shared" si="235"/>
        <v>1.7769757727652464</v>
      </c>
      <c r="DA73" s="197">
        <f t="shared" si="236"/>
        <v>350</v>
      </c>
      <c r="DB73" s="443">
        <f t="shared" si="291"/>
        <v>328.61540083391992</v>
      </c>
      <c r="DD73" s="217">
        <f t="shared" si="237"/>
        <v>2.377476538060479</v>
      </c>
      <c r="DE73" s="173">
        <f t="shared" si="238"/>
        <v>1.668404588112617</v>
      </c>
      <c r="DF73" s="173">
        <f t="shared" si="239"/>
        <v>0.69415373374028577</v>
      </c>
      <c r="DG73" s="173"/>
      <c r="DH73" s="173">
        <f t="shared" si="240"/>
        <v>0.93567251461988332</v>
      </c>
      <c r="DI73" s="545">
        <f t="shared" si="241"/>
        <v>1090.1249999999995</v>
      </c>
      <c r="DJ73" s="528">
        <f t="shared" si="242"/>
        <v>0.21832358674463945</v>
      </c>
      <c r="DL73" s="173">
        <f t="shared" si="243"/>
        <v>2.4409209815344775</v>
      </c>
      <c r="DM73" s="173">
        <f t="shared" si="244"/>
        <v>2.4409209815344775</v>
      </c>
      <c r="DN73" s="173">
        <f t="shared" si="245"/>
        <v>2.0204352949638102</v>
      </c>
      <c r="DP73" s="545">
        <f t="shared" si="246"/>
        <v>680</v>
      </c>
      <c r="DQ73" s="460">
        <f t="shared" si="247"/>
        <v>328.61540083391992</v>
      </c>
      <c r="DS73">
        <f t="shared" si="292"/>
        <v>680</v>
      </c>
      <c r="DT73">
        <f t="shared" si="248"/>
        <v>328.61540083391992</v>
      </c>
      <c r="DV73" s="5">
        <f t="shared" si="293"/>
        <v>3.0430710108604844</v>
      </c>
      <c r="DW73" s="5">
        <f t="shared" si="249"/>
        <v>1.2204604907672389</v>
      </c>
      <c r="DX73" s="5">
        <f t="shared" si="294"/>
        <v>1.8226105200932454</v>
      </c>
      <c r="DY73" s="173">
        <f t="shared" si="295"/>
        <v>0.40106211337543884</v>
      </c>
      <c r="EA73" s="5">
        <f t="shared" si="250"/>
        <v>5.0604459373275779</v>
      </c>
      <c r="EB73" s="5">
        <f t="shared" si="251"/>
        <v>2.593478542880383</v>
      </c>
      <c r="EC73" s="5">
        <f t="shared" si="252"/>
        <v>0.70575529583610652</v>
      </c>
      <c r="ED73" s="5"/>
      <c r="EE73" s="173">
        <f t="shared" si="296"/>
        <v>0.89248086214450817</v>
      </c>
      <c r="EF73" s="173">
        <f t="shared" si="253"/>
        <v>1.0906464398408593</v>
      </c>
      <c r="EG73" s="173">
        <f t="shared" si="254"/>
        <v>0.26757609930098553</v>
      </c>
      <c r="EH73" s="173"/>
      <c r="EI73" s="528">
        <f t="shared" si="255"/>
        <v>1.5930441785884094E-2</v>
      </c>
      <c r="EJ73" s="528">
        <f t="shared" si="256"/>
        <v>0.6593461143892213</v>
      </c>
      <c r="EK73" s="528">
        <f t="shared" si="257"/>
        <v>4.1076925104239992E-2</v>
      </c>
      <c r="EL73" s="528">
        <f t="shared" si="258"/>
        <v>5.5510042124266572E-2</v>
      </c>
      <c r="EM73">
        <f t="shared" si="259"/>
        <v>1.0800000000000001E-2</v>
      </c>
      <c r="EN73" s="460">
        <f t="shared" si="297"/>
        <v>51.876925104239994</v>
      </c>
      <c r="EO73">
        <f t="shared" si="260"/>
        <v>0.78995477916662438</v>
      </c>
      <c r="EP73" s="460">
        <f t="shared" si="298"/>
        <v>789.95477916662435</v>
      </c>
      <c r="EQ73" s="173">
        <f t="shared" si="261"/>
        <v>0.42244999999999994</v>
      </c>
      <c r="ER73" s="173">
        <f t="shared" si="262"/>
        <v>7.5437500000000005E-2</v>
      </c>
      <c r="ES73" s="528"/>
      <c r="EU73" s="460">
        <f t="shared" si="299"/>
        <v>497.88749999999993</v>
      </c>
      <c r="EV73" s="528">
        <f t="shared" si="263"/>
        <v>2.3895662678826139E-2</v>
      </c>
      <c r="EW73" s="528">
        <f t="shared" si="300"/>
        <v>3.5685289702126234E-2</v>
      </c>
      <c r="EX73" s="528">
        <f t="shared" si="264"/>
        <v>3.5798484458565434E-4</v>
      </c>
      <c r="EY73" s="528">
        <f t="shared" si="265"/>
        <v>0.91111687091987448</v>
      </c>
      <c r="EZ73" s="528">
        <f t="shared" si="266"/>
        <v>0.99018922425988709</v>
      </c>
      <c r="FA73" s="625">
        <f t="shared" si="267"/>
        <v>9.7896092743666799E-3</v>
      </c>
      <c r="FB73" s="460">
        <f t="shared" si="301"/>
        <v>999.97883353425379</v>
      </c>
      <c r="FC73" s="173">
        <f t="shared" si="302"/>
        <v>2.2878211127008781</v>
      </c>
      <c r="FD73" s="5">
        <f t="shared" si="303"/>
        <v>12.511999999999999</v>
      </c>
      <c r="FE73" s="173">
        <f t="shared" si="304"/>
        <v>0.84541562392686487</v>
      </c>
      <c r="FF73" s="5">
        <f t="shared" si="305"/>
        <v>84.541562392686487</v>
      </c>
      <c r="FG73">
        <f t="shared" si="306"/>
        <v>68</v>
      </c>
      <c r="FI73" s="562">
        <f t="shared" si="268"/>
        <v>-50</v>
      </c>
      <c r="FJ73">
        <f t="shared" si="269"/>
        <v>-50</v>
      </c>
      <c r="FL73">
        <f t="shared" si="270"/>
        <v>0.56500122953983234</v>
      </c>
    </row>
    <row r="74" spans="5:168">
      <c r="E74" s="170">
        <v>69</v>
      </c>
      <c r="F74" s="217">
        <f t="shared" si="307"/>
        <v>0.69</v>
      </c>
      <c r="G74" s="217">
        <f t="shared" si="271"/>
        <v>0.17249999999999999</v>
      </c>
      <c r="H74" s="217">
        <f t="shared" si="176"/>
        <v>11.315999999999999</v>
      </c>
      <c r="I74" s="217">
        <f t="shared" si="308"/>
        <v>1.38</v>
      </c>
      <c r="J74" s="541">
        <f t="shared" si="177"/>
        <v>23.917221451148038</v>
      </c>
      <c r="K74" s="443">
        <f t="shared" si="178"/>
        <v>17.136637088412812</v>
      </c>
      <c r="L74" s="172">
        <f t="shared" si="179"/>
        <v>41.053858539560849</v>
      </c>
      <c r="M74" s="443"/>
      <c r="N74" s="217">
        <f t="shared" si="180"/>
        <v>0.41741842784154831</v>
      </c>
      <c r="O74" s="172">
        <f t="shared" si="272"/>
        <v>29.661090437357327</v>
      </c>
      <c r="P74" s="172">
        <f t="shared" si="181"/>
        <v>4.0583288522261665</v>
      </c>
      <c r="Q74" s="217">
        <f t="shared" si="182"/>
        <v>1.8086030754486178</v>
      </c>
      <c r="R74" s="217">
        <f t="shared" si="183"/>
        <v>3.7076363046696659</v>
      </c>
      <c r="S74" s="443">
        <f t="shared" si="184"/>
        <v>16.399999999999999</v>
      </c>
      <c r="T74" s="217">
        <f t="shared" si="185"/>
        <v>2.5433994127533959</v>
      </c>
      <c r="U74" s="217">
        <f t="shared" si="186"/>
        <v>1.2761011146458126</v>
      </c>
      <c r="V74" s="217">
        <f t="shared" si="187"/>
        <v>1.7810258101152083</v>
      </c>
      <c r="W74" s="197">
        <f t="shared" si="188"/>
        <v>350</v>
      </c>
      <c r="X74" s="443">
        <f t="shared" si="273"/>
        <v>307.01904564967822</v>
      </c>
      <c r="Z74" s="217">
        <f t="shared" si="189"/>
        <v>2.3770211848753258</v>
      </c>
      <c r="AA74" s="173">
        <f t="shared" si="190"/>
        <v>1.6645187775955763</v>
      </c>
      <c r="AB74" s="173">
        <f t="shared" si="191"/>
        <v>0.6924043694693065</v>
      </c>
      <c r="AC74" s="173"/>
      <c r="AD74" s="173">
        <f t="shared" si="192"/>
        <v>0.93367210366021214</v>
      </c>
      <c r="AE74" s="545">
        <f t="shared" si="193"/>
        <v>1108.5262116567035</v>
      </c>
      <c r="AF74" s="528">
        <f t="shared" si="194"/>
        <v>0.21785682418738286</v>
      </c>
      <c r="AH74" s="173">
        <f t="shared" si="195"/>
        <v>2.4588034255943039</v>
      </c>
      <c r="AI74" s="173">
        <f t="shared" si="196"/>
        <v>2.4588034255943039</v>
      </c>
      <c r="AJ74" s="173">
        <f t="shared" si="197"/>
        <v>2.033681549822941</v>
      </c>
      <c r="AL74" s="545">
        <f t="shared" si="198"/>
        <v>690</v>
      </c>
      <c r="AM74" s="460">
        <f t="shared" si="199"/>
        <v>307.01904564967822</v>
      </c>
      <c r="AO74">
        <f t="shared" si="274"/>
        <v>690</v>
      </c>
      <c r="AP74">
        <f t="shared" si="200"/>
        <v>307.01904564967822</v>
      </c>
      <c r="AR74" s="5">
        <f t="shared" si="275"/>
        <v>3.2571269247610211</v>
      </c>
      <c r="AS74" s="5">
        <f t="shared" si="201"/>
        <v>1.2336567258616642</v>
      </c>
      <c r="AT74" s="5">
        <f t="shared" si="276"/>
        <v>2.0234701988993571</v>
      </c>
      <c r="AU74" s="173">
        <f t="shared" si="277"/>
        <v>0.37875611063335485</v>
      </c>
      <c r="AW74" s="5">
        <f t="shared" si="202"/>
        <v>5.1903850051496851</v>
      </c>
      <c r="AX74" s="5">
        <f t="shared" si="203"/>
        <v>2.6600723151392134</v>
      </c>
      <c r="AY74" s="5">
        <f t="shared" si="204"/>
        <v>0.79780688633064523</v>
      </c>
      <c r="AZ74" s="5"/>
      <c r="BA74" s="173">
        <f t="shared" si="278"/>
        <v>0.87366111447892147</v>
      </c>
      <c r="BB74" s="173">
        <f t="shared" si="205"/>
        <v>1.1189076603033619</v>
      </c>
      <c r="BC74" s="173">
        <f t="shared" si="206"/>
        <v>0.27450962684630537</v>
      </c>
      <c r="BD74" s="173"/>
      <c r="BE74" s="528">
        <f t="shared" si="207"/>
        <v>1.5265674859051021E-2</v>
      </c>
      <c r="BF74" s="528">
        <f t="shared" si="208"/>
        <v>0.58109130958841027</v>
      </c>
      <c r="BG74" s="528">
        <f t="shared" si="209"/>
        <v>0.18357606261308704</v>
      </c>
      <c r="BH74" s="528">
        <f t="shared" si="210"/>
        <v>5.1745582530835346E-2</v>
      </c>
      <c r="BI74">
        <f t="shared" si="211"/>
        <v>1.0762749653016617E-2</v>
      </c>
      <c r="BJ74" s="460">
        <f t="shared" si="279"/>
        <v>194.33881226610367</v>
      </c>
      <c r="BK74">
        <f t="shared" si="212"/>
        <v>0.65459860974483786</v>
      </c>
      <c r="BL74" s="460">
        <f t="shared" si="280"/>
        <v>654.59860974483786</v>
      </c>
      <c r="BM74" s="173">
        <f t="shared" si="213"/>
        <v>0.42866249999999989</v>
      </c>
      <c r="BN74" s="173">
        <f t="shared" si="214"/>
        <v>7.6546874999999986E-2</v>
      </c>
      <c r="BO74" s="528"/>
      <c r="BQ74" s="460">
        <f t="shared" si="281"/>
        <v>505.20937499999985</v>
      </c>
      <c r="BR74" s="528">
        <f t="shared" si="215"/>
        <v>2.289851228857653E-2</v>
      </c>
      <c r="BS74" s="528">
        <f t="shared" si="216"/>
        <v>3.7558630568566301E-2</v>
      </c>
      <c r="BT74" s="528">
        <f t="shared" si="217"/>
        <v>3.767776761564891E-4</v>
      </c>
      <c r="BU74" s="528">
        <f t="shared" si="218"/>
        <v>0.78287571536104861</v>
      </c>
      <c r="BV74" s="528">
        <f t="shared" si="219"/>
        <v>0.86250735312468974</v>
      </c>
      <c r="BW74" s="625">
        <f t="shared" si="220"/>
        <v>9.2807471513531269E-3</v>
      </c>
      <c r="BX74" s="460">
        <f t="shared" si="282"/>
        <v>871.78810027604277</v>
      </c>
      <c r="BY74" s="173">
        <f t="shared" si="283"/>
        <v>2.0315960850208805</v>
      </c>
      <c r="BZ74" s="5">
        <f t="shared" si="284"/>
        <v>12.695999999999998</v>
      </c>
      <c r="CA74" s="173">
        <f t="shared" si="285"/>
        <v>0.86205514645481263</v>
      </c>
      <c r="CB74" s="5">
        <f t="shared" si="286"/>
        <v>86.205514645481259</v>
      </c>
      <c r="CC74">
        <f t="shared" si="287"/>
        <v>69</v>
      </c>
      <c r="CE74" s="562">
        <f t="shared" si="221"/>
        <v>-50</v>
      </c>
      <c r="CF74">
        <f t="shared" si="222"/>
        <v>-50</v>
      </c>
      <c r="CG74" s="173">
        <f t="shared" si="223"/>
        <v>0.56500122953983234</v>
      </c>
      <c r="CH74" s="173">
        <f t="shared" si="224"/>
        <v>0.19741829216945342</v>
      </c>
      <c r="CI74" s="170">
        <v>69</v>
      </c>
      <c r="CJ74" s="217">
        <f t="shared" si="309"/>
        <v>0.69</v>
      </c>
      <c r="CK74" s="217">
        <f t="shared" si="288"/>
        <v>0.17249999999999999</v>
      </c>
      <c r="CL74" s="217">
        <f t="shared" si="225"/>
        <v>11.315999999999999</v>
      </c>
      <c r="CM74" s="217">
        <f t="shared" si="310"/>
        <v>1.38</v>
      </c>
      <c r="CN74" s="541">
        <f t="shared" si="289"/>
        <v>24</v>
      </c>
      <c r="CO74" s="443">
        <f t="shared" si="226"/>
        <v>17.099999999999998</v>
      </c>
      <c r="CP74" s="443">
        <f t="shared" si="227"/>
        <v>41.099999999999994</v>
      </c>
      <c r="CQ74" s="443"/>
      <c r="CR74" s="217">
        <f t="shared" si="228"/>
        <v>0.41176470588235292</v>
      </c>
      <c r="CS74" s="172">
        <f t="shared" si="290"/>
        <v>29.36061381074169</v>
      </c>
      <c r="CT74" s="172">
        <f t="shared" si="229"/>
        <v>4.0172166427546641</v>
      </c>
      <c r="CU74" s="217">
        <f t="shared" si="230"/>
        <v>1.7902813299232738</v>
      </c>
      <c r="CV74" s="217">
        <f t="shared" si="231"/>
        <v>3.6700767263427112</v>
      </c>
      <c r="CW74" s="443">
        <f t="shared" si="232"/>
        <v>16.399999999999999</v>
      </c>
      <c r="CX74" s="217">
        <f t="shared" si="233"/>
        <v>2.569428571428571</v>
      </c>
      <c r="CY74" s="217">
        <f t="shared" si="234"/>
        <v>1.2847142857142855</v>
      </c>
      <c r="CZ74" s="217">
        <f t="shared" si="235"/>
        <v>1.8031077694235587</v>
      </c>
      <c r="DA74" s="197">
        <f t="shared" si="236"/>
        <v>350</v>
      </c>
      <c r="DB74" s="443">
        <f t="shared" si="291"/>
        <v>323.85285879284862</v>
      </c>
      <c r="DD74" s="217">
        <f t="shared" si="237"/>
        <v>2.377476538060479</v>
      </c>
      <c r="DE74" s="173">
        <f t="shared" si="238"/>
        <v>1.668404588112617</v>
      </c>
      <c r="DF74" s="173">
        <f t="shared" si="239"/>
        <v>0.69415373374028577</v>
      </c>
      <c r="DG74" s="173"/>
      <c r="DH74" s="173">
        <f t="shared" si="240"/>
        <v>0.93567251461988332</v>
      </c>
      <c r="DI74" s="545">
        <f t="shared" si="241"/>
        <v>1106.1562499999995</v>
      </c>
      <c r="DJ74" s="528">
        <f t="shared" si="242"/>
        <v>0.21832358674463945</v>
      </c>
      <c r="DL74" s="173">
        <f t="shared" si="243"/>
        <v>2.4588034255943039</v>
      </c>
      <c r="DM74" s="173">
        <f t="shared" si="244"/>
        <v>2.4588034255943039</v>
      </c>
      <c r="DN74" s="173">
        <f t="shared" si="245"/>
        <v>2.033681549822941</v>
      </c>
      <c r="DP74" s="545">
        <f t="shared" si="246"/>
        <v>690</v>
      </c>
      <c r="DQ74" s="460">
        <f t="shared" si="247"/>
        <v>323.85285879284862</v>
      </c>
      <c r="DS74">
        <f t="shared" si="292"/>
        <v>690</v>
      </c>
      <c r="DT74">
        <f t="shared" si="248"/>
        <v>323.85285879284862</v>
      </c>
      <c r="DV74" s="5">
        <f t="shared" si="293"/>
        <v>3.0878220551378446</v>
      </c>
      <c r="DW74" s="5">
        <f t="shared" si="249"/>
        <v>1.2294017127971519</v>
      </c>
      <c r="DX74" s="5">
        <f t="shared" si="294"/>
        <v>1.8584203423406926</v>
      </c>
      <c r="DY74" s="173">
        <f t="shared" si="295"/>
        <v>0.39814525929418226</v>
      </c>
      <c r="EA74" s="5">
        <f t="shared" si="250"/>
        <v>5.1724828160367986</v>
      </c>
      <c r="EB74" s="5">
        <f t="shared" si="251"/>
        <v>2.650897443218859</v>
      </c>
      <c r="EC74" s="5">
        <f t="shared" si="252"/>
        <v>0.73020432617803033</v>
      </c>
      <c r="ED74" s="5"/>
      <c r="EE74" s="173">
        <f t="shared" si="296"/>
        <v>0.89574410071631794</v>
      </c>
      <c r="EF74" s="173">
        <f t="shared" si="253"/>
        <v>1.1013085858513993</v>
      </c>
      <c r="EG74" s="173">
        <f t="shared" si="254"/>
        <v>0.27019191991476221</v>
      </c>
      <c r="EH74" s="173"/>
      <c r="EI74" s="528">
        <f t="shared" si="255"/>
        <v>1.6047149879361702E-2</v>
      </c>
      <c r="EJ74" s="528">
        <f t="shared" si="256"/>
        <v>0.65455080627963558</v>
      </c>
      <c r="EK74" s="528">
        <f t="shared" si="257"/>
        <v>4.0481607349106073E-2</v>
      </c>
      <c r="EL74" s="528">
        <f t="shared" si="258"/>
        <v>5.4705548760146765E-2</v>
      </c>
      <c r="EM74">
        <f t="shared" si="259"/>
        <v>1.0800000000000001E-2</v>
      </c>
      <c r="EN74" s="460">
        <f t="shared" si="297"/>
        <v>51.281607349106068</v>
      </c>
      <c r="EO74">
        <f t="shared" si="260"/>
        <v>0.78390672449867183</v>
      </c>
      <c r="EP74" s="460">
        <f t="shared" si="298"/>
        <v>783.90672449867179</v>
      </c>
      <c r="EQ74" s="173">
        <f t="shared" si="261"/>
        <v>0.42866249999999989</v>
      </c>
      <c r="ER74" s="173">
        <f t="shared" si="262"/>
        <v>7.6546874999999986E-2</v>
      </c>
      <c r="ES74" s="528"/>
      <c r="EU74" s="460">
        <f t="shared" si="299"/>
        <v>505.20937499999985</v>
      </c>
      <c r="EV74" s="528">
        <f t="shared" si="263"/>
        <v>2.4070724819042551E-2</v>
      </c>
      <c r="EW74" s="528">
        <f t="shared" si="300"/>
        <v>3.638641803810027E-2</v>
      </c>
      <c r="EX74" s="528">
        <f t="shared" si="264"/>
        <v>3.6501836793612638E-4</v>
      </c>
      <c r="EY74" s="528">
        <f t="shared" si="265"/>
        <v>0.89464114124027561</v>
      </c>
      <c r="EZ74" s="528">
        <f t="shared" si="266"/>
        <v>0.97480379504618286</v>
      </c>
      <c r="FA74" s="625">
        <f t="shared" si="267"/>
        <v>9.7896092743666781E-3</v>
      </c>
      <c r="FB74" s="460">
        <f t="shared" si="301"/>
        <v>984.59340432054955</v>
      </c>
      <c r="FC74" s="173">
        <f t="shared" si="302"/>
        <v>2.2737095038192212</v>
      </c>
      <c r="FD74" s="5">
        <f t="shared" si="303"/>
        <v>12.695999999999998</v>
      </c>
      <c r="FE74" s="173">
        <f t="shared" si="304"/>
        <v>0.84811265019944904</v>
      </c>
      <c r="FF74" s="5">
        <f t="shared" si="305"/>
        <v>84.811265019944898</v>
      </c>
      <c r="FG74">
        <f t="shared" si="306"/>
        <v>69</v>
      </c>
      <c r="FI74" s="562">
        <f t="shared" si="268"/>
        <v>-50</v>
      </c>
      <c r="FJ74">
        <f t="shared" si="269"/>
        <v>-50</v>
      </c>
      <c r="FL74">
        <f t="shared" si="270"/>
        <v>0.56500122953983234</v>
      </c>
    </row>
    <row r="75" spans="5:168">
      <c r="E75" s="170">
        <v>70</v>
      </c>
      <c r="F75" s="217">
        <f t="shared" si="307"/>
        <v>0.7</v>
      </c>
      <c r="G75" s="217">
        <f t="shared" si="271"/>
        <v>0.17499999999999999</v>
      </c>
      <c r="H75" s="217">
        <f t="shared" si="176"/>
        <v>11.479999999999999</v>
      </c>
      <c r="I75" s="217">
        <f t="shared" si="308"/>
        <v>1.4</v>
      </c>
      <c r="J75" s="541">
        <f t="shared" si="177"/>
        <v>23.916021762034244</v>
      </c>
      <c r="K75" s="443">
        <f t="shared" si="178"/>
        <v>17.13716806070865</v>
      </c>
      <c r="L75" s="172">
        <f t="shared" si="179"/>
        <v>41.053189822742894</v>
      </c>
      <c r="M75" s="443"/>
      <c r="N75" s="217">
        <f t="shared" si="180"/>
        <v>0.41743816094930819</v>
      </c>
      <c r="O75" s="172">
        <f t="shared" si="272"/>
        <v>29.661004768424316</v>
      </c>
      <c r="P75" s="172">
        <f t="shared" si="181"/>
        <v>4.0583171307183781</v>
      </c>
      <c r="Q75" s="217">
        <f t="shared" si="182"/>
        <v>1.8085978517331902</v>
      </c>
      <c r="R75" s="217">
        <f t="shared" si="183"/>
        <v>3.7076255960530395</v>
      </c>
      <c r="S75" s="443">
        <f t="shared" si="184"/>
        <v>16.399999999999999</v>
      </c>
      <c r="T75" s="217">
        <f t="shared" si="185"/>
        <v>2.5802677262911553</v>
      </c>
      <c r="U75" s="217">
        <f t="shared" si="186"/>
        <v>1.2946640132535236</v>
      </c>
      <c r="V75" s="217">
        <f t="shared" si="187"/>
        <v>1.8067870143892073</v>
      </c>
      <c r="W75" s="197">
        <f t="shared" si="188"/>
        <v>350</v>
      </c>
      <c r="X75" s="443">
        <f t="shared" si="273"/>
        <v>302.8971175483436</v>
      </c>
      <c r="Z75" s="217">
        <f t="shared" si="189"/>
        <v>2.377014319420764</v>
      </c>
      <c r="AA75" s="173">
        <f t="shared" si="190"/>
        <v>1.6644623972876909</v>
      </c>
      <c r="AB75" s="173">
        <f t="shared" si="191"/>
        <v>0.69237891668579443</v>
      </c>
      <c r="AC75" s="173"/>
      <c r="AD75" s="173">
        <f t="shared" si="192"/>
        <v>0.93364317507535588</v>
      </c>
      <c r="AE75" s="545">
        <f t="shared" si="193"/>
        <v>1124.6266539840046</v>
      </c>
      <c r="AF75" s="528">
        <f t="shared" si="194"/>
        <v>0.21785007418424973</v>
      </c>
      <c r="AH75" s="173">
        <f t="shared" si="195"/>
        <v>2.4765567494675613</v>
      </c>
      <c r="AI75" s="173">
        <f t="shared" si="196"/>
        <v>2.5802677262911553</v>
      </c>
      <c r="AJ75" s="173">
        <f t="shared" si="197"/>
        <v>2.1236551058946826</v>
      </c>
      <c r="AL75" s="545">
        <f t="shared" si="198"/>
        <v>700</v>
      </c>
      <c r="AM75" s="460">
        <f t="shared" si="199"/>
        <v>302.8971175483436</v>
      </c>
      <c r="AO75">
        <f t="shared" si="274"/>
        <v>700</v>
      </c>
      <c r="AP75">
        <f t="shared" si="200"/>
        <v>302.8971175483436</v>
      </c>
      <c r="AR75" s="5">
        <f t="shared" si="275"/>
        <v>3.3014510276427309</v>
      </c>
      <c r="AS75" s="5">
        <f t="shared" si="201"/>
        <v>1.2946640132535236</v>
      </c>
      <c r="AT75" s="5">
        <f t="shared" si="276"/>
        <v>2.0067870143892073</v>
      </c>
      <c r="AU75" s="173">
        <f t="shared" si="277"/>
        <v>0.39214999780806281</v>
      </c>
      <c r="AW75" s="5">
        <f t="shared" si="202"/>
        <v>5.5260049346186983</v>
      </c>
      <c r="AX75" s="5">
        <f t="shared" si="203"/>
        <v>2.8320775289920825</v>
      </c>
      <c r="AY75" s="5">
        <f t="shared" si="204"/>
        <v>0.80273645126603965</v>
      </c>
      <c r="AZ75" s="5"/>
      <c r="BA75" s="173">
        <f t="shared" si="278"/>
        <v>0.9328895997667026</v>
      </c>
      <c r="BB75" s="173">
        <f t="shared" si="205"/>
        <v>1.1614549099127198</v>
      </c>
      <c r="BC75" s="173">
        <f t="shared" si="206"/>
        <v>0.28494804819953379</v>
      </c>
      <c r="BD75" s="173"/>
      <c r="BE75" s="528">
        <f t="shared" si="207"/>
        <v>1.7405660107057571E-2</v>
      </c>
      <c r="BF75" s="528">
        <f t="shared" si="208"/>
        <v>0.60160036379080684</v>
      </c>
      <c r="BG75" s="528">
        <f t="shared" si="209"/>
        <v>0.18110235137359074</v>
      </c>
      <c r="BH75" s="528">
        <f t="shared" si="210"/>
        <v>5.1049201714966158E-2</v>
      </c>
      <c r="BI75">
        <f t="shared" si="211"/>
        <v>1.076220979291541E-2</v>
      </c>
      <c r="BJ75" s="460">
        <f t="shared" si="279"/>
        <v>191.86456116650615</v>
      </c>
      <c r="BK75">
        <f t="shared" si="212"/>
        <v>0.67755684767017266</v>
      </c>
      <c r="BL75" s="460">
        <f t="shared" si="280"/>
        <v>677.5568476701726</v>
      </c>
      <c r="BM75" s="173">
        <f t="shared" si="213"/>
        <v>0.4348749999999999</v>
      </c>
      <c r="BN75" s="173">
        <f t="shared" si="214"/>
        <v>7.7656249999999996E-2</v>
      </c>
      <c r="BO75" s="528"/>
      <c r="BQ75" s="460">
        <f t="shared" si="281"/>
        <v>512.53124999999989</v>
      </c>
      <c r="BR75" s="528">
        <f t="shared" si="215"/>
        <v>2.6108490160586358E-2</v>
      </c>
      <c r="BS75" s="528">
        <f t="shared" si="216"/>
        <v>4.0469325232810924E-2</v>
      </c>
      <c r="BT75" s="528">
        <f t="shared" si="217"/>
        <v>4.0597695086361913E-4</v>
      </c>
      <c r="BU75" s="528">
        <f t="shared" si="218"/>
        <v>0.85382679798283856</v>
      </c>
      <c r="BV75" s="528">
        <f t="shared" si="219"/>
        <v>0.9419342467285069</v>
      </c>
      <c r="BW75" s="625">
        <f t="shared" si="220"/>
        <v>1.0083114187662889E-2</v>
      </c>
      <c r="BX75" s="460">
        <f t="shared" si="282"/>
        <v>952.01736091616976</v>
      </c>
      <c r="BY75" s="173">
        <f t="shared" si="283"/>
        <v>2.1421054585863422</v>
      </c>
      <c r="BZ75" s="5">
        <f t="shared" si="284"/>
        <v>12.879999999999999</v>
      </c>
      <c r="CA75" s="173">
        <f t="shared" si="285"/>
        <v>0.85740311406468273</v>
      </c>
      <c r="CB75" s="5">
        <f t="shared" si="286"/>
        <v>85.740311406468265</v>
      </c>
      <c r="CC75">
        <f t="shared" si="287"/>
        <v>70</v>
      </c>
      <c r="CE75" s="562">
        <f t="shared" si="221"/>
        <v>-50</v>
      </c>
      <c r="CF75">
        <f t="shared" si="222"/>
        <v>-50</v>
      </c>
      <c r="CG75" s="173">
        <f t="shared" si="223"/>
        <v>0.56500122953983234</v>
      </c>
      <c r="CH75" s="173">
        <f t="shared" si="224"/>
        <v>0.19741829216945345</v>
      </c>
      <c r="CI75" s="170">
        <v>70</v>
      </c>
      <c r="CJ75" s="217">
        <f t="shared" si="309"/>
        <v>0.7</v>
      </c>
      <c r="CK75" s="217">
        <f t="shared" si="288"/>
        <v>0.17499999999999999</v>
      </c>
      <c r="CL75" s="217">
        <f t="shared" si="225"/>
        <v>11.479999999999999</v>
      </c>
      <c r="CM75" s="217">
        <f t="shared" si="310"/>
        <v>1.4</v>
      </c>
      <c r="CN75" s="541">
        <f t="shared" si="289"/>
        <v>24</v>
      </c>
      <c r="CO75" s="443">
        <f t="shared" si="226"/>
        <v>17.099999999999998</v>
      </c>
      <c r="CP75" s="443">
        <f t="shared" si="227"/>
        <v>41.099999999999994</v>
      </c>
      <c r="CQ75" s="443"/>
      <c r="CR75" s="217">
        <f t="shared" si="228"/>
        <v>0.41176470588235292</v>
      </c>
      <c r="CS75" s="172">
        <f t="shared" si="290"/>
        <v>29.36061381074169</v>
      </c>
      <c r="CT75" s="172">
        <f t="shared" si="229"/>
        <v>4.0172166427546641</v>
      </c>
      <c r="CU75" s="217">
        <f t="shared" si="230"/>
        <v>1.7902813299232738</v>
      </c>
      <c r="CV75" s="217">
        <f t="shared" si="231"/>
        <v>3.6700767263427112</v>
      </c>
      <c r="CW75" s="443">
        <f t="shared" si="232"/>
        <v>16.399999999999999</v>
      </c>
      <c r="CX75" s="217">
        <f t="shared" si="233"/>
        <v>2.6066666666666665</v>
      </c>
      <c r="CY75" s="217">
        <f t="shared" si="234"/>
        <v>1.3033333333333332</v>
      </c>
      <c r="CZ75" s="217">
        <f t="shared" si="235"/>
        <v>1.8292397660818716</v>
      </c>
      <c r="DA75" s="197">
        <f t="shared" si="236"/>
        <v>350</v>
      </c>
      <c r="DB75" s="443">
        <f t="shared" si="291"/>
        <v>319.22638938152221</v>
      </c>
      <c r="DD75" s="217">
        <f t="shared" si="237"/>
        <v>2.377476538060479</v>
      </c>
      <c r="DE75" s="173">
        <f t="shared" si="238"/>
        <v>1.668404588112617</v>
      </c>
      <c r="DF75" s="173">
        <f t="shared" si="239"/>
        <v>0.69415373374028577</v>
      </c>
      <c r="DG75" s="173"/>
      <c r="DH75" s="173">
        <f t="shared" si="240"/>
        <v>0.93567251461988332</v>
      </c>
      <c r="DI75" s="545">
        <f t="shared" si="241"/>
        <v>1122.1874999999995</v>
      </c>
      <c r="DJ75" s="528">
        <f t="shared" si="242"/>
        <v>0.21832358674463945</v>
      </c>
      <c r="DL75" s="173">
        <f t="shared" si="243"/>
        <v>2.4765567494675613</v>
      </c>
      <c r="DM75" s="173">
        <f t="shared" si="244"/>
        <v>2.6066666666666665</v>
      </c>
      <c r="DN75" s="173">
        <f t="shared" si="245"/>
        <v>2.1432098765432097</v>
      </c>
      <c r="DP75" s="545">
        <f t="shared" si="246"/>
        <v>700</v>
      </c>
      <c r="DQ75" s="460">
        <f t="shared" si="247"/>
        <v>319.22638938152221</v>
      </c>
      <c r="DS75">
        <f t="shared" si="292"/>
        <v>700</v>
      </c>
      <c r="DT75">
        <f t="shared" si="248"/>
        <v>319.22638938152221</v>
      </c>
      <c r="DV75" s="5">
        <f t="shared" si="293"/>
        <v>3.1325730994152048</v>
      </c>
      <c r="DW75" s="5">
        <f t="shared" si="249"/>
        <v>1.3033333333333332</v>
      </c>
      <c r="DX75" s="5">
        <f t="shared" si="294"/>
        <v>1.8292397660818716</v>
      </c>
      <c r="DY75" s="173">
        <f t="shared" si="295"/>
        <v>0.41605839416058388</v>
      </c>
      <c r="EA75" s="5">
        <f t="shared" si="250"/>
        <v>5.5630081300813012</v>
      </c>
      <c r="EB75" s="5">
        <f t="shared" si="251"/>
        <v>2.8510416666666663</v>
      </c>
      <c r="EC75" s="5">
        <f t="shared" si="252"/>
        <v>0.72915529564652359</v>
      </c>
      <c r="ED75" s="5"/>
      <c r="EE75" s="173">
        <f t="shared" si="296"/>
        <v>0.97073796561756132</v>
      </c>
      <c r="EF75" s="173">
        <f t="shared" si="253"/>
        <v>1.1500310890634138</v>
      </c>
      <c r="EG75" s="173">
        <f t="shared" si="254"/>
        <v>0.28214536044453903</v>
      </c>
      <c r="EH75" s="173"/>
      <c r="EI75" s="528">
        <f t="shared" si="255"/>
        <v>1.8846643957826432E-2</v>
      </c>
      <c r="EJ75" s="528">
        <f t="shared" si="256"/>
        <v>0.68399999999999983</v>
      </c>
      <c r="EK75" s="528">
        <f t="shared" si="257"/>
        <v>3.9903298672690275E-2</v>
      </c>
      <c r="EL75" s="528">
        <f t="shared" si="258"/>
        <v>5.3924040920716093E-2</v>
      </c>
      <c r="EM75">
        <f t="shared" si="259"/>
        <v>1.0800000000000001E-2</v>
      </c>
      <c r="EN75" s="460">
        <f t="shared" si="297"/>
        <v>50.703298672690273</v>
      </c>
      <c r="EO75">
        <f t="shared" si="260"/>
        <v>0.81621756917163402</v>
      </c>
      <c r="EP75" s="460">
        <f t="shared" si="298"/>
        <v>816.21756917163407</v>
      </c>
      <c r="EQ75" s="173">
        <f t="shared" si="261"/>
        <v>0.4348749999999999</v>
      </c>
      <c r="ER75" s="173">
        <f t="shared" si="262"/>
        <v>7.7656249999999996E-2</v>
      </c>
      <c r="ES75" s="528"/>
      <c r="EU75" s="460">
        <f t="shared" si="299"/>
        <v>512.53124999999989</v>
      </c>
      <c r="EV75" s="528">
        <f t="shared" si="263"/>
        <v>2.8269965936739649E-2</v>
      </c>
      <c r="EW75" s="528">
        <f t="shared" si="300"/>
        <v>3.9677145174371445E-2</v>
      </c>
      <c r="EX75" s="528">
        <f t="shared" si="264"/>
        <v>3.9803002210189427E-4</v>
      </c>
      <c r="EY75" s="528">
        <f t="shared" si="265"/>
        <v>0.99869003111229537</v>
      </c>
      <c r="EZ75" s="528">
        <f t="shared" si="266"/>
        <v>1.0893943911907324</v>
      </c>
      <c r="FA75" s="625">
        <f t="shared" si="267"/>
        <v>1.0845255474452553E-2</v>
      </c>
      <c r="FB75" s="460">
        <f t="shared" si="301"/>
        <v>1100.2396466651849</v>
      </c>
      <c r="FC75" s="173">
        <f t="shared" si="302"/>
        <v>2.4289884658368188</v>
      </c>
      <c r="FD75" s="5">
        <f t="shared" si="303"/>
        <v>12.879999999999999</v>
      </c>
      <c r="FE75" s="173">
        <f t="shared" si="304"/>
        <v>0.84133579620513188</v>
      </c>
      <c r="FF75" s="5">
        <f t="shared" si="305"/>
        <v>84.133579620513189</v>
      </c>
      <c r="FG75">
        <f t="shared" si="306"/>
        <v>70</v>
      </c>
      <c r="FI75" s="562">
        <f t="shared" si="268"/>
        <v>-50</v>
      </c>
      <c r="FJ75">
        <f t="shared" si="269"/>
        <v>-50</v>
      </c>
      <c r="FL75">
        <f t="shared" si="270"/>
        <v>0.56500122953983234</v>
      </c>
    </row>
    <row r="76" spans="5:168">
      <c r="E76" s="170">
        <v>71</v>
      </c>
      <c r="F76" s="217">
        <f t="shared" si="307"/>
        <v>0.71</v>
      </c>
      <c r="G76" s="217">
        <f t="shared" si="271"/>
        <v>0.17749999999999999</v>
      </c>
      <c r="H76" s="217">
        <f t="shared" si="176"/>
        <v>11.643999999999998</v>
      </c>
      <c r="I76" s="217">
        <f t="shared" si="308"/>
        <v>1.42</v>
      </c>
      <c r="J76" s="541">
        <f t="shared" si="177"/>
        <v>23.914822072920447</v>
      </c>
      <c r="K76" s="443">
        <f t="shared" si="178"/>
        <v>17.137699033004488</v>
      </c>
      <c r="L76" s="172">
        <f t="shared" si="179"/>
        <v>41.052521105924939</v>
      </c>
      <c r="M76" s="443"/>
      <c r="N76" s="217">
        <f t="shared" si="180"/>
        <v>0.4174578946999451</v>
      </c>
      <c r="O76" s="172">
        <f t="shared" si="272"/>
        <v>29.660919004499348</v>
      </c>
      <c r="P76" s="172">
        <f t="shared" si="181"/>
        <v>4.0583053962134752</v>
      </c>
      <c r="Q76" s="217">
        <f t="shared" si="182"/>
        <v>1.8085926222255702</v>
      </c>
      <c r="R76" s="217">
        <f t="shared" si="183"/>
        <v>3.7076148755624185</v>
      </c>
      <c r="S76" s="443">
        <f t="shared" si="184"/>
        <v>16.399999999999999</v>
      </c>
      <c r="T76" s="217">
        <f t="shared" si="185"/>
        <v>2.6171362611823068</v>
      </c>
      <c r="U76" s="217">
        <f t="shared" si="186"/>
        <v>1.3132288853509528</v>
      </c>
      <c r="V76" s="217">
        <f t="shared" si="187"/>
        <v>1.8325467773535651</v>
      </c>
      <c r="W76" s="197">
        <f t="shared" si="188"/>
        <v>350</v>
      </c>
      <c r="X76" s="443">
        <f t="shared" si="273"/>
        <v>298.88435472438755</v>
      </c>
      <c r="Z76" s="217">
        <f t="shared" si="189"/>
        <v>2.3770074463536068</v>
      </c>
      <c r="AA76" s="173">
        <f t="shared" si="190"/>
        <v>1.664406015143014</v>
      </c>
      <c r="AB76" s="173">
        <f t="shared" si="191"/>
        <v>0.69235346105636875</v>
      </c>
      <c r="AC76" s="173"/>
      <c r="AD76" s="173">
        <f t="shared" si="192"/>
        <v>0.93361424828307127</v>
      </c>
      <c r="AE76" s="545">
        <f t="shared" si="193"/>
        <v>1140.728091884361</v>
      </c>
      <c r="AF76" s="528">
        <f t="shared" si="194"/>
        <v>0.21784332459938333</v>
      </c>
      <c r="AH76" s="173">
        <f t="shared" si="195"/>
        <v>2.4941837103454065</v>
      </c>
      <c r="AI76" s="173">
        <f t="shared" si="196"/>
        <v>2.6171362611823068</v>
      </c>
      <c r="AJ76" s="173">
        <f t="shared" si="197"/>
        <v>2.1509651317399801</v>
      </c>
      <c r="AL76" s="545">
        <f t="shared" si="198"/>
        <v>710</v>
      </c>
      <c r="AM76" s="460">
        <f t="shared" si="199"/>
        <v>298.88435472438755</v>
      </c>
      <c r="AO76">
        <f t="shared" si="274"/>
        <v>710</v>
      </c>
      <c r="AP76">
        <f t="shared" si="200"/>
        <v>298.88435472438755</v>
      </c>
      <c r="AR76" s="5">
        <f t="shared" si="275"/>
        <v>3.3457756627045181</v>
      </c>
      <c r="AS76" s="5">
        <f t="shared" si="201"/>
        <v>1.3132288853509528</v>
      </c>
      <c r="AT76" s="5">
        <f t="shared" si="276"/>
        <v>2.0325467773535655</v>
      </c>
      <c r="AU76" s="173">
        <f t="shared" si="277"/>
        <v>0.39250356800354624</v>
      </c>
      <c r="AW76" s="5">
        <f t="shared" si="202"/>
        <v>5.6853201743852226</v>
      </c>
      <c r="AX76" s="5">
        <f t="shared" si="203"/>
        <v>2.9137265893724265</v>
      </c>
      <c r="AY76" s="5">
        <f t="shared" si="204"/>
        <v>0.82469686941917553</v>
      </c>
      <c r="AZ76" s="5"/>
      <c r="BA76" s="173">
        <f t="shared" si="278"/>
        <v>0.94664579894092926</v>
      </c>
      <c r="BB76" s="173">
        <f t="shared" si="205"/>
        <v>1.1777078590264189</v>
      </c>
      <c r="BC76" s="173">
        <f t="shared" si="206"/>
        <v>0.28893550056458767</v>
      </c>
      <c r="BD76" s="173"/>
      <c r="BE76" s="528">
        <f t="shared" si="207"/>
        <v>1.7922765373050206E-2</v>
      </c>
      <c r="BF76" s="528">
        <f t="shared" si="208"/>
        <v>0.60210276571797383</v>
      </c>
      <c r="BG76" s="528">
        <f t="shared" si="209"/>
        <v>0.17869415409033418</v>
      </c>
      <c r="BH76" s="528">
        <f t="shared" si="210"/>
        <v>5.0371263917620611E-2</v>
      </c>
      <c r="BI76">
        <f t="shared" si="211"/>
        <v>1.0761669932814201E-2</v>
      </c>
      <c r="BJ76" s="460">
        <f t="shared" si="279"/>
        <v>189.45582402314838</v>
      </c>
      <c r="BK76">
        <f t="shared" si="212"/>
        <v>0.67812369687389129</v>
      </c>
      <c r="BL76" s="460">
        <f t="shared" si="280"/>
        <v>678.12369687389128</v>
      </c>
      <c r="BM76" s="173">
        <f t="shared" si="213"/>
        <v>0.44108749999999991</v>
      </c>
      <c r="BN76" s="173">
        <f t="shared" si="214"/>
        <v>7.8765624999999992E-2</v>
      </c>
      <c r="BO76" s="528"/>
      <c r="BQ76" s="460">
        <f t="shared" si="281"/>
        <v>519.85312499999986</v>
      </c>
      <c r="BR76" s="528">
        <f t="shared" si="215"/>
        <v>2.6884148059575307E-2</v>
      </c>
      <c r="BS76" s="528">
        <f t="shared" si="216"/>
        <v>4.1609874036377746E-2</v>
      </c>
      <c r="BT76" s="528">
        <f t="shared" si="217"/>
        <v>4.1741861743254424E-4</v>
      </c>
      <c r="BU76" s="528">
        <f t="shared" si="218"/>
        <v>0.8556453545829813</v>
      </c>
      <c r="BV76" s="528">
        <f t="shared" si="219"/>
        <v>0.94631248158526748</v>
      </c>
      <c r="BW76" s="625">
        <f t="shared" si="220"/>
        <v>1.0235895798313433E-2</v>
      </c>
      <c r="BX76" s="460">
        <f t="shared" si="282"/>
        <v>956.54837738358094</v>
      </c>
      <c r="BY76" s="173">
        <f t="shared" si="283"/>
        <v>2.1545251992574723</v>
      </c>
      <c r="BZ76" s="5">
        <f t="shared" si="284"/>
        <v>13.063999999999998</v>
      </c>
      <c r="CA76" s="173">
        <f t="shared" si="285"/>
        <v>0.85842746448502161</v>
      </c>
      <c r="CB76" s="5">
        <f t="shared" si="286"/>
        <v>85.842746448502155</v>
      </c>
      <c r="CC76">
        <f t="shared" si="287"/>
        <v>71</v>
      </c>
      <c r="CE76" s="562">
        <f t="shared" si="221"/>
        <v>-50</v>
      </c>
      <c r="CF76">
        <f t="shared" si="222"/>
        <v>-50</v>
      </c>
      <c r="CG76" s="173">
        <f t="shared" si="223"/>
        <v>0.56500122953983234</v>
      </c>
      <c r="CH76" s="173">
        <f t="shared" si="224"/>
        <v>0.19741829216945345</v>
      </c>
      <c r="CI76" s="170">
        <v>71</v>
      </c>
      <c r="CJ76" s="217">
        <f t="shared" si="309"/>
        <v>0.71</v>
      </c>
      <c r="CK76" s="217">
        <f t="shared" si="288"/>
        <v>0.17749999999999999</v>
      </c>
      <c r="CL76" s="217">
        <f t="shared" si="225"/>
        <v>11.643999999999998</v>
      </c>
      <c r="CM76" s="217">
        <f t="shared" si="310"/>
        <v>1.42</v>
      </c>
      <c r="CN76" s="541">
        <f t="shared" si="289"/>
        <v>24</v>
      </c>
      <c r="CO76" s="443">
        <f t="shared" si="226"/>
        <v>17.099999999999998</v>
      </c>
      <c r="CP76" s="443">
        <f t="shared" si="227"/>
        <v>41.099999999999994</v>
      </c>
      <c r="CQ76" s="443"/>
      <c r="CR76" s="217">
        <f t="shared" si="228"/>
        <v>0.41176470588235292</v>
      </c>
      <c r="CS76" s="172">
        <f t="shared" si="290"/>
        <v>29.36061381074169</v>
      </c>
      <c r="CT76" s="172">
        <f t="shared" si="229"/>
        <v>4.0172166427546641</v>
      </c>
      <c r="CU76" s="217">
        <f t="shared" si="230"/>
        <v>1.7902813299232738</v>
      </c>
      <c r="CV76" s="217">
        <f t="shared" si="231"/>
        <v>3.6700767263427112</v>
      </c>
      <c r="CW76" s="443">
        <f t="shared" si="232"/>
        <v>16.399999999999999</v>
      </c>
      <c r="CX76" s="217">
        <f t="shared" si="233"/>
        <v>2.6439047619047615</v>
      </c>
      <c r="CY76" s="217">
        <f t="shared" si="234"/>
        <v>1.3219523809523808</v>
      </c>
      <c r="CZ76" s="217">
        <f t="shared" si="235"/>
        <v>1.8553717627401838</v>
      </c>
      <c r="DA76" s="197">
        <f t="shared" si="236"/>
        <v>350</v>
      </c>
      <c r="DB76" s="443">
        <f t="shared" si="291"/>
        <v>314.73024305220497</v>
      </c>
      <c r="DD76" s="217">
        <f t="shared" si="237"/>
        <v>2.377476538060479</v>
      </c>
      <c r="DE76" s="173">
        <f t="shared" si="238"/>
        <v>1.668404588112617</v>
      </c>
      <c r="DF76" s="173">
        <f t="shared" si="239"/>
        <v>0.69415373374028577</v>
      </c>
      <c r="DG76" s="173"/>
      <c r="DH76" s="173">
        <f t="shared" si="240"/>
        <v>0.93567251461988332</v>
      </c>
      <c r="DI76" s="545">
        <f t="shared" si="241"/>
        <v>1138.2187499999995</v>
      </c>
      <c r="DJ76" s="528">
        <f t="shared" si="242"/>
        <v>0.21832358674463945</v>
      </c>
      <c r="DL76" s="173">
        <f t="shared" si="243"/>
        <v>2.4941837103454065</v>
      </c>
      <c r="DM76" s="173">
        <f t="shared" si="244"/>
        <v>2.6439047619047615</v>
      </c>
      <c r="DN76" s="173">
        <f t="shared" si="245"/>
        <v>2.1707936507936503</v>
      </c>
      <c r="DP76" s="545">
        <f t="shared" si="246"/>
        <v>710</v>
      </c>
      <c r="DQ76" s="460">
        <f t="shared" si="247"/>
        <v>314.73024305220497</v>
      </c>
      <c r="DS76">
        <f t="shared" si="292"/>
        <v>710</v>
      </c>
      <c r="DT76">
        <f t="shared" si="248"/>
        <v>314.73024305220497</v>
      </c>
      <c r="DV76" s="5">
        <f t="shared" si="293"/>
        <v>3.177324143692565</v>
      </c>
      <c r="DW76" s="5">
        <f t="shared" si="249"/>
        <v>1.3219523809523808</v>
      </c>
      <c r="DX76" s="5">
        <f t="shared" si="294"/>
        <v>1.8553717627401842</v>
      </c>
      <c r="DY76" s="173">
        <f t="shared" si="295"/>
        <v>0.41605839416058388</v>
      </c>
      <c r="EA76" s="5">
        <f t="shared" si="250"/>
        <v>5.7230865272938445</v>
      </c>
      <c r="EB76" s="5">
        <f t="shared" si="251"/>
        <v>2.9330818452380947</v>
      </c>
      <c r="EC76" s="5">
        <f t="shared" si="252"/>
        <v>0.75013711129676042</v>
      </c>
      <c r="ED76" s="5"/>
      <c r="EE76" s="173">
        <f t="shared" si="296"/>
        <v>0.9846056508406692</v>
      </c>
      <c r="EF76" s="173">
        <f t="shared" si="253"/>
        <v>1.1664601046214624</v>
      </c>
      <c r="EG76" s="173">
        <f t="shared" si="254"/>
        <v>0.28617600845088959</v>
      </c>
      <c r="EH76" s="173"/>
      <c r="EI76" s="528">
        <f t="shared" si="255"/>
        <v>1.9388965753347556E-2</v>
      </c>
      <c r="EJ76" s="528">
        <f t="shared" si="256"/>
        <v>0.68399999999999983</v>
      </c>
      <c r="EK76" s="528">
        <f t="shared" si="257"/>
        <v>3.9341280381525623E-2</v>
      </c>
      <c r="EL76" s="528">
        <f t="shared" si="258"/>
        <v>5.3164547386621498E-2</v>
      </c>
      <c r="EM76">
        <f t="shared" si="259"/>
        <v>1.0800000000000001E-2</v>
      </c>
      <c r="EN76" s="460">
        <f t="shared" si="297"/>
        <v>50.141280381525625</v>
      </c>
      <c r="EO76">
        <f t="shared" si="260"/>
        <v>0.81568753852426967</v>
      </c>
      <c r="EP76" s="460">
        <f t="shared" si="298"/>
        <v>815.68753852426971</v>
      </c>
      <c r="EQ76" s="173">
        <f t="shared" si="261"/>
        <v>0.44108749999999991</v>
      </c>
      <c r="ER76" s="173">
        <f t="shared" si="262"/>
        <v>7.8765624999999992E-2</v>
      </c>
      <c r="ES76" s="528"/>
      <c r="EU76" s="460">
        <f t="shared" si="299"/>
        <v>519.85312499999986</v>
      </c>
      <c r="EV76" s="528">
        <f t="shared" si="263"/>
        <v>2.9083448630021332E-2</v>
      </c>
      <c r="EW76" s="528">
        <f t="shared" si="300"/>
        <v>4.081887527020539E-2</v>
      </c>
      <c r="EX76" s="528">
        <f t="shared" si="264"/>
        <v>4.0948353906441809E-4</v>
      </c>
      <c r="EY76" s="528">
        <f t="shared" si="265"/>
        <v>0.99869003111229382</v>
      </c>
      <c r="EZ76" s="528">
        <f t="shared" si="266"/>
        <v>1.0920192199460428</v>
      </c>
      <c r="FA76" s="625">
        <f t="shared" si="267"/>
        <v>1.1000187695516158E-2</v>
      </c>
      <c r="FB76" s="460">
        <f t="shared" si="301"/>
        <v>1103.0194076415589</v>
      </c>
      <c r="FC76" s="173">
        <f t="shared" si="302"/>
        <v>2.4385600711658286</v>
      </c>
      <c r="FD76" s="5">
        <f t="shared" si="303"/>
        <v>13.063999999999998</v>
      </c>
      <c r="FE76" s="173">
        <f t="shared" si="304"/>
        <v>0.84269952446748075</v>
      </c>
      <c r="FF76" s="5">
        <f t="shared" si="305"/>
        <v>84.269952446748079</v>
      </c>
      <c r="FG76">
        <f t="shared" si="306"/>
        <v>71</v>
      </c>
      <c r="FI76" s="562">
        <f t="shared" si="268"/>
        <v>-50</v>
      </c>
      <c r="FJ76">
        <f t="shared" si="269"/>
        <v>-50</v>
      </c>
      <c r="FL76">
        <f t="shared" si="270"/>
        <v>0.56500122953983223</v>
      </c>
    </row>
    <row r="77" spans="5:168">
      <c r="E77" s="170">
        <v>72</v>
      </c>
      <c r="F77" s="217">
        <f t="shared" si="307"/>
        <v>0.72</v>
      </c>
      <c r="G77" s="217">
        <f t="shared" si="271"/>
        <v>0.18</v>
      </c>
      <c r="H77" s="217">
        <f t="shared" si="176"/>
        <v>11.807999999999998</v>
      </c>
      <c r="I77" s="217">
        <f t="shared" si="308"/>
        <v>1.44</v>
      </c>
      <c r="J77" s="541">
        <f t="shared" si="177"/>
        <v>23.913622383806651</v>
      </c>
      <c r="K77" s="443">
        <f t="shared" si="178"/>
        <v>17.138230005300326</v>
      </c>
      <c r="L77" s="172">
        <f t="shared" si="179"/>
        <v>41.051852389106976</v>
      </c>
      <c r="M77" s="443"/>
      <c r="N77" s="217">
        <f t="shared" si="180"/>
        <v>0.41747762909349051</v>
      </c>
      <c r="O77" s="172">
        <f t="shared" si="272"/>
        <v>29.660833145577804</v>
      </c>
      <c r="P77" s="172">
        <f t="shared" si="181"/>
        <v>4.0582936487108237</v>
      </c>
      <c r="Q77" s="217">
        <f t="shared" si="182"/>
        <v>1.808587386925476</v>
      </c>
      <c r="R77" s="217">
        <f t="shared" si="183"/>
        <v>3.7076041431972255</v>
      </c>
      <c r="S77" s="443">
        <f t="shared" si="184"/>
        <v>16.399999999999999</v>
      </c>
      <c r="T77" s="217">
        <f t="shared" si="185"/>
        <v>2.6540050177834109</v>
      </c>
      <c r="U77" s="217">
        <f t="shared" si="186"/>
        <v>1.3317957314140398</v>
      </c>
      <c r="V77" s="217">
        <f t="shared" si="187"/>
        <v>1.8583050993919039</v>
      </c>
      <c r="W77" s="197">
        <f t="shared" si="188"/>
        <v>350</v>
      </c>
      <c r="X77" s="443">
        <f t="shared" si="273"/>
        <v>294.97647707495042</v>
      </c>
      <c r="Z77" s="217">
        <f t="shared" si="189"/>
        <v>2.3770005656734825</v>
      </c>
      <c r="AA77" s="173">
        <f t="shared" si="190"/>
        <v>1.6643496311614558</v>
      </c>
      <c r="AB77" s="173">
        <f t="shared" si="191"/>
        <v>0.69232800258111571</v>
      </c>
      <c r="AC77" s="173"/>
      <c r="AD77" s="173">
        <f t="shared" si="192"/>
        <v>0.93358532328319177</v>
      </c>
      <c r="AE77" s="545">
        <f t="shared" si="193"/>
        <v>1156.8305253577716</v>
      </c>
      <c r="AF77" s="528">
        <f t="shared" si="194"/>
        <v>0.21783657543274476</v>
      </c>
      <c r="AH77" s="173">
        <f t="shared" si="195"/>
        <v>2.511686968666961</v>
      </c>
      <c r="AI77" s="173">
        <f t="shared" si="196"/>
        <v>2.6540050177834109</v>
      </c>
      <c r="AJ77" s="173">
        <f t="shared" si="197"/>
        <v>2.1782753218148723</v>
      </c>
      <c r="AL77" s="545">
        <f t="shared" si="198"/>
        <v>720</v>
      </c>
      <c r="AM77" s="460">
        <f t="shared" si="199"/>
        <v>294.97647707495042</v>
      </c>
      <c r="AO77">
        <f t="shared" si="274"/>
        <v>720</v>
      </c>
      <c r="AP77">
        <f t="shared" si="200"/>
        <v>294.97647707495042</v>
      </c>
      <c r="AR77" s="5">
        <f t="shared" si="275"/>
        <v>3.3901008308059439</v>
      </c>
      <c r="AS77" s="5">
        <f t="shared" si="201"/>
        <v>1.3317957314140398</v>
      </c>
      <c r="AT77" s="5">
        <f t="shared" si="276"/>
        <v>2.0583050993919043</v>
      </c>
      <c r="AU77" s="173">
        <f t="shared" si="277"/>
        <v>0.3928484130359704</v>
      </c>
      <c r="AW77" s="5">
        <f t="shared" si="202"/>
        <v>5.8469080891348106</v>
      </c>
      <c r="AX77" s="5">
        <f t="shared" si="203"/>
        <v>2.9965403956815897</v>
      </c>
      <c r="AY77" s="5">
        <f t="shared" si="204"/>
        <v>0.84695333283055196</v>
      </c>
      <c r="AZ77" s="5"/>
      <c r="BA77" s="173">
        <f t="shared" si="278"/>
        <v>0.96040323402300065</v>
      </c>
      <c r="BB77" s="173">
        <f t="shared" si="205"/>
        <v>1.1939597311263626</v>
      </c>
      <c r="BC77" s="173">
        <f t="shared" si="206"/>
        <v>0.29292268869814631</v>
      </c>
      <c r="BD77" s="173"/>
      <c r="BE77" s="528">
        <f t="shared" si="207"/>
        <v>1.8447487438436772E-2</v>
      </c>
      <c r="BF77" s="528">
        <f t="shared" si="208"/>
        <v>0.60259171298062209</v>
      </c>
      <c r="BG77" s="528">
        <f t="shared" si="209"/>
        <v>0.17634890212189908</v>
      </c>
      <c r="BH77" s="528">
        <f t="shared" si="210"/>
        <v>4.9711046033294091E-2</v>
      </c>
      <c r="BI77">
        <f t="shared" si="211"/>
        <v>1.0761130072712993E-2</v>
      </c>
      <c r="BJ77" s="460">
        <f t="shared" si="279"/>
        <v>187.11003219461205</v>
      </c>
      <c r="BK77">
        <f t="shared" si="212"/>
        <v>0.67870591959758875</v>
      </c>
      <c r="BL77" s="460">
        <f t="shared" si="280"/>
        <v>678.70591959758872</v>
      </c>
      <c r="BM77" s="173">
        <f t="shared" si="213"/>
        <v>0.44729999999999998</v>
      </c>
      <c r="BN77" s="173">
        <f t="shared" si="214"/>
        <v>7.9874999999999988E-2</v>
      </c>
      <c r="BO77" s="528"/>
      <c r="BQ77" s="460">
        <f t="shared" si="281"/>
        <v>527.17499999999995</v>
      </c>
      <c r="BR77" s="528">
        <f t="shared" si="215"/>
        <v>2.7671231157655157E-2</v>
      </c>
      <c r="BS77" s="528">
        <f t="shared" si="216"/>
        <v>4.2766195186540075E-2</v>
      </c>
      <c r="BT77" s="528">
        <f t="shared" si="217"/>
        <v>4.2901850777075565E-4</v>
      </c>
      <c r="BU77" s="528">
        <f t="shared" si="218"/>
        <v>0.8574184306737026</v>
      </c>
      <c r="BV77" s="528">
        <f t="shared" si="219"/>
        <v>0.95068254164286536</v>
      </c>
      <c r="BW77" s="625">
        <f t="shared" si="220"/>
        <v>1.0388691938618506E-2</v>
      </c>
      <c r="BX77" s="460">
        <f t="shared" si="282"/>
        <v>961.07123358148385</v>
      </c>
      <c r="BY77" s="173">
        <f t="shared" si="283"/>
        <v>2.1669521531790727</v>
      </c>
      <c r="BZ77" s="5">
        <f t="shared" si="284"/>
        <v>13.247999999999998</v>
      </c>
      <c r="CA77" s="173">
        <f t="shared" si="285"/>
        <v>0.85942530786693516</v>
      </c>
      <c r="CB77" s="5">
        <f t="shared" si="286"/>
        <v>85.94253078669351</v>
      </c>
      <c r="CC77">
        <f t="shared" si="287"/>
        <v>72</v>
      </c>
      <c r="CE77" s="562">
        <f t="shared" si="221"/>
        <v>-50</v>
      </c>
      <c r="CF77">
        <f t="shared" si="222"/>
        <v>-50</v>
      </c>
      <c r="CG77" s="173">
        <f t="shared" si="223"/>
        <v>0.56500122953983234</v>
      </c>
      <c r="CH77" s="173">
        <f t="shared" si="224"/>
        <v>0.19741829216945347</v>
      </c>
      <c r="CI77" s="170">
        <v>72</v>
      </c>
      <c r="CJ77" s="217">
        <f t="shared" si="309"/>
        <v>0.72</v>
      </c>
      <c r="CK77" s="217">
        <f t="shared" si="288"/>
        <v>0.18</v>
      </c>
      <c r="CL77" s="217">
        <f t="shared" si="225"/>
        <v>11.807999999999998</v>
      </c>
      <c r="CM77" s="217">
        <f t="shared" si="310"/>
        <v>1.44</v>
      </c>
      <c r="CN77" s="541">
        <f t="shared" si="289"/>
        <v>24</v>
      </c>
      <c r="CO77" s="443">
        <f t="shared" si="226"/>
        <v>17.099999999999998</v>
      </c>
      <c r="CP77" s="443">
        <f t="shared" si="227"/>
        <v>41.099999999999994</v>
      </c>
      <c r="CQ77" s="443"/>
      <c r="CR77" s="217">
        <f t="shared" si="228"/>
        <v>0.41176470588235292</v>
      </c>
      <c r="CS77" s="172">
        <f t="shared" si="290"/>
        <v>29.36061381074169</v>
      </c>
      <c r="CT77" s="172">
        <f t="shared" si="229"/>
        <v>4.0172166427546641</v>
      </c>
      <c r="CU77" s="217">
        <f t="shared" si="230"/>
        <v>1.7902813299232738</v>
      </c>
      <c r="CV77" s="217">
        <f t="shared" si="231"/>
        <v>3.6700767263427112</v>
      </c>
      <c r="CW77" s="443">
        <f t="shared" si="232"/>
        <v>16.399999999999999</v>
      </c>
      <c r="CX77" s="217">
        <f t="shared" si="233"/>
        <v>2.6811428571428566</v>
      </c>
      <c r="CY77" s="217">
        <f t="shared" si="234"/>
        <v>1.3405714285714283</v>
      </c>
      <c r="CZ77" s="217">
        <f t="shared" si="235"/>
        <v>1.8815037593984962</v>
      </c>
      <c r="DA77" s="197">
        <f t="shared" si="236"/>
        <v>350</v>
      </c>
      <c r="DB77" s="443">
        <f t="shared" si="291"/>
        <v>310.35898967647995</v>
      </c>
      <c r="DD77" s="217">
        <f t="shared" si="237"/>
        <v>2.377476538060479</v>
      </c>
      <c r="DE77" s="173">
        <f t="shared" si="238"/>
        <v>1.668404588112617</v>
      </c>
      <c r="DF77" s="173">
        <f t="shared" si="239"/>
        <v>0.69415373374028577</v>
      </c>
      <c r="DG77" s="173"/>
      <c r="DH77" s="173">
        <f t="shared" si="240"/>
        <v>0.93567251461988332</v>
      </c>
      <c r="DI77" s="545">
        <f t="shared" si="241"/>
        <v>1154.2499999999995</v>
      </c>
      <c r="DJ77" s="528">
        <f t="shared" si="242"/>
        <v>0.21832358674463945</v>
      </c>
      <c r="DL77" s="173">
        <f t="shared" si="243"/>
        <v>2.511686968666961</v>
      </c>
      <c r="DM77" s="173">
        <f t="shared" si="244"/>
        <v>2.6811428571428566</v>
      </c>
      <c r="DN77" s="173">
        <f t="shared" si="245"/>
        <v>2.1983774250440913</v>
      </c>
      <c r="DP77" s="545">
        <f t="shared" si="246"/>
        <v>720</v>
      </c>
      <c r="DQ77" s="460">
        <f t="shared" si="247"/>
        <v>310.35898967647995</v>
      </c>
      <c r="DS77">
        <f t="shared" si="292"/>
        <v>720</v>
      </c>
      <c r="DT77">
        <f t="shared" si="248"/>
        <v>310.35898967647995</v>
      </c>
      <c r="DV77" s="5">
        <f t="shared" si="293"/>
        <v>3.2220751879699243</v>
      </c>
      <c r="DW77" s="5">
        <f t="shared" si="249"/>
        <v>1.3405714285714283</v>
      </c>
      <c r="DX77" s="5">
        <f t="shared" si="294"/>
        <v>1.881503759398496</v>
      </c>
      <c r="DY77" s="173">
        <f t="shared" si="295"/>
        <v>0.41605839416058393</v>
      </c>
      <c r="EA77" s="5">
        <f t="shared" si="250"/>
        <v>5.8854355400696869</v>
      </c>
      <c r="EB77" s="5">
        <f t="shared" si="251"/>
        <v>3.0162857142857136</v>
      </c>
      <c r="EC77" s="5">
        <f t="shared" si="252"/>
        <v>0.77141654135338311</v>
      </c>
      <c r="ED77" s="5"/>
      <c r="EE77" s="173">
        <f t="shared" si="296"/>
        <v>0.99847333606377731</v>
      </c>
      <c r="EF77" s="173">
        <f t="shared" si="253"/>
        <v>1.1828891201795111</v>
      </c>
      <c r="EG77" s="173">
        <f t="shared" si="254"/>
        <v>0.29020665645724014</v>
      </c>
      <c r="EH77" s="173"/>
      <c r="EI77" s="528">
        <f t="shared" si="255"/>
        <v>1.9938980056606576E-2</v>
      </c>
      <c r="EJ77" s="528">
        <f t="shared" si="256"/>
        <v>0.68399999999999983</v>
      </c>
      <c r="EK77" s="528">
        <f t="shared" si="257"/>
        <v>3.8794873709559988E-2</v>
      </c>
      <c r="EL77" s="528">
        <f t="shared" si="258"/>
        <v>5.2426150895140661E-2</v>
      </c>
      <c r="EM77">
        <f t="shared" si="259"/>
        <v>1.0800000000000001E-2</v>
      </c>
      <c r="EN77" s="460">
        <f t="shared" si="297"/>
        <v>49.594873709559991</v>
      </c>
      <c r="EO77">
        <f t="shared" si="260"/>
        <v>0.81520556700469871</v>
      </c>
      <c r="EP77" s="460">
        <f t="shared" si="298"/>
        <v>815.20556700469865</v>
      </c>
      <c r="EQ77" s="173">
        <f t="shared" si="261"/>
        <v>0.44729999999999998</v>
      </c>
      <c r="ER77" s="173">
        <f t="shared" si="262"/>
        <v>7.9874999999999988E-2</v>
      </c>
      <c r="ES77" s="528"/>
      <c r="EU77" s="460">
        <f t="shared" si="299"/>
        <v>527.17499999999995</v>
      </c>
      <c r="EV77" s="528">
        <f t="shared" si="263"/>
        <v>2.990847008490986E-2</v>
      </c>
      <c r="EW77" s="528">
        <f t="shared" si="300"/>
        <v>4.1976800119171737E-2</v>
      </c>
      <c r="EX77" s="528">
        <f t="shared" si="264"/>
        <v>4.2109951726045303E-4</v>
      </c>
      <c r="EY77" s="528">
        <f t="shared" si="265"/>
        <v>0.99869003111229315</v>
      </c>
      <c r="EZ77" s="528">
        <f t="shared" si="266"/>
        <v>1.0946821288254935</v>
      </c>
      <c r="FA77" s="625">
        <f t="shared" si="267"/>
        <v>1.1155119916579767E-2</v>
      </c>
      <c r="FB77" s="460">
        <f t="shared" si="301"/>
        <v>1105.8372487420734</v>
      </c>
      <c r="FC77" s="173">
        <f t="shared" si="302"/>
        <v>2.448217815746772</v>
      </c>
      <c r="FD77" s="5">
        <f t="shared" si="303"/>
        <v>13.247999999999998</v>
      </c>
      <c r="FE77" s="173">
        <f t="shared" si="304"/>
        <v>0.84402498458637154</v>
      </c>
      <c r="FF77" s="5">
        <f t="shared" si="305"/>
        <v>84.402498458637154</v>
      </c>
      <c r="FG77">
        <f t="shared" si="306"/>
        <v>72</v>
      </c>
      <c r="FI77" s="562">
        <f t="shared" si="268"/>
        <v>-50</v>
      </c>
      <c r="FJ77">
        <f t="shared" si="269"/>
        <v>-50</v>
      </c>
      <c r="FL77">
        <f t="shared" si="270"/>
        <v>0.56500122953983234</v>
      </c>
    </row>
    <row r="78" spans="5:168">
      <c r="E78" s="170">
        <v>73</v>
      </c>
      <c r="F78" s="217">
        <f t="shared" si="307"/>
        <v>0.73</v>
      </c>
      <c r="G78" s="217">
        <f t="shared" si="271"/>
        <v>0.1825</v>
      </c>
      <c r="H78" s="217">
        <f t="shared" si="176"/>
        <v>11.972</v>
      </c>
      <c r="I78" s="217">
        <f t="shared" si="308"/>
        <v>1.46</v>
      </c>
      <c r="J78" s="541">
        <f t="shared" si="177"/>
        <v>23.912422694692854</v>
      </c>
      <c r="K78" s="443">
        <f t="shared" si="178"/>
        <v>17.138760977596164</v>
      </c>
      <c r="L78" s="172">
        <f t="shared" si="179"/>
        <v>41.051183672289014</v>
      </c>
      <c r="M78" s="443"/>
      <c r="N78" s="217">
        <f t="shared" si="180"/>
        <v>0.41749736412997579</v>
      </c>
      <c r="O78" s="172">
        <f t="shared" si="272"/>
        <v>29.66074719165502</v>
      </c>
      <c r="P78" s="172">
        <f t="shared" si="181"/>
        <v>4.0582818882097893</v>
      </c>
      <c r="Q78" s="217">
        <f t="shared" si="182"/>
        <v>1.8085821458326232</v>
      </c>
      <c r="R78" s="217">
        <f t="shared" si="183"/>
        <v>3.7075933989568775</v>
      </c>
      <c r="S78" s="443">
        <f t="shared" si="184"/>
        <v>16.399999999999999</v>
      </c>
      <c r="T78" s="217">
        <f t="shared" si="185"/>
        <v>2.6908739964510611</v>
      </c>
      <c r="U78" s="217">
        <f t="shared" si="186"/>
        <v>1.3503645519188365</v>
      </c>
      <c r="V78" s="217">
        <f t="shared" si="187"/>
        <v>1.8840619808878221</v>
      </c>
      <c r="W78" s="197">
        <f t="shared" si="188"/>
        <v>350</v>
      </c>
      <c r="X78" s="443">
        <f t="shared" si="273"/>
        <v>291.16942536045076</v>
      </c>
      <c r="Z78" s="217">
        <f t="shared" si="189"/>
        <v>2.3769936773800184</v>
      </c>
      <c r="AA78" s="173">
        <f t="shared" si="190"/>
        <v>1.6642932453429262</v>
      </c>
      <c r="AB78" s="173">
        <f t="shared" si="191"/>
        <v>0.69230254126012125</v>
      </c>
      <c r="AC78" s="173"/>
      <c r="AD78" s="173">
        <f t="shared" si="192"/>
        <v>0.93355640007555085</v>
      </c>
      <c r="AE78" s="545">
        <f t="shared" si="193"/>
        <v>1172.9339544042373</v>
      </c>
      <c r="AF78" s="528">
        <f t="shared" si="194"/>
        <v>0.21782982668429521</v>
      </c>
      <c r="AH78" s="173">
        <f t="shared" si="195"/>
        <v>2.5290690928067732</v>
      </c>
      <c r="AI78" s="173">
        <f t="shared" si="196"/>
        <v>2.6908739964510611</v>
      </c>
      <c r="AJ78" s="173">
        <f t="shared" si="197"/>
        <v>2.2055856763835018</v>
      </c>
      <c r="AL78" s="545">
        <f t="shared" si="198"/>
        <v>730</v>
      </c>
      <c r="AM78" s="460">
        <f t="shared" si="199"/>
        <v>291.16942536045076</v>
      </c>
      <c r="AO78">
        <f t="shared" si="274"/>
        <v>730</v>
      </c>
      <c r="AP78">
        <f t="shared" si="200"/>
        <v>291.16942536045076</v>
      </c>
      <c r="AR78" s="5">
        <f t="shared" si="275"/>
        <v>3.4344265328066581</v>
      </c>
      <c r="AS78" s="5">
        <f t="shared" si="201"/>
        <v>1.3503645519188365</v>
      </c>
      <c r="AT78" s="5">
        <f t="shared" si="276"/>
        <v>2.0840619808878218</v>
      </c>
      <c r="AU78" s="173">
        <f t="shared" si="277"/>
        <v>0.39318487060933022</v>
      </c>
      <c r="AW78" s="5">
        <f t="shared" si="202"/>
        <v>6.0107690420777482</v>
      </c>
      <c r="AX78" s="5">
        <f t="shared" si="203"/>
        <v>3.0805191340648457</v>
      </c>
      <c r="AY78" s="5">
        <f t="shared" si="204"/>
        <v>0.86950586151211784</v>
      </c>
      <c r="AZ78" s="5"/>
      <c r="BA78" s="173">
        <f t="shared" si="278"/>
        <v>0.97416188550206539</v>
      </c>
      <c r="BB78" s="173">
        <f t="shared" si="205"/>
        <v>1.2102105501773495</v>
      </c>
      <c r="BC78" s="173">
        <f t="shared" si="206"/>
        <v>0.29690961847966529</v>
      </c>
      <c r="BD78" s="173"/>
      <c r="BE78" s="528">
        <f t="shared" si="207"/>
        <v>1.8979827583298782E-2</v>
      </c>
      <c r="BF78" s="528">
        <f t="shared" si="208"/>
        <v>0.60306772622072913</v>
      </c>
      <c r="BG78" s="528">
        <f t="shared" si="209"/>
        <v>0.17406415937474801</v>
      </c>
      <c r="BH78" s="528">
        <f t="shared" si="210"/>
        <v>4.9067862270410573E-2</v>
      </c>
      <c r="BI78">
        <f t="shared" si="211"/>
        <v>1.0760590212611785E-2</v>
      </c>
      <c r="BJ78" s="460">
        <f t="shared" si="279"/>
        <v>184.82474958735978</v>
      </c>
      <c r="BK78">
        <f t="shared" si="212"/>
        <v>0.67930336073558073</v>
      </c>
      <c r="BL78" s="460">
        <f t="shared" si="280"/>
        <v>679.30336073558078</v>
      </c>
      <c r="BM78" s="173">
        <f t="shared" si="213"/>
        <v>0.45351249999999999</v>
      </c>
      <c r="BN78" s="173">
        <f t="shared" si="214"/>
        <v>8.0984374999999997E-2</v>
      </c>
      <c r="BO78" s="528"/>
      <c r="BQ78" s="460">
        <f t="shared" si="281"/>
        <v>534.49687499999993</v>
      </c>
      <c r="BR78" s="528">
        <f t="shared" si="215"/>
        <v>2.8469741374948173E-2</v>
      </c>
      <c r="BS78" s="528">
        <f t="shared" si="216"/>
        <v>4.3938287272816887E-2</v>
      </c>
      <c r="BT78" s="528">
        <f t="shared" si="217"/>
        <v>4.4077660772870203E-4</v>
      </c>
      <c r="BU78" s="528">
        <f t="shared" si="218"/>
        <v>0.85914770112742811</v>
      </c>
      <c r="BV78" s="528">
        <f t="shared" si="219"/>
        <v>0.95504613724923881</v>
      </c>
      <c r="BW78" s="625">
        <f t="shared" si="220"/>
        <v>1.0541502046426404E-2</v>
      </c>
      <c r="BX78" s="460">
        <f t="shared" si="282"/>
        <v>965.58763929566521</v>
      </c>
      <c r="BY78" s="173">
        <f t="shared" si="283"/>
        <v>2.1793878750312463</v>
      </c>
      <c r="BZ78" s="5">
        <f t="shared" si="284"/>
        <v>13.431999999999999</v>
      </c>
      <c r="CA78" s="173">
        <f t="shared" si="285"/>
        <v>0.86039755770100712</v>
      </c>
      <c r="CB78" s="5">
        <f t="shared" si="286"/>
        <v>86.039755770100712</v>
      </c>
      <c r="CC78">
        <f t="shared" si="287"/>
        <v>73</v>
      </c>
      <c r="CE78" s="562">
        <f t="shared" si="221"/>
        <v>-50</v>
      </c>
      <c r="CF78">
        <f t="shared" si="222"/>
        <v>-50</v>
      </c>
      <c r="CG78" s="173">
        <f t="shared" si="223"/>
        <v>0.56500122953983234</v>
      </c>
      <c r="CH78" s="173">
        <f t="shared" si="224"/>
        <v>0.19741829216945345</v>
      </c>
      <c r="CI78" s="170">
        <v>73</v>
      </c>
      <c r="CJ78" s="217">
        <f t="shared" si="309"/>
        <v>0.73</v>
      </c>
      <c r="CK78" s="217">
        <f t="shared" si="288"/>
        <v>0.1825</v>
      </c>
      <c r="CL78" s="217">
        <f t="shared" si="225"/>
        <v>11.972</v>
      </c>
      <c r="CM78" s="217">
        <f t="shared" si="310"/>
        <v>1.46</v>
      </c>
      <c r="CN78" s="541">
        <f t="shared" si="289"/>
        <v>24</v>
      </c>
      <c r="CO78" s="443">
        <f t="shared" si="226"/>
        <v>17.099999999999998</v>
      </c>
      <c r="CP78" s="443">
        <f t="shared" si="227"/>
        <v>41.099999999999994</v>
      </c>
      <c r="CQ78" s="443"/>
      <c r="CR78" s="217">
        <f t="shared" si="228"/>
        <v>0.41176470588235292</v>
      </c>
      <c r="CS78" s="172">
        <f t="shared" si="290"/>
        <v>29.36061381074169</v>
      </c>
      <c r="CT78" s="172">
        <f t="shared" si="229"/>
        <v>4.0172166427546641</v>
      </c>
      <c r="CU78" s="217">
        <f t="shared" si="230"/>
        <v>1.7902813299232738</v>
      </c>
      <c r="CV78" s="217">
        <f t="shared" si="231"/>
        <v>3.6700767263427112</v>
      </c>
      <c r="CW78" s="443">
        <f t="shared" si="232"/>
        <v>16.399999999999999</v>
      </c>
      <c r="CX78" s="217">
        <f t="shared" si="233"/>
        <v>2.7183809523809521</v>
      </c>
      <c r="CY78" s="217">
        <f t="shared" si="234"/>
        <v>1.3591904761904761</v>
      </c>
      <c r="CZ78" s="217">
        <f t="shared" si="235"/>
        <v>1.9076357560568091</v>
      </c>
      <c r="DA78" s="197">
        <f t="shared" si="236"/>
        <v>350</v>
      </c>
      <c r="DB78" s="443">
        <f t="shared" si="291"/>
        <v>306.10749666721301</v>
      </c>
      <c r="DD78" s="217">
        <f t="shared" si="237"/>
        <v>2.377476538060479</v>
      </c>
      <c r="DE78" s="173">
        <f t="shared" si="238"/>
        <v>1.668404588112617</v>
      </c>
      <c r="DF78" s="173">
        <f t="shared" si="239"/>
        <v>0.69415373374028577</v>
      </c>
      <c r="DG78" s="173"/>
      <c r="DH78" s="173">
        <f t="shared" si="240"/>
        <v>0.93567251461988332</v>
      </c>
      <c r="DI78" s="545">
        <f t="shared" si="241"/>
        <v>1170.2812499999995</v>
      </c>
      <c r="DJ78" s="528">
        <f t="shared" si="242"/>
        <v>0.21832358674463945</v>
      </c>
      <c r="DL78" s="173">
        <f t="shared" si="243"/>
        <v>2.5290690928067732</v>
      </c>
      <c r="DM78" s="173">
        <f t="shared" si="244"/>
        <v>2.7183809523809521</v>
      </c>
      <c r="DN78" s="173">
        <f t="shared" si="245"/>
        <v>2.2259611992945323</v>
      </c>
      <c r="DP78" s="545">
        <f t="shared" si="246"/>
        <v>730</v>
      </c>
      <c r="DQ78" s="460">
        <f t="shared" si="247"/>
        <v>306.10749666721301</v>
      </c>
      <c r="DS78">
        <f t="shared" si="292"/>
        <v>730</v>
      </c>
      <c r="DT78">
        <f t="shared" si="248"/>
        <v>306.10749666721301</v>
      </c>
      <c r="DV78" s="5">
        <f t="shared" si="293"/>
        <v>3.2668262322472859</v>
      </c>
      <c r="DW78" s="5">
        <f t="shared" si="249"/>
        <v>1.3591904761904761</v>
      </c>
      <c r="DX78" s="5">
        <f t="shared" si="294"/>
        <v>1.9076357560568098</v>
      </c>
      <c r="DY78" s="173">
        <f t="shared" si="295"/>
        <v>0.41605839416058377</v>
      </c>
      <c r="EA78" s="5">
        <f t="shared" si="250"/>
        <v>6.0500551684088268</v>
      </c>
      <c r="EB78" s="5">
        <f t="shared" si="251"/>
        <v>3.1006532738095234</v>
      </c>
      <c r="EC78" s="5">
        <f t="shared" si="252"/>
        <v>0.79299358581639312</v>
      </c>
      <c r="ED78" s="5"/>
      <c r="EE78" s="173">
        <f t="shared" si="296"/>
        <v>1.0123410212868853</v>
      </c>
      <c r="EF78" s="173">
        <f t="shared" si="253"/>
        <v>1.1993181357375602</v>
      </c>
      <c r="EG78" s="173">
        <f t="shared" si="254"/>
        <v>0.29423730446359075</v>
      </c>
      <c r="EH78" s="173"/>
      <c r="EI78" s="528">
        <f t="shared" si="255"/>
        <v>2.0496686867603479E-2</v>
      </c>
      <c r="EJ78" s="528">
        <f t="shared" si="256"/>
        <v>0.68399999999999972</v>
      </c>
      <c r="EK78" s="528">
        <f t="shared" si="257"/>
        <v>3.826343708340163E-2</v>
      </c>
      <c r="EL78" s="528">
        <f t="shared" si="258"/>
        <v>5.1707984444522279E-2</v>
      </c>
      <c r="EM78">
        <f t="shared" si="259"/>
        <v>1.0800000000000001E-2</v>
      </c>
      <c r="EN78" s="460">
        <f t="shared" si="297"/>
        <v>49.063437083401631</v>
      </c>
      <c r="EO78">
        <f t="shared" si="260"/>
        <v>0.81477015493315286</v>
      </c>
      <c r="EP78" s="460">
        <f t="shared" si="298"/>
        <v>814.77015493315287</v>
      </c>
      <c r="EQ78" s="173">
        <f t="shared" si="261"/>
        <v>0.45351249999999999</v>
      </c>
      <c r="ER78" s="173">
        <f t="shared" si="262"/>
        <v>8.0984374999999997E-2</v>
      </c>
      <c r="ES78" s="528"/>
      <c r="EU78" s="460">
        <f t="shared" si="299"/>
        <v>534.49687499999993</v>
      </c>
      <c r="EV78" s="528">
        <f t="shared" si="263"/>
        <v>3.0745030301405216E-2</v>
      </c>
      <c r="EW78" s="528">
        <f t="shared" si="300"/>
        <v>4.3150919721270505E-2</v>
      </c>
      <c r="EX78" s="528">
        <f t="shared" si="264"/>
        <v>4.32877956689999E-4</v>
      </c>
      <c r="EY78" s="528">
        <f t="shared" si="265"/>
        <v>0.99869003111229349</v>
      </c>
      <c r="EZ78" s="528">
        <f t="shared" si="266"/>
        <v>1.097383154101802</v>
      </c>
      <c r="FA78" s="625">
        <f t="shared" si="267"/>
        <v>1.1310052137643375E-2</v>
      </c>
      <c r="FB78" s="460">
        <f t="shared" si="301"/>
        <v>1108.6932062394455</v>
      </c>
      <c r="FC78" s="173">
        <f t="shared" si="302"/>
        <v>2.4579602361725978</v>
      </c>
      <c r="FD78" s="5">
        <f t="shared" si="303"/>
        <v>13.431999999999999</v>
      </c>
      <c r="FE78" s="173">
        <f t="shared" si="304"/>
        <v>0.84531363202676935</v>
      </c>
      <c r="FF78" s="5">
        <f t="shared" si="305"/>
        <v>84.531363202676928</v>
      </c>
      <c r="FG78">
        <f t="shared" si="306"/>
        <v>73</v>
      </c>
      <c r="FI78" s="562">
        <f t="shared" si="268"/>
        <v>-50</v>
      </c>
      <c r="FJ78">
        <f t="shared" si="269"/>
        <v>-50</v>
      </c>
      <c r="FL78">
        <f t="shared" si="270"/>
        <v>0.56500122953983234</v>
      </c>
    </row>
    <row r="79" spans="5:168">
      <c r="E79" s="170">
        <v>74</v>
      </c>
      <c r="F79" s="217">
        <f t="shared" si="307"/>
        <v>0.74</v>
      </c>
      <c r="G79" s="217">
        <f t="shared" si="271"/>
        <v>0.185</v>
      </c>
      <c r="H79" s="217">
        <f t="shared" si="176"/>
        <v>12.135999999999999</v>
      </c>
      <c r="I79" s="217">
        <f t="shared" si="308"/>
        <v>1.48</v>
      </c>
      <c r="J79" s="541">
        <f t="shared" si="177"/>
        <v>23.911223005579057</v>
      </c>
      <c r="K79" s="443">
        <f t="shared" si="178"/>
        <v>17.139291949892002</v>
      </c>
      <c r="L79" s="172">
        <f t="shared" si="179"/>
        <v>41.050514955471058</v>
      </c>
      <c r="M79" s="443"/>
      <c r="N79" s="217">
        <f t="shared" si="180"/>
        <v>0.41751709980943225</v>
      </c>
      <c r="O79" s="172">
        <f t="shared" si="272"/>
        <v>29.660661142726358</v>
      </c>
      <c r="P79" s="172">
        <f t="shared" si="181"/>
        <v>4.0582701147097335</v>
      </c>
      <c r="Q79" s="217">
        <f t="shared" si="182"/>
        <v>1.8085768989467292</v>
      </c>
      <c r="R79" s="217">
        <f t="shared" si="183"/>
        <v>3.7075826428407948</v>
      </c>
      <c r="S79" s="443">
        <f t="shared" si="184"/>
        <v>16.399999999999999</v>
      </c>
      <c r="T79" s="217">
        <f t="shared" si="185"/>
        <v>2.7277431975418831</v>
      </c>
      <c r="U79" s="217">
        <f t="shared" si="186"/>
        <v>1.3689353473415071</v>
      </c>
      <c r="V79" s="217">
        <f t="shared" si="187"/>
        <v>1.9098174222248929</v>
      </c>
      <c r="W79" s="197">
        <f t="shared" si="188"/>
        <v>350</v>
      </c>
      <c r="X79" s="443">
        <f t="shared" si="273"/>
        <v>287.45934713970553</v>
      </c>
      <c r="Z79" s="217">
        <f t="shared" si="189"/>
        <v>2.3769867814728434</v>
      </c>
      <c r="AA79" s="173">
        <f t="shared" si="190"/>
        <v>1.6642368576873361</v>
      </c>
      <c r="AB79" s="173">
        <f t="shared" si="191"/>
        <v>0.69227707709347241</v>
      </c>
      <c r="AC79" s="173"/>
      <c r="AD79" s="173">
        <f t="shared" si="192"/>
        <v>0.93352747865998176</v>
      </c>
      <c r="AE79" s="545">
        <f t="shared" si="193"/>
        <v>1189.0383790237572</v>
      </c>
      <c r="AF79" s="528">
        <f t="shared" si="194"/>
        <v>0.21782307835399575</v>
      </c>
      <c r="AH79" s="173">
        <f t="shared" si="195"/>
        <v>2.546332563474285</v>
      </c>
      <c r="AI79" s="173">
        <f t="shared" si="196"/>
        <v>2.7277431975418831</v>
      </c>
      <c r="AJ79" s="173">
        <f t="shared" si="197"/>
        <v>2.2328961957100368</v>
      </c>
      <c r="AL79" s="545">
        <f t="shared" si="198"/>
        <v>740</v>
      </c>
      <c r="AM79" s="460">
        <f t="shared" si="199"/>
        <v>287.45934713970553</v>
      </c>
      <c r="AO79">
        <f t="shared" si="274"/>
        <v>740</v>
      </c>
      <c r="AP79">
        <f t="shared" si="200"/>
        <v>287.45934713970553</v>
      </c>
      <c r="AR79" s="5">
        <f t="shared" si="275"/>
        <v>3.4787527695664004</v>
      </c>
      <c r="AS79" s="5">
        <f t="shared" si="201"/>
        <v>1.3689353473415071</v>
      </c>
      <c r="AT79" s="5">
        <f t="shared" si="276"/>
        <v>2.1098174222248933</v>
      </c>
      <c r="AU79" s="173">
        <f t="shared" si="277"/>
        <v>0.39351326122325569</v>
      </c>
      <c r="AW79" s="5">
        <f t="shared" si="202"/>
        <v>6.1769033965409479</v>
      </c>
      <c r="AX79" s="5">
        <f t="shared" si="203"/>
        <v>3.1656629907272351</v>
      </c>
      <c r="AY79" s="5">
        <f t="shared" si="204"/>
        <v>0.8923544754885987</v>
      </c>
      <c r="AZ79" s="5"/>
      <c r="BA79" s="173">
        <f t="shared" si="278"/>
        <v>0.98792173487913471</v>
      </c>
      <c r="BB79" s="173">
        <f t="shared" si="205"/>
        <v>1.2264603389424134</v>
      </c>
      <c r="BC79" s="173">
        <f t="shared" si="206"/>
        <v>0.30089629549376279</v>
      </c>
      <c r="BD79" s="173"/>
      <c r="BE79" s="528">
        <f t="shared" si="207"/>
        <v>1.9519787084931985E-2</v>
      </c>
      <c r="BF79" s="528">
        <f t="shared" si="208"/>
        <v>0.60353129955611051</v>
      </c>
      <c r="BG79" s="528">
        <f t="shared" si="209"/>
        <v>0.17183761386239157</v>
      </c>
      <c r="BH79" s="528">
        <f t="shared" si="210"/>
        <v>4.8441061775119858E-2</v>
      </c>
      <c r="BI79">
        <f t="shared" si="211"/>
        <v>1.0760050352510575E-2</v>
      </c>
      <c r="BJ79" s="460">
        <f t="shared" si="279"/>
        <v>182.59766421490215</v>
      </c>
      <c r="BK79">
        <f t="shared" si="212"/>
        <v>0.67991587371943696</v>
      </c>
      <c r="BL79" s="460">
        <f t="shared" si="280"/>
        <v>679.91587371943695</v>
      </c>
      <c r="BM79" s="173">
        <f t="shared" si="213"/>
        <v>0.45972499999999999</v>
      </c>
      <c r="BN79" s="173">
        <f t="shared" si="214"/>
        <v>8.2093749999999993E-2</v>
      </c>
      <c r="BO79" s="528"/>
      <c r="BQ79" s="460">
        <f t="shared" si="281"/>
        <v>541.81875000000002</v>
      </c>
      <c r="BR79" s="528">
        <f t="shared" si="215"/>
        <v>2.9279680627397976E-2</v>
      </c>
      <c r="BS79" s="528">
        <f t="shared" si="216"/>
        <v>4.5126148889962185E-2</v>
      </c>
      <c r="BT79" s="528">
        <f t="shared" si="217"/>
        <v>4.5269290320934909E-4</v>
      </c>
      <c r="BU79" s="528">
        <f t="shared" si="218"/>
        <v>0.86083475972053258</v>
      </c>
      <c r="BV79" s="528">
        <f t="shared" si="219"/>
        <v>0.95940489816843444</v>
      </c>
      <c r="BW79" s="625">
        <f t="shared" si="220"/>
        <v>1.0694325588224292E-2</v>
      </c>
      <c r="BX79" s="460">
        <f t="shared" si="282"/>
        <v>970.09922375665872</v>
      </c>
      <c r="BY79" s="173">
        <f t="shared" si="283"/>
        <v>2.1918338474760959</v>
      </c>
      <c r="BZ79" s="5">
        <f t="shared" si="284"/>
        <v>13.616</v>
      </c>
      <c r="CA79" s="173">
        <f t="shared" si="285"/>
        <v>0.86134508569458124</v>
      </c>
      <c r="CB79" s="5">
        <f t="shared" si="286"/>
        <v>86.13450856945812</v>
      </c>
      <c r="CC79">
        <f t="shared" si="287"/>
        <v>74</v>
      </c>
      <c r="CE79" s="562">
        <f t="shared" si="221"/>
        <v>-50</v>
      </c>
      <c r="CF79">
        <f t="shared" si="222"/>
        <v>-50</v>
      </c>
      <c r="CG79" s="173">
        <f t="shared" si="223"/>
        <v>0.56500122953983234</v>
      </c>
      <c r="CH79" s="173">
        <f t="shared" si="224"/>
        <v>0.19741829216945345</v>
      </c>
      <c r="CI79" s="170">
        <v>74</v>
      </c>
      <c r="CJ79" s="217">
        <f t="shared" si="309"/>
        <v>0.74</v>
      </c>
      <c r="CK79" s="217">
        <f t="shared" si="288"/>
        <v>0.185</v>
      </c>
      <c r="CL79" s="217">
        <f t="shared" si="225"/>
        <v>12.135999999999999</v>
      </c>
      <c r="CM79" s="217">
        <f t="shared" si="310"/>
        <v>1.48</v>
      </c>
      <c r="CN79" s="541">
        <f t="shared" si="289"/>
        <v>24</v>
      </c>
      <c r="CO79" s="443">
        <f t="shared" si="226"/>
        <v>17.099999999999998</v>
      </c>
      <c r="CP79" s="443">
        <f t="shared" si="227"/>
        <v>41.099999999999994</v>
      </c>
      <c r="CQ79" s="443"/>
      <c r="CR79" s="217">
        <f t="shared" si="228"/>
        <v>0.41176470588235292</v>
      </c>
      <c r="CS79" s="172">
        <f t="shared" si="290"/>
        <v>29.36061381074169</v>
      </c>
      <c r="CT79" s="172">
        <f t="shared" si="229"/>
        <v>4.0172166427546641</v>
      </c>
      <c r="CU79" s="217">
        <f t="shared" si="230"/>
        <v>1.7902813299232738</v>
      </c>
      <c r="CV79" s="217">
        <f t="shared" si="231"/>
        <v>3.6700767263427112</v>
      </c>
      <c r="CW79" s="443">
        <f t="shared" si="232"/>
        <v>16.399999999999999</v>
      </c>
      <c r="CX79" s="217">
        <f t="shared" si="233"/>
        <v>2.7556190476190476</v>
      </c>
      <c r="CY79" s="217">
        <f t="shared" si="234"/>
        <v>1.3778095238095236</v>
      </c>
      <c r="CZ79" s="217">
        <f t="shared" si="235"/>
        <v>1.9337677527151216</v>
      </c>
      <c r="DA79" s="197">
        <f t="shared" si="236"/>
        <v>350</v>
      </c>
      <c r="DB79" s="443">
        <f t="shared" si="291"/>
        <v>301.97090887441288</v>
      </c>
      <c r="DD79" s="217">
        <f t="shared" si="237"/>
        <v>2.377476538060479</v>
      </c>
      <c r="DE79" s="173">
        <f t="shared" si="238"/>
        <v>1.668404588112617</v>
      </c>
      <c r="DF79" s="173">
        <f t="shared" si="239"/>
        <v>0.69415373374028577</v>
      </c>
      <c r="DG79" s="173"/>
      <c r="DH79" s="173">
        <f t="shared" si="240"/>
        <v>0.93567251461988332</v>
      </c>
      <c r="DI79" s="545">
        <f t="shared" si="241"/>
        <v>1186.3124999999995</v>
      </c>
      <c r="DJ79" s="528">
        <f t="shared" si="242"/>
        <v>0.21832358674463945</v>
      </c>
      <c r="DL79" s="173">
        <f t="shared" si="243"/>
        <v>2.546332563474285</v>
      </c>
      <c r="DM79" s="173">
        <f t="shared" si="244"/>
        <v>2.7556190476190476</v>
      </c>
      <c r="DN79" s="173">
        <f t="shared" si="245"/>
        <v>2.2535449735449733</v>
      </c>
      <c r="DP79" s="545">
        <f t="shared" si="246"/>
        <v>740</v>
      </c>
      <c r="DQ79" s="460">
        <f t="shared" si="247"/>
        <v>301.97090887441288</v>
      </c>
      <c r="DS79">
        <f t="shared" si="292"/>
        <v>740</v>
      </c>
      <c r="DT79">
        <f t="shared" si="248"/>
        <v>301.97090887441288</v>
      </c>
      <c r="DV79" s="5">
        <f t="shared" si="293"/>
        <v>3.3115772765246452</v>
      </c>
      <c r="DW79" s="5">
        <f t="shared" si="249"/>
        <v>1.3778095238095236</v>
      </c>
      <c r="DX79" s="5">
        <f t="shared" si="294"/>
        <v>1.9337677527151216</v>
      </c>
      <c r="DY79" s="173">
        <f t="shared" si="295"/>
        <v>0.41605839416058382</v>
      </c>
      <c r="EA79" s="5">
        <f t="shared" si="250"/>
        <v>6.216945412311266</v>
      </c>
      <c r="EB79" s="5">
        <f t="shared" si="251"/>
        <v>3.1861845238095228</v>
      </c>
      <c r="EC79" s="5">
        <f t="shared" si="252"/>
        <v>0.81486824468578856</v>
      </c>
      <c r="ED79" s="5"/>
      <c r="EE79" s="173">
        <f t="shared" si="296"/>
        <v>1.0262087065099934</v>
      </c>
      <c r="EF79" s="173">
        <f t="shared" si="253"/>
        <v>1.2157471512956091</v>
      </c>
      <c r="EG79" s="173">
        <f t="shared" si="254"/>
        <v>0.29826795246994137</v>
      </c>
      <c r="EH79" s="173"/>
      <c r="EI79" s="528">
        <f t="shared" si="255"/>
        <v>2.1062086186338275E-2</v>
      </c>
      <c r="EJ79" s="528">
        <f t="shared" si="256"/>
        <v>0.68399999999999983</v>
      </c>
      <c r="EK79" s="528">
        <f t="shared" si="257"/>
        <v>3.7746363609301614E-2</v>
      </c>
      <c r="EL79" s="528">
        <f t="shared" si="258"/>
        <v>5.1009227897974685E-2</v>
      </c>
      <c r="EM79">
        <f t="shared" si="259"/>
        <v>1.0800000000000001E-2</v>
      </c>
      <c r="EN79" s="460">
        <f t="shared" si="297"/>
        <v>48.546363609301615</v>
      </c>
      <c r="EO79">
        <f t="shared" si="260"/>
        <v>0.81437988430437114</v>
      </c>
      <c r="EP79" s="460">
        <f t="shared" si="298"/>
        <v>814.3798843043711</v>
      </c>
      <c r="EQ79" s="173">
        <f t="shared" si="261"/>
        <v>0.45972499999999999</v>
      </c>
      <c r="ER79" s="173">
        <f t="shared" si="262"/>
        <v>8.2093749999999993E-2</v>
      </c>
      <c r="ES79" s="528"/>
      <c r="EU79" s="460">
        <f t="shared" si="299"/>
        <v>541.81875000000002</v>
      </c>
      <c r="EV79" s="528">
        <f t="shared" si="263"/>
        <v>3.1593129279507408E-2</v>
      </c>
      <c r="EW79" s="528">
        <f t="shared" si="300"/>
        <v>4.4341234076501652E-2</v>
      </c>
      <c r="EX79" s="528">
        <f t="shared" si="264"/>
        <v>4.4481885735305599E-4</v>
      </c>
      <c r="EY79" s="528">
        <f t="shared" si="265"/>
        <v>0.99869003111229493</v>
      </c>
      <c r="EZ79" s="528">
        <f t="shared" si="266"/>
        <v>1.1001223325846619</v>
      </c>
      <c r="FA79" s="625">
        <f t="shared" si="267"/>
        <v>1.1464984358706985E-2</v>
      </c>
      <c r="FB79" s="460">
        <f t="shared" si="301"/>
        <v>1111.5873169433687</v>
      </c>
      <c r="FC79" s="173">
        <f t="shared" si="302"/>
        <v>2.4677859512477403</v>
      </c>
      <c r="FD79" s="5">
        <f t="shared" si="303"/>
        <v>13.616</v>
      </c>
      <c r="FE79" s="173">
        <f t="shared" si="304"/>
        <v>0.84656684945149396</v>
      </c>
      <c r="FF79" s="5">
        <f t="shared" si="305"/>
        <v>84.656684945149394</v>
      </c>
      <c r="FG79">
        <f t="shared" si="306"/>
        <v>74</v>
      </c>
      <c r="FI79" s="562">
        <f t="shared" si="268"/>
        <v>-50</v>
      </c>
      <c r="FJ79">
        <f t="shared" si="269"/>
        <v>-50</v>
      </c>
      <c r="FL79">
        <f t="shared" si="270"/>
        <v>0.56500122953983234</v>
      </c>
    </row>
    <row r="80" spans="5:168">
      <c r="E80" s="170">
        <v>75</v>
      </c>
      <c r="F80" s="217">
        <f t="shared" si="307"/>
        <v>0.75</v>
      </c>
      <c r="G80" s="217">
        <f t="shared" si="271"/>
        <v>0.1875</v>
      </c>
      <c r="H80" s="217">
        <f t="shared" si="176"/>
        <v>12.299999999999999</v>
      </c>
      <c r="I80" s="217">
        <f t="shared" si="308"/>
        <v>1.5</v>
      </c>
      <c r="J80" s="541">
        <f t="shared" si="177"/>
        <v>23.91002331646526</v>
      </c>
      <c r="K80" s="443">
        <f t="shared" si="178"/>
        <v>17.13982292218784</v>
      </c>
      <c r="L80" s="172">
        <f t="shared" si="179"/>
        <v>41.049846238653103</v>
      </c>
      <c r="M80" s="443"/>
      <c r="N80" s="217">
        <f t="shared" si="180"/>
        <v>0.41753683613189141</v>
      </c>
      <c r="O80" s="172">
        <f t="shared" si="272"/>
        <v>29.660574998787176</v>
      </c>
      <c r="P80" s="172">
        <f t="shared" si="181"/>
        <v>4.058258328210024</v>
      </c>
      <c r="Q80" s="217">
        <f t="shared" si="182"/>
        <v>1.808571646267511</v>
      </c>
      <c r="R80" s="217">
        <f t="shared" si="183"/>
        <v>3.707571874848397</v>
      </c>
      <c r="S80" s="443">
        <f t="shared" si="184"/>
        <v>16.399999999999999</v>
      </c>
      <c r="T80" s="217">
        <f t="shared" si="185"/>
        <v>2.7646126214125317</v>
      </c>
      <c r="U80" s="217">
        <f t="shared" si="186"/>
        <v>1.3875081181583249</v>
      </c>
      <c r="V80" s="217">
        <f t="shared" si="187"/>
        <v>1.9355714237866619</v>
      </c>
      <c r="W80" s="197">
        <f t="shared" si="188"/>
        <v>350</v>
      </c>
      <c r="X80" s="443">
        <f t="shared" si="273"/>
        <v>283.84258376634034</v>
      </c>
      <c r="Z80" s="217">
        <f t="shared" si="189"/>
        <v>2.3769798779515856</v>
      </c>
      <c r="AA80" s="173">
        <f t="shared" si="190"/>
        <v>1.664180468194596</v>
      </c>
      <c r="AB80" s="173">
        <f t="shared" si="191"/>
        <v>0.69225161008125569</v>
      </c>
      <c r="AC80" s="173"/>
      <c r="AD80" s="173">
        <f t="shared" si="192"/>
        <v>0.93349855903631807</v>
      </c>
      <c r="AE80" s="545">
        <f t="shared" si="193"/>
        <v>1205.1437992163321</v>
      </c>
      <c r="AF80" s="528">
        <f t="shared" si="194"/>
        <v>0.21781633044180759</v>
      </c>
      <c r="AH80" s="173">
        <f t="shared" si="195"/>
        <v>2.5634797778466227</v>
      </c>
      <c r="AI80" s="173">
        <f t="shared" si="196"/>
        <v>2.7646126214125317</v>
      </c>
      <c r="AJ80" s="173">
        <f t="shared" si="197"/>
        <v>2.2602068800586652</v>
      </c>
      <c r="AL80" s="545">
        <f t="shared" si="198"/>
        <v>750</v>
      </c>
      <c r="AM80" s="460">
        <f t="shared" si="199"/>
        <v>283.84258376634034</v>
      </c>
      <c r="AO80">
        <f t="shared" si="274"/>
        <v>750</v>
      </c>
      <c r="AP80">
        <f t="shared" si="200"/>
        <v>283.84258376634034</v>
      </c>
      <c r="AR80" s="5">
        <f t="shared" si="275"/>
        <v>3.5230795419449872</v>
      </c>
      <c r="AS80" s="5">
        <f t="shared" si="201"/>
        <v>1.3875081181583249</v>
      </c>
      <c r="AT80" s="5">
        <f t="shared" si="276"/>
        <v>2.1355714237866623</v>
      </c>
      <c r="AU80" s="173">
        <f t="shared" si="277"/>
        <v>0.39383388925483159</v>
      </c>
      <c r="AW80" s="5">
        <f t="shared" si="202"/>
        <v>6.3453115159679507</v>
      </c>
      <c r="AX80" s="5">
        <f t="shared" si="203"/>
        <v>3.2519721519335745</v>
      </c>
      <c r="AY80" s="5">
        <f t="shared" si="204"/>
        <v>0.91549919479749542</v>
      </c>
      <c r="AZ80" s="5"/>
      <c r="BA80" s="173">
        <f t="shared" si="278"/>
        <v>1.0016827646027999</v>
      </c>
      <c r="BB80" s="173">
        <f t="shared" si="205"/>
        <v>1.2427091190575728</v>
      </c>
      <c r="BC80" s="173">
        <f t="shared" si="206"/>
        <v>0.30488272504855796</v>
      </c>
      <c r="BD80" s="173"/>
      <c r="BE80" s="528">
        <f t="shared" si="207"/>
        <v>2.0067367218046167E-2</v>
      </c>
      <c r="BF80" s="528">
        <f t="shared" si="208"/>
        <v>0.60398290224827367</v>
      </c>
      <c r="BG80" s="528">
        <f t="shared" si="209"/>
        <v>0.16966706990147354</v>
      </c>
      <c r="BH80" s="528">
        <f t="shared" si="210"/>
        <v>4.7830026434395365E-2</v>
      </c>
      <c r="BI80">
        <f t="shared" si="211"/>
        <v>1.0759510492409367E-2</v>
      </c>
      <c r="BJ80" s="460">
        <f t="shared" si="279"/>
        <v>180.42658039388292</v>
      </c>
      <c r="BK80">
        <f t="shared" si="212"/>
        <v>0.6805433199894878</v>
      </c>
      <c r="BL80" s="460">
        <f t="shared" si="280"/>
        <v>680.54331998948783</v>
      </c>
      <c r="BM80" s="173">
        <f t="shared" si="213"/>
        <v>0.46593749999999989</v>
      </c>
      <c r="BN80" s="173">
        <f t="shared" si="214"/>
        <v>8.3203124999999989E-2</v>
      </c>
      <c r="BO80" s="528"/>
      <c r="BQ80" s="460">
        <f t="shared" si="281"/>
        <v>549.14062499999989</v>
      </c>
      <c r="BR80" s="528">
        <f t="shared" si="215"/>
        <v>3.0101050827069247E-2</v>
      </c>
      <c r="BS80" s="528">
        <f t="shared" si="216"/>
        <v>4.6329778637665457E-2</v>
      </c>
      <c r="BT80" s="528">
        <f t="shared" si="217"/>
        <v>4.6476738016517299E-4</v>
      </c>
      <c r="BU80" s="528">
        <f t="shared" si="218"/>
        <v>0.86248112397279553</v>
      </c>
      <c r="BV80" s="528">
        <f t="shared" si="219"/>
        <v>0.96376037842160711</v>
      </c>
      <c r="BW80" s="625">
        <f t="shared" si="220"/>
        <v>1.0847162057337417E-2</v>
      </c>
      <c r="BX80" s="460">
        <f t="shared" si="282"/>
        <v>974.60754047894454</v>
      </c>
      <c r="BY80" s="173">
        <f t="shared" si="283"/>
        <v>2.2042914854684321</v>
      </c>
      <c r="BZ80" s="5">
        <f t="shared" si="284"/>
        <v>13.799999999999999</v>
      </c>
      <c r="CA80" s="173">
        <f t="shared" si="285"/>
        <v>0.86226872414377831</v>
      </c>
      <c r="CB80" s="5">
        <f t="shared" si="286"/>
        <v>86.226872414377837</v>
      </c>
      <c r="CC80">
        <f t="shared" si="287"/>
        <v>75</v>
      </c>
      <c r="CE80" s="562">
        <f t="shared" si="221"/>
        <v>-50</v>
      </c>
      <c r="CF80">
        <f t="shared" si="222"/>
        <v>-50</v>
      </c>
      <c r="CG80" s="173">
        <f t="shared" si="223"/>
        <v>0.56500122953983245</v>
      </c>
      <c r="CH80" s="173">
        <f t="shared" si="224"/>
        <v>0.1974182921694535</v>
      </c>
      <c r="CI80" s="170">
        <v>75</v>
      </c>
      <c r="CJ80" s="217">
        <f t="shared" si="309"/>
        <v>0.75</v>
      </c>
      <c r="CK80" s="217">
        <f t="shared" si="288"/>
        <v>0.1875</v>
      </c>
      <c r="CL80" s="217">
        <f t="shared" si="225"/>
        <v>12.299999999999999</v>
      </c>
      <c r="CM80" s="217">
        <f t="shared" si="310"/>
        <v>1.5</v>
      </c>
      <c r="CN80" s="541">
        <f t="shared" si="289"/>
        <v>24</v>
      </c>
      <c r="CO80" s="443">
        <f t="shared" si="226"/>
        <v>17.099999999999998</v>
      </c>
      <c r="CP80" s="443">
        <f t="shared" si="227"/>
        <v>41.099999999999994</v>
      </c>
      <c r="CQ80" s="443"/>
      <c r="CR80" s="217">
        <f t="shared" si="228"/>
        <v>0.41176470588235292</v>
      </c>
      <c r="CS80" s="172">
        <f t="shared" si="290"/>
        <v>29.36061381074169</v>
      </c>
      <c r="CT80" s="172">
        <f t="shared" si="229"/>
        <v>4.0172166427546641</v>
      </c>
      <c r="CU80" s="217">
        <f t="shared" si="230"/>
        <v>1.7902813299232738</v>
      </c>
      <c r="CV80" s="217">
        <f t="shared" si="231"/>
        <v>3.6700767263427112</v>
      </c>
      <c r="CW80" s="443">
        <f t="shared" si="232"/>
        <v>16.399999999999999</v>
      </c>
      <c r="CX80" s="217">
        <f t="shared" si="233"/>
        <v>2.7928571428571427</v>
      </c>
      <c r="CY80" s="217">
        <f t="shared" si="234"/>
        <v>1.3964285714285711</v>
      </c>
      <c r="CZ80" s="217">
        <f t="shared" si="235"/>
        <v>1.9598997493734334</v>
      </c>
      <c r="DA80" s="197">
        <f t="shared" si="236"/>
        <v>350</v>
      </c>
      <c r="DB80" s="443">
        <f t="shared" si="291"/>
        <v>297.9446300894208</v>
      </c>
      <c r="DD80" s="217">
        <f t="shared" si="237"/>
        <v>2.377476538060479</v>
      </c>
      <c r="DE80" s="173">
        <f t="shared" si="238"/>
        <v>1.668404588112617</v>
      </c>
      <c r="DF80" s="173">
        <f t="shared" si="239"/>
        <v>0.69415373374028577</v>
      </c>
      <c r="DG80" s="173"/>
      <c r="DH80" s="173">
        <f t="shared" si="240"/>
        <v>0.93567251461988332</v>
      </c>
      <c r="DI80" s="545">
        <f t="shared" si="241"/>
        <v>1202.3437499999995</v>
      </c>
      <c r="DJ80" s="528">
        <f t="shared" si="242"/>
        <v>0.21832358674463945</v>
      </c>
      <c r="DL80" s="173">
        <f t="shared" si="243"/>
        <v>2.5634797778466227</v>
      </c>
      <c r="DM80" s="173">
        <f t="shared" si="244"/>
        <v>2.7928571428571427</v>
      </c>
      <c r="DN80" s="173">
        <f t="shared" si="245"/>
        <v>2.2811287477954143</v>
      </c>
      <c r="DP80" s="545">
        <f t="shared" si="246"/>
        <v>750</v>
      </c>
      <c r="DQ80" s="460">
        <f t="shared" si="247"/>
        <v>297.9446300894208</v>
      </c>
      <c r="DS80">
        <f t="shared" si="292"/>
        <v>750</v>
      </c>
      <c r="DT80">
        <f t="shared" si="248"/>
        <v>297.9446300894208</v>
      </c>
      <c r="DV80" s="5">
        <f t="shared" si="293"/>
        <v>3.3563283208020045</v>
      </c>
      <c r="DW80" s="5">
        <f t="shared" si="249"/>
        <v>1.3964285714285711</v>
      </c>
      <c r="DX80" s="5">
        <f t="shared" si="294"/>
        <v>1.9598997493734334</v>
      </c>
      <c r="DY80" s="173">
        <f t="shared" si="295"/>
        <v>0.41605839416058393</v>
      </c>
      <c r="EA80" s="5">
        <f t="shared" si="250"/>
        <v>6.3861062717770025</v>
      </c>
      <c r="EB80" s="5">
        <f t="shared" si="251"/>
        <v>3.2728794642857135</v>
      </c>
      <c r="EC80" s="5">
        <f t="shared" si="252"/>
        <v>0.83704051796157042</v>
      </c>
      <c r="ED80" s="5"/>
      <c r="EE80" s="173">
        <f t="shared" si="296"/>
        <v>1.0400763917331015</v>
      </c>
      <c r="EF80" s="173">
        <f t="shared" si="253"/>
        <v>1.2321761668536575</v>
      </c>
      <c r="EG80" s="173">
        <f t="shared" si="254"/>
        <v>0.30229860047629176</v>
      </c>
      <c r="EH80" s="173"/>
      <c r="EI80" s="528">
        <f t="shared" si="255"/>
        <v>2.1635178012810962E-2</v>
      </c>
      <c r="EJ80" s="528">
        <f t="shared" si="256"/>
        <v>0.68400000000000005</v>
      </c>
      <c r="EK80" s="528">
        <f t="shared" si="257"/>
        <v>3.7243078761177592E-2</v>
      </c>
      <c r="EL80" s="528">
        <f t="shared" si="258"/>
        <v>5.032910485933504E-2</v>
      </c>
      <c r="EM80">
        <f t="shared" si="259"/>
        <v>1.0800000000000001E-2</v>
      </c>
      <c r="EN80" s="460">
        <f t="shared" si="297"/>
        <v>48.043078761177597</v>
      </c>
      <c r="EO80">
        <f t="shared" si="260"/>
        <v>0.81403341335154444</v>
      </c>
      <c r="EP80" s="460">
        <f t="shared" si="298"/>
        <v>814.03341335154448</v>
      </c>
      <c r="EQ80" s="173">
        <f t="shared" si="261"/>
        <v>0.46593749999999989</v>
      </c>
      <c r="ER80" s="173">
        <f t="shared" si="262"/>
        <v>8.3203124999999989E-2</v>
      </c>
      <c r="ES80" s="528"/>
      <c r="EU80" s="460">
        <f t="shared" si="299"/>
        <v>549.14062499999989</v>
      </c>
      <c r="EV80" s="528">
        <f t="shared" si="263"/>
        <v>3.2452767019216441E-2</v>
      </c>
      <c r="EW80" s="528">
        <f t="shared" si="300"/>
        <v>4.5547743184865173E-2</v>
      </c>
      <c r="EX80" s="528">
        <f t="shared" si="264"/>
        <v>4.5692221924962335E-4</v>
      </c>
      <c r="EY80" s="528">
        <f t="shared" si="265"/>
        <v>0.99869003111229437</v>
      </c>
      <c r="EZ80" s="528">
        <f t="shared" si="266"/>
        <v>1.1028997016220028</v>
      </c>
      <c r="FA80" s="625">
        <f t="shared" si="267"/>
        <v>1.1619916579770595E-2</v>
      </c>
      <c r="FB80" s="460">
        <f t="shared" si="301"/>
        <v>1114.5196182017733</v>
      </c>
      <c r="FC80" s="173">
        <f t="shared" si="302"/>
        <v>2.4776936565533179</v>
      </c>
      <c r="FD80" s="5">
        <f t="shared" si="303"/>
        <v>13.799999999999999</v>
      </c>
      <c r="FE80" s="173">
        <f t="shared" si="304"/>
        <v>0.84778595120225697</v>
      </c>
      <c r="FF80" s="5">
        <f t="shared" si="305"/>
        <v>84.778595120225702</v>
      </c>
      <c r="FG80">
        <f t="shared" si="306"/>
        <v>75</v>
      </c>
      <c r="FI80" s="562">
        <f t="shared" si="268"/>
        <v>-50</v>
      </c>
      <c r="FJ80">
        <f t="shared" si="269"/>
        <v>-50</v>
      </c>
      <c r="FL80">
        <f t="shared" si="270"/>
        <v>0.56500122953983245</v>
      </c>
    </row>
    <row r="81" spans="5:168">
      <c r="E81" s="170">
        <v>76</v>
      </c>
      <c r="F81" s="217">
        <f t="shared" si="307"/>
        <v>0.76</v>
      </c>
      <c r="G81" s="217">
        <f t="shared" si="271"/>
        <v>0.19</v>
      </c>
      <c r="H81" s="217">
        <f t="shared" si="176"/>
        <v>12.463999999999999</v>
      </c>
      <c r="I81" s="217">
        <f t="shared" si="308"/>
        <v>1.52</v>
      </c>
      <c r="J81" s="541">
        <f t="shared" si="177"/>
        <v>23.908823627351463</v>
      </c>
      <c r="K81" s="443">
        <f t="shared" si="178"/>
        <v>17.140353894483678</v>
      </c>
      <c r="L81" s="172">
        <f t="shared" si="179"/>
        <v>41.049177521835141</v>
      </c>
      <c r="M81" s="443"/>
      <c r="N81" s="217">
        <f t="shared" si="180"/>
        <v>0.41755657309738475</v>
      </c>
      <c r="O81" s="172">
        <f t="shared" si="272"/>
        <v>29.66048875983283</v>
      </c>
      <c r="P81" s="172">
        <f t="shared" si="181"/>
        <v>4.0582465287100247</v>
      </c>
      <c r="Q81" s="217">
        <f t="shared" si="182"/>
        <v>1.8085663877946849</v>
      </c>
      <c r="R81" s="217">
        <f t="shared" si="183"/>
        <v>3.7075610949791038</v>
      </c>
      <c r="S81" s="443">
        <f t="shared" si="184"/>
        <v>16.399999999999999</v>
      </c>
      <c r="T81" s="217">
        <f t="shared" si="185"/>
        <v>2.8014822684196941</v>
      </c>
      <c r="U81" s="217">
        <f t="shared" si="186"/>
        <v>1.4060828648456758</v>
      </c>
      <c r="V81" s="217">
        <f t="shared" si="187"/>
        <v>1.9613239859566507</v>
      </c>
      <c r="W81" s="197">
        <f t="shared" si="188"/>
        <v>350</v>
      </c>
      <c r="X81" s="443">
        <f t="shared" si="273"/>
        <v>280.31565835421753</v>
      </c>
      <c r="Z81" s="217">
        <f t="shared" si="189"/>
        <v>2.3769729668158712</v>
      </c>
      <c r="AA81" s="173">
        <f t="shared" si="190"/>
        <v>1.6641240768646148</v>
      </c>
      <c r="AB81" s="173">
        <f t="shared" si="191"/>
        <v>0.69222614022355622</v>
      </c>
      <c r="AC81" s="173"/>
      <c r="AD81" s="173">
        <f t="shared" si="192"/>
        <v>0.93346964120439324</v>
      </c>
      <c r="AE81" s="545">
        <f t="shared" si="193"/>
        <v>1221.2502149819618</v>
      </c>
      <c r="AF81" s="528">
        <f t="shared" si="194"/>
        <v>0.21780958294769176</v>
      </c>
      <c r="AH81" s="173">
        <f t="shared" si="195"/>
        <v>2.5805130534542191</v>
      </c>
      <c r="AI81" s="173">
        <f t="shared" si="196"/>
        <v>2.8014822684196941</v>
      </c>
      <c r="AJ81" s="173">
        <f t="shared" si="197"/>
        <v>2.2875177296936005</v>
      </c>
      <c r="AL81" s="545">
        <f t="shared" si="198"/>
        <v>760</v>
      </c>
      <c r="AM81" s="460">
        <f t="shared" si="199"/>
        <v>280.31565835421753</v>
      </c>
      <c r="AO81">
        <f t="shared" si="274"/>
        <v>760</v>
      </c>
      <c r="AP81">
        <f t="shared" si="200"/>
        <v>280.31565835421753</v>
      </c>
      <c r="AR81" s="5">
        <f t="shared" si="275"/>
        <v>3.5674068508023264</v>
      </c>
      <c r="AS81" s="5">
        <f t="shared" si="201"/>
        <v>1.4060828648456758</v>
      </c>
      <c r="AT81" s="5">
        <f t="shared" si="276"/>
        <v>2.1613239859566509</v>
      </c>
      <c r="AU81" s="173">
        <f t="shared" si="277"/>
        <v>0.39414704395979988</v>
      </c>
      <c r="AW81" s="5">
        <f t="shared" si="202"/>
        <v>6.5159937639189867</v>
      </c>
      <c r="AX81" s="5">
        <f t="shared" si="203"/>
        <v>3.3394468040084799</v>
      </c>
      <c r="AY81" s="5">
        <f t="shared" si="204"/>
        <v>0.93894003948909011</v>
      </c>
      <c r="AZ81" s="5"/>
      <c r="BA81" s="173">
        <f t="shared" si="278"/>
        <v>1.0154449580097924</v>
      </c>
      <c r="BB81" s="173">
        <f t="shared" si="205"/>
        <v>1.2589569111010681</v>
      </c>
      <c r="BC81" s="173">
        <f t="shared" si="206"/>
        <v>0.30886891219265794</v>
      </c>
      <c r="BD81" s="173"/>
      <c r="BE81" s="528">
        <f t="shared" si="207"/>
        <v>2.0622569254950179E-2</v>
      </c>
      <c r="BF81" s="528">
        <f t="shared" si="208"/>
        <v>0.60442298024598229</v>
      </c>
      <c r="BG81" s="528">
        <f t="shared" si="209"/>
        <v>0.16755044088939744</v>
      </c>
      <c r="BH81" s="528">
        <f t="shared" si="210"/>
        <v>4.7234168842843448E-2</v>
      </c>
      <c r="BI81">
        <f t="shared" si="211"/>
        <v>1.0758970632308159E-2</v>
      </c>
      <c r="BJ81" s="460">
        <f t="shared" si="279"/>
        <v>178.30941152170558</v>
      </c>
      <c r="BK81">
        <f t="shared" si="212"/>
        <v>0.68118556850573941</v>
      </c>
      <c r="BL81" s="460">
        <f t="shared" si="280"/>
        <v>681.18556850573941</v>
      </c>
      <c r="BM81" s="173">
        <f t="shared" si="213"/>
        <v>0.4721499999999999</v>
      </c>
      <c r="BN81" s="173">
        <f t="shared" si="214"/>
        <v>8.4312499999999999E-2</v>
      </c>
      <c r="BO81" s="528"/>
      <c r="BQ81" s="460">
        <f t="shared" si="281"/>
        <v>556.46249999999986</v>
      </c>
      <c r="BR81" s="528">
        <f t="shared" si="215"/>
        <v>3.0933853882425269E-2</v>
      </c>
      <c r="BS81" s="528">
        <f t="shared" si="216"/>
        <v>4.7549175120274276E-2</v>
      </c>
      <c r="BT81" s="528">
        <f t="shared" si="217"/>
        <v>4.7700002459537922E-4</v>
      </c>
      <c r="BU81" s="528">
        <f t="shared" si="218"/>
        <v>0.86408823964510328</v>
      </c>
      <c r="BV81" s="528">
        <f t="shared" si="219"/>
        <v>0.96811406078626216</v>
      </c>
      <c r="BW81" s="625">
        <f t="shared" si="220"/>
        <v>1.1000010972262435E-2</v>
      </c>
      <c r="BX81" s="460">
        <f t="shared" si="282"/>
        <v>979.11407175852457</v>
      </c>
      <c r="BY81" s="173">
        <f t="shared" si="283"/>
        <v>2.2167621402642639</v>
      </c>
      <c r="BZ81" s="5">
        <f t="shared" si="284"/>
        <v>13.983999999999998</v>
      </c>
      <c r="CA81" s="173">
        <f t="shared" si="285"/>
        <v>0.86316926814480677</v>
      </c>
      <c r="CB81" s="5">
        <f t="shared" si="286"/>
        <v>86.316926814480681</v>
      </c>
      <c r="CC81">
        <f t="shared" si="287"/>
        <v>76</v>
      </c>
      <c r="CE81" s="562">
        <f t="shared" si="221"/>
        <v>-50</v>
      </c>
      <c r="CF81">
        <f t="shared" si="222"/>
        <v>-50</v>
      </c>
      <c r="CG81" s="173">
        <f t="shared" si="223"/>
        <v>0.56500122953983245</v>
      </c>
      <c r="CH81" s="173">
        <f t="shared" si="224"/>
        <v>0.19741829216945347</v>
      </c>
      <c r="CI81" s="170">
        <v>76</v>
      </c>
      <c r="CJ81" s="217">
        <f t="shared" si="309"/>
        <v>0.76</v>
      </c>
      <c r="CK81" s="217">
        <f t="shared" si="288"/>
        <v>0.19</v>
      </c>
      <c r="CL81" s="217">
        <f t="shared" si="225"/>
        <v>12.463999999999999</v>
      </c>
      <c r="CM81" s="217">
        <f t="shared" si="310"/>
        <v>1.52</v>
      </c>
      <c r="CN81" s="541">
        <f t="shared" si="289"/>
        <v>24</v>
      </c>
      <c r="CO81" s="443">
        <f t="shared" si="226"/>
        <v>17.099999999999998</v>
      </c>
      <c r="CP81" s="443">
        <f t="shared" si="227"/>
        <v>41.099999999999994</v>
      </c>
      <c r="CQ81" s="443"/>
      <c r="CR81" s="217">
        <f t="shared" si="228"/>
        <v>0.41176470588235292</v>
      </c>
      <c r="CS81" s="172">
        <f t="shared" si="290"/>
        <v>29.36061381074169</v>
      </c>
      <c r="CT81" s="172">
        <f t="shared" si="229"/>
        <v>4.0172166427546641</v>
      </c>
      <c r="CU81" s="217">
        <f t="shared" si="230"/>
        <v>1.7902813299232738</v>
      </c>
      <c r="CV81" s="217">
        <f t="shared" si="231"/>
        <v>3.6700767263427112</v>
      </c>
      <c r="CW81" s="443">
        <f t="shared" si="232"/>
        <v>16.399999999999999</v>
      </c>
      <c r="CX81" s="217">
        <f t="shared" si="233"/>
        <v>2.8300952380952378</v>
      </c>
      <c r="CY81" s="217">
        <f t="shared" si="234"/>
        <v>1.4150476190476187</v>
      </c>
      <c r="CZ81" s="217">
        <f t="shared" si="235"/>
        <v>1.9860317460317458</v>
      </c>
      <c r="DA81" s="197">
        <f t="shared" si="236"/>
        <v>350</v>
      </c>
      <c r="DB81" s="443">
        <f t="shared" si="291"/>
        <v>294.02430600929688</v>
      </c>
      <c r="DD81" s="217">
        <f t="shared" si="237"/>
        <v>2.377476538060479</v>
      </c>
      <c r="DE81" s="173">
        <f t="shared" si="238"/>
        <v>1.668404588112617</v>
      </c>
      <c r="DF81" s="173">
        <f t="shared" si="239"/>
        <v>0.69415373374028577</v>
      </c>
      <c r="DG81" s="173"/>
      <c r="DH81" s="173">
        <f t="shared" si="240"/>
        <v>0.93567251461988332</v>
      </c>
      <c r="DI81" s="545">
        <f t="shared" si="241"/>
        <v>1218.3749999999995</v>
      </c>
      <c r="DJ81" s="528">
        <f t="shared" si="242"/>
        <v>0.21832358674463945</v>
      </c>
      <c r="DL81" s="173">
        <f t="shared" si="243"/>
        <v>2.5805130534542191</v>
      </c>
      <c r="DM81" s="173">
        <f t="shared" si="244"/>
        <v>2.8300952380952378</v>
      </c>
      <c r="DN81" s="173">
        <f t="shared" si="245"/>
        <v>2.3087125220458549</v>
      </c>
      <c r="DP81" s="545">
        <f t="shared" si="246"/>
        <v>760</v>
      </c>
      <c r="DQ81" s="460">
        <f t="shared" si="247"/>
        <v>294.02430600929688</v>
      </c>
      <c r="DS81">
        <f t="shared" si="292"/>
        <v>760</v>
      </c>
      <c r="DT81">
        <f t="shared" si="248"/>
        <v>294.02430600929688</v>
      </c>
      <c r="DV81" s="5">
        <f t="shared" si="293"/>
        <v>3.4010793650793638</v>
      </c>
      <c r="DW81" s="5">
        <f t="shared" si="249"/>
        <v>1.4150476190476187</v>
      </c>
      <c r="DX81" s="5">
        <f t="shared" si="294"/>
        <v>1.9860317460317451</v>
      </c>
      <c r="DY81" s="173">
        <f t="shared" si="295"/>
        <v>0.41605839416058399</v>
      </c>
      <c r="EA81" s="5">
        <f t="shared" si="250"/>
        <v>6.5575377468060392</v>
      </c>
      <c r="EB81" s="5">
        <f t="shared" si="251"/>
        <v>3.3607380952380947</v>
      </c>
      <c r="EC81" s="5">
        <f t="shared" si="252"/>
        <v>0.85951040564373848</v>
      </c>
      <c r="ED81" s="5"/>
      <c r="EE81" s="173">
        <f t="shared" si="296"/>
        <v>1.0539440769562096</v>
      </c>
      <c r="EF81" s="173">
        <f t="shared" si="253"/>
        <v>1.2486051824117061</v>
      </c>
      <c r="EG81" s="173">
        <f t="shared" si="254"/>
        <v>0.30632924848264237</v>
      </c>
      <c r="EH81" s="173"/>
      <c r="EI81" s="528">
        <f t="shared" si="255"/>
        <v>2.2215962347021535E-2</v>
      </c>
      <c r="EJ81" s="528">
        <f t="shared" si="256"/>
        <v>0.68400000000000016</v>
      </c>
      <c r="EK81" s="528">
        <f t="shared" si="257"/>
        <v>3.6753038251162114E-2</v>
      </c>
      <c r="EL81" s="528">
        <f t="shared" si="258"/>
        <v>4.9666879795396419E-2</v>
      </c>
      <c r="EM81">
        <f t="shared" si="259"/>
        <v>1.0800000000000001E-2</v>
      </c>
      <c r="EN81" s="460">
        <f t="shared" si="297"/>
        <v>47.553038251162114</v>
      </c>
      <c r="EO81">
        <f t="shared" si="260"/>
        <v>0.81372947153944697</v>
      </c>
      <c r="EP81" s="460">
        <f t="shared" si="298"/>
        <v>813.72947153944699</v>
      </c>
      <c r="EQ81" s="173">
        <f t="shared" si="261"/>
        <v>0.4721499999999999</v>
      </c>
      <c r="ER81" s="173">
        <f t="shared" si="262"/>
        <v>8.4312499999999999E-2</v>
      </c>
      <c r="ES81" s="528"/>
      <c r="EU81" s="460">
        <f t="shared" si="299"/>
        <v>556.46249999999986</v>
      </c>
      <c r="EV81" s="528">
        <f t="shared" si="263"/>
        <v>3.3323943520532306E-2</v>
      </c>
      <c r="EW81" s="528">
        <f t="shared" si="300"/>
        <v>4.6770447046361102E-2</v>
      </c>
      <c r="EX81" s="528">
        <f t="shared" si="264"/>
        <v>4.6918804237970228E-4</v>
      </c>
      <c r="EY81" s="528">
        <f t="shared" si="265"/>
        <v>0.99869003111229659</v>
      </c>
      <c r="EZ81" s="528">
        <f t="shared" si="266"/>
        <v>1.1057152991012851</v>
      </c>
      <c r="FA81" s="625">
        <f t="shared" si="267"/>
        <v>1.1774848800834202E-2</v>
      </c>
      <c r="FB81" s="460">
        <f t="shared" si="301"/>
        <v>1117.4901479021194</v>
      </c>
      <c r="FC81" s="173">
        <f t="shared" si="302"/>
        <v>2.4876821194415659</v>
      </c>
      <c r="FD81" s="5">
        <f t="shared" si="303"/>
        <v>13.983999999999998</v>
      </c>
      <c r="FE81" s="173">
        <f t="shared" si="304"/>
        <v>0.84897218745465297</v>
      </c>
      <c r="FF81" s="5">
        <f t="shared" si="305"/>
        <v>84.897218745465295</v>
      </c>
      <c r="FG81">
        <f t="shared" si="306"/>
        <v>76</v>
      </c>
      <c r="FI81" s="562">
        <f t="shared" si="268"/>
        <v>-50</v>
      </c>
      <c r="FJ81">
        <f t="shared" si="269"/>
        <v>-50</v>
      </c>
      <c r="FL81">
        <f t="shared" si="270"/>
        <v>0.56500122953983234</v>
      </c>
    </row>
    <row r="82" spans="5:168">
      <c r="E82" s="170">
        <v>77</v>
      </c>
      <c r="F82" s="217">
        <f t="shared" si="307"/>
        <v>0.77</v>
      </c>
      <c r="G82" s="217">
        <f t="shared" si="271"/>
        <v>0.1925</v>
      </c>
      <c r="H82" s="217">
        <f t="shared" si="176"/>
        <v>12.627999999999998</v>
      </c>
      <c r="I82" s="217">
        <f t="shared" si="308"/>
        <v>1.54</v>
      </c>
      <c r="J82" s="541">
        <f t="shared" si="177"/>
        <v>23.907623938237666</v>
      </c>
      <c r="K82" s="443">
        <f t="shared" si="178"/>
        <v>17.140884866779516</v>
      </c>
      <c r="L82" s="172">
        <f t="shared" si="179"/>
        <v>41.048508805017178</v>
      </c>
      <c r="M82" s="443"/>
      <c r="N82" s="217">
        <f t="shared" si="180"/>
        <v>0.41757631070594364</v>
      </c>
      <c r="O82" s="172">
        <f t="shared" si="272"/>
        <v>29.660402425858692</v>
      </c>
      <c r="P82" s="172">
        <f t="shared" si="181"/>
        <v>4.0582347162091015</v>
      </c>
      <c r="Q82" s="217">
        <f t="shared" si="182"/>
        <v>1.8085611235279693</v>
      </c>
      <c r="R82" s="217">
        <f t="shared" si="183"/>
        <v>3.7075503032323365</v>
      </c>
      <c r="S82" s="443">
        <f t="shared" si="184"/>
        <v>16.399999999999999</v>
      </c>
      <c r="T82" s="217">
        <f t="shared" si="185"/>
        <v>2.838352138920091</v>
      </c>
      <c r="U82" s="217">
        <f t="shared" si="186"/>
        <v>1.4246595878800585</v>
      </c>
      <c r="V82" s="217">
        <f t="shared" si="187"/>
        <v>1.9870751091183565</v>
      </c>
      <c r="W82" s="197">
        <f t="shared" si="188"/>
        <v>350</v>
      </c>
      <c r="X82" s="443">
        <f t="shared" si="273"/>
        <v>276.87526462867402</v>
      </c>
      <c r="Z82" s="217">
        <f t="shared" si="189"/>
        <v>2.3769660480653299</v>
      </c>
      <c r="AA82" s="173">
        <f t="shared" si="190"/>
        <v>1.6640676836973041</v>
      </c>
      <c r="AB82" s="173">
        <f t="shared" si="191"/>
        <v>0.6922006675204615</v>
      </c>
      <c r="AC82" s="173"/>
      <c r="AD82" s="173">
        <f t="shared" si="192"/>
        <v>0.93344072516404075</v>
      </c>
      <c r="AE82" s="545">
        <f t="shared" si="193"/>
        <v>1237.3576263206457</v>
      </c>
      <c r="AF82" s="528">
        <f t="shared" si="194"/>
        <v>0.21780283587160956</v>
      </c>
      <c r="AH82" s="173">
        <f t="shared" si="195"/>
        <v>2.5974346318370873</v>
      </c>
      <c r="AI82" s="173">
        <f t="shared" si="196"/>
        <v>2.838352138920091</v>
      </c>
      <c r="AJ82" s="173">
        <f t="shared" si="197"/>
        <v>2.3148287448790796</v>
      </c>
      <c r="AL82" s="545">
        <f t="shared" si="198"/>
        <v>770</v>
      </c>
      <c r="AM82" s="460">
        <f t="shared" si="199"/>
        <v>276.87526462867402</v>
      </c>
      <c r="AO82">
        <f t="shared" si="274"/>
        <v>770</v>
      </c>
      <c r="AP82">
        <f t="shared" si="200"/>
        <v>276.87526462867402</v>
      </c>
      <c r="AR82" s="5">
        <f t="shared" si="275"/>
        <v>3.6117346969984152</v>
      </c>
      <c r="AS82" s="5">
        <f t="shared" si="201"/>
        <v>1.4246595878800585</v>
      </c>
      <c r="AT82" s="5">
        <f t="shared" si="276"/>
        <v>2.1870751091183567</v>
      </c>
      <c r="AU82" s="173">
        <f t="shared" si="277"/>
        <v>0.39445300040006886</v>
      </c>
      <c r="AW82" s="5">
        <f t="shared" si="202"/>
        <v>6.6889505040710082</v>
      </c>
      <c r="AX82" s="5">
        <f t="shared" si="203"/>
        <v>3.4280871333363914</v>
      </c>
      <c r="AY82" s="5">
        <f t="shared" si="204"/>
        <v>0.96267702962644941</v>
      </c>
      <c r="AZ82" s="5"/>
      <c r="BA82" s="173">
        <f t="shared" si="278"/>
        <v>1.0292082992699623</v>
      </c>
      <c r="BB82" s="173">
        <f t="shared" si="205"/>
        <v>1.275203734657558</v>
      </c>
      <c r="BC82" s="173">
        <f t="shared" si="206"/>
        <v>0.31285486173090732</v>
      </c>
      <c r="BD82" s="173"/>
      <c r="BE82" s="528">
        <f t="shared" si="207"/>
        <v>2.1185394465723366E-2</v>
      </c>
      <c r="BF82" s="528">
        <f t="shared" si="208"/>
        <v>0.60485195761520838</v>
      </c>
      <c r="BG82" s="528">
        <f t="shared" si="209"/>
        <v>0.16548574261355936</v>
      </c>
      <c r="BH82" s="528">
        <f t="shared" si="210"/>
        <v>4.6652930419166724E-2</v>
      </c>
      <c r="BI82">
        <f t="shared" si="211"/>
        <v>1.0758430772206949E-2</v>
      </c>
      <c r="BJ82" s="460">
        <f t="shared" si="279"/>
        <v>176.24417338576632</v>
      </c>
      <c r="BK82">
        <f t="shared" si="212"/>
        <v>0.68184249529481589</v>
      </c>
      <c r="BL82" s="460">
        <f t="shared" si="280"/>
        <v>681.84249529481588</v>
      </c>
      <c r="BM82" s="173">
        <f t="shared" si="213"/>
        <v>0.47836249999999991</v>
      </c>
      <c r="BN82" s="173">
        <f t="shared" si="214"/>
        <v>8.5421874999999994E-2</v>
      </c>
      <c r="BO82" s="528"/>
      <c r="BQ82" s="460">
        <f t="shared" si="281"/>
        <v>563.78437499999984</v>
      </c>
      <c r="BR82" s="528">
        <f t="shared" si="215"/>
        <v>3.1778091698585045E-2</v>
      </c>
      <c r="BS82" s="528">
        <f t="shared" si="216"/>
        <v>4.8784336946537506E-2</v>
      </c>
      <c r="BT82" s="528">
        <f t="shared" si="217"/>
        <v>4.8939082254332569E-4</v>
      </c>
      <c r="BU82" s="528">
        <f t="shared" si="218"/>
        <v>0.86565748492324457</v>
      </c>
      <c r="BV82" s="528">
        <f t="shared" si="219"/>
        <v>0.97246736098158837</v>
      </c>
      <c r="BW82" s="625">
        <f t="shared" si="220"/>
        <v>1.1152871875123488E-2</v>
      </c>
      <c r="BX82" s="460">
        <f t="shared" si="282"/>
        <v>983.62023285671182</v>
      </c>
      <c r="BY82" s="173">
        <f t="shared" si="283"/>
        <v>2.2292471031515277</v>
      </c>
      <c r="BZ82" s="5">
        <f t="shared" si="284"/>
        <v>14.167999999999999</v>
      </c>
      <c r="CA82" s="173">
        <f t="shared" si="285"/>
        <v>0.86404747765720558</v>
      </c>
      <c r="CB82" s="5">
        <f t="shared" si="286"/>
        <v>86.404747765720558</v>
      </c>
      <c r="CC82">
        <f t="shared" si="287"/>
        <v>77</v>
      </c>
      <c r="CE82" s="562">
        <f t="shared" si="221"/>
        <v>-50</v>
      </c>
      <c r="CF82">
        <f t="shared" si="222"/>
        <v>-50</v>
      </c>
      <c r="CG82" s="173">
        <f t="shared" si="223"/>
        <v>0.56500122953983234</v>
      </c>
      <c r="CH82" s="173">
        <f t="shared" si="224"/>
        <v>0.19741829216945347</v>
      </c>
      <c r="CI82" s="170">
        <v>77</v>
      </c>
      <c r="CJ82" s="217">
        <f t="shared" si="309"/>
        <v>0.77</v>
      </c>
      <c r="CK82" s="217">
        <f t="shared" si="288"/>
        <v>0.1925</v>
      </c>
      <c r="CL82" s="217">
        <f t="shared" si="225"/>
        <v>12.627999999999998</v>
      </c>
      <c r="CM82" s="217">
        <f t="shared" si="310"/>
        <v>1.54</v>
      </c>
      <c r="CN82" s="541">
        <f t="shared" si="289"/>
        <v>24</v>
      </c>
      <c r="CO82" s="443">
        <f t="shared" si="226"/>
        <v>17.099999999999998</v>
      </c>
      <c r="CP82" s="443">
        <f t="shared" si="227"/>
        <v>41.099999999999994</v>
      </c>
      <c r="CQ82" s="443"/>
      <c r="CR82" s="217">
        <f t="shared" si="228"/>
        <v>0.41176470588235292</v>
      </c>
      <c r="CS82" s="172">
        <f t="shared" si="290"/>
        <v>29.36061381074169</v>
      </c>
      <c r="CT82" s="172">
        <f t="shared" si="229"/>
        <v>4.0172166427546641</v>
      </c>
      <c r="CU82" s="217">
        <f t="shared" si="230"/>
        <v>1.7902813299232738</v>
      </c>
      <c r="CV82" s="217">
        <f t="shared" si="231"/>
        <v>3.6700767263427112</v>
      </c>
      <c r="CW82" s="443">
        <f t="shared" si="232"/>
        <v>16.399999999999999</v>
      </c>
      <c r="CX82" s="217">
        <f t="shared" si="233"/>
        <v>2.8673333333333328</v>
      </c>
      <c r="CY82" s="217">
        <f t="shared" si="234"/>
        <v>1.4336666666666662</v>
      </c>
      <c r="CZ82" s="217">
        <f t="shared" si="235"/>
        <v>2.012163742690058</v>
      </c>
      <c r="DA82" s="197">
        <f t="shared" si="236"/>
        <v>350</v>
      </c>
      <c r="DB82" s="443">
        <f t="shared" si="291"/>
        <v>290.20580852865663</v>
      </c>
      <c r="DD82" s="217">
        <f t="shared" si="237"/>
        <v>2.377476538060479</v>
      </c>
      <c r="DE82" s="173">
        <f t="shared" si="238"/>
        <v>1.668404588112617</v>
      </c>
      <c r="DF82" s="173">
        <f t="shared" si="239"/>
        <v>0.69415373374028577</v>
      </c>
      <c r="DG82" s="173"/>
      <c r="DH82" s="173">
        <f t="shared" si="240"/>
        <v>0.93567251461988332</v>
      </c>
      <c r="DI82" s="545">
        <f t="shared" si="241"/>
        <v>1234.4062499999995</v>
      </c>
      <c r="DJ82" s="528">
        <f t="shared" si="242"/>
        <v>0.21832358674463945</v>
      </c>
      <c r="DL82" s="173">
        <f t="shared" si="243"/>
        <v>2.5974346318370873</v>
      </c>
      <c r="DM82" s="173">
        <f t="shared" si="244"/>
        <v>2.8673333333333328</v>
      </c>
      <c r="DN82" s="173">
        <f t="shared" si="245"/>
        <v>2.3362962962962959</v>
      </c>
      <c r="DP82" s="545">
        <f t="shared" si="246"/>
        <v>770</v>
      </c>
      <c r="DQ82" s="460">
        <f t="shared" si="247"/>
        <v>290.20580852865663</v>
      </c>
      <c r="DS82">
        <f t="shared" si="292"/>
        <v>770</v>
      </c>
      <c r="DT82">
        <f t="shared" si="248"/>
        <v>290.20580852865663</v>
      </c>
      <c r="DV82" s="5">
        <f t="shared" si="293"/>
        <v>3.4458304093567245</v>
      </c>
      <c r="DW82" s="5">
        <f t="shared" si="249"/>
        <v>1.4336666666666662</v>
      </c>
      <c r="DX82" s="5">
        <f t="shared" si="294"/>
        <v>2.012163742690058</v>
      </c>
      <c r="DY82" s="173">
        <f t="shared" si="295"/>
        <v>0.41605839416058388</v>
      </c>
      <c r="EA82" s="5">
        <f t="shared" si="250"/>
        <v>6.7312398373983733</v>
      </c>
      <c r="EB82" s="5">
        <f t="shared" si="251"/>
        <v>3.4497604166666651</v>
      </c>
      <c r="EC82" s="5">
        <f t="shared" si="252"/>
        <v>0.88227790773229309</v>
      </c>
      <c r="ED82" s="5"/>
      <c r="EE82" s="173">
        <f t="shared" si="296"/>
        <v>1.0678117621793173</v>
      </c>
      <c r="EF82" s="173">
        <f t="shared" si="253"/>
        <v>1.265034197969755</v>
      </c>
      <c r="EG82" s="173">
        <f t="shared" si="254"/>
        <v>0.31035989648899298</v>
      </c>
      <c r="EH82" s="173"/>
      <c r="EI82" s="528">
        <f t="shared" si="255"/>
        <v>2.2804439188969978E-2</v>
      </c>
      <c r="EJ82" s="528">
        <f t="shared" si="256"/>
        <v>0.68400000000000005</v>
      </c>
      <c r="EK82" s="528">
        <f t="shared" si="257"/>
        <v>3.6275726066082079E-2</v>
      </c>
      <c r="EL82" s="528">
        <f t="shared" si="258"/>
        <v>4.9021855382469191E-2</v>
      </c>
      <c r="EM82">
        <f t="shared" si="259"/>
        <v>1.0800000000000001E-2</v>
      </c>
      <c r="EN82" s="460">
        <f t="shared" si="297"/>
        <v>47.075726066082083</v>
      </c>
      <c r="EO82">
        <f t="shared" si="260"/>
        <v>0.81346685494773663</v>
      </c>
      <c r="EP82" s="460">
        <f t="shared" si="298"/>
        <v>813.46685494773658</v>
      </c>
      <c r="EQ82" s="173">
        <f t="shared" si="261"/>
        <v>0.47836249999999991</v>
      </c>
      <c r="ER82" s="173">
        <f t="shared" si="262"/>
        <v>8.5421874999999994E-2</v>
      </c>
      <c r="ES82" s="528"/>
      <c r="EU82" s="460">
        <f t="shared" si="299"/>
        <v>563.78437499999984</v>
      </c>
      <c r="EV82" s="528">
        <f t="shared" si="263"/>
        <v>3.4206658783454962E-2</v>
      </c>
      <c r="EW82" s="528">
        <f t="shared" si="300"/>
        <v>4.8009345660989439E-2</v>
      </c>
      <c r="EX82" s="528">
        <f t="shared" si="264"/>
        <v>4.8161632674329223E-4</v>
      </c>
      <c r="EY82" s="528">
        <f t="shared" si="265"/>
        <v>0.99869003111229482</v>
      </c>
      <c r="EZ82" s="528">
        <f t="shared" si="266"/>
        <v>1.1085691634507824</v>
      </c>
      <c r="FA82" s="625">
        <f t="shared" si="267"/>
        <v>1.1929781021897807E-2</v>
      </c>
      <c r="FB82" s="460">
        <f t="shared" si="301"/>
        <v>1120.4989444726803</v>
      </c>
      <c r="FC82" s="173">
        <f t="shared" si="302"/>
        <v>2.4977501744204162</v>
      </c>
      <c r="FD82" s="5">
        <f t="shared" si="303"/>
        <v>14.167999999999999</v>
      </c>
      <c r="FE82" s="173">
        <f t="shared" si="304"/>
        <v>0.85012674807437638</v>
      </c>
      <c r="FF82" s="5">
        <f t="shared" si="305"/>
        <v>85.012674807437634</v>
      </c>
      <c r="FG82">
        <f t="shared" si="306"/>
        <v>77</v>
      </c>
      <c r="FI82" s="562">
        <f t="shared" si="268"/>
        <v>-50</v>
      </c>
      <c r="FJ82">
        <f t="shared" si="269"/>
        <v>-50</v>
      </c>
      <c r="FL82">
        <f t="shared" si="270"/>
        <v>0.56500122953983234</v>
      </c>
    </row>
    <row r="83" spans="5:168">
      <c r="E83" s="170">
        <v>78</v>
      </c>
      <c r="F83" s="217">
        <f t="shared" si="307"/>
        <v>0.78</v>
      </c>
      <c r="G83" s="217">
        <f t="shared" si="271"/>
        <v>0.19500000000000001</v>
      </c>
      <c r="H83" s="217">
        <f t="shared" si="176"/>
        <v>12.792</v>
      </c>
      <c r="I83" s="217">
        <f t="shared" si="308"/>
        <v>1.56</v>
      </c>
      <c r="J83" s="541">
        <f t="shared" si="177"/>
        <v>23.906424249123869</v>
      </c>
      <c r="K83" s="443">
        <f t="shared" si="178"/>
        <v>17.141415839075353</v>
      </c>
      <c r="L83" s="172">
        <f t="shared" si="179"/>
        <v>41.047840088199223</v>
      </c>
      <c r="M83" s="443"/>
      <c r="N83" s="217">
        <f t="shared" si="180"/>
        <v>0.41759604895759939</v>
      </c>
      <c r="O83" s="172">
        <f t="shared" si="272"/>
        <v>29.660315996860088</v>
      </c>
      <c r="P83" s="172">
        <f t="shared" si="181"/>
        <v>4.0582228907066158</v>
      </c>
      <c r="Q83" s="217">
        <f t="shared" si="182"/>
        <v>1.8085558534670787</v>
      </c>
      <c r="R83" s="217">
        <f t="shared" si="183"/>
        <v>3.7075394996075111</v>
      </c>
      <c r="S83" s="443">
        <f t="shared" si="184"/>
        <v>16.399999999999999</v>
      </c>
      <c r="T83" s="217">
        <f t="shared" si="185"/>
        <v>2.8752222332704731</v>
      </c>
      <c r="U83" s="217">
        <f t="shared" si="186"/>
        <v>1.4432382877380814</v>
      </c>
      <c r="V83" s="217">
        <f t="shared" si="187"/>
        <v>2.0128247936552497</v>
      </c>
      <c r="W83" s="197">
        <f t="shared" si="188"/>
        <v>350</v>
      </c>
      <c r="X83" s="443">
        <f t="shared" si="273"/>
        <v>273.51825658842256</v>
      </c>
      <c r="Z83" s="217">
        <f t="shared" si="189"/>
        <v>2.3769591216995885</v>
      </c>
      <c r="AA83" s="173">
        <f t="shared" si="190"/>
        <v>1.6640112886925731</v>
      </c>
      <c r="AB83" s="173">
        <f t="shared" si="191"/>
        <v>0.69217519197205735</v>
      </c>
      <c r="AC83" s="173"/>
      <c r="AD83" s="173">
        <f t="shared" si="192"/>
        <v>0.93341181091509406</v>
      </c>
      <c r="AE83" s="545">
        <f t="shared" si="193"/>
        <v>1253.4660332323849</v>
      </c>
      <c r="AF83" s="528">
        <f t="shared" si="194"/>
        <v>0.21779608921352198</v>
      </c>
      <c r="AH83" s="173">
        <f t="shared" si="195"/>
        <v>2.6142466819880856</v>
      </c>
      <c r="AI83" s="173">
        <f t="shared" si="196"/>
        <v>2.8752222332704731</v>
      </c>
      <c r="AJ83" s="173">
        <f t="shared" si="197"/>
        <v>2.3421399258793625</v>
      </c>
      <c r="AL83" s="545">
        <f t="shared" si="198"/>
        <v>780</v>
      </c>
      <c r="AM83" s="460">
        <f t="shared" si="199"/>
        <v>273.51825658842256</v>
      </c>
      <c r="AO83">
        <f t="shared" si="274"/>
        <v>780</v>
      </c>
      <c r="AP83">
        <f t="shared" si="200"/>
        <v>273.51825658842256</v>
      </c>
      <c r="AR83" s="5">
        <f t="shared" si="275"/>
        <v>3.6560630813933312</v>
      </c>
      <c r="AS83" s="5">
        <f t="shared" si="201"/>
        <v>1.4432382877380814</v>
      </c>
      <c r="AT83" s="5">
        <f t="shared" si="276"/>
        <v>2.2128247936552499</v>
      </c>
      <c r="AU83" s="173">
        <f t="shared" si="277"/>
        <v>0.39475202030378015</v>
      </c>
      <c r="AW83" s="5">
        <f t="shared" si="202"/>
        <v>6.8641821002177057</v>
      </c>
      <c r="AX83" s="5">
        <f t="shared" si="203"/>
        <v>3.5178933263615733</v>
      </c>
      <c r="AY83" s="5">
        <f t="shared" si="204"/>
        <v>0.98671018528542376</v>
      </c>
      <c r="AZ83" s="5"/>
      <c r="BA83" s="173">
        <f t="shared" si="278"/>
        <v>1.0429727733352969</v>
      </c>
      <c r="BB83" s="173">
        <f t="shared" si="205"/>
        <v>1.2914496083776923</v>
      </c>
      <c r="BC83" s="173">
        <f t="shared" si="206"/>
        <v>0.31684057823900341</v>
      </c>
      <c r="BD83" s="173"/>
      <c r="BE83" s="528">
        <f t="shared" si="207"/>
        <v>2.1755844118374414E-2</v>
      </c>
      <c r="BF83" s="528">
        <f t="shared" si="208"/>
        <v>0.6052702378651067</v>
      </c>
      <c r="BG83" s="528">
        <f t="shared" si="209"/>
        <v>0.16347108704708874</v>
      </c>
      <c r="BH83" s="528">
        <f t="shared" si="210"/>
        <v>4.6085779659585296E-2</v>
      </c>
      <c r="BI83">
        <f t="shared" si="211"/>
        <v>1.0757890912105741E-2</v>
      </c>
      <c r="BJ83" s="460">
        <f t="shared" si="279"/>
        <v>174.22897795919448</v>
      </c>
      <c r="BK83">
        <f t="shared" si="212"/>
        <v>0.68251398302986943</v>
      </c>
      <c r="BL83" s="460">
        <f t="shared" si="280"/>
        <v>682.51398302986945</v>
      </c>
      <c r="BM83" s="173">
        <f t="shared" si="213"/>
        <v>0.48457499999999992</v>
      </c>
      <c r="BN83" s="173">
        <f t="shared" si="214"/>
        <v>8.6531250000000004E-2</v>
      </c>
      <c r="BO83" s="528"/>
      <c r="BQ83" s="460">
        <f t="shared" si="281"/>
        <v>571.10624999999993</v>
      </c>
      <c r="BR83" s="528">
        <f t="shared" si="215"/>
        <v>3.263376617756162E-2</v>
      </c>
      <c r="BS83" s="528">
        <f t="shared" si="216"/>
        <v>5.0035262729366842E-2</v>
      </c>
      <c r="BT83" s="528">
        <f t="shared" si="217"/>
        <v>5.0193976009413018E-4</v>
      </c>
      <c r="BU83" s="528">
        <f t="shared" si="218"/>
        <v>0.86719017431294354</v>
      </c>
      <c r="BV83" s="528">
        <f t="shared" si="219"/>
        <v>0.97682163156502466</v>
      </c>
      <c r="BW83" s="625">
        <f t="shared" si="220"/>
        <v>1.1305744330240494E-2</v>
      </c>
      <c r="BX83" s="460">
        <f t="shared" si="282"/>
        <v>988.12737589526512</v>
      </c>
      <c r="BY83" s="173">
        <f t="shared" si="283"/>
        <v>2.2417476089251349</v>
      </c>
      <c r="BZ83" s="5">
        <f t="shared" si="284"/>
        <v>14.352</v>
      </c>
      <c r="CA83" s="173">
        <f t="shared" si="285"/>
        <v>0.86490407943053293</v>
      </c>
      <c r="CB83" s="5">
        <f t="shared" si="286"/>
        <v>86.490407943053299</v>
      </c>
      <c r="CC83">
        <f t="shared" si="287"/>
        <v>78</v>
      </c>
      <c r="CE83" s="562">
        <f t="shared" si="221"/>
        <v>-50</v>
      </c>
      <c r="CF83">
        <f t="shared" si="222"/>
        <v>-50</v>
      </c>
      <c r="CG83" s="173">
        <f t="shared" si="223"/>
        <v>0.56500122953983234</v>
      </c>
      <c r="CH83" s="173">
        <f t="shared" si="224"/>
        <v>0.19741829216945345</v>
      </c>
      <c r="CI83" s="170">
        <v>78</v>
      </c>
      <c r="CJ83" s="217">
        <f t="shared" si="309"/>
        <v>0.78</v>
      </c>
      <c r="CK83" s="217">
        <f t="shared" si="288"/>
        <v>0.19500000000000001</v>
      </c>
      <c r="CL83" s="217">
        <f t="shared" si="225"/>
        <v>12.792</v>
      </c>
      <c r="CM83" s="217">
        <f t="shared" si="310"/>
        <v>1.56</v>
      </c>
      <c r="CN83" s="541">
        <f t="shared" si="289"/>
        <v>24</v>
      </c>
      <c r="CO83" s="443">
        <f t="shared" si="226"/>
        <v>17.099999999999998</v>
      </c>
      <c r="CP83" s="443">
        <f t="shared" si="227"/>
        <v>41.099999999999994</v>
      </c>
      <c r="CQ83" s="443"/>
      <c r="CR83" s="217">
        <f t="shared" si="228"/>
        <v>0.41176470588235292</v>
      </c>
      <c r="CS83" s="172">
        <f t="shared" si="290"/>
        <v>29.36061381074169</v>
      </c>
      <c r="CT83" s="172">
        <f t="shared" si="229"/>
        <v>4.0172166427546641</v>
      </c>
      <c r="CU83" s="217">
        <f t="shared" si="230"/>
        <v>1.7902813299232738</v>
      </c>
      <c r="CV83" s="217">
        <f t="shared" si="231"/>
        <v>3.6700767263427112</v>
      </c>
      <c r="CW83" s="443">
        <f t="shared" si="232"/>
        <v>16.399999999999999</v>
      </c>
      <c r="CX83" s="217">
        <f t="shared" si="233"/>
        <v>2.9045714285714284</v>
      </c>
      <c r="CY83" s="217">
        <f t="shared" si="234"/>
        <v>1.4522857142857142</v>
      </c>
      <c r="CZ83" s="217">
        <f t="shared" si="235"/>
        <v>2.0382957393483712</v>
      </c>
      <c r="DA83" s="197">
        <f t="shared" si="236"/>
        <v>350</v>
      </c>
      <c r="DB83" s="443">
        <f t="shared" si="291"/>
        <v>286.48522123982764</v>
      </c>
      <c r="DD83" s="217">
        <f t="shared" si="237"/>
        <v>2.377476538060479</v>
      </c>
      <c r="DE83" s="173">
        <f t="shared" si="238"/>
        <v>1.668404588112617</v>
      </c>
      <c r="DF83" s="173">
        <f t="shared" si="239"/>
        <v>0.69415373374028577</v>
      </c>
      <c r="DG83" s="173"/>
      <c r="DH83" s="173">
        <f t="shared" si="240"/>
        <v>0.93567251461988332</v>
      </c>
      <c r="DI83" s="545">
        <f t="shared" si="241"/>
        <v>1250.4374999999995</v>
      </c>
      <c r="DJ83" s="528">
        <f t="shared" si="242"/>
        <v>0.21832358674463945</v>
      </c>
      <c r="DL83" s="173">
        <f t="shared" si="243"/>
        <v>2.6142466819880856</v>
      </c>
      <c r="DM83" s="173">
        <f t="shared" si="244"/>
        <v>2.9045714285714284</v>
      </c>
      <c r="DN83" s="173">
        <f t="shared" si="245"/>
        <v>2.3638800705467369</v>
      </c>
      <c r="DP83" s="545">
        <f t="shared" si="246"/>
        <v>780</v>
      </c>
      <c r="DQ83" s="460">
        <f t="shared" si="247"/>
        <v>286.48522123982764</v>
      </c>
      <c r="DS83">
        <f t="shared" si="292"/>
        <v>780</v>
      </c>
      <c r="DT83">
        <f t="shared" si="248"/>
        <v>286.48522123982764</v>
      </c>
      <c r="DV83" s="5">
        <f t="shared" si="293"/>
        <v>3.4905814536340851</v>
      </c>
      <c r="DW83" s="5">
        <f t="shared" si="249"/>
        <v>1.4522857142857142</v>
      </c>
      <c r="DX83" s="5">
        <f t="shared" si="294"/>
        <v>2.0382957393483707</v>
      </c>
      <c r="DY83" s="173">
        <f t="shared" si="295"/>
        <v>0.41605839416058393</v>
      </c>
      <c r="EA83" s="5">
        <f t="shared" si="250"/>
        <v>6.9072125435540075</v>
      </c>
      <c r="EB83" s="5">
        <f t="shared" si="251"/>
        <v>3.5399464285714282</v>
      </c>
      <c r="EC83" s="5">
        <f t="shared" si="252"/>
        <v>0.90534302422723467</v>
      </c>
      <c r="ED83" s="5"/>
      <c r="EE83" s="173">
        <f t="shared" si="296"/>
        <v>1.0816794474024256</v>
      </c>
      <c r="EF83" s="173">
        <f t="shared" si="253"/>
        <v>1.2814632135278037</v>
      </c>
      <c r="EG83" s="173">
        <f t="shared" si="254"/>
        <v>0.31439054449534348</v>
      </c>
      <c r="EH83" s="173"/>
      <c r="EI83" s="528">
        <f t="shared" si="255"/>
        <v>2.3400608538656335E-2</v>
      </c>
      <c r="EJ83" s="528">
        <f t="shared" si="256"/>
        <v>0.68399999999999983</v>
      </c>
      <c r="EK83" s="528">
        <f t="shared" si="257"/>
        <v>3.5810652654978452E-2</v>
      </c>
      <c r="EL83" s="528">
        <f t="shared" si="258"/>
        <v>4.8393370057052909E-2</v>
      </c>
      <c r="EM83">
        <f t="shared" si="259"/>
        <v>1.0800000000000001E-2</v>
      </c>
      <c r="EN83" s="460">
        <f t="shared" si="297"/>
        <v>46.610652654978452</v>
      </c>
      <c r="EO83">
        <f t="shared" si="260"/>
        <v>0.81324442200941216</v>
      </c>
      <c r="EP83" s="460">
        <f t="shared" si="298"/>
        <v>813.24442200941212</v>
      </c>
      <c r="EQ83" s="173">
        <f t="shared" si="261"/>
        <v>0.48457499999999992</v>
      </c>
      <c r="ER83" s="173">
        <f t="shared" si="262"/>
        <v>8.6531250000000004E-2</v>
      </c>
      <c r="ES83" s="528"/>
      <c r="EU83" s="460">
        <f t="shared" si="299"/>
        <v>571.10624999999993</v>
      </c>
      <c r="EV83" s="528">
        <f t="shared" si="263"/>
        <v>3.5100912807984504E-2</v>
      </c>
      <c r="EW83" s="528">
        <f t="shared" si="300"/>
        <v>4.9264439028750162E-2</v>
      </c>
      <c r="EX83" s="528">
        <f t="shared" si="264"/>
        <v>4.9420707234039277E-4</v>
      </c>
      <c r="EY83" s="528">
        <f t="shared" si="265"/>
        <v>0.99869003111229437</v>
      </c>
      <c r="EZ83" s="528">
        <f t="shared" si="266"/>
        <v>1.1114613336409285</v>
      </c>
      <c r="FA83" s="625">
        <f t="shared" si="267"/>
        <v>1.2084713242961419E-2</v>
      </c>
      <c r="FB83" s="460">
        <f t="shared" si="301"/>
        <v>1123.5460468838899</v>
      </c>
      <c r="FC83" s="173">
        <f t="shared" si="302"/>
        <v>2.5078967188933019</v>
      </c>
      <c r="FD83" s="5">
        <f t="shared" si="303"/>
        <v>14.352</v>
      </c>
      <c r="FE83" s="173">
        <f t="shared" si="304"/>
        <v>0.85125076619936002</v>
      </c>
      <c r="FF83" s="5">
        <f t="shared" si="305"/>
        <v>85.125076619935996</v>
      </c>
      <c r="FG83">
        <f t="shared" si="306"/>
        <v>78</v>
      </c>
      <c r="FI83" s="562">
        <f t="shared" si="268"/>
        <v>-50</v>
      </c>
      <c r="FJ83">
        <f t="shared" si="269"/>
        <v>-50</v>
      </c>
      <c r="FL83">
        <f t="shared" si="270"/>
        <v>0.56500122953983234</v>
      </c>
    </row>
    <row r="84" spans="5:168">
      <c r="E84" s="170">
        <v>79</v>
      </c>
      <c r="F84" s="217">
        <f t="shared" si="307"/>
        <v>0.79</v>
      </c>
      <c r="G84" s="217">
        <f t="shared" si="271"/>
        <v>0.19750000000000001</v>
      </c>
      <c r="H84" s="217">
        <f t="shared" si="176"/>
        <v>12.956</v>
      </c>
      <c r="I84" s="217">
        <f t="shared" si="308"/>
        <v>1.58</v>
      </c>
      <c r="J84" s="541">
        <f t="shared" si="177"/>
        <v>23.905224560010073</v>
      </c>
      <c r="K84" s="443">
        <f t="shared" si="178"/>
        <v>17.141946811371191</v>
      </c>
      <c r="L84" s="172">
        <f t="shared" si="179"/>
        <v>41.047171371381268</v>
      </c>
      <c r="M84" s="443"/>
      <c r="N84" s="217">
        <f t="shared" si="180"/>
        <v>0.41761578785238357</v>
      </c>
      <c r="O84" s="172">
        <f t="shared" si="272"/>
        <v>29.660229472832388</v>
      </c>
      <c r="P84" s="172">
        <f t="shared" si="181"/>
        <v>4.0582110522019335</v>
      </c>
      <c r="Q84" s="217">
        <f t="shared" si="182"/>
        <v>1.8085505776117312</v>
      </c>
      <c r="R84" s="217">
        <f t="shared" si="183"/>
        <v>3.7075286841040485</v>
      </c>
      <c r="S84" s="443">
        <f t="shared" si="184"/>
        <v>16.399999999999999</v>
      </c>
      <c r="T84" s="217">
        <f t="shared" si="185"/>
        <v>2.9120925518276226</v>
      </c>
      <c r="U84" s="217">
        <f t="shared" si="186"/>
        <v>1.4618189648964648</v>
      </c>
      <c r="V84" s="217">
        <f t="shared" si="187"/>
        <v>2.0385730399507755</v>
      </c>
      <c r="W84" s="197">
        <f t="shared" si="188"/>
        <v>350</v>
      </c>
      <c r="X84" s="443">
        <f t="shared" si="273"/>
        <v>270.24163891016781</v>
      </c>
      <c r="Z84" s="217">
        <f t="shared" si="189"/>
        <v>2.3769521877182749</v>
      </c>
      <c r="AA84" s="173">
        <f t="shared" si="190"/>
        <v>1.6639548918503324</v>
      </c>
      <c r="AB84" s="173">
        <f t="shared" si="191"/>
        <v>0.69214971357843036</v>
      </c>
      <c r="AC84" s="173"/>
      <c r="AD84" s="173">
        <f t="shared" si="192"/>
        <v>0.93338289845738687</v>
      </c>
      <c r="AE84" s="545">
        <f t="shared" si="193"/>
        <v>1269.5754357171786</v>
      </c>
      <c r="AF84" s="528">
        <f t="shared" si="194"/>
        <v>0.21778934297339028</v>
      </c>
      <c r="AH84" s="173">
        <f t="shared" si="195"/>
        <v>2.6309513035981418</v>
      </c>
      <c r="AI84" s="173">
        <f t="shared" si="196"/>
        <v>2.9120925518276226</v>
      </c>
      <c r="AJ84" s="173">
        <f t="shared" si="197"/>
        <v>2.3694512729587327</v>
      </c>
      <c r="AL84" s="545">
        <f t="shared" si="198"/>
        <v>790</v>
      </c>
      <c r="AM84" s="460">
        <f t="shared" si="199"/>
        <v>270.24163891016781</v>
      </c>
      <c r="AO84">
        <f t="shared" si="274"/>
        <v>790</v>
      </c>
      <c r="AP84">
        <f t="shared" si="200"/>
        <v>270.24163891016781</v>
      </c>
      <c r="AR84" s="5">
        <f t="shared" si="275"/>
        <v>3.7003920048472407</v>
      </c>
      <c r="AS84" s="5">
        <f t="shared" si="201"/>
        <v>1.4618189648964648</v>
      </c>
      <c r="AT84" s="5">
        <f t="shared" si="276"/>
        <v>2.2385730399507757</v>
      </c>
      <c r="AU84" s="173">
        <f t="shared" si="277"/>
        <v>0.39504435286358575</v>
      </c>
      <c r="AW84" s="5">
        <f t="shared" si="202"/>
        <v>7.0416889162695577</v>
      </c>
      <c r="AX84" s="5">
        <f t="shared" si="203"/>
        <v>3.6088655695881475</v>
      </c>
      <c r="AY84" s="5">
        <f t="shared" si="204"/>
        <v>1.0110395265546512</v>
      </c>
      <c r="AZ84" s="5"/>
      <c r="BA84" s="173">
        <f t="shared" si="278"/>
        <v>1.0567383658926386</v>
      </c>
      <c r="BB84" s="173">
        <f t="shared" si="205"/>
        <v>1.3076945500334525</v>
      </c>
      <c r="BC84" s="173">
        <f t="shared" si="206"/>
        <v>0.32082606607707365</v>
      </c>
      <c r="BD84" s="173"/>
      <c r="BE84" s="528">
        <f t="shared" si="207"/>
        <v>2.2333919478988884E-2</v>
      </c>
      <c r="BF84" s="528">
        <f t="shared" si="208"/>
        <v>0.60567820517872717</v>
      </c>
      <c r="BG84" s="528">
        <f t="shared" si="209"/>
        <v>0.16150467659031792</v>
      </c>
      <c r="BH84" s="528">
        <f t="shared" si="210"/>
        <v>4.5532210516736761E-2</v>
      </c>
      <c r="BI84">
        <f t="shared" si="211"/>
        <v>1.0757351052004533E-2</v>
      </c>
      <c r="BJ84" s="460">
        <f t="shared" si="279"/>
        <v>172.26202764232247</v>
      </c>
      <c r="BK84">
        <f t="shared" si="212"/>
        <v>0.68319992064069601</v>
      </c>
      <c r="BL84" s="460">
        <f t="shared" si="280"/>
        <v>683.19992064069606</v>
      </c>
      <c r="BM84" s="173">
        <f t="shared" si="213"/>
        <v>0.49078749999999993</v>
      </c>
      <c r="BN84" s="173">
        <f t="shared" si="214"/>
        <v>8.7640625E-2</v>
      </c>
      <c r="BO84" s="528"/>
      <c r="BQ84" s="460">
        <f t="shared" si="281"/>
        <v>578.42812499999991</v>
      </c>
      <c r="BR84" s="528">
        <f t="shared" si="215"/>
        <v>3.3500879218483326E-2</v>
      </c>
      <c r="BS84" s="528">
        <f t="shared" si="216"/>
        <v>5.1301951085615805E-2</v>
      </c>
      <c r="BT84" s="528">
        <f t="shared" si="217"/>
        <v>5.146468233724541E-4</v>
      </c>
      <c r="BU84" s="528">
        <f t="shared" si="218"/>
        <v>0.8686875622691087</v>
      </c>
      <c r="BV84" s="528">
        <f t="shared" si="219"/>
        <v>0.98117816556304549</v>
      </c>
      <c r="BW84" s="625">
        <f t="shared" si="220"/>
        <v>1.14586279228003E-2</v>
      </c>
      <c r="BX84" s="460">
        <f t="shared" si="282"/>
        <v>992.63679348584571</v>
      </c>
      <c r="BY84" s="173">
        <f t="shared" si="283"/>
        <v>2.2542648391265416</v>
      </c>
      <c r="BZ84" s="5">
        <f t="shared" si="284"/>
        <v>14.536</v>
      </c>
      <c r="CA84" s="173">
        <f t="shared" si="285"/>
        <v>0.86573976880499204</v>
      </c>
      <c r="CB84" s="5">
        <f t="shared" si="286"/>
        <v>86.573976880499202</v>
      </c>
      <c r="CC84">
        <f t="shared" si="287"/>
        <v>79</v>
      </c>
      <c r="CE84" s="562">
        <f t="shared" si="221"/>
        <v>-50</v>
      </c>
      <c r="CF84">
        <f t="shared" si="222"/>
        <v>-50</v>
      </c>
      <c r="CG84" s="173">
        <f t="shared" si="223"/>
        <v>0.56500122953983245</v>
      </c>
      <c r="CH84" s="173">
        <f t="shared" si="224"/>
        <v>0.19741829216945347</v>
      </c>
      <c r="CI84" s="170">
        <v>79</v>
      </c>
      <c r="CJ84" s="217">
        <f t="shared" si="309"/>
        <v>0.79</v>
      </c>
      <c r="CK84" s="217">
        <f t="shared" si="288"/>
        <v>0.19750000000000001</v>
      </c>
      <c r="CL84" s="217">
        <f t="shared" si="225"/>
        <v>12.956</v>
      </c>
      <c r="CM84" s="217">
        <f t="shared" si="310"/>
        <v>1.58</v>
      </c>
      <c r="CN84" s="541">
        <f t="shared" si="289"/>
        <v>24</v>
      </c>
      <c r="CO84" s="443">
        <f t="shared" si="226"/>
        <v>17.099999999999998</v>
      </c>
      <c r="CP84" s="443">
        <f t="shared" si="227"/>
        <v>41.099999999999994</v>
      </c>
      <c r="CQ84" s="443"/>
      <c r="CR84" s="217">
        <f t="shared" si="228"/>
        <v>0.41176470588235292</v>
      </c>
      <c r="CS84" s="172">
        <f t="shared" si="290"/>
        <v>29.36061381074169</v>
      </c>
      <c r="CT84" s="172">
        <f t="shared" si="229"/>
        <v>4.0172166427546641</v>
      </c>
      <c r="CU84" s="217">
        <f t="shared" si="230"/>
        <v>1.7902813299232738</v>
      </c>
      <c r="CV84" s="217">
        <f t="shared" si="231"/>
        <v>3.6700767263427112</v>
      </c>
      <c r="CW84" s="443">
        <f t="shared" si="232"/>
        <v>16.399999999999999</v>
      </c>
      <c r="CX84" s="217">
        <f t="shared" si="233"/>
        <v>2.9418095238095234</v>
      </c>
      <c r="CY84" s="217">
        <f t="shared" si="234"/>
        <v>1.4709047619047617</v>
      </c>
      <c r="CZ84" s="217">
        <f t="shared" si="235"/>
        <v>2.0644277360066834</v>
      </c>
      <c r="DA84" s="197">
        <f t="shared" si="236"/>
        <v>350</v>
      </c>
      <c r="DB84" s="443">
        <f t="shared" si="291"/>
        <v>282.85882603426023</v>
      </c>
      <c r="DD84" s="217">
        <f t="shared" si="237"/>
        <v>2.377476538060479</v>
      </c>
      <c r="DE84" s="173">
        <f t="shared" si="238"/>
        <v>1.668404588112617</v>
      </c>
      <c r="DF84" s="173">
        <f t="shared" si="239"/>
        <v>0.69415373374028577</v>
      </c>
      <c r="DG84" s="173"/>
      <c r="DH84" s="173">
        <f t="shared" si="240"/>
        <v>0.93567251461988332</v>
      </c>
      <c r="DI84" s="545">
        <f t="shared" si="241"/>
        <v>1266.4687499999995</v>
      </c>
      <c r="DJ84" s="528">
        <f t="shared" si="242"/>
        <v>0.21832358674463945</v>
      </c>
      <c r="DL84" s="173">
        <f t="shared" si="243"/>
        <v>2.6309513035981418</v>
      </c>
      <c r="DM84" s="173">
        <f t="shared" si="244"/>
        <v>2.9418095238095234</v>
      </c>
      <c r="DN84" s="173">
        <f t="shared" si="245"/>
        <v>2.3914638447971779</v>
      </c>
      <c r="DP84" s="545">
        <f t="shared" si="246"/>
        <v>790</v>
      </c>
      <c r="DQ84" s="460">
        <f t="shared" si="247"/>
        <v>282.85882603426023</v>
      </c>
      <c r="DS84">
        <f t="shared" si="292"/>
        <v>790</v>
      </c>
      <c r="DT84">
        <f t="shared" si="248"/>
        <v>282.85882603426023</v>
      </c>
      <c r="DV84" s="5">
        <f t="shared" si="293"/>
        <v>3.5353324979114449</v>
      </c>
      <c r="DW84" s="5">
        <f t="shared" si="249"/>
        <v>1.4709047619047617</v>
      </c>
      <c r="DX84" s="5">
        <f t="shared" si="294"/>
        <v>2.0644277360066834</v>
      </c>
      <c r="DY84" s="173">
        <f t="shared" si="295"/>
        <v>0.41605839416058393</v>
      </c>
      <c r="EA84" s="5">
        <f t="shared" si="250"/>
        <v>7.0854558652729391</v>
      </c>
      <c r="EB84" s="5">
        <f t="shared" si="251"/>
        <v>3.6312961309523808</v>
      </c>
      <c r="EC84" s="5">
        <f t="shared" si="252"/>
        <v>0.92870575512856202</v>
      </c>
      <c r="ED84" s="5"/>
      <c r="EE84" s="173">
        <f t="shared" si="296"/>
        <v>1.0955471326255335</v>
      </c>
      <c r="EF84" s="173">
        <f t="shared" si="253"/>
        <v>1.2978922290858526</v>
      </c>
      <c r="EG84" s="173">
        <f t="shared" si="254"/>
        <v>0.31842119250169404</v>
      </c>
      <c r="EH84" s="173"/>
      <c r="EI84" s="528">
        <f t="shared" si="255"/>
        <v>2.4004470396080568E-2</v>
      </c>
      <c r="EJ84" s="528">
        <f t="shared" si="256"/>
        <v>0.68400000000000005</v>
      </c>
      <c r="EK84" s="528">
        <f t="shared" si="257"/>
        <v>3.5357353254282527E-2</v>
      </c>
      <c r="EL84" s="528">
        <f t="shared" si="258"/>
        <v>4.7780795752533259E-2</v>
      </c>
      <c r="EM84">
        <f t="shared" si="259"/>
        <v>1.0800000000000001E-2</v>
      </c>
      <c r="EN84" s="460">
        <f t="shared" si="297"/>
        <v>46.157353254282526</v>
      </c>
      <c r="EO84">
        <f t="shared" si="260"/>
        <v>0.81306108957295276</v>
      </c>
      <c r="EP84" s="460">
        <f t="shared" si="298"/>
        <v>813.06108957295271</v>
      </c>
      <c r="EQ84" s="173">
        <f t="shared" si="261"/>
        <v>0.49078749999999993</v>
      </c>
      <c r="ER84" s="173">
        <f t="shared" si="262"/>
        <v>8.7640625E-2</v>
      </c>
      <c r="ES84" s="528"/>
      <c r="EU84" s="460">
        <f t="shared" si="299"/>
        <v>578.42812499999991</v>
      </c>
      <c r="EV84" s="528">
        <f t="shared" si="263"/>
        <v>3.600670559412085E-2</v>
      </c>
      <c r="EW84" s="528">
        <f t="shared" si="300"/>
        <v>5.0535727149643293E-2</v>
      </c>
      <c r="EX84" s="528">
        <f t="shared" si="264"/>
        <v>5.0696027917100455E-4</v>
      </c>
      <c r="EY84" s="528">
        <f t="shared" si="265"/>
        <v>0.99869003111229349</v>
      </c>
      <c r="EZ84" s="528">
        <f t="shared" si="266"/>
        <v>1.1143918491856384</v>
      </c>
      <c r="FA84" s="625">
        <f t="shared" si="267"/>
        <v>1.2239645464025025E-2</v>
      </c>
      <c r="FB84" s="460">
        <f t="shared" si="301"/>
        <v>1126.6314946496634</v>
      </c>
      <c r="FC84" s="173">
        <f t="shared" si="302"/>
        <v>2.5181207092226159</v>
      </c>
      <c r="FD84" s="5">
        <f t="shared" si="303"/>
        <v>14.536</v>
      </c>
      <c r="FE84" s="173">
        <f t="shared" si="304"/>
        <v>0.85234532157023768</v>
      </c>
      <c r="FF84" s="5">
        <f t="shared" si="305"/>
        <v>85.234532157023764</v>
      </c>
      <c r="FG84">
        <f t="shared" si="306"/>
        <v>79</v>
      </c>
      <c r="FI84" s="562">
        <f t="shared" si="268"/>
        <v>-50</v>
      </c>
      <c r="FJ84">
        <f t="shared" si="269"/>
        <v>-50</v>
      </c>
      <c r="FL84">
        <f t="shared" si="270"/>
        <v>0.56500122953983234</v>
      </c>
    </row>
    <row r="85" spans="5:168">
      <c r="E85" s="170">
        <v>80</v>
      </c>
      <c r="F85" s="217">
        <f t="shared" si="307"/>
        <v>0.8</v>
      </c>
      <c r="G85" s="217">
        <f t="shared" si="271"/>
        <v>0.2</v>
      </c>
      <c r="H85" s="217">
        <f t="shared" si="176"/>
        <v>13.12</v>
      </c>
      <c r="I85" s="217">
        <f t="shared" si="308"/>
        <v>1.6</v>
      </c>
      <c r="J85" s="541">
        <f t="shared" si="177"/>
        <v>23.904024870896279</v>
      </c>
      <c r="K85" s="443">
        <f t="shared" si="178"/>
        <v>17.142477783667029</v>
      </c>
      <c r="L85" s="172">
        <f t="shared" si="179"/>
        <v>41.046502654563312</v>
      </c>
      <c r="M85" s="443"/>
      <c r="N85" s="217">
        <f t="shared" si="180"/>
        <v>0.41763552739032755</v>
      </c>
      <c r="O85" s="172">
        <f t="shared" si="272"/>
        <v>29.660142853770964</v>
      </c>
      <c r="P85" s="172">
        <f t="shared" si="181"/>
        <v>4.0581992006944212</v>
      </c>
      <c r="Q85" s="217">
        <f t="shared" si="182"/>
        <v>1.8085452959616444</v>
      </c>
      <c r="R85" s="217">
        <f t="shared" si="183"/>
        <v>3.7075178567213705</v>
      </c>
      <c r="S85" s="443">
        <f t="shared" si="184"/>
        <v>16.399999999999999</v>
      </c>
      <c r="T85" s="217">
        <f t="shared" si="185"/>
        <v>2.9489630949483518</v>
      </c>
      <c r="U85" s="217">
        <f t="shared" si="186"/>
        <v>1.48040161983204</v>
      </c>
      <c r="V85" s="217">
        <f t="shared" si="187"/>
        <v>2.0643198483883527</v>
      </c>
      <c r="W85" s="197">
        <f t="shared" si="188"/>
        <v>350</v>
      </c>
      <c r="X85" s="443">
        <f t="shared" si="273"/>
        <v>267.04255803442459</v>
      </c>
      <c r="Z85" s="217">
        <f t="shared" si="189"/>
        <v>2.3769452461210179</v>
      </c>
      <c r="AA85" s="173">
        <f t="shared" si="190"/>
        <v>1.6638984931704925</v>
      </c>
      <c r="AB85" s="173">
        <f t="shared" si="191"/>
        <v>0.69212423233966713</v>
      </c>
      <c r="AC85" s="173"/>
      <c r="AD85" s="173">
        <f t="shared" si="192"/>
        <v>0.93335398779075252</v>
      </c>
      <c r="AE85" s="545">
        <f t="shared" si="193"/>
        <v>1285.685833775027</v>
      </c>
      <c r="AF85" s="528">
        <f t="shared" si="194"/>
        <v>0.21778259715117559</v>
      </c>
      <c r="AH85" s="173">
        <f t="shared" si="195"/>
        <v>2.6475505301171891</v>
      </c>
      <c r="AI85" s="173">
        <f t="shared" si="196"/>
        <v>2.9489630949483518</v>
      </c>
      <c r="AJ85" s="173">
        <f t="shared" si="197"/>
        <v>2.3967627863814949</v>
      </c>
      <c r="AL85" s="545">
        <f t="shared" si="198"/>
        <v>800</v>
      </c>
      <c r="AM85" s="460">
        <f t="shared" si="199"/>
        <v>267.04255803442459</v>
      </c>
      <c r="AO85">
        <f t="shared" si="274"/>
        <v>800</v>
      </c>
      <c r="AP85">
        <f t="shared" si="200"/>
        <v>267.04255803442459</v>
      </c>
      <c r="AR85" s="5">
        <f t="shared" si="275"/>
        <v>3.7447214682203933</v>
      </c>
      <c r="AS85" s="5">
        <f t="shared" si="201"/>
        <v>1.48040161983204</v>
      </c>
      <c r="AT85" s="5">
        <f t="shared" si="276"/>
        <v>2.2643198483883533</v>
      </c>
      <c r="AU85" s="173">
        <f t="shared" si="277"/>
        <v>0.39533023547825369</v>
      </c>
      <c r="AW85" s="5">
        <f t="shared" si="202"/>
        <v>7.2214713162538544</v>
      </c>
      <c r="AX85" s="5">
        <f t="shared" si="203"/>
        <v>3.7010040495800998</v>
      </c>
      <c r="AY85" s="5">
        <f t="shared" si="204"/>
        <v>1.0356650735355604</v>
      </c>
      <c r="AZ85" s="5"/>
      <c r="BA85" s="173">
        <f t="shared" si="278"/>
        <v>1.0705050633197928</v>
      </c>
      <c r="BB85" s="173">
        <f t="shared" si="205"/>
        <v>1.3239385765696008</v>
      </c>
      <c r="BC85" s="173">
        <f t="shared" si="206"/>
        <v>0.32481132940229795</v>
      </c>
      <c r="BD85" s="173"/>
      <c r="BE85" s="528">
        <f t="shared" si="207"/>
        <v>2.2919621811866273E-2</v>
      </c>
      <c r="BF85" s="528">
        <f t="shared" si="208"/>
        <v>0.60607622555635732</v>
      </c>
      <c r="BG85" s="528">
        <f t="shared" si="209"/>
        <v>0.15958479872106621</v>
      </c>
      <c r="BH85" s="528">
        <f t="shared" si="210"/>
        <v>4.4991740893662494E-2</v>
      </c>
      <c r="BI85">
        <f t="shared" si="211"/>
        <v>1.0756811191903325E-2</v>
      </c>
      <c r="BJ85" s="460">
        <f t="shared" si="279"/>
        <v>170.34160991296955</v>
      </c>
      <c r="BK85">
        <f t="shared" si="212"/>
        <v>0.68390020295155907</v>
      </c>
      <c r="BL85" s="460">
        <f t="shared" si="280"/>
        <v>683.90020295155909</v>
      </c>
      <c r="BM85" s="173">
        <f t="shared" si="213"/>
        <v>0.49699999999999994</v>
      </c>
      <c r="BN85" s="173">
        <f t="shared" si="214"/>
        <v>8.8749999999999996E-2</v>
      </c>
      <c r="BO85" s="528"/>
      <c r="BQ85" s="460">
        <f t="shared" si="281"/>
        <v>585.75</v>
      </c>
      <c r="BR85" s="528">
        <f t="shared" si="215"/>
        <v>3.4379432717799412E-2</v>
      </c>
      <c r="BS85" s="528">
        <f t="shared" si="216"/>
        <v>5.2584400635874218E-2</v>
      </c>
      <c r="BT85" s="528">
        <f t="shared" si="217"/>
        <v>5.2751199854044058E-4</v>
      </c>
      <c r="BU85" s="528">
        <f t="shared" si="218"/>
        <v>0.87015084658013842</v>
      </c>
      <c r="BV85" s="528">
        <f t="shared" si="219"/>
        <v>0.98553819985700297</v>
      </c>
      <c r="BW85" s="625">
        <f t="shared" si="220"/>
        <v>1.1611522257622207E-2</v>
      </c>
      <c r="BX85" s="460">
        <f t="shared" si="282"/>
        <v>997.14972211462521</v>
      </c>
      <c r="BY85" s="173">
        <f t="shared" si="283"/>
        <v>2.2667999250661843</v>
      </c>
      <c r="BZ85" s="5">
        <f t="shared" si="284"/>
        <v>14.719999999999999</v>
      </c>
      <c r="CA85" s="173">
        <f t="shared" si="285"/>
        <v>0.86655521139557112</v>
      </c>
      <c r="CB85" s="5">
        <f t="shared" si="286"/>
        <v>86.655521139557109</v>
      </c>
      <c r="CC85">
        <f t="shared" si="287"/>
        <v>80</v>
      </c>
      <c r="CE85" s="562">
        <f t="shared" si="221"/>
        <v>-50</v>
      </c>
      <c r="CF85">
        <f t="shared" si="222"/>
        <v>-50</v>
      </c>
      <c r="CG85" s="173">
        <f t="shared" si="223"/>
        <v>0.56500122953983245</v>
      </c>
      <c r="CH85" s="173">
        <f t="shared" si="224"/>
        <v>0.19741829216945347</v>
      </c>
      <c r="CI85" s="170">
        <v>80</v>
      </c>
      <c r="CJ85" s="217">
        <f t="shared" si="309"/>
        <v>0.8</v>
      </c>
      <c r="CK85" s="217">
        <f t="shared" si="288"/>
        <v>0.2</v>
      </c>
      <c r="CL85" s="217">
        <f t="shared" si="225"/>
        <v>13.12</v>
      </c>
      <c r="CM85" s="217">
        <f t="shared" si="310"/>
        <v>1.6</v>
      </c>
      <c r="CN85" s="541">
        <f t="shared" si="289"/>
        <v>24</v>
      </c>
      <c r="CO85" s="443">
        <f t="shared" si="226"/>
        <v>17.099999999999998</v>
      </c>
      <c r="CP85" s="443">
        <f t="shared" si="227"/>
        <v>41.099999999999994</v>
      </c>
      <c r="CQ85" s="443"/>
      <c r="CR85" s="217">
        <f t="shared" si="228"/>
        <v>0.41176470588235292</v>
      </c>
      <c r="CS85" s="172">
        <f t="shared" si="290"/>
        <v>29.36061381074169</v>
      </c>
      <c r="CT85" s="172">
        <f t="shared" si="229"/>
        <v>4.0172166427546641</v>
      </c>
      <c r="CU85" s="217">
        <f t="shared" si="230"/>
        <v>1.7902813299232738</v>
      </c>
      <c r="CV85" s="217">
        <f t="shared" si="231"/>
        <v>3.6700767263427112</v>
      </c>
      <c r="CW85" s="443">
        <f t="shared" si="232"/>
        <v>16.399999999999999</v>
      </c>
      <c r="CX85" s="217">
        <f t="shared" si="233"/>
        <v>2.9790476190476185</v>
      </c>
      <c r="CY85" s="217">
        <f t="shared" si="234"/>
        <v>1.4895238095238095</v>
      </c>
      <c r="CZ85" s="217">
        <f t="shared" si="235"/>
        <v>2.0905597326649956</v>
      </c>
      <c r="DA85" s="197">
        <f t="shared" si="236"/>
        <v>350</v>
      </c>
      <c r="DB85" s="443">
        <f t="shared" si="291"/>
        <v>279.32309070883196</v>
      </c>
      <c r="DD85" s="217">
        <f t="shared" si="237"/>
        <v>2.377476538060479</v>
      </c>
      <c r="DE85" s="173">
        <f t="shared" si="238"/>
        <v>1.668404588112617</v>
      </c>
      <c r="DF85" s="173">
        <f t="shared" si="239"/>
        <v>0.69415373374028577</v>
      </c>
      <c r="DG85" s="173"/>
      <c r="DH85" s="173">
        <f t="shared" si="240"/>
        <v>0.93567251461988332</v>
      </c>
      <c r="DI85" s="545">
        <f t="shared" si="241"/>
        <v>1282.4999999999995</v>
      </c>
      <c r="DJ85" s="528">
        <f t="shared" si="242"/>
        <v>0.21832358674463945</v>
      </c>
      <c r="DL85" s="173">
        <f t="shared" si="243"/>
        <v>2.6475505301171891</v>
      </c>
      <c r="DM85" s="173">
        <f t="shared" si="244"/>
        <v>2.9790476190476185</v>
      </c>
      <c r="DN85" s="173">
        <f t="shared" si="245"/>
        <v>2.4190476190476184</v>
      </c>
      <c r="DP85" s="545">
        <f t="shared" si="246"/>
        <v>800</v>
      </c>
      <c r="DQ85" s="460">
        <f t="shared" si="247"/>
        <v>279.32309070883196</v>
      </c>
      <c r="DS85">
        <f t="shared" si="292"/>
        <v>800</v>
      </c>
      <c r="DT85">
        <f t="shared" si="248"/>
        <v>279.32309070883196</v>
      </c>
      <c r="DV85" s="5">
        <f t="shared" si="293"/>
        <v>3.5800835421888051</v>
      </c>
      <c r="DW85" s="5">
        <f t="shared" si="249"/>
        <v>1.4895238095238095</v>
      </c>
      <c r="DX85" s="5">
        <f t="shared" si="294"/>
        <v>2.0905597326649956</v>
      </c>
      <c r="DY85" s="173">
        <f t="shared" si="295"/>
        <v>0.41605839416058393</v>
      </c>
      <c r="EA85" s="5">
        <f t="shared" si="250"/>
        <v>7.26596980255517</v>
      </c>
      <c r="EB85" s="5">
        <f t="shared" si="251"/>
        <v>3.7238095238095239</v>
      </c>
      <c r="EC85" s="5">
        <f t="shared" si="252"/>
        <v>0.95236610043627545</v>
      </c>
      <c r="ED85" s="5"/>
      <c r="EE85" s="173">
        <f t="shared" si="296"/>
        <v>1.1094148178486416</v>
      </c>
      <c r="EF85" s="173">
        <f t="shared" si="253"/>
        <v>1.3143212446439012</v>
      </c>
      <c r="EG85" s="173">
        <f t="shared" si="254"/>
        <v>0.3224518405080446</v>
      </c>
      <c r="EH85" s="173"/>
      <c r="EI85" s="528">
        <f t="shared" si="255"/>
        <v>2.4616024761242694E-2</v>
      </c>
      <c r="EJ85" s="528">
        <f t="shared" si="256"/>
        <v>0.68399999999999983</v>
      </c>
      <c r="EK85" s="528">
        <f t="shared" si="257"/>
        <v>3.4915386338603992E-2</v>
      </c>
      <c r="EL85" s="528">
        <f t="shared" si="258"/>
        <v>4.7183535805626592E-2</v>
      </c>
      <c r="EM85">
        <f t="shared" si="259"/>
        <v>1.0800000000000001E-2</v>
      </c>
      <c r="EN85" s="460">
        <f t="shared" si="297"/>
        <v>45.715386338603992</v>
      </c>
      <c r="EO85">
        <f t="shared" si="260"/>
        <v>0.81291582925982009</v>
      </c>
      <c r="EP85" s="460">
        <f t="shared" si="298"/>
        <v>812.91582925982004</v>
      </c>
      <c r="EQ85" s="173">
        <f t="shared" si="261"/>
        <v>0.49699999999999994</v>
      </c>
      <c r="ER85" s="173">
        <f t="shared" si="262"/>
        <v>8.8749999999999996E-2</v>
      </c>
      <c r="ES85" s="528"/>
      <c r="EU85" s="460">
        <f t="shared" si="299"/>
        <v>585.75</v>
      </c>
      <c r="EV85" s="528">
        <f t="shared" si="263"/>
        <v>3.6924037141864041E-2</v>
      </c>
      <c r="EW85" s="528">
        <f t="shared" si="300"/>
        <v>5.1823210023668811E-2</v>
      </c>
      <c r="EX85" s="528">
        <f t="shared" si="264"/>
        <v>5.1987594723512719E-4</v>
      </c>
      <c r="EY85" s="528">
        <f t="shared" si="265"/>
        <v>0.99869003111229437</v>
      </c>
      <c r="EZ85" s="528">
        <f t="shared" si="266"/>
        <v>1.1173607501436829</v>
      </c>
      <c r="FA85" s="625">
        <f t="shared" si="267"/>
        <v>1.239457768508863E-2</v>
      </c>
      <c r="FB85" s="460">
        <f t="shared" si="301"/>
        <v>1129.7553278287714</v>
      </c>
      <c r="FC85" s="173">
        <f t="shared" si="302"/>
        <v>2.5284211570885917</v>
      </c>
      <c r="FD85" s="5">
        <f t="shared" si="303"/>
        <v>14.719999999999999</v>
      </c>
      <c r="FE85" s="173">
        <f t="shared" si="304"/>
        <v>0.85341144362946608</v>
      </c>
      <c r="FF85" s="5">
        <f t="shared" si="305"/>
        <v>85.341144362946608</v>
      </c>
      <c r="FG85">
        <f t="shared" si="306"/>
        <v>80</v>
      </c>
      <c r="FI85" s="562">
        <f t="shared" si="268"/>
        <v>-50</v>
      </c>
      <c r="FJ85">
        <f t="shared" si="269"/>
        <v>-50</v>
      </c>
      <c r="FL85">
        <f t="shared" si="270"/>
        <v>0.56500122953983234</v>
      </c>
    </row>
    <row r="86" spans="5:168">
      <c r="E86" s="170">
        <v>81</v>
      </c>
      <c r="F86" s="217">
        <f t="shared" si="307"/>
        <v>0.81</v>
      </c>
      <c r="G86" s="217">
        <f t="shared" si="271"/>
        <v>0.20250000000000001</v>
      </c>
      <c r="H86" s="217">
        <f t="shared" si="176"/>
        <v>13.283999999999999</v>
      </c>
      <c r="I86" s="217">
        <f t="shared" si="308"/>
        <v>1.62</v>
      </c>
      <c r="J86" s="541">
        <f t="shared" si="177"/>
        <v>23.902825181782482</v>
      </c>
      <c r="K86" s="443">
        <f t="shared" si="178"/>
        <v>17.143008755962867</v>
      </c>
      <c r="L86" s="172">
        <f t="shared" si="179"/>
        <v>41.04583393774535</v>
      </c>
      <c r="M86" s="443"/>
      <c r="N86" s="217">
        <f t="shared" si="180"/>
        <v>0.41765526757146293</v>
      </c>
      <c r="O86" s="172">
        <f t="shared" si="272"/>
        <v>29.660056139671148</v>
      </c>
      <c r="P86" s="172">
        <f t="shared" si="181"/>
        <v>4.0581873361834413</v>
      </c>
      <c r="Q86" s="217">
        <f t="shared" si="182"/>
        <v>1.8085400085165335</v>
      </c>
      <c r="R86" s="217">
        <f t="shared" si="183"/>
        <v>3.7075070174588936</v>
      </c>
      <c r="S86" s="443">
        <f t="shared" si="184"/>
        <v>16.399999999999999</v>
      </c>
      <c r="T86" s="217">
        <f t="shared" si="185"/>
        <v>2.9858338629895087</v>
      </c>
      <c r="U86" s="217">
        <f t="shared" si="186"/>
        <v>1.4989862530217521</v>
      </c>
      <c r="V86" s="217">
        <f t="shared" si="187"/>
        <v>2.0900652193513771</v>
      </c>
      <c r="W86" s="197">
        <f t="shared" si="188"/>
        <v>350</v>
      </c>
      <c r="X86" s="443">
        <f t="shared" si="273"/>
        <v>263.91829387677535</v>
      </c>
      <c r="Z86" s="217">
        <f t="shared" si="189"/>
        <v>2.376938296907444</v>
      </c>
      <c r="AA86" s="173">
        <f t="shared" si="190"/>
        <v>1.6638420926529631</v>
      </c>
      <c r="AB86" s="173">
        <f t="shared" si="191"/>
        <v>0.69209874825585405</v>
      </c>
      <c r="AC86" s="173"/>
      <c r="AD86" s="173">
        <f t="shared" si="192"/>
        <v>0.9333250789150247</v>
      </c>
      <c r="AE86" s="545">
        <f t="shared" si="193"/>
        <v>1301.7972274059302</v>
      </c>
      <c r="AF86" s="528">
        <f t="shared" si="194"/>
        <v>0.21777585174683908</v>
      </c>
      <c r="AH86" s="173">
        <f t="shared" si="195"/>
        <v>2.6640463316434375</v>
      </c>
      <c r="AI86" s="173">
        <f t="shared" si="196"/>
        <v>2.9858338629895087</v>
      </c>
      <c r="AJ86" s="173">
        <f t="shared" si="197"/>
        <v>2.424074466411982</v>
      </c>
      <c r="AL86" s="545">
        <f t="shared" si="198"/>
        <v>810</v>
      </c>
      <c r="AM86" s="460">
        <f t="shared" si="199"/>
        <v>263.91829387677535</v>
      </c>
      <c r="AO86">
        <f t="shared" si="274"/>
        <v>810</v>
      </c>
      <c r="AP86">
        <f t="shared" si="200"/>
        <v>263.91829387677535</v>
      </c>
      <c r="AR86" s="5">
        <f t="shared" si="275"/>
        <v>3.7890514723731297</v>
      </c>
      <c r="AS86" s="5">
        <f t="shared" si="201"/>
        <v>1.4989862530217521</v>
      </c>
      <c r="AT86" s="5">
        <f t="shared" si="276"/>
        <v>2.2900652193513773</v>
      </c>
      <c r="AU86" s="173">
        <f t="shared" si="277"/>
        <v>0.39560989444224115</v>
      </c>
      <c r="AW86" s="5">
        <f t="shared" si="202"/>
        <v>7.4035296643147532</v>
      </c>
      <c r="AX86" s="5">
        <f t="shared" si="203"/>
        <v>3.7943089529613103</v>
      </c>
      <c r="AY86" s="5">
        <f t="shared" si="204"/>
        <v>1.0605868463423731</v>
      </c>
      <c r="AZ86" s="5"/>
      <c r="BA86" s="173">
        <f t="shared" si="278"/>
        <v>1.0842728526447463</v>
      </c>
      <c r="BB86" s="173">
        <f t="shared" si="205"/>
        <v>1.3401817041515585</v>
      </c>
      <c r="BC86" s="173">
        <f t="shared" si="206"/>
        <v>0.32879637218065494</v>
      </c>
      <c r="BD86" s="173"/>
      <c r="BE86" s="528">
        <f t="shared" si="207"/>
        <v>2.3512952379647515E-2</v>
      </c>
      <c r="BF86" s="528">
        <f t="shared" si="208"/>
        <v>0.60646464787864374</v>
      </c>
      <c r="BG86" s="528">
        <f t="shared" si="209"/>
        <v>0.15770982102027137</v>
      </c>
      <c r="BH86" s="528">
        <f t="shared" si="210"/>
        <v>4.4463911243459088E-2</v>
      </c>
      <c r="BI86">
        <f t="shared" si="211"/>
        <v>1.0756271331802117E-2</v>
      </c>
      <c r="BJ86" s="460">
        <f t="shared" si="279"/>
        <v>168.4660923520735</v>
      </c>
      <c r="BK86">
        <f t="shared" si="212"/>
        <v>0.68461473034444653</v>
      </c>
      <c r="BL86" s="460">
        <f t="shared" si="280"/>
        <v>684.61473034444657</v>
      </c>
      <c r="BM86" s="173">
        <f t="shared" si="213"/>
        <v>0.50321249999999995</v>
      </c>
      <c r="BN86" s="173">
        <f t="shared" si="214"/>
        <v>8.9859375000000005E-2</v>
      </c>
      <c r="BO86" s="528"/>
      <c r="BQ86" s="460">
        <f t="shared" si="281"/>
        <v>593.07187499999986</v>
      </c>
      <c r="BR86" s="528">
        <f t="shared" si="215"/>
        <v>3.5269428569471267E-2</v>
      </c>
      <c r="BS86" s="528">
        <f t="shared" si="216"/>
        <v>5.3882610004277257E-2</v>
      </c>
      <c r="BT86" s="528">
        <f t="shared" si="217"/>
        <v>5.4053527179579884E-4</v>
      </c>
      <c r="BU86" s="528">
        <f t="shared" si="218"/>
        <v>0.87158117152635595</v>
      </c>
      <c r="BV86" s="528">
        <f t="shared" si="219"/>
        <v>0.98990291834310351</v>
      </c>
      <c r="BW86" s="625">
        <f t="shared" si="220"/>
        <v>1.1764426958010088E-2</v>
      </c>
      <c r="BX86" s="460">
        <f t="shared" si="282"/>
        <v>1001.6673453011135</v>
      </c>
      <c r="BY86" s="173">
        <f t="shared" si="283"/>
        <v>2.2793539506455605</v>
      </c>
      <c r="BZ86" s="5">
        <f t="shared" si="284"/>
        <v>14.904</v>
      </c>
      <c r="CA86" s="173">
        <f t="shared" si="285"/>
        <v>0.86735104466844037</v>
      </c>
      <c r="CB86" s="5">
        <f t="shared" si="286"/>
        <v>86.735104466844035</v>
      </c>
      <c r="CC86">
        <f t="shared" si="287"/>
        <v>81</v>
      </c>
      <c r="CE86" s="562">
        <f t="shared" si="221"/>
        <v>-50</v>
      </c>
      <c r="CF86">
        <f t="shared" si="222"/>
        <v>-50</v>
      </c>
      <c r="CG86" s="173">
        <f t="shared" si="223"/>
        <v>0.56500122953983234</v>
      </c>
      <c r="CH86" s="173">
        <f t="shared" si="224"/>
        <v>0.19741829216945345</v>
      </c>
      <c r="CI86" s="170">
        <v>81</v>
      </c>
      <c r="CJ86" s="217">
        <f t="shared" si="309"/>
        <v>0.81</v>
      </c>
      <c r="CK86" s="217">
        <f t="shared" si="288"/>
        <v>0.20250000000000001</v>
      </c>
      <c r="CL86" s="217">
        <f t="shared" si="225"/>
        <v>13.283999999999999</v>
      </c>
      <c r="CM86" s="217">
        <f t="shared" si="310"/>
        <v>1.62</v>
      </c>
      <c r="CN86" s="541">
        <f t="shared" si="289"/>
        <v>24</v>
      </c>
      <c r="CO86" s="443">
        <f t="shared" si="226"/>
        <v>17.099999999999998</v>
      </c>
      <c r="CP86" s="443">
        <f t="shared" si="227"/>
        <v>41.099999999999994</v>
      </c>
      <c r="CQ86" s="443"/>
      <c r="CR86" s="217">
        <f t="shared" si="228"/>
        <v>0.41176470588235292</v>
      </c>
      <c r="CS86" s="172">
        <f t="shared" si="290"/>
        <v>29.36061381074169</v>
      </c>
      <c r="CT86" s="172">
        <f t="shared" si="229"/>
        <v>4.0172166427546641</v>
      </c>
      <c r="CU86" s="217">
        <f t="shared" si="230"/>
        <v>1.7902813299232738</v>
      </c>
      <c r="CV86" s="217">
        <f t="shared" si="231"/>
        <v>3.6700767263427112</v>
      </c>
      <c r="CW86" s="443">
        <f t="shared" si="232"/>
        <v>16.399999999999999</v>
      </c>
      <c r="CX86" s="217">
        <f t="shared" si="233"/>
        <v>3.016285714285714</v>
      </c>
      <c r="CY86" s="217">
        <f t="shared" si="234"/>
        <v>1.5081428571428572</v>
      </c>
      <c r="CZ86" s="217">
        <f t="shared" si="235"/>
        <v>2.1166917293233087</v>
      </c>
      <c r="DA86" s="197">
        <f t="shared" si="236"/>
        <v>350</v>
      </c>
      <c r="DB86" s="443">
        <f t="shared" si="291"/>
        <v>275.8746574902043</v>
      </c>
      <c r="DD86" s="217">
        <f t="shared" si="237"/>
        <v>2.377476538060479</v>
      </c>
      <c r="DE86" s="173">
        <f t="shared" si="238"/>
        <v>1.668404588112617</v>
      </c>
      <c r="DF86" s="173">
        <f t="shared" si="239"/>
        <v>0.69415373374028577</v>
      </c>
      <c r="DG86" s="173"/>
      <c r="DH86" s="173">
        <f t="shared" si="240"/>
        <v>0.93567251461988332</v>
      </c>
      <c r="DI86" s="545">
        <f t="shared" si="241"/>
        <v>1298.5312499999995</v>
      </c>
      <c r="DJ86" s="528">
        <f t="shared" si="242"/>
        <v>0.21832358674463945</v>
      </c>
      <c r="DL86" s="173">
        <f t="shared" si="243"/>
        <v>2.6640463316434375</v>
      </c>
      <c r="DM86" s="173">
        <f t="shared" si="244"/>
        <v>3.016285714285714</v>
      </c>
      <c r="DN86" s="173">
        <f t="shared" si="245"/>
        <v>2.4466313932980599</v>
      </c>
      <c r="DP86" s="545">
        <f t="shared" si="246"/>
        <v>810</v>
      </c>
      <c r="DQ86" s="460">
        <f t="shared" si="247"/>
        <v>275.8746574902043</v>
      </c>
      <c r="DS86">
        <f t="shared" si="292"/>
        <v>810</v>
      </c>
      <c r="DT86">
        <f t="shared" si="248"/>
        <v>275.8746574902043</v>
      </c>
      <c r="DV86" s="5">
        <f t="shared" si="293"/>
        <v>3.6248345864661662</v>
      </c>
      <c r="DW86" s="5">
        <f t="shared" si="249"/>
        <v>1.5081428571428572</v>
      </c>
      <c r="DX86" s="5">
        <f t="shared" si="294"/>
        <v>2.1166917293233087</v>
      </c>
      <c r="DY86" s="173">
        <f t="shared" si="295"/>
        <v>0.41605839416058388</v>
      </c>
      <c r="EA86" s="5">
        <f t="shared" si="250"/>
        <v>7.4487543554006983</v>
      </c>
      <c r="EB86" s="5">
        <f t="shared" si="251"/>
        <v>3.8174866071428575</v>
      </c>
      <c r="EC86" s="5">
        <f t="shared" si="252"/>
        <v>0.97632406015037587</v>
      </c>
      <c r="ED86" s="5"/>
      <c r="EE86" s="173">
        <f t="shared" si="296"/>
        <v>1.1232825030717495</v>
      </c>
      <c r="EF86" s="173">
        <f t="shared" si="253"/>
        <v>1.3307502602019503</v>
      </c>
      <c r="EG86" s="173">
        <f t="shared" si="254"/>
        <v>0.32648248851439521</v>
      </c>
      <c r="EH86" s="173"/>
      <c r="EI86" s="528">
        <f t="shared" si="255"/>
        <v>2.5235271634142697E-2</v>
      </c>
      <c r="EJ86" s="528">
        <f t="shared" si="256"/>
        <v>0.68399999999999972</v>
      </c>
      <c r="EK86" s="528">
        <f t="shared" si="257"/>
        <v>3.4484332186275536E-2</v>
      </c>
      <c r="EL86" s="528">
        <f t="shared" si="258"/>
        <v>4.6601023017902789E-2</v>
      </c>
      <c r="EM86">
        <f t="shared" si="259"/>
        <v>1.0800000000000001E-2</v>
      </c>
      <c r="EN86" s="460">
        <f t="shared" si="297"/>
        <v>45.284332186275535</v>
      </c>
      <c r="EO86">
        <f t="shared" si="260"/>
        <v>0.81280766409180494</v>
      </c>
      <c r="EP86" s="460">
        <f t="shared" si="298"/>
        <v>812.8076640918049</v>
      </c>
      <c r="EQ86" s="173">
        <f t="shared" si="261"/>
        <v>0.50321249999999995</v>
      </c>
      <c r="ER86" s="173">
        <f t="shared" si="262"/>
        <v>8.9859375000000005E-2</v>
      </c>
      <c r="ES86" s="528"/>
      <c r="EU86" s="460">
        <f t="shared" si="299"/>
        <v>593.07187499999986</v>
      </c>
      <c r="EV86" s="528">
        <f t="shared" si="263"/>
        <v>3.7852907451214043E-2</v>
      </c>
      <c r="EW86" s="528">
        <f t="shared" si="300"/>
        <v>5.3126887650826751E-2</v>
      </c>
      <c r="EX86" s="528">
        <f t="shared" si="264"/>
        <v>5.3295407653276101E-4</v>
      </c>
      <c r="EY86" s="528">
        <f t="shared" si="265"/>
        <v>0.99869003111229215</v>
      </c>
      <c r="EZ86" s="528">
        <f t="shared" si="266"/>
        <v>1.1203680771200568</v>
      </c>
      <c r="FA86" s="625">
        <f t="shared" si="267"/>
        <v>1.2549509906152237E-2</v>
      </c>
      <c r="FB86" s="460">
        <f t="shared" si="301"/>
        <v>1132.917587026209</v>
      </c>
      <c r="FC86" s="173">
        <f t="shared" si="302"/>
        <v>2.538797126118014</v>
      </c>
      <c r="FD86" s="5">
        <f t="shared" si="303"/>
        <v>14.904</v>
      </c>
      <c r="FE86" s="173">
        <f t="shared" si="304"/>
        <v>0.85445011440759466</v>
      </c>
      <c r="FF86" s="5">
        <f t="shared" si="305"/>
        <v>85.445011440759473</v>
      </c>
      <c r="FG86">
        <f t="shared" si="306"/>
        <v>81</v>
      </c>
      <c r="FI86" s="562">
        <f t="shared" si="268"/>
        <v>-50</v>
      </c>
      <c r="FJ86">
        <f t="shared" si="269"/>
        <v>-50</v>
      </c>
      <c r="FL86">
        <f t="shared" si="270"/>
        <v>0.56500122953983234</v>
      </c>
    </row>
    <row r="87" spans="5:168">
      <c r="E87" s="170">
        <v>82</v>
      </c>
      <c r="F87" s="217">
        <f t="shared" si="307"/>
        <v>0.82</v>
      </c>
      <c r="G87" s="217">
        <f t="shared" si="271"/>
        <v>0.20499999999999999</v>
      </c>
      <c r="H87" s="217">
        <f t="shared" si="176"/>
        <v>13.447999999999999</v>
      </c>
      <c r="I87" s="217">
        <f t="shared" si="308"/>
        <v>1.64</v>
      </c>
      <c r="J87" s="541">
        <f t="shared" si="177"/>
        <v>23.901625492668686</v>
      </c>
      <c r="K87" s="443">
        <f t="shared" si="178"/>
        <v>17.143539728258705</v>
      </c>
      <c r="L87" s="172">
        <f t="shared" si="179"/>
        <v>41.045165220927387</v>
      </c>
      <c r="M87" s="443"/>
      <c r="N87" s="217">
        <f t="shared" si="180"/>
        <v>0.41767500839582095</v>
      </c>
      <c r="O87" s="172">
        <f t="shared" si="272"/>
        <v>29.659969330528309</v>
      </c>
      <c r="P87" s="172">
        <f t="shared" si="181"/>
        <v>4.0581754586683587</v>
      </c>
      <c r="Q87" s="217">
        <f t="shared" si="182"/>
        <v>1.8085347152761166</v>
      </c>
      <c r="R87" s="217">
        <f t="shared" si="183"/>
        <v>3.7074961663160386</v>
      </c>
      <c r="S87" s="443">
        <f t="shared" si="184"/>
        <v>16.399999999999999</v>
      </c>
      <c r="T87" s="217">
        <f t="shared" si="185"/>
        <v>3.022704856307969</v>
      </c>
      <c r="U87" s="217">
        <f t="shared" si="186"/>
        <v>1.5175728649426556</v>
      </c>
      <c r="V87" s="217">
        <f t="shared" si="187"/>
        <v>2.1158091532232173</v>
      </c>
      <c r="W87" s="197">
        <f t="shared" si="188"/>
        <v>350</v>
      </c>
      <c r="X87" s="443">
        <f t="shared" si="273"/>
        <v>260.86625211396534</v>
      </c>
      <c r="Z87" s="217">
        <f t="shared" si="189"/>
        <v>2.376931340077181</v>
      </c>
      <c r="AA87" s="173">
        <f t="shared" si="190"/>
        <v>1.6637856902976544</v>
      </c>
      <c r="AB87" s="173">
        <f t="shared" si="191"/>
        <v>0.69207326132707725</v>
      </c>
      <c r="AC87" s="173"/>
      <c r="AD87" s="173">
        <f t="shared" si="192"/>
        <v>0.93329617183003699</v>
      </c>
      <c r="AE87" s="545">
        <f t="shared" si="193"/>
        <v>1317.9096166098875</v>
      </c>
      <c r="AF87" s="528">
        <f t="shared" si="194"/>
        <v>0.217769106760342</v>
      </c>
      <c r="AH87" s="173">
        <f t="shared" si="195"/>
        <v>2.6804406176526099</v>
      </c>
      <c r="AI87" s="173">
        <f t="shared" si="196"/>
        <v>3.022704856307969</v>
      </c>
      <c r="AJ87" s="173">
        <f t="shared" si="197"/>
        <v>2.4513863133145448</v>
      </c>
      <c r="AL87" s="545">
        <f t="shared" si="198"/>
        <v>820</v>
      </c>
      <c r="AM87" s="460">
        <f t="shared" si="199"/>
        <v>260.86625211396534</v>
      </c>
      <c r="AO87">
        <f t="shared" si="274"/>
        <v>820</v>
      </c>
      <c r="AP87">
        <f t="shared" si="200"/>
        <v>260.86625211396534</v>
      </c>
      <c r="AR87" s="5">
        <f t="shared" si="275"/>
        <v>3.8333820181658735</v>
      </c>
      <c r="AS87" s="5">
        <f t="shared" si="201"/>
        <v>1.5175728649426556</v>
      </c>
      <c r="AT87" s="5">
        <f t="shared" si="276"/>
        <v>2.3158091532232179</v>
      </c>
      <c r="AU87" s="173">
        <f t="shared" si="277"/>
        <v>0.39588354558744349</v>
      </c>
      <c r="AW87" s="5">
        <f t="shared" si="202"/>
        <v>7.5878643247132782</v>
      </c>
      <c r="AX87" s="5">
        <f t="shared" si="203"/>
        <v>3.8887804664155547</v>
      </c>
      <c r="AY87" s="5">
        <f t="shared" si="204"/>
        <v>1.0858048651021064</v>
      </c>
      <c r="AZ87" s="5"/>
      <c r="BA87" s="173">
        <f t="shared" si="278"/>
        <v>1.098041721507736</v>
      </c>
      <c r="BB87" s="173">
        <f t="shared" si="205"/>
        <v>1.3564239482099936</v>
      </c>
      <c r="BC87" s="173">
        <f t="shared" si="206"/>
        <v>0.33278119819786056</v>
      </c>
      <c r="BD87" s="173"/>
      <c r="BE87" s="528">
        <f t="shared" si="207"/>
        <v>2.4113912443433451E-2</v>
      </c>
      <c r="BF87" s="528">
        <f t="shared" si="208"/>
        <v>0.60684380489598488</v>
      </c>
      <c r="BG87" s="528">
        <f t="shared" si="209"/>
        <v>0.15587818654260224</v>
      </c>
      <c r="BH87" s="528">
        <f t="shared" si="210"/>
        <v>4.3948283266046481E-2</v>
      </c>
      <c r="BI87">
        <f t="shared" si="211"/>
        <v>1.0755731471700909E-2</v>
      </c>
      <c r="BJ87" s="460">
        <f t="shared" si="279"/>
        <v>166.63391801430316</v>
      </c>
      <c r="BK87">
        <f t="shared" si="212"/>
        <v>0.68534340844571062</v>
      </c>
      <c r="BL87" s="460">
        <f t="shared" si="280"/>
        <v>685.34340844571057</v>
      </c>
      <c r="BM87" s="173">
        <f t="shared" si="213"/>
        <v>0.50942499999999991</v>
      </c>
      <c r="BN87" s="173">
        <f t="shared" si="214"/>
        <v>9.0968749999999987E-2</v>
      </c>
      <c r="BO87" s="528"/>
      <c r="BQ87" s="460">
        <f t="shared" si="281"/>
        <v>600.39374999999984</v>
      </c>
      <c r="BR87" s="528">
        <f t="shared" si="215"/>
        <v>3.6170868665150173E-2</v>
      </c>
      <c r="BS87" s="528">
        <f t="shared" si="216"/>
        <v>5.5196577818327618E-2</v>
      </c>
      <c r="BT87" s="528">
        <f t="shared" si="217"/>
        <v>5.5371662937001877E-4</v>
      </c>
      <c r="BU87" s="528">
        <f t="shared" si="218"/>
        <v>0.87297963082988406</v>
      </c>
      <c r="BV87" s="528">
        <f t="shared" si="219"/>
        <v>0.99427345488382735</v>
      </c>
      <c r="BW87" s="625">
        <f t="shared" si="220"/>
        <v>1.1917341664684078E-2</v>
      </c>
      <c r="BX87" s="460">
        <f t="shared" si="282"/>
        <v>1006.1907965485115</v>
      </c>
      <c r="BY87" s="173">
        <f t="shared" si="283"/>
        <v>2.2919279549942217</v>
      </c>
      <c r="BZ87" s="5">
        <f t="shared" si="284"/>
        <v>15.087999999999999</v>
      </c>
      <c r="CA87" s="173">
        <f t="shared" si="285"/>
        <v>0.86812787941761149</v>
      </c>
      <c r="CB87" s="5">
        <f t="shared" si="286"/>
        <v>86.812787941761144</v>
      </c>
      <c r="CC87">
        <f t="shared" si="287"/>
        <v>82</v>
      </c>
      <c r="CE87" s="562">
        <f t="shared" si="221"/>
        <v>-50</v>
      </c>
      <c r="CF87">
        <f t="shared" si="222"/>
        <v>-50</v>
      </c>
      <c r="CG87" s="173">
        <f t="shared" si="223"/>
        <v>0.56500122953983223</v>
      </c>
      <c r="CH87" s="173">
        <f t="shared" si="224"/>
        <v>0.19741829216945342</v>
      </c>
      <c r="CI87" s="170">
        <v>82</v>
      </c>
      <c r="CJ87" s="217">
        <f t="shared" si="309"/>
        <v>0.82</v>
      </c>
      <c r="CK87" s="217">
        <f t="shared" si="288"/>
        <v>0.20499999999999999</v>
      </c>
      <c r="CL87" s="217">
        <f t="shared" si="225"/>
        <v>13.447999999999999</v>
      </c>
      <c r="CM87" s="217">
        <f t="shared" si="310"/>
        <v>1.64</v>
      </c>
      <c r="CN87" s="541">
        <f t="shared" si="289"/>
        <v>24</v>
      </c>
      <c r="CO87" s="443">
        <f t="shared" si="226"/>
        <v>17.099999999999998</v>
      </c>
      <c r="CP87" s="443">
        <f t="shared" si="227"/>
        <v>41.099999999999994</v>
      </c>
      <c r="CQ87" s="443"/>
      <c r="CR87" s="217">
        <f t="shared" si="228"/>
        <v>0.41176470588235292</v>
      </c>
      <c r="CS87" s="172">
        <f t="shared" si="290"/>
        <v>29.36061381074169</v>
      </c>
      <c r="CT87" s="172">
        <f t="shared" si="229"/>
        <v>4.0172166427546641</v>
      </c>
      <c r="CU87" s="217">
        <f t="shared" si="230"/>
        <v>1.7902813299232738</v>
      </c>
      <c r="CV87" s="217">
        <f t="shared" si="231"/>
        <v>3.6700767263427112</v>
      </c>
      <c r="CW87" s="443">
        <f t="shared" si="232"/>
        <v>16.399999999999999</v>
      </c>
      <c r="CX87" s="217">
        <f t="shared" si="233"/>
        <v>3.0535238095238091</v>
      </c>
      <c r="CY87" s="217">
        <f t="shared" si="234"/>
        <v>1.5267619047619048</v>
      </c>
      <c r="CZ87" s="217">
        <f t="shared" si="235"/>
        <v>2.142823725981621</v>
      </c>
      <c r="DA87" s="197">
        <f t="shared" si="236"/>
        <v>350</v>
      </c>
      <c r="DB87" s="443">
        <f t="shared" si="291"/>
        <v>272.51033239886038</v>
      </c>
      <c r="DD87" s="217">
        <f t="shared" si="237"/>
        <v>2.377476538060479</v>
      </c>
      <c r="DE87" s="173">
        <f t="shared" si="238"/>
        <v>1.668404588112617</v>
      </c>
      <c r="DF87" s="173">
        <f t="shared" si="239"/>
        <v>0.69415373374028577</v>
      </c>
      <c r="DG87" s="173"/>
      <c r="DH87" s="173">
        <f t="shared" si="240"/>
        <v>0.93567251461988332</v>
      </c>
      <c r="DI87" s="545">
        <f t="shared" si="241"/>
        <v>1314.5624999999993</v>
      </c>
      <c r="DJ87" s="528">
        <f t="shared" si="242"/>
        <v>0.21832358674463945</v>
      </c>
      <c r="DL87" s="173">
        <f t="shared" si="243"/>
        <v>2.6804406176526099</v>
      </c>
      <c r="DM87" s="173">
        <f t="shared" si="244"/>
        <v>3.0535238095238091</v>
      </c>
      <c r="DN87" s="173">
        <f t="shared" si="245"/>
        <v>2.4742151675485005</v>
      </c>
      <c r="DP87" s="545">
        <f t="shared" si="246"/>
        <v>820</v>
      </c>
      <c r="DQ87" s="460">
        <f t="shared" si="247"/>
        <v>272.51033239886038</v>
      </c>
      <c r="DS87">
        <f t="shared" si="292"/>
        <v>820</v>
      </c>
      <c r="DT87">
        <f t="shared" si="248"/>
        <v>272.51033239886038</v>
      </c>
      <c r="DV87" s="5">
        <f t="shared" si="293"/>
        <v>3.669585630743526</v>
      </c>
      <c r="DW87" s="5">
        <f t="shared" si="249"/>
        <v>1.5267619047619048</v>
      </c>
      <c r="DX87" s="5">
        <f t="shared" si="294"/>
        <v>2.1428237259816214</v>
      </c>
      <c r="DY87" s="173">
        <f t="shared" si="295"/>
        <v>0.41605839416058388</v>
      </c>
      <c r="EA87" s="5">
        <f t="shared" si="250"/>
        <v>7.6338095238095249</v>
      </c>
      <c r="EB87" s="5">
        <f t="shared" si="251"/>
        <v>3.9123273809523811</v>
      </c>
      <c r="EC87" s="5">
        <f t="shared" si="252"/>
        <v>1.0005796342708624</v>
      </c>
      <c r="ED87" s="5"/>
      <c r="EE87" s="173">
        <f t="shared" si="296"/>
        <v>1.1371501882948574</v>
      </c>
      <c r="EF87" s="173">
        <f t="shared" si="253"/>
        <v>1.347179275759999</v>
      </c>
      <c r="EG87" s="173">
        <f t="shared" si="254"/>
        <v>0.33051313652074576</v>
      </c>
      <c r="EH87" s="173"/>
      <c r="EI87" s="528">
        <f t="shared" si="255"/>
        <v>2.5862211014780589E-2</v>
      </c>
      <c r="EJ87" s="528">
        <f t="shared" si="256"/>
        <v>0.68399999999999972</v>
      </c>
      <c r="EK87" s="528">
        <f t="shared" si="257"/>
        <v>3.4063791549857551E-2</v>
      </c>
      <c r="EL87" s="528">
        <f t="shared" si="258"/>
        <v>4.6032717859147879E-2</v>
      </c>
      <c r="EM87">
        <f t="shared" si="259"/>
        <v>1.0800000000000001E-2</v>
      </c>
      <c r="EN87" s="460">
        <f t="shared" si="297"/>
        <v>44.863791549857545</v>
      </c>
      <c r="EO87">
        <f t="shared" si="260"/>
        <v>0.81273566536517083</v>
      </c>
      <c r="EP87" s="460">
        <f t="shared" si="298"/>
        <v>812.7356653651708</v>
      </c>
      <c r="EQ87" s="173">
        <f t="shared" si="261"/>
        <v>0.50942499999999991</v>
      </c>
      <c r="ER87" s="173">
        <f t="shared" si="262"/>
        <v>9.0968749999999987E-2</v>
      </c>
      <c r="ES87" s="528"/>
      <c r="EU87" s="460">
        <f t="shared" si="299"/>
        <v>600.39374999999984</v>
      </c>
      <c r="EV87" s="528">
        <f t="shared" si="263"/>
        <v>3.8793316522170884E-2</v>
      </c>
      <c r="EW87" s="528">
        <f t="shared" si="300"/>
        <v>5.4446760031117057E-2</v>
      </c>
      <c r="EX87" s="528">
        <f t="shared" si="264"/>
        <v>5.4619466706390559E-4</v>
      </c>
      <c r="EY87" s="528">
        <f t="shared" si="265"/>
        <v>0.99869003111229404</v>
      </c>
      <c r="EZ87" s="528">
        <f t="shared" si="266"/>
        <v>1.1234138712674016</v>
      </c>
      <c r="FA87" s="625">
        <f t="shared" si="267"/>
        <v>1.2704442127215845E-2</v>
      </c>
      <c r="FB87" s="460">
        <f t="shared" si="301"/>
        <v>1136.1183133946174</v>
      </c>
      <c r="FC87" s="173">
        <f t="shared" si="302"/>
        <v>2.5492477287597883</v>
      </c>
      <c r="FD87" s="5">
        <f t="shared" si="303"/>
        <v>15.087999999999999</v>
      </c>
      <c r="FE87" s="173">
        <f t="shared" si="304"/>
        <v>0.85546227121350038</v>
      </c>
      <c r="FF87" s="5">
        <f t="shared" si="305"/>
        <v>85.546227121350043</v>
      </c>
      <c r="FG87">
        <f t="shared" si="306"/>
        <v>82</v>
      </c>
      <c r="FI87" s="562">
        <f t="shared" si="268"/>
        <v>-50</v>
      </c>
      <c r="FJ87">
        <f t="shared" si="269"/>
        <v>-50</v>
      </c>
      <c r="FL87">
        <f t="shared" si="270"/>
        <v>0.56500122953983223</v>
      </c>
    </row>
    <row r="88" spans="5:168">
      <c r="E88" s="170">
        <v>83</v>
      </c>
      <c r="F88" s="217">
        <f t="shared" si="307"/>
        <v>0.83</v>
      </c>
      <c r="G88" s="217">
        <f t="shared" si="271"/>
        <v>0.20749999999999999</v>
      </c>
      <c r="H88" s="217">
        <f t="shared" si="176"/>
        <v>13.611999999999998</v>
      </c>
      <c r="I88" s="217">
        <f t="shared" si="308"/>
        <v>1.66</v>
      </c>
      <c r="J88" s="541">
        <f t="shared" si="177"/>
        <v>23.900425803554889</v>
      </c>
      <c r="K88" s="443">
        <f t="shared" si="178"/>
        <v>17.144070700554543</v>
      </c>
      <c r="L88" s="172">
        <f t="shared" si="179"/>
        <v>41.044496504109432</v>
      </c>
      <c r="M88" s="443"/>
      <c r="N88" s="217">
        <f t="shared" si="180"/>
        <v>0.41769474986343308</v>
      </c>
      <c r="O88" s="172">
        <f t="shared" si="272"/>
        <v>29.659882426337784</v>
      </c>
      <c r="P88" s="172">
        <f t="shared" si="181"/>
        <v>4.0581635681485375</v>
      </c>
      <c r="Q88" s="217">
        <f t="shared" si="182"/>
        <v>1.8085294162401089</v>
      </c>
      <c r="R88" s="217">
        <f t="shared" si="183"/>
        <v>3.707485303292223</v>
      </c>
      <c r="S88" s="443">
        <f t="shared" si="184"/>
        <v>16.399999999999999</v>
      </c>
      <c r="T88" s="217">
        <f t="shared" si="185"/>
        <v>3.0595760752606425</v>
      </c>
      <c r="U88" s="217">
        <f t="shared" si="186"/>
        <v>1.5361614560719177</v>
      </c>
      <c r="V88" s="217">
        <f t="shared" si="187"/>
        <v>2.1415516503872172</v>
      </c>
      <c r="W88" s="197">
        <f t="shared" si="188"/>
        <v>350</v>
      </c>
      <c r="X88" s="443">
        <f t="shared" si="273"/>
        <v>257.88395699885399</v>
      </c>
      <c r="Z88" s="217">
        <f t="shared" si="189"/>
        <v>2.3769243756298577</v>
      </c>
      <c r="AA88" s="173">
        <f t="shared" si="190"/>
        <v>1.663729286104477</v>
      </c>
      <c r="AB88" s="173">
        <f t="shared" si="191"/>
        <v>0.69204777155342379</v>
      </c>
      <c r="AC88" s="173"/>
      <c r="AD88" s="173">
        <f t="shared" si="192"/>
        <v>0.93326726653562309</v>
      </c>
      <c r="AE88" s="545">
        <f t="shared" si="193"/>
        <v>1334.0230013869</v>
      </c>
      <c r="AF88" s="528">
        <f t="shared" si="194"/>
        <v>0.21776236219164541</v>
      </c>
      <c r="AH88" s="173">
        <f t="shared" si="195"/>
        <v>2.6967352395778401</v>
      </c>
      <c r="AI88" s="173">
        <f t="shared" si="196"/>
        <v>3.0595760752606425</v>
      </c>
      <c r="AJ88" s="173">
        <f t="shared" si="197"/>
        <v>2.4786983273535625</v>
      </c>
      <c r="AL88" s="545">
        <f t="shared" si="198"/>
        <v>830</v>
      </c>
      <c r="AM88" s="460">
        <f t="shared" si="199"/>
        <v>257.88395699885399</v>
      </c>
      <c r="AO88">
        <f t="shared" si="274"/>
        <v>830</v>
      </c>
      <c r="AP88">
        <f t="shared" si="200"/>
        <v>257.88395699885399</v>
      </c>
      <c r="AR88" s="5">
        <f t="shared" si="275"/>
        <v>3.8777131064591344</v>
      </c>
      <c r="AS88" s="5">
        <f t="shared" si="201"/>
        <v>1.5361614560719177</v>
      </c>
      <c r="AT88" s="5">
        <f t="shared" si="276"/>
        <v>2.3415516503872169</v>
      </c>
      <c r="AU88" s="173">
        <f t="shared" si="277"/>
        <v>0.39615139488094736</v>
      </c>
      <c r="AW88" s="5">
        <f t="shared" si="202"/>
        <v>7.77447566182739</v>
      </c>
      <c r="AX88" s="5">
        <f t="shared" si="203"/>
        <v>3.9844187766865362</v>
      </c>
      <c r="AY88" s="5">
        <f t="shared" si="204"/>
        <v>1.1113191499545743</v>
      </c>
      <c r="AZ88" s="5"/>
      <c r="BA88" s="173">
        <f t="shared" si="278"/>
        <v>1.1118116581259505</v>
      </c>
      <c r="BB88" s="173">
        <f t="shared" si="205"/>
        <v>1.3726653234823836</v>
      </c>
      <c r="BC88" s="173">
        <f t="shared" si="206"/>
        <v>0.3367658110695661</v>
      </c>
      <c r="BD88" s="173"/>
      <c r="BE88" s="528">
        <f t="shared" si="207"/>
        <v>2.4722503262895507E-2</v>
      </c>
      <c r="BF88" s="528">
        <f t="shared" si="208"/>
        <v>0.60721401415009357</v>
      </c>
      <c r="BG88" s="528">
        <f t="shared" si="209"/>
        <v>0.15408840950445621</v>
      </c>
      <c r="BH88" s="528">
        <f t="shared" si="210"/>
        <v>4.3444438694283931E-2</v>
      </c>
      <c r="BI88">
        <f t="shared" si="211"/>
        <v>1.07551916115997E-2</v>
      </c>
      <c r="BJ88" s="460">
        <f t="shared" si="279"/>
        <v>164.84360111605591</v>
      </c>
      <c r="BK88">
        <f t="shared" si="212"/>
        <v>0.68608614783421662</v>
      </c>
      <c r="BL88" s="460">
        <f t="shared" si="280"/>
        <v>686.0861478342166</v>
      </c>
      <c r="BM88" s="173">
        <f t="shared" si="213"/>
        <v>0.51563749999999997</v>
      </c>
      <c r="BN88" s="173">
        <f t="shared" si="214"/>
        <v>9.2078124999999997E-2</v>
      </c>
      <c r="BO88" s="528"/>
      <c r="BQ88" s="460">
        <f t="shared" si="281"/>
        <v>607.71562499999993</v>
      </c>
      <c r="BR88" s="528">
        <f t="shared" si="215"/>
        <v>3.7083754894343263E-2</v>
      </c>
      <c r="BS88" s="528">
        <f t="shared" si="216"/>
        <v>5.6526302708729895E-2</v>
      </c>
      <c r="BT88" s="528">
        <f t="shared" si="217"/>
        <v>5.6705605752671345E-4</v>
      </c>
      <c r="BU88" s="528">
        <f t="shared" si="218"/>
        <v>0.87434727041187843</v>
      </c>
      <c r="BV88" s="528">
        <f t="shared" si="219"/>
        <v>0.99865089606671309</v>
      </c>
      <c r="BW88" s="625">
        <f t="shared" si="220"/>
        <v>1.2070266034785582E-2</v>
      </c>
      <c r="BX88" s="460">
        <f t="shared" si="282"/>
        <v>1010.7211621014986</v>
      </c>
      <c r="BY88" s="173">
        <f t="shared" si="283"/>
        <v>2.3045229349357155</v>
      </c>
      <c r="BZ88" s="5">
        <f t="shared" si="284"/>
        <v>15.271999999999998</v>
      </c>
      <c r="CA88" s="173">
        <f t="shared" si="285"/>
        <v>0.86888630114917864</v>
      </c>
      <c r="CB88" s="5">
        <f t="shared" si="286"/>
        <v>86.888630114917859</v>
      </c>
      <c r="CC88">
        <f t="shared" si="287"/>
        <v>83</v>
      </c>
      <c r="CE88" s="562">
        <f t="shared" si="221"/>
        <v>-50</v>
      </c>
      <c r="CF88">
        <f t="shared" si="222"/>
        <v>-50</v>
      </c>
      <c r="CG88" s="173">
        <f t="shared" si="223"/>
        <v>0.56500122953983234</v>
      </c>
      <c r="CH88" s="173">
        <f t="shared" si="224"/>
        <v>0.19741829216945342</v>
      </c>
      <c r="CI88" s="170">
        <v>83</v>
      </c>
      <c r="CJ88" s="217">
        <f t="shared" si="309"/>
        <v>0.83</v>
      </c>
      <c r="CK88" s="217">
        <f t="shared" si="288"/>
        <v>0.20749999999999999</v>
      </c>
      <c r="CL88" s="217">
        <f t="shared" si="225"/>
        <v>13.611999999999998</v>
      </c>
      <c r="CM88" s="217">
        <f t="shared" si="310"/>
        <v>1.66</v>
      </c>
      <c r="CN88" s="541">
        <f t="shared" si="289"/>
        <v>24</v>
      </c>
      <c r="CO88" s="443">
        <f t="shared" si="226"/>
        <v>17.099999999999998</v>
      </c>
      <c r="CP88" s="443">
        <f t="shared" si="227"/>
        <v>41.099999999999994</v>
      </c>
      <c r="CQ88" s="443"/>
      <c r="CR88" s="217">
        <f t="shared" si="228"/>
        <v>0.41176470588235292</v>
      </c>
      <c r="CS88" s="172">
        <f t="shared" si="290"/>
        <v>29.36061381074169</v>
      </c>
      <c r="CT88" s="172">
        <f t="shared" si="229"/>
        <v>4.0172166427546641</v>
      </c>
      <c r="CU88" s="217">
        <f t="shared" si="230"/>
        <v>1.7902813299232738</v>
      </c>
      <c r="CV88" s="217">
        <f t="shared" si="231"/>
        <v>3.6700767263427112</v>
      </c>
      <c r="CW88" s="443">
        <f t="shared" si="232"/>
        <v>16.399999999999999</v>
      </c>
      <c r="CX88" s="217">
        <f t="shared" si="233"/>
        <v>3.0907619047619042</v>
      </c>
      <c r="CY88" s="217">
        <f t="shared" si="234"/>
        <v>1.5453809523809523</v>
      </c>
      <c r="CZ88" s="217">
        <f t="shared" si="235"/>
        <v>2.1689557226399332</v>
      </c>
      <c r="DA88" s="197">
        <f t="shared" si="236"/>
        <v>350</v>
      </c>
      <c r="DB88" s="443">
        <f t="shared" si="291"/>
        <v>269.22707538200666</v>
      </c>
      <c r="DD88" s="217">
        <f t="shared" si="237"/>
        <v>2.377476538060479</v>
      </c>
      <c r="DE88" s="173">
        <f t="shared" si="238"/>
        <v>1.668404588112617</v>
      </c>
      <c r="DF88" s="173">
        <f t="shared" si="239"/>
        <v>0.69415373374028577</v>
      </c>
      <c r="DG88" s="173"/>
      <c r="DH88" s="173">
        <f t="shared" si="240"/>
        <v>0.93567251461988332</v>
      </c>
      <c r="DI88" s="545">
        <f t="shared" si="241"/>
        <v>1330.5937499999993</v>
      </c>
      <c r="DJ88" s="528">
        <f t="shared" si="242"/>
        <v>0.21832358674463945</v>
      </c>
      <c r="DL88" s="173">
        <f t="shared" si="243"/>
        <v>2.6967352395778401</v>
      </c>
      <c r="DM88" s="173">
        <f t="shared" si="244"/>
        <v>3.0907619047619042</v>
      </c>
      <c r="DN88" s="173">
        <f t="shared" si="245"/>
        <v>2.501798941798941</v>
      </c>
      <c r="DP88" s="545">
        <f t="shared" si="246"/>
        <v>830</v>
      </c>
      <c r="DQ88" s="460">
        <f t="shared" si="247"/>
        <v>269.22707538200666</v>
      </c>
      <c r="DS88">
        <f t="shared" si="292"/>
        <v>830</v>
      </c>
      <c r="DT88">
        <f t="shared" si="248"/>
        <v>269.22707538200666</v>
      </c>
      <c r="DV88" s="5">
        <f t="shared" si="293"/>
        <v>3.7143366750208857</v>
      </c>
      <c r="DW88" s="5">
        <f t="shared" si="249"/>
        <v>1.5453809523809523</v>
      </c>
      <c r="DX88" s="5">
        <f t="shared" si="294"/>
        <v>2.1689557226399332</v>
      </c>
      <c r="DY88" s="173">
        <f t="shared" si="295"/>
        <v>0.41605839416058388</v>
      </c>
      <c r="EA88" s="5">
        <f t="shared" si="250"/>
        <v>7.821135307781649</v>
      </c>
      <c r="EB88" s="5">
        <f t="shared" si="251"/>
        <v>4.0083318452380947</v>
      </c>
      <c r="EC88" s="5">
        <f t="shared" si="252"/>
        <v>1.0251328227977348</v>
      </c>
      <c r="ED88" s="5"/>
      <c r="EE88" s="173">
        <f t="shared" si="296"/>
        <v>1.1510178735179653</v>
      </c>
      <c r="EF88" s="173">
        <f t="shared" si="253"/>
        <v>1.3636082913180476</v>
      </c>
      <c r="EG88" s="173">
        <f t="shared" si="254"/>
        <v>0.33454378452709627</v>
      </c>
      <c r="EH88" s="173"/>
      <c r="EI88" s="528">
        <f t="shared" si="255"/>
        <v>2.6496842903156376E-2</v>
      </c>
      <c r="EJ88" s="528">
        <f t="shared" si="256"/>
        <v>0.68399999999999972</v>
      </c>
      <c r="EK88" s="528">
        <f t="shared" si="257"/>
        <v>3.3653384422750829E-2</v>
      </c>
      <c r="EL88" s="528">
        <f t="shared" si="258"/>
        <v>4.5478106800603935E-2</v>
      </c>
      <c r="EM88">
        <f t="shared" si="259"/>
        <v>1.0800000000000001E-2</v>
      </c>
      <c r="EN88" s="460">
        <f t="shared" si="297"/>
        <v>44.45338442275083</v>
      </c>
      <c r="EO88">
        <f t="shared" si="260"/>
        <v>0.81269894975079082</v>
      </c>
      <c r="EP88" s="460">
        <f t="shared" si="298"/>
        <v>812.6989497507908</v>
      </c>
      <c r="EQ88" s="173">
        <f t="shared" si="261"/>
        <v>0.51563749999999997</v>
      </c>
      <c r="ER88" s="173">
        <f t="shared" si="262"/>
        <v>9.2078124999999997E-2</v>
      </c>
      <c r="ES88" s="528"/>
      <c r="EU88" s="460">
        <f t="shared" si="299"/>
        <v>607.71562499999993</v>
      </c>
      <c r="EV88" s="528">
        <f t="shared" si="263"/>
        <v>3.9745264354734564E-2</v>
      </c>
      <c r="EW88" s="528">
        <f t="shared" si="300"/>
        <v>5.5782827164539757E-2</v>
      </c>
      <c r="EX88" s="528">
        <f t="shared" si="264"/>
        <v>5.5959771882856102E-4</v>
      </c>
      <c r="EY88" s="528">
        <f t="shared" si="265"/>
        <v>0.99869003111229404</v>
      </c>
      <c r="EZ88" s="528">
        <f t="shared" si="266"/>
        <v>1.1264981742873992</v>
      </c>
      <c r="FA88" s="625">
        <f t="shared" si="267"/>
        <v>1.2859374348279454E-2</v>
      </c>
      <c r="FB88" s="460">
        <f t="shared" si="301"/>
        <v>1139.3575486356785</v>
      </c>
      <c r="FC88" s="173">
        <f t="shared" si="302"/>
        <v>2.5597721233864696</v>
      </c>
      <c r="FD88" s="5">
        <f t="shared" si="303"/>
        <v>15.271999999999998</v>
      </c>
      <c r="FE88" s="173">
        <f t="shared" si="304"/>
        <v>0.85644880914391486</v>
      </c>
      <c r="FF88" s="5">
        <f t="shared" si="305"/>
        <v>85.644880914391479</v>
      </c>
      <c r="FG88">
        <f t="shared" si="306"/>
        <v>83</v>
      </c>
      <c r="FI88" s="562">
        <f t="shared" si="268"/>
        <v>-50</v>
      </c>
      <c r="FJ88">
        <f t="shared" si="269"/>
        <v>-50</v>
      </c>
      <c r="FL88">
        <f t="shared" si="270"/>
        <v>0.56500122953983234</v>
      </c>
    </row>
    <row r="89" spans="5:168">
      <c r="E89" s="170">
        <v>84</v>
      </c>
      <c r="F89" s="217">
        <f t="shared" si="307"/>
        <v>0.84</v>
      </c>
      <c r="G89" s="217">
        <f t="shared" si="271"/>
        <v>0.21</v>
      </c>
      <c r="H89" s="217">
        <f t="shared" si="176"/>
        <v>13.775999999999998</v>
      </c>
      <c r="I89" s="217">
        <f t="shared" si="308"/>
        <v>1.68</v>
      </c>
      <c r="J89" s="541">
        <f t="shared" si="177"/>
        <v>23.899226114441092</v>
      </c>
      <c r="K89" s="443">
        <f t="shared" si="178"/>
        <v>17.144601672850381</v>
      </c>
      <c r="L89" s="172">
        <f t="shared" si="179"/>
        <v>41.043827787291477</v>
      </c>
      <c r="M89" s="443"/>
      <c r="N89" s="217">
        <f t="shared" si="180"/>
        <v>0.4177144919743308</v>
      </c>
      <c r="O89" s="172">
        <f t="shared" si="272"/>
        <v>29.659795427094952</v>
      </c>
      <c r="P89" s="172">
        <f t="shared" si="181"/>
        <v>4.0581516646233426</v>
      </c>
      <c r="Q89" s="217">
        <f t="shared" si="182"/>
        <v>1.8085241114082289</v>
      </c>
      <c r="R89" s="217">
        <f t="shared" si="183"/>
        <v>3.707474428386869</v>
      </c>
      <c r="S89" s="443">
        <f t="shared" si="184"/>
        <v>16.399999999999999</v>
      </c>
      <c r="T89" s="217">
        <f t="shared" si="185"/>
        <v>3.0964475202044688</v>
      </c>
      <c r="U89" s="217">
        <f t="shared" si="186"/>
        <v>1.5547520268868167</v>
      </c>
      <c r="V89" s="217">
        <f t="shared" si="187"/>
        <v>2.1672927112266946</v>
      </c>
      <c r="W89" s="197">
        <f t="shared" si="188"/>
        <v>350</v>
      </c>
      <c r="X89" s="443">
        <f t="shared" si="273"/>
        <v>254.96904466240133</v>
      </c>
      <c r="Z89" s="217">
        <f t="shared" si="189"/>
        <v>2.3769174035651002</v>
      </c>
      <c r="AA89" s="173">
        <f t="shared" si="190"/>
        <v>1.6636728800733405</v>
      </c>
      <c r="AB89" s="173">
        <f t="shared" si="191"/>
        <v>0.69202227893497947</v>
      </c>
      <c r="AC89" s="173"/>
      <c r="AD89" s="173">
        <f t="shared" si="192"/>
        <v>0.93323836303161645</v>
      </c>
      <c r="AE89" s="545">
        <f t="shared" si="193"/>
        <v>1350.1373817369672</v>
      </c>
      <c r="AF89" s="528">
        <f t="shared" si="194"/>
        <v>0.21775561804071053</v>
      </c>
      <c r="AH89" s="173">
        <f t="shared" si="195"/>
        <v>2.7129319932501068</v>
      </c>
      <c r="AI89" s="173">
        <f t="shared" si="196"/>
        <v>3.0964475202044688</v>
      </c>
      <c r="AJ89" s="173">
        <f t="shared" si="197"/>
        <v>2.5060105087934339</v>
      </c>
      <c r="AL89" s="545">
        <f t="shared" si="198"/>
        <v>840</v>
      </c>
      <c r="AM89" s="460">
        <f t="shared" si="199"/>
        <v>254.96904466240133</v>
      </c>
      <c r="AO89">
        <f t="shared" si="274"/>
        <v>840</v>
      </c>
      <c r="AP89">
        <f t="shared" si="200"/>
        <v>254.96904466240133</v>
      </c>
      <c r="AR89" s="5">
        <f t="shared" si="275"/>
        <v>3.9220447381135117</v>
      </c>
      <c r="AS89" s="5">
        <f t="shared" si="201"/>
        <v>1.5547520268868167</v>
      </c>
      <c r="AT89" s="5">
        <f t="shared" si="276"/>
        <v>2.3672927112266953</v>
      </c>
      <c r="AU89" s="173">
        <f t="shared" si="277"/>
        <v>0.39641363898226373</v>
      </c>
      <c r="AW89" s="5">
        <f t="shared" si="202"/>
        <v>7.9633640401519878</v>
      </c>
      <c r="AX89" s="5">
        <f t="shared" si="203"/>
        <v>4.0812240705778935</v>
      </c>
      <c r="AY89" s="5">
        <f t="shared" si="204"/>
        <v>1.1371297210523925</v>
      </c>
      <c r="AZ89" s="5"/>
      <c r="BA89" s="173">
        <f t="shared" si="278"/>
        <v>1.1255826512606375</v>
      </c>
      <c r="BB89" s="173">
        <f t="shared" si="205"/>
        <v>1.3889058440517879</v>
      </c>
      <c r="BC89" s="173">
        <f t="shared" si="206"/>
        <v>0.34075021425086904</v>
      </c>
      <c r="BD89" s="173"/>
      <c r="BE89" s="528">
        <f t="shared" si="207"/>
        <v>2.5338726096378519E-2</v>
      </c>
      <c r="BF89" s="528">
        <f t="shared" si="208"/>
        <v>0.60757557883308877</v>
      </c>
      <c r="BG89" s="528">
        <f t="shared" si="209"/>
        <v>0.15233907126424398</v>
      </c>
      <c r="BH89" s="528">
        <f t="shared" si="210"/>
        <v>4.2951978162368551E-2</v>
      </c>
      <c r="BI89">
        <f t="shared" si="211"/>
        <v>1.0754651751498491E-2</v>
      </c>
      <c r="BJ89" s="460">
        <f t="shared" si="279"/>
        <v>163.09372301574246</v>
      </c>
      <c r="BK89">
        <f t="shared" si="212"/>
        <v>0.68684286376929937</v>
      </c>
      <c r="BL89" s="460">
        <f t="shared" si="280"/>
        <v>686.84286376929936</v>
      </c>
      <c r="BM89" s="173">
        <f t="shared" si="213"/>
        <v>0.52184999999999993</v>
      </c>
      <c r="BN89" s="173">
        <f t="shared" si="214"/>
        <v>9.3187499999999993E-2</v>
      </c>
      <c r="BO89" s="528"/>
      <c r="BQ89" s="460">
        <f t="shared" si="281"/>
        <v>615.03749999999991</v>
      </c>
      <c r="BR89" s="528">
        <f t="shared" si="215"/>
        <v>3.8008089144567776E-2</v>
      </c>
      <c r="BS89" s="528">
        <f t="shared" si="216"/>
        <v>5.7871783309236272E-2</v>
      </c>
      <c r="BT89" s="528">
        <f t="shared" si="217"/>
        <v>5.8055354256006581E-4</v>
      </c>
      <c r="BU89" s="528">
        <f t="shared" si="218"/>
        <v>0.87568509097153602</v>
      </c>
      <c r="BV89" s="528">
        <f t="shared" si="219"/>
        <v>1.0030362837849238</v>
      </c>
      <c r="BW89" s="625">
        <f t="shared" si="220"/>
        <v>1.2223199740949653E-2</v>
      </c>
      <c r="BX89" s="460">
        <f t="shared" si="282"/>
        <v>1015.2594835258735</v>
      </c>
      <c r="BY89" s="173">
        <f t="shared" si="283"/>
        <v>2.3171398472951727</v>
      </c>
      <c r="BZ89" s="5">
        <f t="shared" si="284"/>
        <v>15.455999999999998</v>
      </c>
      <c r="CA89" s="173">
        <f t="shared" si="285"/>
        <v>0.86962687137985872</v>
      </c>
      <c r="CB89" s="5">
        <f t="shared" si="286"/>
        <v>86.962687137985867</v>
      </c>
      <c r="CC89">
        <f t="shared" si="287"/>
        <v>84</v>
      </c>
      <c r="CE89" s="562">
        <f t="shared" si="221"/>
        <v>-50</v>
      </c>
      <c r="CF89">
        <f t="shared" si="222"/>
        <v>-50</v>
      </c>
      <c r="CG89" s="173">
        <f t="shared" si="223"/>
        <v>0.56500122953983245</v>
      </c>
      <c r="CH89" s="173">
        <f t="shared" si="224"/>
        <v>0.1974182921694535</v>
      </c>
      <c r="CI89" s="170">
        <v>84</v>
      </c>
      <c r="CJ89" s="217">
        <f t="shared" si="309"/>
        <v>0.84</v>
      </c>
      <c r="CK89" s="217">
        <f t="shared" si="288"/>
        <v>0.21</v>
      </c>
      <c r="CL89" s="217">
        <f t="shared" si="225"/>
        <v>13.775999999999998</v>
      </c>
      <c r="CM89" s="217">
        <f t="shared" si="310"/>
        <v>1.68</v>
      </c>
      <c r="CN89" s="541">
        <f t="shared" si="289"/>
        <v>24</v>
      </c>
      <c r="CO89" s="443">
        <f t="shared" si="226"/>
        <v>17.099999999999998</v>
      </c>
      <c r="CP89" s="443">
        <f t="shared" si="227"/>
        <v>41.099999999999994</v>
      </c>
      <c r="CQ89" s="443"/>
      <c r="CR89" s="217">
        <f t="shared" si="228"/>
        <v>0.41176470588235292</v>
      </c>
      <c r="CS89" s="172">
        <f t="shared" si="290"/>
        <v>29.36061381074169</v>
      </c>
      <c r="CT89" s="172">
        <f t="shared" si="229"/>
        <v>4.0172166427546641</v>
      </c>
      <c r="CU89" s="217">
        <f t="shared" si="230"/>
        <v>1.7902813299232738</v>
      </c>
      <c r="CV89" s="217">
        <f t="shared" si="231"/>
        <v>3.6700767263427112</v>
      </c>
      <c r="CW89" s="443">
        <f t="shared" si="232"/>
        <v>16.399999999999999</v>
      </c>
      <c r="CX89" s="217">
        <f t="shared" si="233"/>
        <v>3.1279999999999992</v>
      </c>
      <c r="CY89" s="217">
        <f t="shared" si="234"/>
        <v>1.5639999999999998</v>
      </c>
      <c r="CZ89" s="217">
        <f t="shared" si="235"/>
        <v>2.1950877192982454</v>
      </c>
      <c r="DA89" s="197">
        <f t="shared" si="236"/>
        <v>350</v>
      </c>
      <c r="DB89" s="443">
        <f t="shared" si="291"/>
        <v>266.02199115126859</v>
      </c>
      <c r="DD89" s="217">
        <f t="shared" si="237"/>
        <v>2.377476538060479</v>
      </c>
      <c r="DE89" s="173">
        <f t="shared" si="238"/>
        <v>1.668404588112617</v>
      </c>
      <c r="DF89" s="173">
        <f t="shared" si="239"/>
        <v>0.69415373374028577</v>
      </c>
      <c r="DG89" s="173"/>
      <c r="DH89" s="173">
        <f t="shared" si="240"/>
        <v>0.93567251461988332</v>
      </c>
      <c r="DI89" s="545">
        <f t="shared" si="241"/>
        <v>1346.6249999999995</v>
      </c>
      <c r="DJ89" s="528">
        <f t="shared" si="242"/>
        <v>0.21832358674463945</v>
      </c>
      <c r="DL89" s="173">
        <f t="shared" si="243"/>
        <v>2.7129319932501068</v>
      </c>
      <c r="DM89" s="173">
        <f t="shared" si="244"/>
        <v>3.1279999999999992</v>
      </c>
      <c r="DN89" s="173">
        <f t="shared" si="245"/>
        <v>2.529382716049382</v>
      </c>
      <c r="DP89" s="545">
        <f t="shared" si="246"/>
        <v>840</v>
      </c>
      <c r="DQ89" s="460">
        <f t="shared" si="247"/>
        <v>266.02199115126859</v>
      </c>
      <c r="DS89">
        <f t="shared" si="292"/>
        <v>840</v>
      </c>
      <c r="DT89">
        <f t="shared" si="248"/>
        <v>266.02199115126859</v>
      </c>
      <c r="DV89" s="5">
        <f t="shared" si="293"/>
        <v>3.7590877192982441</v>
      </c>
      <c r="DW89" s="5">
        <f t="shared" si="249"/>
        <v>1.5639999999999998</v>
      </c>
      <c r="DX89" s="5">
        <f t="shared" si="294"/>
        <v>2.1950877192982441</v>
      </c>
      <c r="DY89" s="173">
        <f t="shared" si="295"/>
        <v>0.41605839416058404</v>
      </c>
      <c r="EA89" s="5">
        <f t="shared" si="250"/>
        <v>8.0107317073170723</v>
      </c>
      <c r="EB89" s="5">
        <f t="shared" si="251"/>
        <v>4.1055000000000001</v>
      </c>
      <c r="EC89" s="5">
        <f t="shared" si="252"/>
        <v>1.0499836257309931</v>
      </c>
      <c r="ED89" s="5"/>
      <c r="EE89" s="173">
        <f t="shared" si="296"/>
        <v>1.1648855587410736</v>
      </c>
      <c r="EF89" s="173">
        <f t="shared" si="253"/>
        <v>1.380037306876096</v>
      </c>
      <c r="EG89" s="173">
        <f t="shared" si="254"/>
        <v>0.33857443253344682</v>
      </c>
      <c r="EH89" s="173"/>
      <c r="EI89" s="528">
        <f t="shared" si="255"/>
        <v>2.7139167299270062E-2</v>
      </c>
      <c r="EJ89" s="528">
        <f t="shared" si="256"/>
        <v>0.68400000000000005</v>
      </c>
      <c r="EK89" s="528">
        <f t="shared" si="257"/>
        <v>3.3252748893908571E-2</v>
      </c>
      <c r="EL89" s="528">
        <f t="shared" si="258"/>
        <v>4.4936700767263429E-2</v>
      </c>
      <c r="EM89">
        <f t="shared" si="259"/>
        <v>1.0800000000000001E-2</v>
      </c>
      <c r="EN89" s="460">
        <f t="shared" si="297"/>
        <v>44.052748893908571</v>
      </c>
      <c r="EO89">
        <f t="shared" si="260"/>
        <v>0.81269667660144085</v>
      </c>
      <c r="EP89" s="460">
        <f t="shared" si="298"/>
        <v>812.6966766014408</v>
      </c>
      <c r="EQ89" s="173">
        <f t="shared" si="261"/>
        <v>0.52184999999999993</v>
      </c>
      <c r="ER89" s="173">
        <f t="shared" si="262"/>
        <v>9.3187499999999993E-2</v>
      </c>
      <c r="ES89" s="528"/>
      <c r="EU89" s="460">
        <f t="shared" si="299"/>
        <v>615.03749999999991</v>
      </c>
      <c r="EV89" s="528">
        <f t="shared" si="263"/>
        <v>4.0708750948905088E-2</v>
      </c>
      <c r="EW89" s="528">
        <f t="shared" si="300"/>
        <v>5.7135089051094837E-2</v>
      </c>
      <c r="EX89" s="528">
        <f t="shared" si="264"/>
        <v>5.7316323182672764E-4</v>
      </c>
      <c r="EY89" s="528">
        <f t="shared" si="265"/>
        <v>0.99869003111229404</v>
      </c>
      <c r="EZ89" s="528">
        <f t="shared" si="266"/>
        <v>1.1296210284322354</v>
      </c>
      <c r="FA89" s="625">
        <f t="shared" si="267"/>
        <v>1.3014306569343066E-2</v>
      </c>
      <c r="FB89" s="460">
        <f t="shared" si="301"/>
        <v>1142.6353350015786</v>
      </c>
      <c r="FC89" s="173">
        <f t="shared" si="302"/>
        <v>2.570369511603019</v>
      </c>
      <c r="FD89" s="5">
        <f t="shared" si="303"/>
        <v>15.455999999999998</v>
      </c>
      <c r="FE89" s="173">
        <f t="shared" si="304"/>
        <v>0.85741058342621068</v>
      </c>
      <c r="FF89" s="5">
        <f t="shared" si="305"/>
        <v>85.741058342621074</v>
      </c>
      <c r="FG89">
        <f t="shared" si="306"/>
        <v>84</v>
      </c>
      <c r="FI89" s="562">
        <f t="shared" si="268"/>
        <v>-50</v>
      </c>
      <c r="FJ89">
        <f t="shared" si="269"/>
        <v>-50</v>
      </c>
      <c r="FL89">
        <f t="shared" si="270"/>
        <v>0.56500122953983245</v>
      </c>
    </row>
    <row r="90" spans="5:168">
      <c r="E90" s="170">
        <v>85</v>
      </c>
      <c r="F90" s="217">
        <f t="shared" si="307"/>
        <v>0.85</v>
      </c>
      <c r="G90" s="217">
        <f t="shared" si="271"/>
        <v>0.21249999999999999</v>
      </c>
      <c r="H90" s="217">
        <f t="shared" si="176"/>
        <v>13.939999999999998</v>
      </c>
      <c r="I90" s="217">
        <f t="shared" si="308"/>
        <v>1.7</v>
      </c>
      <c r="J90" s="541">
        <f t="shared" si="177"/>
        <v>23.898026425327295</v>
      </c>
      <c r="K90" s="443">
        <f t="shared" si="178"/>
        <v>17.145132645146219</v>
      </c>
      <c r="L90" s="172">
        <f t="shared" si="179"/>
        <v>41.043159070473514</v>
      </c>
      <c r="M90" s="443"/>
      <c r="N90" s="217">
        <f t="shared" si="180"/>
        <v>0.41773423472854559</v>
      </c>
      <c r="O90" s="172">
        <f t="shared" si="272"/>
        <v>29.659708332795141</v>
      </c>
      <c r="P90" s="172">
        <f t="shared" si="181"/>
        <v>4.0581397480921373</v>
      </c>
      <c r="Q90" s="217">
        <f t="shared" si="182"/>
        <v>1.8085188007801918</v>
      </c>
      <c r="R90" s="217">
        <f t="shared" si="183"/>
        <v>3.7074635415993926</v>
      </c>
      <c r="S90" s="443">
        <f t="shared" si="184"/>
        <v>16.399999999999999</v>
      </c>
      <c r="T90" s="217">
        <f t="shared" si="185"/>
        <v>3.1333191914964202</v>
      </c>
      <c r="U90" s="217">
        <f t="shared" si="186"/>
        <v>1.573344577864743</v>
      </c>
      <c r="V90" s="217">
        <f t="shared" si="187"/>
        <v>2.1930323361249435</v>
      </c>
      <c r="W90" s="197">
        <f t="shared" si="188"/>
        <v>350</v>
      </c>
      <c r="X90" s="443">
        <f t="shared" si="273"/>
        <v>252.11925686460367</v>
      </c>
      <c r="Z90" s="217">
        <f t="shared" si="189"/>
        <v>2.3769104238825376</v>
      </c>
      <c r="AA90" s="173">
        <f t="shared" si="190"/>
        <v>1.6636164722041553</v>
      </c>
      <c r="AB90" s="173">
        <f t="shared" si="191"/>
        <v>0.69199678347183136</v>
      </c>
      <c r="AC90" s="173"/>
      <c r="AD90" s="173">
        <f t="shared" si="192"/>
        <v>0.93320946131785087</v>
      </c>
      <c r="AE90" s="545">
        <f t="shared" si="193"/>
        <v>1366.2527576600892</v>
      </c>
      <c r="AF90" s="528">
        <f t="shared" si="194"/>
        <v>0.21774887430749856</v>
      </c>
      <c r="AH90" s="173">
        <f t="shared" si="195"/>
        <v>2.7290326212083</v>
      </c>
      <c r="AI90" s="173">
        <f t="shared" si="196"/>
        <v>3.1333191914964202</v>
      </c>
      <c r="AJ90" s="173">
        <f t="shared" si="197"/>
        <v>2.5333228578985825</v>
      </c>
      <c r="AL90" s="545">
        <f t="shared" si="198"/>
        <v>850</v>
      </c>
      <c r="AM90" s="460">
        <f t="shared" si="199"/>
        <v>252.11925686460367</v>
      </c>
      <c r="AO90">
        <f t="shared" si="274"/>
        <v>850</v>
      </c>
      <c r="AP90">
        <f t="shared" si="200"/>
        <v>252.11925686460367</v>
      </c>
      <c r="AR90" s="5">
        <f t="shared" si="275"/>
        <v>3.9663769139896874</v>
      </c>
      <c r="AS90" s="5">
        <f t="shared" si="201"/>
        <v>1.573344577864743</v>
      </c>
      <c r="AT90" s="5">
        <f t="shared" si="276"/>
        <v>2.3930323361249446</v>
      </c>
      <c r="AU90" s="173">
        <f t="shared" si="277"/>
        <v>0.39667046576321258</v>
      </c>
      <c r="AW90" s="5">
        <f t="shared" si="202"/>
        <v>8.1545298242989759</v>
      </c>
      <c r="AX90" s="5">
        <f t="shared" si="203"/>
        <v>4.1791965349532241</v>
      </c>
      <c r="AY90" s="5">
        <f t="shared" si="204"/>
        <v>1.1632365985609783</v>
      </c>
      <c r="AZ90" s="5"/>
      <c r="BA90" s="173">
        <f t="shared" si="278"/>
        <v>1.1393546901864435</v>
      </c>
      <c r="BB90" s="173">
        <f t="shared" si="205"/>
        <v>1.4051455233830457</v>
      </c>
      <c r="BC90" s="173">
        <f t="shared" si="206"/>
        <v>0.34473441104519481</v>
      </c>
      <c r="BD90" s="173"/>
      <c r="BE90" s="528">
        <f t="shared" si="207"/>
        <v>2.5962582200996932E-2</v>
      </c>
      <c r="BF90" s="528">
        <f t="shared" si="208"/>
        <v>0.60792878858900756</v>
      </c>
      <c r="BG90" s="528">
        <f t="shared" si="209"/>
        <v>0.15062881657210445</v>
      </c>
      <c r="BH90" s="528">
        <f t="shared" si="210"/>
        <v>4.2470520150082042E-2</v>
      </c>
      <c r="BI90">
        <f t="shared" si="211"/>
        <v>1.0754111891397283E-2</v>
      </c>
      <c r="BJ90" s="460">
        <f t="shared" si="279"/>
        <v>161.38292846350171</v>
      </c>
      <c r="BK90">
        <f t="shared" si="212"/>
        <v>0.68761347593698252</v>
      </c>
      <c r="BL90" s="460">
        <f t="shared" si="280"/>
        <v>687.61347593698247</v>
      </c>
      <c r="BM90" s="173">
        <f t="shared" si="213"/>
        <v>0.52806249999999999</v>
      </c>
      <c r="BN90" s="173">
        <f t="shared" si="214"/>
        <v>9.4296874999999988E-2</v>
      </c>
      <c r="BO90" s="528"/>
      <c r="BQ90" s="460">
        <f t="shared" si="281"/>
        <v>622.35937499999989</v>
      </c>
      <c r="BR90" s="528">
        <f t="shared" si="215"/>
        <v>3.8943873301495395E-2</v>
      </c>
      <c r="BS90" s="528">
        <f t="shared" si="216"/>
        <v>5.9233018256502401E-2</v>
      </c>
      <c r="BT90" s="528">
        <f t="shared" si="217"/>
        <v>5.9420907079338673E-4</v>
      </c>
      <c r="BU90" s="528">
        <f t="shared" si="218"/>
        <v>0.87699405040023359</v>
      </c>
      <c r="BV90" s="528">
        <f t="shared" si="219"/>
        <v>1.0074306176529526</v>
      </c>
      <c r="BW90" s="625">
        <f t="shared" si="220"/>
        <v>1.2376142470439593E-2</v>
      </c>
      <c r="BX90" s="460">
        <f t="shared" si="282"/>
        <v>1019.8067601233922</v>
      </c>
      <c r="BY90" s="173">
        <f t="shared" si="283"/>
        <v>2.3297796110603746</v>
      </c>
      <c r="BZ90" s="5">
        <f t="shared" si="284"/>
        <v>15.639999999999997</v>
      </c>
      <c r="CA90" s="173">
        <f t="shared" si="285"/>
        <v>0.87035012885598229</v>
      </c>
      <c r="CB90" s="5">
        <f t="shared" si="286"/>
        <v>87.035012885598235</v>
      </c>
      <c r="CC90">
        <f t="shared" si="287"/>
        <v>85</v>
      </c>
      <c r="CE90" s="562">
        <f t="shared" si="221"/>
        <v>-50</v>
      </c>
      <c r="CF90">
        <f t="shared" si="222"/>
        <v>-50</v>
      </c>
      <c r="CG90" s="173">
        <f t="shared" si="223"/>
        <v>0.56500122953983234</v>
      </c>
      <c r="CH90" s="173">
        <f t="shared" si="224"/>
        <v>0.19741829216945345</v>
      </c>
      <c r="CI90" s="170">
        <v>85</v>
      </c>
      <c r="CJ90" s="217">
        <f t="shared" si="309"/>
        <v>0.85</v>
      </c>
      <c r="CK90" s="217">
        <f t="shared" si="288"/>
        <v>0.21249999999999999</v>
      </c>
      <c r="CL90" s="217">
        <f t="shared" si="225"/>
        <v>13.939999999999998</v>
      </c>
      <c r="CM90" s="217">
        <f t="shared" si="310"/>
        <v>1.7</v>
      </c>
      <c r="CN90" s="541">
        <f t="shared" si="289"/>
        <v>24</v>
      </c>
      <c r="CO90" s="443">
        <f t="shared" si="226"/>
        <v>17.099999999999998</v>
      </c>
      <c r="CP90" s="443">
        <f t="shared" si="227"/>
        <v>41.099999999999994</v>
      </c>
      <c r="CQ90" s="443"/>
      <c r="CR90" s="217">
        <f t="shared" si="228"/>
        <v>0.41176470588235292</v>
      </c>
      <c r="CS90" s="172">
        <f t="shared" si="290"/>
        <v>29.36061381074169</v>
      </c>
      <c r="CT90" s="172">
        <f t="shared" si="229"/>
        <v>4.0172166427546641</v>
      </c>
      <c r="CU90" s="217">
        <f t="shared" si="230"/>
        <v>1.7902813299232738</v>
      </c>
      <c r="CV90" s="217">
        <f t="shared" si="231"/>
        <v>3.6700767263427112</v>
      </c>
      <c r="CW90" s="443">
        <f t="shared" si="232"/>
        <v>16.399999999999999</v>
      </c>
      <c r="CX90" s="217">
        <f t="shared" si="233"/>
        <v>3.1652380952380943</v>
      </c>
      <c r="CY90" s="217">
        <f t="shared" si="234"/>
        <v>1.5826190476190474</v>
      </c>
      <c r="CZ90" s="217">
        <f t="shared" si="235"/>
        <v>2.2212197159565576</v>
      </c>
      <c r="DA90" s="197">
        <f t="shared" si="236"/>
        <v>350</v>
      </c>
      <c r="DB90" s="443">
        <f t="shared" si="291"/>
        <v>262.89232066713595</v>
      </c>
      <c r="DD90" s="217">
        <f t="shared" si="237"/>
        <v>2.377476538060479</v>
      </c>
      <c r="DE90" s="173">
        <f t="shared" si="238"/>
        <v>1.668404588112617</v>
      </c>
      <c r="DF90" s="173">
        <f t="shared" si="239"/>
        <v>0.69415373374028577</v>
      </c>
      <c r="DG90" s="173"/>
      <c r="DH90" s="173">
        <f t="shared" si="240"/>
        <v>0.93567251461988332</v>
      </c>
      <c r="DI90" s="545">
        <f t="shared" si="241"/>
        <v>1362.6562499999995</v>
      </c>
      <c r="DJ90" s="528">
        <f t="shared" si="242"/>
        <v>0.21832358674463945</v>
      </c>
      <c r="DL90" s="173">
        <f t="shared" si="243"/>
        <v>2.7290326212083</v>
      </c>
      <c r="DM90" s="173">
        <f t="shared" si="244"/>
        <v>3.1652380952380943</v>
      </c>
      <c r="DN90" s="173">
        <f t="shared" si="245"/>
        <v>2.556966490299823</v>
      </c>
      <c r="DP90" s="545">
        <f t="shared" si="246"/>
        <v>850</v>
      </c>
      <c r="DQ90" s="460">
        <f t="shared" si="247"/>
        <v>262.89232066713595</v>
      </c>
      <c r="DS90">
        <f t="shared" si="292"/>
        <v>850</v>
      </c>
      <c r="DT90">
        <f t="shared" si="248"/>
        <v>262.89232066713595</v>
      </c>
      <c r="DV90" s="5">
        <f t="shared" si="293"/>
        <v>3.8038387635756052</v>
      </c>
      <c r="DW90" s="5">
        <f t="shared" si="249"/>
        <v>1.5826190476190474</v>
      </c>
      <c r="DX90" s="5">
        <f t="shared" si="294"/>
        <v>2.2212197159565576</v>
      </c>
      <c r="DY90" s="173">
        <f t="shared" si="295"/>
        <v>0.41605839416058393</v>
      </c>
      <c r="EA90" s="5">
        <f t="shared" si="250"/>
        <v>8.2025987224157966</v>
      </c>
      <c r="EB90" s="5">
        <f t="shared" si="251"/>
        <v>4.2038318452380947</v>
      </c>
      <c r="EC90" s="5">
        <f t="shared" si="252"/>
        <v>1.0751320430706388</v>
      </c>
      <c r="ED90" s="5"/>
      <c r="EE90" s="173">
        <f t="shared" si="296"/>
        <v>1.1787532439641815</v>
      </c>
      <c r="EF90" s="173">
        <f t="shared" si="253"/>
        <v>1.3964663224341449</v>
      </c>
      <c r="EG90" s="173">
        <f t="shared" si="254"/>
        <v>0.34260508053979732</v>
      </c>
      <c r="EH90" s="173"/>
      <c r="EI90" s="528">
        <f t="shared" si="255"/>
        <v>2.7789184203121625E-2</v>
      </c>
      <c r="EJ90" s="528">
        <f t="shared" si="256"/>
        <v>0.68399999999999972</v>
      </c>
      <c r="EK90" s="528">
        <f t="shared" si="257"/>
        <v>3.2861540083391989E-2</v>
      </c>
      <c r="EL90" s="528">
        <f t="shared" si="258"/>
        <v>4.4408033699413263E-2</v>
      </c>
      <c r="EM90">
        <f t="shared" si="259"/>
        <v>1.0800000000000001E-2</v>
      </c>
      <c r="EN90" s="460">
        <f t="shared" si="297"/>
        <v>43.661540083391984</v>
      </c>
      <c r="EO90">
        <f t="shared" si="260"/>
        <v>0.81272804544918797</v>
      </c>
      <c r="EP90" s="460">
        <f t="shared" si="298"/>
        <v>812.72804544918802</v>
      </c>
      <c r="EQ90" s="173">
        <f t="shared" si="261"/>
        <v>0.52806249999999999</v>
      </c>
      <c r="ER90" s="173">
        <f t="shared" si="262"/>
        <v>9.4296874999999988E-2</v>
      </c>
      <c r="ES90" s="528"/>
      <c r="EU90" s="460">
        <f t="shared" si="299"/>
        <v>622.35937499999989</v>
      </c>
      <c r="EV90" s="528">
        <f t="shared" si="263"/>
        <v>4.1683776304682438E-2</v>
      </c>
      <c r="EW90" s="528">
        <f t="shared" si="300"/>
        <v>5.8503545690782359E-2</v>
      </c>
      <c r="EX90" s="528">
        <f t="shared" si="264"/>
        <v>5.8689120605840512E-4</v>
      </c>
      <c r="EY90" s="528">
        <f t="shared" si="265"/>
        <v>0.99869003111229382</v>
      </c>
      <c r="EZ90" s="528">
        <f t="shared" si="266"/>
        <v>1.1327824765060523</v>
      </c>
      <c r="FA90" s="625">
        <f t="shared" si="267"/>
        <v>1.3169238790406665E-2</v>
      </c>
      <c r="FB90" s="460">
        <f t="shared" si="301"/>
        <v>1145.951715296459</v>
      </c>
      <c r="FC90" s="173">
        <f t="shared" si="302"/>
        <v>2.5810391357456468</v>
      </c>
      <c r="FD90" s="5">
        <f t="shared" si="303"/>
        <v>15.639999999999997</v>
      </c>
      <c r="FE90" s="173">
        <f t="shared" si="304"/>
        <v>0.85834841160720521</v>
      </c>
      <c r="FF90" s="5">
        <f t="shared" si="305"/>
        <v>85.834841160720515</v>
      </c>
      <c r="FG90">
        <f t="shared" si="306"/>
        <v>85</v>
      </c>
      <c r="FI90" s="562">
        <f t="shared" si="268"/>
        <v>-50</v>
      </c>
      <c r="FJ90">
        <f t="shared" si="269"/>
        <v>-50</v>
      </c>
      <c r="FL90">
        <f t="shared" si="270"/>
        <v>0.56500122953983234</v>
      </c>
    </row>
    <row r="91" spans="5:168">
      <c r="E91" s="170">
        <v>86</v>
      </c>
      <c r="F91" s="217">
        <f t="shared" si="307"/>
        <v>0.86</v>
      </c>
      <c r="G91" s="217">
        <f t="shared" si="271"/>
        <v>0.215</v>
      </c>
      <c r="H91" s="217">
        <f t="shared" si="176"/>
        <v>14.103999999999999</v>
      </c>
      <c r="I91" s="217">
        <f t="shared" si="308"/>
        <v>1.72</v>
      </c>
      <c r="J91" s="541">
        <f t="shared" si="177"/>
        <v>23.896826736213498</v>
      </c>
      <c r="K91" s="443">
        <f t="shared" si="178"/>
        <v>17.145663617442057</v>
      </c>
      <c r="L91" s="172">
        <f t="shared" si="179"/>
        <v>41.042490353655552</v>
      </c>
      <c r="M91" s="443"/>
      <c r="N91" s="217">
        <f t="shared" si="180"/>
        <v>0.41775397812610893</v>
      </c>
      <c r="O91" s="172">
        <f t="shared" si="272"/>
        <v>29.659621143433736</v>
      </c>
      <c r="P91" s="172">
        <f t="shared" si="181"/>
        <v>4.0581278185542891</v>
      </c>
      <c r="Q91" s="217">
        <f t="shared" si="182"/>
        <v>1.8085134843557158</v>
      </c>
      <c r="R91" s="217">
        <f t="shared" si="183"/>
        <v>3.7074526429292169</v>
      </c>
      <c r="S91" s="443">
        <f t="shared" si="184"/>
        <v>16.399999999999999</v>
      </c>
      <c r="T91" s="217">
        <f t="shared" si="185"/>
        <v>3.170191089493501</v>
      </c>
      <c r="U91" s="217">
        <f t="shared" si="186"/>
        <v>1.5919391094831989</v>
      </c>
      <c r="V91" s="217">
        <f t="shared" si="187"/>
        <v>2.2187705254652315</v>
      </c>
      <c r="W91" s="197">
        <f t="shared" si="188"/>
        <v>350</v>
      </c>
      <c r="X91" s="443">
        <f t="shared" si="273"/>
        <v>249.33243515965921</v>
      </c>
      <c r="Z91" s="217">
        <f t="shared" si="189"/>
        <v>2.3769034365817969</v>
      </c>
      <c r="AA91" s="173">
        <f t="shared" si="190"/>
        <v>1.6635600624968319</v>
      </c>
      <c r="AB91" s="173">
        <f t="shared" si="191"/>
        <v>0.69197128516406603</v>
      </c>
      <c r="AC91" s="173"/>
      <c r="AD91" s="173">
        <f t="shared" si="192"/>
        <v>0.93318056139415995</v>
      </c>
      <c r="AE91" s="545">
        <f t="shared" si="193"/>
        <v>1382.3691291562654</v>
      </c>
      <c r="AF91" s="528">
        <f t="shared" si="194"/>
        <v>0.21774213099197068</v>
      </c>
      <c r="AH91" s="173">
        <f t="shared" si="195"/>
        <v>2.7450388148873404</v>
      </c>
      <c r="AI91" s="173">
        <f t="shared" si="196"/>
        <v>3.170191089493501</v>
      </c>
      <c r="AJ91" s="173">
        <f t="shared" si="197"/>
        <v>2.5606353749334572</v>
      </c>
      <c r="AL91" s="545">
        <f t="shared" si="198"/>
        <v>860</v>
      </c>
      <c r="AM91" s="460">
        <f t="shared" si="199"/>
        <v>249.33243515965921</v>
      </c>
      <c r="AO91">
        <f t="shared" si="274"/>
        <v>860</v>
      </c>
      <c r="AP91">
        <f t="shared" si="200"/>
        <v>249.33243515965921</v>
      </c>
      <c r="AR91" s="5">
        <f t="shared" si="275"/>
        <v>4.0107096349484301</v>
      </c>
      <c r="AS91" s="5">
        <f t="shared" si="201"/>
        <v>1.5919391094831989</v>
      </c>
      <c r="AT91" s="5">
        <f t="shared" si="276"/>
        <v>2.4187705254652312</v>
      </c>
      <c r="AU91" s="173">
        <f t="shared" si="277"/>
        <v>0.39692205479334536</v>
      </c>
      <c r="AW91" s="5">
        <f t="shared" si="202"/>
        <v>8.3479733789972634</v>
      </c>
      <c r="AX91" s="5">
        <f t="shared" si="203"/>
        <v>4.278336356736097</v>
      </c>
      <c r="AY91" s="5">
        <f t="shared" si="204"/>
        <v>1.1896398026585537</v>
      </c>
      <c r="AZ91" s="5"/>
      <c r="BA91" s="173">
        <f t="shared" si="278"/>
        <v>1.1531277646628022</v>
      </c>
      <c r="BB91" s="173">
        <f t="shared" si="205"/>
        <v>1.4213843743565986</v>
      </c>
      <c r="BC91" s="173">
        <f t="shared" si="206"/>
        <v>0.34871840461259446</v>
      </c>
      <c r="BD91" s="173"/>
      <c r="BE91" s="528">
        <f t="shared" si="207"/>
        <v>2.6594072832724618E-2</v>
      </c>
      <c r="BF91" s="528">
        <f t="shared" si="208"/>
        <v>0.60827392026218741</v>
      </c>
      <c r="BG91" s="528">
        <f t="shared" si="209"/>
        <v>0.14895635006821406</v>
      </c>
      <c r="BH91" s="528">
        <f t="shared" si="210"/>
        <v>4.1999699997019808E-2</v>
      </c>
      <c r="BI91">
        <f t="shared" si="211"/>
        <v>1.0753572031296075E-2</v>
      </c>
      <c r="BJ91" s="460">
        <f t="shared" si="279"/>
        <v>159.70992209951012</v>
      </c>
      <c r="BK91">
        <f t="shared" si="212"/>
        <v>0.68839790821304525</v>
      </c>
      <c r="BL91" s="460">
        <f t="shared" si="280"/>
        <v>688.3979082130453</v>
      </c>
      <c r="BM91" s="173">
        <f t="shared" si="213"/>
        <v>0.53427499999999994</v>
      </c>
      <c r="BN91" s="173">
        <f t="shared" si="214"/>
        <v>9.5406249999999998E-2</v>
      </c>
      <c r="BO91" s="528"/>
      <c r="BQ91" s="460">
        <f t="shared" si="281"/>
        <v>629.68124999999998</v>
      </c>
      <c r="BR91" s="528">
        <f t="shared" si="215"/>
        <v>3.9891109249086926E-2</v>
      </c>
      <c r="BS91" s="528">
        <f t="shared" si="216"/>
        <v>6.0610006189952971E-2</v>
      </c>
      <c r="BT91" s="528">
        <f t="shared" si="217"/>
        <v>6.0802262857776574E-4</v>
      </c>
      <c r="BU91" s="528">
        <f t="shared" si="218"/>
        <v>0.87827506604288086</v>
      </c>
      <c r="BV91" s="528">
        <f t="shared" si="219"/>
        <v>1.0118348572695504</v>
      </c>
      <c r="BW91" s="625">
        <f t="shared" si="220"/>
        <v>1.2529093924338923E-2</v>
      </c>
      <c r="BX91" s="460">
        <f t="shared" si="282"/>
        <v>1024.3639511938893</v>
      </c>
      <c r="BY91" s="173">
        <f t="shared" si="283"/>
        <v>2.342443109406934</v>
      </c>
      <c r="BZ91" s="5">
        <f t="shared" si="284"/>
        <v>15.824</v>
      </c>
      <c r="CA91" s="173">
        <f t="shared" si="285"/>
        <v>0.87105659069859565</v>
      </c>
      <c r="CB91" s="5">
        <f t="shared" si="286"/>
        <v>87.10565906985957</v>
      </c>
      <c r="CC91">
        <f t="shared" si="287"/>
        <v>86</v>
      </c>
      <c r="CE91" s="562">
        <f t="shared" si="221"/>
        <v>-50</v>
      </c>
      <c r="CF91">
        <f t="shared" si="222"/>
        <v>-50</v>
      </c>
      <c r="CG91" s="173">
        <f t="shared" si="223"/>
        <v>0.56500122953983234</v>
      </c>
      <c r="CH91" s="173">
        <f t="shared" si="224"/>
        <v>0.19741829216945345</v>
      </c>
      <c r="CI91" s="170">
        <v>86</v>
      </c>
      <c r="CJ91" s="217">
        <f t="shared" si="309"/>
        <v>0.86</v>
      </c>
      <c r="CK91" s="217">
        <f t="shared" si="288"/>
        <v>0.215</v>
      </c>
      <c r="CL91" s="217">
        <f t="shared" si="225"/>
        <v>14.103999999999999</v>
      </c>
      <c r="CM91" s="217">
        <f t="shared" si="310"/>
        <v>1.72</v>
      </c>
      <c r="CN91" s="541">
        <f t="shared" si="289"/>
        <v>24</v>
      </c>
      <c r="CO91" s="443">
        <f t="shared" si="226"/>
        <v>17.099999999999998</v>
      </c>
      <c r="CP91" s="443">
        <f t="shared" si="227"/>
        <v>41.099999999999994</v>
      </c>
      <c r="CQ91" s="443"/>
      <c r="CR91" s="217">
        <f t="shared" si="228"/>
        <v>0.41176470588235292</v>
      </c>
      <c r="CS91" s="172">
        <f t="shared" si="290"/>
        <v>29.36061381074169</v>
      </c>
      <c r="CT91" s="172">
        <f t="shared" si="229"/>
        <v>4.0172166427546641</v>
      </c>
      <c r="CU91" s="217">
        <f t="shared" si="230"/>
        <v>1.7902813299232738</v>
      </c>
      <c r="CV91" s="217">
        <f t="shared" si="231"/>
        <v>3.6700767263427112</v>
      </c>
      <c r="CW91" s="443">
        <f t="shared" si="232"/>
        <v>16.399999999999999</v>
      </c>
      <c r="CX91" s="217">
        <f t="shared" si="233"/>
        <v>3.2024761904761903</v>
      </c>
      <c r="CY91" s="217">
        <f t="shared" si="234"/>
        <v>1.6012380952380951</v>
      </c>
      <c r="CZ91" s="217">
        <f t="shared" si="235"/>
        <v>2.2473517126148708</v>
      </c>
      <c r="DA91" s="197">
        <f t="shared" si="236"/>
        <v>350</v>
      </c>
      <c r="DB91" s="443">
        <f t="shared" si="291"/>
        <v>259.83543321751807</v>
      </c>
      <c r="DD91" s="217">
        <f t="shared" si="237"/>
        <v>2.377476538060479</v>
      </c>
      <c r="DE91" s="173">
        <f t="shared" si="238"/>
        <v>1.668404588112617</v>
      </c>
      <c r="DF91" s="173">
        <f t="shared" si="239"/>
        <v>0.69415373374028577</v>
      </c>
      <c r="DG91" s="173"/>
      <c r="DH91" s="173">
        <f t="shared" si="240"/>
        <v>0.93567251461988332</v>
      </c>
      <c r="DI91" s="545">
        <f t="shared" si="241"/>
        <v>1378.6874999999995</v>
      </c>
      <c r="DJ91" s="528">
        <f t="shared" si="242"/>
        <v>0.21832358674463945</v>
      </c>
      <c r="DL91" s="173">
        <f t="shared" si="243"/>
        <v>2.7450388148873404</v>
      </c>
      <c r="DM91" s="173">
        <f t="shared" si="244"/>
        <v>3.2024761904761903</v>
      </c>
      <c r="DN91" s="173">
        <f t="shared" si="245"/>
        <v>2.5845502645502645</v>
      </c>
      <c r="DP91" s="545">
        <f t="shared" si="246"/>
        <v>860</v>
      </c>
      <c r="DQ91" s="460">
        <f t="shared" si="247"/>
        <v>259.83543321751807</v>
      </c>
      <c r="DS91">
        <f>IF(CL91&gt;CS91, "",DP91)</f>
        <v>860</v>
      </c>
      <c r="DT91">
        <f>IF(CL91&gt;CS91, "",DQ91)</f>
        <v>259.83543321751807</v>
      </c>
      <c r="DV91" s="5">
        <f t="shared" si="293"/>
        <v>3.8485898078529659</v>
      </c>
      <c r="DW91" s="5">
        <f t="shared" si="249"/>
        <v>1.6012380952380951</v>
      </c>
      <c r="DX91" s="5">
        <f t="shared" si="294"/>
        <v>2.2473517126148708</v>
      </c>
      <c r="DY91" s="173">
        <f t="shared" si="295"/>
        <v>0.41605839416058388</v>
      </c>
      <c r="EA91" s="5">
        <f t="shared" si="250"/>
        <v>8.3967363530778165</v>
      </c>
      <c r="EB91" s="5">
        <f t="shared" si="251"/>
        <v>4.3033273809523811</v>
      </c>
      <c r="EC91" s="5">
        <f t="shared" si="252"/>
        <v>1.1005780748166711</v>
      </c>
      <c r="ED91" s="5"/>
      <c r="EE91" s="173">
        <f t="shared" si="296"/>
        <v>1.1926209291872896</v>
      </c>
      <c r="EF91" s="173">
        <f t="shared" si="253"/>
        <v>1.412895337992194</v>
      </c>
      <c r="EG91" s="173">
        <f t="shared" si="254"/>
        <v>0.34663572854614799</v>
      </c>
      <c r="EH91" s="173"/>
      <c r="EI91" s="528">
        <f t="shared" si="255"/>
        <v>2.8446893614711082E-2</v>
      </c>
      <c r="EJ91" s="528">
        <f t="shared" si="256"/>
        <v>0.68399999999999983</v>
      </c>
      <c r="EK91" s="528">
        <f t="shared" si="257"/>
        <v>3.2479429152189758E-2</v>
      </c>
      <c r="EL91" s="528">
        <f t="shared" si="258"/>
        <v>4.3891661214536359E-2</v>
      </c>
      <c r="EM91">
        <f t="shared" si="259"/>
        <v>1.0800000000000001E-2</v>
      </c>
      <c r="EN91" s="460">
        <f t="shared" si="297"/>
        <v>43.279429152189756</v>
      </c>
      <c r="EO91">
        <f t="shared" si="260"/>
        <v>0.81279229367741079</v>
      </c>
      <c r="EP91" s="460">
        <f t="shared" si="298"/>
        <v>812.79229367741084</v>
      </c>
      <c r="EQ91" s="173">
        <f t="shared" si="261"/>
        <v>0.53427499999999994</v>
      </c>
      <c r="ER91" s="173">
        <f t="shared" si="262"/>
        <v>9.5406249999999998E-2</v>
      </c>
      <c r="ES91" s="528"/>
      <c r="EU91" s="460">
        <f t="shared" si="299"/>
        <v>629.68124999999998</v>
      </c>
      <c r="EV91" s="528">
        <f t="shared" si="263"/>
        <v>4.2670340422066619E-2</v>
      </c>
      <c r="EW91" s="528">
        <f t="shared" si="300"/>
        <v>5.9888197083602282E-2</v>
      </c>
      <c r="EX91" s="528">
        <f t="shared" si="264"/>
        <v>6.0078164152359401E-4</v>
      </c>
      <c r="EY91" s="528">
        <f t="shared" si="265"/>
        <v>0.99869003111229404</v>
      </c>
      <c r="EZ91" s="528">
        <f t="shared" si="266"/>
        <v>1.1359825618664305</v>
      </c>
      <c r="FA91" s="625">
        <f t="shared" si="267"/>
        <v>1.3324171011470281E-2</v>
      </c>
      <c r="FB91" s="460">
        <f t="shared" si="301"/>
        <v>1149.3067328779007</v>
      </c>
      <c r="FC91" s="173">
        <f t="shared" si="302"/>
        <v>2.5917802765553115</v>
      </c>
      <c r="FD91" s="5">
        <f t="shared" si="303"/>
        <v>15.824</v>
      </c>
      <c r="FE91" s="173">
        <f t="shared" si="304"/>
        <v>0.85926307559963433</v>
      </c>
      <c r="FF91" s="5">
        <f t="shared" si="305"/>
        <v>85.926307559963433</v>
      </c>
      <c r="FG91">
        <f t="shared" si="306"/>
        <v>86</v>
      </c>
      <c r="FI91" s="562">
        <f t="shared" si="268"/>
        <v>-50</v>
      </c>
      <c r="FJ91">
        <f t="shared" si="269"/>
        <v>-50</v>
      </c>
      <c r="FL91">
        <f t="shared" si="270"/>
        <v>0.56500122953983234</v>
      </c>
    </row>
    <row r="92" spans="5:168">
      <c r="E92" s="170">
        <v>87</v>
      </c>
      <c r="F92" s="217">
        <f t="shared" si="307"/>
        <v>0.87</v>
      </c>
      <c r="G92" s="217">
        <f t="shared" si="271"/>
        <v>0.2175</v>
      </c>
      <c r="H92" s="217">
        <f t="shared" si="176"/>
        <v>14.267999999999999</v>
      </c>
      <c r="I92" s="217">
        <f t="shared" si="308"/>
        <v>1.74</v>
      </c>
      <c r="J92" s="541">
        <f t="shared" si="177"/>
        <v>23.895627047099701</v>
      </c>
      <c r="K92" s="443">
        <f t="shared" si="178"/>
        <v>17.146194589737895</v>
      </c>
      <c r="L92" s="172">
        <f t="shared" si="179"/>
        <v>41.041821636837597</v>
      </c>
      <c r="M92" s="443"/>
      <c r="N92" s="217">
        <f t="shared" si="180"/>
        <v>0.41777372216705205</v>
      </c>
      <c r="O92" s="172">
        <f t="shared" si="272"/>
        <v>29.659533859006054</v>
      </c>
      <c r="P92" s="172">
        <f t="shared" si="181"/>
        <v>4.0581158760091567</v>
      </c>
      <c r="Q92" s="217">
        <f t="shared" si="182"/>
        <v>1.8085081621345156</v>
      </c>
      <c r="R92" s="217">
        <f t="shared" si="183"/>
        <v>3.7074417323757567</v>
      </c>
      <c r="S92" s="443">
        <f t="shared" si="184"/>
        <v>16.399999999999999</v>
      </c>
      <c r="T92" s="217">
        <f t="shared" si="185"/>
        <v>3.2070632145527469</v>
      </c>
      <c r="U92" s="217">
        <f t="shared" si="186"/>
        <v>1.6105356222197986</v>
      </c>
      <c r="V92" s="217">
        <f t="shared" si="187"/>
        <v>2.2445072796308012</v>
      </c>
      <c r="W92" s="197">
        <f t="shared" si="188"/>
        <v>350</v>
      </c>
      <c r="X92" s="443">
        <f t="shared" si="273"/>
        <v>246.60651544367877</v>
      </c>
      <c r="Z92" s="217">
        <f t="shared" si="189"/>
        <v>2.376896441662506</v>
      </c>
      <c r="AA92" s="173">
        <f t="shared" si="190"/>
        <v>1.6635036509512799</v>
      </c>
      <c r="AB92" s="173">
        <f t="shared" si="191"/>
        <v>0.69194578401176976</v>
      </c>
      <c r="AC92" s="173"/>
      <c r="AD92" s="173">
        <f t="shared" si="192"/>
        <v>0.93315166326037746</v>
      </c>
      <c r="AE92" s="545">
        <f t="shared" si="193"/>
        <v>1398.4864962254967</v>
      </c>
      <c r="AF92" s="528">
        <f t="shared" si="194"/>
        <v>0.21773538809408807</v>
      </c>
      <c r="AH92" s="173">
        <f t="shared" si="195"/>
        <v>2.7609522166921221</v>
      </c>
      <c r="AI92" s="173">
        <f t="shared" si="196"/>
        <v>3.2070632145527469</v>
      </c>
      <c r="AJ92" s="173">
        <f t="shared" si="197"/>
        <v>2.5879480601625282</v>
      </c>
      <c r="AL92" s="545">
        <f t="shared" si="198"/>
        <v>870</v>
      </c>
      <c r="AM92" s="460">
        <f t="shared" si="199"/>
        <v>246.60651544367877</v>
      </c>
      <c r="AO92">
        <f t="shared" si="274"/>
        <v>870</v>
      </c>
      <c r="AP92">
        <f t="shared" si="200"/>
        <v>246.60651544367877</v>
      </c>
      <c r="AR92" s="5">
        <f t="shared" si="275"/>
        <v>4.0550429018506007</v>
      </c>
      <c r="AS92" s="5">
        <f t="shared" si="201"/>
        <v>1.6105356222197986</v>
      </c>
      <c r="AT92" s="5">
        <f t="shared" si="276"/>
        <v>2.4445072796308018</v>
      </c>
      <c r="AU92" s="173">
        <f t="shared" si="277"/>
        <v>0.39716857779354153</v>
      </c>
      <c r="AW92" s="5">
        <f t="shared" si="202"/>
        <v>8.5436950690928359</v>
      </c>
      <c r="AX92" s="5">
        <f t="shared" si="203"/>
        <v>4.3786437229100779</v>
      </c>
      <c r="AY92" s="5">
        <f t="shared" si="204"/>
        <v>1.2163393535361515</v>
      </c>
      <c r="AZ92" s="5"/>
      <c r="BA92" s="173">
        <f t="shared" si="278"/>
        <v>1.1669018649072118</v>
      </c>
      <c r="BB92" s="173">
        <f t="shared" si="205"/>
        <v>1.437622409300116</v>
      </c>
      <c r="BC92" s="173">
        <f t="shared" si="206"/>
        <v>0.35270219797750335</v>
      </c>
      <c r="BD92" s="173"/>
      <c r="BE92" s="528">
        <f t="shared" si="207"/>
        <v>2.7233199246478573E-2</v>
      </c>
      <c r="BF92" s="528">
        <f t="shared" si="208"/>
        <v>0.60861123859658073</v>
      </c>
      <c r="BG92" s="528">
        <f t="shared" si="209"/>
        <v>0.14732043301067452</v>
      </c>
      <c r="BH92" s="528">
        <f t="shared" si="210"/>
        <v>4.1539168981449416E-2</v>
      </c>
      <c r="BI92">
        <f t="shared" si="211"/>
        <v>1.0753032171194865E-2</v>
      </c>
      <c r="BJ92" s="460">
        <f t="shared" si="279"/>
        <v>158.07346518186938</v>
      </c>
      <c r="BK92">
        <f t="shared" si="212"/>
        <v>0.68919608844164848</v>
      </c>
      <c r="BL92" s="460">
        <f t="shared" si="280"/>
        <v>689.1960884416485</v>
      </c>
      <c r="BM92" s="173">
        <f t="shared" si="213"/>
        <v>0.54048750000000001</v>
      </c>
      <c r="BN92" s="173">
        <f t="shared" si="214"/>
        <v>9.6515624999999994E-2</v>
      </c>
      <c r="BO92" s="528"/>
      <c r="BQ92" s="460">
        <f t="shared" si="281"/>
        <v>637.00312499999995</v>
      </c>
      <c r="BR92" s="528">
        <f t="shared" si="215"/>
        <v>4.084979886971786E-2</v>
      </c>
      <c r="BS92" s="528">
        <f t="shared" si="216"/>
        <v>6.2002745751656096E-2</v>
      </c>
      <c r="BT92" s="528">
        <f t="shared" si="217"/>
        <v>6.2199420229080982E-4</v>
      </c>
      <c r="BU92" s="528">
        <f t="shared" si="218"/>
        <v>0.87952901681765261</v>
      </c>
      <c r="BV92" s="528">
        <f t="shared" si="219"/>
        <v>1.0162499243390422</v>
      </c>
      <c r="BW92" s="625">
        <f t="shared" si="220"/>
        <v>1.2682053816796263E-2</v>
      </c>
      <c r="BX92" s="460">
        <f t="shared" si="282"/>
        <v>1028.9319781558384</v>
      </c>
      <c r="BY92" s="173">
        <f t="shared" si="283"/>
        <v>2.3551311915974864</v>
      </c>
      <c r="BZ92" s="5">
        <f t="shared" si="284"/>
        <v>16.007999999999999</v>
      </c>
      <c r="CA92" s="173">
        <f t="shared" si="285"/>
        <v>0.87174675347986752</v>
      </c>
      <c r="CB92" s="5">
        <f t="shared" si="286"/>
        <v>87.174675347986749</v>
      </c>
      <c r="CC92">
        <f t="shared" si="287"/>
        <v>87</v>
      </c>
      <c r="CE92" s="562">
        <f t="shared" si="221"/>
        <v>-50</v>
      </c>
      <c r="CF92">
        <f t="shared" si="222"/>
        <v>-50</v>
      </c>
      <c r="CG92" s="173">
        <f t="shared" si="223"/>
        <v>0.56500122953983234</v>
      </c>
      <c r="CH92" s="173">
        <f t="shared" si="224"/>
        <v>0.19741829216945345</v>
      </c>
      <c r="CI92" s="170">
        <v>87</v>
      </c>
      <c r="CJ92" s="217">
        <f t="shared" si="309"/>
        <v>0.87</v>
      </c>
      <c r="CK92" s="217">
        <f t="shared" si="288"/>
        <v>0.2175</v>
      </c>
      <c r="CL92" s="217">
        <f t="shared" si="225"/>
        <v>14.267999999999999</v>
      </c>
      <c r="CM92" s="217">
        <f t="shared" si="310"/>
        <v>1.74</v>
      </c>
      <c r="CN92" s="541">
        <f t="shared" si="289"/>
        <v>24</v>
      </c>
      <c r="CO92" s="443">
        <f t="shared" si="226"/>
        <v>17.099999999999998</v>
      </c>
      <c r="CP92" s="443">
        <f t="shared" si="227"/>
        <v>41.099999999999994</v>
      </c>
      <c r="CQ92" s="443"/>
      <c r="CR92" s="217">
        <f t="shared" si="228"/>
        <v>0.41176470588235292</v>
      </c>
      <c r="CS92" s="172">
        <f t="shared" si="290"/>
        <v>29.36061381074169</v>
      </c>
      <c r="CT92" s="172">
        <f t="shared" si="229"/>
        <v>4.0172166427546641</v>
      </c>
      <c r="CU92" s="217">
        <f t="shared" si="230"/>
        <v>1.7902813299232738</v>
      </c>
      <c r="CV92" s="217">
        <f t="shared" si="231"/>
        <v>3.6700767263427112</v>
      </c>
      <c r="CW92" s="443">
        <f t="shared" si="232"/>
        <v>16.399999999999999</v>
      </c>
      <c r="CX92" s="217">
        <f t="shared" si="233"/>
        <v>3.2397142857142853</v>
      </c>
      <c r="CY92" s="217">
        <f t="shared" si="234"/>
        <v>1.6198571428571427</v>
      </c>
      <c r="CZ92" s="217">
        <f t="shared" si="235"/>
        <v>2.273483709273183</v>
      </c>
      <c r="DA92" s="197">
        <f t="shared" si="236"/>
        <v>350</v>
      </c>
      <c r="DB92" s="443">
        <f t="shared" si="291"/>
        <v>256.84881904260408</v>
      </c>
      <c r="DD92" s="217">
        <f t="shared" si="237"/>
        <v>2.377476538060479</v>
      </c>
      <c r="DE92" s="173">
        <f t="shared" si="238"/>
        <v>1.668404588112617</v>
      </c>
      <c r="DF92" s="173">
        <f t="shared" si="239"/>
        <v>0.69415373374028577</v>
      </c>
      <c r="DG92" s="173"/>
      <c r="DH92" s="173">
        <f t="shared" si="240"/>
        <v>0.93567251461988332</v>
      </c>
      <c r="DI92" s="545">
        <f t="shared" si="241"/>
        <v>1394.7187499999995</v>
      </c>
      <c r="DJ92" s="528">
        <f t="shared" si="242"/>
        <v>0.21832358674463945</v>
      </c>
      <c r="DL92" s="173">
        <f t="shared" si="243"/>
        <v>2.7609522166921221</v>
      </c>
      <c r="DM92" s="173">
        <f t="shared" si="244"/>
        <v>3.2397142857142853</v>
      </c>
      <c r="DN92" s="173">
        <f t="shared" si="245"/>
        <v>2.612134038800705</v>
      </c>
      <c r="DP92" s="545">
        <f t="shared" si="246"/>
        <v>870</v>
      </c>
      <c r="DQ92" s="460">
        <f t="shared" si="247"/>
        <v>256.84881904260408</v>
      </c>
      <c r="DS92">
        <f>IF(CL92&gt;CS92, "",DP92)</f>
        <v>870</v>
      </c>
      <c r="DT92">
        <f>IF(CL92&gt;CS92, "",DQ92)</f>
        <v>256.84881904260408</v>
      </c>
      <c r="DV92" s="5">
        <f t="shared" si="293"/>
        <v>3.8933408521303257</v>
      </c>
      <c r="DW92" s="5">
        <f t="shared" si="249"/>
        <v>1.6198571428571427</v>
      </c>
      <c r="DX92" s="5">
        <f t="shared" si="294"/>
        <v>2.273483709273183</v>
      </c>
      <c r="DY92" s="173">
        <f t="shared" si="295"/>
        <v>0.41605839416058393</v>
      </c>
      <c r="EA92" s="5">
        <f t="shared" si="250"/>
        <v>8.5931445993031375</v>
      </c>
      <c r="EB92" s="5">
        <f t="shared" si="251"/>
        <v>4.4039866071428575</v>
      </c>
      <c r="EC92" s="5">
        <f t="shared" si="252"/>
        <v>1.126321720969089</v>
      </c>
      <c r="ED92" s="5"/>
      <c r="EE92" s="173">
        <f t="shared" si="296"/>
        <v>1.2064886144103977</v>
      </c>
      <c r="EF92" s="173">
        <f t="shared" si="253"/>
        <v>1.4293243535502427</v>
      </c>
      <c r="EG92" s="173">
        <f t="shared" si="254"/>
        <v>0.35066637655249849</v>
      </c>
      <c r="EH92" s="173"/>
      <c r="EI92" s="528">
        <f t="shared" si="255"/>
        <v>2.9112295534038424E-2</v>
      </c>
      <c r="EJ92" s="528">
        <f t="shared" si="256"/>
        <v>0.68399999999999983</v>
      </c>
      <c r="EK92" s="528">
        <f t="shared" si="257"/>
        <v>3.2106102380325512E-2</v>
      </c>
      <c r="EL92" s="528">
        <f t="shared" si="258"/>
        <v>4.338715936149571E-2</v>
      </c>
      <c r="EM92">
        <f t="shared" si="259"/>
        <v>1.0800000000000001E-2</v>
      </c>
      <c r="EN92" s="460">
        <f t="shared" si="297"/>
        <v>42.906102380325507</v>
      </c>
      <c r="EO92">
        <f t="shared" si="260"/>
        <v>0.81288869435338551</v>
      </c>
      <c r="EP92" s="460">
        <f t="shared" si="298"/>
        <v>812.88869435338552</v>
      </c>
      <c r="EQ92" s="173">
        <f t="shared" si="261"/>
        <v>0.54048750000000001</v>
      </c>
      <c r="ER92" s="173">
        <f t="shared" si="262"/>
        <v>9.6515624999999994E-2</v>
      </c>
      <c r="ES92" s="528"/>
      <c r="EU92" s="460">
        <f t="shared" si="299"/>
        <v>637.00312499999995</v>
      </c>
      <c r="EV92" s="528">
        <f t="shared" si="263"/>
        <v>4.3668443301057631E-2</v>
      </c>
      <c r="EW92" s="528">
        <f t="shared" si="300"/>
        <v>6.1289043229554571E-2</v>
      </c>
      <c r="EX92" s="528">
        <f t="shared" si="264"/>
        <v>6.1483453822229331E-4</v>
      </c>
      <c r="EY92" s="528">
        <f t="shared" si="265"/>
        <v>0.99869003111229482</v>
      </c>
      <c r="EZ92" s="528">
        <f t="shared" si="266"/>
        <v>1.139221328425893</v>
      </c>
      <c r="FA92" s="625">
        <f t="shared" si="267"/>
        <v>1.3479103232533885E-2</v>
      </c>
      <c r="FB92" s="460">
        <f t="shared" si="301"/>
        <v>1152.7004316584269</v>
      </c>
      <c r="FC92" s="173">
        <f t="shared" si="302"/>
        <v>2.6025922510118127</v>
      </c>
      <c r="FD92" s="5">
        <f t="shared" si="303"/>
        <v>16.007999999999999</v>
      </c>
      <c r="FE92" s="173">
        <f t="shared" si="304"/>
        <v>0.86015532359695235</v>
      </c>
      <c r="FF92" s="5">
        <f t="shared" si="305"/>
        <v>86.015532359695229</v>
      </c>
      <c r="FG92">
        <f t="shared" si="306"/>
        <v>87</v>
      </c>
      <c r="FI92" s="562">
        <f t="shared" si="268"/>
        <v>-50</v>
      </c>
      <c r="FJ92">
        <f t="shared" si="269"/>
        <v>-50</v>
      </c>
      <c r="FL92">
        <f t="shared" si="270"/>
        <v>0.56500122953983234</v>
      </c>
    </row>
    <row r="93" spans="5:168">
      <c r="E93" s="170">
        <v>88</v>
      </c>
      <c r="F93" s="217">
        <f t="shared" si="307"/>
        <v>0.88</v>
      </c>
      <c r="G93" s="217">
        <f t="shared" si="271"/>
        <v>0.22</v>
      </c>
      <c r="H93" s="217">
        <f t="shared" si="176"/>
        <v>14.431999999999999</v>
      </c>
      <c r="I93" s="217">
        <f t="shared" si="308"/>
        <v>1.76</v>
      </c>
      <c r="J93" s="541">
        <f t="shared" si="177"/>
        <v>23.894427357985904</v>
      </c>
      <c r="K93" s="443">
        <f t="shared" si="178"/>
        <v>17.146725562033733</v>
      </c>
      <c r="L93" s="172">
        <f t="shared" si="179"/>
        <v>41.041152920019641</v>
      </c>
      <c r="M93" s="443"/>
      <c r="N93" s="217">
        <f t="shared" si="180"/>
        <v>0.41779346685140656</v>
      </c>
      <c r="O93" s="172">
        <f t="shared" si="272"/>
        <v>29.659446479507473</v>
      </c>
      <c r="P93" s="172">
        <f t="shared" si="181"/>
        <v>4.0581039204561087</v>
      </c>
      <c r="Q93" s="217">
        <f t="shared" si="182"/>
        <v>1.8085028341163094</v>
      </c>
      <c r="R93" s="217">
        <f t="shared" si="183"/>
        <v>3.7074308099384341</v>
      </c>
      <c r="S93" s="443">
        <f t="shared" si="184"/>
        <v>16.399999999999999</v>
      </c>
      <c r="T93" s="217">
        <f t="shared" si="185"/>
        <v>3.2439355670312251</v>
      </c>
      <c r="U93" s="217">
        <f t="shared" si="186"/>
        <v>1.6291341165522677</v>
      </c>
      <c r="V93" s="217">
        <f t="shared" si="187"/>
        <v>2.2702425990048698</v>
      </c>
      <c r="W93" s="197">
        <f t="shared" si="188"/>
        <v>350</v>
      </c>
      <c r="X93" s="443">
        <f t="shared" si="273"/>
        <v>243.93952285599892</v>
      </c>
      <c r="Z93" s="217">
        <f t="shared" si="189"/>
        <v>2.3768894391242918</v>
      </c>
      <c r="AA93" s="173">
        <f t="shared" si="190"/>
        <v>1.6634472375674099</v>
      </c>
      <c r="AB93" s="173">
        <f t="shared" si="191"/>
        <v>0.69192028001502948</v>
      </c>
      <c r="AC93" s="173"/>
      <c r="AD93" s="173">
        <f t="shared" si="192"/>
        <v>0.93312276691633711</v>
      </c>
      <c r="AE93" s="545">
        <f t="shared" si="193"/>
        <v>1414.6048588677827</v>
      </c>
      <c r="AF93" s="528">
        <f t="shared" si="194"/>
        <v>0.217728645613812</v>
      </c>
      <c r="AH93" s="173">
        <f t="shared" si="195"/>
        <v>2.7767744219644834</v>
      </c>
      <c r="AI93" s="173">
        <f t="shared" si="196"/>
        <v>3.2439355670312251</v>
      </c>
      <c r="AJ93" s="173">
        <f t="shared" si="197"/>
        <v>2.6152609138502898</v>
      </c>
      <c r="AL93" s="545">
        <f t="shared" si="198"/>
        <v>880</v>
      </c>
      <c r="AM93" s="460">
        <f t="shared" si="199"/>
        <v>243.93952285599892</v>
      </c>
      <c r="AO93">
        <f t="shared" si="274"/>
        <v>880</v>
      </c>
      <c r="AP93">
        <f t="shared" si="200"/>
        <v>243.93952285599892</v>
      </c>
      <c r="AR93" s="5">
        <f t="shared" si="275"/>
        <v>4.0993767155571375</v>
      </c>
      <c r="AS93" s="5">
        <f t="shared" si="201"/>
        <v>1.6291341165522677</v>
      </c>
      <c r="AT93" s="5">
        <f t="shared" si="276"/>
        <v>2.4702425990048695</v>
      </c>
      <c r="AU93" s="173">
        <f t="shared" si="277"/>
        <v>0.39741019906018948</v>
      </c>
      <c r="AW93" s="5">
        <f t="shared" si="202"/>
        <v>8.741695259548754</v>
      </c>
      <c r="AX93" s="5">
        <f t="shared" si="203"/>
        <v>4.4801188205187366</v>
      </c>
      <c r="AY93" s="5">
        <f t="shared" si="204"/>
        <v>1.2433352713976105</v>
      </c>
      <c r="AZ93" s="5"/>
      <c r="BA93" s="173">
        <f t="shared" si="278"/>
        <v>1.1806769815702676</v>
      </c>
      <c r="BB93" s="173">
        <f t="shared" si="205"/>
        <v>1.4538596400180868</v>
      </c>
      <c r="BC93" s="173">
        <f t="shared" si="206"/>
        <v>0.35668579403600115</v>
      </c>
      <c r="BD93" s="173"/>
      <c r="BE93" s="528">
        <f t="shared" si="207"/>
        <v>2.7879962696197559E-2</v>
      </c>
      <c r="BF93" s="528">
        <f t="shared" si="208"/>
        <v>0.60894099688971737</v>
      </c>
      <c r="BG93" s="528">
        <f t="shared" si="209"/>
        <v>0.14571988021561019</v>
      </c>
      <c r="BH93" s="528">
        <f t="shared" si="210"/>
        <v>4.1088593458908716E-2</v>
      </c>
      <c r="BI93">
        <f t="shared" si="211"/>
        <v>1.0752492311093657E-2</v>
      </c>
      <c r="BJ93" s="460">
        <f t="shared" si="279"/>
        <v>156.47237252670385</v>
      </c>
      <c r="BK93">
        <f t="shared" si="212"/>
        <v>0.69000794822834566</v>
      </c>
      <c r="BL93" s="460">
        <f t="shared" si="280"/>
        <v>690.00794822834564</v>
      </c>
      <c r="BM93" s="173">
        <f t="shared" si="213"/>
        <v>0.54669999999999996</v>
      </c>
      <c r="BN93" s="173">
        <f t="shared" si="214"/>
        <v>9.762499999999999E-2</v>
      </c>
      <c r="BO93" s="528"/>
      <c r="BQ93" s="460">
        <f t="shared" si="281"/>
        <v>644.32499999999993</v>
      </c>
      <c r="BR93" s="528">
        <f t="shared" si="215"/>
        <v>4.1819944044296335E-2</v>
      </c>
      <c r="BS93" s="528">
        <f t="shared" si="216"/>
        <v>6.3411235586205622E-2</v>
      </c>
      <c r="BT93" s="528">
        <f t="shared" si="217"/>
        <v>6.3612377833546319E-4</v>
      </c>
      <c r="BU93" s="528">
        <f t="shared" si="218"/>
        <v>0.88075674520432667</v>
      </c>
      <c r="BV93" s="528">
        <f t="shared" si="219"/>
        <v>1.0206767046612615</v>
      </c>
      <c r="BW93" s="625">
        <f t="shared" si="220"/>
        <v>1.2835021874319279E-2</v>
      </c>
      <c r="BX93" s="460">
        <f t="shared" si="282"/>
        <v>1033.5117265355807</v>
      </c>
      <c r="BY93" s="173">
        <f t="shared" si="283"/>
        <v>2.3678446747639263</v>
      </c>
      <c r="BZ93" s="5">
        <f t="shared" si="284"/>
        <v>16.192</v>
      </c>
      <c r="CA93" s="173">
        <f t="shared" si="285"/>
        <v>0.87242109423558289</v>
      </c>
      <c r="CB93" s="5">
        <f t="shared" si="286"/>
        <v>87.24210942355829</v>
      </c>
      <c r="CC93">
        <f t="shared" si="287"/>
        <v>88</v>
      </c>
      <c r="CE93" s="562">
        <f t="shared" si="221"/>
        <v>-50</v>
      </c>
      <c r="CF93">
        <f t="shared" si="222"/>
        <v>-50</v>
      </c>
      <c r="CG93" s="173">
        <f t="shared" si="223"/>
        <v>0.56500122953983234</v>
      </c>
      <c r="CH93" s="173">
        <f t="shared" si="224"/>
        <v>0.19741829216945347</v>
      </c>
      <c r="CI93" s="170">
        <v>88</v>
      </c>
      <c r="CJ93" s="217">
        <f t="shared" si="309"/>
        <v>0.88</v>
      </c>
      <c r="CK93" s="217">
        <f t="shared" si="288"/>
        <v>0.22</v>
      </c>
      <c r="CL93" s="217">
        <f t="shared" si="225"/>
        <v>14.431999999999999</v>
      </c>
      <c r="CM93" s="217">
        <f t="shared" si="310"/>
        <v>1.76</v>
      </c>
      <c r="CN93" s="541">
        <f t="shared" si="289"/>
        <v>24</v>
      </c>
      <c r="CO93" s="443">
        <f t="shared" si="226"/>
        <v>17.099999999999998</v>
      </c>
      <c r="CP93" s="443">
        <f t="shared" si="227"/>
        <v>41.099999999999994</v>
      </c>
      <c r="CQ93" s="443"/>
      <c r="CR93" s="217">
        <f t="shared" si="228"/>
        <v>0.41176470588235292</v>
      </c>
      <c r="CS93" s="172">
        <f t="shared" si="290"/>
        <v>29.36061381074169</v>
      </c>
      <c r="CT93" s="172">
        <f t="shared" si="229"/>
        <v>4.0172166427546641</v>
      </c>
      <c r="CU93" s="217">
        <f t="shared" si="230"/>
        <v>1.7902813299232738</v>
      </c>
      <c r="CV93" s="217">
        <f t="shared" si="231"/>
        <v>3.6700767263427112</v>
      </c>
      <c r="CW93" s="443">
        <f t="shared" si="232"/>
        <v>16.399999999999999</v>
      </c>
      <c r="CX93" s="217">
        <f t="shared" si="233"/>
        <v>3.2769523809523808</v>
      </c>
      <c r="CY93" s="217">
        <f t="shared" si="234"/>
        <v>1.6384761904761906</v>
      </c>
      <c r="CZ93" s="217">
        <f t="shared" si="235"/>
        <v>2.2996157059314957</v>
      </c>
      <c r="DA93" s="197">
        <f t="shared" si="236"/>
        <v>350</v>
      </c>
      <c r="DB93" s="443">
        <f t="shared" si="291"/>
        <v>253.93008246257449</v>
      </c>
      <c r="DD93" s="217">
        <f t="shared" si="237"/>
        <v>2.377476538060479</v>
      </c>
      <c r="DE93" s="173">
        <f t="shared" si="238"/>
        <v>1.668404588112617</v>
      </c>
      <c r="DF93" s="173">
        <f t="shared" si="239"/>
        <v>0.69415373374028577</v>
      </c>
      <c r="DG93" s="173"/>
      <c r="DH93" s="173">
        <f t="shared" si="240"/>
        <v>0.93567251461988332</v>
      </c>
      <c r="DI93" s="545">
        <f t="shared" si="241"/>
        <v>1410.7499999999995</v>
      </c>
      <c r="DJ93" s="528">
        <f t="shared" si="242"/>
        <v>0.21832358674463945</v>
      </c>
      <c r="DL93" s="173">
        <f t="shared" si="243"/>
        <v>2.7767744219644834</v>
      </c>
      <c r="DM93" s="173">
        <f t="shared" si="244"/>
        <v>3.2769523809523808</v>
      </c>
      <c r="DN93" s="173">
        <f t="shared" si="245"/>
        <v>2.6397178130511465</v>
      </c>
      <c r="DP93" s="545">
        <f t="shared" si="246"/>
        <v>880</v>
      </c>
      <c r="DQ93" s="460">
        <f t="shared" si="247"/>
        <v>253.93008246257449</v>
      </c>
      <c r="DS93">
        <f>IF(CL93&gt;CS93, "",DP93)</f>
        <v>880</v>
      </c>
      <c r="DT93">
        <f>IF(CL93&gt;CS93, "",DQ93)</f>
        <v>253.93008246257449</v>
      </c>
      <c r="DV93" s="5">
        <f t="shared" si="293"/>
        <v>3.9380918964076854</v>
      </c>
      <c r="DW93" s="5">
        <f t="shared" si="249"/>
        <v>1.6384761904761906</v>
      </c>
      <c r="DX93" s="5">
        <f t="shared" si="294"/>
        <v>2.2996157059314948</v>
      </c>
      <c r="DY93" s="173">
        <f t="shared" si="295"/>
        <v>0.41605839416058404</v>
      </c>
      <c r="EA93" s="5">
        <f t="shared" si="250"/>
        <v>8.7918234610917558</v>
      </c>
      <c r="EB93" s="5">
        <f t="shared" si="251"/>
        <v>4.5058095238095248</v>
      </c>
      <c r="EC93" s="5">
        <f t="shared" si="252"/>
        <v>1.1523629815278931</v>
      </c>
      <c r="ED93" s="5"/>
      <c r="EE93" s="173">
        <f t="shared" si="296"/>
        <v>1.220356299633506</v>
      </c>
      <c r="EF93" s="173">
        <f t="shared" si="253"/>
        <v>1.4457533691082916</v>
      </c>
      <c r="EG93" s="173">
        <f t="shared" si="254"/>
        <v>0.35469702455884905</v>
      </c>
      <c r="EH93" s="173"/>
      <c r="EI93" s="528">
        <f t="shared" si="255"/>
        <v>2.9785389961103671E-2</v>
      </c>
      <c r="EJ93" s="528">
        <f t="shared" si="256"/>
        <v>0.68400000000000005</v>
      </c>
      <c r="EK93" s="528">
        <f t="shared" si="257"/>
        <v>3.1741260307821803E-2</v>
      </c>
      <c r="EL93" s="528">
        <f t="shared" si="258"/>
        <v>4.2894123459660531E-2</v>
      </c>
      <c r="EM93">
        <f t="shared" si="259"/>
        <v>1.0800000000000001E-2</v>
      </c>
      <c r="EN93" s="460">
        <f t="shared" si="297"/>
        <v>42.541260307821808</v>
      </c>
      <c r="EO93">
        <f t="shared" si="260"/>
        <v>0.81301655420868058</v>
      </c>
      <c r="EP93" s="460">
        <f t="shared" si="298"/>
        <v>813.01655420868053</v>
      </c>
      <c r="EQ93" s="173">
        <f t="shared" si="261"/>
        <v>0.54669999999999996</v>
      </c>
      <c r="ER93" s="173">
        <f t="shared" si="262"/>
        <v>9.762499999999999E-2</v>
      </c>
      <c r="ES93" s="528"/>
      <c r="EU93" s="460">
        <f t="shared" si="299"/>
        <v>644.32499999999993</v>
      </c>
      <c r="EV93" s="528">
        <f t="shared" si="263"/>
        <v>4.4678084941655503E-2</v>
      </c>
      <c r="EW93" s="528">
        <f t="shared" si="300"/>
        <v>6.2706084128639275E-2</v>
      </c>
      <c r="EX93" s="528">
        <f t="shared" si="264"/>
        <v>6.2904989615450381E-4</v>
      </c>
      <c r="EY93" s="528">
        <f t="shared" si="265"/>
        <v>0.99869003111229493</v>
      </c>
      <c r="EZ93" s="528">
        <f t="shared" si="266"/>
        <v>1.1424988206534237</v>
      </c>
      <c r="FA93" s="625">
        <f t="shared" si="267"/>
        <v>1.3634035453597497E-2</v>
      </c>
      <c r="FB93" s="460">
        <f t="shared" si="301"/>
        <v>1156.1328561070213</v>
      </c>
      <c r="FC93" s="173">
        <f t="shared" si="302"/>
        <v>2.6134744103157019</v>
      </c>
      <c r="FD93" s="5">
        <f t="shared" si="303"/>
        <v>16.192</v>
      </c>
      <c r="FE93" s="173">
        <f t="shared" si="304"/>
        <v>0.8610258718662217</v>
      </c>
      <c r="FF93" s="5">
        <f t="shared" si="305"/>
        <v>86.102587186622173</v>
      </c>
      <c r="FG93">
        <f t="shared" si="306"/>
        <v>88</v>
      </c>
      <c r="FI93" s="562">
        <f t="shared" si="268"/>
        <v>-50</v>
      </c>
      <c r="FJ93">
        <f t="shared" si="269"/>
        <v>-50</v>
      </c>
      <c r="FL93">
        <f t="shared" si="270"/>
        <v>0.56500122953983234</v>
      </c>
    </row>
    <row r="94" spans="5:168">
      <c r="E94" s="170">
        <v>89</v>
      </c>
      <c r="F94" s="217">
        <f t="shared" si="307"/>
        <v>0.89</v>
      </c>
      <c r="G94" s="217">
        <f t="shared" si="271"/>
        <v>0.2225</v>
      </c>
      <c r="H94" s="217">
        <f t="shared" si="176"/>
        <v>14.595999999999998</v>
      </c>
      <c r="I94" s="217">
        <f t="shared" si="308"/>
        <v>1.78</v>
      </c>
      <c r="J94" s="541">
        <f t="shared" si="177"/>
        <v>23.893227668872107</v>
      </c>
      <c r="K94" s="443">
        <f t="shared" si="178"/>
        <v>17.147256534329571</v>
      </c>
      <c r="L94" s="172">
        <f t="shared" si="179"/>
        <v>41.040484203201679</v>
      </c>
      <c r="M94" s="443"/>
      <c r="N94" s="217">
        <f t="shared" si="180"/>
        <v>0.41781321217920397</v>
      </c>
      <c r="O94" s="172">
        <f t="shared" si="272"/>
        <v>29.659359004933332</v>
      </c>
      <c r="P94" s="172">
        <f t="shared" si="181"/>
        <v>4.0580919518945082</v>
      </c>
      <c r="Q94" s="217">
        <f t="shared" si="182"/>
        <v>1.808497500300813</v>
      </c>
      <c r="R94" s="217">
        <f t="shared" si="183"/>
        <v>3.7074198756166665</v>
      </c>
      <c r="S94" s="443">
        <f t="shared" si="184"/>
        <v>16.399999999999999</v>
      </c>
      <c r="T94" s="217">
        <f t="shared" si="185"/>
        <v>3.2808081472860326</v>
      </c>
      <c r="U94" s="217">
        <f t="shared" si="186"/>
        <v>1.647734592958443</v>
      </c>
      <c r="V94" s="217">
        <f t="shared" si="187"/>
        <v>2.295976483970628</v>
      </c>
      <c r="W94" s="197">
        <f t="shared" si="188"/>
        <v>350</v>
      </c>
      <c r="X94" s="443">
        <f t="shared" si="273"/>
        <v>241.32956700762691</v>
      </c>
      <c r="Z94" s="217">
        <f t="shared" si="189"/>
        <v>2.3768824289667827</v>
      </c>
      <c r="AA94" s="173">
        <f t="shared" si="190"/>
        <v>1.6633908223451315</v>
      </c>
      <c r="AB94" s="173">
        <f t="shared" si="191"/>
        <v>0.69189477317393133</v>
      </c>
      <c r="AC94" s="173"/>
      <c r="AD94" s="173">
        <f t="shared" si="192"/>
        <v>0.93309387236187258</v>
      </c>
      <c r="AE94" s="545">
        <f t="shared" si="193"/>
        <v>1430.7242170831232</v>
      </c>
      <c r="AF94" s="528">
        <f t="shared" si="194"/>
        <v>0.21772190355110363</v>
      </c>
      <c r="AH94" s="173">
        <f t="shared" si="195"/>
        <v>2.7925069808498666</v>
      </c>
      <c r="AI94" s="173">
        <f t="shared" si="196"/>
        <v>3.2808081472860326</v>
      </c>
      <c r="AJ94" s="173">
        <f t="shared" si="197"/>
        <v>2.6425739362612584</v>
      </c>
      <c r="AL94" s="545">
        <f t="shared" si="198"/>
        <v>890</v>
      </c>
      <c r="AM94" s="460">
        <f t="shared" si="199"/>
        <v>241.32956700762691</v>
      </c>
      <c r="AO94">
        <f t="shared" si="274"/>
        <v>890</v>
      </c>
      <c r="AP94">
        <f t="shared" si="200"/>
        <v>241.32956700762691</v>
      </c>
      <c r="AR94" s="5">
        <f t="shared" si="275"/>
        <v>4.1437110769290699</v>
      </c>
      <c r="AS94" s="5">
        <f t="shared" si="201"/>
        <v>1.647734592958443</v>
      </c>
      <c r="AT94" s="5">
        <f t="shared" si="276"/>
        <v>2.4959764839706269</v>
      </c>
      <c r="AU94" s="173">
        <f t="shared" si="277"/>
        <v>0.39764707586214948</v>
      </c>
      <c r="AW94" s="5">
        <f t="shared" si="202"/>
        <v>8.9419743154452114</v>
      </c>
      <c r="AX94" s="5">
        <f t="shared" si="203"/>
        <v>4.5827618366656706</v>
      </c>
      <c r="AY94" s="5">
        <f t="shared" si="204"/>
        <v>1.2706275764595845</v>
      </c>
      <c r="AZ94" s="5"/>
      <c r="BA94" s="173">
        <f t="shared" si="278"/>
        <v>1.1944531057123022</v>
      </c>
      <c r="BB94" s="173">
        <f t="shared" si="205"/>
        <v>1.4700960778195324</v>
      </c>
      <c r="BC94" s="173">
        <f t="shared" si="206"/>
        <v>0.36066919556261112</v>
      </c>
      <c r="BD94" s="173"/>
      <c r="BE94" s="528">
        <f t="shared" si="207"/>
        <v>2.8534364434915287E-2</v>
      </c>
      <c r="BF94" s="528">
        <f t="shared" si="208"/>
        <v>0.60926343760471002</v>
      </c>
      <c r="BG94" s="528">
        <f t="shared" si="209"/>
        <v>0.14415355719358891</v>
      </c>
      <c r="BH94" s="528">
        <f t="shared" si="210"/>
        <v>4.0647654056071576E-2</v>
      </c>
      <c r="BI94">
        <f t="shared" si="211"/>
        <v>1.0751952450992449E-2</v>
      </c>
      <c r="BJ94" s="460">
        <f t="shared" si="279"/>
        <v>154.90550964458134</v>
      </c>
      <c r="BK94">
        <f t="shared" si="212"/>
        <v>0.69083342274639958</v>
      </c>
      <c r="BL94" s="460">
        <f t="shared" si="280"/>
        <v>690.83342274639961</v>
      </c>
      <c r="BM94" s="173">
        <f t="shared" si="213"/>
        <v>0.55291249999999992</v>
      </c>
      <c r="BN94" s="173">
        <f t="shared" si="214"/>
        <v>9.8734374999999999E-2</v>
      </c>
      <c r="BO94" s="528"/>
      <c r="BQ94" s="460">
        <f t="shared" si="281"/>
        <v>651.64687499999991</v>
      </c>
      <c r="BR94" s="528">
        <f t="shared" si="215"/>
        <v>4.2801546652372929E-2</v>
      </c>
      <c r="BS94" s="528">
        <f t="shared" si="216"/>
        <v>6.4835474340611182E-2</v>
      </c>
      <c r="BT94" s="528">
        <f t="shared" si="217"/>
        <v>6.5041134313890514E-4</v>
      </c>
      <c r="BU94" s="528">
        <f t="shared" si="218"/>
        <v>0.88195905911060868</v>
      </c>
      <c r="BV94" s="528">
        <f t="shared" si="219"/>
        <v>1.0251160499994805</v>
      </c>
      <c r="BW94" s="625">
        <f t="shared" si="220"/>
        <v>1.2987997835113851E-2</v>
      </c>
      <c r="BX94" s="460">
        <f t="shared" si="282"/>
        <v>1038.1040478345944</v>
      </c>
      <c r="BY94" s="173">
        <f t="shared" si="283"/>
        <v>2.3805843455809939</v>
      </c>
      <c r="BZ94" s="5">
        <f t="shared" si="284"/>
        <v>16.375999999999998</v>
      </c>
      <c r="CA94" s="173">
        <f t="shared" si="285"/>
        <v>0.87308007141812827</v>
      </c>
      <c r="CB94" s="5">
        <f t="shared" si="286"/>
        <v>87.308007141812823</v>
      </c>
      <c r="CC94">
        <f t="shared" si="287"/>
        <v>89</v>
      </c>
      <c r="CE94" s="562">
        <f t="shared" si="221"/>
        <v>-50</v>
      </c>
      <c r="CF94">
        <f t="shared" si="222"/>
        <v>-50</v>
      </c>
      <c r="CG94" s="173">
        <f t="shared" si="223"/>
        <v>0.56500122953983234</v>
      </c>
      <c r="CH94" s="173">
        <f t="shared" si="224"/>
        <v>0.19741829216945347</v>
      </c>
      <c r="CI94" s="170">
        <v>89</v>
      </c>
      <c r="CJ94" s="217">
        <f t="shared" si="309"/>
        <v>0.89</v>
      </c>
      <c r="CK94" s="217">
        <f t="shared" si="288"/>
        <v>0.2225</v>
      </c>
      <c r="CL94" s="217">
        <f t="shared" si="225"/>
        <v>14.595999999999998</v>
      </c>
      <c r="CM94" s="217">
        <f t="shared" si="310"/>
        <v>1.78</v>
      </c>
      <c r="CN94" s="541">
        <f t="shared" si="289"/>
        <v>24</v>
      </c>
      <c r="CO94" s="443">
        <f t="shared" si="226"/>
        <v>17.099999999999998</v>
      </c>
      <c r="CP94" s="443">
        <f t="shared" si="227"/>
        <v>41.099999999999994</v>
      </c>
      <c r="CQ94" s="443"/>
      <c r="CR94" s="217">
        <f t="shared" si="228"/>
        <v>0.41176470588235292</v>
      </c>
      <c r="CS94" s="172">
        <f t="shared" si="290"/>
        <v>29.36061381074169</v>
      </c>
      <c r="CT94" s="172">
        <f t="shared" si="229"/>
        <v>4.0172166427546641</v>
      </c>
      <c r="CU94" s="217">
        <f t="shared" si="230"/>
        <v>1.7902813299232738</v>
      </c>
      <c r="CV94" s="217">
        <f t="shared" si="231"/>
        <v>3.6700767263427112</v>
      </c>
      <c r="CW94" s="443">
        <f t="shared" si="232"/>
        <v>16.399999999999999</v>
      </c>
      <c r="CX94" s="217">
        <f t="shared" si="233"/>
        <v>3.3141904761904755</v>
      </c>
      <c r="CY94" s="217">
        <f t="shared" si="234"/>
        <v>1.6570952380952377</v>
      </c>
      <c r="CZ94" s="217">
        <f t="shared" si="235"/>
        <v>2.3257477025898079</v>
      </c>
      <c r="DA94" s="197">
        <f t="shared" si="236"/>
        <v>350</v>
      </c>
      <c r="DB94" s="443">
        <f t="shared" si="291"/>
        <v>251.07693546861299</v>
      </c>
      <c r="DD94" s="217">
        <f t="shared" si="237"/>
        <v>2.377476538060479</v>
      </c>
      <c r="DE94" s="173">
        <f t="shared" si="238"/>
        <v>1.668404588112617</v>
      </c>
      <c r="DF94" s="173">
        <f t="shared" si="239"/>
        <v>0.69415373374028577</v>
      </c>
      <c r="DG94" s="173"/>
      <c r="DH94" s="173">
        <f t="shared" si="240"/>
        <v>0.93567251461988332</v>
      </c>
      <c r="DI94" s="545">
        <f t="shared" si="241"/>
        <v>1426.7812499999995</v>
      </c>
      <c r="DJ94" s="528">
        <f t="shared" si="242"/>
        <v>0.21832358674463945</v>
      </c>
      <c r="DL94" s="173">
        <f t="shared" si="243"/>
        <v>2.7925069808498666</v>
      </c>
      <c r="DM94" s="173">
        <f t="shared" si="244"/>
        <v>3.3141904761904755</v>
      </c>
      <c r="DN94" s="173">
        <f t="shared" si="245"/>
        <v>2.6673015873015866</v>
      </c>
      <c r="DP94" s="545">
        <f t="shared" si="246"/>
        <v>890</v>
      </c>
      <c r="DQ94" s="460">
        <f t="shared" si="247"/>
        <v>251.07693546861299</v>
      </c>
      <c r="DS94">
        <f>IF(CL94&gt;CS94, "",DP94)</f>
        <v>890</v>
      </c>
      <c r="DT94">
        <f>IF(CL94&gt;CS94, "",DQ94)</f>
        <v>251.07693546861299</v>
      </c>
      <c r="DV94" s="5">
        <f t="shared" si="293"/>
        <v>3.9828429406850456</v>
      </c>
      <c r="DW94" s="5">
        <f t="shared" si="249"/>
        <v>1.6570952380952377</v>
      </c>
      <c r="DX94" s="5">
        <f t="shared" si="294"/>
        <v>2.3257477025898079</v>
      </c>
      <c r="DY94" s="173">
        <f t="shared" si="295"/>
        <v>0.41605839416058388</v>
      </c>
      <c r="EA94" s="5">
        <f t="shared" si="250"/>
        <v>8.9927729384436699</v>
      </c>
      <c r="EB94" s="5">
        <f t="shared" si="251"/>
        <v>4.6087961309523804</v>
      </c>
      <c r="EC94" s="5">
        <f t="shared" si="252"/>
        <v>1.1787018564930845</v>
      </c>
      <c r="ED94" s="5"/>
      <c r="EE94" s="173">
        <f t="shared" si="296"/>
        <v>1.2342239848566134</v>
      </c>
      <c r="EF94" s="173">
        <f t="shared" si="253"/>
        <v>1.4621823846663402</v>
      </c>
      <c r="EG94" s="173">
        <f t="shared" si="254"/>
        <v>0.35872767256519966</v>
      </c>
      <c r="EH94" s="173"/>
      <c r="EI94" s="528">
        <f t="shared" si="255"/>
        <v>3.046617689590676E-2</v>
      </c>
      <c r="EJ94" s="528">
        <f t="shared" si="256"/>
        <v>0.68399999999999972</v>
      </c>
      <c r="EK94" s="528">
        <f t="shared" si="257"/>
        <v>3.1384616933576623E-2</v>
      </c>
      <c r="EL94" s="528">
        <f t="shared" si="258"/>
        <v>4.2412167016293564E-2</v>
      </c>
      <c r="EM94">
        <f t="shared" si="259"/>
        <v>1.0800000000000001E-2</v>
      </c>
      <c r="EN94" s="460">
        <f t="shared" si="297"/>
        <v>42.184616933576628</v>
      </c>
      <c r="EO94">
        <f t="shared" si="260"/>
        <v>0.8131752117557266</v>
      </c>
      <c r="EP94" s="460">
        <f t="shared" si="298"/>
        <v>813.17521175572665</v>
      </c>
      <c r="EQ94" s="173">
        <f t="shared" si="261"/>
        <v>0.55291249999999992</v>
      </c>
      <c r="ER94" s="173">
        <f t="shared" si="262"/>
        <v>9.8734374999999999E-2</v>
      </c>
      <c r="ES94" s="528"/>
      <c r="EU94" s="460">
        <f t="shared" si="299"/>
        <v>651.64687499999991</v>
      </c>
      <c r="EV94" s="528">
        <f t="shared" si="263"/>
        <v>4.5699265343860138E-2</v>
      </c>
      <c r="EW94" s="528">
        <f t="shared" si="300"/>
        <v>6.4139319780856352E-2</v>
      </c>
      <c r="EX94" s="528">
        <f t="shared" si="264"/>
        <v>6.434277153202256E-4</v>
      </c>
      <c r="EY94" s="528">
        <f t="shared" si="265"/>
        <v>0.99869003111229315</v>
      </c>
      <c r="EZ94" s="528">
        <f t="shared" si="266"/>
        <v>1.145815083576015</v>
      </c>
      <c r="FA94" s="625">
        <f t="shared" si="267"/>
        <v>1.37889676746611E-2</v>
      </c>
      <c r="FB94" s="460">
        <f t="shared" si="301"/>
        <v>1159.6040512506763</v>
      </c>
      <c r="FC94" s="173">
        <f t="shared" si="302"/>
        <v>2.6244261380064029</v>
      </c>
      <c r="FD94" s="5">
        <f t="shared" si="303"/>
        <v>16.375999999999998</v>
      </c>
      <c r="FE94" s="173">
        <f t="shared" si="304"/>
        <v>0.86187540642802829</v>
      </c>
      <c r="FF94" s="5">
        <f t="shared" si="305"/>
        <v>86.18754064280283</v>
      </c>
      <c r="FG94">
        <f t="shared" si="306"/>
        <v>89</v>
      </c>
      <c r="FI94" s="562">
        <f t="shared" si="268"/>
        <v>-50</v>
      </c>
      <c r="FJ94">
        <f t="shared" si="269"/>
        <v>-50</v>
      </c>
      <c r="FL94">
        <f t="shared" si="270"/>
        <v>0.56500122953983234</v>
      </c>
    </row>
    <row r="95" spans="5:168">
      <c r="E95" s="170">
        <v>90</v>
      </c>
      <c r="F95" s="217">
        <f t="shared" si="307"/>
        <v>0.9</v>
      </c>
      <c r="G95" s="217">
        <f t="shared" si="271"/>
        <v>0.22500000000000001</v>
      </c>
      <c r="H95" s="217">
        <f t="shared" si="176"/>
        <v>14.76</v>
      </c>
      <c r="I95" s="217">
        <f t="shared" si="308"/>
        <v>1.8</v>
      </c>
      <c r="J95" s="541">
        <f t="shared" si="177"/>
        <v>23.892027979758311</v>
      </c>
      <c r="K95" s="443">
        <f t="shared" si="178"/>
        <v>17.147787506625409</v>
      </c>
      <c r="L95" s="172">
        <f t="shared" si="179"/>
        <v>41.039815486383716</v>
      </c>
      <c r="M95" s="443"/>
      <c r="N95" s="217">
        <f t="shared" si="180"/>
        <v>0.41783295815047566</v>
      </c>
      <c r="O95" s="172">
        <f t="shared" si="272"/>
        <v>29.659271435279013</v>
      </c>
      <c r="P95" s="172">
        <f t="shared" si="181"/>
        <v>4.0580799703237203</v>
      </c>
      <c r="Q95" s="217">
        <f t="shared" si="182"/>
        <v>1.8084921606877449</v>
      </c>
      <c r="R95" s="217">
        <f t="shared" si="183"/>
        <v>3.7074089294098767</v>
      </c>
      <c r="S95" s="443">
        <f t="shared" si="184"/>
        <v>16.399999999999999</v>
      </c>
      <c r="T95" s="217">
        <f t="shared" si="185"/>
        <v>3.3176809556743025</v>
      </c>
      <c r="U95" s="217">
        <f t="shared" si="186"/>
        <v>1.6663370519162755</v>
      </c>
      <c r="V95" s="217">
        <f t="shared" si="187"/>
        <v>2.321708934911245</v>
      </c>
      <c r="W95" s="197">
        <f t="shared" si="188"/>
        <v>350</v>
      </c>
      <c r="X95" s="443">
        <f t="shared" si="273"/>
        <v>238.77483751259095</v>
      </c>
      <c r="Z95" s="217">
        <f t="shared" si="189"/>
        <v>2.3768754111896064</v>
      </c>
      <c r="AA95" s="173">
        <f t="shared" si="190"/>
        <v>1.6633344052843555</v>
      </c>
      <c r="AB95" s="173">
        <f t="shared" si="191"/>
        <v>0.69186926348856259</v>
      </c>
      <c r="AC95" s="173"/>
      <c r="AD95" s="173">
        <f t="shared" si="192"/>
        <v>0.93306497959681767</v>
      </c>
      <c r="AE95" s="545">
        <f t="shared" si="193"/>
        <v>1446.8445708715187</v>
      </c>
      <c r="AF95" s="528">
        <f t="shared" si="194"/>
        <v>0.21771516190592413</v>
      </c>
      <c r="AH95" s="173">
        <f t="shared" si="195"/>
        <v>2.8081514000698546</v>
      </c>
      <c r="AI95" s="173">
        <f t="shared" si="196"/>
        <v>3.3176809556743025</v>
      </c>
      <c r="AJ95" s="173">
        <f t="shared" si="197"/>
        <v>2.6698871276599769</v>
      </c>
      <c r="AL95" s="545">
        <f t="shared" si="198"/>
        <v>900</v>
      </c>
      <c r="AM95" s="460">
        <f t="shared" si="199"/>
        <v>238.77483751259095</v>
      </c>
      <c r="AO95">
        <f t="shared" si="274"/>
        <v>900</v>
      </c>
      <c r="AP95">
        <f t="shared" si="200"/>
        <v>238.77483751259095</v>
      </c>
      <c r="AR95" s="5">
        <f t="shared" si="275"/>
        <v>4.1880459868275208</v>
      </c>
      <c r="AS95" s="5">
        <f t="shared" si="201"/>
        <v>1.6663370519162755</v>
      </c>
      <c r="AT95" s="5">
        <f t="shared" si="276"/>
        <v>2.5217089349112456</v>
      </c>
      <c r="AU95" s="173">
        <f t="shared" si="277"/>
        <v>0.39787935881251851</v>
      </c>
      <c r="AW95" s="5">
        <f t="shared" si="202"/>
        <v>9.1445326019795612</v>
      </c>
      <c r="AX95" s="5">
        <f t="shared" si="203"/>
        <v>4.6865729585145246</v>
      </c>
      <c r="AY95" s="5">
        <f t="shared" si="204"/>
        <v>1.2982162889515452</v>
      </c>
      <c r="AZ95" s="5"/>
      <c r="BA95" s="173">
        <f t="shared" si="278"/>
        <v>1.2082302287815303</v>
      </c>
      <c r="BB95" s="173">
        <f t="shared" si="205"/>
        <v>1.4863317335439787</v>
      </c>
      <c r="BC95" s="173">
        <f t="shared" si="206"/>
        <v>0.36465240521667192</v>
      </c>
      <c r="BD95" s="173"/>
      <c r="BE95" s="528">
        <f t="shared" si="207"/>
        <v>2.9196405714829381E-2</v>
      </c>
      <c r="BF95" s="528">
        <f t="shared" si="208"/>
        <v>0.60957879294340644</v>
      </c>
      <c r="BG95" s="528">
        <f t="shared" si="209"/>
        <v>0.14262037746782669</v>
      </c>
      <c r="BH95" s="528">
        <f t="shared" si="210"/>
        <v>4.0216044915788195E-2</v>
      </c>
      <c r="BI95">
        <f t="shared" si="211"/>
        <v>1.0751412590891239E-2</v>
      </c>
      <c r="BJ95" s="460">
        <f t="shared" si="279"/>
        <v>153.37179005871792</v>
      </c>
      <c r="BK95">
        <f t="shared" si="212"/>
        <v>0.69167245055542104</v>
      </c>
      <c r="BL95" s="460">
        <f t="shared" si="280"/>
        <v>691.67245055542105</v>
      </c>
      <c r="BM95" s="173">
        <f t="shared" si="213"/>
        <v>0.55912499999999998</v>
      </c>
      <c r="BN95" s="173">
        <f t="shared" si="214"/>
        <v>9.9843749999999995E-2</v>
      </c>
      <c r="BO95" s="528"/>
      <c r="BQ95" s="460">
        <f t="shared" si="281"/>
        <v>658.96875</v>
      </c>
      <c r="BR95" s="528">
        <f t="shared" si="215"/>
        <v>4.379460857224407E-2</v>
      </c>
      <c r="BS95" s="528">
        <f t="shared" si="216"/>
        <v>6.6275460664195457E-2</v>
      </c>
      <c r="BT95" s="528">
        <f t="shared" si="217"/>
        <v>6.6485688315151949E-4</v>
      </c>
      <c r="BU95" s="528">
        <f t="shared" si="218"/>
        <v>0.88313673362508427</v>
      </c>
      <c r="BV95" s="528">
        <f t="shared" si="219"/>
        <v>1.0295687798349824</v>
      </c>
      <c r="BW95" s="625">
        <f t="shared" si="220"/>
        <v>1.3140981448465242E-2</v>
      </c>
      <c r="BX95" s="460">
        <f t="shared" si="282"/>
        <v>1042.7097612834477</v>
      </c>
      <c r="BY95" s="173">
        <f t="shared" si="283"/>
        <v>2.3933509618388684</v>
      </c>
      <c r="BZ95" s="5">
        <f t="shared" si="284"/>
        <v>16.559999999999999</v>
      </c>
      <c r="CA95" s="173">
        <f t="shared" si="285"/>
        <v>0.87372412579402448</v>
      </c>
      <c r="CB95" s="5">
        <f t="shared" si="286"/>
        <v>87.37241257940245</v>
      </c>
      <c r="CC95">
        <f t="shared" si="287"/>
        <v>90</v>
      </c>
      <c r="CE95" s="562">
        <f t="shared" si="221"/>
        <v>-50</v>
      </c>
      <c r="CF95">
        <f t="shared" si="222"/>
        <v>-50</v>
      </c>
      <c r="CG95" s="173">
        <f t="shared" si="223"/>
        <v>0.56500122953983234</v>
      </c>
      <c r="CH95" s="173">
        <f t="shared" si="224"/>
        <v>0.19741829216945342</v>
      </c>
      <c r="CI95" s="170">
        <v>90</v>
      </c>
      <c r="CJ95" s="217">
        <f t="shared" si="309"/>
        <v>0.9</v>
      </c>
      <c r="CK95" s="217">
        <f t="shared" si="288"/>
        <v>0.22500000000000001</v>
      </c>
      <c r="CL95" s="217">
        <f t="shared" si="225"/>
        <v>14.76</v>
      </c>
      <c r="CM95" s="217">
        <f t="shared" si="310"/>
        <v>1.8</v>
      </c>
      <c r="CN95" s="541">
        <f t="shared" si="289"/>
        <v>24</v>
      </c>
      <c r="CO95" s="443">
        <f t="shared" si="226"/>
        <v>17.099999999999998</v>
      </c>
      <c r="CP95" s="443">
        <f t="shared" si="227"/>
        <v>41.099999999999994</v>
      </c>
      <c r="CQ95" s="443"/>
      <c r="CR95" s="217">
        <f t="shared" si="228"/>
        <v>0.41176470588235292</v>
      </c>
      <c r="CS95" s="172">
        <f t="shared" si="290"/>
        <v>29.36061381074169</v>
      </c>
      <c r="CT95" s="172">
        <f t="shared" si="229"/>
        <v>4.0172166427546641</v>
      </c>
      <c r="CU95" s="217">
        <f t="shared" si="230"/>
        <v>1.7902813299232738</v>
      </c>
      <c r="CV95" s="217">
        <f t="shared" si="231"/>
        <v>3.6700767263427112</v>
      </c>
      <c r="CW95" s="443">
        <f t="shared" si="232"/>
        <v>16.399999999999999</v>
      </c>
      <c r="CX95" s="217">
        <f t="shared" si="233"/>
        <v>3.351428571428571</v>
      </c>
      <c r="CY95" s="217">
        <f t="shared" si="234"/>
        <v>1.6757142857142857</v>
      </c>
      <c r="CZ95" s="217">
        <f t="shared" si="235"/>
        <v>2.3518796992481206</v>
      </c>
      <c r="DA95" s="197">
        <f t="shared" si="236"/>
        <v>350</v>
      </c>
      <c r="DB95" s="443">
        <f t="shared" si="291"/>
        <v>248.2871917411839</v>
      </c>
      <c r="DD95" s="217">
        <f t="shared" si="237"/>
        <v>2.377476538060479</v>
      </c>
      <c r="DE95" s="173">
        <f t="shared" si="238"/>
        <v>1.668404588112617</v>
      </c>
      <c r="DF95" s="173">
        <f t="shared" si="239"/>
        <v>0.69415373374028577</v>
      </c>
      <c r="DG95" s="173"/>
      <c r="DH95" s="173">
        <f t="shared" si="240"/>
        <v>0.93567251461988332</v>
      </c>
      <c r="DI95" s="545">
        <f t="shared" si="241"/>
        <v>1442.8124999999995</v>
      </c>
      <c r="DJ95" s="528">
        <f t="shared" si="242"/>
        <v>0.21832358674463945</v>
      </c>
      <c r="DL95" s="173">
        <f t="shared" si="243"/>
        <v>2.8081514000698546</v>
      </c>
      <c r="DM95" s="173">
        <f t="shared" si="244"/>
        <v>3.351428571428571</v>
      </c>
      <c r="DN95" s="173">
        <f t="shared" si="245"/>
        <v>2.6948853615520276</v>
      </c>
      <c r="DP95" s="545">
        <f t="shared" si="246"/>
        <v>900</v>
      </c>
      <c r="DQ95" s="460">
        <f t="shared" si="247"/>
        <v>248.2871917411839</v>
      </c>
      <c r="DS95">
        <f>IF(CL95&gt;CS95, "",DP95)</f>
        <v>900</v>
      </c>
      <c r="DT95">
        <f>IF(CL95&gt;CS95, "",DQ95)</f>
        <v>248.2871917411839</v>
      </c>
      <c r="DV95" s="5">
        <f t="shared" si="293"/>
        <v>4.0275939849624063</v>
      </c>
      <c r="DW95" s="5">
        <f t="shared" si="249"/>
        <v>1.6757142857142857</v>
      </c>
      <c r="DX95" s="5">
        <f t="shared" si="294"/>
        <v>2.3518796992481206</v>
      </c>
      <c r="DY95" s="173">
        <f t="shared" si="295"/>
        <v>0.41605839416058393</v>
      </c>
      <c r="EA95" s="5">
        <f t="shared" si="250"/>
        <v>9.1959930313588867</v>
      </c>
      <c r="EB95" s="5">
        <f t="shared" si="251"/>
        <v>4.7129464285714295</v>
      </c>
      <c r="EC95" s="5">
        <f t="shared" si="252"/>
        <v>1.2053383458646616</v>
      </c>
      <c r="ED95" s="5"/>
      <c r="EE95" s="173">
        <f t="shared" si="296"/>
        <v>1.2480916700797218</v>
      </c>
      <c r="EF95" s="173">
        <f t="shared" si="253"/>
        <v>1.4786114002243889</v>
      </c>
      <c r="EG95" s="173">
        <f t="shared" si="254"/>
        <v>0.36275832057155016</v>
      </c>
      <c r="EH95" s="173"/>
      <c r="EI95" s="528">
        <f t="shared" si="255"/>
        <v>3.115465633844778E-2</v>
      </c>
      <c r="EJ95" s="528">
        <f t="shared" si="256"/>
        <v>0.68399999999999972</v>
      </c>
      <c r="EK95" s="528">
        <f t="shared" si="257"/>
        <v>3.1035898967647985E-2</v>
      </c>
      <c r="EL95" s="528">
        <f t="shared" si="258"/>
        <v>4.1940920716112516E-2</v>
      </c>
      <c r="EM95">
        <f t="shared" si="259"/>
        <v>1.0800000000000001E-2</v>
      </c>
      <c r="EN95" s="460">
        <f t="shared" si="297"/>
        <v>41.835898967647985</v>
      </c>
      <c r="EO95">
        <f t="shared" si="260"/>
        <v>0.81336403552997449</v>
      </c>
      <c r="EP95" s="460">
        <f t="shared" si="298"/>
        <v>813.36403552997444</v>
      </c>
      <c r="EQ95" s="173">
        <f t="shared" si="261"/>
        <v>0.55912499999999998</v>
      </c>
      <c r="ER95" s="173">
        <f t="shared" si="262"/>
        <v>9.9843749999999995E-2</v>
      </c>
      <c r="ES95" s="528"/>
      <c r="EU95" s="460">
        <f t="shared" si="299"/>
        <v>658.96875</v>
      </c>
      <c r="EV95" s="528">
        <f t="shared" si="263"/>
        <v>4.6731984507671666E-2</v>
      </c>
      <c r="EW95" s="528">
        <f t="shared" si="300"/>
        <v>6.558875018620583E-2</v>
      </c>
      <c r="EX95" s="528">
        <f t="shared" si="264"/>
        <v>6.579679957194577E-4</v>
      </c>
      <c r="EY95" s="528">
        <f t="shared" si="265"/>
        <v>0.99869003111229404</v>
      </c>
      <c r="EZ95" s="528">
        <f t="shared" si="266"/>
        <v>1.1491701627802344</v>
      </c>
      <c r="FA95" s="625">
        <f t="shared" si="267"/>
        <v>1.3943899895724709E-2</v>
      </c>
      <c r="FB95" s="460">
        <f t="shared" si="301"/>
        <v>1163.1140626759591</v>
      </c>
      <c r="FC95" s="173">
        <f t="shared" si="302"/>
        <v>2.6354468482059334</v>
      </c>
      <c r="FD95" s="5">
        <f t="shared" si="303"/>
        <v>16.559999999999999</v>
      </c>
      <c r="FE95" s="173">
        <f t="shared" si="304"/>
        <v>0.86270458463162836</v>
      </c>
      <c r="FF95" s="5">
        <f t="shared" si="305"/>
        <v>86.270458463162839</v>
      </c>
      <c r="FG95">
        <f t="shared" si="306"/>
        <v>90</v>
      </c>
      <c r="FI95" s="562">
        <f t="shared" si="268"/>
        <v>-50</v>
      </c>
      <c r="FJ95">
        <f t="shared" si="269"/>
        <v>-50</v>
      </c>
      <c r="FL95">
        <f t="shared" si="270"/>
        <v>0.56500122953983234</v>
      </c>
    </row>
    <row r="96" spans="5:168">
      <c r="E96" s="170">
        <v>91</v>
      </c>
      <c r="F96" s="217">
        <f t="shared" si="307"/>
        <v>0.91</v>
      </c>
      <c r="G96" s="217">
        <f t="shared" si="271"/>
        <v>0.22750000000000001</v>
      </c>
      <c r="H96" s="217">
        <f t="shared" si="176"/>
        <v>14.923999999999999</v>
      </c>
      <c r="I96" s="217">
        <f t="shared" si="308"/>
        <v>1.82</v>
      </c>
      <c r="J96" s="541">
        <f t="shared" si="177"/>
        <v>23.890828290644517</v>
      </c>
      <c r="K96" s="443">
        <f t="shared" si="178"/>
        <v>17.148318478921247</v>
      </c>
      <c r="L96" s="172">
        <f t="shared" si="179"/>
        <v>41.039146769565761</v>
      </c>
      <c r="M96" s="443"/>
      <c r="N96" s="217">
        <f t="shared" si="180"/>
        <v>0.41785270476525299</v>
      </c>
      <c r="O96" s="172">
        <f t="shared" si="272"/>
        <v>29.659183770539826</v>
      </c>
      <c r="P96" s="172">
        <f t="shared" si="181"/>
        <v>4.0580679757431053</v>
      </c>
      <c r="Q96" s="217">
        <f t="shared" si="182"/>
        <v>1.8084868152768188</v>
      </c>
      <c r="R96" s="217">
        <f t="shared" si="183"/>
        <v>3.7073979713174783</v>
      </c>
      <c r="S96" s="443">
        <f t="shared" si="184"/>
        <v>16.399999999999999</v>
      </c>
      <c r="T96" s="217">
        <f t="shared" si="185"/>
        <v>3.3545539925531966</v>
      </c>
      <c r="U96" s="217">
        <f t="shared" si="186"/>
        <v>1.6849414939038259</v>
      </c>
      <c r="V96" s="217">
        <f t="shared" si="187"/>
        <v>2.3474399522098603</v>
      </c>
      <c r="W96" s="197">
        <f t="shared" si="188"/>
        <v>350</v>
      </c>
      <c r="X96" s="443">
        <f t="shared" si="273"/>
        <v>236.27359979999756</v>
      </c>
      <c r="Z96" s="217">
        <f t="shared" si="189"/>
        <v>2.3768683857923891</v>
      </c>
      <c r="AA96" s="173">
        <f t="shared" si="190"/>
        <v>1.6632779863849914</v>
      </c>
      <c r="AB96" s="173">
        <f t="shared" si="191"/>
        <v>0.6918437509590093</v>
      </c>
      <c r="AC96" s="173"/>
      <c r="AD96" s="173">
        <f t="shared" si="192"/>
        <v>0.93303608862100618</v>
      </c>
      <c r="AE96" s="545">
        <f t="shared" si="193"/>
        <v>1462.9659202329685</v>
      </c>
      <c r="AF96" s="528">
        <f t="shared" si="194"/>
        <v>0.21770842067823482</v>
      </c>
      <c r="AH96" s="173">
        <f t="shared" si="195"/>
        <v>2.8237091446063158</v>
      </c>
      <c r="AI96" s="173">
        <f t="shared" si="196"/>
        <v>3.3545539925531966</v>
      </c>
      <c r="AJ96" s="173">
        <f t="shared" si="197"/>
        <v>2.6972004883110099</v>
      </c>
      <c r="AL96" s="545">
        <f t="shared" si="198"/>
        <v>910</v>
      </c>
      <c r="AM96" s="460">
        <f t="shared" si="199"/>
        <v>236.27359979999756</v>
      </c>
      <c r="AO96">
        <f t="shared" si="274"/>
        <v>910</v>
      </c>
      <c r="AP96">
        <f t="shared" si="200"/>
        <v>236.27359979999756</v>
      </c>
      <c r="AR96" s="5">
        <f t="shared" si="275"/>
        <v>4.2323814461136866</v>
      </c>
      <c r="AS96" s="5">
        <f t="shared" si="201"/>
        <v>1.6849414939038259</v>
      </c>
      <c r="AT96" s="5">
        <f t="shared" si="276"/>
        <v>2.547439952209861</v>
      </c>
      <c r="AU96" s="173">
        <f t="shared" si="277"/>
        <v>0.39810719221704255</v>
      </c>
      <c r="AW96" s="5">
        <f t="shared" si="202"/>
        <v>9.3493704844663537</v>
      </c>
      <c r="AX96" s="5">
        <f t="shared" si="203"/>
        <v>4.7915523732890053</v>
      </c>
      <c r="AY96" s="5">
        <f t="shared" si="204"/>
        <v>1.3261014291157758</v>
      </c>
      <c r="AZ96" s="5"/>
      <c r="BA96" s="173">
        <f t="shared" si="278"/>
        <v>1.2220083425935726</v>
      </c>
      <c r="BB96" s="173">
        <f t="shared" si="205"/>
        <v>1.502566617585803</v>
      </c>
      <c r="BC96" s="173">
        <f t="shared" si="206"/>
        <v>0.36863542554831025</v>
      </c>
      <c r="BD96" s="173"/>
      <c r="BE96" s="528">
        <f t="shared" si="207"/>
        <v>2.9866087787365804E-2</v>
      </c>
      <c r="BF96" s="528">
        <f t="shared" si="208"/>
        <v>0.60988728538354053</v>
      </c>
      <c r="BG96" s="528">
        <f t="shared" si="209"/>
        <v>0.14111930006085505</v>
      </c>
      <c r="BH96" s="528">
        <f t="shared" si="210"/>
        <v>3.9793472989549633E-2</v>
      </c>
      <c r="BI96">
        <f t="shared" si="211"/>
        <v>1.0750872730790033E-2</v>
      </c>
      <c r="BJ96" s="460">
        <f t="shared" si="279"/>
        <v>151.87017279164507</v>
      </c>
      <c r="BK96">
        <f t="shared" si="212"/>
        <v>0.69252497343142838</v>
      </c>
      <c r="BL96" s="460">
        <f t="shared" si="280"/>
        <v>692.52497343142841</v>
      </c>
      <c r="BM96" s="173">
        <f t="shared" si="213"/>
        <v>0.56533749999999994</v>
      </c>
      <c r="BN96" s="173">
        <f t="shared" si="214"/>
        <v>0.100953125</v>
      </c>
      <c r="BO96" s="528"/>
      <c r="BQ96" s="460">
        <f t="shared" si="281"/>
        <v>666.29062499999986</v>
      </c>
      <c r="BR96" s="528">
        <f t="shared" si="215"/>
        <v>4.4799131681048703E-2</v>
      </c>
      <c r="BS96" s="528">
        <f t="shared" si="216"/>
        <v>6.7731193208497215E-2</v>
      </c>
      <c r="BT96" s="528">
        <f t="shared" si="217"/>
        <v>6.7946038484591892E-4</v>
      </c>
      <c r="BU96" s="528">
        <f t="shared" si="218"/>
        <v>0.88429051266474068</v>
      </c>
      <c r="BV96" s="528">
        <f t="shared" si="219"/>
        <v>1.0340356830162125</v>
      </c>
      <c r="BW96" s="625">
        <f t="shared" si="220"/>
        <v>1.3293972474158137E-2</v>
      </c>
      <c r="BX96" s="460">
        <f t="shared" si="282"/>
        <v>1047.3296554903707</v>
      </c>
      <c r="BY96" s="173">
        <f t="shared" si="283"/>
        <v>2.4061452539217987</v>
      </c>
      <c r="BZ96" s="5">
        <f t="shared" si="284"/>
        <v>16.744</v>
      </c>
      <c r="CA96" s="173">
        <f t="shared" si="285"/>
        <v>0.8743536812897521</v>
      </c>
      <c r="CB96" s="5">
        <f t="shared" si="286"/>
        <v>87.435368128975213</v>
      </c>
      <c r="CC96">
        <f t="shared" si="287"/>
        <v>91</v>
      </c>
      <c r="CE96" s="562">
        <f t="shared" si="221"/>
        <v>-50</v>
      </c>
      <c r="CF96">
        <f t="shared" si="222"/>
        <v>-50</v>
      </c>
      <c r="CG96" s="173">
        <f t="shared" si="223"/>
        <v>0.56500122953983234</v>
      </c>
      <c r="CH96" s="173">
        <f t="shared" si="224"/>
        <v>0.19741829216945345</v>
      </c>
      <c r="CI96" s="170">
        <v>91</v>
      </c>
      <c r="CJ96" s="217">
        <f t="shared" si="309"/>
        <v>0.91</v>
      </c>
      <c r="CK96" s="217">
        <f t="shared" si="288"/>
        <v>0.22750000000000001</v>
      </c>
      <c r="CL96" s="217">
        <f t="shared" si="225"/>
        <v>14.923999999999999</v>
      </c>
      <c r="CM96" s="217">
        <f t="shared" si="310"/>
        <v>1.82</v>
      </c>
      <c r="CN96" s="541">
        <f t="shared" si="289"/>
        <v>24</v>
      </c>
      <c r="CO96" s="443">
        <f t="shared" si="226"/>
        <v>17.099999999999998</v>
      </c>
      <c r="CP96" s="443">
        <f t="shared" si="227"/>
        <v>41.099999999999994</v>
      </c>
      <c r="CQ96" s="443"/>
      <c r="CR96" s="217">
        <f t="shared" si="228"/>
        <v>0.41176470588235292</v>
      </c>
      <c r="CS96" s="172">
        <f t="shared" si="290"/>
        <v>29.36061381074169</v>
      </c>
      <c r="CT96" s="172">
        <f t="shared" si="229"/>
        <v>4.0172166427546641</v>
      </c>
      <c r="CU96" s="217">
        <f t="shared" si="230"/>
        <v>1.7902813299232738</v>
      </c>
      <c r="CV96" s="217">
        <f t="shared" si="231"/>
        <v>3.6700767263427112</v>
      </c>
      <c r="CW96" s="443">
        <f t="shared" si="232"/>
        <v>16.399999999999999</v>
      </c>
      <c r="CX96" s="217">
        <f t="shared" si="233"/>
        <v>3.3886666666666665</v>
      </c>
      <c r="CY96" s="217">
        <f t="shared" si="234"/>
        <v>1.6943333333333335</v>
      </c>
      <c r="CZ96" s="217">
        <f t="shared" si="235"/>
        <v>2.3780116959064332</v>
      </c>
      <c r="DA96" s="197">
        <f t="shared" si="236"/>
        <v>350</v>
      </c>
      <c r="DB96" s="443">
        <f t="shared" si="291"/>
        <v>245.55876106270935</v>
      </c>
      <c r="DD96" s="217">
        <f t="shared" si="237"/>
        <v>2.377476538060479</v>
      </c>
      <c r="DE96" s="173">
        <f t="shared" si="238"/>
        <v>1.668404588112617</v>
      </c>
      <c r="DF96" s="173">
        <f t="shared" si="239"/>
        <v>0.69415373374028577</v>
      </c>
      <c r="DG96" s="173"/>
      <c r="DH96" s="173">
        <f t="shared" si="240"/>
        <v>0.93567251461988332</v>
      </c>
      <c r="DI96" s="545">
        <f t="shared" si="241"/>
        <v>1458.8437499999995</v>
      </c>
      <c r="DJ96" s="528">
        <f t="shared" si="242"/>
        <v>0.21832358674463945</v>
      </c>
      <c r="DL96" s="173">
        <f t="shared" si="243"/>
        <v>2.8237091446063158</v>
      </c>
      <c r="DM96" s="173">
        <f t="shared" si="244"/>
        <v>3.3886666666666665</v>
      </c>
      <c r="DN96" s="173">
        <f t="shared" si="245"/>
        <v>2.7224691358024691</v>
      </c>
      <c r="DP96" s="545">
        <f t="shared" si="246"/>
        <v>910</v>
      </c>
      <c r="DQ96" s="460">
        <f t="shared" si="247"/>
        <v>245.55876106270935</v>
      </c>
      <c r="DS96">
        <f t="shared" ref="DS96:DS105" si="311">IF(CL96&gt;CS96, "",DP96)</f>
        <v>910</v>
      </c>
      <c r="DT96">
        <f t="shared" ref="DT96:DT105" si="312">IF(CL96&gt;CS96, "",DQ96)</f>
        <v>245.55876106270935</v>
      </c>
      <c r="DV96" s="5">
        <f t="shared" si="293"/>
        <v>4.0723450292397665</v>
      </c>
      <c r="DW96" s="5">
        <f t="shared" si="249"/>
        <v>1.6943333333333335</v>
      </c>
      <c r="DX96" s="5">
        <f t="shared" si="294"/>
        <v>2.3780116959064328</v>
      </c>
      <c r="DY96" s="173">
        <f t="shared" si="295"/>
        <v>0.41605839416058393</v>
      </c>
      <c r="EA96" s="5">
        <f t="shared" si="250"/>
        <v>9.4014837398374009</v>
      </c>
      <c r="EB96" s="5">
        <f t="shared" si="251"/>
        <v>4.8182604166666669</v>
      </c>
      <c r="EC96" s="5">
        <f t="shared" si="252"/>
        <v>1.2322724496426249</v>
      </c>
      <c r="ED96" s="5"/>
      <c r="EE96" s="173">
        <f t="shared" si="296"/>
        <v>1.2619593553028299</v>
      </c>
      <c r="EF96" s="173">
        <f t="shared" si="253"/>
        <v>1.4950404157824377</v>
      </c>
      <c r="EG96" s="173">
        <f t="shared" si="254"/>
        <v>0.36678896857790072</v>
      </c>
      <c r="EH96" s="173"/>
      <c r="EI96" s="528">
        <f t="shared" si="255"/>
        <v>3.1850828288726686E-2</v>
      </c>
      <c r="EJ96" s="528">
        <f t="shared" si="256"/>
        <v>0.68399999999999983</v>
      </c>
      <c r="EK96" s="528">
        <f t="shared" si="257"/>
        <v>3.0694845132838666E-2</v>
      </c>
      <c r="EL96" s="528">
        <f t="shared" si="258"/>
        <v>4.1480031477473915E-2</v>
      </c>
      <c r="EM96">
        <f t="shared" si="259"/>
        <v>1.0800000000000001E-2</v>
      </c>
      <c r="EN96" s="460">
        <f t="shared" si="297"/>
        <v>41.49484513283867</v>
      </c>
      <c r="EO96">
        <f t="shared" si="260"/>
        <v>0.81358242244797674</v>
      </c>
      <c r="EP96" s="460">
        <f t="shared" si="298"/>
        <v>813.58242244797668</v>
      </c>
      <c r="EQ96" s="173">
        <f t="shared" si="261"/>
        <v>0.56533749999999994</v>
      </c>
      <c r="ER96" s="173">
        <f t="shared" si="262"/>
        <v>0.100953125</v>
      </c>
      <c r="ES96" s="528"/>
      <c r="EU96" s="460">
        <f t="shared" si="299"/>
        <v>666.29062499999986</v>
      </c>
      <c r="EV96" s="528">
        <f t="shared" si="263"/>
        <v>4.7776242433090019E-2</v>
      </c>
      <c r="EW96" s="528">
        <f t="shared" si="300"/>
        <v>6.7054375344687722E-2</v>
      </c>
      <c r="EX96" s="528">
        <f t="shared" si="264"/>
        <v>6.7267073735220121E-4</v>
      </c>
      <c r="EY96" s="528">
        <f t="shared" si="265"/>
        <v>0.99869003111229349</v>
      </c>
      <c r="EZ96" s="528">
        <f t="shared" si="266"/>
        <v>1.1525641044137978</v>
      </c>
      <c r="FA96" s="625">
        <f t="shared" si="267"/>
        <v>1.4098832116788319E-2</v>
      </c>
      <c r="FB96" s="460">
        <f t="shared" si="301"/>
        <v>1166.662936530586</v>
      </c>
      <c r="FC96" s="173">
        <f t="shared" si="302"/>
        <v>2.6465359839785627</v>
      </c>
      <c r="FD96" s="5">
        <f t="shared" si="303"/>
        <v>16.744</v>
      </c>
      <c r="FE96" s="173">
        <f t="shared" si="304"/>
        <v>0.8635140366328572</v>
      </c>
      <c r="FF96" s="5">
        <f t="shared" si="305"/>
        <v>86.351403663285723</v>
      </c>
      <c r="FG96">
        <f t="shared" si="306"/>
        <v>91</v>
      </c>
      <c r="FI96" s="562">
        <f t="shared" si="268"/>
        <v>-50</v>
      </c>
      <c r="FJ96">
        <f t="shared" si="269"/>
        <v>-50</v>
      </c>
      <c r="FL96">
        <f t="shared" si="270"/>
        <v>0.56500122953983234</v>
      </c>
    </row>
    <row r="97" spans="5:169">
      <c r="E97" s="170">
        <v>92</v>
      </c>
      <c r="F97" s="217">
        <f t="shared" si="307"/>
        <v>0.92</v>
      </c>
      <c r="G97" s="217">
        <f t="shared" si="271"/>
        <v>0.23</v>
      </c>
      <c r="H97" s="217">
        <f t="shared" si="176"/>
        <v>15.087999999999999</v>
      </c>
      <c r="I97" s="217">
        <f t="shared" si="308"/>
        <v>1.84</v>
      </c>
      <c r="J97" s="541">
        <f t="shared" si="177"/>
        <v>23.88962860153072</v>
      </c>
      <c r="K97" s="443">
        <f t="shared" si="178"/>
        <v>17.148849451217085</v>
      </c>
      <c r="L97" s="172">
        <f t="shared" si="179"/>
        <v>41.038478052747806</v>
      </c>
      <c r="M97" s="443"/>
      <c r="N97" s="217">
        <f t="shared" si="180"/>
        <v>0.41787245202356749</v>
      </c>
      <c r="O97" s="172">
        <f t="shared" si="272"/>
        <v>29.659096010711135</v>
      </c>
      <c r="P97" s="172">
        <f t="shared" si="181"/>
        <v>4.0580559681520292</v>
      </c>
      <c r="Q97" s="217">
        <f t="shared" si="182"/>
        <v>1.8084814640677522</v>
      </c>
      <c r="R97" s="217">
        <f t="shared" si="183"/>
        <v>3.7073870013388919</v>
      </c>
      <c r="S97" s="443">
        <f t="shared" si="184"/>
        <v>16.399999999999999</v>
      </c>
      <c r="T97" s="217">
        <f t="shared" si="185"/>
        <v>3.3914272582799101</v>
      </c>
      <c r="U97" s="217">
        <f t="shared" si="186"/>
        <v>1.7035479193992689</v>
      </c>
      <c r="V97" s="217">
        <f t="shared" si="187"/>
        <v>2.3731695362495921</v>
      </c>
      <c r="W97" s="197">
        <f t="shared" si="188"/>
        <v>350</v>
      </c>
      <c r="X97" s="443">
        <f t="shared" si="273"/>
        <v>233.82419118643423</v>
      </c>
      <c r="Z97" s="217">
        <f t="shared" si="189"/>
        <v>2.37686135277476</v>
      </c>
      <c r="AA97" s="173">
        <f t="shared" si="190"/>
        <v>1.66322156564695</v>
      </c>
      <c r="AB97" s="173">
        <f t="shared" si="191"/>
        <v>0.69181823558535871</v>
      </c>
      <c r="AC97" s="173"/>
      <c r="AD97" s="173">
        <f t="shared" si="192"/>
        <v>0.93300719943427191</v>
      </c>
      <c r="AE97" s="545">
        <f t="shared" si="193"/>
        <v>1479.0882651674731</v>
      </c>
      <c r="AF97" s="528">
        <f t="shared" si="194"/>
        <v>0.21770167986799682</v>
      </c>
      <c r="AH97" s="173">
        <f t="shared" si="195"/>
        <v>2.8391816393024913</v>
      </c>
      <c r="AI97" s="173">
        <f t="shared" si="196"/>
        <v>3.3914272582799101</v>
      </c>
      <c r="AJ97" s="173">
        <f t="shared" si="197"/>
        <v>2.7245140184789456</v>
      </c>
      <c r="AL97" s="545">
        <f t="shared" si="198"/>
        <v>920</v>
      </c>
      <c r="AM97" s="460">
        <f t="shared" si="199"/>
        <v>233.82419118643423</v>
      </c>
      <c r="AO97">
        <f t="shared" si="274"/>
        <v>920</v>
      </c>
      <c r="AP97">
        <f t="shared" si="200"/>
        <v>233.82419118643423</v>
      </c>
      <c r="AR97" s="5">
        <f t="shared" si="275"/>
        <v>4.2767174556488614</v>
      </c>
      <c r="AS97" s="5">
        <f t="shared" si="201"/>
        <v>1.7035479193992689</v>
      </c>
      <c r="AT97" s="5">
        <f t="shared" si="276"/>
        <v>2.5731695362495923</v>
      </c>
      <c r="AU97" s="173">
        <f t="shared" si="277"/>
        <v>0.39833071440086693</v>
      </c>
      <c r="AW97" s="5">
        <f t="shared" si="202"/>
        <v>9.5564883283373643</v>
      </c>
      <c r="AX97" s="5">
        <f t="shared" si="203"/>
        <v>4.8977002682728985</v>
      </c>
      <c r="AY97" s="5">
        <f t="shared" si="204"/>
        <v>1.354283017207385</v>
      </c>
      <c r="AZ97" s="5"/>
      <c r="BA97" s="173">
        <f t="shared" si="278"/>
        <v>1.2357874393122623</v>
      </c>
      <c r="BB97" s="173">
        <f t="shared" si="205"/>
        <v>1.5188007399170913</v>
      </c>
      <c r="BC97" s="173">
        <f t="shared" si="206"/>
        <v>0.37261825900404966</v>
      </c>
      <c r="BD97" s="173"/>
      <c r="BE97" s="528">
        <f t="shared" si="207"/>
        <v>3.054341190323917E-2</v>
      </c>
      <c r="BF97" s="528">
        <f t="shared" si="208"/>
        <v>0.61018912818248672</v>
      </c>
      <c r="BG97" s="528">
        <f t="shared" si="209"/>
        <v>0.13964932713743067</v>
      </c>
      <c r="BH97" s="528">
        <f t="shared" si="210"/>
        <v>3.9379657373936658E-2</v>
      </c>
      <c r="BI97">
        <f t="shared" si="211"/>
        <v>1.0750332870688824E-2</v>
      </c>
      <c r="BJ97" s="460">
        <f t="shared" si="279"/>
        <v>150.3996600081195</v>
      </c>
      <c r="BK97">
        <f t="shared" si="212"/>
        <v>0.69339093620749215</v>
      </c>
      <c r="BL97" s="460">
        <f t="shared" si="280"/>
        <v>693.39093620749213</v>
      </c>
      <c r="BM97" s="173">
        <f t="shared" si="213"/>
        <v>0.57155</v>
      </c>
      <c r="BN97" s="173">
        <f t="shared" si="214"/>
        <v>0.1020625</v>
      </c>
      <c r="BO97" s="528"/>
      <c r="BQ97" s="460">
        <f t="shared" si="281"/>
        <v>673.61249999999995</v>
      </c>
      <c r="BR97" s="528">
        <f t="shared" si="215"/>
        <v>4.5815117854858756E-2</v>
      </c>
      <c r="BS97" s="528">
        <f t="shared" si="216"/>
        <v>6.920267062718112E-2</v>
      </c>
      <c r="BT97" s="528">
        <f t="shared" si="217"/>
        <v>6.9422183471604516E-4</v>
      </c>
      <c r="BU97" s="528">
        <f t="shared" si="218"/>
        <v>0.88542111052434125</v>
      </c>
      <c r="BV97" s="528">
        <f t="shared" si="219"/>
        <v>1.0385175193097991</v>
      </c>
      <c r="BW97" s="625">
        <f t="shared" si="220"/>
        <v>1.3446970681932674E-2</v>
      </c>
      <c r="BX97" s="460">
        <f t="shared" si="282"/>
        <v>1051.9644899917319</v>
      </c>
      <c r="BY97" s="173">
        <f t="shared" si="283"/>
        <v>2.4189679261992239</v>
      </c>
      <c r="BZ97" s="5">
        <f t="shared" si="284"/>
        <v>16.928000000000001</v>
      </c>
      <c r="CA97" s="173">
        <f t="shared" si="285"/>
        <v>0.87496914578932494</v>
      </c>
      <c r="CB97" s="5">
        <f t="shared" si="286"/>
        <v>87.49691457893249</v>
      </c>
      <c r="CC97">
        <f t="shared" si="287"/>
        <v>92</v>
      </c>
      <c r="CE97" s="562">
        <f t="shared" si="221"/>
        <v>-50</v>
      </c>
      <c r="CF97">
        <f t="shared" si="222"/>
        <v>-50</v>
      </c>
      <c r="CG97" s="173">
        <f t="shared" si="223"/>
        <v>0.56500122953983234</v>
      </c>
      <c r="CH97" s="173">
        <f t="shared" si="224"/>
        <v>0.19741829216945345</v>
      </c>
      <c r="CI97" s="170">
        <v>92</v>
      </c>
      <c r="CJ97" s="217">
        <f t="shared" si="309"/>
        <v>0.92</v>
      </c>
      <c r="CK97" s="217">
        <f t="shared" si="288"/>
        <v>0.23</v>
      </c>
      <c r="CL97" s="217">
        <f t="shared" si="225"/>
        <v>15.087999999999999</v>
      </c>
      <c r="CM97" s="217">
        <f t="shared" si="310"/>
        <v>1.84</v>
      </c>
      <c r="CN97" s="541">
        <f t="shared" si="289"/>
        <v>24</v>
      </c>
      <c r="CO97" s="443">
        <f t="shared" si="226"/>
        <v>17.099999999999998</v>
      </c>
      <c r="CP97" s="443">
        <f t="shared" si="227"/>
        <v>41.099999999999994</v>
      </c>
      <c r="CQ97" s="443"/>
      <c r="CR97" s="217">
        <f t="shared" si="228"/>
        <v>0.41176470588235292</v>
      </c>
      <c r="CS97" s="172">
        <f t="shared" si="290"/>
        <v>29.36061381074169</v>
      </c>
      <c r="CT97" s="172">
        <f t="shared" si="229"/>
        <v>4.0172166427546641</v>
      </c>
      <c r="CU97" s="217">
        <f t="shared" si="230"/>
        <v>1.7902813299232738</v>
      </c>
      <c r="CV97" s="217">
        <f t="shared" si="231"/>
        <v>3.6700767263427112</v>
      </c>
      <c r="CW97" s="443">
        <f t="shared" si="232"/>
        <v>16.399999999999999</v>
      </c>
      <c r="CX97" s="217">
        <f t="shared" si="233"/>
        <v>3.425904761904762</v>
      </c>
      <c r="CY97" s="217">
        <f t="shared" si="234"/>
        <v>1.712952380952381</v>
      </c>
      <c r="CZ97" s="217">
        <f t="shared" si="235"/>
        <v>2.4041436925647455</v>
      </c>
      <c r="DA97" s="197">
        <f t="shared" si="236"/>
        <v>350</v>
      </c>
      <c r="DB97" s="443">
        <f t="shared" si="291"/>
        <v>242.88964409463642</v>
      </c>
      <c r="DD97" s="217">
        <f t="shared" si="237"/>
        <v>2.377476538060479</v>
      </c>
      <c r="DE97" s="173">
        <f t="shared" si="238"/>
        <v>1.668404588112617</v>
      </c>
      <c r="DF97" s="173">
        <f t="shared" si="239"/>
        <v>0.69415373374028577</v>
      </c>
      <c r="DG97" s="173"/>
      <c r="DH97" s="173">
        <f t="shared" si="240"/>
        <v>0.93567251461988332</v>
      </c>
      <c r="DI97" s="545">
        <f t="shared" si="241"/>
        <v>1474.8749999999995</v>
      </c>
      <c r="DJ97" s="528">
        <f t="shared" si="242"/>
        <v>0.21832358674463945</v>
      </c>
      <c r="DL97" s="173">
        <f t="shared" si="243"/>
        <v>2.8391816393024913</v>
      </c>
      <c r="DM97" s="173">
        <f t="shared" si="244"/>
        <v>3.425904761904762</v>
      </c>
      <c r="DN97" s="173">
        <f t="shared" si="245"/>
        <v>2.7500529100529101</v>
      </c>
      <c r="DP97" s="545">
        <f t="shared" si="246"/>
        <v>920</v>
      </c>
      <c r="DQ97" s="460">
        <f t="shared" si="247"/>
        <v>242.88964409463642</v>
      </c>
      <c r="DS97">
        <f t="shared" si="311"/>
        <v>920</v>
      </c>
      <c r="DT97">
        <f t="shared" si="312"/>
        <v>242.88964409463642</v>
      </c>
      <c r="DV97" s="5">
        <f t="shared" si="293"/>
        <v>4.1170960735171267</v>
      </c>
      <c r="DW97" s="5">
        <f t="shared" si="249"/>
        <v>1.712952380952381</v>
      </c>
      <c r="DX97" s="5">
        <f t="shared" si="294"/>
        <v>2.4041436925647455</v>
      </c>
      <c r="DY97" s="173">
        <f t="shared" si="295"/>
        <v>0.41605839416058388</v>
      </c>
      <c r="EA97" s="5">
        <f t="shared" si="250"/>
        <v>9.6092450638792126</v>
      </c>
      <c r="EB97" s="5">
        <f t="shared" si="251"/>
        <v>4.9247380952380961</v>
      </c>
      <c r="EC97" s="5">
        <f t="shared" si="252"/>
        <v>1.2595041678269747</v>
      </c>
      <c r="ED97" s="5"/>
      <c r="EE97" s="173">
        <f t="shared" si="296"/>
        <v>1.2758270405259378</v>
      </c>
      <c r="EF97" s="173">
        <f t="shared" si="253"/>
        <v>1.5114694313404868</v>
      </c>
      <c r="EG97" s="173">
        <f t="shared" si="254"/>
        <v>0.37081961658425139</v>
      </c>
      <c r="EH97" s="173"/>
      <c r="EI97" s="528">
        <f t="shared" si="255"/>
        <v>3.2554692746743455E-2</v>
      </c>
      <c r="EJ97" s="528">
        <f t="shared" si="256"/>
        <v>0.68399999999999983</v>
      </c>
      <c r="EK97" s="528">
        <f t="shared" si="257"/>
        <v>3.0361205511829553E-2</v>
      </c>
      <c r="EL97" s="528">
        <f t="shared" si="258"/>
        <v>4.1029161570110072E-2</v>
      </c>
      <c r="EM97">
        <f t="shared" si="259"/>
        <v>1.0800000000000001E-2</v>
      </c>
      <c r="EN97" s="460">
        <f t="shared" si="297"/>
        <v>41.161205511829557</v>
      </c>
      <c r="EO97">
        <f t="shared" si="260"/>
        <v>0.81382979627257734</v>
      </c>
      <c r="EP97" s="460">
        <f t="shared" si="298"/>
        <v>813.82979627257737</v>
      </c>
      <c r="EQ97" s="173">
        <f t="shared" si="261"/>
        <v>0.57155</v>
      </c>
      <c r="ER97" s="173">
        <f t="shared" si="262"/>
        <v>0.1020625</v>
      </c>
      <c r="ES97" s="528"/>
      <c r="EU97" s="460">
        <f t="shared" si="299"/>
        <v>673.61249999999995</v>
      </c>
      <c r="EV97" s="528">
        <f t="shared" si="263"/>
        <v>4.8832039120115182E-2</v>
      </c>
      <c r="EW97" s="528">
        <f t="shared" si="300"/>
        <v>6.8536195256302043E-2</v>
      </c>
      <c r="EX97" s="528">
        <f t="shared" si="264"/>
        <v>6.8753594021845612E-4</v>
      </c>
      <c r="EY97" s="528">
        <f t="shared" si="265"/>
        <v>0.99869003111229404</v>
      </c>
      <c r="EZ97" s="528">
        <f t="shared" si="266"/>
        <v>1.1559969551871871</v>
      </c>
      <c r="FA97" s="625">
        <f t="shared" si="267"/>
        <v>1.4253764337851929E-2</v>
      </c>
      <c r="FB97" s="460">
        <f t="shared" si="301"/>
        <v>1170.2507195250391</v>
      </c>
      <c r="FC97" s="173">
        <f t="shared" si="302"/>
        <v>2.6576930157976162</v>
      </c>
      <c r="FD97" s="5">
        <f t="shared" si="303"/>
        <v>16.928000000000001</v>
      </c>
      <c r="FE97" s="173">
        <f t="shared" si="304"/>
        <v>0.86430436678171418</v>
      </c>
      <c r="FF97" s="5">
        <f t="shared" si="305"/>
        <v>86.430436678171418</v>
      </c>
      <c r="FG97">
        <f t="shared" si="306"/>
        <v>92</v>
      </c>
      <c r="FI97" s="562">
        <f t="shared" si="268"/>
        <v>-50</v>
      </c>
      <c r="FJ97">
        <f t="shared" si="269"/>
        <v>-50</v>
      </c>
      <c r="FL97">
        <f t="shared" si="270"/>
        <v>0.56500122953983234</v>
      </c>
    </row>
    <row r="98" spans="5:169">
      <c r="E98" s="170">
        <v>93</v>
      </c>
      <c r="F98" s="217">
        <f t="shared" si="307"/>
        <v>0.93</v>
      </c>
      <c r="G98" s="217">
        <f t="shared" si="271"/>
        <v>0.23250000000000001</v>
      </c>
      <c r="H98" s="217">
        <f t="shared" si="176"/>
        <v>15.251999999999999</v>
      </c>
      <c r="I98" s="217">
        <f t="shared" si="308"/>
        <v>1.86</v>
      </c>
      <c r="J98" s="541">
        <f t="shared" si="177"/>
        <v>23.888428912416924</v>
      </c>
      <c r="K98" s="443">
        <f t="shared" si="178"/>
        <v>17.149380423512923</v>
      </c>
      <c r="L98" s="172">
        <f t="shared" si="179"/>
        <v>41.03780933592985</v>
      </c>
      <c r="M98" s="443"/>
      <c r="N98" s="217">
        <f t="shared" si="180"/>
        <v>0.41789219992545068</v>
      </c>
      <c r="O98" s="172">
        <f t="shared" si="272"/>
        <v>29.659008155788307</v>
      </c>
      <c r="P98" s="172">
        <f t="shared" si="181"/>
        <v>4.0580439475498578</v>
      </c>
      <c r="Q98" s="217">
        <f t="shared" si="182"/>
        <v>1.8084761070602628</v>
      </c>
      <c r="R98" s="217">
        <f t="shared" si="183"/>
        <v>3.7073760194735383</v>
      </c>
      <c r="S98" s="443">
        <f t="shared" si="184"/>
        <v>16.399999999999999</v>
      </c>
      <c r="T98" s="217">
        <f t="shared" si="185"/>
        <v>3.4283007532116661</v>
      </c>
      <c r="U98" s="217">
        <f t="shared" si="186"/>
        <v>1.7221563288808879</v>
      </c>
      <c r="V98" s="217">
        <f t="shared" si="187"/>
        <v>2.3988976874135286</v>
      </c>
      <c r="W98" s="197">
        <f t="shared" si="188"/>
        <v>350</v>
      </c>
      <c r="X98" s="443">
        <f t="shared" si="273"/>
        <v>231.4250171900338</v>
      </c>
      <c r="Z98" s="217">
        <f t="shared" si="189"/>
        <v>2.3768543121363455</v>
      </c>
      <c r="AA98" s="173">
        <f t="shared" si="190"/>
        <v>1.6631651430701411</v>
      </c>
      <c r="AB98" s="173">
        <f t="shared" si="191"/>
        <v>0.6917927173676971</v>
      </c>
      <c r="AC98" s="173"/>
      <c r="AD98" s="173">
        <f t="shared" si="192"/>
        <v>0.93297831203644854</v>
      </c>
      <c r="AE98" s="545">
        <f t="shared" si="193"/>
        <v>1495.2116056750326</v>
      </c>
      <c r="AF98" s="528">
        <f t="shared" si="194"/>
        <v>0.21769493947517138</v>
      </c>
      <c r="AH98" s="173">
        <f t="shared" si="195"/>
        <v>2.8545702703859694</v>
      </c>
      <c r="AI98" s="173">
        <f t="shared" si="196"/>
        <v>3.4283007532116661</v>
      </c>
      <c r="AJ98" s="173">
        <f t="shared" si="197"/>
        <v>2.7518277184283946</v>
      </c>
      <c r="AL98" s="545">
        <f t="shared" si="198"/>
        <v>930</v>
      </c>
      <c r="AM98" s="460">
        <f t="shared" si="199"/>
        <v>231.4250171900338</v>
      </c>
      <c r="AO98">
        <f t="shared" si="274"/>
        <v>930</v>
      </c>
      <c r="AP98">
        <f t="shared" si="200"/>
        <v>231.4250171900338</v>
      </c>
      <c r="AR98" s="5">
        <f t="shared" si="275"/>
        <v>4.3210540162944167</v>
      </c>
      <c r="AS98" s="5">
        <f t="shared" si="201"/>
        <v>1.7221563288808879</v>
      </c>
      <c r="AT98" s="5">
        <f t="shared" si="276"/>
        <v>2.5988976874135288</v>
      </c>
      <c r="AU98" s="173">
        <f t="shared" si="277"/>
        <v>0.398550058015185</v>
      </c>
      <c r="AW98" s="5">
        <f t="shared" si="202"/>
        <v>9.7658864991416241</v>
      </c>
      <c r="AX98" s="5">
        <f t="shared" si="203"/>
        <v>5.0050168308100806</v>
      </c>
      <c r="AY98" s="5">
        <f t="shared" si="204"/>
        <v>1.3827610734943017</v>
      </c>
      <c r="AZ98" s="5"/>
      <c r="BA98" s="173">
        <f t="shared" si="278"/>
        <v>1.249567511431646</v>
      </c>
      <c r="BB98" s="173">
        <f t="shared" si="205"/>
        <v>1.535034110109093</v>
      </c>
      <c r="BC98" s="173">
        <f t="shared" si="206"/>
        <v>0.37660090793207296</v>
      </c>
      <c r="BD98" s="173"/>
      <c r="BE98" s="528">
        <f t="shared" si="207"/>
        <v>3.122837931250954E-2</v>
      </c>
      <c r="BF98" s="528">
        <f t="shared" si="208"/>
        <v>0.61048452585002533</v>
      </c>
      <c r="BG98" s="528">
        <f t="shared" si="209"/>
        <v>0.13820950179247465</v>
      </c>
      <c r="BH98" s="528">
        <f t="shared" si="210"/>
        <v>3.8974328687896326E-2</v>
      </c>
      <c r="BI98">
        <f t="shared" si="211"/>
        <v>1.0749793010587615E-2</v>
      </c>
      <c r="BJ98" s="460">
        <f t="shared" si="279"/>
        <v>148.95929480306228</v>
      </c>
      <c r="BK98">
        <f t="shared" si="212"/>
        <v>0.69427028662421941</v>
      </c>
      <c r="BL98" s="460">
        <f t="shared" si="280"/>
        <v>694.27028662421947</v>
      </c>
      <c r="BM98" s="173">
        <f t="shared" si="213"/>
        <v>0.57776249999999996</v>
      </c>
      <c r="BN98" s="173">
        <f t="shared" si="214"/>
        <v>0.103171875</v>
      </c>
      <c r="BO98" s="528"/>
      <c r="BQ98" s="460">
        <f t="shared" si="281"/>
        <v>680.93437499999993</v>
      </c>
      <c r="BR98" s="528">
        <f t="shared" si="215"/>
        <v>4.6842568968764306E-2</v>
      </c>
      <c r="BS98" s="528">
        <f t="shared" si="216"/>
        <v>7.0689891575952457E-2</v>
      </c>
      <c r="BT98" s="528">
        <f t="shared" si="217"/>
        <v>7.0914121927630842E-4</v>
      </c>
      <c r="BU98" s="528">
        <f t="shared" si="218"/>
        <v>0.88652921333447021</v>
      </c>
      <c r="BV98" s="528">
        <f t="shared" si="219"/>
        <v>1.0430150208602553</v>
      </c>
      <c r="BW98" s="625">
        <f t="shared" si="220"/>
        <v>1.3599975850974022E-2</v>
      </c>
      <c r="BX98" s="460">
        <f t="shared" si="282"/>
        <v>1056.6149967112292</v>
      </c>
      <c r="BY98" s="173">
        <f t="shared" si="283"/>
        <v>2.4318196583354488</v>
      </c>
      <c r="BZ98" s="5">
        <f t="shared" si="284"/>
        <v>17.111999999999998</v>
      </c>
      <c r="CA98" s="173">
        <f t="shared" si="285"/>
        <v>0.87557091188680325</v>
      </c>
      <c r="CB98" s="5">
        <f t="shared" si="286"/>
        <v>87.557091188680332</v>
      </c>
      <c r="CC98">
        <f t="shared" si="287"/>
        <v>93</v>
      </c>
      <c r="CE98" s="562">
        <f t="shared" si="221"/>
        <v>-50</v>
      </c>
      <c r="CF98">
        <f t="shared" si="222"/>
        <v>-50</v>
      </c>
      <c r="CG98" s="173">
        <f t="shared" si="223"/>
        <v>0.56500122953983245</v>
      </c>
      <c r="CH98" s="173">
        <f t="shared" si="224"/>
        <v>0.19741829216945347</v>
      </c>
      <c r="CI98" s="170">
        <v>93</v>
      </c>
      <c r="CJ98" s="217">
        <f t="shared" si="309"/>
        <v>0.93</v>
      </c>
      <c r="CK98" s="217">
        <f t="shared" si="288"/>
        <v>0.23250000000000001</v>
      </c>
      <c r="CL98" s="217">
        <f t="shared" si="225"/>
        <v>15.251999999999999</v>
      </c>
      <c r="CM98" s="217">
        <f t="shared" si="310"/>
        <v>1.86</v>
      </c>
      <c r="CN98" s="541">
        <f t="shared" si="289"/>
        <v>24</v>
      </c>
      <c r="CO98" s="443">
        <f t="shared" si="226"/>
        <v>17.099999999999998</v>
      </c>
      <c r="CP98" s="443">
        <f t="shared" si="227"/>
        <v>41.099999999999994</v>
      </c>
      <c r="CQ98" s="443"/>
      <c r="CR98" s="217">
        <f t="shared" si="228"/>
        <v>0.41176470588235292</v>
      </c>
      <c r="CS98" s="172">
        <f t="shared" si="290"/>
        <v>29.36061381074169</v>
      </c>
      <c r="CT98" s="172">
        <f t="shared" si="229"/>
        <v>4.0172166427546641</v>
      </c>
      <c r="CU98" s="217">
        <f t="shared" si="230"/>
        <v>1.7902813299232738</v>
      </c>
      <c r="CV98" s="217">
        <f t="shared" si="231"/>
        <v>3.6700767263427112</v>
      </c>
      <c r="CW98" s="443">
        <f t="shared" si="232"/>
        <v>16.399999999999999</v>
      </c>
      <c r="CX98" s="217">
        <f t="shared" si="233"/>
        <v>3.4631428571428566</v>
      </c>
      <c r="CY98" s="217">
        <f t="shared" si="234"/>
        <v>1.7315714285714283</v>
      </c>
      <c r="CZ98" s="217">
        <f t="shared" si="235"/>
        <v>2.4302756892230573</v>
      </c>
      <c r="DA98" s="197">
        <f t="shared" si="236"/>
        <v>350</v>
      </c>
      <c r="DB98" s="443">
        <f t="shared" si="291"/>
        <v>240.2779274914684</v>
      </c>
      <c r="DD98" s="217">
        <f t="shared" si="237"/>
        <v>2.377476538060479</v>
      </c>
      <c r="DE98" s="173">
        <f t="shared" si="238"/>
        <v>1.668404588112617</v>
      </c>
      <c r="DF98" s="173">
        <f t="shared" si="239"/>
        <v>0.69415373374028577</v>
      </c>
      <c r="DG98" s="173"/>
      <c r="DH98" s="173">
        <f t="shared" si="240"/>
        <v>0.93567251461988332</v>
      </c>
      <c r="DI98" s="545">
        <f t="shared" si="241"/>
        <v>1490.9062499999995</v>
      </c>
      <c r="DJ98" s="528">
        <f t="shared" si="242"/>
        <v>0.21832358674463945</v>
      </c>
      <c r="DL98" s="173">
        <f t="shared" si="243"/>
        <v>2.8545702703859694</v>
      </c>
      <c r="DM98" s="173">
        <f t="shared" si="244"/>
        <v>3.4631428571428566</v>
      </c>
      <c r="DN98" s="173">
        <f t="shared" si="245"/>
        <v>2.7776366843033502</v>
      </c>
      <c r="DP98" s="545">
        <f t="shared" si="246"/>
        <v>930</v>
      </c>
      <c r="DQ98" s="460">
        <f t="shared" si="247"/>
        <v>240.2779274914684</v>
      </c>
      <c r="DS98">
        <f t="shared" si="311"/>
        <v>930</v>
      </c>
      <c r="DT98">
        <f t="shared" si="312"/>
        <v>240.2779274914684</v>
      </c>
      <c r="DV98" s="5">
        <f t="shared" si="293"/>
        <v>4.1618471177944851</v>
      </c>
      <c r="DW98" s="5">
        <f t="shared" si="249"/>
        <v>1.7315714285714283</v>
      </c>
      <c r="DX98" s="5">
        <f t="shared" si="294"/>
        <v>2.4302756892230568</v>
      </c>
      <c r="DY98" s="173">
        <f t="shared" si="295"/>
        <v>0.41605839416058399</v>
      </c>
      <c r="EA98" s="5">
        <f t="shared" si="250"/>
        <v>9.8192770034843218</v>
      </c>
      <c r="EB98" s="5">
        <f t="shared" si="251"/>
        <v>5.0323794642857145</v>
      </c>
      <c r="EC98" s="5">
        <f t="shared" si="252"/>
        <v>1.2870335004177103</v>
      </c>
      <c r="ED98" s="5"/>
      <c r="EE98" s="173">
        <f t="shared" si="296"/>
        <v>1.2896947257490459</v>
      </c>
      <c r="EF98" s="173">
        <f t="shared" si="253"/>
        <v>1.5278984468985353</v>
      </c>
      <c r="EG98" s="173">
        <f t="shared" si="254"/>
        <v>0.37485026459060183</v>
      </c>
      <c r="EH98" s="173"/>
      <c r="EI98" s="528">
        <f t="shared" si="255"/>
        <v>3.3266249712498135E-2</v>
      </c>
      <c r="EJ98" s="528">
        <f t="shared" si="256"/>
        <v>0.68400000000000005</v>
      </c>
      <c r="EK98" s="528">
        <f t="shared" si="257"/>
        <v>3.003474093643355E-2</v>
      </c>
      <c r="EL98" s="528">
        <f t="shared" si="258"/>
        <v>4.0587987789786326E-2</v>
      </c>
      <c r="EM98">
        <f t="shared" si="259"/>
        <v>1.0800000000000001E-2</v>
      </c>
      <c r="EN98" s="460">
        <f t="shared" si="297"/>
        <v>40.834740936433548</v>
      </c>
      <c r="EO98">
        <f t="shared" si="260"/>
        <v>0.81410560617714689</v>
      </c>
      <c r="EP98" s="460">
        <f t="shared" si="298"/>
        <v>814.10560617714691</v>
      </c>
      <c r="EQ98" s="173">
        <f t="shared" si="261"/>
        <v>0.57776249999999996</v>
      </c>
      <c r="ER98" s="173">
        <f t="shared" si="262"/>
        <v>0.103171875</v>
      </c>
      <c r="ES98" s="528"/>
      <c r="EU98" s="460">
        <f t="shared" si="299"/>
        <v>680.93437499999993</v>
      </c>
      <c r="EV98" s="528">
        <f t="shared" si="263"/>
        <v>4.9899374568747198E-2</v>
      </c>
      <c r="EW98" s="528">
        <f t="shared" si="300"/>
        <v>7.0034209921048682E-2</v>
      </c>
      <c r="EX98" s="528">
        <f t="shared" si="264"/>
        <v>7.0256360431822102E-4</v>
      </c>
      <c r="EY98" s="528">
        <f t="shared" si="265"/>
        <v>0.99869003111229482</v>
      </c>
      <c r="EZ98" s="528">
        <f t="shared" si="266"/>
        <v>1.1594687623752684</v>
      </c>
      <c r="FA98" s="625">
        <f t="shared" si="267"/>
        <v>1.4408696558915539E-2</v>
      </c>
      <c r="FB98" s="460">
        <f t="shared" si="301"/>
        <v>1173.877458934184</v>
      </c>
      <c r="FC98" s="173">
        <f t="shared" si="302"/>
        <v>2.6689174401113305</v>
      </c>
      <c r="FD98" s="5">
        <f t="shared" si="303"/>
        <v>17.111999999999998</v>
      </c>
      <c r="FE98" s="173">
        <f t="shared" si="304"/>
        <v>0.86507615492599177</v>
      </c>
      <c r="FF98" s="5">
        <f t="shared" si="305"/>
        <v>86.507615492599172</v>
      </c>
      <c r="FG98">
        <f t="shared" si="306"/>
        <v>93</v>
      </c>
      <c r="FI98" s="562">
        <f t="shared" si="268"/>
        <v>-50</v>
      </c>
      <c r="FJ98">
        <f t="shared" si="269"/>
        <v>-50</v>
      </c>
      <c r="FL98">
        <f t="shared" si="270"/>
        <v>0.56500122953983245</v>
      </c>
    </row>
    <row r="99" spans="5:169">
      <c r="E99" s="170">
        <v>94</v>
      </c>
      <c r="F99" s="217">
        <f t="shared" si="307"/>
        <v>0.94</v>
      </c>
      <c r="G99" s="217">
        <f t="shared" si="271"/>
        <v>0.23499999999999999</v>
      </c>
      <c r="H99" s="217">
        <f t="shared" si="176"/>
        <v>15.415999999999999</v>
      </c>
      <c r="I99" s="217">
        <f t="shared" si="308"/>
        <v>1.88</v>
      </c>
      <c r="J99" s="541">
        <f t="shared" si="177"/>
        <v>23.887229223303127</v>
      </c>
      <c r="K99" s="443">
        <f t="shared" si="178"/>
        <v>17.149911395808761</v>
      </c>
      <c r="L99" s="172">
        <f t="shared" si="179"/>
        <v>41.037140619111888</v>
      </c>
      <c r="M99" s="443"/>
      <c r="N99" s="217">
        <f t="shared" si="180"/>
        <v>0.41791194847093405</v>
      </c>
      <c r="O99" s="172">
        <f t="shared" si="272"/>
        <v>29.658920205766687</v>
      </c>
      <c r="P99" s="172">
        <f t="shared" si="181"/>
        <v>4.0580319139359542</v>
      </c>
      <c r="Q99" s="217">
        <f t="shared" si="182"/>
        <v>1.8084707442540664</v>
      </c>
      <c r="R99" s="217">
        <f t="shared" si="183"/>
        <v>3.7073650257208359</v>
      </c>
      <c r="S99" s="443">
        <f t="shared" si="184"/>
        <v>16.399999999999999</v>
      </c>
      <c r="T99" s="217">
        <f t="shared" si="185"/>
        <v>3.4651744777057241</v>
      </c>
      <c r="U99" s="217">
        <f t="shared" si="186"/>
        <v>1.740766722827082</v>
      </c>
      <c r="V99" s="217">
        <f t="shared" si="187"/>
        <v>2.4246244060847375</v>
      </c>
      <c r="W99" s="197">
        <f t="shared" si="188"/>
        <v>350</v>
      </c>
      <c r="X99" s="443">
        <f t="shared" si="273"/>
        <v>229.07454806902365</v>
      </c>
      <c r="Z99" s="217">
        <f t="shared" si="189"/>
        <v>2.3768472638767726</v>
      </c>
      <c r="AA99" s="173">
        <f t="shared" si="190"/>
        <v>1.663108718654474</v>
      </c>
      <c r="AB99" s="173">
        <f t="shared" si="191"/>
        <v>0.69176719630611105</v>
      </c>
      <c r="AC99" s="173"/>
      <c r="AD99" s="173">
        <f t="shared" si="192"/>
        <v>0.93294942642737022</v>
      </c>
      <c r="AE99" s="545">
        <f t="shared" si="193"/>
        <v>1511.3359417556467</v>
      </c>
      <c r="AF99" s="528">
        <f t="shared" si="194"/>
        <v>0.21768819949971974</v>
      </c>
      <c r="AH99" s="173">
        <f t="shared" si="195"/>
        <v>2.8698763869181678</v>
      </c>
      <c r="AI99" s="173">
        <f t="shared" si="196"/>
        <v>3.4651744777057241</v>
      </c>
      <c r="AJ99" s="173">
        <f t="shared" si="197"/>
        <v>2.7791415884239932</v>
      </c>
      <c r="AL99" s="545">
        <f t="shared" si="198"/>
        <v>940</v>
      </c>
      <c r="AM99" s="460">
        <f t="shared" si="199"/>
        <v>229.07454806902365</v>
      </c>
      <c r="AO99">
        <f t="shared" si="274"/>
        <v>940</v>
      </c>
      <c r="AP99">
        <f t="shared" si="200"/>
        <v>229.07454806902365</v>
      </c>
      <c r="AR99" s="5">
        <f t="shared" si="275"/>
        <v>4.3653911289118197</v>
      </c>
      <c r="AS99" s="5">
        <f t="shared" si="201"/>
        <v>1.740766722827082</v>
      </c>
      <c r="AT99" s="5">
        <f t="shared" si="276"/>
        <v>2.6246244060847377</v>
      </c>
      <c r="AU99" s="173">
        <f t="shared" si="277"/>
        <v>0.39876535032520916</v>
      </c>
      <c r="AW99" s="5">
        <f t="shared" si="202"/>
        <v>9.9775653625454694</v>
      </c>
      <c r="AX99" s="5">
        <f t="shared" si="203"/>
        <v>5.1135022483045534</v>
      </c>
      <c r="AY99" s="5">
        <f t="shared" si="204"/>
        <v>1.4115356182572818</v>
      </c>
      <c r="AZ99" s="5"/>
      <c r="BA99" s="173">
        <f t="shared" si="278"/>
        <v>1.2633485517590906</v>
      </c>
      <c r="BB99" s="173">
        <f t="shared" si="205"/>
        <v>1.5512667373523874</v>
      </c>
      <c r="BC99" s="173">
        <f t="shared" si="206"/>
        <v>0.38058337458717106</v>
      </c>
      <c r="BD99" s="173"/>
      <c r="BE99" s="528">
        <f t="shared" si="207"/>
        <v>3.192099126463583E-2</v>
      </c>
      <c r="BF99" s="528">
        <f t="shared" si="208"/>
        <v>0.61077367459230858</v>
      </c>
      <c r="BG99" s="528">
        <f t="shared" si="209"/>
        <v>0.13679890597373343</v>
      </c>
      <c r="BH99" s="528">
        <f t="shared" si="210"/>
        <v>3.857722848794428E-2</v>
      </c>
      <c r="BI99">
        <f t="shared" si="211"/>
        <v>1.0749253150486407E-2</v>
      </c>
      <c r="BJ99" s="460">
        <f t="shared" si="279"/>
        <v>147.54815912421984</v>
      </c>
      <c r="BK99">
        <f t="shared" si="212"/>
        <v>0.69516297518936421</v>
      </c>
      <c r="BL99" s="460">
        <f t="shared" si="280"/>
        <v>695.16297518936426</v>
      </c>
      <c r="BM99" s="173">
        <f t="shared" si="213"/>
        <v>0.58397499999999991</v>
      </c>
      <c r="BN99" s="173">
        <f t="shared" si="214"/>
        <v>0.10428124999999999</v>
      </c>
      <c r="BO99" s="528"/>
      <c r="BQ99" s="460">
        <f t="shared" si="281"/>
        <v>688.25624999999991</v>
      </c>
      <c r="BR99" s="528">
        <f t="shared" si="215"/>
        <v>4.7881486896953741E-2</v>
      </c>
      <c r="BS99" s="528">
        <f t="shared" si="216"/>
        <v>7.2192854712477619E-2</v>
      </c>
      <c r="BT99" s="528">
        <f t="shared" si="217"/>
        <v>7.2421852506079475E-4</v>
      </c>
      <c r="BU99" s="528">
        <f t="shared" si="218"/>
        <v>0.88761548043436034</v>
      </c>
      <c r="BV99" s="528">
        <f t="shared" si="219"/>
        <v>1.04752889356448</v>
      </c>
      <c r="BW99" s="625">
        <f t="shared" si="220"/>
        <v>1.3752987769433029E-2</v>
      </c>
      <c r="BX99" s="460">
        <f t="shared" si="282"/>
        <v>1061.2818813339131</v>
      </c>
      <c r="BY99" s="173">
        <f t="shared" si="283"/>
        <v>2.4447011065232771</v>
      </c>
      <c r="BZ99" s="5">
        <f t="shared" si="284"/>
        <v>17.295999999999999</v>
      </c>
      <c r="CA99" s="173">
        <f t="shared" si="285"/>
        <v>0.87615935759670516</v>
      </c>
      <c r="CB99" s="5">
        <f t="shared" si="286"/>
        <v>87.615935759670521</v>
      </c>
      <c r="CC99">
        <f t="shared" si="287"/>
        <v>94</v>
      </c>
      <c r="CE99" s="562">
        <f t="shared" si="221"/>
        <v>-50</v>
      </c>
      <c r="CF99">
        <f t="shared" si="222"/>
        <v>-50</v>
      </c>
      <c r="CG99" s="173">
        <f t="shared" si="223"/>
        <v>0.56500122953983234</v>
      </c>
      <c r="CH99" s="173">
        <f t="shared" si="224"/>
        <v>0.19741829216945345</v>
      </c>
      <c r="CI99" s="170">
        <v>94</v>
      </c>
      <c r="CJ99" s="217">
        <f t="shared" si="309"/>
        <v>0.94</v>
      </c>
      <c r="CK99" s="217">
        <f t="shared" si="288"/>
        <v>0.23499999999999999</v>
      </c>
      <c r="CL99" s="217">
        <f t="shared" si="225"/>
        <v>15.415999999999999</v>
      </c>
      <c r="CM99" s="217">
        <f t="shared" si="310"/>
        <v>1.88</v>
      </c>
      <c r="CN99" s="541">
        <f t="shared" si="289"/>
        <v>24</v>
      </c>
      <c r="CO99" s="443">
        <f t="shared" si="226"/>
        <v>17.099999999999998</v>
      </c>
      <c r="CP99" s="443">
        <f t="shared" si="227"/>
        <v>41.099999999999994</v>
      </c>
      <c r="CQ99" s="443"/>
      <c r="CR99" s="217">
        <f t="shared" si="228"/>
        <v>0.41176470588235292</v>
      </c>
      <c r="CS99" s="172">
        <f t="shared" si="290"/>
        <v>29.36061381074169</v>
      </c>
      <c r="CT99" s="172">
        <f t="shared" si="229"/>
        <v>4.0172166427546641</v>
      </c>
      <c r="CU99" s="217">
        <f t="shared" si="230"/>
        <v>1.7902813299232738</v>
      </c>
      <c r="CV99" s="217">
        <f t="shared" si="231"/>
        <v>3.6700767263427112</v>
      </c>
      <c r="CW99" s="443">
        <f t="shared" si="232"/>
        <v>16.399999999999999</v>
      </c>
      <c r="CX99" s="217">
        <f t="shared" si="233"/>
        <v>3.5003809523809521</v>
      </c>
      <c r="CY99" s="217">
        <f t="shared" si="234"/>
        <v>1.7501904761904761</v>
      </c>
      <c r="CZ99" s="217">
        <f t="shared" si="235"/>
        <v>2.4564076858813699</v>
      </c>
      <c r="DA99" s="197">
        <f t="shared" si="236"/>
        <v>350</v>
      </c>
      <c r="DB99" s="443">
        <f t="shared" si="291"/>
        <v>237.72177932666546</v>
      </c>
      <c r="DD99" s="217">
        <f t="shared" si="237"/>
        <v>2.377476538060479</v>
      </c>
      <c r="DE99" s="173">
        <f t="shared" si="238"/>
        <v>1.668404588112617</v>
      </c>
      <c r="DF99" s="173">
        <f t="shared" si="239"/>
        <v>0.69415373374028577</v>
      </c>
      <c r="DG99" s="173"/>
      <c r="DH99" s="173">
        <f t="shared" si="240"/>
        <v>0.93567251461988332</v>
      </c>
      <c r="DI99" s="545">
        <f t="shared" si="241"/>
        <v>1506.9374999999993</v>
      </c>
      <c r="DJ99" s="528">
        <f t="shared" si="242"/>
        <v>0.21832358674463945</v>
      </c>
      <c r="DL99" s="173">
        <f t="shared" si="243"/>
        <v>2.8698763869181678</v>
      </c>
      <c r="DM99" s="173">
        <f t="shared" si="244"/>
        <v>3.5003809523809521</v>
      </c>
      <c r="DN99" s="173">
        <f t="shared" si="245"/>
        <v>2.8052204585537917</v>
      </c>
      <c r="DP99" s="545">
        <f t="shared" si="246"/>
        <v>940</v>
      </c>
      <c r="DQ99" s="460">
        <f t="shared" si="247"/>
        <v>237.72177932666546</v>
      </c>
      <c r="DS99">
        <f t="shared" si="311"/>
        <v>940</v>
      </c>
      <c r="DT99">
        <f t="shared" si="312"/>
        <v>237.72177932666546</v>
      </c>
      <c r="DV99" s="5">
        <f t="shared" si="293"/>
        <v>4.2065981620718462</v>
      </c>
      <c r="DW99" s="5">
        <f t="shared" si="249"/>
        <v>1.7501904761904761</v>
      </c>
      <c r="DX99" s="5">
        <f t="shared" si="294"/>
        <v>2.4564076858813699</v>
      </c>
      <c r="DY99" s="173">
        <f t="shared" si="295"/>
        <v>0.41605839416058393</v>
      </c>
      <c r="EA99" s="5">
        <f t="shared" si="250"/>
        <v>10.031579558652728</v>
      </c>
      <c r="EB99" s="5">
        <f t="shared" si="251"/>
        <v>5.1411845238095228</v>
      </c>
      <c r="EC99" s="5">
        <f t="shared" si="252"/>
        <v>1.3148604474148331</v>
      </c>
      <c r="ED99" s="5"/>
      <c r="EE99" s="173">
        <f t="shared" si="296"/>
        <v>1.303562410972154</v>
      </c>
      <c r="EF99" s="173">
        <f t="shared" si="253"/>
        <v>1.5443274624565841</v>
      </c>
      <c r="EG99" s="173">
        <f t="shared" si="254"/>
        <v>0.37888091259695245</v>
      </c>
      <c r="EH99" s="173"/>
      <c r="EI99" s="528">
        <f t="shared" si="255"/>
        <v>3.3985499185990697E-2</v>
      </c>
      <c r="EJ99" s="528">
        <f t="shared" si="256"/>
        <v>0.68399999999999983</v>
      </c>
      <c r="EK99" s="528">
        <f t="shared" si="257"/>
        <v>2.971522241583318E-2</v>
      </c>
      <c r="EL99" s="528">
        <f t="shared" si="258"/>
        <v>4.0156200685639645E-2</v>
      </c>
      <c r="EM99">
        <f t="shared" si="259"/>
        <v>1.0800000000000001E-2</v>
      </c>
      <c r="EN99" s="460">
        <f t="shared" si="297"/>
        <v>40.515222415833179</v>
      </c>
      <c r="EO99">
        <f t="shared" si="260"/>
        <v>0.81440932540148248</v>
      </c>
      <c r="EP99" s="460">
        <f t="shared" si="298"/>
        <v>814.40932540148242</v>
      </c>
      <c r="EQ99" s="173">
        <f t="shared" si="261"/>
        <v>0.58397499999999991</v>
      </c>
      <c r="ER99" s="173">
        <f t="shared" si="262"/>
        <v>0.10428124999999999</v>
      </c>
      <c r="ES99" s="528"/>
      <c r="EU99" s="460">
        <f t="shared" si="299"/>
        <v>688.25624999999991</v>
      </c>
      <c r="EV99" s="528">
        <f t="shared" si="263"/>
        <v>5.0978248778986046E-2</v>
      </c>
      <c r="EW99" s="528">
        <f t="shared" si="300"/>
        <v>7.1548419338927777E-2</v>
      </c>
      <c r="EX99" s="528">
        <f t="shared" si="264"/>
        <v>7.1775372965149754E-4</v>
      </c>
      <c r="EY99" s="528">
        <f t="shared" si="265"/>
        <v>0.99869003111229437</v>
      </c>
      <c r="EZ99" s="528">
        <f t="shared" si="266"/>
        <v>1.1629795738189428</v>
      </c>
      <c r="FA99" s="625">
        <f t="shared" si="267"/>
        <v>1.4563628779979142E-2</v>
      </c>
      <c r="FB99" s="460">
        <f t="shared" si="301"/>
        <v>1177.5432025989219</v>
      </c>
      <c r="FC99" s="173">
        <f t="shared" si="302"/>
        <v>2.680208778000404</v>
      </c>
      <c r="FD99" s="5">
        <f t="shared" si="303"/>
        <v>17.295999999999999</v>
      </c>
      <c r="FE99" s="173">
        <f t="shared" si="304"/>
        <v>0.86582995763680182</v>
      </c>
      <c r="FF99" s="5">
        <f t="shared" si="305"/>
        <v>86.582995763680188</v>
      </c>
      <c r="FG99">
        <f t="shared" si="306"/>
        <v>94</v>
      </c>
      <c r="FI99" s="562">
        <f t="shared" si="268"/>
        <v>-50</v>
      </c>
      <c r="FJ99">
        <f t="shared" si="269"/>
        <v>-50</v>
      </c>
      <c r="FL99">
        <f t="shared" si="270"/>
        <v>0.56500122953983234</v>
      </c>
    </row>
    <row r="100" spans="5:169">
      <c r="E100" s="170">
        <v>95</v>
      </c>
      <c r="F100" s="217">
        <f t="shared" si="307"/>
        <v>0.95</v>
      </c>
      <c r="G100" s="217">
        <f t="shared" si="271"/>
        <v>0.23749999999999999</v>
      </c>
      <c r="H100" s="217">
        <f t="shared" si="176"/>
        <v>15.579999999999998</v>
      </c>
      <c r="I100" s="217">
        <f t="shared" si="308"/>
        <v>1.9</v>
      </c>
      <c r="J100" s="541">
        <f t="shared" si="177"/>
        <v>23.88602953418933</v>
      </c>
      <c r="K100" s="443">
        <f t="shared" si="178"/>
        <v>17.150442368104599</v>
      </c>
      <c r="L100" s="172">
        <f t="shared" si="179"/>
        <v>41.036471902293925</v>
      </c>
      <c r="M100" s="443"/>
      <c r="N100" s="217">
        <f t="shared" si="180"/>
        <v>0.41793169766004895</v>
      </c>
      <c r="O100" s="172">
        <f t="shared" si="272"/>
        <v>29.658832160641623</v>
      </c>
      <c r="P100" s="172">
        <f t="shared" si="181"/>
        <v>4.0580198673096808</v>
      </c>
      <c r="Q100" s="217">
        <f t="shared" si="182"/>
        <v>1.8084653756488795</v>
      </c>
      <c r="R100" s="217">
        <f t="shared" si="183"/>
        <v>3.7073540200802029</v>
      </c>
      <c r="S100" s="443">
        <f t="shared" si="184"/>
        <v>16.399999999999999</v>
      </c>
      <c r="T100" s="217">
        <f t="shared" si="185"/>
        <v>3.5020484321193734</v>
      </c>
      <c r="U100" s="217">
        <f t="shared" si="186"/>
        <v>1.7593791017163607</v>
      </c>
      <c r="V100" s="217">
        <f t="shared" si="187"/>
        <v>2.4503496926462591</v>
      </c>
      <c r="W100" s="197">
        <f t="shared" si="188"/>
        <v>350</v>
      </c>
      <c r="X100" s="443">
        <f t="shared" si="273"/>
        <v>226.77131556897467</v>
      </c>
      <c r="Z100" s="217">
        <f t="shared" si="189"/>
        <v>2.3768402079956701</v>
      </c>
      <c r="AA100" s="173">
        <f t="shared" si="190"/>
        <v>1.6630522923998603</v>
      </c>
      <c r="AB100" s="173">
        <f t="shared" si="191"/>
        <v>0.69174167240068796</v>
      </c>
      <c r="AC100" s="173"/>
      <c r="AD100" s="173">
        <f t="shared" si="192"/>
        <v>0.93292054260687041</v>
      </c>
      <c r="AE100" s="545">
        <f t="shared" si="193"/>
        <v>1527.4612734093155</v>
      </c>
      <c r="AF100" s="528">
        <f t="shared" si="194"/>
        <v>0.21768145994160312</v>
      </c>
      <c r="AH100" s="173">
        <f t="shared" si="195"/>
        <v>2.8851013021745913</v>
      </c>
      <c r="AI100" s="173">
        <f t="shared" si="196"/>
        <v>3.5020484321193734</v>
      </c>
      <c r="AJ100" s="173">
        <f t="shared" si="197"/>
        <v>2.8064556287303999</v>
      </c>
      <c r="AL100" s="545">
        <f t="shared" si="198"/>
        <v>950</v>
      </c>
      <c r="AM100" s="460">
        <f t="shared" si="199"/>
        <v>226.77131556897467</v>
      </c>
      <c r="AO100">
        <f t="shared" si="274"/>
        <v>950</v>
      </c>
      <c r="AP100">
        <f t="shared" si="200"/>
        <v>226.77131556897467</v>
      </c>
      <c r="AR100" s="5">
        <f t="shared" si="275"/>
        <v>4.4097287943626204</v>
      </c>
      <c r="AS100" s="5">
        <f t="shared" si="201"/>
        <v>1.7593791017163607</v>
      </c>
      <c r="AT100" s="5">
        <f t="shared" si="276"/>
        <v>2.6503496926462597</v>
      </c>
      <c r="AU100" s="173">
        <f t="shared" si="277"/>
        <v>0.39897671348078001</v>
      </c>
      <c r="AW100" s="5">
        <f t="shared" si="202"/>
        <v>10.191525284332577</v>
      </c>
      <c r="AX100" s="5">
        <f t="shared" si="203"/>
        <v>5.2231567082204453</v>
      </c>
      <c r="AY100" s="5">
        <f t="shared" si="204"/>
        <v>1.4406066717899078</v>
      </c>
      <c r="AZ100" s="5"/>
      <c r="BA100" s="173">
        <f t="shared" si="278"/>
        <v>1.2771305533994115</v>
      </c>
      <c r="BB100" s="173">
        <f t="shared" si="205"/>
        <v>1.56749863047584</v>
      </c>
      <c r="BC100" s="173">
        <f t="shared" si="206"/>
        <v>0.38456566113539248</v>
      </c>
      <c r="BD100" s="173"/>
      <c r="BE100" s="528">
        <f t="shared" si="207"/>
        <v>3.2621249008525741E-2</v>
      </c>
      <c r="BF100" s="528">
        <f t="shared" si="208"/>
        <v>0.61105676272906351</v>
      </c>
      <c r="BG100" s="528">
        <f t="shared" si="209"/>
        <v>0.13541665852968746</v>
      </c>
      <c r="BH100" s="528">
        <f t="shared" si="210"/>
        <v>3.8188108718626136E-2</v>
      </c>
      <c r="BI100">
        <f t="shared" si="211"/>
        <v>1.0748713290385199E-2</v>
      </c>
      <c r="BJ100" s="460">
        <f t="shared" si="279"/>
        <v>146.16537182007266</v>
      </c>
      <c r="BK100">
        <f t="shared" si="212"/>
        <v>0.69606895504593191</v>
      </c>
      <c r="BL100" s="460">
        <f t="shared" si="280"/>
        <v>696.06895504593194</v>
      </c>
      <c r="BM100" s="173">
        <f t="shared" si="213"/>
        <v>0.59018749999999986</v>
      </c>
      <c r="BN100" s="173">
        <f t="shared" si="214"/>
        <v>0.10539062499999999</v>
      </c>
      <c r="BO100" s="528"/>
      <c r="BQ100" s="460">
        <f t="shared" si="281"/>
        <v>695.57812499999977</v>
      </c>
      <c r="BR100" s="528">
        <f t="shared" si="215"/>
        <v>4.8931873512788611E-2</v>
      </c>
      <c r="BS100" s="528">
        <f t="shared" si="216"/>
        <v>7.3711558696309021E-2</v>
      </c>
      <c r="BT100" s="528">
        <f t="shared" si="217"/>
        <v>7.394537386225075E-4</v>
      </c>
      <c r="BU100" s="528">
        <f t="shared" si="218"/>
        <v>0.88868054566533128</v>
      </c>
      <c r="BV100" s="528">
        <f t="shared" si="219"/>
        <v>1.0520598183668837</v>
      </c>
      <c r="BW100" s="625">
        <f t="shared" si="220"/>
        <v>1.3906006233975714E-2</v>
      </c>
      <c r="BX100" s="460">
        <f t="shared" si="282"/>
        <v>1065.9658246008594</v>
      </c>
      <c r="BY100" s="173">
        <f t="shared" si="283"/>
        <v>2.4576129046467914</v>
      </c>
      <c r="BZ100" s="5">
        <f t="shared" si="284"/>
        <v>17.479999999999997</v>
      </c>
      <c r="CA100" s="173">
        <f t="shared" si="285"/>
        <v>0.87673484702504167</v>
      </c>
      <c r="CB100" s="5">
        <f t="shared" si="286"/>
        <v>87.673484702504169</v>
      </c>
      <c r="CC100">
        <f t="shared" si="287"/>
        <v>95</v>
      </c>
      <c r="CE100" s="562">
        <f t="shared" si="221"/>
        <v>-50</v>
      </c>
      <c r="CF100">
        <f t="shared" si="222"/>
        <v>-50</v>
      </c>
      <c r="CG100" s="173">
        <f t="shared" si="223"/>
        <v>0.56500122953983245</v>
      </c>
      <c r="CH100" s="173">
        <f t="shared" si="224"/>
        <v>0.19741829216945345</v>
      </c>
      <c r="CI100" s="170">
        <v>95</v>
      </c>
      <c r="CJ100" s="217">
        <f t="shared" si="309"/>
        <v>0.95</v>
      </c>
      <c r="CK100" s="217">
        <f t="shared" si="288"/>
        <v>0.23749999999999999</v>
      </c>
      <c r="CL100" s="217">
        <f t="shared" si="225"/>
        <v>15.579999999999998</v>
      </c>
      <c r="CM100" s="217">
        <f t="shared" si="310"/>
        <v>1.9</v>
      </c>
      <c r="CN100" s="541">
        <f t="shared" si="289"/>
        <v>24</v>
      </c>
      <c r="CO100" s="443">
        <f t="shared" si="226"/>
        <v>17.099999999999998</v>
      </c>
      <c r="CP100" s="443">
        <f t="shared" si="227"/>
        <v>41.099999999999994</v>
      </c>
      <c r="CQ100" s="443"/>
      <c r="CR100" s="217">
        <f t="shared" si="228"/>
        <v>0.41176470588235292</v>
      </c>
      <c r="CS100" s="172">
        <f t="shared" si="290"/>
        <v>29.36061381074169</v>
      </c>
      <c r="CT100" s="172">
        <f t="shared" si="229"/>
        <v>4.0172166427546641</v>
      </c>
      <c r="CU100" s="217">
        <f t="shared" si="230"/>
        <v>1.7902813299232738</v>
      </c>
      <c r="CV100" s="217">
        <f t="shared" si="231"/>
        <v>3.6700767263427112</v>
      </c>
      <c r="CW100" s="443">
        <f t="shared" si="232"/>
        <v>16.399999999999999</v>
      </c>
      <c r="CX100" s="217">
        <f t="shared" si="233"/>
        <v>3.5376190476190468</v>
      </c>
      <c r="CY100" s="217">
        <f t="shared" si="234"/>
        <v>1.7688095238095234</v>
      </c>
      <c r="CZ100" s="217">
        <f t="shared" si="235"/>
        <v>2.4825396825396822</v>
      </c>
      <c r="DA100" s="197">
        <f t="shared" si="236"/>
        <v>350</v>
      </c>
      <c r="DB100" s="443">
        <f t="shared" si="291"/>
        <v>235.21944480743744</v>
      </c>
      <c r="DD100" s="217">
        <f t="shared" si="237"/>
        <v>2.377476538060479</v>
      </c>
      <c r="DE100" s="173">
        <f t="shared" si="238"/>
        <v>1.668404588112617</v>
      </c>
      <c r="DF100" s="173">
        <f t="shared" si="239"/>
        <v>0.69415373374028577</v>
      </c>
      <c r="DG100" s="173"/>
      <c r="DH100" s="173">
        <f t="shared" si="240"/>
        <v>0.93567251461988332</v>
      </c>
      <c r="DI100" s="545">
        <f t="shared" si="241"/>
        <v>1522.9687499999993</v>
      </c>
      <c r="DJ100" s="528">
        <f t="shared" si="242"/>
        <v>0.21832358674463945</v>
      </c>
      <c r="DL100" s="173">
        <f t="shared" si="243"/>
        <v>2.8851013021745913</v>
      </c>
      <c r="DM100" s="173">
        <f t="shared" si="244"/>
        <v>3.5376190476190468</v>
      </c>
      <c r="DN100" s="173">
        <f t="shared" si="245"/>
        <v>2.8328042328042322</v>
      </c>
      <c r="DP100" s="545">
        <f t="shared" si="246"/>
        <v>950</v>
      </c>
      <c r="DQ100" s="460">
        <f t="shared" si="247"/>
        <v>235.21944480743744</v>
      </c>
      <c r="DS100">
        <f t="shared" si="311"/>
        <v>950</v>
      </c>
      <c r="DT100">
        <f t="shared" si="312"/>
        <v>235.21944480743744</v>
      </c>
      <c r="DV100" s="5">
        <f t="shared" si="293"/>
        <v>4.2513492063492055</v>
      </c>
      <c r="DW100" s="5">
        <f t="shared" si="249"/>
        <v>1.7688095238095234</v>
      </c>
      <c r="DX100" s="5">
        <f t="shared" si="294"/>
        <v>2.4825396825396822</v>
      </c>
      <c r="DY100" s="173">
        <f t="shared" si="295"/>
        <v>0.41605839416058393</v>
      </c>
      <c r="EA100" s="5">
        <f t="shared" si="250"/>
        <v>10.246152729384436</v>
      </c>
      <c r="EB100" s="5">
        <f t="shared" si="251"/>
        <v>5.2511532738095221</v>
      </c>
      <c r="EC100" s="5">
        <f t="shared" si="252"/>
        <v>1.3429850088183415</v>
      </c>
      <c r="ED100" s="5"/>
      <c r="EE100" s="173">
        <f t="shared" si="296"/>
        <v>1.3174300961952616</v>
      </c>
      <c r="EF100" s="173">
        <f t="shared" si="253"/>
        <v>1.5607564780146326</v>
      </c>
      <c r="EG100" s="173">
        <f t="shared" si="254"/>
        <v>0.38291156060330289</v>
      </c>
      <c r="EH100" s="173"/>
      <c r="EI100" s="528">
        <f t="shared" si="255"/>
        <v>3.4712441167221129E-2</v>
      </c>
      <c r="EJ100" s="528">
        <f t="shared" si="256"/>
        <v>0.68399999999999972</v>
      </c>
      <c r="EK100" s="528">
        <f t="shared" si="257"/>
        <v>2.9402430600929681E-2</v>
      </c>
      <c r="EL100" s="528">
        <f t="shared" si="258"/>
        <v>3.973350383631713E-2</v>
      </c>
      <c r="EM100">
        <f t="shared" si="259"/>
        <v>1.0800000000000001E-2</v>
      </c>
      <c r="EN100" s="460">
        <f t="shared" si="297"/>
        <v>40.202430600929681</v>
      </c>
      <c r="EO100">
        <f t="shared" si="260"/>
        <v>0.81474044999263062</v>
      </c>
      <c r="EP100" s="460">
        <f t="shared" si="298"/>
        <v>814.7404499926306</v>
      </c>
      <c r="EQ100" s="173">
        <f t="shared" si="261"/>
        <v>0.59018749999999986</v>
      </c>
      <c r="ER100" s="173">
        <f t="shared" si="262"/>
        <v>0.10539062499999999</v>
      </c>
      <c r="ES100" s="528"/>
      <c r="EU100" s="460">
        <f t="shared" si="299"/>
        <v>695.57812499999977</v>
      </c>
      <c r="EV100" s="528">
        <f t="shared" si="263"/>
        <v>5.2068661750831691E-2</v>
      </c>
      <c r="EW100" s="528">
        <f t="shared" si="300"/>
        <v>7.3078823509939203E-2</v>
      </c>
      <c r="EX100" s="528">
        <f t="shared" si="264"/>
        <v>7.3310631621828449E-4</v>
      </c>
      <c r="EY100" s="528">
        <f t="shared" si="265"/>
        <v>0.99869003111229371</v>
      </c>
      <c r="EZ100" s="528">
        <f t="shared" si="266"/>
        <v>1.1665294379268165</v>
      </c>
      <c r="FA100" s="625">
        <f t="shared" si="267"/>
        <v>1.4718561001042747E-2</v>
      </c>
      <c r="FB100" s="460">
        <f t="shared" si="301"/>
        <v>1181.2479989278593</v>
      </c>
      <c r="FC100" s="173">
        <f t="shared" si="302"/>
        <v>2.6915665739204901</v>
      </c>
      <c r="FD100" s="5">
        <f t="shared" si="303"/>
        <v>17.479999999999997</v>
      </c>
      <c r="FE100" s="173">
        <f t="shared" si="304"/>
        <v>0.86656630936139711</v>
      </c>
      <c r="FF100" s="5">
        <f t="shared" si="305"/>
        <v>86.656630936139706</v>
      </c>
      <c r="FG100">
        <f t="shared" si="306"/>
        <v>95</v>
      </c>
      <c r="FI100" s="562">
        <f t="shared" si="268"/>
        <v>-50</v>
      </c>
      <c r="FJ100">
        <f t="shared" si="269"/>
        <v>-50</v>
      </c>
      <c r="FL100">
        <f t="shared" si="270"/>
        <v>0.56500122953983234</v>
      </c>
    </row>
    <row r="101" spans="5:169">
      <c r="E101" s="170">
        <v>96</v>
      </c>
      <c r="F101" s="217">
        <f t="shared" si="307"/>
        <v>0.96</v>
      </c>
      <c r="G101" s="217">
        <f t="shared" si="271"/>
        <v>0.24</v>
      </c>
      <c r="H101" s="217">
        <f t="shared" si="176"/>
        <v>15.743999999999998</v>
      </c>
      <c r="I101" s="217">
        <f t="shared" si="308"/>
        <v>1.92</v>
      </c>
      <c r="J101" s="541">
        <f t="shared" si="177"/>
        <v>23.884829845075533</v>
      </c>
      <c r="K101" s="443">
        <f t="shared" si="178"/>
        <v>17.150973340400437</v>
      </c>
      <c r="L101" s="172">
        <f t="shared" si="179"/>
        <v>41.03580318547597</v>
      </c>
      <c r="M101" s="443"/>
      <c r="N101" s="217">
        <f t="shared" si="180"/>
        <v>0.41795144749282687</v>
      </c>
      <c r="O101" s="172">
        <f t="shared" si="272"/>
        <v>29.658744020408463</v>
      </c>
      <c r="P101" s="172">
        <f t="shared" si="181"/>
        <v>4.0580078076704034</v>
      </c>
      <c r="Q101" s="217">
        <f t="shared" si="182"/>
        <v>1.8084600012444185</v>
      </c>
      <c r="R101" s="217">
        <f t="shared" si="183"/>
        <v>3.7073430025510579</v>
      </c>
      <c r="S101" s="443">
        <f t="shared" si="184"/>
        <v>16.399999999999999</v>
      </c>
      <c r="T101" s="217">
        <f t="shared" si="185"/>
        <v>3.5389226168099368</v>
      </c>
      <c r="U101" s="217">
        <f t="shared" si="186"/>
        <v>1.777993466027346</v>
      </c>
      <c r="V101" s="217">
        <f t="shared" si="187"/>
        <v>2.4760735474811093</v>
      </c>
      <c r="W101" s="197">
        <f t="shared" si="188"/>
        <v>350</v>
      </c>
      <c r="X101" s="443">
        <f t="shared" si="273"/>
        <v>224.51390986421256</v>
      </c>
      <c r="Z101" s="217">
        <f t="shared" si="189"/>
        <v>2.3768331444926645</v>
      </c>
      <c r="AA101" s="173">
        <f t="shared" si="190"/>
        <v>1.6629958643062093</v>
      </c>
      <c r="AB101" s="173">
        <f>0.5*AA101*Z101*Nps*W101/1000*(Pout/Pout_total)</f>
        <v>0.69171614565151418</v>
      </c>
      <c r="AC101" s="173"/>
      <c r="AD101" s="173">
        <f t="shared" si="192"/>
        <v>0.93289166057478334</v>
      </c>
      <c r="AE101" s="545">
        <f>MAX(10, F101/(0.5*AD101/1000000*Isw_min*Nps)/1000*Pout_total/Pout)</f>
        <v>1543.587600636039</v>
      </c>
      <c r="AF101" s="528">
        <f t="shared" si="194"/>
        <v>0.21767472080078282</v>
      </c>
      <c r="AH101" s="173">
        <f t="shared" si="195"/>
        <v>2.9002462949598899</v>
      </c>
      <c r="AI101" s="173">
        <f>MAX(IF(F101&gt;AB101,T101,AH101),Isw_min)</f>
        <v>3.5389226168099368</v>
      </c>
      <c r="AJ101" s="173">
        <f>IF(F101&gt;AF101, (AI101-Isw_min)/1.08*0.8+1.2, AE101*0.2/350+1)</f>
        <v>2.833769839612299</v>
      </c>
      <c r="AL101" s="545">
        <f t="shared" si="198"/>
        <v>960</v>
      </c>
      <c r="AM101" s="460">
        <f t="shared" si="199"/>
        <v>224.51390986421256</v>
      </c>
      <c r="AO101">
        <f t="shared" si="274"/>
        <v>960</v>
      </c>
      <c r="AP101">
        <f t="shared" si="200"/>
        <v>224.51390986421256</v>
      </c>
      <c r="AR101" s="5">
        <f t="shared" si="275"/>
        <v>4.4540670135084568</v>
      </c>
      <c r="AS101" s="5">
        <f t="shared" si="201"/>
        <v>1.777993466027346</v>
      </c>
      <c r="AT101" s="5">
        <f t="shared" si="276"/>
        <v>2.6760735474811108</v>
      </c>
      <c r="AU101" s="173">
        <f t="shared" si="277"/>
        <v>0.39918426477082242</v>
      </c>
      <c r="AW101" s="5">
        <f t="shared" si="202"/>
        <v>10.407766630403978</v>
      </c>
      <c r="AX101" s="5">
        <f t="shared" si="203"/>
        <v>5.3339803980820371</v>
      </c>
      <c r="AY101" s="5">
        <f t="shared" si="204"/>
        <v>1.4699742543985928</v>
      </c>
      <c r="AZ101" s="5"/>
      <c r="BA101" s="173">
        <f t="shared" si="278"/>
        <v>1.2909135097399627</v>
      </c>
      <c r="BB101" s="173">
        <f t="shared" si="205"/>
        <v>1.5837297979644389</v>
      </c>
      <c r="BC101" s="173">
        <f t="shared" si="206"/>
        <v>0.38854776965842036</v>
      </c>
      <c r="BD101" s="173"/>
      <c r="BE101" s="528">
        <f t="shared" si="207"/>
        <v>3.3329153792582979E-2</v>
      </c>
      <c r="BF101" s="528">
        <f t="shared" si="208"/>
        <v>0.61133397108588894</v>
      </c>
      <c r="BG101" s="528">
        <f t="shared" si="209"/>
        <v>0.13406191337398357</v>
      </c>
      <c r="BH101" s="528">
        <f t="shared" si="210"/>
        <v>3.7806731195781616E-2</v>
      </c>
      <c r="BI101">
        <f t="shared" si="211"/>
        <v>1.0748173430283989E-2</v>
      </c>
      <c r="BJ101" s="460">
        <f t="shared" si="279"/>
        <v>144.81008680426754</v>
      </c>
      <c r="BK101">
        <f t="shared" si="212"/>
        <v>0.69698818184818367</v>
      </c>
      <c r="BL101" s="460">
        <f t="shared" si="280"/>
        <v>696.98818184818367</v>
      </c>
      <c r="BM101" s="173">
        <f t="shared" si="213"/>
        <v>0.59639999999999993</v>
      </c>
      <c r="BN101" s="173">
        <f t="shared" si="214"/>
        <v>0.1065</v>
      </c>
      <c r="BO101" s="528"/>
      <c r="BQ101" s="460">
        <f t="shared" si="281"/>
        <v>702.9</v>
      </c>
      <c r="BR101" s="528">
        <f t="shared" si="215"/>
        <v>4.9993730688874458E-2</v>
      </c>
      <c r="BS101" s="528">
        <f t="shared" si="216"/>
        <v>7.524600218881447E-2</v>
      </c>
      <c r="BT101" s="528">
        <f t="shared" si="217"/>
        <v>7.5484684653266438E-4</v>
      </c>
      <c r="BU101" s="528">
        <f t="shared" si="218"/>
        <v>0.88972501859010134</v>
      </c>
      <c r="BV101" s="528">
        <f>(BU101+(BR101+BS101+BT101)*(1+Ltc*(Ta-25)))/(1-(BR101+BS101+BT101)*Ltc*ThetaCa)</f>
        <v>1.0566084524804022</v>
      </c>
      <c r="BW101" s="625">
        <f t="shared" si="220"/>
        <v>1.4059031049359752E-2</v>
      </c>
      <c r="BX101" s="460">
        <f t="shared" si="282"/>
        <v>1070.667483529762</v>
      </c>
      <c r="BY101" s="173">
        <f t="shared" si="283"/>
        <v>2.4705556653779452</v>
      </c>
      <c r="BZ101" s="5">
        <f t="shared" si="284"/>
        <v>17.663999999999998</v>
      </c>
      <c r="CA101" s="173">
        <f t="shared" si="285"/>
        <v>0.87729773100351305</v>
      </c>
      <c r="CB101" s="5">
        <f t="shared" si="286"/>
        <v>87.729773100351309</v>
      </c>
      <c r="CC101">
        <f t="shared" si="287"/>
        <v>96</v>
      </c>
      <c r="CE101" s="562">
        <f t="shared" si="221"/>
        <v>-50</v>
      </c>
      <c r="CF101">
        <f t="shared" si="222"/>
        <v>-50</v>
      </c>
      <c r="CG101" s="173">
        <f t="shared" si="223"/>
        <v>0.56500122953983234</v>
      </c>
      <c r="CH101" s="173">
        <f t="shared" si="224"/>
        <v>0.19741829216945347</v>
      </c>
      <c r="CI101" s="170">
        <v>96</v>
      </c>
      <c r="CJ101" s="217">
        <f t="shared" si="309"/>
        <v>0.96</v>
      </c>
      <c r="CK101" s="217">
        <f t="shared" si="288"/>
        <v>0.24</v>
      </c>
      <c r="CL101" s="217">
        <f t="shared" si="225"/>
        <v>15.743999999999998</v>
      </c>
      <c r="CM101" s="217">
        <f t="shared" si="310"/>
        <v>1.92</v>
      </c>
      <c r="CN101" s="541">
        <f t="shared" si="289"/>
        <v>24</v>
      </c>
      <c r="CO101" s="443">
        <f t="shared" si="226"/>
        <v>17.099999999999998</v>
      </c>
      <c r="CP101" s="443">
        <f t="shared" si="227"/>
        <v>41.099999999999994</v>
      </c>
      <c r="CQ101" s="443"/>
      <c r="CR101" s="217">
        <f t="shared" si="228"/>
        <v>0.41176470588235292</v>
      </c>
      <c r="CS101" s="172">
        <f t="shared" si="290"/>
        <v>29.36061381074169</v>
      </c>
      <c r="CT101" s="172">
        <f t="shared" si="229"/>
        <v>4.0172166427546641</v>
      </c>
      <c r="CU101" s="217">
        <f t="shared" si="230"/>
        <v>1.7902813299232738</v>
      </c>
      <c r="CV101" s="217">
        <f t="shared" si="231"/>
        <v>3.6700767263427112</v>
      </c>
      <c r="CW101" s="443">
        <f t="shared" si="232"/>
        <v>16.399999999999999</v>
      </c>
      <c r="CX101" s="217">
        <f t="shared" si="233"/>
        <v>3.5748571428571423</v>
      </c>
      <c r="CY101" s="217">
        <f t="shared" si="234"/>
        <v>1.7874285714285711</v>
      </c>
      <c r="CZ101" s="217">
        <f t="shared" si="235"/>
        <v>2.5086716791979948</v>
      </c>
      <c r="DA101" s="197">
        <f t="shared" si="236"/>
        <v>350</v>
      </c>
      <c r="DB101" s="443">
        <f t="shared" si="291"/>
        <v>232.76924225735999</v>
      </c>
      <c r="DD101" s="217">
        <f t="shared" si="237"/>
        <v>2.377476538060479</v>
      </c>
      <c r="DE101" s="173">
        <f t="shared" si="238"/>
        <v>1.668404588112617</v>
      </c>
      <c r="DF101" s="173">
        <f t="shared" si="239"/>
        <v>0.69415373374028577</v>
      </c>
      <c r="DG101" s="173"/>
      <c r="DH101" s="173">
        <f t="shared" si="240"/>
        <v>0.93567251461988332</v>
      </c>
      <c r="DI101" s="545">
        <f t="shared" si="241"/>
        <v>1538.9999999999993</v>
      </c>
      <c r="DJ101" s="528">
        <f t="shared" si="242"/>
        <v>0.21832358674463945</v>
      </c>
      <c r="DL101" s="173">
        <f t="shared" si="243"/>
        <v>2.9002462949598899</v>
      </c>
      <c r="DM101" s="173">
        <f t="shared" si="244"/>
        <v>3.5748571428571423</v>
      </c>
      <c r="DN101" s="173">
        <f t="shared" si="245"/>
        <v>2.8603880070546728</v>
      </c>
      <c r="DP101" s="545">
        <f t="shared" si="246"/>
        <v>960</v>
      </c>
      <c r="DQ101" s="460">
        <f t="shared" si="247"/>
        <v>232.76924225735999</v>
      </c>
      <c r="DS101">
        <f t="shared" si="311"/>
        <v>960</v>
      </c>
      <c r="DT101">
        <f t="shared" si="312"/>
        <v>232.76924225735999</v>
      </c>
      <c r="DV101" s="5">
        <f t="shared" si="293"/>
        <v>4.2961002506265649</v>
      </c>
      <c r="DW101" s="5">
        <f t="shared" si="249"/>
        <v>1.7874285714285711</v>
      </c>
      <c r="DX101" s="5">
        <f t="shared" si="294"/>
        <v>2.5086716791979935</v>
      </c>
      <c r="DY101" s="173">
        <f t="shared" si="295"/>
        <v>0.41605839416058404</v>
      </c>
      <c r="EA101" s="5">
        <f t="shared" si="250"/>
        <v>10.462996515679443</v>
      </c>
      <c r="EB101" s="5">
        <f t="shared" si="251"/>
        <v>5.3622857142857132</v>
      </c>
      <c r="EC101" s="5">
        <f t="shared" si="252"/>
        <v>1.3714071846282361</v>
      </c>
      <c r="ED101" s="5"/>
      <c r="EE101" s="173">
        <f t="shared" si="296"/>
        <v>1.33129778141837</v>
      </c>
      <c r="EF101" s="173">
        <f t="shared" si="253"/>
        <v>1.5771854935726815</v>
      </c>
      <c r="EG101" s="173">
        <f t="shared" si="254"/>
        <v>0.38694220860965345</v>
      </c>
      <c r="EH101" s="173"/>
      <c r="EI101" s="528">
        <f t="shared" si="255"/>
        <v>3.5447075656189479E-2</v>
      </c>
      <c r="EJ101" s="528">
        <f t="shared" si="256"/>
        <v>0.68399999999999983</v>
      </c>
      <c r="EK101" s="528">
        <f t="shared" si="257"/>
        <v>2.9096155282169998E-2</v>
      </c>
      <c r="EL101" s="528">
        <f t="shared" si="258"/>
        <v>3.9319613171355496E-2</v>
      </c>
      <c r="EM101">
        <f t="shared" si="259"/>
        <v>1.0800000000000001E-2</v>
      </c>
      <c r="EN101" s="460">
        <f t="shared" si="297"/>
        <v>39.89615528217</v>
      </c>
      <c r="EO101">
        <f t="shared" si="260"/>
        <v>0.81509849762442532</v>
      </c>
      <c r="EP101" s="460">
        <f t="shared" si="298"/>
        <v>815.09849762442536</v>
      </c>
      <c r="EQ101" s="173">
        <f t="shared" si="261"/>
        <v>0.59639999999999993</v>
      </c>
      <c r="ER101" s="173">
        <f t="shared" si="262"/>
        <v>0.1065</v>
      </c>
      <c r="ES101" s="528"/>
      <c r="EU101" s="460">
        <f t="shared" si="299"/>
        <v>702.9</v>
      </c>
      <c r="EV101" s="528">
        <f t="shared" si="263"/>
        <v>5.3170613484284215E-2</v>
      </c>
      <c r="EW101" s="528">
        <f t="shared" si="300"/>
        <v>7.4625422434083086E-2</v>
      </c>
      <c r="EX101" s="528">
        <f t="shared" si="264"/>
        <v>7.4862136401858284E-4</v>
      </c>
      <c r="EY101" s="528">
        <f t="shared" si="265"/>
        <v>0.99869003111229404</v>
      </c>
      <c r="EZ101" s="528">
        <f t="shared" si="266"/>
        <v>1.1701184036768892</v>
      </c>
      <c r="FA101" s="625">
        <f t="shared" si="267"/>
        <v>1.4873493222106361E-2</v>
      </c>
      <c r="FB101" s="460">
        <f t="shared" si="301"/>
        <v>1184.9918968989957</v>
      </c>
      <c r="FC101" s="173">
        <f t="shared" si="302"/>
        <v>2.7029903945234208</v>
      </c>
      <c r="FD101" s="5">
        <f t="shared" si="303"/>
        <v>17.663999999999998</v>
      </c>
      <c r="FE101" s="173">
        <f t="shared" si="304"/>
        <v>0.86728572350825861</v>
      </c>
      <c r="FF101" s="5">
        <f t="shared" si="305"/>
        <v>86.728572350825857</v>
      </c>
      <c r="FG101">
        <f t="shared" si="306"/>
        <v>96</v>
      </c>
      <c r="FI101" s="562">
        <f t="shared" si="268"/>
        <v>-50</v>
      </c>
      <c r="FJ101">
        <f t="shared" si="269"/>
        <v>-50</v>
      </c>
      <c r="FL101">
        <f t="shared" si="270"/>
        <v>0.56500122953983234</v>
      </c>
    </row>
    <row r="102" spans="5:169">
      <c r="E102" s="170">
        <v>97</v>
      </c>
      <c r="F102" s="217">
        <f t="shared" si="307"/>
        <v>0.97</v>
      </c>
      <c r="G102" s="217">
        <f t="shared" si="271"/>
        <v>0.24249999999999999</v>
      </c>
      <c r="H102" s="217">
        <f t="shared" si="176"/>
        <v>15.907999999999998</v>
      </c>
      <c r="I102" s="217">
        <f t="shared" si="308"/>
        <v>1.94</v>
      </c>
      <c r="J102" s="541">
        <f t="shared" si="177"/>
        <v>23.883630155961736</v>
      </c>
      <c r="K102" s="443">
        <f t="shared" si="178"/>
        <v>17.151504312696275</v>
      </c>
      <c r="L102" s="172">
        <f t="shared" si="179"/>
        <v>41.035134468658015</v>
      </c>
      <c r="M102" s="443"/>
      <c r="N102" s="217">
        <f t="shared" si="180"/>
        <v>0.41797119796929927</v>
      </c>
      <c r="O102" s="172">
        <f>N102*J102*Isw_max*0.5*Efficiency*Pout/(Pout+Pout2)</f>
        <v>29.658655785062564</v>
      </c>
      <c r="P102" s="172">
        <f t="shared" si="181"/>
        <v>4.0579957350174842</v>
      </c>
      <c r="Q102" s="217">
        <f t="shared" si="182"/>
        <v>1.8084546210404004</v>
      </c>
      <c r="R102" s="217">
        <f t="shared" si="183"/>
        <v>3.7073319731328205</v>
      </c>
      <c r="S102" s="443">
        <f t="shared" si="184"/>
        <v>16.399999999999999</v>
      </c>
      <c r="T102" s="217">
        <f t="shared" si="185"/>
        <v>3.5757970321347665</v>
      </c>
      <c r="U102" s="217">
        <f t="shared" si="186"/>
        <v>1.7966098162387716</v>
      </c>
      <c r="V102" s="217">
        <f t="shared" si="187"/>
        <v>2.5017959709722786</v>
      </c>
      <c r="W102" s="197">
        <f t="shared" si="188"/>
        <v>350</v>
      </c>
      <c r="X102" s="443">
        <f t="shared" si="273"/>
        <v>222.30097668000428</v>
      </c>
      <c r="Z102" s="217">
        <f t="shared" si="189"/>
        <v>2.3768260733673832</v>
      </c>
      <c r="AA102" s="173">
        <f t="shared" si="190"/>
        <v>1.6629394343734305</v>
      </c>
      <c r="AB102" s="173">
        <f>0.5*AA102*Z102*Nps*W102/1000*(Pout/Pout_total)</f>
        <v>0.6916906160586761</v>
      </c>
      <c r="AC102" s="173"/>
      <c r="AD102" s="173">
        <f t="shared" si="192"/>
        <v>0.93286278033094272</v>
      </c>
      <c r="AE102" s="545">
        <f>MAX(10, F102/(0.5*AD102/1000000*Isw_min*Nps)/1000*Pout_total/Pout)</f>
        <v>1559.7149234358169</v>
      </c>
      <c r="AF102" s="528">
        <f t="shared" si="194"/>
        <v>0.21766798207721999</v>
      </c>
      <c r="AH102" s="173">
        <f t="shared" si="195"/>
        <v>2.915312610861418</v>
      </c>
      <c r="AI102" s="173">
        <f>MAX(IF(F102&gt;AB102,T102,AH102),Isw_min)</f>
        <v>3.5757970321347665</v>
      </c>
      <c r="AJ102" s="173">
        <f>IF(F102&gt;AF102, (AI102-Isw_min)/1.08*0.8+1.2, AE102*0.2/350+1)</f>
        <v>2.8610842213343948</v>
      </c>
      <c r="AL102" s="545">
        <f t="shared" si="198"/>
        <v>970</v>
      </c>
      <c r="AM102" s="460">
        <f t="shared" si="199"/>
        <v>222.30097668000428</v>
      </c>
      <c r="AO102">
        <f t="shared" si="274"/>
        <v>970</v>
      </c>
      <c r="AP102">
        <f t="shared" si="200"/>
        <v>222.30097668000428</v>
      </c>
      <c r="AR102" s="5">
        <f t="shared" si="275"/>
        <v>4.4984057872110501</v>
      </c>
      <c r="AS102" s="5">
        <f t="shared" si="201"/>
        <v>1.7966098162387716</v>
      </c>
      <c r="AT102" s="5">
        <f t="shared" si="276"/>
        <v>2.7017959709722783</v>
      </c>
      <c r="AU102" s="173">
        <f t="shared" si="277"/>
        <v>0.39938811686276193</v>
      </c>
      <c r="AW102" s="5">
        <f t="shared" si="202"/>
        <v>10.626289766778102</v>
      </c>
      <c r="AX102" s="5">
        <f t="shared" si="203"/>
        <v>5.4459735054737761</v>
      </c>
      <c r="AY102" s="5">
        <f t="shared" si="204"/>
        <v>1.4996383864025815</v>
      </c>
      <c r="AZ102" s="5"/>
      <c r="BA102" s="173">
        <f t="shared" si="278"/>
        <v>1.3046974144366084</v>
      </c>
      <c r="BB102" s="173">
        <f t="shared" si="205"/>
        <v>1.5999602479760855</v>
      </c>
      <c r="BC102" s="173">
        <f t="shared" si="206"/>
        <v>0.3925297021576909</v>
      </c>
      <c r="BD102" s="173"/>
      <c r="BE102" s="528">
        <f t="shared" si="207"/>
        <v>3.4044706864751417E-2</v>
      </c>
      <c r="BF102" s="528">
        <f t="shared" si="208"/>
        <v>0.61160547336336601</v>
      </c>
      <c r="BG102" s="528">
        <f t="shared" si="209"/>
        <v>0.13273385775835744</v>
      </c>
      <c r="BH102" s="528">
        <f t="shared" si="210"/>
        <v>3.7432867120349961E-2</v>
      </c>
      <c r="BI102">
        <f t="shared" si="211"/>
        <v>1.0747633570182781E-2</v>
      </c>
      <c r="BJ102" s="460">
        <f t="shared" si="279"/>
        <v>143.48149132854022</v>
      </c>
      <c r="BK102">
        <f t="shared" si="212"/>
        <v>0.69792061364499358</v>
      </c>
      <c r="BL102" s="460">
        <f t="shared" si="280"/>
        <v>697.92061364499364</v>
      </c>
      <c r="BM102" s="173">
        <f t="shared" si="213"/>
        <v>0.60261249999999988</v>
      </c>
      <c r="BN102" s="173">
        <f t="shared" si="214"/>
        <v>0.10760937499999999</v>
      </c>
      <c r="BO102" s="528"/>
      <c r="BQ102" s="460">
        <f t="shared" si="281"/>
        <v>710.22187499999984</v>
      </c>
      <c r="BR102" s="528">
        <f t="shared" si="215"/>
        <v>5.1067060297127126E-2</v>
      </c>
      <c r="BS102" s="528">
        <f t="shared" si="216"/>
        <v>7.6796183853110905E-2</v>
      </c>
      <c r="BT102" s="528">
        <f t="shared" si="217"/>
        <v>7.7039783538002766E-4</v>
      </c>
      <c r="BU102" s="528">
        <f t="shared" si="218"/>
        <v>0.8907494856428696</v>
      </c>
      <c r="BV102" s="528">
        <f>(BU102+(BR102+BS102+BT102)*(1+Ltc*(Ta-25)))/(1-(BR102+BS102+BT102)*Ltc*ThetaCa)</f>
        <v>1.0611754305382997</v>
      </c>
      <c r="BW102" s="625">
        <f t="shared" si="220"/>
        <v>1.421206202803588E-2</v>
      </c>
      <c r="BX102" s="460">
        <f t="shared" si="282"/>
        <v>1075.3874925663356</v>
      </c>
      <c r="BY102" s="173">
        <f t="shared" si="283"/>
        <v>2.483529981211329</v>
      </c>
      <c r="BZ102" s="5">
        <f t="shared" si="284"/>
        <v>17.847999999999999</v>
      </c>
      <c r="CA102" s="173">
        <f t="shared" si="285"/>
        <v>0.87784834768920994</v>
      </c>
      <c r="CB102" s="5">
        <f t="shared" si="286"/>
        <v>87.784834768920987</v>
      </c>
      <c r="CC102">
        <f t="shared" si="287"/>
        <v>97</v>
      </c>
      <c r="CE102" s="562">
        <f t="shared" si="221"/>
        <v>-50</v>
      </c>
      <c r="CF102">
        <f t="shared" si="222"/>
        <v>-50</v>
      </c>
      <c r="CG102" s="173">
        <f t="shared" si="223"/>
        <v>0.56500122953983245</v>
      </c>
      <c r="CH102" s="173">
        <f t="shared" si="224"/>
        <v>0.19741829216945345</v>
      </c>
      <c r="CI102" s="170">
        <v>97</v>
      </c>
      <c r="CJ102" s="217">
        <f t="shared" si="309"/>
        <v>0.97</v>
      </c>
      <c r="CK102" s="217">
        <f t="shared" si="288"/>
        <v>0.24249999999999999</v>
      </c>
      <c r="CL102" s="217">
        <f t="shared" si="225"/>
        <v>15.907999999999998</v>
      </c>
      <c r="CM102" s="217">
        <f t="shared" si="310"/>
        <v>1.94</v>
      </c>
      <c r="CN102" s="541">
        <f t="shared" si="289"/>
        <v>24</v>
      </c>
      <c r="CO102" s="443">
        <f t="shared" si="226"/>
        <v>17.099999999999998</v>
      </c>
      <c r="CP102" s="443">
        <f t="shared" si="227"/>
        <v>41.099999999999994</v>
      </c>
      <c r="CQ102" s="443"/>
      <c r="CR102" s="217">
        <f t="shared" si="228"/>
        <v>0.41176470588235292</v>
      </c>
      <c r="CS102" s="172">
        <f t="shared" si="290"/>
        <v>29.36061381074169</v>
      </c>
      <c r="CT102" s="172">
        <f t="shared" si="229"/>
        <v>4.0172166427546641</v>
      </c>
      <c r="CU102" s="217">
        <f t="shared" si="230"/>
        <v>1.7902813299232738</v>
      </c>
      <c r="CV102" s="217">
        <f t="shared" si="231"/>
        <v>3.6700767263427112</v>
      </c>
      <c r="CW102" s="443">
        <f t="shared" si="232"/>
        <v>16.399999999999999</v>
      </c>
      <c r="CX102" s="217">
        <f t="shared" si="233"/>
        <v>3.6120952380952378</v>
      </c>
      <c r="CY102" s="217">
        <f t="shared" si="234"/>
        <v>1.8060476190476189</v>
      </c>
      <c r="CZ102" s="217">
        <f t="shared" si="235"/>
        <v>2.5348036758563075</v>
      </c>
      <c r="DA102" s="197">
        <f t="shared" si="236"/>
        <v>350</v>
      </c>
      <c r="DB102" s="443">
        <f t="shared" si="291"/>
        <v>230.36955934749028</v>
      </c>
      <c r="DD102" s="217">
        <f t="shared" si="237"/>
        <v>2.377476538060479</v>
      </c>
      <c r="DE102" s="173">
        <f t="shared" si="238"/>
        <v>1.668404588112617</v>
      </c>
      <c r="DF102" s="173">
        <f t="shared" si="239"/>
        <v>0.69415373374028577</v>
      </c>
      <c r="DG102" s="173"/>
      <c r="DH102" s="173">
        <f t="shared" si="240"/>
        <v>0.93567251461988332</v>
      </c>
      <c r="DI102" s="545">
        <f t="shared" si="241"/>
        <v>1555.0312499999993</v>
      </c>
      <c r="DJ102" s="528">
        <f t="shared" si="242"/>
        <v>0.21832358674463945</v>
      </c>
      <c r="DL102" s="173">
        <f t="shared" si="243"/>
        <v>2.915312610861418</v>
      </c>
      <c r="DM102" s="173">
        <f t="shared" si="244"/>
        <v>3.6120952380952378</v>
      </c>
      <c r="DN102" s="173">
        <f t="shared" si="245"/>
        <v>2.8879717813051142</v>
      </c>
      <c r="DP102" s="545">
        <f t="shared" si="246"/>
        <v>970</v>
      </c>
      <c r="DQ102" s="460">
        <f t="shared" si="247"/>
        <v>230.36955934749028</v>
      </c>
      <c r="DS102">
        <f t="shared" si="311"/>
        <v>970</v>
      </c>
      <c r="DT102">
        <f t="shared" si="312"/>
        <v>230.36955934749028</v>
      </c>
      <c r="DV102" s="5">
        <f t="shared" si="293"/>
        <v>4.340851294903926</v>
      </c>
      <c r="DW102" s="5">
        <f t="shared" si="249"/>
        <v>1.8060476190476189</v>
      </c>
      <c r="DX102" s="5">
        <f t="shared" si="294"/>
        <v>2.5348036758563071</v>
      </c>
      <c r="DY102" s="173">
        <f t="shared" si="295"/>
        <v>0.41605839416058393</v>
      </c>
      <c r="EA102" s="5">
        <f t="shared" si="250"/>
        <v>10.682110917537747</v>
      </c>
      <c r="EB102" s="5">
        <f t="shared" si="251"/>
        <v>5.4745818452380952</v>
      </c>
      <c r="EC102" s="5">
        <f t="shared" si="252"/>
        <v>1.4001269748445182</v>
      </c>
      <c r="ED102" s="5"/>
      <c r="EE102" s="173">
        <f t="shared" si="296"/>
        <v>1.3451654666414778</v>
      </c>
      <c r="EF102" s="173">
        <f t="shared" si="253"/>
        <v>1.5936145091307303</v>
      </c>
      <c r="EG102" s="173">
        <f t="shared" si="254"/>
        <v>0.39097285661600406</v>
      </c>
      <c r="EH102" s="173"/>
      <c r="EI102" s="528">
        <f t="shared" si="255"/>
        <v>3.6189402652895698E-2</v>
      </c>
      <c r="EJ102" s="528">
        <f t="shared" si="256"/>
        <v>0.68400000000000005</v>
      </c>
      <c r="EK102" s="528">
        <f t="shared" si="257"/>
        <v>2.8796194918436283E-2</v>
      </c>
      <c r="EL102" s="528">
        <f t="shared" si="258"/>
        <v>3.8914256334537399E-2</v>
      </c>
      <c r="EM102">
        <f t="shared" si="259"/>
        <v>1.0800000000000001E-2</v>
      </c>
      <c r="EN102" s="460">
        <f t="shared" si="297"/>
        <v>39.596194918436289</v>
      </c>
      <c r="EO102">
        <f t="shared" si="260"/>
        <v>0.8154830064900741</v>
      </c>
      <c r="EP102" s="460">
        <f t="shared" si="298"/>
        <v>815.4830064900741</v>
      </c>
      <c r="EQ102" s="173">
        <f t="shared" si="261"/>
        <v>0.60261249999999988</v>
      </c>
      <c r="ER102" s="173">
        <f t="shared" si="262"/>
        <v>0.10760937499999999</v>
      </c>
      <c r="ES102" s="528"/>
      <c r="EU102" s="460">
        <f t="shared" si="299"/>
        <v>710.22187499999984</v>
      </c>
      <c r="EV102" s="528">
        <f t="shared" si="263"/>
        <v>5.4284103979343544E-2</v>
      </c>
      <c r="EW102" s="528">
        <f t="shared" si="300"/>
        <v>7.6188216111359355E-2</v>
      </c>
      <c r="EX102" s="528">
        <f t="shared" si="264"/>
        <v>7.6429887305239238E-4</v>
      </c>
      <c r="EY102" s="528">
        <f t="shared" si="265"/>
        <v>0.99869003111229404</v>
      </c>
      <c r="EZ102" s="528">
        <f t="shared" si="266"/>
        <v>1.1737465206182636</v>
      </c>
      <c r="FA102" s="625">
        <f t="shared" si="267"/>
        <v>1.5028425443169969E-2</v>
      </c>
      <c r="FB102" s="460">
        <f t="shared" si="301"/>
        <v>1188.7749460614336</v>
      </c>
      <c r="FC102" s="173">
        <f t="shared" si="302"/>
        <v>2.7144798275515076</v>
      </c>
      <c r="FD102" s="5">
        <f t="shared" si="303"/>
        <v>17.847999999999999</v>
      </c>
      <c r="FE102" s="173">
        <f t="shared" si="304"/>
        <v>0.86798869346904373</v>
      </c>
      <c r="FF102" s="5">
        <f t="shared" si="305"/>
        <v>86.798869346904368</v>
      </c>
      <c r="FG102">
        <f t="shared" si="306"/>
        <v>97</v>
      </c>
      <c r="FI102" s="562">
        <f t="shared" si="268"/>
        <v>-50</v>
      </c>
      <c r="FJ102">
        <f t="shared" si="269"/>
        <v>-50</v>
      </c>
      <c r="FL102">
        <f t="shared" si="270"/>
        <v>0.56500122953983234</v>
      </c>
    </row>
    <row r="103" spans="5:169">
      <c r="E103" s="170">
        <v>98</v>
      </c>
      <c r="F103" s="217">
        <f t="shared" si="307"/>
        <v>0.98</v>
      </c>
      <c r="G103" s="217">
        <f t="shared" si="271"/>
        <v>0.245</v>
      </c>
      <c r="H103" s="217">
        <f t="shared" si="176"/>
        <v>16.071999999999999</v>
      </c>
      <c r="I103" s="217">
        <f t="shared" si="308"/>
        <v>1.96</v>
      </c>
      <c r="J103" s="541">
        <f t="shared" si="177"/>
        <v>23.882430466847939</v>
      </c>
      <c r="K103" s="443">
        <f t="shared" si="178"/>
        <v>17.152035284992113</v>
      </c>
      <c r="L103" s="172">
        <f t="shared" si="179"/>
        <v>41.034465751840052</v>
      </c>
      <c r="M103" s="443"/>
      <c r="N103" s="217">
        <f t="shared" si="180"/>
        <v>0.41799094908949774</v>
      </c>
      <c r="O103" s="172">
        <f>N103*J103*Isw_max*0.5*Efficiency*Pout/(Pout+Pout2)</f>
        <v>29.658567454599272</v>
      </c>
      <c r="P103" s="172">
        <f t="shared" si="181"/>
        <v>4.0579836493502874</v>
      </c>
      <c r="Q103" s="217">
        <f t="shared" si="182"/>
        <v>1.8084492350365411</v>
      </c>
      <c r="R103" s="217">
        <f t="shared" si="183"/>
        <v>3.707320931824909</v>
      </c>
      <c r="S103" s="443">
        <f t="shared" si="184"/>
        <v>16.399999999999999</v>
      </c>
      <c r="T103" s="217">
        <f t="shared" si="185"/>
        <v>3.6126716784512465</v>
      </c>
      <c r="U103" s="217">
        <f t="shared" si="186"/>
        <v>1.8152281528294834</v>
      </c>
      <c r="V103" s="217">
        <f t="shared" si="187"/>
        <v>2.5275169635027308</v>
      </c>
      <c r="W103" s="197">
        <f t="shared" si="188"/>
        <v>350</v>
      </c>
      <c r="X103" s="443">
        <f t="shared" si="273"/>
        <v>220.13121458317571</v>
      </c>
      <c r="Z103" s="217">
        <f t="shared" si="189"/>
        <v>2.3768189946194536</v>
      </c>
      <c r="AA103" s="173">
        <f t="shared" si="190"/>
        <v>1.662883002601435</v>
      </c>
      <c r="AB103" s="173">
        <f>0.5*AA103*Z103*Nps*W103/1000*(Pout/Pout_total)</f>
        <v>0.69166508362226109</v>
      </c>
      <c r="AC103" s="173"/>
      <c r="AD103" s="173">
        <f t="shared" si="192"/>
        <v>0.93283390187518267</v>
      </c>
      <c r="AE103" s="545">
        <f>MAX(10, F103/(0.5*AD103/1000000*Isw_min*Nps)/1000*Pout_total/Pout)</f>
        <v>1575.84324180865</v>
      </c>
      <c r="AF103" s="528">
        <f t="shared" si="194"/>
        <v>0.21766124377087598</v>
      </c>
      <c r="AH103" s="173">
        <f t="shared" si="195"/>
        <v>2.9303014634447879</v>
      </c>
      <c r="AI103" s="173">
        <f>MAX(IF(F103&gt;AB103,T103,AH103),Isw_min)</f>
        <v>3.6126716784512465</v>
      </c>
      <c r="AJ103" s="173">
        <f>IF(F103&gt;AF103, (AI103-Isw_min)/1.08*0.8+1.2, AE103*0.2/350+1)</f>
        <v>2.8883987741614172</v>
      </c>
      <c r="AL103" s="545">
        <f t="shared" si="198"/>
        <v>980</v>
      </c>
      <c r="AM103" s="460">
        <f t="shared" si="199"/>
        <v>220.13121458317571</v>
      </c>
      <c r="AO103">
        <f t="shared" si="274"/>
        <v>980</v>
      </c>
      <c r="AP103">
        <f t="shared" si="200"/>
        <v>220.13121458317571</v>
      </c>
      <c r="AR103" s="5">
        <f t="shared" si="275"/>
        <v>4.5427451163322141</v>
      </c>
      <c r="AS103" s="5">
        <f t="shared" si="201"/>
        <v>1.8152281528294834</v>
      </c>
      <c r="AT103" s="5">
        <f t="shared" si="276"/>
        <v>2.7275169635027305</v>
      </c>
      <c r="AU103" s="173">
        <f t="shared" si="277"/>
        <v>0.39958837802792863</v>
      </c>
      <c r="AW103" s="5">
        <f t="shared" si="202"/>
        <v>10.847095059590817</v>
      </c>
      <c r="AX103" s="5">
        <f t="shared" si="203"/>
        <v>5.5591362180402921</v>
      </c>
      <c r="AY103" s="5">
        <f t="shared" si="204"/>
        <v>1.5295990881339565</v>
      </c>
      <c r="AZ103" s="5"/>
      <c r="BA103" s="173">
        <f t="shared" si="278"/>
        <v>1.3184822614005283</v>
      </c>
      <c r="BB103" s="173">
        <f t="shared" si="205"/>
        <v>1.616189988357412</v>
      </c>
      <c r="BC103" s="173">
        <f t="shared" si="206"/>
        <v>0.39651146055827458</v>
      </c>
      <c r="BD103" s="173"/>
      <c r="BE103" s="528">
        <f t="shared" si="207"/>
        <v>3.4767909472557021E-2</v>
      </c>
      <c r="BF103" s="528">
        <f t="shared" si="208"/>
        <v>0.61187143648456666</v>
      </c>
      <c r="BG103" s="528">
        <f t="shared" si="209"/>
        <v>0.13143171064663692</v>
      </c>
      <c r="BH103" s="528">
        <f t="shared" si="210"/>
        <v>3.7066296620631156E-2</v>
      </c>
      <c r="BI103">
        <f t="shared" si="211"/>
        <v>1.0747093710081573E-2</v>
      </c>
      <c r="BJ103" s="460">
        <f t="shared" si="279"/>
        <v>142.17880435671847</v>
      </c>
      <c r="BK103">
        <f t="shared" si="212"/>
        <v>0.69886621077006228</v>
      </c>
      <c r="BL103" s="460">
        <f t="shared" si="280"/>
        <v>698.86621077006225</v>
      </c>
      <c r="BM103" s="173">
        <f t="shared" si="213"/>
        <v>0.60882499999999995</v>
      </c>
      <c r="BN103" s="173">
        <f t="shared" si="214"/>
        <v>0.10871874999999999</v>
      </c>
      <c r="BO103" s="528"/>
      <c r="BQ103" s="460">
        <f t="shared" si="281"/>
        <v>717.54374999999993</v>
      </c>
      <c r="BR103" s="528">
        <f t="shared" si="215"/>
        <v>5.2151864208835524E-2</v>
      </c>
      <c r="BS103" s="528">
        <f t="shared" si="216"/>
        <v>7.8362102354001942E-2</v>
      </c>
      <c r="BT103" s="528">
        <f t="shared" si="217"/>
        <v>7.8610669177028066E-4</v>
      </c>
      <c r="BU103" s="528">
        <f t="shared" si="218"/>
        <v>0.89175451121472249</v>
      </c>
      <c r="BV103" s="528">
        <f>(BU103+(BR103+BS103+BT103)*(1+Ltc*(Ta-25)))/(1-(BR103+BS103+BT103)*Ltc*ThetaCa)</f>
        <v>1.065761365681307</v>
      </c>
      <c r="BW103" s="625">
        <f t="shared" si="220"/>
        <v>1.4365098989772698E-2</v>
      </c>
      <c r="BX103" s="460">
        <f t="shared" si="282"/>
        <v>1080.1264646710797</v>
      </c>
      <c r="BY103" s="173">
        <f t="shared" si="283"/>
        <v>2.4965364254411417</v>
      </c>
      <c r="BZ103" s="5">
        <f t="shared" si="284"/>
        <v>18.032</v>
      </c>
      <c r="CA103" s="173">
        <f t="shared" si="285"/>
        <v>0.87838702313199646</v>
      </c>
      <c r="CB103" s="5">
        <f t="shared" si="286"/>
        <v>87.838702313199647</v>
      </c>
      <c r="CC103">
        <f t="shared" si="287"/>
        <v>98</v>
      </c>
      <c r="CE103" s="562">
        <f t="shared" si="221"/>
        <v>-50</v>
      </c>
      <c r="CF103">
        <f t="shared" si="222"/>
        <v>-50</v>
      </c>
      <c r="CG103" s="173">
        <f t="shared" si="223"/>
        <v>0.56500122953983223</v>
      </c>
      <c r="CH103" s="173">
        <f t="shared" si="224"/>
        <v>0.19741829216945342</v>
      </c>
      <c r="CI103" s="170">
        <v>98</v>
      </c>
      <c r="CJ103" s="217">
        <f t="shared" si="309"/>
        <v>0.98</v>
      </c>
      <c r="CK103" s="217">
        <f t="shared" si="288"/>
        <v>0.245</v>
      </c>
      <c r="CL103" s="217">
        <f t="shared" si="225"/>
        <v>16.071999999999999</v>
      </c>
      <c r="CM103" s="217">
        <f t="shared" si="310"/>
        <v>1.96</v>
      </c>
      <c r="CN103" s="541">
        <f t="shared" si="289"/>
        <v>24</v>
      </c>
      <c r="CO103" s="443">
        <f t="shared" si="226"/>
        <v>17.099999999999998</v>
      </c>
      <c r="CP103" s="443">
        <f t="shared" si="227"/>
        <v>41.099999999999994</v>
      </c>
      <c r="CQ103" s="443"/>
      <c r="CR103" s="217">
        <f t="shared" si="228"/>
        <v>0.41176470588235292</v>
      </c>
      <c r="CS103" s="172">
        <f t="shared" si="290"/>
        <v>29.36061381074169</v>
      </c>
      <c r="CT103" s="172">
        <f t="shared" si="229"/>
        <v>4.0172166427546641</v>
      </c>
      <c r="CU103" s="217">
        <f t="shared" si="230"/>
        <v>1.7902813299232738</v>
      </c>
      <c r="CV103" s="217">
        <f t="shared" si="231"/>
        <v>3.6700767263427112</v>
      </c>
      <c r="CW103" s="443">
        <f t="shared" si="232"/>
        <v>16.399999999999999</v>
      </c>
      <c r="CX103" s="217">
        <f t="shared" si="233"/>
        <v>3.6493333333333333</v>
      </c>
      <c r="CY103" s="217">
        <f t="shared" si="234"/>
        <v>1.8246666666666669</v>
      </c>
      <c r="CZ103" s="217">
        <f t="shared" si="235"/>
        <v>2.5609356725146206</v>
      </c>
      <c r="DA103" s="197">
        <f t="shared" si="236"/>
        <v>350</v>
      </c>
      <c r="DB103" s="443">
        <f t="shared" si="291"/>
        <v>228.01884955823007</v>
      </c>
      <c r="DD103" s="217">
        <f t="shared" si="237"/>
        <v>2.377476538060479</v>
      </c>
      <c r="DE103" s="173">
        <f t="shared" si="238"/>
        <v>1.668404588112617</v>
      </c>
      <c r="DF103" s="173">
        <f t="shared" si="239"/>
        <v>0.69415373374028577</v>
      </c>
      <c r="DG103" s="173"/>
      <c r="DH103" s="173">
        <f t="shared" si="240"/>
        <v>0.93567251461988332</v>
      </c>
      <c r="DI103" s="545">
        <f t="shared" si="241"/>
        <v>1571.0624999999993</v>
      </c>
      <c r="DJ103" s="528">
        <f t="shared" si="242"/>
        <v>0.21832358674463945</v>
      </c>
      <c r="DL103" s="173">
        <f t="shared" si="243"/>
        <v>2.9303014634447879</v>
      </c>
      <c r="DM103" s="173">
        <f t="shared" si="244"/>
        <v>3.6493333333333333</v>
      </c>
      <c r="DN103" s="173">
        <f t="shared" si="245"/>
        <v>2.9155555555555552</v>
      </c>
      <c r="DP103" s="545">
        <f t="shared" si="246"/>
        <v>980</v>
      </c>
      <c r="DQ103" s="460">
        <f t="shared" si="247"/>
        <v>228.01884955823007</v>
      </c>
      <c r="DS103">
        <f t="shared" si="311"/>
        <v>980</v>
      </c>
      <c r="DT103">
        <f t="shared" si="312"/>
        <v>228.01884955823007</v>
      </c>
      <c r="DV103" s="5">
        <f t="shared" si="293"/>
        <v>4.3856023391812879</v>
      </c>
      <c r="DW103" s="5">
        <f t="shared" si="249"/>
        <v>1.8246666666666669</v>
      </c>
      <c r="DX103" s="5">
        <f t="shared" si="294"/>
        <v>2.5609356725146211</v>
      </c>
      <c r="DY103" s="173">
        <f t="shared" si="295"/>
        <v>0.41605839416058388</v>
      </c>
      <c r="EA103" s="5">
        <f t="shared" si="250"/>
        <v>10.903495934959354</v>
      </c>
      <c r="EB103" s="5">
        <f t="shared" si="251"/>
        <v>5.5880416666666672</v>
      </c>
      <c r="EC103" s="5">
        <f t="shared" si="252"/>
        <v>1.429144379467187</v>
      </c>
      <c r="ED103" s="5"/>
      <c r="EE103" s="173">
        <f t="shared" si="296"/>
        <v>1.359033151864586</v>
      </c>
      <c r="EF103" s="173">
        <f t="shared" si="253"/>
        <v>1.6100435246887794</v>
      </c>
      <c r="EG103" s="173">
        <f t="shared" si="254"/>
        <v>0.39500350462235473</v>
      </c>
      <c r="EH103" s="173"/>
      <c r="EI103" s="528">
        <f t="shared" si="255"/>
        <v>3.6939422157339814E-2</v>
      </c>
      <c r="EJ103" s="528">
        <f t="shared" si="256"/>
        <v>0.68399999999999972</v>
      </c>
      <c r="EK103" s="528">
        <f t="shared" si="257"/>
        <v>2.8502356194778755E-2</v>
      </c>
      <c r="EL103" s="528">
        <f t="shared" si="258"/>
        <v>3.8517172086225772E-2</v>
      </c>
      <c r="EM103">
        <f t="shared" si="259"/>
        <v>1.0800000000000001E-2</v>
      </c>
      <c r="EN103" s="460">
        <f t="shared" si="297"/>
        <v>39.30235619477876</v>
      </c>
      <c r="EO103">
        <f t="shared" si="260"/>
        <v>0.81589353426256828</v>
      </c>
      <c r="EP103" s="460">
        <f t="shared" si="298"/>
        <v>815.89353426256832</v>
      </c>
      <c r="EQ103" s="173">
        <f t="shared" si="261"/>
        <v>0.60882499999999995</v>
      </c>
      <c r="ER103" s="173">
        <f t="shared" si="262"/>
        <v>0.10871874999999999</v>
      </c>
      <c r="ES103" s="528"/>
      <c r="EU103" s="460">
        <f t="shared" si="299"/>
        <v>717.54374999999993</v>
      </c>
      <c r="EV103" s="528">
        <f t="shared" si="263"/>
        <v>5.5409133236009725E-2</v>
      </c>
      <c r="EW103" s="528">
        <f t="shared" si="300"/>
        <v>7.7767204541768054E-2</v>
      </c>
      <c r="EX103" s="528">
        <f t="shared" si="264"/>
        <v>7.801388433197131E-4</v>
      </c>
      <c r="EY103" s="528">
        <f t="shared" si="265"/>
        <v>0.9986900311122946</v>
      </c>
      <c r="EZ103" s="528">
        <f t="shared" si="266"/>
        <v>1.1774138388728821</v>
      </c>
      <c r="FA103" s="625">
        <f t="shared" si="267"/>
        <v>1.5183357664233571E-2</v>
      </c>
      <c r="FB103" s="460">
        <f t="shared" si="301"/>
        <v>1192.5971965371157</v>
      </c>
      <c r="FC103" s="173">
        <f t="shared" si="302"/>
        <v>2.7260344807996839</v>
      </c>
      <c r="FD103" s="5">
        <f t="shared" si="303"/>
        <v>18.032</v>
      </c>
      <c r="FE103" s="173">
        <f t="shared" si="304"/>
        <v>0.86867569358162733</v>
      </c>
      <c r="FF103" s="5">
        <f t="shared" si="305"/>
        <v>86.86756935816274</v>
      </c>
      <c r="FG103">
        <f t="shared" si="306"/>
        <v>98</v>
      </c>
      <c r="FI103" s="562">
        <f t="shared" si="268"/>
        <v>-50</v>
      </c>
      <c r="FJ103">
        <f t="shared" si="269"/>
        <v>-50</v>
      </c>
      <c r="FL103">
        <f t="shared" si="270"/>
        <v>0.56500122953983223</v>
      </c>
    </row>
    <row r="104" spans="5:169">
      <c r="E104" s="170">
        <v>99</v>
      </c>
      <c r="F104" s="217">
        <f>IF(PLOT_TYPE=1, E104/100*Iout_max, min_I*EXP(O104*rr/100))</f>
        <v>0.99</v>
      </c>
      <c r="G104" s="217">
        <f t="shared" si="271"/>
        <v>0.2475</v>
      </c>
      <c r="H104" s="217">
        <f t="shared" si="176"/>
        <v>16.235999999999997</v>
      </c>
      <c r="I104" s="217">
        <f t="shared" si="308"/>
        <v>1.98</v>
      </c>
      <c r="J104" s="541">
        <f t="shared" si="177"/>
        <v>23.881230777734142</v>
      </c>
      <c r="K104" s="443">
        <f t="shared" si="178"/>
        <v>17.152566257287951</v>
      </c>
      <c r="L104" s="172">
        <f t="shared" si="179"/>
        <v>41.03379703502209</v>
      </c>
      <c r="M104" s="443"/>
      <c r="N104" s="217">
        <f t="shared" si="180"/>
        <v>0.4180107008534536</v>
      </c>
      <c r="O104" s="172">
        <f>N104*J104*Isw_max*0.5*Efficiency*Pout/(Pout+Pout2)</f>
        <v>29.65847902901394</v>
      </c>
      <c r="P104" s="172">
        <f t="shared" si="181"/>
        <v>4.0579715506681771</v>
      </c>
      <c r="Q104" s="217">
        <f t="shared" si="182"/>
        <v>1.8084438432325574</v>
      </c>
      <c r="R104" s="217">
        <f t="shared" si="183"/>
        <v>3.7073098786267424</v>
      </c>
      <c r="S104" s="443">
        <f t="shared" si="184"/>
        <v>16.399999999999999</v>
      </c>
      <c r="T104" s="217">
        <f t="shared" si="185"/>
        <v>3.6495465561167948</v>
      </c>
      <c r="U104" s="217">
        <f t="shared" si="186"/>
        <v>1.8338484762784402</v>
      </c>
      <c r="V104" s="217">
        <f t="shared" si="187"/>
        <v>2.5532365254554072</v>
      </c>
      <c r="W104" s="197">
        <f t="shared" si="188"/>
        <v>350</v>
      </c>
      <c r="X104" s="443">
        <f t="shared" si="273"/>
        <v>218.00337242977082</v>
      </c>
      <c r="Z104" s="217">
        <f t="shared" si="189"/>
        <v>2.3768119082485035</v>
      </c>
      <c r="AA104" s="173">
        <f t="shared" si="190"/>
        <v>1.6628265689901327</v>
      </c>
      <c r="AB104" s="173">
        <f>0.5*AA104*Z104*Nps*W104/1000*(Pout/Pout_total)</f>
        <v>0.69163954834235608</v>
      </c>
      <c r="AC104" s="173"/>
      <c r="AD104" s="173">
        <f t="shared" si="192"/>
        <v>0.93280502520733688</v>
      </c>
      <c r="AE104" s="545">
        <f>MAX(10, F104/(0.5*AD104/1000000*Isw_min*Nps)/1000*Pout_total/Pout)</f>
        <v>1591.9725557545378</v>
      </c>
      <c r="AF104" s="528">
        <f t="shared" si="194"/>
        <v>0.21765450588171195</v>
      </c>
      <c r="AH104" s="173">
        <f t="shared" si="195"/>
        <v>2.9452140353946628</v>
      </c>
      <c r="AI104" s="173">
        <f>MAX(IF(F104&gt;AB104,T104,AH104),Isw_min)</f>
        <v>3.6495465561167948</v>
      </c>
      <c r="AJ104" s="173">
        <f>IF(F104&gt;AF104, (AI104-Isw_min)/1.08*0.8+1.2, AE104*0.2/350+1)</f>
        <v>2.9157134983581194</v>
      </c>
      <c r="AL104" s="545">
        <f t="shared" si="198"/>
        <v>990</v>
      </c>
      <c r="AM104" s="460">
        <f t="shared" si="199"/>
        <v>218.00337242977082</v>
      </c>
      <c r="AO104">
        <f t="shared" si="274"/>
        <v>990</v>
      </c>
      <c r="AP104">
        <f t="shared" si="200"/>
        <v>218.00337242977082</v>
      </c>
      <c r="AR104" s="5">
        <f t="shared" si="275"/>
        <v>4.5870850017338478</v>
      </c>
      <c r="AS104" s="5">
        <f t="shared" si="201"/>
        <v>1.8338484762784402</v>
      </c>
      <c r="AT104" s="5">
        <f t="shared" si="276"/>
        <v>2.7532365254554074</v>
      </c>
      <c r="AU104" s="173">
        <f t="shared" si="277"/>
        <v>0.39978515235389656</v>
      </c>
      <c r="AW104" s="5">
        <f t="shared" si="202"/>
        <v>11.070182875095464</v>
      </c>
      <c r="AX104" s="5">
        <f t="shared" si="203"/>
        <v>5.6734687234864243</v>
      </c>
      <c r="AY104" s="5">
        <f t="shared" si="204"/>
        <v>1.5598563799376366</v>
      </c>
      <c r="AZ104" s="5"/>
      <c r="BA104" s="173">
        <f t="shared" si="278"/>
        <v>1.3322680447857902</v>
      </c>
      <c r="BB104" s="173">
        <f t="shared" si="205"/>
        <v>1.6324190266586887</v>
      </c>
      <c r="BC104" s="173">
        <f t="shared" si="206"/>
        <v>0.40049304671253327</v>
      </c>
      <c r="BD104" s="173"/>
      <c r="BE104" s="528">
        <f t="shared" si="207"/>
        <v>3.549876286314705E-2</v>
      </c>
      <c r="BF104" s="528">
        <f t="shared" si="208"/>
        <v>0.61213202092241892</v>
      </c>
      <c r="BG104" s="528">
        <f t="shared" si="209"/>
        <v>0.13015472118299204</v>
      </c>
      <c r="BH104" s="528">
        <f t="shared" si="210"/>
        <v>3.6706808321078581E-2</v>
      </c>
      <c r="BI104">
        <f t="shared" si="211"/>
        <v>1.0746553849980365E-2</v>
      </c>
      <c r="BJ104" s="460">
        <f t="shared" si="279"/>
        <v>140.90127503297239</v>
      </c>
      <c r="BK104">
        <f t="shared" si="212"/>
        <v>0.69982493573851912</v>
      </c>
      <c r="BL104" s="460">
        <f t="shared" si="280"/>
        <v>699.82493573851912</v>
      </c>
      <c r="BM104" s="173">
        <f t="shared" si="213"/>
        <v>0.6150374999999999</v>
      </c>
      <c r="BN104" s="173">
        <f t="shared" si="214"/>
        <v>0.109828125</v>
      </c>
      <c r="BO104" s="528"/>
      <c r="BQ104" s="460">
        <f t="shared" si="281"/>
        <v>724.8656249999998</v>
      </c>
      <c r="BR104" s="528">
        <f t="shared" si="215"/>
        <v>5.3248144294720565E-2</v>
      </c>
      <c r="BS104" s="528">
        <f t="shared" si="216"/>
        <v>7.9943756357919005E-2</v>
      </c>
      <c r="BT104" s="528">
        <f t="shared" si="217"/>
        <v>8.0197340232543684E-4</v>
      </c>
      <c r="BU104" s="528">
        <f t="shared" si="218"/>
        <v>0.89274063867855902</v>
      </c>
      <c r="BV104" s="528">
        <f>(BU104+(BR104+BS104+BT104)*(1+Ltc*(Ta-25)))/(1-(BR104+BS104+BT104)*Ltc*ThetaCa)</f>
        <v>1.0703668505842998</v>
      </c>
      <c r="BW104" s="625">
        <f t="shared" si="220"/>
        <v>1.4518141761303211E-2</v>
      </c>
      <c r="BX104" s="460">
        <f t="shared" si="282"/>
        <v>1084.884992345603</v>
      </c>
      <c r="BY104" s="173">
        <f t="shared" si="283"/>
        <v>2.5095755530841219</v>
      </c>
      <c r="BZ104" s="5">
        <f t="shared" si="284"/>
        <v>18.215999999999998</v>
      </c>
      <c r="CA104" s="173">
        <f t="shared" si="285"/>
        <v>0.8789140718115942</v>
      </c>
      <c r="CB104" s="5">
        <f t="shared" si="286"/>
        <v>87.891407181159423</v>
      </c>
      <c r="CC104">
        <f t="shared" si="287"/>
        <v>99</v>
      </c>
      <c r="CE104" s="562">
        <f t="shared" si="221"/>
        <v>-50</v>
      </c>
      <c r="CF104">
        <f t="shared" si="222"/>
        <v>-50</v>
      </c>
      <c r="CG104" s="173">
        <f t="shared" si="223"/>
        <v>0.56500122953983234</v>
      </c>
      <c r="CH104" s="173">
        <f t="shared" si="224"/>
        <v>0.19741829216945345</v>
      </c>
      <c r="CI104" s="170">
        <v>99</v>
      </c>
      <c r="CJ104" s="217">
        <f t="shared" si="309"/>
        <v>0.99</v>
      </c>
      <c r="CK104" s="217">
        <f t="shared" si="288"/>
        <v>0.2475</v>
      </c>
      <c r="CL104" s="217">
        <f t="shared" si="225"/>
        <v>16.235999999999997</v>
      </c>
      <c r="CM104" s="217">
        <f t="shared" si="310"/>
        <v>1.98</v>
      </c>
      <c r="CN104" s="541">
        <f t="shared" si="289"/>
        <v>24</v>
      </c>
      <c r="CO104" s="443">
        <f t="shared" si="226"/>
        <v>17.099999999999998</v>
      </c>
      <c r="CP104" s="443">
        <f t="shared" si="227"/>
        <v>41.099999999999994</v>
      </c>
      <c r="CQ104" s="443"/>
      <c r="CR104" s="217">
        <f t="shared" si="228"/>
        <v>0.41176470588235292</v>
      </c>
      <c r="CS104" s="172">
        <f t="shared" si="290"/>
        <v>29.36061381074169</v>
      </c>
      <c r="CT104" s="172">
        <f t="shared" si="229"/>
        <v>4.0172166427546641</v>
      </c>
      <c r="CU104" s="217">
        <f t="shared" si="230"/>
        <v>1.7902813299232738</v>
      </c>
      <c r="CV104" s="217">
        <f t="shared" si="231"/>
        <v>3.6700767263427112</v>
      </c>
      <c r="CW104" s="443">
        <f t="shared" si="232"/>
        <v>16.399999999999999</v>
      </c>
      <c r="CX104" s="217">
        <f t="shared" si="233"/>
        <v>3.6865714285714279</v>
      </c>
      <c r="CY104" s="217">
        <f t="shared" si="234"/>
        <v>1.843285714285714</v>
      </c>
      <c r="CZ104" s="217">
        <f t="shared" si="235"/>
        <v>2.5870676691729324</v>
      </c>
      <c r="DA104" s="197">
        <f t="shared" si="236"/>
        <v>350</v>
      </c>
      <c r="DB104" s="443">
        <f t="shared" si="291"/>
        <v>225.71562885562176</v>
      </c>
      <c r="DD104" s="217">
        <f t="shared" si="237"/>
        <v>2.377476538060479</v>
      </c>
      <c r="DE104" s="173">
        <f t="shared" si="238"/>
        <v>1.668404588112617</v>
      </c>
      <c r="DF104" s="173">
        <f t="shared" si="239"/>
        <v>0.69415373374028577</v>
      </c>
      <c r="DG104" s="173"/>
      <c r="DH104" s="173">
        <f t="shared" si="240"/>
        <v>0.93567251461988332</v>
      </c>
      <c r="DI104" s="545">
        <f t="shared" si="241"/>
        <v>1587.0937499999993</v>
      </c>
      <c r="DJ104" s="528">
        <f t="shared" si="242"/>
        <v>0.21832358674463945</v>
      </c>
      <c r="DL104" s="173">
        <f t="shared" si="243"/>
        <v>2.9452140353946628</v>
      </c>
      <c r="DM104" s="173">
        <f t="shared" si="244"/>
        <v>3.6865714285714279</v>
      </c>
      <c r="DN104" s="173">
        <f t="shared" si="245"/>
        <v>2.9431393298059962</v>
      </c>
      <c r="DP104" s="545">
        <f t="shared" si="246"/>
        <v>990</v>
      </c>
      <c r="DQ104" s="460">
        <f t="shared" si="247"/>
        <v>225.71562885562176</v>
      </c>
      <c r="DS104">
        <f t="shared" si="311"/>
        <v>990</v>
      </c>
      <c r="DT104">
        <f t="shared" si="312"/>
        <v>225.71562885562176</v>
      </c>
      <c r="DV104" s="5">
        <f t="shared" si="293"/>
        <v>4.4303533834586464</v>
      </c>
      <c r="DW104" s="5">
        <f t="shared" si="249"/>
        <v>1.843285714285714</v>
      </c>
      <c r="DX104" s="5">
        <f t="shared" si="294"/>
        <v>2.5870676691729324</v>
      </c>
      <c r="DY104" s="173">
        <f t="shared" si="295"/>
        <v>0.41605839416058388</v>
      </c>
      <c r="EA104" s="5">
        <f t="shared" si="250"/>
        <v>11.127151567944251</v>
      </c>
      <c r="EB104" s="5">
        <f t="shared" si="251"/>
        <v>5.7026651785714275</v>
      </c>
      <c r="EC104" s="5">
        <f t="shared" si="252"/>
        <v>1.4584593984962402</v>
      </c>
      <c r="ED104" s="5"/>
      <c r="EE104" s="173">
        <f t="shared" si="296"/>
        <v>1.3729008370876936</v>
      </c>
      <c r="EF104" s="173">
        <f t="shared" si="253"/>
        <v>1.6264725402468279</v>
      </c>
      <c r="EG104" s="173">
        <f t="shared" si="254"/>
        <v>0.39903415262870523</v>
      </c>
      <c r="EH104" s="173"/>
      <c r="EI104" s="528">
        <f t="shared" si="255"/>
        <v>3.76971341695218E-2</v>
      </c>
      <c r="EJ104" s="528">
        <f t="shared" si="256"/>
        <v>0.68399999999999972</v>
      </c>
      <c r="EK104" s="528">
        <f t="shared" si="257"/>
        <v>2.8214453606952718E-2</v>
      </c>
      <c r="EL104" s="528">
        <f t="shared" si="258"/>
        <v>3.812810974192047E-2</v>
      </c>
      <c r="EM104">
        <f t="shared" si="259"/>
        <v>1.0800000000000001E-2</v>
      </c>
      <c r="EN104" s="460">
        <f t="shared" si="297"/>
        <v>39.014453606952713</v>
      </c>
      <c r="EO104">
        <f t="shared" si="260"/>
        <v>0.81632965711812544</v>
      </c>
      <c r="EP104" s="460">
        <f t="shared" si="298"/>
        <v>816.3296571181254</v>
      </c>
      <c r="EQ104" s="173">
        <f t="shared" si="261"/>
        <v>0.6150374999999999</v>
      </c>
      <c r="ER104" s="173">
        <f t="shared" si="262"/>
        <v>0.109828125</v>
      </c>
      <c r="ES104" s="528"/>
      <c r="EU104" s="460">
        <f t="shared" si="299"/>
        <v>724.8656249999998</v>
      </c>
      <c r="EV104" s="528">
        <f t="shared" si="263"/>
        <v>5.6545701254282696E-2</v>
      </c>
      <c r="EW104" s="528">
        <f t="shared" si="300"/>
        <v>7.9362387725309069E-2</v>
      </c>
      <c r="EX104" s="528">
        <f t="shared" si="264"/>
        <v>7.9614127482054414E-4</v>
      </c>
      <c r="EY104" s="528">
        <f t="shared" si="265"/>
        <v>0.99869003111229349</v>
      </c>
      <c r="EZ104" s="528">
        <f t="shared" si="266"/>
        <v>1.1811204091372758</v>
      </c>
      <c r="FA104" s="625">
        <f t="shared" si="267"/>
        <v>1.5338289885297181E-2</v>
      </c>
      <c r="FB104" s="460">
        <f t="shared" si="301"/>
        <v>1196.458699022573</v>
      </c>
      <c r="FC104" s="173">
        <f t="shared" si="302"/>
        <v>2.7376539811406988</v>
      </c>
      <c r="FD104" s="5">
        <f t="shared" si="303"/>
        <v>18.215999999999998</v>
      </c>
      <c r="FE104" s="173">
        <f t="shared" si="304"/>
        <v>0.86934718003815847</v>
      </c>
      <c r="FF104" s="5">
        <f t="shared" si="305"/>
        <v>86.934718003815846</v>
      </c>
      <c r="FG104">
        <f t="shared" si="306"/>
        <v>99</v>
      </c>
      <c r="FI104" s="562">
        <f t="shared" si="268"/>
        <v>-50</v>
      </c>
      <c r="FJ104">
        <f t="shared" si="269"/>
        <v>-50</v>
      </c>
      <c r="FL104">
        <f t="shared" si="270"/>
        <v>0.56500122953983234</v>
      </c>
    </row>
    <row r="105" spans="5:169" ht="13">
      <c r="E105" s="170">
        <v>100</v>
      </c>
      <c r="F105" s="217">
        <f>IF(PLOT_TYPE=1, E105/100*Iout_max, min_I*EXP(O105*rr/100))</f>
        <v>1</v>
      </c>
      <c r="G105" s="217">
        <f t="shared" si="271"/>
        <v>0.25</v>
      </c>
      <c r="H105" s="217">
        <f t="shared" si="176"/>
        <v>16.399999999999999</v>
      </c>
      <c r="I105" s="217">
        <f t="shared" si="308"/>
        <v>2</v>
      </c>
      <c r="J105" s="541">
        <f t="shared" si="177"/>
        <v>23.880031088620346</v>
      </c>
      <c r="K105" s="443">
        <f t="shared" si="178"/>
        <v>17.153097229583789</v>
      </c>
      <c r="L105" s="172">
        <f t="shared" si="179"/>
        <v>41.033128318204135</v>
      </c>
      <c r="M105" s="443"/>
      <c r="N105" s="217">
        <f t="shared" si="180"/>
        <v>0.41803045326119836</v>
      </c>
      <c r="O105" s="172">
        <f>N105*J105*Isw_max*0.5*Efficiency*Pout/(Pout+Pout2)</f>
        <v>29.658390508301906</v>
      </c>
      <c r="P105" s="172">
        <f t="shared" si="181"/>
        <v>4.0579594389705171</v>
      </c>
      <c r="Q105" s="217">
        <f t="shared" si="182"/>
        <v>1.8084384456281652</v>
      </c>
      <c r="R105" s="217">
        <f t="shared" si="183"/>
        <v>3.7072988135377383</v>
      </c>
      <c r="S105" s="443">
        <f t="shared" si="184"/>
        <v>16.399999999999999</v>
      </c>
      <c r="T105" s="217">
        <f t="shared" si="185"/>
        <v>3.6864216654888606</v>
      </c>
      <c r="U105" s="217">
        <f t="shared" si="186"/>
        <v>1.8524707870647121</v>
      </c>
      <c r="V105" s="217">
        <f t="shared" si="187"/>
        <v>2.578954657213222</v>
      </c>
      <c r="W105" s="197">
        <f t="shared" si="188"/>
        <v>350</v>
      </c>
      <c r="X105" s="443">
        <f t="shared" si="273"/>
        <v>215.91624695923517</v>
      </c>
      <c r="Z105" s="217">
        <f t="shared" si="189"/>
        <v>2.3768048142541596</v>
      </c>
      <c r="AA105" s="173">
        <f t="shared" si="190"/>
        <v>1.6627701335394329</v>
      </c>
      <c r="AB105" s="173">
        <f>0.5*AA105*Z105*Nps*W105/1000*(Pout/Pout_total)</f>
        <v>0.69161401021904723</v>
      </c>
      <c r="AC105" s="173"/>
      <c r="AD105" s="173">
        <f t="shared" si="192"/>
        <v>0.93277615032723937</v>
      </c>
      <c r="AE105" s="545">
        <f>MAX(10, F105/(0.5*AD105/1000000*Isw_min*Nps)/1000*Pout_total/Pout)</f>
        <v>1608.1028652734799</v>
      </c>
      <c r="AF105" s="528">
        <f t="shared" si="194"/>
        <v>0.21764776840968922</v>
      </c>
      <c r="AH105" s="173">
        <f t="shared" si="195"/>
        <v>2.9600514796038193</v>
      </c>
      <c r="AI105" s="173">
        <f>MAX(IF(F105&gt;AB105,T105,AH105),Isw_min)</f>
        <v>3.6864216654888606</v>
      </c>
      <c r="AJ105" s="173">
        <f>IF(F105&gt;AF105, (AI105-Isw_min)/1.08*0.8+1.2, AE105*0.2/350+1)</f>
        <v>2.9430283941892794</v>
      </c>
      <c r="AL105" s="545">
        <f t="shared" si="198"/>
        <v>1000</v>
      </c>
      <c r="AM105" s="460">
        <f t="shared" si="199"/>
        <v>215.91624695923517</v>
      </c>
      <c r="AO105">
        <f t="shared" si="274"/>
        <v>1000</v>
      </c>
      <c r="AP105" s="3">
        <f t="shared" si="200"/>
        <v>215.91624695923517</v>
      </c>
      <c r="AR105" s="5">
        <f t="shared" si="275"/>
        <v>4.6314254442779346</v>
      </c>
      <c r="AS105" s="5">
        <f t="shared" si="201"/>
        <v>1.8524707870647121</v>
      </c>
      <c r="AT105" s="5">
        <f t="shared" si="276"/>
        <v>2.7789546572132222</v>
      </c>
      <c r="AU105" s="173">
        <f t="shared" si="277"/>
        <v>0.39997853994463312</v>
      </c>
      <c r="AW105" s="5">
        <f t="shared" si="202"/>
        <v>11.295553579662879</v>
      </c>
      <c r="AX105" s="5">
        <f t="shared" si="203"/>
        <v>5.7889712095772259</v>
      </c>
      <c r="AY105" s="5">
        <f t="shared" si="204"/>
        <v>1.5904102821713808</v>
      </c>
      <c r="AZ105" s="5"/>
      <c r="BA105" s="173">
        <f t="shared" si="278"/>
        <v>1.3460547589776422</v>
      </c>
      <c r="BB105" s="173">
        <f t="shared" si="205"/>
        <v>1.6486473701478828</v>
      </c>
      <c r="BC105" s="173">
        <f t="shared" si="206"/>
        <v>0.40447446240356949</v>
      </c>
      <c r="BD105" s="173"/>
      <c r="BE105" s="528">
        <f t="shared" si="207"/>
        <v>3.623726828332717E-2</v>
      </c>
      <c r="BF105" s="528">
        <f t="shared" si="208"/>
        <v>0.61238738100828094</v>
      </c>
      <c r="BG105" s="528">
        <f t="shared" si="209"/>
        <v>0.12890216724811909</v>
      </c>
      <c r="BH105" s="528">
        <f t="shared" si="210"/>
        <v>3.6354198935846356E-2</v>
      </c>
      <c r="BI105">
        <f t="shared" si="211"/>
        <v>1.0746013989879155E-2</v>
      </c>
      <c r="BJ105" s="460">
        <f t="shared" si="279"/>
        <v>139.64818123799824</v>
      </c>
      <c r="BK105">
        <f t="shared" si="212"/>
        <v>0.70079675314948953</v>
      </c>
      <c r="BL105" s="460">
        <f t="shared" si="280"/>
        <v>700.79675314948952</v>
      </c>
      <c r="BM105" s="173">
        <f t="shared" si="213"/>
        <v>0.62124999999999997</v>
      </c>
      <c r="BN105" s="173">
        <f t="shared" si="214"/>
        <v>0.11093749999999999</v>
      </c>
      <c r="BO105" s="528"/>
      <c r="BQ105" s="460">
        <f t="shared" si="281"/>
        <v>732.1875</v>
      </c>
      <c r="BR105" s="528">
        <f t="shared" si="215"/>
        <v>5.4355902424990749E-2</v>
      </c>
      <c r="BS105" s="528">
        <f t="shared" si="216"/>
        <v>8.1541144532865886E-2</v>
      </c>
      <c r="BT105" s="528">
        <f t="shared" si="217"/>
        <v>8.1799795368328284E-4</v>
      </c>
      <c r="BU105" s="528">
        <f t="shared" si="218"/>
        <v>0.89370839135741698</v>
      </c>
      <c r="BV105" s="528">
        <f>(BU105+(BR105+BS105+BT105)*(1+Ltc*(Ta-25)))/(1-(BR105+BS105+BT105)*Ltc*ThetaCa)</f>
        <v>1.074992458426393</v>
      </c>
      <c r="BW105" s="625">
        <f t="shared" si="220"/>
        <v>1.4671190175991677E-2</v>
      </c>
      <c r="BX105" s="460">
        <f t="shared" si="282"/>
        <v>1089.6636486023847</v>
      </c>
      <c r="BY105" s="173">
        <f>SUM(BK105,BM105:BP105,BV105:BW105)+BI105+BG105</f>
        <v>2.6622960829898723</v>
      </c>
      <c r="BZ105" s="5">
        <f t="shared" si="284"/>
        <v>18.399999999999999</v>
      </c>
      <c r="CA105" s="173">
        <f t="shared" si="285"/>
        <v>0.87359896221666111</v>
      </c>
      <c r="CB105" s="5">
        <f t="shared" si="286"/>
        <v>87.359896221666105</v>
      </c>
      <c r="CC105">
        <f t="shared" si="287"/>
        <v>100</v>
      </c>
      <c r="CE105" s="562">
        <f t="shared" si="221"/>
        <v>-50</v>
      </c>
      <c r="CF105">
        <f t="shared" si="222"/>
        <v>-50</v>
      </c>
      <c r="CG105" s="173">
        <f t="shared" si="223"/>
        <v>0.56500122953983234</v>
      </c>
      <c r="CH105" s="173">
        <f t="shared" si="224"/>
        <v>0.19741829216945347</v>
      </c>
      <c r="CI105" s="170">
        <v>100</v>
      </c>
      <c r="CJ105" s="217">
        <f t="shared" si="309"/>
        <v>1</v>
      </c>
      <c r="CK105" s="217">
        <f t="shared" si="288"/>
        <v>0.25</v>
      </c>
      <c r="CL105" s="217">
        <f t="shared" si="225"/>
        <v>16.399999999999999</v>
      </c>
      <c r="CM105" s="217">
        <f t="shared" si="310"/>
        <v>2</v>
      </c>
      <c r="CN105" s="541">
        <f t="shared" si="289"/>
        <v>24</v>
      </c>
      <c r="CO105" s="443">
        <f t="shared" si="226"/>
        <v>17.099999999999998</v>
      </c>
      <c r="CP105" s="443">
        <f t="shared" si="227"/>
        <v>41.099999999999994</v>
      </c>
      <c r="CQ105" s="443"/>
      <c r="CR105" s="217">
        <f t="shared" si="228"/>
        <v>0.41176470588235292</v>
      </c>
      <c r="CS105" s="172">
        <f t="shared" si="290"/>
        <v>29.36061381074169</v>
      </c>
      <c r="CT105" s="172">
        <f t="shared" si="229"/>
        <v>4.0172166427546641</v>
      </c>
      <c r="CU105" s="217">
        <f t="shared" si="230"/>
        <v>1.7902813299232738</v>
      </c>
      <c r="CV105" s="217">
        <f t="shared" si="231"/>
        <v>3.6700767263427112</v>
      </c>
      <c r="CW105" s="443">
        <f t="shared" si="232"/>
        <v>16.399999999999999</v>
      </c>
      <c r="CX105" s="217">
        <f t="shared" si="233"/>
        <v>3.7238095238095235</v>
      </c>
      <c r="CY105" s="217">
        <f t="shared" si="234"/>
        <v>1.861904761904762</v>
      </c>
      <c r="CZ105" s="217">
        <f t="shared" si="235"/>
        <v>2.6131996658312451</v>
      </c>
      <c r="DA105" s="197">
        <f t="shared" si="236"/>
        <v>350</v>
      </c>
      <c r="DB105" s="443">
        <f t="shared" si="291"/>
        <v>223.45847256706554</v>
      </c>
      <c r="DD105" s="217">
        <f t="shared" si="237"/>
        <v>2.377476538060479</v>
      </c>
      <c r="DE105" s="173">
        <f t="shared" si="238"/>
        <v>1.668404588112617</v>
      </c>
      <c r="DF105" s="173">
        <f t="shared" si="239"/>
        <v>0.69415373374028577</v>
      </c>
      <c r="DG105" s="173"/>
      <c r="DH105" s="173">
        <f t="shared" si="240"/>
        <v>0.93567251461988332</v>
      </c>
      <c r="DI105" s="545">
        <f t="shared" si="241"/>
        <v>1603.1249999999993</v>
      </c>
      <c r="DJ105" s="528">
        <f t="shared" si="242"/>
        <v>0.21832358674463945</v>
      </c>
      <c r="DL105" s="173">
        <f t="shared" si="243"/>
        <v>2.9600514796038193</v>
      </c>
      <c r="DM105" s="173">
        <f t="shared" si="244"/>
        <v>3.7238095238095235</v>
      </c>
      <c r="DN105" s="173">
        <f t="shared" si="245"/>
        <v>2.9707231040564368</v>
      </c>
      <c r="DP105" s="545">
        <f t="shared" si="246"/>
        <v>1000</v>
      </c>
      <c r="DQ105" s="460">
        <f t="shared" si="247"/>
        <v>223.45847256706554</v>
      </c>
      <c r="DS105">
        <f t="shared" si="311"/>
        <v>1000</v>
      </c>
      <c r="DT105">
        <f t="shared" si="312"/>
        <v>223.45847256706554</v>
      </c>
      <c r="DV105" s="5">
        <f t="shared" si="293"/>
        <v>4.4751044277360066</v>
      </c>
      <c r="DW105" s="5">
        <f t="shared" si="249"/>
        <v>1.861904761904762</v>
      </c>
      <c r="DX105" s="5">
        <f t="shared" si="294"/>
        <v>2.6131996658312446</v>
      </c>
      <c r="DY105" s="173">
        <f t="shared" si="295"/>
        <v>0.41605839416058399</v>
      </c>
      <c r="EA105" s="5">
        <f t="shared" si="250"/>
        <v>11.353077816492453</v>
      </c>
      <c r="EB105" s="5">
        <f t="shared" si="251"/>
        <v>5.8184523809523805</v>
      </c>
      <c r="EC105" s="5">
        <f t="shared" si="252"/>
        <v>1.4880720319316805</v>
      </c>
      <c r="ED105" s="5"/>
      <c r="EE105" s="173">
        <f t="shared" si="296"/>
        <v>1.3867685223108022</v>
      </c>
      <c r="EF105" s="173">
        <f t="shared" si="253"/>
        <v>1.6429015558048765</v>
      </c>
      <c r="EG105" s="173">
        <f t="shared" si="254"/>
        <v>0.40306480063505579</v>
      </c>
      <c r="EH105" s="173"/>
      <c r="EI105" s="528">
        <f t="shared" si="255"/>
        <v>3.8462538689441716E-2</v>
      </c>
      <c r="EJ105" s="528">
        <f t="shared" si="256"/>
        <v>0.68399999999999983</v>
      </c>
      <c r="EK105" s="528">
        <f t="shared" si="257"/>
        <v>2.7932309070883191E-2</v>
      </c>
      <c r="EL105" s="528">
        <f t="shared" si="258"/>
        <v>3.7746828644501268E-2</v>
      </c>
      <c r="EM105">
        <f t="shared" si="259"/>
        <v>1.0800000000000001E-2</v>
      </c>
      <c r="EN105" s="460">
        <f t="shared" si="297"/>
        <v>38.732309070883197</v>
      </c>
      <c r="EO105">
        <f t="shared" si="260"/>
        <v>0.81679096881824687</v>
      </c>
      <c r="EP105" s="460">
        <f t="shared" si="298"/>
        <v>816.79096881824682</v>
      </c>
      <c r="EQ105" s="173">
        <f t="shared" si="261"/>
        <v>0.62124999999999997</v>
      </c>
      <c r="ER105" s="173">
        <f t="shared" si="262"/>
        <v>0.11093749999999999</v>
      </c>
      <c r="ES105" s="528"/>
      <c r="EU105" s="460">
        <f t="shared" si="299"/>
        <v>732.1875</v>
      </c>
      <c r="EV105" s="528">
        <f t="shared" si="263"/>
        <v>5.7693808034162575E-2</v>
      </c>
      <c r="EW105" s="528">
        <f t="shared" si="300"/>
        <v>8.0973765661982514E-2</v>
      </c>
      <c r="EX105" s="528">
        <f t="shared" si="264"/>
        <v>8.1230616755488636E-4</v>
      </c>
      <c r="EY105" s="528">
        <f t="shared" si="265"/>
        <v>0.99869003111229571</v>
      </c>
      <c r="EZ105" s="528">
        <f t="shared" si="266"/>
        <v>1.1848662826843526</v>
      </c>
      <c r="FA105" s="625">
        <f t="shared" si="267"/>
        <v>1.5493222106360787E-2</v>
      </c>
      <c r="FB105" s="460">
        <f t="shared" si="301"/>
        <v>1200.3595047907133</v>
      </c>
      <c r="FC105" s="173">
        <f t="shared" si="302"/>
        <v>2.7493379736089598</v>
      </c>
      <c r="FD105" s="5">
        <f t="shared" si="303"/>
        <v>18.399999999999999</v>
      </c>
      <c r="FE105" s="173">
        <f t="shared" si="304"/>
        <v>0.87000359174175101</v>
      </c>
      <c r="FF105" s="5">
        <f t="shared" si="305"/>
        <v>87.000359174175102</v>
      </c>
      <c r="FG105">
        <f t="shared" si="306"/>
        <v>100</v>
      </c>
      <c r="FI105" s="562">
        <f t="shared" si="268"/>
        <v>-50</v>
      </c>
      <c r="FJ105">
        <f t="shared" si="269"/>
        <v>-50</v>
      </c>
      <c r="FL105">
        <f t="shared" si="270"/>
        <v>0.56500122953983234</v>
      </c>
    </row>
    <row r="106" spans="5:169" ht="13">
      <c r="E106" s="170"/>
      <c r="F106" s="217"/>
      <c r="G106" s="217"/>
      <c r="H106" s="217"/>
      <c r="I106" s="217"/>
      <c r="J106" s="541"/>
      <c r="K106" s="443"/>
      <c r="L106" s="443"/>
      <c r="M106" s="443"/>
      <c r="N106" s="217"/>
      <c r="O106" s="172"/>
      <c r="P106" s="172"/>
      <c r="Q106" s="217"/>
      <c r="R106" s="217"/>
      <c r="S106" s="217"/>
      <c r="T106" s="217"/>
      <c r="U106" s="217"/>
      <c r="V106" s="217"/>
      <c r="W106" s="197"/>
      <c r="X106" s="443"/>
      <c r="Z106" s="217"/>
      <c r="AA106" s="173"/>
      <c r="AB106" s="173"/>
      <c r="AC106" s="173"/>
      <c r="AD106" s="173"/>
      <c r="AE106" s="545"/>
      <c r="AF106" s="528"/>
      <c r="AH106" s="173"/>
      <c r="AI106" s="173"/>
      <c r="AJ106" s="173"/>
      <c r="AL106" s="545"/>
      <c r="AM106" s="460"/>
      <c r="AP106" s="3"/>
      <c r="AR106" s="5"/>
      <c r="AS106" s="5"/>
      <c r="AT106" s="5"/>
      <c r="AU106" s="173"/>
      <c r="AW106" s="5"/>
      <c r="AX106" s="5"/>
      <c r="AY106" s="5"/>
      <c r="AZ106" s="5"/>
      <c r="BA106" s="173"/>
      <c r="BB106" s="173"/>
      <c r="BC106" s="173"/>
      <c r="BD106" s="173"/>
      <c r="BE106" s="528"/>
      <c r="BF106" s="528"/>
      <c r="BG106" s="528"/>
      <c r="BH106" s="528"/>
      <c r="BL106" s="460"/>
      <c r="BM106" s="173"/>
      <c r="BN106" s="173"/>
      <c r="BO106" s="528"/>
      <c r="BQ106" s="460"/>
      <c r="BR106" s="528"/>
      <c r="BS106" s="528"/>
      <c r="BT106" s="528"/>
      <c r="BU106" s="528"/>
      <c r="BV106" s="528"/>
      <c r="BW106" s="625"/>
      <c r="BX106" s="460"/>
      <c r="BY106" s="173"/>
      <c r="BZ106" s="5"/>
      <c r="CA106" s="173"/>
      <c r="CB106" s="5"/>
      <c r="CI106" s="170"/>
      <c r="CJ106" s="217"/>
      <c r="CK106" s="217"/>
      <c r="CL106" s="217"/>
      <c r="CM106" s="217"/>
      <c r="CN106" s="541"/>
      <c r="CO106" s="443"/>
      <c r="CP106" s="443"/>
      <c r="CQ106" s="443"/>
      <c r="CR106" s="217"/>
      <c r="CS106" s="172"/>
      <c r="CT106" s="172"/>
      <c r="CU106" s="217"/>
      <c r="CV106" s="217"/>
      <c r="CW106" s="217"/>
      <c r="CX106" s="217"/>
      <c r="CY106" s="217"/>
      <c r="CZ106" s="217"/>
      <c r="DA106" s="197"/>
      <c r="DB106" s="443"/>
      <c r="DD106" s="217"/>
      <c r="DE106" s="173"/>
      <c r="DF106" s="173"/>
      <c r="DG106" s="173"/>
      <c r="DH106" s="173"/>
      <c r="DI106" s="545"/>
      <c r="DJ106" s="528"/>
      <c r="DL106" s="173"/>
      <c r="DM106" s="173"/>
      <c r="DN106" s="173"/>
      <c r="DP106" s="545"/>
      <c r="DQ106" s="460"/>
      <c r="DT106" s="3"/>
      <c r="DV106" s="5"/>
      <c r="DW106" s="5"/>
      <c r="DX106" s="5"/>
      <c r="DY106" s="173"/>
      <c r="EA106" s="5"/>
      <c r="EB106" s="5"/>
      <c r="EC106" s="5"/>
      <c r="ED106" s="5"/>
      <c r="EE106" s="173"/>
      <c r="EF106" s="173"/>
      <c r="EG106" s="173"/>
      <c r="EH106" s="173"/>
      <c r="EI106" s="528"/>
      <c r="EJ106" s="528"/>
      <c r="EK106" s="528"/>
      <c r="EL106" s="528"/>
      <c r="EP106" s="460"/>
      <c r="EQ106" s="173"/>
      <c r="ER106" s="173"/>
      <c r="ES106" s="528"/>
      <c r="EU106" s="460"/>
      <c r="EV106" s="528"/>
      <c r="EW106" s="528"/>
      <c r="EX106" s="528"/>
      <c r="EY106" s="528"/>
      <c r="EZ106" s="528"/>
      <c r="FA106" s="625"/>
      <c r="FB106" s="460"/>
      <c r="FC106" s="173"/>
      <c r="FD106" s="5"/>
      <c r="FE106" s="173"/>
      <c r="FF106" s="5"/>
    </row>
    <row r="107" spans="5:169">
      <c r="G107" s="217"/>
      <c r="H107" s="217"/>
      <c r="I107" s="217"/>
      <c r="J107" s="541"/>
      <c r="K107" s="443"/>
      <c r="L107" s="443"/>
      <c r="M107" s="443"/>
      <c r="N107" s="217"/>
      <c r="O107" s="172"/>
      <c r="P107" s="172"/>
      <c r="Q107" s="217"/>
      <c r="R107" s="217"/>
      <c r="S107" s="217"/>
      <c r="T107" s="217"/>
      <c r="U107" s="217"/>
      <c r="V107" s="217"/>
      <c r="W107" s="197"/>
      <c r="X107" s="443"/>
      <c r="Z107" s="217"/>
      <c r="AA107" s="173"/>
      <c r="AB107" s="173"/>
      <c r="AC107" s="173"/>
      <c r="AD107" s="173"/>
      <c r="AE107" s="545"/>
      <c r="AF107" s="528"/>
      <c r="AH107" s="173"/>
      <c r="AI107" s="173"/>
      <c r="AJ107" s="173"/>
      <c r="AL107" s="545"/>
      <c r="AM107" s="460"/>
      <c r="AR107" s="5"/>
      <c r="AS107" s="5"/>
      <c r="AT107" s="5"/>
      <c r="AU107" s="173"/>
      <c r="AW107" s="5"/>
      <c r="AX107" s="5"/>
      <c r="AY107" s="5"/>
      <c r="AZ107" s="5"/>
      <c r="BA107" s="173"/>
      <c r="BB107" s="173"/>
      <c r="BC107" s="173"/>
      <c r="BD107" s="173"/>
      <c r="BE107" s="528"/>
      <c r="BF107" s="528"/>
      <c r="BG107" s="528"/>
      <c r="BH107" s="528"/>
      <c r="BL107" s="460"/>
      <c r="BM107" s="173"/>
      <c r="BN107" s="173"/>
      <c r="BO107" s="528"/>
      <c r="BQ107" s="460"/>
      <c r="BR107" s="528"/>
      <c r="BS107" s="528"/>
      <c r="BT107" s="528"/>
      <c r="BU107" s="528"/>
      <c r="BV107" s="528"/>
      <c r="BW107" s="625"/>
      <c r="BX107" s="460"/>
      <c r="BY107" s="173"/>
      <c r="BZ107" s="5"/>
      <c r="CA107" s="173"/>
      <c r="CB107" s="5"/>
      <c r="CK107" s="217"/>
      <c r="CL107" s="217"/>
      <c r="CM107" s="217"/>
      <c r="CN107" s="541"/>
      <c r="CO107" s="443"/>
      <c r="CP107" s="443"/>
      <c r="CQ107" s="443"/>
      <c r="CR107" s="217"/>
      <c r="CS107" s="172"/>
      <c r="CT107" s="172"/>
      <c r="CU107" s="217"/>
      <c r="CV107" s="217"/>
      <c r="CW107" s="217"/>
      <c r="CX107" s="217"/>
      <c r="CY107" s="217"/>
      <c r="CZ107" s="217"/>
      <c r="DA107" s="197"/>
      <c r="DB107" s="443"/>
      <c r="DD107" s="217"/>
      <c r="DE107" s="173"/>
      <c r="DF107" s="173"/>
      <c r="DG107" s="173"/>
      <c r="DH107" s="173"/>
      <c r="DI107" s="545"/>
      <c r="DJ107" s="528"/>
      <c r="DL107" s="173"/>
      <c r="DM107" s="173"/>
      <c r="DN107" s="173"/>
      <c r="DP107" s="545"/>
      <c r="DQ107" s="460"/>
      <c r="DV107" s="5"/>
      <c r="DW107" s="5"/>
      <c r="DX107" s="5"/>
      <c r="DY107" s="173"/>
      <c r="EA107" s="5"/>
      <c r="EB107" s="5"/>
      <c r="EC107" s="5"/>
      <c r="ED107" s="5"/>
      <c r="EE107" s="173"/>
      <c r="EF107" s="173"/>
      <c r="EG107" s="173"/>
      <c r="EH107" s="173"/>
      <c r="EI107" s="528"/>
      <c r="EJ107" s="528"/>
      <c r="EK107" s="528"/>
      <c r="EL107" s="528"/>
      <c r="EP107" s="460"/>
      <c r="EQ107" s="173"/>
      <c r="ER107" s="173"/>
      <c r="ES107" s="528"/>
      <c r="EU107" s="460"/>
      <c r="EV107" s="528"/>
      <c r="EW107" s="528"/>
      <c r="EX107" s="528"/>
      <c r="EY107" s="528"/>
      <c r="EZ107" s="528"/>
      <c r="FA107" s="625"/>
      <c r="FB107" s="460"/>
      <c r="FC107" s="173"/>
      <c r="FD107" s="5"/>
      <c r="FE107" s="173"/>
      <c r="FF107" s="5"/>
    </row>
    <row r="108" spans="5:169" ht="13">
      <c r="E108" s="445" t="s">
        <v>434</v>
      </c>
      <c r="G108" s="217"/>
      <c r="H108" s="217"/>
      <c r="I108" s="217"/>
      <c r="J108" s="541"/>
      <c r="K108" s="443"/>
      <c r="L108" s="443"/>
      <c r="M108" s="443"/>
      <c r="N108" s="217"/>
      <c r="O108" s="172"/>
      <c r="P108" s="172"/>
      <c r="Q108" s="217"/>
      <c r="R108" s="217"/>
      <c r="S108" s="217"/>
      <c r="T108" s="217"/>
      <c r="U108" s="217"/>
      <c r="V108" s="217"/>
      <c r="W108" s="197"/>
      <c r="X108" s="443"/>
      <c r="Z108" s="217"/>
      <c r="AA108" s="173"/>
      <c r="AB108" s="173"/>
      <c r="AC108" s="173"/>
      <c r="AD108" s="173"/>
      <c r="AE108" s="545"/>
      <c r="AF108" s="528"/>
      <c r="AH108" s="173"/>
      <c r="AI108" s="173"/>
      <c r="AJ108" s="173"/>
      <c r="AL108" s="545"/>
      <c r="AM108" s="460"/>
      <c r="AR108" s="5"/>
      <c r="AS108" s="5"/>
      <c r="AT108" s="5"/>
      <c r="AU108" s="173"/>
      <c r="AW108" s="533" t="s">
        <v>470</v>
      </c>
      <c r="AX108" s="533" t="s">
        <v>470</v>
      </c>
      <c r="AY108" s="533"/>
      <c r="AZ108" s="533"/>
      <c r="BA108" s="558" t="s">
        <v>471</v>
      </c>
      <c r="BB108" s="533"/>
      <c r="BC108" s="533"/>
      <c r="BD108" s="533"/>
      <c r="BE108" s="558" t="s">
        <v>493</v>
      </c>
      <c r="BF108" s="533"/>
      <c r="BG108" s="533"/>
      <c r="BH108" s="533"/>
      <c r="BI108" s="533"/>
      <c r="BJ108" s="533"/>
      <c r="BK108" s="533"/>
      <c r="BL108" s="533"/>
      <c r="BM108" s="558" t="s">
        <v>489</v>
      </c>
      <c r="BN108" s="533"/>
      <c r="BO108" s="533"/>
      <c r="BP108" s="533"/>
      <c r="BQ108" s="533"/>
      <c r="BR108" s="559" t="s">
        <v>490</v>
      </c>
      <c r="BS108" s="533"/>
      <c r="BT108" s="533"/>
      <c r="BU108" s="533"/>
      <c r="BV108" s="533"/>
      <c r="BW108" s="533"/>
      <c r="BX108" s="533"/>
      <c r="BY108" s="558"/>
      <c r="BZ108" s="533"/>
      <c r="CA108" s="533"/>
      <c r="CB108" s="533"/>
      <c r="CC108" s="533"/>
      <c r="CI108" s="445" t="s">
        <v>434</v>
      </c>
      <c r="CK108" s="217"/>
      <c r="CL108" s="217"/>
      <c r="CM108" s="217"/>
      <c r="CN108" s="541"/>
      <c r="CO108" s="443"/>
      <c r="CP108" s="443"/>
      <c r="CQ108" s="443"/>
      <c r="CR108" s="217"/>
      <c r="CS108" s="172"/>
      <c r="CT108" s="172"/>
      <c r="CU108" s="217"/>
      <c r="CV108" s="217"/>
      <c r="CW108" s="217"/>
      <c r="CX108" s="217"/>
      <c r="CY108" s="217"/>
      <c r="CZ108" s="217"/>
      <c r="DA108" s="197"/>
      <c r="DB108" s="443"/>
      <c r="DD108" s="217"/>
      <c r="DE108" s="173"/>
      <c r="DF108" s="173"/>
      <c r="DG108" s="173"/>
      <c r="DH108" s="173"/>
      <c r="DI108" s="545"/>
      <c r="DJ108" s="528"/>
      <c r="DL108" s="173"/>
      <c r="DM108" s="173"/>
      <c r="DN108" s="173"/>
      <c r="DP108" s="545"/>
      <c r="DQ108" s="460"/>
      <c r="DV108" s="5"/>
      <c r="DW108" s="5"/>
      <c r="DX108" s="5"/>
      <c r="DY108" s="173"/>
      <c r="EA108" s="533" t="s">
        <v>470</v>
      </c>
      <c r="EB108" s="533" t="s">
        <v>470</v>
      </c>
      <c r="EC108" s="533"/>
      <c r="ED108" s="533"/>
      <c r="EE108" s="558" t="s">
        <v>471</v>
      </c>
      <c r="EF108" s="533"/>
      <c r="EG108" s="533"/>
      <c r="EH108" s="533"/>
      <c r="EI108" s="558" t="s">
        <v>493</v>
      </c>
      <c r="EJ108" s="533"/>
      <c r="EK108" s="533"/>
      <c r="EL108" s="533"/>
      <c r="EM108" s="533"/>
      <c r="EN108" s="533"/>
      <c r="EO108" s="533"/>
      <c r="EP108" s="533"/>
      <c r="EQ108" s="558" t="s">
        <v>489</v>
      </c>
      <c r="ER108" s="533"/>
      <c r="ES108" s="533"/>
      <c r="ET108" s="533"/>
      <c r="EU108" s="533"/>
      <c r="EV108" s="559" t="s">
        <v>490</v>
      </c>
      <c r="EW108" s="533"/>
      <c r="EX108" s="533"/>
      <c r="EY108" s="533"/>
      <c r="EZ108" s="533"/>
      <c r="FA108" s="533"/>
      <c r="FB108" s="533"/>
      <c r="FC108" s="558"/>
      <c r="FD108" s="533"/>
      <c r="FE108" s="533"/>
      <c r="FF108" s="533"/>
      <c r="FG108" s="533"/>
    </row>
    <row r="109" spans="5:169" ht="45" customHeight="1" thickBot="1">
      <c r="E109" s="241" t="s">
        <v>25</v>
      </c>
      <c r="F109" s="602" t="s">
        <v>580</v>
      </c>
      <c r="G109" s="444" t="s">
        <v>579</v>
      </c>
      <c r="H109" s="603" t="s">
        <v>581</v>
      </c>
      <c r="I109" s="604" t="s">
        <v>582</v>
      </c>
      <c r="J109" s="242" t="s">
        <v>412</v>
      </c>
      <c r="K109" s="243" t="s">
        <v>586</v>
      </c>
      <c r="L109" s="605" t="s">
        <v>413</v>
      </c>
      <c r="M109" s="606"/>
      <c r="N109" s="244" t="s">
        <v>48</v>
      </c>
      <c r="O109" s="606" t="s">
        <v>590</v>
      </c>
      <c r="P109" s="606" t="s">
        <v>606</v>
      </c>
      <c r="Q109" s="606" t="s">
        <v>583</v>
      </c>
      <c r="R109" s="606" t="s">
        <v>584</v>
      </c>
      <c r="S109" s="606" t="s">
        <v>585</v>
      </c>
      <c r="T109" s="606" t="s">
        <v>414</v>
      </c>
      <c r="U109" s="606" t="s">
        <v>466</v>
      </c>
      <c r="V109" s="606" t="s">
        <v>465</v>
      </c>
      <c r="W109" s="607" t="s">
        <v>420</v>
      </c>
      <c r="X109" s="608" t="s">
        <v>425</v>
      </c>
      <c r="Z109" s="245" t="s">
        <v>417</v>
      </c>
      <c r="AA109" s="245" t="s">
        <v>464</v>
      </c>
      <c r="AB109" s="245" t="s">
        <v>587</v>
      </c>
      <c r="AC109" s="544"/>
      <c r="AD109" s="245" t="s">
        <v>463</v>
      </c>
      <c r="AE109" s="607" t="s">
        <v>426</v>
      </c>
      <c r="AF109" s="245" t="s">
        <v>588</v>
      </c>
      <c r="AG109" s="544"/>
      <c r="AH109" s="245" t="s">
        <v>429</v>
      </c>
      <c r="AI109" s="547" t="s">
        <v>430</v>
      </c>
      <c r="AJ109" s="547" t="s">
        <v>431</v>
      </c>
      <c r="AL109" s="543" t="s">
        <v>275</v>
      </c>
      <c r="AM109" s="543" t="s">
        <v>432</v>
      </c>
      <c r="AO109" s="245" t="s">
        <v>275</v>
      </c>
      <c r="AP109" s="245" t="s">
        <v>432</v>
      </c>
      <c r="AQ109" s="548"/>
      <c r="AR109" s="245" t="s">
        <v>467</v>
      </c>
      <c r="AS109" s="245" t="s">
        <v>461</v>
      </c>
      <c r="AT109" s="245" t="s">
        <v>462</v>
      </c>
      <c r="AU109" s="245" t="s">
        <v>48</v>
      </c>
      <c r="AV109" s="544"/>
      <c r="AW109" s="245" t="s">
        <v>591</v>
      </c>
      <c r="AX109" s="245" t="s">
        <v>592</v>
      </c>
      <c r="AY109" s="245" t="s">
        <v>514</v>
      </c>
      <c r="AZ109" s="544"/>
      <c r="BA109" s="557" t="s">
        <v>456</v>
      </c>
      <c r="BB109" s="245" t="s">
        <v>599</v>
      </c>
      <c r="BC109" s="245" t="s">
        <v>598</v>
      </c>
      <c r="BD109" s="544"/>
      <c r="BE109" s="557" t="s">
        <v>474</v>
      </c>
      <c r="BF109" s="245" t="s">
        <v>475</v>
      </c>
      <c r="BG109" s="245" t="s">
        <v>473</v>
      </c>
      <c r="BH109" s="245" t="s">
        <v>469</v>
      </c>
      <c r="BI109" s="245" t="s">
        <v>478</v>
      </c>
      <c r="BJ109" s="245" t="s">
        <v>491</v>
      </c>
      <c r="BK109" s="245" t="s">
        <v>776</v>
      </c>
      <c r="BL109" s="245" t="s">
        <v>778</v>
      </c>
      <c r="BM109" s="557" t="s">
        <v>601</v>
      </c>
      <c r="BN109" s="245" t="s">
        <v>600</v>
      </c>
      <c r="BO109" s="245" t="s">
        <v>477</v>
      </c>
      <c r="BP109" s="245" t="s">
        <v>483</v>
      </c>
      <c r="BQ109" s="245" t="s">
        <v>487</v>
      </c>
      <c r="BR109" s="557" t="s">
        <v>458</v>
      </c>
      <c r="BS109" s="245" t="s">
        <v>603</v>
      </c>
      <c r="BT109" s="245" t="s">
        <v>602</v>
      </c>
      <c r="BU109" s="245" t="s">
        <v>468</v>
      </c>
      <c r="BV109" s="245" t="s">
        <v>673</v>
      </c>
      <c r="BW109" s="245" t="s">
        <v>484</v>
      </c>
      <c r="BX109" s="245" t="s">
        <v>667</v>
      </c>
      <c r="BY109" s="557" t="s">
        <v>482</v>
      </c>
      <c r="BZ109" s="245" t="s">
        <v>223</v>
      </c>
      <c r="CA109" s="245" t="s">
        <v>47</v>
      </c>
      <c r="CB109" s="245" t="s">
        <v>485</v>
      </c>
      <c r="CC109" s="245" t="s">
        <v>604</v>
      </c>
      <c r="CE109" s="569" t="s">
        <v>497</v>
      </c>
      <c r="CG109" s="782" t="s">
        <v>829</v>
      </c>
      <c r="CH109" s="783" t="s">
        <v>830</v>
      </c>
      <c r="CI109" s="241" t="s">
        <v>25</v>
      </c>
      <c r="CJ109" s="602" t="s">
        <v>580</v>
      </c>
      <c r="CK109" s="444" t="s">
        <v>579</v>
      </c>
      <c r="CL109" s="603" t="s">
        <v>581</v>
      </c>
      <c r="CM109" s="604" t="s">
        <v>582</v>
      </c>
      <c r="CN109" s="242" t="s">
        <v>412</v>
      </c>
      <c r="CO109" s="243" t="s">
        <v>586</v>
      </c>
      <c r="CP109" s="605" t="s">
        <v>413</v>
      </c>
      <c r="CQ109" s="606"/>
      <c r="CR109" s="244" t="s">
        <v>48</v>
      </c>
      <c r="CS109" s="606" t="s">
        <v>590</v>
      </c>
      <c r="CT109" s="606" t="s">
        <v>606</v>
      </c>
      <c r="CU109" s="606" t="s">
        <v>583</v>
      </c>
      <c r="CV109" s="606" t="s">
        <v>584</v>
      </c>
      <c r="CW109" s="606" t="s">
        <v>585</v>
      </c>
      <c r="CX109" s="606" t="s">
        <v>414</v>
      </c>
      <c r="CY109" s="606" t="s">
        <v>466</v>
      </c>
      <c r="CZ109" s="606" t="s">
        <v>465</v>
      </c>
      <c r="DA109" s="607" t="s">
        <v>420</v>
      </c>
      <c r="DB109" s="608" t="s">
        <v>425</v>
      </c>
      <c r="DD109" s="245" t="s">
        <v>417</v>
      </c>
      <c r="DE109" s="245" t="s">
        <v>464</v>
      </c>
      <c r="DF109" s="245" t="s">
        <v>587</v>
      </c>
      <c r="DG109" s="544"/>
      <c r="DH109" s="245" t="s">
        <v>463</v>
      </c>
      <c r="DI109" s="607" t="s">
        <v>426</v>
      </c>
      <c r="DJ109" s="245" t="s">
        <v>588</v>
      </c>
      <c r="DK109" s="544"/>
      <c r="DL109" s="245" t="s">
        <v>429</v>
      </c>
      <c r="DM109" s="547" t="s">
        <v>430</v>
      </c>
      <c r="DN109" s="547" t="s">
        <v>431</v>
      </c>
      <c r="DP109" s="543" t="s">
        <v>275</v>
      </c>
      <c r="DQ109" s="543" t="s">
        <v>432</v>
      </c>
      <c r="DS109" s="245" t="s">
        <v>275</v>
      </c>
      <c r="DT109" s="245" t="s">
        <v>432</v>
      </c>
      <c r="DU109" s="548"/>
      <c r="DV109" s="245" t="s">
        <v>467</v>
      </c>
      <c r="DW109" s="245" t="s">
        <v>461</v>
      </c>
      <c r="DX109" s="245" t="s">
        <v>462</v>
      </c>
      <c r="DY109" s="245" t="s">
        <v>48</v>
      </c>
      <c r="DZ109" s="544"/>
      <c r="EA109" s="245" t="s">
        <v>591</v>
      </c>
      <c r="EB109" s="245" t="s">
        <v>592</v>
      </c>
      <c r="EC109" s="245" t="s">
        <v>514</v>
      </c>
      <c r="ED109" s="544"/>
      <c r="EE109" s="557" t="s">
        <v>456</v>
      </c>
      <c r="EF109" s="245" t="s">
        <v>599</v>
      </c>
      <c r="EG109" s="245" t="s">
        <v>598</v>
      </c>
      <c r="EH109" s="544"/>
      <c r="EI109" s="557" t="s">
        <v>474</v>
      </c>
      <c r="EJ109" s="245" t="s">
        <v>475</v>
      </c>
      <c r="EK109" s="245" t="s">
        <v>473</v>
      </c>
      <c r="EL109" s="245" t="s">
        <v>469</v>
      </c>
      <c r="EM109" s="245" t="s">
        <v>478</v>
      </c>
      <c r="EN109" s="245" t="s">
        <v>491</v>
      </c>
      <c r="EO109" s="245" t="s">
        <v>776</v>
      </c>
      <c r="EP109" s="245" t="s">
        <v>778</v>
      </c>
      <c r="EQ109" s="557" t="s">
        <v>601</v>
      </c>
      <c r="ER109" s="245" t="s">
        <v>600</v>
      </c>
      <c r="ES109" s="245" t="s">
        <v>477</v>
      </c>
      <c r="ET109" s="245" t="s">
        <v>483</v>
      </c>
      <c r="EU109" s="245" t="s">
        <v>487</v>
      </c>
      <c r="EV109" s="557" t="s">
        <v>458</v>
      </c>
      <c r="EW109" s="245" t="s">
        <v>603</v>
      </c>
      <c r="EX109" s="245" t="s">
        <v>602</v>
      </c>
      <c r="EY109" s="245" t="s">
        <v>468</v>
      </c>
      <c r="EZ109" s="245" t="s">
        <v>673</v>
      </c>
      <c r="FA109" s="245" t="s">
        <v>484</v>
      </c>
      <c r="FB109" s="245" t="s">
        <v>486</v>
      </c>
      <c r="FC109" s="557" t="s">
        <v>482</v>
      </c>
      <c r="FD109" s="245" t="s">
        <v>223</v>
      </c>
      <c r="FE109" s="245" t="s">
        <v>47</v>
      </c>
      <c r="FF109" s="245" t="s">
        <v>485</v>
      </c>
      <c r="FG109" s="245" t="s">
        <v>604</v>
      </c>
      <c r="FI109" s="569" t="s">
        <v>497</v>
      </c>
      <c r="FL109" s="782" t="s">
        <v>876</v>
      </c>
      <c r="FM109" s="782" t="s">
        <v>875</v>
      </c>
    </row>
    <row r="110" spans="5:169">
      <c r="E110" s="170">
        <v>0.1</v>
      </c>
      <c r="F110" s="217">
        <v>1.0000000000000001E-9</v>
      </c>
      <c r="G110" s="217">
        <f t="shared" ref="G110:G141" si="313">IF(PLOT_TYPE=1, E110/100*Iout2, min_I*EXP(Q110*rr/100))</f>
        <v>2.5000000000000001E-4</v>
      </c>
      <c r="H110" s="217">
        <f t="shared" ref="H110:H141" si="314">F110*Vout</f>
        <v>1.6399999999999998E-8</v>
      </c>
      <c r="I110" s="217">
        <f t="shared" ref="I110:I141" si="315">Vout2*G110</f>
        <v>2E-3</v>
      </c>
      <c r="J110" s="541">
        <f t="shared" ref="J110:J141" si="316">VIN_min-(F110/CG110/Nps+G110/CH110/(Nps/Nsec1sec2))*(Rdcr_pri+RON/1000)</f>
        <v>9.9952819421640129</v>
      </c>
      <c r="K110" s="443">
        <f t="shared" ref="K110:K141" si="317">MAX((S110+Vfwd2+Rdcr_sec*F110/CG110)*Nps,(Vout2+Vfwd22+Rdcr_sec2*G110/CH110)*Nps/Nsec1sec2)</f>
        <v>17.101904137122649</v>
      </c>
      <c r="L110" s="172">
        <f t="shared" ref="L110:L141" si="318">MAX((Vout+Vfwd2+F110/CG110*Rdcr_sec)*Nps+J110, (Vout2+Vfwd22+G110/CH110*Rdcr_sec2)*Nps/Nsec1sec2+J110)</f>
        <v>27.097186079286661</v>
      </c>
      <c r="M110" s="443"/>
      <c r="N110" s="217">
        <f t="shared" ref="N110:N141" si="319">MAX((Vout+Vfwd2+F110/CG110*Rdcr_sec)*Nps/((Vout+Vfwd2+F110/CG110*Rdcr_sec)*Nps+J110), (Vout2+Vfwd22+G110/CH110*Rdcr_sec2)*Nps/Nsec1sec2/((Vout2+Vfwd22+G110/CH110*Rdcr_sec2)*Nps/Nsec1sec2+J110))</f>
        <v>0.63113210674651943</v>
      </c>
      <c r="O110" s="172">
        <f t="shared" ref="O110:O141" si="320">N110*J110*Isw_max*0.5*Efficiency*Pout/(Pout+Pout2)</f>
        <v>18.742179517175366</v>
      </c>
      <c r="P110" s="172">
        <f t="shared" ref="P110:P141" si="321">N110*J110*Isw_max*0.5*Efficiency*(Pout2/Pout_total)</f>
        <v>2.564367215318462</v>
      </c>
      <c r="Q110" s="217">
        <f t="shared" ref="Q110:Q173" si="322">O110/Vout</f>
        <v>1.1428158242180102</v>
      </c>
      <c r="R110" s="217">
        <f t="shared" ref="R110:R141" si="323">O110/Vout2</f>
        <v>2.3427724396469207</v>
      </c>
      <c r="S110" s="217">
        <f t="shared" ref="S110:S141" si="324">MIN(Vout,O110/F110)</f>
        <v>16.399999999999999</v>
      </c>
      <c r="T110" s="217">
        <f t="shared" ref="T110:T141" si="325">MIN(2*(Vout*F110+Vout2*G110)/(Efficiency*J110*N110), Isw_max)</f>
        <v>6.3408609491757322E-4</v>
      </c>
      <c r="U110" s="217">
        <f t="shared" ref="U110:U173" si="326">L*T110/J110*1000000</f>
        <v>7.6126248194290525E-4</v>
      </c>
      <c r="V110" s="217">
        <f t="shared" ref="V110:V173" si="327">L*T110/K110*1000000</f>
        <v>4.4492315463832787E-4</v>
      </c>
      <c r="W110" s="197">
        <f t="shared" ref="W110:W173" si="328">IF(1/((350000*L)*(1/J110+1/K110))&gt;Isw_min, 350, 0.001/((Isw_min*L)*(1/J110+1/K110)))</f>
        <v>350</v>
      </c>
      <c r="X110" s="443">
        <f>MIN(1/(U110+V110+0.2)*1000, 350)</f>
        <v>350</v>
      </c>
      <c r="Z110" s="217">
        <f t="shared" ref="Z110:Z173" si="329">1/((W110*1000*L)*(1/J110+1/K110))</f>
        <v>1.5019865118293845</v>
      </c>
      <c r="AA110" s="173">
        <f t="shared" ref="AA110:AA173" si="330">L*Z110/K110*1000000</f>
        <v>1.0539082664385158</v>
      </c>
      <c r="AB110" s="173">
        <f t="shared" ref="AB110:AB141" si="331">0.5*AA110*Z110*Nps*W110/1000*(Pout/(Pout+Pout2))</f>
        <v>0.2469067240528218</v>
      </c>
      <c r="AC110" s="173"/>
      <c r="AD110" s="173">
        <f t="shared" ref="AD110:AD173" si="332">L*Isw_min/K110*1000000</f>
        <v>0.9355683362339301</v>
      </c>
      <c r="AE110" s="545">
        <f t="shared" ref="AE110:AE141" si="333">MAX(10, F110/(0.5*AD110/1000000*Isw_min*Nps)/1000*Pout_total/Pout)</f>
        <v>10</v>
      </c>
      <c r="AF110" s="528">
        <f t="shared" ref="AF110:AF141" si="334">0.5*AD110/1000000*Isw_min*Nps*W110*1000*(Pout/Pout_total)</f>
        <v>0.21829927845458369</v>
      </c>
      <c r="AH110" s="173">
        <f t="shared" ref="AH110:AH141" si="335">SQRT((H110+I110)/(0.5*L*Fsw_DCM))</f>
        <v>3.0860796520905967E-2</v>
      </c>
      <c r="AI110" s="173">
        <f t="shared" ref="AI110:AI141" si="336">MAX(IF(F110&gt;AB110,T110,AH110),Isw_min)</f>
        <v>1.3333333333333335</v>
      </c>
      <c r="AJ110" s="173">
        <f t="shared" ref="AJ110:AJ141" si="337">IF(F110&gt;AF110, (AI110-Isw_min)/1.08*0.8+1.2, AE110*0.2/350+1)</f>
        <v>1.0057142857142858</v>
      </c>
      <c r="AL110" s="545">
        <f t="shared" ref="AL110:AL141" si="338">F110*1000</f>
        <v>1.0000000000000002E-6</v>
      </c>
      <c r="AM110" s="460">
        <f t="shared" ref="AM110:AM141" si="339">IF(F110&gt;AF110, X110, AE110)</f>
        <v>10</v>
      </c>
      <c r="AO110" s="460">
        <f t="shared" ref="AO110:AO173" si="340">IF(H110&gt;O110, "",AL110)</f>
        <v>1.0000000000000002E-6</v>
      </c>
      <c r="AP110" s="460">
        <f t="shared" ref="AP110:AP173" si="341">IF(H110&gt;O110, "",AM110)</f>
        <v>10</v>
      </c>
      <c r="AR110" s="5">
        <f t="shared" si="275"/>
        <v>100</v>
      </c>
      <c r="AS110" s="5">
        <f>L*AI110/J110*1000000</f>
        <v>1.6007552455829923</v>
      </c>
      <c r="AT110" s="5">
        <f>AR110-AS110</f>
        <v>98.399244754417012</v>
      </c>
      <c r="AU110" s="173">
        <f>AS110/AR110</f>
        <v>1.6007552455829924E-2</v>
      </c>
      <c r="AW110" s="5">
        <f t="shared" ref="AW110:AW169" si="342">F110*AS110/Vout_ripple*1000</f>
        <v>9.7607027169694664E-9</v>
      </c>
      <c r="AX110" s="5">
        <f t="shared" ref="AX110:AX169" si="343">G110*AS110/Vout_ripple2*1000</f>
        <v>5.0023601424468512E-3</v>
      </c>
      <c r="AY110" s="5">
        <f t="shared" ref="AY110:AY169" si="344">H110/Efficiency/J110*AT110/Vinripple1</f>
        <v>1.3454244573507387E-7</v>
      </c>
      <c r="AZ110" s="5"/>
      <c r="BA110" s="173">
        <f t="shared" ref="BA110:BA169" si="345">AI110*SQRT(AU110/3)</f>
        <v>9.7395877791938285E-2</v>
      </c>
      <c r="BB110" s="173">
        <f t="shared" ref="BB110:BB169" si="346">AI110*Npri_sec1*SQRT((1-AU110)/3)*(Pout/Pout_total)</f>
        <v>0.76361419288913857</v>
      </c>
      <c r="BC110" s="173">
        <f t="shared" ref="BC110:BC169" si="347">AI110*Npri_sec2*SQRT((1-AU110)/3)*(Pout2/Pout_total)</f>
        <v>0.18734293684941561</v>
      </c>
      <c r="BD110" s="173"/>
      <c r="BE110" s="528">
        <f t="shared" ref="BE110:BE169" si="348">Rdson*BA110^2</f>
        <v>1.8971914021724355E-4</v>
      </c>
      <c r="BF110" s="528">
        <f t="shared" ref="BF110:BF141" si="349">0.5*L110*AI110*AM110*1000*Tfall</f>
        <v>6.7742965198216657E-3</v>
      </c>
      <c r="BG110" s="528">
        <f t="shared" ref="BG110:BG141" si="350">Qg*Vdd*AM110*1000*0+Qg*J110*AM110*1000</f>
        <v>2.4988204855410025E-3</v>
      </c>
      <c r="BH110" s="528">
        <f t="shared" ref="BH110:BH169" si="351">0.5*(Coss+Csw)*L110^2*AM110*1000</f>
        <v>7.3425749341548684E-4</v>
      </c>
      <c r="BI110">
        <f t="shared" ref="BI110:BI169" si="352">J110*IQ</f>
        <v>4.4978768739738053E-3</v>
      </c>
      <c r="BJ110" s="460">
        <f>(BG110+BI110)*1000</f>
        <v>6.9966973595148083</v>
      </c>
      <c r="BK110">
        <f t="shared" ref="BK110:BK141" si="353">(BF110+BG110*0+BH110+BI110*0+BE110*(1+RdsonTC*(Ta-25)))/(1-BE110*RdsonTC*ThetaJA)</f>
        <v>7.7498466632258452E-3</v>
      </c>
      <c r="BL110" s="460">
        <f>SUM(BE110:BI110)*1000</f>
        <v>14.694970512969203</v>
      </c>
      <c r="BM110" s="173">
        <f t="shared" ref="BM110:BM141" si="354">Vfwd2*F110*(1+Diode_TC/1000*(Ta-25))</f>
        <v>6.212499999999999E-10</v>
      </c>
      <c r="BN110" s="173">
        <f t="shared" ref="BN110:BN141" si="355">Vfwd2*G110*(1+Diode_TC/1000*(Ta-25))</f>
        <v>1.5531249999999999E-4</v>
      </c>
      <c r="BO110" s="528"/>
      <c r="BQ110" s="460">
        <f t="shared" ref="BQ110:BQ169" si="356">SUM(BM110:BP110)*1000</f>
        <v>0.15531312124999999</v>
      </c>
      <c r="BR110" s="528">
        <f t="shared" ref="BR110:BR169" si="357">Rdcr_pri*BA110^2</f>
        <v>2.8457871032586531E-4</v>
      </c>
      <c r="BS110" s="528">
        <f t="shared" ref="BS110:BS169" si="358">Rdcr_sec*BB110^2</f>
        <v>1.7493199067451913E-2</v>
      </c>
      <c r="BT110" s="528">
        <f t="shared" ref="BT110:BT169" si="359">Rdcr_sec2*BC110^2</f>
        <v>1.7548687993682065E-4</v>
      </c>
      <c r="BU110" s="528">
        <f t="shared" ref="BU110:BU169" si="360">AI110^2.5*AM110^2.5*k_core</f>
        <v>3.2457633037343212E-5</v>
      </c>
      <c r="BV110" s="528"/>
      <c r="BW110" s="625">
        <f t="shared" ref="BW110:BW141" si="361">0.5*Lleak*0.000000001*AI110^2*AM110*1000</f>
        <v>8.8888888888888907E-5</v>
      </c>
      <c r="BX110" s="460">
        <f t="shared" ref="BX110:BX169" si="362">SUM(BR110:BW110)*1000</f>
        <v>18.074611179640829</v>
      </c>
      <c r="BY110" s="173">
        <f t="shared" ref="BY110:BY169" si="363">SUM(BE110:BI110,BM110:BP110,BR110:BW110)</f>
        <v>3.2924894813860031E-2</v>
      </c>
      <c r="BZ110" s="5">
        <f t="shared" ref="BZ110:BZ169" si="364">MIN(H110+I110,O110+P110)</f>
        <v>2.0000164E-3</v>
      </c>
      <c r="CA110" s="173">
        <f t="shared" ref="CA110:CA169" si="365">BZ110/(BZ110+BY110)</f>
        <v>5.7266184236032906E-2</v>
      </c>
      <c r="CB110" s="5">
        <f t="shared" ref="CB110:CB169" si="366">CA110*100</f>
        <v>5.7266184236032904</v>
      </c>
      <c r="CC110">
        <f t="shared" ref="CC110:CC169" si="367">F110/Iout*100</f>
        <v>1.0000000000000001E-7</v>
      </c>
      <c r="CE110" s="562">
        <f t="shared" ref="CE110:CE141" si="368">IF(ABS(F110-Ioutmax_Vinmin)&lt;Iout/200, AM110, -50)</f>
        <v>-50</v>
      </c>
      <c r="CF110">
        <f t="shared" ref="CF110:CF141" si="369">IF(ABS(F110-Ioutmax_Vinmin)&lt;Iout/200, (O110+P110)*CA110, -50)</f>
        <v>-50</v>
      </c>
      <c r="CG110" s="173">
        <f t="shared" ref="CG110:CG173" si="370">MIN(SQRT(2*DT110*1000*Ls1_*(CL110+CJ110*Vfwd1))/(CW110+Vfwd1), 1-DY110)</f>
        <v>3.7796447300922728E-6</v>
      </c>
      <c r="CH110" s="173">
        <f t="shared" ref="CH110:CH141" si="371">MIN(SQRT(2*DT110*1000*Ls2_*(CM110+CK110*Vfwd22))/(Vout2+Vfwd22), 1-DY110)</f>
        <v>1.3206537766825989E-3</v>
      </c>
      <c r="CI110" s="170">
        <v>0.1</v>
      </c>
      <c r="CJ110" s="217">
        <v>1.0000000000000001E-9</v>
      </c>
      <c r="CK110" s="217">
        <f t="shared" ref="CK110:CK173" si="372">IF(PLOT_TYPE=1, CI110/100*Iout2, min_I*EXP(CU110*rr/100))</f>
        <v>2.5000000000000001E-4</v>
      </c>
      <c r="CL110" s="217">
        <f t="shared" ref="CL110:CL173" si="373">CJ110*Vout</f>
        <v>1.6399999999999998E-8</v>
      </c>
      <c r="CM110" s="217">
        <f t="shared" ref="CM110:CM173" si="374">Vout2*CK110</f>
        <v>2E-3</v>
      </c>
      <c r="CN110" s="541">
        <f t="shared" ref="CN110:CN173" si="375">VIN_min</f>
        <v>10</v>
      </c>
      <c r="CO110" s="443">
        <f t="shared" ref="CO110:CO141" si="376">(CW110+Vfwd2)*Nps</f>
        <v>17.099999999999998</v>
      </c>
      <c r="CP110" s="443">
        <f t="shared" ref="CP110:CP141" si="377">(Vout+Vfwd2)*Nps+CN110</f>
        <v>27.099999999999998</v>
      </c>
      <c r="CQ110" s="443"/>
      <c r="CR110" s="217">
        <f t="shared" ref="CR110:CR173" si="378">(Vout+Vfwd1)*Nps/((Vout+Vfwd1)*Nps+CN110)</f>
        <v>0.62686567164179097</v>
      </c>
      <c r="CS110" s="172">
        <f t="shared" ref="CS110:CS173" si="379">CR110*CN110*Isw_max*0.5*Efficiency*Pout/(Pout+Pout2)</f>
        <v>18.624269954574949</v>
      </c>
      <c r="CT110" s="172">
        <f t="shared" ref="CT110:CT173" si="380">CR110*CN110*Isw_max*0.5*Efficiency*(Pout2/Pout_total)</f>
        <v>2.5482344375682562</v>
      </c>
      <c r="CU110" s="217">
        <f t="shared" ref="CU110:CU173" si="381">CS110/Vout</f>
        <v>1.135626216742375</v>
      </c>
      <c r="CV110" s="217">
        <f t="shared" ref="CV110:CV173" si="382">CS110/Vout2</f>
        <v>2.3280337443218686</v>
      </c>
      <c r="CW110" s="217">
        <f t="shared" ref="CW110:CW173" si="383">MIN(Vout,CS110/CJ110)</f>
        <v>16.399999999999999</v>
      </c>
      <c r="CX110" s="217">
        <f t="shared" ref="CX110:CX173" si="384">MIN(2*(Vout*CJ110+Vout2*CK110)/(Efficiency*CN110*CR110), Isw_max)</f>
        <v>6.3810047047619051E-4</v>
      </c>
      <c r="CY110" s="217">
        <f t="shared" ref="CY110:CY173" si="385">L*CX110/CN110*1000000</f>
        <v>7.6572056457142868E-4</v>
      </c>
      <c r="CZ110" s="217">
        <f t="shared" ref="CZ110:CZ173" si="386">L*CX110/CO110*1000000</f>
        <v>4.4778980384294081E-4</v>
      </c>
      <c r="DA110" s="197">
        <f t="shared" ref="DA110:DA173" si="387">IF(1/((350000*L)*(1/CN110+1/CO110))&gt;Isw_min, 350, 0.001/((Isw_min*L)*(1/CN110+1/CO110)))</f>
        <v>350</v>
      </c>
      <c r="DB110" s="443">
        <f t="shared" ref="DB110:DB173" si="388">MIN(1/(CY110+CZ110)*1000, 350)</f>
        <v>350</v>
      </c>
      <c r="DD110" s="217">
        <f t="shared" ref="DD110:DD173" si="389">1/((DA110*1000*L)*(1/CN110+1/CO110))</f>
        <v>1.5023721665788083</v>
      </c>
      <c r="DE110" s="173">
        <f t="shared" ref="DE110:DE173" si="390">L*DD110/CO110*1000000</f>
        <v>1.0542962572482866</v>
      </c>
      <c r="DF110" s="173">
        <f t="shared" ref="DF110:DF173" si="391">0.5*DE110*DD110*Nps*DA110/1000*(Pout/(Pout+Pout2))</f>
        <v>0.24706104135140031</v>
      </c>
      <c r="DG110" s="173"/>
      <c r="DH110" s="173">
        <f t="shared" ref="DH110:DH173" si="392">L*Isw_min/CO110*1000000</f>
        <v>0.93567251461988332</v>
      </c>
      <c r="DI110" s="545">
        <f t="shared" ref="DI110:DI173" si="393">MAX(10, CJ110/(0.5*DH110/1000000*Isw_min*Nps)/1000*Pout_total/Pout)</f>
        <v>10</v>
      </c>
      <c r="DJ110" s="528">
        <f t="shared" ref="DJ110:DJ173" si="394">0.5*DH110/1000000*Isw_min*Nps*DA110*1000*(Pout/Pout_total)</f>
        <v>0.21832358674463945</v>
      </c>
      <c r="DL110" s="173">
        <f t="shared" ref="DL110:DL173" si="395">SQRT((CL110+CM110)/(0.5*L*Fsw_DCM))</f>
        <v>3.0860796520905967E-2</v>
      </c>
      <c r="DM110" s="173">
        <f t="shared" ref="DM110:DM173" si="396">MAX(IF(CJ110&gt;DF110,CX110,DL110),Isw_min)</f>
        <v>1.3333333333333335</v>
      </c>
      <c r="DN110" s="173">
        <f t="shared" ref="DN110:DN173" si="397">IF(CJ110&gt;DJ110, (DM110-Isw_min)/1.08*0.8+1.2, DI110*0.2/350+1)</f>
        <v>1.0057142857142858</v>
      </c>
      <c r="DP110" s="545">
        <f t="shared" ref="DP110:DP173" si="398">CJ110*1000</f>
        <v>1.0000000000000002E-6</v>
      </c>
      <c r="DQ110" s="460">
        <f t="shared" ref="DQ110:DQ173" si="399">IF(CJ110&gt;DJ110, DB110, DI110)</f>
        <v>10</v>
      </c>
      <c r="DS110" s="460">
        <f t="shared" ref="DS110:DS173" si="400">IF(CL110&gt;CS110, "",DP110)</f>
        <v>1.0000000000000002E-6</v>
      </c>
      <c r="DT110" s="460">
        <f t="shared" ref="DT110:DT173" si="401">IF(CL110&gt;CS110, "",DQ110)</f>
        <v>10</v>
      </c>
      <c r="DV110" s="5">
        <f t="shared" ref="DV110:DV173" si="402">1/DQ110*1000</f>
        <v>100</v>
      </c>
      <c r="DW110" s="5">
        <f t="shared" ref="DW110:DW173" si="403">L*DM110/CN110*1000000</f>
        <v>1.6000000000000003</v>
      </c>
      <c r="DX110" s="5">
        <f t="shared" ref="DX110:DX173" si="404">DV110-DW110</f>
        <v>98.4</v>
      </c>
      <c r="DY110" s="173">
        <f t="shared" ref="DY110:DY173" si="405">DW110/DV110</f>
        <v>1.6000000000000004E-2</v>
      </c>
      <c r="EA110" s="5">
        <f t="shared" ref="EA110:EA173" si="406">CJ110*DW110/Vout_ripple*1000</f>
        <v>9.7560975609756133E-9</v>
      </c>
      <c r="EB110" s="5">
        <f t="shared" ref="EB110:EB173" si="407">CK110*DW110/Vout_ripple2*1000</f>
        <v>5.000000000000001E-3</v>
      </c>
      <c r="EC110" s="5">
        <f t="shared" ref="EC110:EC173" si="408">CL110/Efficiency/CN110*DX110/Vinripple1</f>
        <v>1.3447999999999997E-7</v>
      </c>
      <c r="ED110" s="5"/>
      <c r="EE110" s="173">
        <f t="shared" ref="EE110:EE173" si="409">DM110*SQRT(DY110/3)</f>
        <v>9.7372899112029551E-2</v>
      </c>
      <c r="EF110" s="173">
        <f t="shared" ref="EF110:EF173" si="410">DM110*Npri_sec1*SQRT((1-DY110)/3)*(Pout/Pout_total)</f>
        <v>0.76361712337473897</v>
      </c>
      <c r="EG110" s="173">
        <f t="shared" ref="EG110:EG173" si="411">DM110*Npri_sec2*SQRT((1-DY110)/3)*(Pout2/Pout_total)</f>
        <v>0.18734365580642803</v>
      </c>
      <c r="EH110" s="173"/>
      <c r="EI110" s="528">
        <f t="shared" ref="EI110:EI173" si="412">Rdson*EE110^2</f>
        <v>1.8962962962962971E-4</v>
      </c>
      <c r="EJ110" s="528">
        <f t="shared" ref="EJ110:EJ173" si="413">0.5*CP110*DM110*DQ110*1000*Trise</f>
        <v>7.2266666666666668E-3</v>
      </c>
      <c r="EK110" s="528">
        <f t="shared" ref="EK110:EK173" si="414">Qg*Vdd*DQ110*1000</f>
        <v>1.2499999999999998E-3</v>
      </c>
      <c r="EL110" s="528">
        <f t="shared" ref="EL110:EL173" si="415">0.5*(Coss+Csw)*CP110^2*DQ110*1000</f>
        <v>7.344099999999999E-4</v>
      </c>
      <c r="EM110">
        <f t="shared" ref="EM110:EM173" si="416">CN110*IQ</f>
        <v>4.4999999999999997E-3</v>
      </c>
      <c r="EN110" s="460">
        <f t="shared" ref="EN110:EN173" si="417">(EK110+EM110)*1000</f>
        <v>5.75</v>
      </c>
      <c r="EP110" s="460">
        <f>SUM(EI110:EM110)*1000</f>
        <v>13.900706296296296</v>
      </c>
      <c r="EQ110" s="173">
        <f t="shared" ref="EQ110:EQ173" si="418">Vfwd2*CJ110</f>
        <v>6.9999999999999996E-10</v>
      </c>
      <c r="ER110" s="173">
        <f t="shared" ref="ER110:ER141" si="419">Vfwd22*CK110*(1+Diode_TC/1000*(Ta-25))</f>
        <v>1.1093749999999999E-4</v>
      </c>
      <c r="ES110" s="528"/>
      <c r="EU110" s="460">
        <f t="shared" ref="EU110:EU169" si="420">SUM(EQ110:ET110)*1000</f>
        <v>0.11093819999999999</v>
      </c>
      <c r="EV110" s="528">
        <f t="shared" ref="EV110:EV173" si="421">Rdcr_pri*EE110^2</f>
        <v>2.8444444444444453E-4</v>
      </c>
      <c r="EW110" s="528">
        <f t="shared" ref="EW110:EW173" si="422">Rdcr_sec*EF110^2</f>
        <v>1.749333333333334E-2</v>
      </c>
      <c r="EX110" s="528">
        <f t="shared" ref="EX110:EX173" si="423">Rdcr_sec2*EG110^2</f>
        <v>1.7548822685458688E-4</v>
      </c>
      <c r="EY110" s="528">
        <f t="shared" ref="EY110:EY173" si="424">DM110^2.5*DQ110^2.5*k_core</f>
        <v>3.2457633037343212E-5</v>
      </c>
      <c r="EZ110" s="528"/>
      <c r="FA110" s="625">
        <f t="shared" ref="FA110:FA173" si="425">0.5*Lleak*0.000000001*DM110^2*DQ110*1000</f>
        <v>8.8888888888888907E-5</v>
      </c>
      <c r="FB110" s="460">
        <f t="shared" ref="FB110:FB169" si="426">SUM(EV110:FA110)*1000</f>
        <v>18.074612526558607</v>
      </c>
      <c r="FC110" s="173">
        <f t="shared" ref="FC110:FC173" si="427">SUM(EI110:EM110,EQ110:ET110,EV110:FA110)</f>
        <v>3.2086257022854899E-2</v>
      </c>
      <c r="FD110" s="5">
        <f t="shared" ref="FD110:FD173" si="428">MIN(CL110+CM110,CS110+CT110)</f>
        <v>2.0000164E-3</v>
      </c>
      <c r="FE110" s="173">
        <f t="shared" ref="FE110:FE173" si="429">FD110/(FD110+FC110)</f>
        <v>5.8675126353325148E-2</v>
      </c>
      <c r="FF110" s="5">
        <f t="shared" ref="FF110:FF173" si="430">FE110*100</f>
        <v>5.8675126353325151</v>
      </c>
      <c r="FG110">
        <f t="shared" ref="FG110:FG173" si="431">CJ110/Iout*100</f>
        <v>1.0000000000000001E-7</v>
      </c>
      <c r="FI110" s="562">
        <f t="shared" ref="FI110:FI173" si="432">IF(ABS(CJ110-Ioutmax_Vinmin)&lt;Iout/200, DQ110, -50)</f>
        <v>-50</v>
      </c>
      <c r="FJ110">
        <f t="shared" ref="FJ110:FJ173" si="433">IF(ABS(CJ110-Ioutmax_Vinmin)&lt;Iout/200, (CS110+CT110)*FE110, -50)</f>
        <v>-50</v>
      </c>
    </row>
    <row r="111" spans="5:169">
      <c r="E111" s="170">
        <v>1</v>
      </c>
      <c r="F111" s="217">
        <f t="shared" ref="F111:F142" si="434">IF(PLOT_TYPE=1, E111/100*Iout_max, min_I*EXP(O111*rr/100))</f>
        <v>0.01</v>
      </c>
      <c r="G111" s="217">
        <f t="shared" si="313"/>
        <v>2.5000000000000001E-3</v>
      </c>
      <c r="H111" s="217">
        <f t="shared" si="314"/>
        <v>0.16399999999999998</v>
      </c>
      <c r="I111" s="217">
        <f t="shared" si="315"/>
        <v>0.02</v>
      </c>
      <c r="J111" s="541">
        <f t="shared" si="316"/>
        <v>9.955209755049875</v>
      </c>
      <c r="K111" s="443">
        <f t="shared" si="317"/>
        <v>17.119823785111333</v>
      </c>
      <c r="L111" s="172">
        <f t="shared" si="318"/>
        <v>27.075033540161208</v>
      </c>
      <c r="M111" s="443"/>
      <c r="N111" s="217">
        <f t="shared" si="319"/>
        <v>0.63231034449937007</v>
      </c>
      <c r="O111" s="172">
        <f t="shared" si="320"/>
        <v>18.701888876879863</v>
      </c>
      <c r="P111" s="172">
        <f t="shared" si="321"/>
        <v>2.5588545161703564</v>
      </c>
      <c r="Q111" s="217">
        <f t="shared" si="322"/>
        <v>1.1403590778585284</v>
      </c>
      <c r="R111" s="217">
        <f t="shared" si="323"/>
        <v>2.3377361096099829</v>
      </c>
      <c r="S111" s="217">
        <f t="shared" si="324"/>
        <v>16.399999999999999</v>
      </c>
      <c r="T111" s="217">
        <f t="shared" si="325"/>
        <v>5.8461118047009791E-2</v>
      </c>
      <c r="U111" s="217">
        <f t="shared" si="326"/>
        <v>7.046897391672316E-2</v>
      </c>
      <c r="V111" s="217">
        <f t="shared" si="327"/>
        <v>4.0977840973703425E-2</v>
      </c>
      <c r="W111" s="197">
        <f t="shared" si="328"/>
        <v>350</v>
      </c>
      <c r="X111" s="443">
        <f t="shared" ref="X111:X174" si="435">MIN(1/(U111+V111+0.2)*1000, 350)</f>
        <v>350</v>
      </c>
      <c r="Z111" s="217">
        <f t="shared" si="329"/>
        <v>1.498757645185494</v>
      </c>
      <c r="AA111" s="173">
        <f t="shared" si="330"/>
        <v>1.0505418728589424</v>
      </c>
      <c r="AB111" s="173">
        <f t="shared" si="331"/>
        <v>0.24558896708396485</v>
      </c>
      <c r="AC111" s="173"/>
      <c r="AD111" s="173">
        <f t="shared" si="332"/>
        <v>0.93458905890811728</v>
      </c>
      <c r="AE111" s="545">
        <f t="shared" si="333"/>
        <v>16.04983479854187</v>
      </c>
      <c r="AF111" s="528">
        <f t="shared" si="334"/>
        <v>0.21807078041189407</v>
      </c>
      <c r="AH111" s="173">
        <f t="shared" si="335"/>
        <v>0.29600514796038191</v>
      </c>
      <c r="AI111" s="173">
        <f t="shared" si="336"/>
        <v>1.3333333333333335</v>
      </c>
      <c r="AJ111" s="173">
        <f t="shared" si="337"/>
        <v>1.0091713341705955</v>
      </c>
      <c r="AL111" s="545">
        <f t="shared" si="338"/>
        <v>10</v>
      </c>
      <c r="AM111" s="460">
        <f t="shared" si="339"/>
        <v>16.04983479854187</v>
      </c>
      <c r="AO111" s="460">
        <f t="shared" si="340"/>
        <v>10</v>
      </c>
      <c r="AP111" s="460">
        <f t="shared" si="341"/>
        <v>16.04983479854187</v>
      </c>
      <c r="AR111" s="5">
        <f t="shared" si="275"/>
        <v>62.305937260541157</v>
      </c>
      <c r="AS111" s="5">
        <f>L*AI111/J111*1000000</f>
        <v>1.6071986822662223</v>
      </c>
      <c r="AT111" s="5">
        <f>AR111-AS111</f>
        <v>60.698738578274934</v>
      </c>
      <c r="AU111" s="173">
        <f>AS111/AR111</f>
        <v>2.5795273338807052E-2</v>
      </c>
      <c r="AW111" s="5">
        <f t="shared" si="342"/>
        <v>9.7999919650379436E-2</v>
      </c>
      <c r="AX111" s="5">
        <f t="shared" si="343"/>
        <v>5.0224958820819447E-2</v>
      </c>
      <c r="AY111" s="5">
        <f t="shared" si="344"/>
        <v>0.83328171645567484</v>
      </c>
      <c r="AZ111" s="5"/>
      <c r="BA111" s="173">
        <f t="shared" si="345"/>
        <v>0.12363691966592445</v>
      </c>
      <c r="BB111" s="173">
        <f t="shared" si="346"/>
        <v>0.75980688644425587</v>
      </c>
      <c r="BC111" s="173">
        <f t="shared" si="347"/>
        <v>0.18640886310181887</v>
      </c>
      <c r="BD111" s="173"/>
      <c r="BE111" s="528">
        <f t="shared" si="348"/>
        <v>3.0572175808956514E-4</v>
      </c>
      <c r="BF111" s="528">
        <f t="shared" si="349"/>
        <v>1.0863745387114191E-2</v>
      </c>
      <c r="BG111" s="528">
        <f t="shared" si="350"/>
        <v>3.9944867988345742E-3</v>
      </c>
      <c r="BH111" s="528">
        <f t="shared" si="351"/>
        <v>1.1765450829115533E-3</v>
      </c>
      <c r="BI111">
        <f t="shared" si="352"/>
        <v>4.4798443897724437E-3</v>
      </c>
      <c r="BJ111" s="460">
        <f t="shared" ref="BJ111:BJ174" si="436">(BG111+BI111)*1000</f>
        <v>8.4743311886070174</v>
      </c>
      <c r="BK111">
        <f t="shared" si="353"/>
        <v>1.242945997242941E-2</v>
      </c>
      <c r="BL111" s="460">
        <f t="shared" ref="BL111:BL174" si="437">SUM(BE111:BI111)*1000</f>
        <v>20.820343416722327</v>
      </c>
      <c r="BM111" s="173">
        <f t="shared" si="354"/>
        <v>6.2124999999999993E-3</v>
      </c>
      <c r="BN111" s="173">
        <f t="shared" si="355"/>
        <v>1.5531249999999998E-3</v>
      </c>
      <c r="BO111" s="528"/>
      <c r="BQ111" s="460">
        <f t="shared" si="356"/>
        <v>7.7656249999999991</v>
      </c>
      <c r="BR111" s="528">
        <f t="shared" si="357"/>
        <v>4.5858263713434769E-4</v>
      </c>
      <c r="BS111" s="528">
        <f t="shared" si="358"/>
        <v>1.7319195140643426E-2</v>
      </c>
      <c r="BT111" s="528">
        <f t="shared" si="359"/>
        <v>1.7374132121456324E-4</v>
      </c>
      <c r="BU111" s="528">
        <f t="shared" si="360"/>
        <v>1.0592372917838019E-4</v>
      </c>
      <c r="BV111" s="528"/>
      <c r="BW111" s="625">
        <f t="shared" si="361"/>
        <v>1.4266519820926109E-4</v>
      </c>
      <c r="BX111" s="460">
        <f t="shared" si="362"/>
        <v>18.200108026379983</v>
      </c>
      <c r="BY111" s="173">
        <f t="shared" si="363"/>
        <v>4.6786076443102301E-2</v>
      </c>
      <c r="BZ111" s="5">
        <f t="shared" si="364"/>
        <v>0.18399999999999997</v>
      </c>
      <c r="CA111" s="173">
        <f t="shared" si="365"/>
        <v>0.79727513390680271</v>
      </c>
      <c r="CB111" s="5">
        <f t="shared" si="366"/>
        <v>79.727513390680272</v>
      </c>
      <c r="CC111">
        <f t="shared" si="367"/>
        <v>1</v>
      </c>
      <c r="CE111" s="562">
        <f t="shared" si="368"/>
        <v>-50</v>
      </c>
      <c r="CF111">
        <f t="shared" si="369"/>
        <v>-50</v>
      </c>
      <c r="CG111" s="173">
        <f t="shared" si="370"/>
        <v>1.5133335955527356E-2</v>
      </c>
      <c r="CH111" s="173">
        <f t="shared" si="371"/>
        <v>5.2877713940552946E-3</v>
      </c>
      <c r="CI111" s="170">
        <v>1</v>
      </c>
      <c r="CJ111" s="217">
        <f t="shared" ref="CJ111:CJ174" si="438">IF(PLOT_TYPE=1, CI111/100*Iout_max, min_I*EXP(CS111*rr/100))</f>
        <v>0.01</v>
      </c>
      <c r="CK111" s="217">
        <f t="shared" si="372"/>
        <v>2.5000000000000001E-3</v>
      </c>
      <c r="CL111" s="217">
        <f t="shared" si="373"/>
        <v>0.16399999999999998</v>
      </c>
      <c r="CM111" s="217">
        <f t="shared" si="374"/>
        <v>0.02</v>
      </c>
      <c r="CN111" s="541">
        <f t="shared" si="375"/>
        <v>10</v>
      </c>
      <c r="CO111" s="443">
        <f t="shared" si="376"/>
        <v>17.099999999999998</v>
      </c>
      <c r="CP111" s="443">
        <f t="shared" si="377"/>
        <v>27.099999999999998</v>
      </c>
      <c r="CQ111" s="443"/>
      <c r="CR111" s="217">
        <f t="shared" si="378"/>
        <v>0.62686567164179097</v>
      </c>
      <c r="CS111" s="172">
        <f t="shared" si="379"/>
        <v>18.624269954574949</v>
      </c>
      <c r="CT111" s="172">
        <f t="shared" si="380"/>
        <v>2.5482344375682562</v>
      </c>
      <c r="CU111" s="217">
        <f t="shared" si="381"/>
        <v>1.135626216742375</v>
      </c>
      <c r="CV111" s="217">
        <f t="shared" si="382"/>
        <v>2.3280337443218686</v>
      </c>
      <c r="CW111" s="217">
        <f t="shared" si="383"/>
        <v>16.399999999999999</v>
      </c>
      <c r="CX111" s="217">
        <f t="shared" si="384"/>
        <v>5.8704761904761898E-2</v>
      </c>
      <c r="CY111" s="217">
        <f t="shared" si="385"/>
        <v>7.0445714285714278E-2</v>
      </c>
      <c r="CZ111" s="217">
        <f t="shared" si="386"/>
        <v>4.1196324143692564E-2</v>
      </c>
      <c r="DA111" s="197">
        <f t="shared" si="387"/>
        <v>350</v>
      </c>
      <c r="DB111" s="443">
        <f t="shared" si="388"/>
        <v>350</v>
      </c>
      <c r="DD111" s="217">
        <f t="shared" si="389"/>
        <v>1.5023721665788083</v>
      </c>
      <c r="DE111" s="173">
        <f t="shared" si="390"/>
        <v>1.0542962572482866</v>
      </c>
      <c r="DF111" s="173">
        <f t="shared" si="391"/>
        <v>0.24706104135140031</v>
      </c>
      <c r="DG111" s="173"/>
      <c r="DH111" s="173">
        <f t="shared" si="392"/>
        <v>0.93567251461988332</v>
      </c>
      <c r="DI111" s="545">
        <f t="shared" si="393"/>
        <v>16.031249999999993</v>
      </c>
      <c r="DJ111" s="528">
        <f t="shared" si="394"/>
        <v>0.21832358674463945</v>
      </c>
      <c r="DL111" s="173">
        <f t="shared" si="395"/>
        <v>0.29600514796038191</v>
      </c>
      <c r="DM111" s="173">
        <f t="shared" si="396"/>
        <v>1.3333333333333335</v>
      </c>
      <c r="DN111" s="173">
        <f t="shared" si="397"/>
        <v>1.0091607142857142</v>
      </c>
      <c r="DP111" s="545">
        <f t="shared" si="398"/>
        <v>10</v>
      </c>
      <c r="DQ111" s="460">
        <f t="shared" si="399"/>
        <v>16.031249999999993</v>
      </c>
      <c r="DS111" s="460">
        <f t="shared" si="400"/>
        <v>10</v>
      </c>
      <c r="DT111" s="460">
        <f t="shared" si="401"/>
        <v>16.031249999999993</v>
      </c>
      <c r="DV111" s="5">
        <f t="shared" si="402"/>
        <v>62.378167641325561</v>
      </c>
      <c r="DW111" s="5">
        <f t="shared" si="403"/>
        <v>1.6000000000000003</v>
      </c>
      <c r="DX111" s="5">
        <f t="shared" si="404"/>
        <v>60.77816764132556</v>
      </c>
      <c r="DY111" s="173">
        <f t="shared" si="405"/>
        <v>2.5649999999999996E-2</v>
      </c>
      <c r="EA111" s="5">
        <f t="shared" si="406"/>
        <v>9.7560975609756143E-2</v>
      </c>
      <c r="EB111" s="5">
        <f t="shared" si="407"/>
        <v>5.000000000000001E-2</v>
      </c>
      <c r="EC111" s="5">
        <f t="shared" si="408"/>
        <v>0.83063495776478247</v>
      </c>
      <c r="ED111" s="5"/>
      <c r="EE111" s="173">
        <f t="shared" si="409"/>
        <v>0.12328828005937953</v>
      </c>
      <c r="EF111" s="173">
        <f t="shared" si="410"/>
        <v>0.75986353550660179</v>
      </c>
      <c r="EG111" s="173">
        <f t="shared" si="411"/>
        <v>0.18642276122184923</v>
      </c>
      <c r="EH111" s="173"/>
      <c r="EI111" s="528">
        <f t="shared" si="412"/>
        <v>3.0400000000000002E-4</v>
      </c>
      <c r="EJ111" s="528">
        <f t="shared" si="413"/>
        <v>1.1585249999999993E-2</v>
      </c>
      <c r="EK111" s="528">
        <f t="shared" si="414"/>
        <v>2.0039062499999992E-3</v>
      </c>
      <c r="EL111" s="528">
        <f t="shared" si="415"/>
        <v>1.1773510312499992E-3</v>
      </c>
      <c r="EM111">
        <f t="shared" si="416"/>
        <v>4.4999999999999997E-3</v>
      </c>
      <c r="EN111" s="460">
        <f t="shared" si="417"/>
        <v>6.5039062499999982</v>
      </c>
      <c r="EP111" s="460">
        <f t="shared" ref="EP111:EP174" si="439">SUM(EI111:EM111)*1000</f>
        <v>19.570507281249991</v>
      </c>
      <c r="EQ111" s="173">
        <f t="shared" si="418"/>
        <v>6.9999999999999993E-3</v>
      </c>
      <c r="ER111" s="173">
        <f t="shared" si="419"/>
        <v>1.1093749999999999E-3</v>
      </c>
      <c r="ES111" s="528"/>
      <c r="EU111" s="460">
        <f t="shared" si="420"/>
        <v>8.1093749999999982</v>
      </c>
      <c r="EV111" s="528">
        <f t="shared" si="421"/>
        <v>4.5599999999999997E-4</v>
      </c>
      <c r="EW111" s="528">
        <f t="shared" si="422"/>
        <v>1.732177777777778E-2</v>
      </c>
      <c r="EX111" s="528">
        <f t="shared" si="423"/>
        <v>1.7376722950789307E-4</v>
      </c>
      <c r="EY111" s="528">
        <f t="shared" si="424"/>
        <v>1.0561736124657163E-4</v>
      </c>
      <c r="EZ111" s="528"/>
      <c r="FA111" s="625">
        <f t="shared" si="425"/>
        <v>1.4249999999999997E-4</v>
      </c>
      <c r="FB111" s="460">
        <f t="shared" si="426"/>
        <v>18.199662368532248</v>
      </c>
      <c r="FC111" s="173">
        <f t="shared" si="427"/>
        <v>4.5879544649782229E-2</v>
      </c>
      <c r="FD111" s="5">
        <f t="shared" si="428"/>
        <v>0.18399999999999997</v>
      </c>
      <c r="FE111" s="173">
        <f t="shared" si="429"/>
        <v>0.80041919467137024</v>
      </c>
      <c r="FF111" s="5">
        <f t="shared" si="430"/>
        <v>80.041919467137021</v>
      </c>
      <c r="FG111">
        <f t="shared" si="431"/>
        <v>1</v>
      </c>
      <c r="FI111" s="562">
        <f t="shared" si="432"/>
        <v>-50</v>
      </c>
      <c r="FJ111">
        <f t="shared" si="433"/>
        <v>-50</v>
      </c>
    </row>
    <row r="112" spans="5:169">
      <c r="E112" s="170">
        <v>3</v>
      </c>
      <c r="F112" s="217">
        <f>IF(PLOT_TYPE=1, E112/100*Iout_max, min_I*EXP(O112*rr/100))</f>
        <v>0.03</v>
      </c>
      <c r="G112" s="217">
        <f>IF(PLOT_TYPE=1, E112/100*Iout2, min_I*EXP(Q112*rr/100))</f>
        <v>7.4999999999999997E-3</v>
      </c>
      <c r="H112" s="217">
        <f>F112*Vout</f>
        <v>0.49199999999999994</v>
      </c>
      <c r="I112" s="217">
        <f>Vout2*G112</f>
        <v>0.06</v>
      </c>
      <c r="J112" s="541">
        <f>VIN_min-(F112/CG112/Nps+G112/CH112/(Nps/Nsec1sec2))*(Rdcr_pri+RON/1000)</f>
        <v>9.955209755049875</v>
      </c>
      <c r="K112" s="443">
        <f t="shared" si="317"/>
        <v>17.119823785111333</v>
      </c>
      <c r="L112" s="172">
        <f t="shared" si="318"/>
        <v>27.075033540161208</v>
      </c>
      <c r="M112" s="443"/>
      <c r="N112" s="217">
        <f t="shared" si="319"/>
        <v>0.63231034449937007</v>
      </c>
      <c r="O112" s="172">
        <f>N112*J112*Isw_max*0.5*Efficiency*Pout/(Pout+Pout2)</f>
        <v>18.701888876879863</v>
      </c>
      <c r="P112" s="172">
        <f>N112*J112*Isw_max*0.5*Efficiency*(Pout2/Pout_total)</f>
        <v>2.5588545161703564</v>
      </c>
      <c r="Q112" s="217">
        <f>O112/Vout</f>
        <v>1.1403590778585284</v>
      </c>
      <c r="R112" s="217">
        <f>O112/Vout2</f>
        <v>2.3377361096099829</v>
      </c>
      <c r="S112" s="217">
        <f>MIN(Vout,O112/F112)</f>
        <v>16.399999999999999</v>
      </c>
      <c r="T112" s="217">
        <f>MIN(2*(Vout*F112+Vout2*G112)/(Efficiency*J112*N112), Isw_max)</f>
        <v>0.1753833541410294</v>
      </c>
      <c r="U112" s="217">
        <f>L*T112/J112*1000000</f>
        <v>0.21140692175016951</v>
      </c>
      <c r="V112" s="217">
        <f>L*T112/K112*1000000</f>
        <v>0.12293352292111029</v>
      </c>
      <c r="W112" s="197">
        <f>IF(1/((350000*L)*(1/J112+1/K112))&gt;Isw_min, 350, 0.001/((Isw_min*L)*(1/J112+1/K112)))</f>
        <v>350</v>
      </c>
      <c r="X112" s="443">
        <f t="shared" si="435"/>
        <v>350</v>
      </c>
      <c r="Z112" s="217">
        <f>1/((W112*1000*L)*(1/J112+1/K112))</f>
        <v>1.498757645185494</v>
      </c>
      <c r="AA112" s="173">
        <f>L*Z112/K112*1000000</f>
        <v>1.0505418728589424</v>
      </c>
      <c r="AB112" s="173">
        <f>0.5*AA112*Z112*Nps*W112/1000*(Pout/(Pout+Pout2))</f>
        <v>0.24558896708396485</v>
      </c>
      <c r="AC112" s="173"/>
      <c r="AD112" s="173">
        <f>L*Isw_min/K112*1000000</f>
        <v>0.93458905890811728</v>
      </c>
      <c r="AE112" s="545">
        <f>MAX(10, F112/(0.5*AD112/1000000*Isw_min*Nps)/1000*Pout_total/Pout)</f>
        <v>48.149504395625605</v>
      </c>
      <c r="AF112" s="528">
        <f>0.5*AD112/1000000*Isw_min*Nps*W112*1000*(Pout/Pout_total)</f>
        <v>0.21807078041189407</v>
      </c>
      <c r="AH112" s="173">
        <f>SQRT((H112+I112)/(0.5*L*Fsw_DCM))</f>
        <v>0.51269595556932457</v>
      </c>
      <c r="AI112" s="173">
        <f>MAX(IF(F112&gt;AB112,T112,AH112),Isw_min)</f>
        <v>1.3333333333333335</v>
      </c>
      <c r="AJ112" s="173">
        <f>IF(F112&gt;AF112, (AI112-Isw_min)/1.08*0.8+1.2, AE112*0.2/350+1)</f>
        <v>1.0275140025117862</v>
      </c>
      <c r="AL112" s="545">
        <f>F112*1000</f>
        <v>30</v>
      </c>
      <c r="AM112" s="460">
        <f>IF(F112&gt;AF112, X112, AE112)</f>
        <v>48.149504395625605</v>
      </c>
      <c r="AO112" s="460">
        <f>IF(H112&gt;O112, "",AL112)</f>
        <v>30</v>
      </c>
      <c r="AP112" s="460">
        <f>IF(H112&gt;O112, "",AM112)</f>
        <v>48.149504395625605</v>
      </c>
      <c r="AR112" s="5">
        <f>1/AM112*1000</f>
        <v>20.768645753513724</v>
      </c>
      <c r="AS112" s="5">
        <f>L*AI112/J112*1000000</f>
        <v>1.6071986822662223</v>
      </c>
      <c r="AT112" s="5">
        <f>AR112-AS112</f>
        <v>19.161447071247501</v>
      </c>
      <c r="AU112" s="173">
        <f>AS112/AR112</f>
        <v>7.738582001642115E-2</v>
      </c>
      <c r="AW112" s="5">
        <f>F112*AS112/Vout_ripple*1000</f>
        <v>0.29399975895113822</v>
      </c>
      <c r="AX112" s="5">
        <f>G112*AS112/Vout_ripple2*1000</f>
        <v>0.15067487646245833</v>
      </c>
      <c r="AY112" s="5">
        <f>H112/Efficiency/J112*AT112/Vinripple1</f>
        <v>0.78915396988258779</v>
      </c>
      <c r="AZ112" s="5"/>
      <c r="BA112" s="173">
        <f>AI112*SQRT(AU112/3)</f>
        <v>0.21414542655269286</v>
      </c>
      <c r="BB112" s="173">
        <f>AI112*Npri_sec1*SQRT((1-AU112)/3)*(Pout/Pout_total)</f>
        <v>0.73941485573334131</v>
      </c>
      <c r="BC112" s="173">
        <f>AI112*Npri_sec2*SQRT((1-AU112)/3)*(Pout2/Pout_total)</f>
        <v>0.18140594021578388</v>
      </c>
      <c r="BD112" s="173"/>
      <c r="BE112" s="528">
        <f>Rdson*BA112^2</f>
        <v>9.1716527426869549E-4</v>
      </c>
      <c r="BF112" s="528">
        <f t="shared" si="349"/>
        <v>3.2591236161342567E-2</v>
      </c>
      <c r="BG112" s="528">
        <f t="shared" si="350"/>
        <v>1.198346039650372E-2</v>
      </c>
      <c r="BH112" s="528">
        <f>0.5*(Coss+Csw)*L112^2*AM112*1000</f>
        <v>3.5296352487346602E-3</v>
      </c>
      <c r="BI112">
        <f>J112*IQ</f>
        <v>4.4798443897724437E-3</v>
      </c>
      <c r="BJ112" s="460">
        <f>(BG112+BI112)*1000</f>
        <v>16.463304786276165</v>
      </c>
      <c r="BK112">
        <f t="shared" si="353"/>
        <v>3.7293798315836853E-2</v>
      </c>
      <c r="BL112" s="460">
        <f>SUM(BE112:BI112)*1000</f>
        <v>53.501341470622094</v>
      </c>
      <c r="BM112" s="173">
        <f t="shared" si="354"/>
        <v>1.8637499999999998E-2</v>
      </c>
      <c r="BN112" s="173">
        <f t="shared" si="355"/>
        <v>4.6593749999999995E-3</v>
      </c>
      <c r="BO112" s="528"/>
      <c r="BQ112" s="460">
        <f>SUM(BM112:BP112)*1000</f>
        <v>23.296874999999996</v>
      </c>
      <c r="BR112" s="528">
        <f>Rdcr_pri*BA112^2</f>
        <v>1.3757479114030432E-3</v>
      </c>
      <c r="BS112" s="528">
        <f>Rdcr_sec*BB112^2</f>
        <v>1.6402029866374738E-2</v>
      </c>
      <c r="BT112" s="528">
        <f>Rdcr_sec2*BC112^2</f>
        <v>1.6454057572786278E-4</v>
      </c>
      <c r="BU112" s="528">
        <f>AI112^2.5*AM112^2.5*k_core</f>
        <v>1.6511875259770819E-3</v>
      </c>
      <c r="BV112" s="528"/>
      <c r="BW112" s="625">
        <f>0.5*Lleak*0.000000001*AI112^2*AM112*1000</f>
        <v>4.2799559462778318E-4</v>
      </c>
      <c r="BX112" s="460">
        <f>SUM(BR112:BW112)*1000</f>
        <v>20.021501474110508</v>
      </c>
      <c r="BY112" s="173">
        <f>SUM(BE112:BI112,BM112:BP112,BR112:BW112)</f>
        <v>9.6819717944732583E-2</v>
      </c>
      <c r="BZ112" s="5">
        <f>MIN(H112+I112,O112+P112)</f>
        <v>0.55199999999999994</v>
      </c>
      <c r="CA112" s="173">
        <f>BZ112/(BZ112+BY112)</f>
        <v>0.85077562338668045</v>
      </c>
      <c r="CB112" s="5">
        <f>CA112*100</f>
        <v>85.077562338668045</v>
      </c>
      <c r="CC112">
        <f>F112/Iout*100</f>
        <v>3</v>
      </c>
      <c r="CE112" s="562">
        <f>IF(ABS(F112-Ioutmax_Vinmin)&lt;Iout/200, AM112, -50)</f>
        <v>-50</v>
      </c>
      <c r="CF112">
        <f>IF(ABS(F112-Ioutmax_Vinmin)&lt;Iout/200, (O112+P112)*CA112, -50)</f>
        <v>-50</v>
      </c>
      <c r="CG112" s="173">
        <f>MIN(SQRT(2*DT112*1000*Ls1_*(CL112+CJ112*Vfwd1))/(CW112+Vfwd1), 1-DY112)</f>
        <v>4.5400007866582069E-2</v>
      </c>
      <c r="CH112" s="173">
        <f t="shared" si="371"/>
        <v>1.5863314182165883E-2</v>
      </c>
      <c r="CI112" s="170">
        <v>3</v>
      </c>
      <c r="CJ112" s="217">
        <f>IF(PLOT_TYPE=1, CI112/100*Iout_max, min_I*EXP(CS112*rr/100))</f>
        <v>0.03</v>
      </c>
      <c r="CK112" s="217">
        <f>IF(PLOT_TYPE=1, CI112/100*Iout2, min_I*EXP(CU112*rr/100))</f>
        <v>7.4999999999999997E-3</v>
      </c>
      <c r="CL112" s="217">
        <f>CJ112*Vout</f>
        <v>0.49199999999999994</v>
      </c>
      <c r="CM112" s="217">
        <f>Vout2*CK112</f>
        <v>0.06</v>
      </c>
      <c r="CN112" s="541">
        <f t="shared" si="375"/>
        <v>10</v>
      </c>
      <c r="CO112" s="443">
        <f t="shared" si="376"/>
        <v>17.099999999999998</v>
      </c>
      <c r="CP112" s="443">
        <f t="shared" si="377"/>
        <v>27.099999999999998</v>
      </c>
      <c r="CQ112" s="443"/>
      <c r="CR112" s="217">
        <f>(Vout+Vfwd1)*Nps/((Vout+Vfwd1)*Nps+CN112)</f>
        <v>0.62686567164179097</v>
      </c>
      <c r="CS112" s="172">
        <f>CR112*CN112*Isw_max*0.5*Efficiency*Pout/(Pout+Pout2)</f>
        <v>18.624269954574949</v>
      </c>
      <c r="CT112" s="172">
        <f>CR112*CN112*Isw_max*0.5*Efficiency*(Pout2/Pout_total)</f>
        <v>2.5482344375682562</v>
      </c>
      <c r="CU112" s="217">
        <f>CS112/Vout</f>
        <v>1.135626216742375</v>
      </c>
      <c r="CV112" s="217">
        <f>CS112/Vout2</f>
        <v>2.3280337443218686</v>
      </c>
      <c r="CW112" s="217">
        <f>MIN(Vout,CS112/CJ112)</f>
        <v>16.399999999999999</v>
      </c>
      <c r="CX112" s="217">
        <f>MIN(2*(Vout*CJ112+Vout2*CK112)/(Efficiency*CN112*CR112), Isw_max)</f>
        <v>0.1761142857142857</v>
      </c>
      <c r="CY112" s="217">
        <f>L*CX112/CN112*1000000</f>
        <v>0.21133714285714283</v>
      </c>
      <c r="CZ112" s="217">
        <f>L*CX112/CO112*1000000</f>
        <v>0.12358897243107771</v>
      </c>
      <c r="DA112" s="197">
        <f>IF(1/((350000*L)*(1/CN112+1/CO112))&gt;Isw_min, 350, 0.001/((Isw_min*L)*(1/CN112+1/CO112)))</f>
        <v>350</v>
      </c>
      <c r="DB112" s="443">
        <f>MIN(1/(CY112+CZ112)*1000, 350)</f>
        <v>350</v>
      </c>
      <c r="DD112" s="217">
        <f>1/((DA112*1000*L)*(1/CN112+1/CO112))</f>
        <v>1.5023721665788083</v>
      </c>
      <c r="DE112" s="173">
        <f>L*DD112/CO112*1000000</f>
        <v>1.0542962572482866</v>
      </c>
      <c r="DF112" s="173">
        <f>0.5*DE112*DD112*Nps*DA112/1000*(Pout/(Pout+Pout2))</f>
        <v>0.24706104135140031</v>
      </c>
      <c r="DG112" s="173"/>
      <c r="DH112" s="173">
        <f>L*Isw_min/CO112*1000000</f>
        <v>0.93567251461988332</v>
      </c>
      <c r="DI112" s="545">
        <f>MAX(10, CJ112/(0.5*DH112/1000000*Isw_min*Nps)/1000*Pout_total/Pout)</f>
        <v>48.093749999999979</v>
      </c>
      <c r="DJ112" s="528">
        <f>0.5*DH112/1000000*Isw_min*Nps*DA112*1000*(Pout/Pout_total)</f>
        <v>0.21832358674463945</v>
      </c>
      <c r="DL112" s="173">
        <f>SQRT((CL112+CM112)/(0.5*L*Fsw_DCM))</f>
        <v>0.51269595556932457</v>
      </c>
      <c r="DM112" s="173">
        <f>MAX(IF(CJ112&gt;DF112,CX112,DL112),Isw_min)</f>
        <v>1.3333333333333335</v>
      </c>
      <c r="DN112" s="173">
        <f>IF(CJ112&gt;DJ112, (DM112-Isw_min)/1.08*0.8+1.2, DI112*0.2/350+1)</f>
        <v>1.0274821428571428</v>
      </c>
      <c r="DP112" s="545">
        <f>CJ112*1000</f>
        <v>30</v>
      </c>
      <c r="DQ112" s="460">
        <f>IF(CJ112&gt;DJ112, DB112, DI112)</f>
        <v>48.093749999999979</v>
      </c>
      <c r="DS112" s="460">
        <f>IF(CL112&gt;CS112, "",DP112)</f>
        <v>30</v>
      </c>
      <c r="DT112" s="460">
        <f>IF(CL112&gt;CS112, "",DQ112)</f>
        <v>48.093749999999979</v>
      </c>
      <c r="DV112" s="5">
        <f>1/DQ112*1000</f>
        <v>20.792722547108522</v>
      </c>
      <c r="DW112" s="5">
        <f>L*DM112/CN112*1000000</f>
        <v>1.6000000000000003</v>
      </c>
      <c r="DX112" s="5">
        <f>DV112-DW112</f>
        <v>19.19272254710852</v>
      </c>
      <c r="DY112" s="173">
        <f>DW112/DV112</f>
        <v>7.6949999999999977E-2</v>
      </c>
      <c r="EA112" s="5">
        <f>CJ112*DW112/Vout_ripple*1000</f>
        <v>0.29268292682926839</v>
      </c>
      <c r="EB112" s="5">
        <f>CK112*DW112/Vout_ripple2*1000</f>
        <v>0.15000000000000002</v>
      </c>
      <c r="EC112" s="5">
        <f>CL112/Efficiency/CN112*DX112/Vinripple1</f>
        <v>0.78690162443144918</v>
      </c>
      <c r="ED112" s="5"/>
      <c r="EE112" s="173">
        <f>DM112*SQRT(DY112/3)</f>
        <v>0.21354156504062621</v>
      </c>
      <c r="EF112" s="173">
        <f>DM112*Npri_sec1*SQRT((1-DY112)/3)*(Pout/Pout_total)</f>
        <v>0.73958947571784228</v>
      </c>
      <c r="EG112" s="173">
        <f>DM112*Npri_sec2*SQRT((1-DY112)/3)*(Pout2/Pout_total)</f>
        <v>0.18144878098673031</v>
      </c>
      <c r="EH112" s="173"/>
      <c r="EI112" s="528">
        <f>Rdson*EE112^2</f>
        <v>9.1199999999999994E-4</v>
      </c>
      <c r="EJ112" s="528">
        <f>0.5*CP112*DM112*DQ112*1000*Trise</f>
        <v>3.4755749999999988E-2</v>
      </c>
      <c r="EK112" s="528">
        <f>Qg*Vdd*DQ112*1000</f>
        <v>6.0117187499999971E-3</v>
      </c>
      <c r="EL112" s="528">
        <f>0.5*(Coss+Csw)*CP112^2*DQ112*1000</f>
        <v>3.5320530937499976E-3</v>
      </c>
      <c r="EM112">
        <f>CN112*IQ</f>
        <v>4.4999999999999997E-3</v>
      </c>
      <c r="EN112" s="460">
        <f>(EK112+EM112)*1000</f>
        <v>10.511718749999996</v>
      </c>
      <c r="EP112" s="460">
        <f>SUM(EI112:EM112)*1000</f>
        <v>49.711521843749985</v>
      </c>
      <c r="EQ112" s="173">
        <f>Vfwd2*CJ112</f>
        <v>2.0999999999999998E-2</v>
      </c>
      <c r="ER112" s="173">
        <f t="shared" si="419"/>
        <v>3.3281249999999999E-3</v>
      </c>
      <c r="ES112" s="528"/>
      <c r="EU112" s="460">
        <f>SUM(EQ112:ET112)*1000</f>
        <v>24.328125</v>
      </c>
      <c r="EV112" s="528">
        <f>Rdcr_pri*EE112^2</f>
        <v>1.3679999999999999E-3</v>
      </c>
      <c r="EW112" s="528">
        <f>Rdcr_sec*EF112^2</f>
        <v>1.6409777777777784E-2</v>
      </c>
      <c r="EX112" s="528">
        <f>Rdcr_sec2*EG112^2</f>
        <v>1.6461830060785212E-4</v>
      </c>
      <c r="EY112" s="528">
        <f>DM112^2.5*DQ112^2.5*k_core</f>
        <v>1.6464117225637662E-3</v>
      </c>
      <c r="EZ112" s="528"/>
      <c r="FA112" s="625">
        <f>0.5*Lleak*0.000000001*DM112^2*DQ112*1000</f>
        <v>4.2749999999999987E-4</v>
      </c>
      <c r="FB112" s="460">
        <f>SUM(EV112:FA112)*1000</f>
        <v>20.016307800949406</v>
      </c>
      <c r="FC112" s="173">
        <f>SUM(EI112:EM112,EQ112:ET112,EV112:FA112)</f>
        <v>9.4055954644699374E-2</v>
      </c>
      <c r="FD112" s="5">
        <f>MIN(CL112+CM112,CS112+CT112)</f>
        <v>0.55199999999999994</v>
      </c>
      <c r="FE112" s="173">
        <f>FD112/(FD112+FC112)</f>
        <v>0.85441515712609473</v>
      </c>
      <c r="FF112" s="5">
        <f>FE112*100</f>
        <v>85.441515712609473</v>
      </c>
      <c r="FG112">
        <f>CJ112/Iout*100</f>
        <v>3</v>
      </c>
      <c r="FI112" s="562">
        <f>IF(ABS(CJ112-Ioutmax_Vinmin)&lt;Iout/200, DQ112, -50)</f>
        <v>-50</v>
      </c>
      <c r="FJ112">
        <f>IF(ABS(CJ112-Ioutmax_Vinmin)&lt;Iout/200, (CS112+CT112)*FE112, -50)</f>
        <v>-50</v>
      </c>
    </row>
    <row r="113" spans="5:166">
      <c r="E113" s="170">
        <v>3</v>
      </c>
      <c r="F113" s="217">
        <f t="shared" si="434"/>
        <v>0.03</v>
      </c>
      <c r="G113" s="217">
        <f t="shared" si="313"/>
        <v>7.4999999999999997E-3</v>
      </c>
      <c r="H113" s="217">
        <f t="shared" si="314"/>
        <v>0.49199999999999994</v>
      </c>
      <c r="I113" s="217">
        <f t="shared" si="315"/>
        <v>0.06</v>
      </c>
      <c r="J113" s="541">
        <f t="shared" si="316"/>
        <v>9.955209755049875</v>
      </c>
      <c r="K113" s="443">
        <f t="shared" si="317"/>
        <v>17.119823785111333</v>
      </c>
      <c r="L113" s="172">
        <f t="shared" si="318"/>
        <v>27.075033540161208</v>
      </c>
      <c r="M113" s="443"/>
      <c r="N113" s="217">
        <f t="shared" si="319"/>
        <v>0.63231034449937007</v>
      </c>
      <c r="O113" s="172">
        <f t="shared" si="320"/>
        <v>18.701888876879863</v>
      </c>
      <c r="P113" s="172">
        <f t="shared" si="321"/>
        <v>2.5588545161703564</v>
      </c>
      <c r="Q113" s="217">
        <f t="shared" si="322"/>
        <v>1.1403590778585284</v>
      </c>
      <c r="R113" s="217">
        <f t="shared" si="323"/>
        <v>2.3377361096099829</v>
      </c>
      <c r="S113" s="217">
        <f t="shared" si="324"/>
        <v>16.399999999999999</v>
      </c>
      <c r="T113" s="217">
        <f t="shared" si="325"/>
        <v>0.1753833541410294</v>
      </c>
      <c r="U113" s="217">
        <f t="shared" si="326"/>
        <v>0.21140692175016951</v>
      </c>
      <c r="V113" s="217">
        <f t="shared" si="327"/>
        <v>0.12293352292111029</v>
      </c>
      <c r="W113" s="197">
        <f t="shared" si="328"/>
        <v>350</v>
      </c>
      <c r="X113" s="443">
        <f t="shared" si="435"/>
        <v>350</v>
      </c>
      <c r="Z113" s="217">
        <f t="shared" si="329"/>
        <v>1.498757645185494</v>
      </c>
      <c r="AA113" s="173">
        <f t="shared" si="330"/>
        <v>1.0505418728589424</v>
      </c>
      <c r="AB113" s="173">
        <f t="shared" si="331"/>
        <v>0.24558896708396485</v>
      </c>
      <c r="AC113" s="173"/>
      <c r="AD113" s="173">
        <f t="shared" si="332"/>
        <v>0.93458905890811728</v>
      </c>
      <c r="AE113" s="545">
        <f t="shared" si="333"/>
        <v>48.149504395625605</v>
      </c>
      <c r="AF113" s="528">
        <f t="shared" si="334"/>
        <v>0.21807078041189407</v>
      </c>
      <c r="AH113" s="173">
        <f t="shared" si="335"/>
        <v>0.51269595556932457</v>
      </c>
      <c r="AI113" s="173">
        <f t="shared" si="336"/>
        <v>1.3333333333333335</v>
      </c>
      <c r="AJ113" s="173">
        <f t="shared" si="337"/>
        <v>1.0275140025117862</v>
      </c>
      <c r="AL113" s="545">
        <f t="shared" si="338"/>
        <v>30</v>
      </c>
      <c r="AM113" s="460">
        <f t="shared" si="339"/>
        <v>48.149504395625605</v>
      </c>
      <c r="AO113" s="460">
        <f t="shared" si="340"/>
        <v>30</v>
      </c>
      <c r="AP113" s="460">
        <f t="shared" si="341"/>
        <v>48.149504395625605</v>
      </c>
      <c r="AR113" s="5">
        <f t="shared" si="275"/>
        <v>20.768645753513724</v>
      </c>
      <c r="AS113" s="5">
        <f>L*AI113/J113*1000000</f>
        <v>1.6071986822662223</v>
      </c>
      <c r="AT113" s="5">
        <f>AR113-AS113</f>
        <v>19.161447071247501</v>
      </c>
      <c r="AU113" s="173">
        <f>AS113/AR113</f>
        <v>7.738582001642115E-2</v>
      </c>
      <c r="AW113" s="5">
        <f t="shared" si="342"/>
        <v>0.29399975895113822</v>
      </c>
      <c r="AX113" s="5">
        <f t="shared" si="343"/>
        <v>0.15067487646245833</v>
      </c>
      <c r="AY113" s="5">
        <f t="shared" si="344"/>
        <v>0.78915396988258779</v>
      </c>
      <c r="AZ113" s="5"/>
      <c r="BA113" s="173">
        <f t="shared" si="345"/>
        <v>0.21414542655269286</v>
      </c>
      <c r="BB113" s="173">
        <f t="shared" si="346"/>
        <v>0.73941485573334131</v>
      </c>
      <c r="BC113" s="173">
        <f t="shared" si="347"/>
        <v>0.18140594021578388</v>
      </c>
      <c r="BD113" s="173"/>
      <c r="BE113" s="528">
        <f t="shared" si="348"/>
        <v>9.1716527426869549E-4</v>
      </c>
      <c r="BF113" s="528">
        <f t="shared" si="349"/>
        <v>3.2591236161342567E-2</v>
      </c>
      <c r="BG113" s="528">
        <f t="shared" si="350"/>
        <v>1.198346039650372E-2</v>
      </c>
      <c r="BH113" s="528">
        <f t="shared" si="351"/>
        <v>3.5296352487346602E-3</v>
      </c>
      <c r="BI113">
        <f t="shared" si="352"/>
        <v>4.4798443897724437E-3</v>
      </c>
      <c r="BJ113" s="460">
        <f t="shared" si="436"/>
        <v>16.463304786276165</v>
      </c>
      <c r="BK113">
        <f t="shared" si="353"/>
        <v>3.7293798315836853E-2</v>
      </c>
      <c r="BL113" s="460">
        <f t="shared" si="437"/>
        <v>53.501341470622094</v>
      </c>
      <c r="BM113" s="173">
        <f t="shared" si="354"/>
        <v>1.8637499999999998E-2</v>
      </c>
      <c r="BN113" s="173">
        <f t="shared" si="355"/>
        <v>4.6593749999999995E-3</v>
      </c>
      <c r="BO113" s="528"/>
      <c r="BQ113" s="460">
        <f t="shared" si="356"/>
        <v>23.296874999999996</v>
      </c>
      <c r="BR113" s="528">
        <f t="shared" si="357"/>
        <v>1.3757479114030432E-3</v>
      </c>
      <c r="BS113" s="528">
        <f t="shared" si="358"/>
        <v>1.6402029866374738E-2</v>
      </c>
      <c r="BT113" s="528">
        <f t="shared" si="359"/>
        <v>1.6454057572786278E-4</v>
      </c>
      <c r="BU113" s="528">
        <f t="shared" si="360"/>
        <v>1.6511875259770819E-3</v>
      </c>
      <c r="BV113" s="528"/>
      <c r="BW113" s="625">
        <f t="shared" si="361"/>
        <v>4.2799559462778318E-4</v>
      </c>
      <c r="BX113" s="460">
        <f t="shared" si="362"/>
        <v>20.021501474110508</v>
      </c>
      <c r="BY113" s="173">
        <f t="shared" si="363"/>
        <v>9.6819717944732583E-2</v>
      </c>
      <c r="BZ113" s="5">
        <f t="shared" si="364"/>
        <v>0.55199999999999994</v>
      </c>
      <c r="CA113" s="173">
        <f t="shared" si="365"/>
        <v>0.85077562338668045</v>
      </c>
      <c r="CB113" s="5">
        <f t="shared" si="366"/>
        <v>85.077562338668045</v>
      </c>
      <c r="CC113">
        <f t="shared" si="367"/>
        <v>3</v>
      </c>
      <c r="CE113" s="562">
        <f t="shared" si="368"/>
        <v>-50</v>
      </c>
      <c r="CF113">
        <f t="shared" si="369"/>
        <v>-50</v>
      </c>
      <c r="CG113" s="173">
        <f t="shared" si="370"/>
        <v>4.5400007866582069E-2</v>
      </c>
      <c r="CH113" s="173">
        <f t="shared" si="371"/>
        <v>1.5863314182165883E-2</v>
      </c>
      <c r="CI113" s="170">
        <v>3</v>
      </c>
      <c r="CJ113" s="217">
        <f t="shared" si="438"/>
        <v>0.03</v>
      </c>
      <c r="CK113" s="217">
        <f t="shared" si="372"/>
        <v>7.4999999999999997E-3</v>
      </c>
      <c r="CL113" s="217">
        <f t="shared" si="373"/>
        <v>0.49199999999999994</v>
      </c>
      <c r="CM113" s="217">
        <f t="shared" si="374"/>
        <v>0.06</v>
      </c>
      <c r="CN113" s="541">
        <f t="shared" si="375"/>
        <v>10</v>
      </c>
      <c r="CO113" s="443">
        <f t="shared" si="376"/>
        <v>17.099999999999998</v>
      </c>
      <c r="CP113" s="443">
        <f t="shared" si="377"/>
        <v>27.099999999999998</v>
      </c>
      <c r="CQ113" s="443"/>
      <c r="CR113" s="217">
        <f t="shared" si="378"/>
        <v>0.62686567164179097</v>
      </c>
      <c r="CS113" s="172">
        <f t="shared" si="379"/>
        <v>18.624269954574949</v>
      </c>
      <c r="CT113" s="172">
        <f t="shared" si="380"/>
        <v>2.5482344375682562</v>
      </c>
      <c r="CU113" s="217">
        <f t="shared" si="381"/>
        <v>1.135626216742375</v>
      </c>
      <c r="CV113" s="217">
        <f t="shared" si="382"/>
        <v>2.3280337443218686</v>
      </c>
      <c r="CW113" s="217">
        <f t="shared" si="383"/>
        <v>16.399999999999999</v>
      </c>
      <c r="CX113" s="217">
        <f t="shared" si="384"/>
        <v>0.1761142857142857</v>
      </c>
      <c r="CY113" s="217">
        <f t="shared" si="385"/>
        <v>0.21133714285714283</v>
      </c>
      <c r="CZ113" s="217">
        <f t="shared" si="386"/>
        <v>0.12358897243107771</v>
      </c>
      <c r="DA113" s="197">
        <f t="shared" si="387"/>
        <v>350</v>
      </c>
      <c r="DB113" s="443">
        <f t="shared" si="388"/>
        <v>350</v>
      </c>
      <c r="DD113" s="217">
        <f t="shared" si="389"/>
        <v>1.5023721665788083</v>
      </c>
      <c r="DE113" s="173">
        <f t="shared" si="390"/>
        <v>1.0542962572482866</v>
      </c>
      <c r="DF113" s="173">
        <f t="shared" si="391"/>
        <v>0.24706104135140031</v>
      </c>
      <c r="DG113" s="173"/>
      <c r="DH113" s="173">
        <f t="shared" si="392"/>
        <v>0.93567251461988332</v>
      </c>
      <c r="DI113" s="545">
        <f t="shared" si="393"/>
        <v>48.093749999999979</v>
      </c>
      <c r="DJ113" s="528">
        <f t="shared" si="394"/>
        <v>0.21832358674463945</v>
      </c>
      <c r="DL113" s="173">
        <f t="shared" si="395"/>
        <v>0.51269595556932457</v>
      </c>
      <c r="DM113" s="173">
        <f t="shared" si="396"/>
        <v>1.3333333333333335</v>
      </c>
      <c r="DN113" s="173">
        <f t="shared" si="397"/>
        <v>1.0274821428571428</v>
      </c>
      <c r="DP113" s="545">
        <f t="shared" si="398"/>
        <v>30</v>
      </c>
      <c r="DQ113" s="460">
        <f t="shared" si="399"/>
        <v>48.093749999999979</v>
      </c>
      <c r="DS113" s="460">
        <f t="shared" si="400"/>
        <v>30</v>
      </c>
      <c r="DT113" s="460">
        <f t="shared" si="401"/>
        <v>48.093749999999979</v>
      </c>
      <c r="DV113" s="5">
        <f t="shared" si="402"/>
        <v>20.792722547108522</v>
      </c>
      <c r="DW113" s="5">
        <f t="shared" si="403"/>
        <v>1.6000000000000003</v>
      </c>
      <c r="DX113" s="5">
        <f t="shared" si="404"/>
        <v>19.19272254710852</v>
      </c>
      <c r="DY113" s="173">
        <f t="shared" si="405"/>
        <v>7.6949999999999977E-2</v>
      </c>
      <c r="EA113" s="5">
        <f t="shared" si="406"/>
        <v>0.29268292682926839</v>
      </c>
      <c r="EB113" s="5">
        <f t="shared" si="407"/>
        <v>0.15000000000000002</v>
      </c>
      <c r="EC113" s="5">
        <f t="shared" si="408"/>
        <v>0.78690162443144918</v>
      </c>
      <c r="ED113" s="5"/>
      <c r="EE113" s="173">
        <f t="shared" si="409"/>
        <v>0.21354156504062621</v>
      </c>
      <c r="EF113" s="173">
        <f t="shared" si="410"/>
        <v>0.73958947571784228</v>
      </c>
      <c r="EG113" s="173">
        <f t="shared" si="411"/>
        <v>0.18144878098673031</v>
      </c>
      <c r="EH113" s="173"/>
      <c r="EI113" s="528">
        <f t="shared" si="412"/>
        <v>9.1199999999999994E-4</v>
      </c>
      <c r="EJ113" s="528">
        <f t="shared" si="413"/>
        <v>3.4755749999999988E-2</v>
      </c>
      <c r="EK113" s="528">
        <f t="shared" si="414"/>
        <v>6.0117187499999971E-3</v>
      </c>
      <c r="EL113" s="528">
        <f t="shared" si="415"/>
        <v>3.5320530937499976E-3</v>
      </c>
      <c r="EM113">
        <f t="shared" si="416"/>
        <v>4.4999999999999997E-3</v>
      </c>
      <c r="EN113" s="460">
        <f t="shared" si="417"/>
        <v>10.511718749999996</v>
      </c>
      <c r="EP113" s="460">
        <f t="shared" si="439"/>
        <v>49.711521843749985</v>
      </c>
      <c r="EQ113" s="173">
        <f t="shared" si="418"/>
        <v>2.0999999999999998E-2</v>
      </c>
      <c r="ER113" s="173">
        <f t="shared" si="419"/>
        <v>3.3281249999999999E-3</v>
      </c>
      <c r="ES113" s="528"/>
      <c r="EU113" s="460">
        <f t="shared" si="420"/>
        <v>24.328125</v>
      </c>
      <c r="EV113" s="528">
        <f t="shared" si="421"/>
        <v>1.3679999999999999E-3</v>
      </c>
      <c r="EW113" s="528">
        <f t="shared" si="422"/>
        <v>1.6409777777777784E-2</v>
      </c>
      <c r="EX113" s="528">
        <f t="shared" si="423"/>
        <v>1.6461830060785212E-4</v>
      </c>
      <c r="EY113" s="528">
        <f t="shared" si="424"/>
        <v>1.6464117225637662E-3</v>
      </c>
      <c r="EZ113" s="528"/>
      <c r="FA113" s="625">
        <f t="shared" si="425"/>
        <v>4.2749999999999987E-4</v>
      </c>
      <c r="FB113" s="460">
        <f t="shared" si="426"/>
        <v>20.016307800949406</v>
      </c>
      <c r="FC113" s="173">
        <f t="shared" si="427"/>
        <v>9.4055954644699374E-2</v>
      </c>
      <c r="FD113" s="5">
        <f t="shared" si="428"/>
        <v>0.55199999999999994</v>
      </c>
      <c r="FE113" s="173">
        <f t="shared" si="429"/>
        <v>0.85441515712609473</v>
      </c>
      <c r="FF113" s="5">
        <f t="shared" si="430"/>
        <v>85.441515712609473</v>
      </c>
      <c r="FG113">
        <f t="shared" si="431"/>
        <v>3</v>
      </c>
      <c r="FI113" s="562">
        <f t="shared" si="432"/>
        <v>-50</v>
      </c>
      <c r="FJ113">
        <f t="shared" si="433"/>
        <v>-50</v>
      </c>
    </row>
    <row r="114" spans="5:166">
      <c r="E114" s="170">
        <v>4</v>
      </c>
      <c r="F114" s="217">
        <f t="shared" si="434"/>
        <v>0.04</v>
      </c>
      <c r="G114" s="217">
        <f t="shared" si="313"/>
        <v>0.01</v>
      </c>
      <c r="H114" s="217">
        <f t="shared" si="314"/>
        <v>0.65599999999999992</v>
      </c>
      <c r="I114" s="217">
        <f t="shared" si="315"/>
        <v>0.08</v>
      </c>
      <c r="J114" s="541">
        <f t="shared" si="316"/>
        <v>9.955209755049875</v>
      </c>
      <c r="K114" s="443">
        <f t="shared" si="317"/>
        <v>17.119823785111333</v>
      </c>
      <c r="L114" s="172">
        <f t="shared" si="318"/>
        <v>27.075033540161208</v>
      </c>
      <c r="M114" s="443"/>
      <c r="N114" s="217">
        <f t="shared" si="319"/>
        <v>0.63231034449937007</v>
      </c>
      <c r="O114" s="172">
        <f t="shared" si="320"/>
        <v>18.701888876879863</v>
      </c>
      <c r="P114" s="172">
        <f t="shared" si="321"/>
        <v>2.5588545161703564</v>
      </c>
      <c r="Q114" s="217">
        <f t="shared" si="322"/>
        <v>1.1403590778585284</v>
      </c>
      <c r="R114" s="217">
        <f t="shared" si="323"/>
        <v>2.3377361096099829</v>
      </c>
      <c r="S114" s="217">
        <f t="shared" si="324"/>
        <v>16.399999999999999</v>
      </c>
      <c r="T114" s="217">
        <f t="shared" si="325"/>
        <v>0.23384447218803917</v>
      </c>
      <c r="U114" s="217">
        <f t="shared" si="326"/>
        <v>0.28187589566689264</v>
      </c>
      <c r="V114" s="217">
        <f t="shared" si="327"/>
        <v>0.1639113638948137</v>
      </c>
      <c r="W114" s="197">
        <f t="shared" si="328"/>
        <v>350</v>
      </c>
      <c r="X114" s="443">
        <f t="shared" si="435"/>
        <v>350</v>
      </c>
      <c r="Z114" s="217">
        <f t="shared" si="329"/>
        <v>1.498757645185494</v>
      </c>
      <c r="AA114" s="173">
        <f t="shared" si="330"/>
        <v>1.0505418728589424</v>
      </c>
      <c r="AB114" s="173">
        <f t="shared" si="331"/>
        <v>0.24558896708396485</v>
      </c>
      <c r="AC114" s="173"/>
      <c r="AD114" s="173">
        <f t="shared" si="332"/>
        <v>0.93458905890811728</v>
      </c>
      <c r="AE114" s="545">
        <f t="shared" si="333"/>
        <v>64.199339194167479</v>
      </c>
      <c r="AF114" s="528">
        <f t="shared" si="334"/>
        <v>0.21807078041189407</v>
      </c>
      <c r="AH114" s="173">
        <f t="shared" si="335"/>
        <v>0.59201029592076382</v>
      </c>
      <c r="AI114" s="173">
        <f t="shared" si="336"/>
        <v>1.3333333333333335</v>
      </c>
      <c r="AJ114" s="173">
        <f t="shared" si="337"/>
        <v>1.0366853366823814</v>
      </c>
      <c r="AL114" s="545">
        <f t="shared" si="338"/>
        <v>40</v>
      </c>
      <c r="AM114" s="460">
        <f t="shared" si="339"/>
        <v>64.199339194167479</v>
      </c>
      <c r="AO114" s="460">
        <f t="shared" si="340"/>
        <v>40</v>
      </c>
      <c r="AP114" s="460">
        <f t="shared" si="341"/>
        <v>64.199339194167479</v>
      </c>
      <c r="AR114" s="5">
        <f t="shared" si="275"/>
        <v>15.576484315135289</v>
      </c>
      <c r="AS114" s="5">
        <f>L*AI114/J114*1000000</f>
        <v>1.6071986822662223</v>
      </c>
      <c r="AT114" s="5">
        <f>AR114-AS114</f>
        <v>13.969285632869067</v>
      </c>
      <c r="AU114" s="173">
        <f>AS114/AR114</f>
        <v>0.10318109335522821</v>
      </c>
      <c r="AW114" s="5">
        <f t="shared" si="342"/>
        <v>0.39199967860151774</v>
      </c>
      <c r="AX114" s="5">
        <f t="shared" si="343"/>
        <v>0.20089983528327779</v>
      </c>
      <c r="AY114" s="5">
        <f t="shared" si="344"/>
        <v>0.76709009659604388</v>
      </c>
      <c r="AZ114" s="5"/>
      <c r="BA114" s="173">
        <f t="shared" si="345"/>
        <v>0.2472738393318489</v>
      </c>
      <c r="BB114" s="173">
        <f t="shared" si="346"/>
        <v>0.72900496635803491</v>
      </c>
      <c r="BC114" s="173">
        <f t="shared" si="347"/>
        <v>0.17885200752829838</v>
      </c>
      <c r="BD114" s="173"/>
      <c r="BE114" s="528">
        <f t="shared" si="348"/>
        <v>1.2228870323582606E-3</v>
      </c>
      <c r="BF114" s="528">
        <f t="shared" si="349"/>
        <v>4.3454981548456763E-2</v>
      </c>
      <c r="BG114" s="528">
        <f t="shared" si="350"/>
        <v>1.5977947195338297E-2</v>
      </c>
      <c r="BH114" s="528">
        <f t="shared" si="351"/>
        <v>4.706180331646213E-3</v>
      </c>
      <c r="BI114">
        <f t="shared" si="352"/>
        <v>4.4798443897724437E-3</v>
      </c>
      <c r="BJ114" s="460">
        <f t="shared" si="436"/>
        <v>20.457791585110741</v>
      </c>
      <c r="BK114">
        <f t="shared" si="353"/>
        <v>4.9728677474223097E-2</v>
      </c>
      <c r="BL114" s="460">
        <f t="shared" si="437"/>
        <v>69.84184049757198</v>
      </c>
      <c r="BM114" s="173">
        <f t="shared" si="354"/>
        <v>2.4849999999999997E-2</v>
      </c>
      <c r="BN114" s="173">
        <f t="shared" si="355"/>
        <v>6.2124999999999993E-3</v>
      </c>
      <c r="BO114" s="528"/>
      <c r="BQ114" s="460">
        <f t="shared" si="356"/>
        <v>31.062499999999996</v>
      </c>
      <c r="BR114" s="528">
        <f t="shared" si="357"/>
        <v>1.8343305485373908E-3</v>
      </c>
      <c r="BS114" s="528">
        <f t="shared" si="358"/>
        <v>1.5943447229240387E-2</v>
      </c>
      <c r="BT114" s="528">
        <f t="shared" si="359"/>
        <v>1.5994020298451252E-4</v>
      </c>
      <c r="BU114" s="528">
        <f t="shared" si="360"/>
        <v>3.3895593337081647E-3</v>
      </c>
      <c r="BV114" s="528"/>
      <c r="BW114" s="625">
        <f t="shared" si="361"/>
        <v>5.7066079283704435E-4</v>
      </c>
      <c r="BX114" s="460">
        <f t="shared" si="362"/>
        <v>21.8979381073075</v>
      </c>
      <c r="BY114" s="173">
        <f t="shared" si="363"/>
        <v>0.12280227860487948</v>
      </c>
      <c r="BZ114" s="5">
        <f t="shared" si="364"/>
        <v>0.73599999999999988</v>
      </c>
      <c r="CA114" s="173">
        <f t="shared" si="365"/>
        <v>0.85700750724093178</v>
      </c>
      <c r="CB114" s="5">
        <f t="shared" si="366"/>
        <v>85.700750724093183</v>
      </c>
      <c r="CC114">
        <f t="shared" si="367"/>
        <v>4</v>
      </c>
      <c r="CE114" s="562">
        <f t="shared" si="368"/>
        <v>-50</v>
      </c>
      <c r="CF114">
        <f t="shared" si="369"/>
        <v>-50</v>
      </c>
      <c r="CG114" s="173">
        <f t="shared" si="370"/>
        <v>6.0533343822109426E-2</v>
      </c>
      <c r="CH114" s="173">
        <f t="shared" si="371"/>
        <v>2.1151085576221178E-2</v>
      </c>
      <c r="CI114" s="170">
        <v>4</v>
      </c>
      <c r="CJ114" s="217">
        <f t="shared" si="438"/>
        <v>0.04</v>
      </c>
      <c r="CK114" s="217">
        <f t="shared" si="372"/>
        <v>0.01</v>
      </c>
      <c r="CL114" s="217">
        <f t="shared" si="373"/>
        <v>0.65599999999999992</v>
      </c>
      <c r="CM114" s="217">
        <f t="shared" si="374"/>
        <v>0.08</v>
      </c>
      <c r="CN114" s="541">
        <f t="shared" si="375"/>
        <v>10</v>
      </c>
      <c r="CO114" s="443">
        <f t="shared" si="376"/>
        <v>17.099999999999998</v>
      </c>
      <c r="CP114" s="443">
        <f t="shared" si="377"/>
        <v>27.099999999999998</v>
      </c>
      <c r="CQ114" s="443"/>
      <c r="CR114" s="217">
        <f t="shared" si="378"/>
        <v>0.62686567164179097</v>
      </c>
      <c r="CS114" s="172">
        <f t="shared" si="379"/>
        <v>18.624269954574949</v>
      </c>
      <c r="CT114" s="172">
        <f t="shared" si="380"/>
        <v>2.5482344375682562</v>
      </c>
      <c r="CU114" s="217">
        <f t="shared" si="381"/>
        <v>1.135626216742375</v>
      </c>
      <c r="CV114" s="217">
        <f t="shared" si="382"/>
        <v>2.3280337443218686</v>
      </c>
      <c r="CW114" s="217">
        <f t="shared" si="383"/>
        <v>16.399999999999999</v>
      </c>
      <c r="CX114" s="217">
        <f t="shared" si="384"/>
        <v>0.23481904761904759</v>
      </c>
      <c r="CY114" s="217">
        <f t="shared" si="385"/>
        <v>0.28178285714285711</v>
      </c>
      <c r="CZ114" s="217">
        <f t="shared" si="386"/>
        <v>0.16478529657477026</v>
      </c>
      <c r="DA114" s="197">
        <f t="shared" si="387"/>
        <v>350</v>
      </c>
      <c r="DB114" s="443">
        <f t="shared" si="388"/>
        <v>350</v>
      </c>
      <c r="DD114" s="217">
        <f t="shared" si="389"/>
        <v>1.5023721665788083</v>
      </c>
      <c r="DE114" s="173">
        <f t="shared" si="390"/>
        <v>1.0542962572482866</v>
      </c>
      <c r="DF114" s="173">
        <f t="shared" si="391"/>
        <v>0.24706104135140031</v>
      </c>
      <c r="DG114" s="173"/>
      <c r="DH114" s="173">
        <f t="shared" si="392"/>
        <v>0.93567251461988332</v>
      </c>
      <c r="DI114" s="545">
        <f t="shared" si="393"/>
        <v>64.124999999999972</v>
      </c>
      <c r="DJ114" s="528">
        <f t="shared" si="394"/>
        <v>0.21832358674463945</v>
      </c>
      <c r="DL114" s="173">
        <f t="shared" si="395"/>
        <v>0.59201029592076382</v>
      </c>
      <c r="DM114" s="173">
        <f t="shared" si="396"/>
        <v>1.3333333333333335</v>
      </c>
      <c r="DN114" s="173">
        <f t="shared" si="397"/>
        <v>1.0366428571428572</v>
      </c>
      <c r="DP114" s="545">
        <f t="shared" si="398"/>
        <v>40</v>
      </c>
      <c r="DQ114" s="460">
        <f t="shared" si="399"/>
        <v>64.124999999999972</v>
      </c>
      <c r="DS114" s="460">
        <f t="shared" si="400"/>
        <v>40</v>
      </c>
      <c r="DT114" s="460">
        <f t="shared" si="401"/>
        <v>64.124999999999972</v>
      </c>
      <c r="DV114" s="5">
        <f t="shared" si="402"/>
        <v>15.59454191033139</v>
      </c>
      <c r="DW114" s="5">
        <f t="shared" si="403"/>
        <v>1.6000000000000003</v>
      </c>
      <c r="DX114" s="5">
        <f t="shared" si="404"/>
        <v>13.994541910331391</v>
      </c>
      <c r="DY114" s="173">
        <f t="shared" si="405"/>
        <v>0.10259999999999998</v>
      </c>
      <c r="EA114" s="5">
        <f t="shared" si="406"/>
        <v>0.39024390243902457</v>
      </c>
      <c r="EB114" s="5">
        <f t="shared" si="407"/>
        <v>0.20000000000000004</v>
      </c>
      <c r="EC114" s="5">
        <f t="shared" si="408"/>
        <v>0.76503495776478248</v>
      </c>
      <c r="ED114" s="5"/>
      <c r="EE114" s="173">
        <f t="shared" si="409"/>
        <v>0.24657656011875906</v>
      </c>
      <c r="EF114" s="173">
        <f t="shared" si="410"/>
        <v>0.72924110731128755</v>
      </c>
      <c r="EG114" s="173">
        <f t="shared" si="411"/>
        <v>0.17890994167895288</v>
      </c>
      <c r="EH114" s="173"/>
      <c r="EI114" s="528">
        <f t="shared" si="412"/>
        <v>1.2160000000000001E-3</v>
      </c>
      <c r="EJ114" s="528">
        <f t="shared" si="413"/>
        <v>4.6340999999999972E-2</v>
      </c>
      <c r="EK114" s="528">
        <f t="shared" si="414"/>
        <v>8.0156249999999967E-3</v>
      </c>
      <c r="EL114" s="528">
        <f t="shared" si="415"/>
        <v>4.7094041249999968E-3</v>
      </c>
      <c r="EM114">
        <f t="shared" si="416"/>
        <v>4.4999999999999997E-3</v>
      </c>
      <c r="EN114" s="460">
        <f t="shared" si="417"/>
        <v>12.515624999999995</v>
      </c>
      <c r="EP114" s="460">
        <f t="shared" si="439"/>
        <v>64.78202912499998</v>
      </c>
      <c r="EQ114" s="173">
        <f t="shared" si="418"/>
        <v>2.7999999999999997E-2</v>
      </c>
      <c r="ER114" s="173">
        <f t="shared" si="419"/>
        <v>4.4374999999999996E-3</v>
      </c>
      <c r="ES114" s="528"/>
      <c r="EU114" s="460">
        <f t="shared" si="420"/>
        <v>32.437499999999993</v>
      </c>
      <c r="EV114" s="528">
        <f t="shared" si="421"/>
        <v>1.8239999999999999E-3</v>
      </c>
      <c r="EW114" s="528">
        <f t="shared" si="422"/>
        <v>1.5953777777777785E-2</v>
      </c>
      <c r="EX114" s="528">
        <f t="shared" si="423"/>
        <v>1.6004383615783163E-4</v>
      </c>
      <c r="EY114" s="528">
        <f t="shared" si="424"/>
        <v>3.3797555598902938E-3</v>
      </c>
      <c r="EZ114" s="528"/>
      <c r="FA114" s="625">
        <f t="shared" si="425"/>
        <v>5.6999999999999987E-4</v>
      </c>
      <c r="FB114" s="460">
        <f t="shared" si="426"/>
        <v>21.88757717382591</v>
      </c>
      <c r="FC114" s="173">
        <f t="shared" si="427"/>
        <v>0.1191071062988259</v>
      </c>
      <c r="FD114" s="5">
        <f t="shared" si="428"/>
        <v>0.73599999999999988</v>
      </c>
      <c r="FE114" s="173">
        <f t="shared" si="429"/>
        <v>0.86071089174505966</v>
      </c>
      <c r="FF114" s="5">
        <f t="shared" si="430"/>
        <v>86.071089174505971</v>
      </c>
      <c r="FG114">
        <f t="shared" si="431"/>
        <v>4</v>
      </c>
      <c r="FI114" s="562">
        <f t="shared" si="432"/>
        <v>-50</v>
      </c>
      <c r="FJ114">
        <f t="shared" si="433"/>
        <v>-50</v>
      </c>
    </row>
    <row r="115" spans="5:166">
      <c r="E115" s="170">
        <v>5</v>
      </c>
      <c r="F115" s="217">
        <f t="shared" si="434"/>
        <v>0.05</v>
      </c>
      <c r="G115" s="217">
        <f t="shared" si="313"/>
        <v>1.2500000000000001E-2</v>
      </c>
      <c r="H115" s="217">
        <f t="shared" si="314"/>
        <v>0.82</v>
      </c>
      <c r="I115" s="217">
        <f t="shared" si="315"/>
        <v>0.1</v>
      </c>
      <c r="J115" s="541">
        <f t="shared" si="316"/>
        <v>9.955209755049875</v>
      </c>
      <c r="K115" s="443">
        <f t="shared" si="317"/>
        <v>17.119823785111333</v>
      </c>
      <c r="L115" s="172">
        <f t="shared" si="318"/>
        <v>27.075033540161208</v>
      </c>
      <c r="M115" s="443"/>
      <c r="N115" s="217">
        <f t="shared" si="319"/>
        <v>0.63231034449937007</v>
      </c>
      <c r="O115" s="172">
        <f t="shared" si="320"/>
        <v>18.701888876879863</v>
      </c>
      <c r="P115" s="172">
        <f t="shared" si="321"/>
        <v>2.5588545161703564</v>
      </c>
      <c r="Q115" s="217">
        <f t="shared" si="322"/>
        <v>1.1403590778585284</v>
      </c>
      <c r="R115" s="217">
        <f t="shared" si="323"/>
        <v>2.3377361096099829</v>
      </c>
      <c r="S115" s="217">
        <f t="shared" si="324"/>
        <v>16.399999999999999</v>
      </c>
      <c r="T115" s="217">
        <f t="shared" si="325"/>
        <v>0.29230559023504898</v>
      </c>
      <c r="U115" s="217">
        <f t="shared" si="326"/>
        <v>0.35234486958361577</v>
      </c>
      <c r="V115" s="217">
        <f t="shared" si="327"/>
        <v>0.20488920486851711</v>
      </c>
      <c r="W115" s="197">
        <f t="shared" si="328"/>
        <v>350</v>
      </c>
      <c r="X115" s="443">
        <f t="shared" si="435"/>
        <v>350</v>
      </c>
      <c r="Z115" s="217">
        <f t="shared" si="329"/>
        <v>1.498757645185494</v>
      </c>
      <c r="AA115" s="173">
        <f t="shared" si="330"/>
        <v>1.0505418728589424</v>
      </c>
      <c r="AB115" s="173">
        <f t="shared" si="331"/>
        <v>0.24558896708396485</v>
      </c>
      <c r="AC115" s="173"/>
      <c r="AD115" s="173">
        <f t="shared" si="332"/>
        <v>0.93458905890811728</v>
      </c>
      <c r="AE115" s="545">
        <f t="shared" si="333"/>
        <v>80.249173992709345</v>
      </c>
      <c r="AF115" s="528">
        <f t="shared" si="334"/>
        <v>0.21807078041189407</v>
      </c>
      <c r="AH115" s="173">
        <f t="shared" si="335"/>
        <v>0.66188763252929728</v>
      </c>
      <c r="AI115" s="173">
        <f t="shared" si="336"/>
        <v>1.3333333333333335</v>
      </c>
      <c r="AJ115" s="173">
        <f t="shared" si="337"/>
        <v>1.0458566708529768</v>
      </c>
      <c r="AL115" s="545">
        <f t="shared" si="338"/>
        <v>50</v>
      </c>
      <c r="AM115" s="460">
        <f t="shared" si="339"/>
        <v>80.249173992709345</v>
      </c>
      <c r="AO115" s="460">
        <f t="shared" si="340"/>
        <v>50</v>
      </c>
      <c r="AP115" s="460">
        <f t="shared" si="341"/>
        <v>80.249173992709345</v>
      </c>
      <c r="AR115" s="5">
        <f t="shared" si="275"/>
        <v>12.461187452108232</v>
      </c>
      <c r="AS115" s="5">
        <f t="shared" ref="AS115:AS178" si="440">L*AI115/J115*1000000</f>
        <v>1.6071986822662223</v>
      </c>
      <c r="AT115" s="5">
        <f t="shared" ref="AT115:AT178" si="441">AR115-AS115</f>
        <v>10.85398876984201</v>
      </c>
      <c r="AU115" s="173">
        <f t="shared" ref="AU115:AU178" si="442">AS115/AR115</f>
        <v>0.12897636669403525</v>
      </c>
      <c r="AW115" s="5">
        <f t="shared" si="342"/>
        <v>0.48999959825189709</v>
      </c>
      <c r="AX115" s="5">
        <f t="shared" si="343"/>
        <v>0.25112479410409722</v>
      </c>
      <c r="AY115" s="5">
        <f t="shared" si="344"/>
        <v>0.7450262233095003</v>
      </c>
      <c r="AZ115" s="5"/>
      <c r="BA115" s="173">
        <f t="shared" si="345"/>
        <v>0.27646055690168764</v>
      </c>
      <c r="BB115" s="173">
        <f t="shared" si="346"/>
        <v>0.71844425884699048</v>
      </c>
      <c r="BC115" s="173">
        <f t="shared" si="347"/>
        <v>0.17626107354782691</v>
      </c>
      <c r="BD115" s="173"/>
      <c r="BE115" s="528">
        <f t="shared" si="348"/>
        <v>1.5286087904478256E-3</v>
      </c>
      <c r="BF115" s="528">
        <f t="shared" si="349"/>
        <v>5.4318726935570959E-2</v>
      </c>
      <c r="BG115" s="528">
        <f t="shared" si="350"/>
        <v>1.997243399417287E-2</v>
      </c>
      <c r="BH115" s="528">
        <f t="shared" si="351"/>
        <v>5.8827254145577667E-3</v>
      </c>
      <c r="BI115">
        <f t="shared" si="352"/>
        <v>4.4798443897724437E-3</v>
      </c>
      <c r="BJ115" s="460">
        <f t="shared" si="436"/>
        <v>24.452278383945313</v>
      </c>
      <c r="BK115">
        <f t="shared" si="353"/>
        <v>6.2165363815527203E-2</v>
      </c>
      <c r="BL115" s="460">
        <f t="shared" si="437"/>
        <v>86.182339524521865</v>
      </c>
      <c r="BM115" s="173">
        <f t="shared" si="354"/>
        <v>3.1062499999999996E-2</v>
      </c>
      <c r="BN115" s="173">
        <f t="shared" si="355"/>
        <v>7.7656249999999991E-3</v>
      </c>
      <c r="BO115" s="528"/>
      <c r="BQ115" s="460">
        <f t="shared" si="356"/>
        <v>38.828125</v>
      </c>
      <c r="BR115" s="528">
        <f t="shared" si="357"/>
        <v>2.2929131856717381E-3</v>
      </c>
      <c r="BS115" s="528">
        <f t="shared" si="358"/>
        <v>1.5484864592106042E-2</v>
      </c>
      <c r="BT115" s="528">
        <f t="shared" si="359"/>
        <v>1.5533983024116225E-4</v>
      </c>
      <c r="BU115" s="528">
        <f t="shared" si="360"/>
        <v>5.9213164718283952E-3</v>
      </c>
      <c r="BV115" s="528"/>
      <c r="BW115" s="625">
        <f t="shared" si="361"/>
        <v>7.1332599104630536E-4</v>
      </c>
      <c r="BX115" s="460">
        <f t="shared" si="362"/>
        <v>24.567760070893641</v>
      </c>
      <c r="BY115" s="173">
        <f t="shared" si="363"/>
        <v>0.1495782245954155</v>
      </c>
      <c r="BZ115" s="5">
        <f t="shared" si="364"/>
        <v>0.91999999999999993</v>
      </c>
      <c r="CA115" s="173">
        <f t="shared" si="365"/>
        <v>0.86015214113769389</v>
      </c>
      <c r="CB115" s="5">
        <f t="shared" si="366"/>
        <v>86.015214113769389</v>
      </c>
      <c r="CC115">
        <f t="shared" si="367"/>
        <v>5</v>
      </c>
      <c r="CE115" s="562">
        <f t="shared" si="368"/>
        <v>-50</v>
      </c>
      <c r="CF115">
        <f t="shared" si="369"/>
        <v>-50</v>
      </c>
      <c r="CG115" s="173">
        <f t="shared" si="370"/>
        <v>7.5666679777636789E-2</v>
      </c>
      <c r="CH115" s="173">
        <f t="shared" si="371"/>
        <v>2.6438856970276477E-2</v>
      </c>
      <c r="CI115" s="170">
        <v>5</v>
      </c>
      <c r="CJ115" s="217">
        <f t="shared" si="438"/>
        <v>0.05</v>
      </c>
      <c r="CK115" s="217">
        <f t="shared" si="372"/>
        <v>1.2500000000000001E-2</v>
      </c>
      <c r="CL115" s="217">
        <f t="shared" si="373"/>
        <v>0.82</v>
      </c>
      <c r="CM115" s="217">
        <f t="shared" si="374"/>
        <v>0.1</v>
      </c>
      <c r="CN115" s="541">
        <f t="shared" si="375"/>
        <v>10</v>
      </c>
      <c r="CO115" s="443">
        <f t="shared" si="376"/>
        <v>17.099999999999998</v>
      </c>
      <c r="CP115" s="443">
        <f t="shared" si="377"/>
        <v>27.099999999999998</v>
      </c>
      <c r="CQ115" s="443"/>
      <c r="CR115" s="217">
        <f t="shared" si="378"/>
        <v>0.62686567164179097</v>
      </c>
      <c r="CS115" s="172">
        <f t="shared" si="379"/>
        <v>18.624269954574949</v>
      </c>
      <c r="CT115" s="172">
        <f t="shared" si="380"/>
        <v>2.5482344375682562</v>
      </c>
      <c r="CU115" s="217">
        <f t="shared" si="381"/>
        <v>1.135626216742375</v>
      </c>
      <c r="CV115" s="217">
        <f t="shared" si="382"/>
        <v>2.3280337443218686</v>
      </c>
      <c r="CW115" s="217">
        <f t="shared" si="383"/>
        <v>16.399999999999999</v>
      </c>
      <c r="CX115" s="217">
        <f t="shared" si="384"/>
        <v>0.29352380952380952</v>
      </c>
      <c r="CY115" s="217">
        <f t="shared" si="385"/>
        <v>0.35222857142857145</v>
      </c>
      <c r="CZ115" s="217">
        <f t="shared" si="386"/>
        <v>0.20598162071846285</v>
      </c>
      <c r="DA115" s="197">
        <f t="shared" si="387"/>
        <v>350</v>
      </c>
      <c r="DB115" s="443">
        <f t="shared" si="388"/>
        <v>350</v>
      </c>
      <c r="DD115" s="217">
        <f t="shared" si="389"/>
        <v>1.5023721665788083</v>
      </c>
      <c r="DE115" s="173">
        <f t="shared" si="390"/>
        <v>1.0542962572482866</v>
      </c>
      <c r="DF115" s="173">
        <f t="shared" si="391"/>
        <v>0.24706104135140031</v>
      </c>
      <c r="DG115" s="173"/>
      <c r="DH115" s="173">
        <f t="shared" si="392"/>
        <v>0.93567251461988332</v>
      </c>
      <c r="DI115" s="545">
        <f t="shared" si="393"/>
        <v>80.156249999999972</v>
      </c>
      <c r="DJ115" s="528">
        <f t="shared" si="394"/>
        <v>0.21832358674463945</v>
      </c>
      <c r="DL115" s="173">
        <f t="shared" si="395"/>
        <v>0.66188763252929728</v>
      </c>
      <c r="DM115" s="173">
        <f t="shared" si="396"/>
        <v>1.3333333333333335</v>
      </c>
      <c r="DN115" s="173">
        <f t="shared" si="397"/>
        <v>1.0458035714285714</v>
      </c>
      <c r="DP115" s="545">
        <f t="shared" si="398"/>
        <v>50</v>
      </c>
      <c r="DQ115" s="460">
        <f t="shared" si="399"/>
        <v>80.156249999999972</v>
      </c>
      <c r="DS115" s="460">
        <f t="shared" si="400"/>
        <v>50</v>
      </c>
      <c r="DT115" s="460">
        <f t="shared" si="401"/>
        <v>80.156249999999972</v>
      </c>
      <c r="DV115" s="5">
        <f t="shared" si="402"/>
        <v>12.475633528265112</v>
      </c>
      <c r="DW115" s="5">
        <f t="shared" si="403"/>
        <v>1.6000000000000003</v>
      </c>
      <c r="DX115" s="5">
        <f t="shared" si="404"/>
        <v>10.875633528265112</v>
      </c>
      <c r="DY115" s="173">
        <f t="shared" si="405"/>
        <v>0.12824999999999998</v>
      </c>
      <c r="EA115" s="5">
        <f t="shared" si="406"/>
        <v>0.48780487804878064</v>
      </c>
      <c r="EB115" s="5">
        <f t="shared" si="407"/>
        <v>0.25000000000000006</v>
      </c>
      <c r="EC115" s="5">
        <f t="shared" si="408"/>
        <v>0.74316829109811577</v>
      </c>
      <c r="ED115" s="5"/>
      <c r="EE115" s="173">
        <f t="shared" si="409"/>
        <v>0.27568097504180444</v>
      </c>
      <c r="EF115" s="173">
        <f t="shared" si="410"/>
        <v>0.71874376003732565</v>
      </c>
      <c r="EG115" s="173">
        <f t="shared" si="411"/>
        <v>0.17633455231905693</v>
      </c>
      <c r="EH115" s="173"/>
      <c r="EI115" s="528">
        <f t="shared" si="412"/>
        <v>1.5200000000000001E-3</v>
      </c>
      <c r="EJ115" s="528">
        <f t="shared" si="413"/>
        <v>5.7926249999999985E-2</v>
      </c>
      <c r="EK115" s="528">
        <f t="shared" si="414"/>
        <v>1.0019531249999996E-2</v>
      </c>
      <c r="EL115" s="528">
        <f t="shared" si="415"/>
        <v>5.8867551562499969E-3</v>
      </c>
      <c r="EM115">
        <f t="shared" si="416"/>
        <v>4.4999999999999997E-3</v>
      </c>
      <c r="EN115" s="460">
        <f t="shared" si="417"/>
        <v>14.519531249999995</v>
      </c>
      <c r="EP115" s="460">
        <f t="shared" si="439"/>
        <v>79.852536406249982</v>
      </c>
      <c r="EQ115" s="173">
        <f t="shared" si="418"/>
        <v>3.4999999999999996E-2</v>
      </c>
      <c r="ER115" s="173">
        <f t="shared" si="419"/>
        <v>5.5468749999999997E-3</v>
      </c>
      <c r="ES115" s="528"/>
      <c r="EU115" s="460">
        <f t="shared" si="420"/>
        <v>40.546874999999993</v>
      </c>
      <c r="EV115" s="528">
        <f t="shared" si="421"/>
        <v>2.2799999999999999E-3</v>
      </c>
      <c r="EW115" s="528">
        <f t="shared" si="422"/>
        <v>1.549777777777778E-2</v>
      </c>
      <c r="EX115" s="528">
        <f t="shared" si="423"/>
        <v>1.5546937170781111E-4</v>
      </c>
      <c r="EY115" s="528">
        <f t="shared" si="424"/>
        <v>5.9041899837871522E-3</v>
      </c>
      <c r="EZ115" s="528"/>
      <c r="FA115" s="625">
        <f t="shared" si="425"/>
        <v>7.1249999999999981E-4</v>
      </c>
      <c r="FB115" s="460">
        <f t="shared" si="426"/>
        <v>24.549937133272749</v>
      </c>
      <c r="FC115" s="173">
        <f t="shared" si="427"/>
        <v>0.14494934853952274</v>
      </c>
      <c r="FD115" s="5">
        <f t="shared" si="428"/>
        <v>0.91999999999999993</v>
      </c>
      <c r="FE115" s="173">
        <f t="shared" si="429"/>
        <v>0.86389085195619197</v>
      </c>
      <c r="FF115" s="5">
        <f t="shared" si="430"/>
        <v>86.389085195619202</v>
      </c>
      <c r="FG115">
        <f t="shared" si="431"/>
        <v>5</v>
      </c>
      <c r="FI115" s="562">
        <f t="shared" si="432"/>
        <v>-50</v>
      </c>
      <c r="FJ115">
        <f t="shared" si="433"/>
        <v>-50</v>
      </c>
    </row>
    <row r="116" spans="5:166">
      <c r="E116" s="170">
        <v>6</v>
      </c>
      <c r="F116" s="217">
        <f t="shared" si="434"/>
        <v>0.06</v>
      </c>
      <c r="G116" s="217">
        <f t="shared" si="313"/>
        <v>1.4999999999999999E-2</v>
      </c>
      <c r="H116" s="217">
        <f t="shared" si="314"/>
        <v>0.98399999999999987</v>
      </c>
      <c r="I116" s="217">
        <f t="shared" si="315"/>
        <v>0.12</v>
      </c>
      <c r="J116" s="541">
        <f t="shared" si="316"/>
        <v>9.955209755049875</v>
      </c>
      <c r="K116" s="443">
        <f t="shared" si="317"/>
        <v>17.119823785111333</v>
      </c>
      <c r="L116" s="172">
        <f t="shared" si="318"/>
        <v>27.075033540161208</v>
      </c>
      <c r="M116" s="443"/>
      <c r="N116" s="217">
        <f t="shared" si="319"/>
        <v>0.63231034449937007</v>
      </c>
      <c r="O116" s="172">
        <f t="shared" si="320"/>
        <v>18.701888876879863</v>
      </c>
      <c r="P116" s="172">
        <f t="shared" si="321"/>
        <v>2.5588545161703564</v>
      </c>
      <c r="Q116" s="217">
        <f t="shared" si="322"/>
        <v>1.1403590778585284</v>
      </c>
      <c r="R116" s="217">
        <f t="shared" si="323"/>
        <v>2.3377361096099829</v>
      </c>
      <c r="S116" s="217">
        <f t="shared" si="324"/>
        <v>16.399999999999999</v>
      </c>
      <c r="T116" s="217">
        <f t="shared" si="325"/>
        <v>0.3507667082820588</v>
      </c>
      <c r="U116" s="217">
        <f t="shared" si="326"/>
        <v>0.42281384350033901</v>
      </c>
      <c r="V116" s="217">
        <f t="shared" si="327"/>
        <v>0.24586704584222058</v>
      </c>
      <c r="W116" s="197">
        <f t="shared" si="328"/>
        <v>350</v>
      </c>
      <c r="X116" s="443">
        <f t="shared" si="435"/>
        <v>350</v>
      </c>
      <c r="Z116" s="217">
        <f t="shared" si="329"/>
        <v>1.498757645185494</v>
      </c>
      <c r="AA116" s="173">
        <f t="shared" si="330"/>
        <v>1.0505418728589424</v>
      </c>
      <c r="AB116" s="173">
        <f t="shared" si="331"/>
        <v>0.24558896708396485</v>
      </c>
      <c r="AC116" s="173"/>
      <c r="AD116" s="173">
        <f t="shared" si="332"/>
        <v>0.93458905890811728</v>
      </c>
      <c r="AE116" s="545">
        <f t="shared" si="333"/>
        <v>96.299008791251211</v>
      </c>
      <c r="AF116" s="528">
        <f t="shared" si="334"/>
        <v>0.21807078041189407</v>
      </c>
      <c r="AH116" s="173">
        <f t="shared" si="335"/>
        <v>0.72506157373997249</v>
      </c>
      <c r="AI116" s="173">
        <f t="shared" si="336"/>
        <v>1.3333333333333335</v>
      </c>
      <c r="AJ116" s="173">
        <f t="shared" si="337"/>
        <v>1.0550280050235721</v>
      </c>
      <c r="AL116" s="545">
        <f t="shared" si="338"/>
        <v>60</v>
      </c>
      <c r="AM116" s="460">
        <f t="shared" si="339"/>
        <v>96.299008791251211</v>
      </c>
      <c r="AO116" s="460">
        <f t="shared" si="340"/>
        <v>60</v>
      </c>
      <c r="AP116" s="460">
        <f t="shared" si="341"/>
        <v>96.299008791251211</v>
      </c>
      <c r="AR116" s="5">
        <f t="shared" si="275"/>
        <v>10.384322876756862</v>
      </c>
      <c r="AS116" s="5">
        <f t="shared" si="440"/>
        <v>1.6071986822662223</v>
      </c>
      <c r="AT116" s="5">
        <f t="shared" si="441"/>
        <v>8.7771241944906393</v>
      </c>
      <c r="AU116" s="173">
        <f t="shared" si="442"/>
        <v>0.1547716400328423</v>
      </c>
      <c r="AW116" s="5">
        <f t="shared" si="342"/>
        <v>0.58799951790227645</v>
      </c>
      <c r="AX116" s="5">
        <f t="shared" si="343"/>
        <v>0.30134975292491667</v>
      </c>
      <c r="AY116" s="5">
        <f t="shared" si="344"/>
        <v>0.72296235002295672</v>
      </c>
      <c r="AZ116" s="5"/>
      <c r="BA116" s="173">
        <f t="shared" si="345"/>
        <v>0.30284736655098971</v>
      </c>
      <c r="BB116" s="173">
        <f t="shared" si="346"/>
        <v>0.70772598169469736</v>
      </c>
      <c r="BC116" s="173">
        <f t="shared" si="347"/>
        <v>0.17363148187918687</v>
      </c>
      <c r="BD116" s="173"/>
      <c r="BE116" s="528">
        <f t="shared" si="348"/>
        <v>1.8343305485373903E-3</v>
      </c>
      <c r="BF116" s="528">
        <f t="shared" si="349"/>
        <v>6.5182472322685134E-2</v>
      </c>
      <c r="BG116" s="528">
        <f t="shared" si="350"/>
        <v>2.396692079300744E-2</v>
      </c>
      <c r="BH116" s="528">
        <f t="shared" si="351"/>
        <v>7.0592704974693204E-3</v>
      </c>
      <c r="BI116">
        <f t="shared" si="352"/>
        <v>4.4798443897724437E-3</v>
      </c>
      <c r="BJ116" s="460">
        <f t="shared" si="436"/>
        <v>28.446765182779885</v>
      </c>
      <c r="BK116">
        <f t="shared" si="353"/>
        <v>7.4603857733739412E-2</v>
      </c>
      <c r="BL116" s="460">
        <f t="shared" si="437"/>
        <v>102.52283855147174</v>
      </c>
      <c r="BM116" s="173">
        <f t="shared" si="354"/>
        <v>3.7274999999999996E-2</v>
      </c>
      <c r="BN116" s="173">
        <f t="shared" si="355"/>
        <v>9.3187499999999989E-3</v>
      </c>
      <c r="BO116" s="528"/>
      <c r="BQ116" s="460">
        <f t="shared" si="356"/>
        <v>46.593749999999993</v>
      </c>
      <c r="BR116" s="528">
        <f t="shared" si="357"/>
        <v>2.7514958228060855E-3</v>
      </c>
      <c r="BS116" s="528">
        <f t="shared" si="358"/>
        <v>1.5026281954971694E-2</v>
      </c>
      <c r="BT116" s="528">
        <f t="shared" si="359"/>
        <v>1.5073945749781198E-4</v>
      </c>
      <c r="BU116" s="528">
        <f t="shared" si="360"/>
        <v>9.3405271730322755E-3</v>
      </c>
      <c r="BV116" s="528"/>
      <c r="BW116" s="625">
        <f t="shared" si="361"/>
        <v>8.5599118925556636E-4</v>
      </c>
      <c r="BX116" s="460">
        <f t="shared" si="362"/>
        <v>28.125035597563432</v>
      </c>
      <c r="BY116" s="173">
        <f t="shared" si="363"/>
        <v>0.17724162414903513</v>
      </c>
      <c r="BZ116" s="5">
        <f t="shared" si="364"/>
        <v>1.1039999999999999</v>
      </c>
      <c r="CA116" s="173">
        <f t="shared" si="365"/>
        <v>0.861664169499056</v>
      </c>
      <c r="CB116" s="5">
        <f t="shared" si="366"/>
        <v>86.166416949905596</v>
      </c>
      <c r="CC116">
        <f t="shared" si="367"/>
        <v>6</v>
      </c>
      <c r="CE116" s="562">
        <f t="shared" si="368"/>
        <v>-50</v>
      </c>
      <c r="CF116">
        <f t="shared" si="369"/>
        <v>-50</v>
      </c>
      <c r="CG116" s="173">
        <f t="shared" si="370"/>
        <v>9.0800015733164138E-2</v>
      </c>
      <c r="CH116" s="173">
        <f t="shared" si="371"/>
        <v>3.1726628364331766E-2</v>
      </c>
      <c r="CI116" s="170">
        <v>6</v>
      </c>
      <c r="CJ116" s="217">
        <f t="shared" si="438"/>
        <v>0.06</v>
      </c>
      <c r="CK116" s="217">
        <f t="shared" si="372"/>
        <v>1.4999999999999999E-2</v>
      </c>
      <c r="CL116" s="217">
        <f t="shared" si="373"/>
        <v>0.98399999999999987</v>
      </c>
      <c r="CM116" s="217">
        <f t="shared" si="374"/>
        <v>0.12</v>
      </c>
      <c r="CN116" s="541">
        <f t="shared" si="375"/>
        <v>10</v>
      </c>
      <c r="CO116" s="443">
        <f t="shared" si="376"/>
        <v>17.099999999999998</v>
      </c>
      <c r="CP116" s="443">
        <f t="shared" si="377"/>
        <v>27.099999999999998</v>
      </c>
      <c r="CQ116" s="443"/>
      <c r="CR116" s="217">
        <f t="shared" si="378"/>
        <v>0.62686567164179097</v>
      </c>
      <c r="CS116" s="172">
        <f t="shared" si="379"/>
        <v>18.624269954574949</v>
      </c>
      <c r="CT116" s="172">
        <f t="shared" si="380"/>
        <v>2.5482344375682562</v>
      </c>
      <c r="CU116" s="217">
        <f t="shared" si="381"/>
        <v>1.135626216742375</v>
      </c>
      <c r="CV116" s="217">
        <f t="shared" si="382"/>
        <v>2.3280337443218686</v>
      </c>
      <c r="CW116" s="217">
        <f t="shared" si="383"/>
        <v>16.399999999999999</v>
      </c>
      <c r="CX116" s="217">
        <f t="shared" si="384"/>
        <v>0.35222857142857139</v>
      </c>
      <c r="CY116" s="217">
        <f t="shared" si="385"/>
        <v>0.42267428571428567</v>
      </c>
      <c r="CZ116" s="217">
        <f t="shared" si="386"/>
        <v>0.24717794486215541</v>
      </c>
      <c r="DA116" s="197">
        <f t="shared" si="387"/>
        <v>350</v>
      </c>
      <c r="DB116" s="443">
        <f t="shared" si="388"/>
        <v>350</v>
      </c>
      <c r="DD116" s="217">
        <f t="shared" si="389"/>
        <v>1.5023721665788083</v>
      </c>
      <c r="DE116" s="173">
        <f t="shared" si="390"/>
        <v>1.0542962572482866</v>
      </c>
      <c r="DF116" s="173">
        <f t="shared" si="391"/>
        <v>0.24706104135140031</v>
      </c>
      <c r="DG116" s="173"/>
      <c r="DH116" s="173">
        <f t="shared" si="392"/>
        <v>0.93567251461988332</v>
      </c>
      <c r="DI116" s="545">
        <f t="shared" si="393"/>
        <v>96.187499999999957</v>
      </c>
      <c r="DJ116" s="528">
        <f t="shared" si="394"/>
        <v>0.21832358674463945</v>
      </c>
      <c r="DL116" s="173">
        <f t="shared" si="395"/>
        <v>0.72506157373997249</v>
      </c>
      <c r="DM116" s="173">
        <f t="shared" si="396"/>
        <v>1.3333333333333335</v>
      </c>
      <c r="DN116" s="173">
        <f t="shared" si="397"/>
        <v>1.0549642857142858</v>
      </c>
      <c r="DP116" s="545">
        <f t="shared" si="398"/>
        <v>60</v>
      </c>
      <c r="DQ116" s="460">
        <f t="shared" si="399"/>
        <v>96.187499999999957</v>
      </c>
      <c r="DS116" s="460">
        <f t="shared" si="400"/>
        <v>60</v>
      </c>
      <c r="DT116" s="460">
        <f t="shared" si="401"/>
        <v>96.187499999999957</v>
      </c>
      <c r="DV116" s="5">
        <f t="shared" si="402"/>
        <v>10.396361273554261</v>
      </c>
      <c r="DW116" s="5">
        <f t="shared" si="403"/>
        <v>1.6000000000000003</v>
      </c>
      <c r="DX116" s="5">
        <f t="shared" si="404"/>
        <v>8.7963612735542611</v>
      </c>
      <c r="DY116" s="173">
        <f t="shared" si="405"/>
        <v>0.15389999999999995</v>
      </c>
      <c r="EA116" s="5">
        <f t="shared" si="406"/>
        <v>0.58536585365853677</v>
      </c>
      <c r="EB116" s="5">
        <f t="shared" si="407"/>
        <v>0.30000000000000004</v>
      </c>
      <c r="EC116" s="5">
        <f t="shared" si="408"/>
        <v>0.7213016244314493</v>
      </c>
      <c r="ED116" s="5"/>
      <c r="EE116" s="173">
        <f t="shared" si="409"/>
        <v>0.30199337741082999</v>
      </c>
      <c r="EF116" s="173">
        <f t="shared" si="410"/>
        <v>0.70809080815428804</v>
      </c>
      <c r="EG116" s="173">
        <f t="shared" si="411"/>
        <v>0.17372098736640351</v>
      </c>
      <c r="EH116" s="173"/>
      <c r="EI116" s="528">
        <f t="shared" si="412"/>
        <v>1.8240000000000001E-3</v>
      </c>
      <c r="EJ116" s="528">
        <f t="shared" si="413"/>
        <v>6.9511499999999976E-2</v>
      </c>
      <c r="EK116" s="528">
        <f t="shared" si="414"/>
        <v>1.2023437499999994E-2</v>
      </c>
      <c r="EL116" s="528">
        <f t="shared" si="415"/>
        <v>7.0641061874999952E-3</v>
      </c>
      <c r="EM116">
        <f t="shared" si="416"/>
        <v>4.4999999999999997E-3</v>
      </c>
      <c r="EN116" s="460">
        <f t="shared" si="417"/>
        <v>16.523437499999996</v>
      </c>
      <c r="EP116" s="460">
        <f t="shared" si="439"/>
        <v>94.923043687499984</v>
      </c>
      <c r="EQ116" s="173">
        <f t="shared" si="418"/>
        <v>4.1999999999999996E-2</v>
      </c>
      <c r="ER116" s="173">
        <f t="shared" si="419"/>
        <v>6.6562499999999998E-3</v>
      </c>
      <c r="ES116" s="528"/>
      <c r="EU116" s="460">
        <f t="shared" si="420"/>
        <v>48.65625</v>
      </c>
      <c r="EV116" s="528">
        <f t="shared" si="421"/>
        <v>2.7360000000000002E-3</v>
      </c>
      <c r="EW116" s="528">
        <f t="shared" si="422"/>
        <v>1.5041777777777781E-2</v>
      </c>
      <c r="EX116" s="528">
        <f t="shared" si="423"/>
        <v>1.5089490725779065E-4</v>
      </c>
      <c r="EY116" s="528">
        <f t="shared" si="424"/>
        <v>9.3135111491989032E-3</v>
      </c>
      <c r="EZ116" s="528"/>
      <c r="FA116" s="625">
        <f t="shared" si="425"/>
        <v>8.5499999999999975E-4</v>
      </c>
      <c r="FB116" s="460">
        <f t="shared" si="426"/>
        <v>28.097183834234475</v>
      </c>
      <c r="FC116" s="173">
        <f t="shared" si="427"/>
        <v>0.17167647752173443</v>
      </c>
      <c r="FD116" s="5">
        <f t="shared" si="428"/>
        <v>1.1039999999999999</v>
      </c>
      <c r="FE116" s="173">
        <f t="shared" si="429"/>
        <v>0.86542318483817182</v>
      </c>
      <c r="FF116" s="5">
        <f t="shared" si="430"/>
        <v>86.542318483817184</v>
      </c>
      <c r="FG116">
        <f t="shared" si="431"/>
        <v>6</v>
      </c>
      <c r="FI116" s="562">
        <f t="shared" si="432"/>
        <v>-50</v>
      </c>
      <c r="FJ116">
        <f t="shared" si="433"/>
        <v>-50</v>
      </c>
    </row>
    <row r="117" spans="5:166">
      <c r="E117" s="170">
        <v>7</v>
      </c>
      <c r="F117" s="217">
        <f t="shared" si="434"/>
        <v>7.0000000000000007E-2</v>
      </c>
      <c r="G117" s="217">
        <f t="shared" si="313"/>
        <v>1.7500000000000002E-2</v>
      </c>
      <c r="H117" s="217">
        <f t="shared" si="314"/>
        <v>1.1479999999999999</v>
      </c>
      <c r="I117" s="217">
        <f t="shared" si="315"/>
        <v>0.14000000000000001</v>
      </c>
      <c r="J117" s="541">
        <f t="shared" si="316"/>
        <v>9.955209755049875</v>
      </c>
      <c r="K117" s="443">
        <f t="shared" si="317"/>
        <v>17.119823785111333</v>
      </c>
      <c r="L117" s="172">
        <f t="shared" si="318"/>
        <v>27.075033540161208</v>
      </c>
      <c r="M117" s="443"/>
      <c r="N117" s="217">
        <f t="shared" si="319"/>
        <v>0.63231034449937007</v>
      </c>
      <c r="O117" s="172">
        <f t="shared" si="320"/>
        <v>18.701888876879863</v>
      </c>
      <c r="P117" s="172">
        <f t="shared" si="321"/>
        <v>2.5588545161703564</v>
      </c>
      <c r="Q117" s="217">
        <f t="shared" si="322"/>
        <v>1.1403590778585284</v>
      </c>
      <c r="R117" s="217">
        <f t="shared" si="323"/>
        <v>2.3377361096099829</v>
      </c>
      <c r="S117" s="217">
        <f t="shared" si="324"/>
        <v>16.399999999999999</v>
      </c>
      <c r="T117" s="217">
        <f t="shared" si="325"/>
        <v>0.40922782632906857</v>
      </c>
      <c r="U117" s="217">
        <f t="shared" si="326"/>
        <v>0.49328281741706209</v>
      </c>
      <c r="V117" s="217">
        <f t="shared" si="327"/>
        <v>0.28684488681592396</v>
      </c>
      <c r="W117" s="197">
        <f t="shared" si="328"/>
        <v>350</v>
      </c>
      <c r="X117" s="443">
        <f t="shared" si="435"/>
        <v>350</v>
      </c>
      <c r="Z117" s="217">
        <f t="shared" si="329"/>
        <v>1.498757645185494</v>
      </c>
      <c r="AA117" s="173">
        <f t="shared" si="330"/>
        <v>1.0505418728589424</v>
      </c>
      <c r="AB117" s="173">
        <f t="shared" si="331"/>
        <v>0.24558896708396485</v>
      </c>
      <c r="AC117" s="173"/>
      <c r="AD117" s="173">
        <f t="shared" si="332"/>
        <v>0.93458905890811728</v>
      </c>
      <c r="AE117" s="545">
        <f t="shared" si="333"/>
        <v>112.34884358979309</v>
      </c>
      <c r="AF117" s="528">
        <f t="shared" si="334"/>
        <v>0.21807078041189407</v>
      </c>
      <c r="AH117" s="173">
        <f t="shared" si="335"/>
        <v>0.78315600829804866</v>
      </c>
      <c r="AI117" s="173">
        <f t="shared" si="336"/>
        <v>1.3333333333333335</v>
      </c>
      <c r="AJ117" s="173">
        <f t="shared" si="337"/>
        <v>1.0641993391941675</v>
      </c>
      <c r="AL117" s="545">
        <f t="shared" si="338"/>
        <v>70</v>
      </c>
      <c r="AM117" s="460">
        <f t="shared" si="339"/>
        <v>112.34884358979309</v>
      </c>
      <c r="AO117" s="460">
        <f t="shared" si="340"/>
        <v>70</v>
      </c>
      <c r="AP117" s="460">
        <f t="shared" si="341"/>
        <v>112.34884358979309</v>
      </c>
      <c r="AR117" s="5">
        <f t="shared" si="275"/>
        <v>8.9008481800773076</v>
      </c>
      <c r="AS117" s="5">
        <f t="shared" si="440"/>
        <v>1.6071986822662223</v>
      </c>
      <c r="AT117" s="5">
        <f t="shared" si="441"/>
        <v>7.2936494978110851</v>
      </c>
      <c r="AU117" s="173">
        <f t="shared" si="442"/>
        <v>0.1805669133716494</v>
      </c>
      <c r="AW117" s="5">
        <f t="shared" si="342"/>
        <v>0.68599943755265602</v>
      </c>
      <c r="AX117" s="5">
        <f t="shared" si="343"/>
        <v>0.35157471174573612</v>
      </c>
      <c r="AY117" s="5">
        <f t="shared" si="344"/>
        <v>0.70089847673641292</v>
      </c>
      <c r="AZ117" s="5"/>
      <c r="BA117" s="173">
        <f t="shared" si="345"/>
        <v>0.32711254230210712</v>
      </c>
      <c r="BB117" s="173">
        <f t="shared" si="346"/>
        <v>0.69684286411015572</v>
      </c>
      <c r="BC117" s="173">
        <f t="shared" si="347"/>
        <v>0.17096144872716873</v>
      </c>
      <c r="BD117" s="173"/>
      <c r="BE117" s="528">
        <f t="shared" si="348"/>
        <v>2.1400523066269564E-3</v>
      </c>
      <c r="BF117" s="528">
        <f t="shared" si="349"/>
        <v>7.6046217709799344E-2</v>
      </c>
      <c r="BG117" s="528">
        <f t="shared" si="350"/>
        <v>2.796140759184202E-2</v>
      </c>
      <c r="BH117" s="528">
        <f t="shared" si="351"/>
        <v>8.2358155803808741E-3</v>
      </c>
      <c r="BI117">
        <f t="shared" si="352"/>
        <v>4.4798443897724437E-3</v>
      </c>
      <c r="BJ117" s="460">
        <f t="shared" si="436"/>
        <v>32.441251981614464</v>
      </c>
      <c r="BK117">
        <f t="shared" si="353"/>
        <v>8.7044159622964551E-2</v>
      </c>
      <c r="BL117" s="460">
        <f t="shared" si="437"/>
        <v>118.86333757842165</v>
      </c>
      <c r="BM117" s="173">
        <f t="shared" si="354"/>
        <v>4.3487499999999998E-2</v>
      </c>
      <c r="BN117" s="173">
        <f t="shared" si="355"/>
        <v>1.0871875E-2</v>
      </c>
      <c r="BO117" s="528"/>
      <c r="BQ117" s="460">
        <f t="shared" si="356"/>
        <v>54.359375</v>
      </c>
      <c r="BR117" s="528">
        <f t="shared" si="357"/>
        <v>3.2100784599404346E-3</v>
      </c>
      <c r="BS117" s="528">
        <f t="shared" si="358"/>
        <v>1.4567699317837348E-2</v>
      </c>
      <c r="BT117" s="528">
        <f t="shared" si="359"/>
        <v>1.4613908475446171E-4</v>
      </c>
      <c r="BU117" s="528">
        <f t="shared" si="360"/>
        <v>1.3732144421980981E-2</v>
      </c>
      <c r="BV117" s="528"/>
      <c r="BW117" s="625">
        <f t="shared" si="361"/>
        <v>9.9865638746482769E-4</v>
      </c>
      <c r="BX117" s="460">
        <f t="shared" si="362"/>
        <v>32.654717671978048</v>
      </c>
      <c r="BY117" s="173">
        <f t="shared" si="363"/>
        <v>0.2058774302503997</v>
      </c>
      <c r="BZ117" s="5">
        <f t="shared" si="364"/>
        <v>1.2879999999999998</v>
      </c>
      <c r="CA117" s="173">
        <f t="shared" si="365"/>
        <v>0.86218586205168712</v>
      </c>
      <c r="CB117" s="5">
        <f t="shared" si="366"/>
        <v>86.21858620516872</v>
      </c>
      <c r="CC117">
        <f t="shared" si="367"/>
        <v>7.0000000000000009</v>
      </c>
      <c r="CE117" s="562">
        <f t="shared" si="368"/>
        <v>-50</v>
      </c>
      <c r="CF117">
        <f t="shared" si="369"/>
        <v>-50</v>
      </c>
      <c r="CG117" s="173">
        <f t="shared" si="370"/>
        <v>0.1059333516886915</v>
      </c>
      <c r="CH117" s="173">
        <f t="shared" si="371"/>
        <v>3.7014399758387072E-2</v>
      </c>
      <c r="CI117" s="170">
        <v>7</v>
      </c>
      <c r="CJ117" s="217">
        <f t="shared" si="438"/>
        <v>7.0000000000000007E-2</v>
      </c>
      <c r="CK117" s="217">
        <f t="shared" si="372"/>
        <v>1.7500000000000002E-2</v>
      </c>
      <c r="CL117" s="217">
        <f t="shared" si="373"/>
        <v>1.1479999999999999</v>
      </c>
      <c r="CM117" s="217">
        <f t="shared" si="374"/>
        <v>0.14000000000000001</v>
      </c>
      <c r="CN117" s="541">
        <f t="shared" si="375"/>
        <v>10</v>
      </c>
      <c r="CO117" s="443">
        <f t="shared" si="376"/>
        <v>17.099999999999998</v>
      </c>
      <c r="CP117" s="443">
        <f t="shared" si="377"/>
        <v>27.099999999999998</v>
      </c>
      <c r="CQ117" s="443"/>
      <c r="CR117" s="217">
        <f t="shared" si="378"/>
        <v>0.62686567164179097</v>
      </c>
      <c r="CS117" s="172">
        <f t="shared" si="379"/>
        <v>18.624269954574949</v>
      </c>
      <c r="CT117" s="172">
        <f t="shared" si="380"/>
        <v>2.5482344375682562</v>
      </c>
      <c r="CU117" s="217">
        <f t="shared" si="381"/>
        <v>1.135626216742375</v>
      </c>
      <c r="CV117" s="217">
        <f t="shared" si="382"/>
        <v>2.3280337443218686</v>
      </c>
      <c r="CW117" s="217">
        <f t="shared" si="383"/>
        <v>16.399999999999999</v>
      </c>
      <c r="CX117" s="217">
        <f t="shared" si="384"/>
        <v>0.41093333333333332</v>
      </c>
      <c r="CY117" s="217">
        <f t="shared" si="385"/>
        <v>0.49312</v>
      </c>
      <c r="CZ117" s="217">
        <f t="shared" si="386"/>
        <v>0.28837426900584801</v>
      </c>
      <c r="DA117" s="197">
        <f t="shared" si="387"/>
        <v>350</v>
      </c>
      <c r="DB117" s="443">
        <f t="shared" si="388"/>
        <v>350</v>
      </c>
      <c r="DD117" s="217">
        <f t="shared" si="389"/>
        <v>1.5023721665788083</v>
      </c>
      <c r="DE117" s="173">
        <f t="shared" si="390"/>
        <v>1.0542962572482866</v>
      </c>
      <c r="DF117" s="173">
        <f t="shared" si="391"/>
        <v>0.24706104135140031</v>
      </c>
      <c r="DG117" s="173"/>
      <c r="DH117" s="173">
        <f t="shared" si="392"/>
        <v>0.93567251461988332</v>
      </c>
      <c r="DI117" s="545">
        <f t="shared" si="393"/>
        <v>112.21874999999997</v>
      </c>
      <c r="DJ117" s="528">
        <f t="shared" si="394"/>
        <v>0.21832358674463945</v>
      </c>
      <c r="DL117" s="173">
        <f t="shared" si="395"/>
        <v>0.78315600829804866</v>
      </c>
      <c r="DM117" s="173">
        <f t="shared" si="396"/>
        <v>1.3333333333333335</v>
      </c>
      <c r="DN117" s="173">
        <f t="shared" si="397"/>
        <v>1.064125</v>
      </c>
      <c r="DP117" s="545">
        <f t="shared" si="398"/>
        <v>70</v>
      </c>
      <c r="DQ117" s="460">
        <f t="shared" si="399"/>
        <v>112.21874999999997</v>
      </c>
      <c r="DS117" s="460">
        <f t="shared" si="400"/>
        <v>70</v>
      </c>
      <c r="DT117" s="460">
        <f t="shared" si="401"/>
        <v>112.21874999999997</v>
      </c>
      <c r="DV117" s="5">
        <f t="shared" si="402"/>
        <v>8.9111668059036511</v>
      </c>
      <c r="DW117" s="5">
        <f t="shared" si="403"/>
        <v>1.6000000000000003</v>
      </c>
      <c r="DX117" s="5">
        <f t="shared" si="404"/>
        <v>7.3111668059036505</v>
      </c>
      <c r="DY117" s="173">
        <f t="shared" si="405"/>
        <v>0.17954999999999996</v>
      </c>
      <c r="EA117" s="5">
        <f t="shared" si="406"/>
        <v>0.68292682926829296</v>
      </c>
      <c r="EB117" s="5">
        <f t="shared" si="407"/>
        <v>0.35000000000000009</v>
      </c>
      <c r="EC117" s="5">
        <f t="shared" si="408"/>
        <v>0.69943495776478237</v>
      </c>
      <c r="ED117" s="5"/>
      <c r="EE117" s="173">
        <f t="shared" si="409"/>
        <v>0.32619012860600183</v>
      </c>
      <c r="EF117" s="173">
        <f t="shared" si="410"/>
        <v>0.69727511972864253</v>
      </c>
      <c r="EG117" s="173">
        <f t="shared" si="411"/>
        <v>0.17106749709267985</v>
      </c>
      <c r="EH117" s="173"/>
      <c r="EI117" s="528">
        <f t="shared" si="412"/>
        <v>2.1280000000000001E-3</v>
      </c>
      <c r="EJ117" s="528">
        <f t="shared" si="413"/>
        <v>8.1096749999999967E-2</v>
      </c>
      <c r="EK117" s="528">
        <f t="shared" si="414"/>
        <v>1.4027343749999997E-2</v>
      </c>
      <c r="EL117" s="528">
        <f t="shared" si="415"/>
        <v>8.2414572187499979E-3</v>
      </c>
      <c r="EM117">
        <f t="shared" si="416"/>
        <v>4.4999999999999997E-3</v>
      </c>
      <c r="EN117" s="460">
        <f t="shared" si="417"/>
        <v>18.527343749999996</v>
      </c>
      <c r="EP117" s="460">
        <f t="shared" si="439"/>
        <v>109.99355096874996</v>
      </c>
      <c r="EQ117" s="173">
        <f t="shared" si="418"/>
        <v>4.9000000000000002E-2</v>
      </c>
      <c r="ER117" s="173">
        <f t="shared" si="419"/>
        <v>7.765625E-3</v>
      </c>
      <c r="ES117" s="528"/>
      <c r="EU117" s="460">
        <f t="shared" si="420"/>
        <v>56.765625</v>
      </c>
      <c r="EV117" s="528">
        <f t="shared" si="421"/>
        <v>3.192E-3</v>
      </c>
      <c r="EW117" s="528">
        <f t="shared" si="422"/>
        <v>1.4585777777777783E-2</v>
      </c>
      <c r="EX117" s="528">
        <f t="shared" si="423"/>
        <v>1.4632044280777016E-4</v>
      </c>
      <c r="EY117" s="528">
        <f t="shared" si="424"/>
        <v>1.3692426327475686E-2</v>
      </c>
      <c r="EZ117" s="528"/>
      <c r="FA117" s="625">
        <f t="shared" si="425"/>
        <v>9.9749999999999991E-4</v>
      </c>
      <c r="FB117" s="460">
        <f t="shared" si="426"/>
        <v>32.614024548061238</v>
      </c>
      <c r="FC117" s="173">
        <f t="shared" si="427"/>
        <v>0.19937320051681121</v>
      </c>
      <c r="FD117" s="5">
        <f t="shared" si="428"/>
        <v>1.2879999999999998</v>
      </c>
      <c r="FE117" s="173">
        <f t="shared" si="429"/>
        <v>0.86595616994609304</v>
      </c>
      <c r="FF117" s="5">
        <f t="shared" si="430"/>
        <v>86.595616994609301</v>
      </c>
      <c r="FG117">
        <f t="shared" si="431"/>
        <v>7.0000000000000009</v>
      </c>
      <c r="FI117" s="562">
        <f t="shared" si="432"/>
        <v>-50</v>
      </c>
      <c r="FJ117">
        <f t="shared" si="433"/>
        <v>-50</v>
      </c>
    </row>
    <row r="118" spans="5:166">
      <c r="E118" s="170">
        <v>8</v>
      </c>
      <c r="F118" s="217">
        <f t="shared" si="434"/>
        <v>0.08</v>
      </c>
      <c r="G118" s="217">
        <f t="shared" si="313"/>
        <v>0.02</v>
      </c>
      <c r="H118" s="217">
        <f t="shared" si="314"/>
        <v>1.3119999999999998</v>
      </c>
      <c r="I118" s="217">
        <f t="shared" si="315"/>
        <v>0.16</v>
      </c>
      <c r="J118" s="541">
        <f t="shared" si="316"/>
        <v>9.955209755049875</v>
      </c>
      <c r="K118" s="443">
        <f t="shared" si="317"/>
        <v>17.119823785111333</v>
      </c>
      <c r="L118" s="172">
        <f t="shared" si="318"/>
        <v>27.075033540161208</v>
      </c>
      <c r="M118" s="443"/>
      <c r="N118" s="217">
        <f t="shared" si="319"/>
        <v>0.63231034449937007</v>
      </c>
      <c r="O118" s="172">
        <f t="shared" si="320"/>
        <v>18.701888876879863</v>
      </c>
      <c r="P118" s="172">
        <f t="shared" si="321"/>
        <v>2.5588545161703564</v>
      </c>
      <c r="Q118" s="217">
        <f t="shared" si="322"/>
        <v>1.1403590778585284</v>
      </c>
      <c r="R118" s="217">
        <f t="shared" si="323"/>
        <v>2.3377361096099829</v>
      </c>
      <c r="S118" s="217">
        <f t="shared" si="324"/>
        <v>16.399999999999999</v>
      </c>
      <c r="T118" s="217">
        <f t="shared" si="325"/>
        <v>0.46768894437607833</v>
      </c>
      <c r="U118" s="217">
        <f t="shared" si="326"/>
        <v>0.56375179133378528</v>
      </c>
      <c r="V118" s="217">
        <f t="shared" si="327"/>
        <v>0.3278227277896274</v>
      </c>
      <c r="W118" s="197">
        <f t="shared" si="328"/>
        <v>350</v>
      </c>
      <c r="X118" s="443">
        <f t="shared" si="435"/>
        <v>350</v>
      </c>
      <c r="Z118" s="217">
        <f t="shared" si="329"/>
        <v>1.498757645185494</v>
      </c>
      <c r="AA118" s="173">
        <f t="shared" si="330"/>
        <v>1.0505418728589424</v>
      </c>
      <c r="AB118" s="173">
        <f t="shared" si="331"/>
        <v>0.24558896708396485</v>
      </c>
      <c r="AC118" s="173"/>
      <c r="AD118" s="173">
        <f t="shared" si="332"/>
        <v>0.93458905890811728</v>
      </c>
      <c r="AE118" s="545">
        <f t="shared" si="333"/>
        <v>128.39867838833496</v>
      </c>
      <c r="AF118" s="528">
        <f t="shared" si="334"/>
        <v>0.21807078041189407</v>
      </c>
      <c r="AH118" s="173">
        <f t="shared" si="335"/>
        <v>0.83722898955565361</v>
      </c>
      <c r="AI118" s="173">
        <f t="shared" si="336"/>
        <v>1.3333333333333335</v>
      </c>
      <c r="AJ118" s="173">
        <f t="shared" si="337"/>
        <v>1.0733706733647628</v>
      </c>
      <c r="AL118" s="545">
        <f t="shared" si="338"/>
        <v>80</v>
      </c>
      <c r="AM118" s="460">
        <f t="shared" si="339"/>
        <v>128.39867838833496</v>
      </c>
      <c r="AO118" s="460">
        <f t="shared" si="340"/>
        <v>80</v>
      </c>
      <c r="AP118" s="460">
        <f t="shared" si="341"/>
        <v>128.39867838833496</v>
      </c>
      <c r="AR118" s="5">
        <f t="shared" si="275"/>
        <v>7.7882421575676446</v>
      </c>
      <c r="AS118" s="5">
        <f t="shared" si="440"/>
        <v>1.6071986822662223</v>
      </c>
      <c r="AT118" s="5">
        <f t="shared" si="441"/>
        <v>6.1810434753014221</v>
      </c>
      <c r="AU118" s="173">
        <f t="shared" si="442"/>
        <v>0.20636218671045642</v>
      </c>
      <c r="AW118" s="5">
        <f t="shared" si="342"/>
        <v>0.78399935720303549</v>
      </c>
      <c r="AX118" s="5">
        <f t="shared" si="343"/>
        <v>0.40179967056655558</v>
      </c>
      <c r="AY118" s="5">
        <f t="shared" si="344"/>
        <v>0.67883460344986934</v>
      </c>
      <c r="AZ118" s="5"/>
      <c r="BA118" s="173">
        <f t="shared" si="345"/>
        <v>0.3496980172031664</v>
      </c>
      <c r="BB118" s="173">
        <f t="shared" si="346"/>
        <v>0.68578705831822651</v>
      </c>
      <c r="BC118" s="173">
        <f t="shared" si="347"/>
        <v>0.16824904874091354</v>
      </c>
      <c r="BD118" s="173"/>
      <c r="BE118" s="528">
        <f t="shared" si="348"/>
        <v>2.4457740647165212E-3</v>
      </c>
      <c r="BF118" s="528">
        <f t="shared" si="349"/>
        <v>8.6909963096913526E-2</v>
      </c>
      <c r="BG118" s="528">
        <f t="shared" si="350"/>
        <v>3.1955894390676594E-2</v>
      </c>
      <c r="BH118" s="528">
        <f t="shared" si="351"/>
        <v>9.412360663292426E-3</v>
      </c>
      <c r="BI118">
        <f t="shared" si="352"/>
        <v>4.4798443897724437E-3</v>
      </c>
      <c r="BJ118" s="460">
        <f t="shared" si="436"/>
        <v>36.435738780449036</v>
      </c>
      <c r="BK118">
        <f t="shared" si="353"/>
        <v>9.9486269877421929E-2</v>
      </c>
      <c r="BL118" s="460">
        <f t="shared" si="437"/>
        <v>135.20383660537152</v>
      </c>
      <c r="BM118" s="173">
        <f t="shared" si="354"/>
        <v>4.9699999999999994E-2</v>
      </c>
      <c r="BN118" s="173">
        <f t="shared" si="355"/>
        <v>1.2424999999999999E-2</v>
      </c>
      <c r="BO118" s="528"/>
      <c r="BQ118" s="460">
        <f t="shared" si="356"/>
        <v>62.124999999999993</v>
      </c>
      <c r="BR118" s="528">
        <f t="shared" si="357"/>
        <v>3.668661097074782E-3</v>
      </c>
      <c r="BS118" s="528">
        <f t="shared" si="358"/>
        <v>1.4109116680702997E-2</v>
      </c>
      <c r="BT118" s="528">
        <f t="shared" si="359"/>
        <v>1.415387120111115E-4</v>
      </c>
      <c r="BU118" s="528">
        <f t="shared" si="360"/>
        <v>1.9174243120793581E-2</v>
      </c>
      <c r="BV118" s="528"/>
      <c r="BW118" s="625">
        <f t="shared" si="361"/>
        <v>1.1413215856740887E-3</v>
      </c>
      <c r="BX118" s="460">
        <f t="shared" si="362"/>
        <v>38.234881196256559</v>
      </c>
      <c r="BY118" s="173">
        <f t="shared" si="363"/>
        <v>0.23556371780162808</v>
      </c>
      <c r="BZ118" s="5">
        <f t="shared" si="364"/>
        <v>1.4719999999999998</v>
      </c>
      <c r="CA118" s="173">
        <f t="shared" si="365"/>
        <v>0.86204689444625804</v>
      </c>
      <c r="CB118" s="5">
        <f t="shared" si="366"/>
        <v>86.204689444625799</v>
      </c>
      <c r="CC118">
        <f t="shared" si="367"/>
        <v>8</v>
      </c>
      <c r="CE118" s="562">
        <f t="shared" si="368"/>
        <v>-50</v>
      </c>
      <c r="CF118">
        <f t="shared" si="369"/>
        <v>-50</v>
      </c>
      <c r="CG118" s="173">
        <f t="shared" si="370"/>
        <v>0.12106668764421885</v>
      </c>
      <c r="CH118" s="173">
        <f t="shared" si="371"/>
        <v>4.2302171152442357E-2</v>
      </c>
      <c r="CI118" s="170">
        <v>8</v>
      </c>
      <c r="CJ118" s="217">
        <f t="shared" si="438"/>
        <v>0.08</v>
      </c>
      <c r="CK118" s="217">
        <f t="shared" si="372"/>
        <v>0.02</v>
      </c>
      <c r="CL118" s="217">
        <f t="shared" si="373"/>
        <v>1.3119999999999998</v>
      </c>
      <c r="CM118" s="217">
        <f t="shared" si="374"/>
        <v>0.16</v>
      </c>
      <c r="CN118" s="541">
        <f t="shared" si="375"/>
        <v>10</v>
      </c>
      <c r="CO118" s="443">
        <f t="shared" si="376"/>
        <v>17.099999999999998</v>
      </c>
      <c r="CP118" s="443">
        <f t="shared" si="377"/>
        <v>27.099999999999998</v>
      </c>
      <c r="CQ118" s="443"/>
      <c r="CR118" s="217">
        <f t="shared" si="378"/>
        <v>0.62686567164179097</v>
      </c>
      <c r="CS118" s="172">
        <f t="shared" si="379"/>
        <v>18.624269954574949</v>
      </c>
      <c r="CT118" s="172">
        <f t="shared" si="380"/>
        <v>2.5482344375682562</v>
      </c>
      <c r="CU118" s="217">
        <f t="shared" si="381"/>
        <v>1.135626216742375</v>
      </c>
      <c r="CV118" s="217">
        <f t="shared" si="382"/>
        <v>2.3280337443218686</v>
      </c>
      <c r="CW118" s="217">
        <f t="shared" si="383"/>
        <v>16.399999999999999</v>
      </c>
      <c r="CX118" s="217">
        <f t="shared" si="384"/>
        <v>0.46963809523809519</v>
      </c>
      <c r="CY118" s="217">
        <f t="shared" si="385"/>
        <v>0.56356571428571423</v>
      </c>
      <c r="CZ118" s="217">
        <f t="shared" si="386"/>
        <v>0.32957059314954051</v>
      </c>
      <c r="DA118" s="197">
        <f t="shared" si="387"/>
        <v>350</v>
      </c>
      <c r="DB118" s="443">
        <f t="shared" si="388"/>
        <v>350</v>
      </c>
      <c r="DD118" s="217">
        <f t="shared" si="389"/>
        <v>1.5023721665788083</v>
      </c>
      <c r="DE118" s="173">
        <f t="shared" si="390"/>
        <v>1.0542962572482866</v>
      </c>
      <c r="DF118" s="173">
        <f t="shared" si="391"/>
        <v>0.24706104135140031</v>
      </c>
      <c r="DG118" s="173"/>
      <c r="DH118" s="173">
        <f t="shared" si="392"/>
        <v>0.93567251461988332</v>
      </c>
      <c r="DI118" s="545">
        <f t="shared" si="393"/>
        <v>128.24999999999994</v>
      </c>
      <c r="DJ118" s="528">
        <f t="shared" si="394"/>
        <v>0.21832358674463945</v>
      </c>
      <c r="DL118" s="173">
        <f t="shared" si="395"/>
        <v>0.83722898955565361</v>
      </c>
      <c r="DM118" s="173">
        <f t="shared" si="396"/>
        <v>1.3333333333333335</v>
      </c>
      <c r="DN118" s="173">
        <f t="shared" si="397"/>
        <v>1.0732857142857142</v>
      </c>
      <c r="DP118" s="545">
        <f t="shared" si="398"/>
        <v>80</v>
      </c>
      <c r="DQ118" s="460">
        <f t="shared" si="399"/>
        <v>128.24999999999994</v>
      </c>
      <c r="DS118" s="460">
        <f t="shared" si="400"/>
        <v>80</v>
      </c>
      <c r="DT118" s="460">
        <f t="shared" si="401"/>
        <v>128.24999999999994</v>
      </c>
      <c r="DV118" s="5">
        <f t="shared" si="402"/>
        <v>7.7972709551656951</v>
      </c>
      <c r="DW118" s="5">
        <f t="shared" si="403"/>
        <v>1.6000000000000003</v>
      </c>
      <c r="DX118" s="5">
        <f t="shared" si="404"/>
        <v>6.1972709551656946</v>
      </c>
      <c r="DY118" s="173">
        <f t="shared" si="405"/>
        <v>0.20519999999999997</v>
      </c>
      <c r="EA118" s="5">
        <f t="shared" si="406"/>
        <v>0.78048780487804914</v>
      </c>
      <c r="EB118" s="5">
        <f t="shared" si="407"/>
        <v>0.40000000000000008</v>
      </c>
      <c r="EC118" s="5">
        <f t="shared" si="408"/>
        <v>0.67756829109811578</v>
      </c>
      <c r="ED118" s="5"/>
      <c r="EE118" s="173">
        <f t="shared" si="409"/>
        <v>0.34871191548325392</v>
      </c>
      <c r="EF118" s="173">
        <f t="shared" si="410"/>
        <v>0.68628900078071531</v>
      </c>
      <c r="EG118" s="173">
        <f t="shared" si="411"/>
        <v>0.16837219387876948</v>
      </c>
      <c r="EH118" s="173"/>
      <c r="EI118" s="528">
        <f t="shared" si="412"/>
        <v>2.4320000000000006E-3</v>
      </c>
      <c r="EJ118" s="528">
        <f t="shared" si="413"/>
        <v>9.2681999999999945E-2</v>
      </c>
      <c r="EK118" s="528">
        <f t="shared" si="414"/>
        <v>1.6031249999999993E-2</v>
      </c>
      <c r="EL118" s="528">
        <f t="shared" si="415"/>
        <v>9.4188082499999937E-3</v>
      </c>
      <c r="EM118">
        <f t="shared" si="416"/>
        <v>4.4999999999999997E-3</v>
      </c>
      <c r="EN118" s="460">
        <f t="shared" si="417"/>
        <v>20.531249999999993</v>
      </c>
      <c r="EP118" s="460">
        <f t="shared" si="439"/>
        <v>125.06405824999995</v>
      </c>
      <c r="EQ118" s="173">
        <f t="shared" si="418"/>
        <v>5.5999999999999994E-2</v>
      </c>
      <c r="ER118" s="173">
        <f t="shared" si="419"/>
        <v>8.8749999999999992E-3</v>
      </c>
      <c r="ES118" s="528"/>
      <c r="EU118" s="460">
        <f t="shared" si="420"/>
        <v>64.874999999999986</v>
      </c>
      <c r="EV118" s="528">
        <f t="shared" si="421"/>
        <v>3.6480000000000006E-3</v>
      </c>
      <c r="EW118" s="528">
        <f t="shared" si="422"/>
        <v>1.4129777777777778E-2</v>
      </c>
      <c r="EX118" s="528">
        <f t="shared" si="423"/>
        <v>1.4174597835774969E-4</v>
      </c>
      <c r="EY118" s="528">
        <f t="shared" si="424"/>
        <v>1.9118784601210893E-2</v>
      </c>
      <c r="EZ118" s="528"/>
      <c r="FA118" s="625">
        <f t="shared" si="425"/>
        <v>1.1399999999999997E-3</v>
      </c>
      <c r="FB118" s="460">
        <f t="shared" si="426"/>
        <v>38.178308357346424</v>
      </c>
      <c r="FC118" s="173">
        <f t="shared" si="427"/>
        <v>0.22811736660734636</v>
      </c>
      <c r="FD118" s="5">
        <f t="shared" si="428"/>
        <v>1.4719999999999998</v>
      </c>
      <c r="FE118" s="173">
        <f t="shared" si="429"/>
        <v>0.86582257725973122</v>
      </c>
      <c r="FF118" s="5">
        <f t="shared" si="430"/>
        <v>86.582257725973122</v>
      </c>
      <c r="FG118">
        <f t="shared" si="431"/>
        <v>8</v>
      </c>
      <c r="FI118" s="562">
        <f t="shared" si="432"/>
        <v>-50</v>
      </c>
      <c r="FJ118">
        <f t="shared" si="433"/>
        <v>-50</v>
      </c>
    </row>
    <row r="119" spans="5:166">
      <c r="E119" s="170">
        <v>9</v>
      </c>
      <c r="F119" s="217">
        <f t="shared" si="434"/>
        <v>0.09</v>
      </c>
      <c r="G119" s="217">
        <f t="shared" si="313"/>
        <v>2.2499999999999999E-2</v>
      </c>
      <c r="H119" s="217">
        <f t="shared" si="314"/>
        <v>1.4759999999999998</v>
      </c>
      <c r="I119" s="217">
        <f t="shared" si="315"/>
        <v>0.18</v>
      </c>
      <c r="J119" s="541">
        <f t="shared" si="316"/>
        <v>9.955209755049875</v>
      </c>
      <c r="K119" s="443">
        <f t="shared" si="317"/>
        <v>17.119823785111333</v>
      </c>
      <c r="L119" s="172">
        <f t="shared" si="318"/>
        <v>27.075033540161208</v>
      </c>
      <c r="M119" s="443"/>
      <c r="N119" s="217">
        <f t="shared" si="319"/>
        <v>0.63231034449937007</v>
      </c>
      <c r="O119" s="172">
        <f t="shared" si="320"/>
        <v>18.701888876879863</v>
      </c>
      <c r="P119" s="172">
        <f t="shared" si="321"/>
        <v>2.5588545161703564</v>
      </c>
      <c r="Q119" s="217">
        <f t="shared" si="322"/>
        <v>1.1403590778585284</v>
      </c>
      <c r="R119" s="217">
        <f t="shared" si="323"/>
        <v>2.3377361096099829</v>
      </c>
      <c r="S119" s="217">
        <f t="shared" si="324"/>
        <v>16.399999999999999</v>
      </c>
      <c r="T119" s="217">
        <f t="shared" si="325"/>
        <v>0.52615006242308815</v>
      </c>
      <c r="U119" s="217">
        <f t="shared" si="326"/>
        <v>0.6342207652505083</v>
      </c>
      <c r="V119" s="217">
        <f t="shared" si="327"/>
        <v>0.36880056876333078</v>
      </c>
      <c r="W119" s="197">
        <f t="shared" si="328"/>
        <v>350</v>
      </c>
      <c r="X119" s="443">
        <f t="shared" si="435"/>
        <v>350</v>
      </c>
      <c r="Z119" s="217">
        <f t="shared" si="329"/>
        <v>1.498757645185494</v>
      </c>
      <c r="AA119" s="173">
        <f t="shared" si="330"/>
        <v>1.0505418728589424</v>
      </c>
      <c r="AB119" s="173">
        <f t="shared" si="331"/>
        <v>0.24558896708396485</v>
      </c>
      <c r="AC119" s="173"/>
      <c r="AD119" s="173">
        <f t="shared" si="332"/>
        <v>0.93458905890811728</v>
      </c>
      <c r="AE119" s="545">
        <f t="shared" si="333"/>
        <v>144.4485131868768</v>
      </c>
      <c r="AF119" s="528">
        <f t="shared" si="334"/>
        <v>0.21807078041189407</v>
      </c>
      <c r="AH119" s="173">
        <f t="shared" si="335"/>
        <v>0.88801544388114573</v>
      </c>
      <c r="AI119" s="173">
        <f t="shared" si="336"/>
        <v>1.3333333333333335</v>
      </c>
      <c r="AJ119" s="173">
        <f t="shared" si="337"/>
        <v>1.0825420075353582</v>
      </c>
      <c r="AL119" s="545">
        <f t="shared" si="338"/>
        <v>90</v>
      </c>
      <c r="AM119" s="460">
        <f t="shared" si="339"/>
        <v>144.4485131868768</v>
      </c>
      <c r="AO119" s="460">
        <f t="shared" si="340"/>
        <v>90</v>
      </c>
      <c r="AP119" s="460">
        <f t="shared" si="341"/>
        <v>144.4485131868768</v>
      </c>
      <c r="AR119" s="5">
        <f t="shared" si="275"/>
        <v>6.9228819178379091</v>
      </c>
      <c r="AS119" s="5">
        <f t="shared" si="440"/>
        <v>1.6071986822662223</v>
      </c>
      <c r="AT119" s="5">
        <f t="shared" si="441"/>
        <v>5.3156832355716865</v>
      </c>
      <c r="AU119" s="173">
        <f t="shared" si="442"/>
        <v>0.23215746004926338</v>
      </c>
      <c r="AW119" s="5">
        <f t="shared" si="342"/>
        <v>0.88199927685341484</v>
      </c>
      <c r="AX119" s="5">
        <f t="shared" si="343"/>
        <v>0.45202462938737503</v>
      </c>
      <c r="AY119" s="5">
        <f t="shared" si="344"/>
        <v>0.65677073016332599</v>
      </c>
      <c r="AZ119" s="5"/>
      <c r="BA119" s="173">
        <f t="shared" si="345"/>
        <v>0.37091075899777326</v>
      </c>
      <c r="BB119" s="173">
        <f t="shared" si="346"/>
        <v>0.67455007334688533</v>
      </c>
      <c r="BC119" s="173">
        <f t="shared" si="347"/>
        <v>0.16549219876946542</v>
      </c>
      <c r="BD119" s="173"/>
      <c r="BE119" s="528">
        <f t="shared" si="348"/>
        <v>2.7514958228060851E-3</v>
      </c>
      <c r="BF119" s="528">
        <f t="shared" si="349"/>
        <v>9.7773708484027694E-2</v>
      </c>
      <c r="BG119" s="528">
        <f t="shared" si="350"/>
        <v>3.595038118951116E-2</v>
      </c>
      <c r="BH119" s="528">
        <f t="shared" si="351"/>
        <v>1.0588905746203978E-2</v>
      </c>
      <c r="BI119">
        <f t="shared" si="352"/>
        <v>4.4798443897724437E-3</v>
      </c>
      <c r="BJ119" s="460">
        <f t="shared" si="436"/>
        <v>40.430225579283608</v>
      </c>
      <c r="BK119">
        <f t="shared" si="353"/>
        <v>0.11193018889144554</v>
      </c>
      <c r="BL119" s="460">
        <f t="shared" si="437"/>
        <v>151.54433563232135</v>
      </c>
      <c r="BM119" s="173">
        <f t="shared" si="354"/>
        <v>5.5912499999999997E-2</v>
      </c>
      <c r="BN119" s="173">
        <f t="shared" si="355"/>
        <v>1.3978124999999999E-2</v>
      </c>
      <c r="BO119" s="528"/>
      <c r="BQ119" s="460">
        <f t="shared" si="356"/>
        <v>69.890625</v>
      </c>
      <c r="BR119" s="528">
        <f t="shared" si="357"/>
        <v>4.1272437342091267E-3</v>
      </c>
      <c r="BS119" s="528">
        <f t="shared" si="358"/>
        <v>1.3650534043568651E-2</v>
      </c>
      <c r="BT119" s="528">
        <f t="shared" si="359"/>
        <v>1.3693833926776126E-4</v>
      </c>
      <c r="BU119" s="528">
        <f t="shared" si="360"/>
        <v>2.573946619034638E-2</v>
      </c>
      <c r="BV119" s="528"/>
      <c r="BW119" s="625">
        <f t="shared" si="361"/>
        <v>1.2839867838833495E-3</v>
      </c>
      <c r="BX119" s="460">
        <f t="shared" si="362"/>
        <v>44.938169091275263</v>
      </c>
      <c r="BY119" s="173">
        <f t="shared" si="363"/>
        <v>0.26637312972359661</v>
      </c>
      <c r="BZ119" s="5">
        <f t="shared" si="364"/>
        <v>1.6559999999999997</v>
      </c>
      <c r="CA119" s="173">
        <f t="shared" si="365"/>
        <v>0.861435261653966</v>
      </c>
      <c r="CB119" s="5">
        <f t="shared" si="366"/>
        <v>86.143526165396594</v>
      </c>
      <c r="CC119">
        <f t="shared" si="367"/>
        <v>9</v>
      </c>
      <c r="CE119" s="562">
        <f t="shared" si="368"/>
        <v>-50</v>
      </c>
      <c r="CF119">
        <f t="shared" si="369"/>
        <v>-50</v>
      </c>
      <c r="CG119" s="173">
        <f t="shared" si="370"/>
        <v>0.13620002359974623</v>
      </c>
      <c r="CH119" s="173">
        <f t="shared" si="371"/>
        <v>4.7589942546497656E-2</v>
      </c>
      <c r="CI119" s="170">
        <v>9</v>
      </c>
      <c r="CJ119" s="217">
        <f t="shared" si="438"/>
        <v>0.09</v>
      </c>
      <c r="CK119" s="217">
        <f t="shared" si="372"/>
        <v>2.2499999999999999E-2</v>
      </c>
      <c r="CL119" s="217">
        <f t="shared" si="373"/>
        <v>1.4759999999999998</v>
      </c>
      <c r="CM119" s="217">
        <f t="shared" si="374"/>
        <v>0.18</v>
      </c>
      <c r="CN119" s="541">
        <f t="shared" si="375"/>
        <v>10</v>
      </c>
      <c r="CO119" s="443">
        <f t="shared" si="376"/>
        <v>17.099999999999998</v>
      </c>
      <c r="CP119" s="443">
        <f t="shared" si="377"/>
        <v>27.099999999999998</v>
      </c>
      <c r="CQ119" s="443"/>
      <c r="CR119" s="217">
        <f t="shared" si="378"/>
        <v>0.62686567164179097</v>
      </c>
      <c r="CS119" s="172">
        <f t="shared" si="379"/>
        <v>18.624269954574949</v>
      </c>
      <c r="CT119" s="172">
        <f t="shared" si="380"/>
        <v>2.5482344375682562</v>
      </c>
      <c r="CU119" s="217">
        <f t="shared" si="381"/>
        <v>1.135626216742375</v>
      </c>
      <c r="CV119" s="217">
        <f t="shared" si="382"/>
        <v>2.3280337443218686</v>
      </c>
      <c r="CW119" s="217">
        <f t="shared" si="383"/>
        <v>16.399999999999999</v>
      </c>
      <c r="CX119" s="217">
        <f t="shared" si="384"/>
        <v>0.52834285714285711</v>
      </c>
      <c r="CY119" s="217">
        <f t="shared" si="385"/>
        <v>0.63401142857142856</v>
      </c>
      <c r="CZ119" s="217">
        <f t="shared" si="386"/>
        <v>0.37076691729323313</v>
      </c>
      <c r="DA119" s="197">
        <f t="shared" si="387"/>
        <v>350</v>
      </c>
      <c r="DB119" s="443">
        <f t="shared" si="388"/>
        <v>350</v>
      </c>
      <c r="DD119" s="217">
        <f t="shared" si="389"/>
        <v>1.5023721665788083</v>
      </c>
      <c r="DE119" s="173">
        <f t="shared" si="390"/>
        <v>1.0542962572482866</v>
      </c>
      <c r="DF119" s="173">
        <f t="shared" si="391"/>
        <v>0.24706104135140031</v>
      </c>
      <c r="DG119" s="173"/>
      <c r="DH119" s="173">
        <f t="shared" si="392"/>
        <v>0.93567251461988332</v>
      </c>
      <c r="DI119" s="545">
        <f t="shared" si="393"/>
        <v>144.28124999999994</v>
      </c>
      <c r="DJ119" s="528">
        <f t="shared" si="394"/>
        <v>0.21832358674463945</v>
      </c>
      <c r="DL119" s="173">
        <f t="shared" si="395"/>
        <v>0.88801544388114573</v>
      </c>
      <c r="DM119" s="173">
        <f t="shared" si="396"/>
        <v>1.3333333333333335</v>
      </c>
      <c r="DN119" s="173">
        <f t="shared" si="397"/>
        <v>1.0824464285714286</v>
      </c>
      <c r="DP119" s="545">
        <f t="shared" si="398"/>
        <v>90</v>
      </c>
      <c r="DQ119" s="460">
        <f t="shared" si="399"/>
        <v>144.28124999999994</v>
      </c>
      <c r="DS119" s="460">
        <f t="shared" si="400"/>
        <v>90</v>
      </c>
      <c r="DT119" s="460">
        <f t="shared" si="401"/>
        <v>144.28124999999994</v>
      </c>
      <c r="DV119" s="5">
        <f t="shared" si="402"/>
        <v>6.9309075157028399</v>
      </c>
      <c r="DW119" s="5">
        <f t="shared" si="403"/>
        <v>1.6000000000000003</v>
      </c>
      <c r="DX119" s="5">
        <f t="shared" si="404"/>
        <v>5.3309075157028394</v>
      </c>
      <c r="DY119" s="173">
        <f t="shared" si="405"/>
        <v>0.23084999999999997</v>
      </c>
      <c r="EA119" s="5">
        <f t="shared" si="406"/>
        <v>0.8780487804878051</v>
      </c>
      <c r="EB119" s="5">
        <f t="shared" si="407"/>
        <v>0.45000000000000007</v>
      </c>
      <c r="EC119" s="5">
        <f t="shared" si="408"/>
        <v>0.65570162443144908</v>
      </c>
      <c r="ED119" s="5"/>
      <c r="EE119" s="173">
        <f t="shared" si="409"/>
        <v>0.36986484017813864</v>
      </c>
      <c r="EF119" s="173">
        <f t="shared" si="410"/>
        <v>0.67512413124742676</v>
      </c>
      <c r="EG119" s="173">
        <f t="shared" si="411"/>
        <v>0.16563303650403152</v>
      </c>
      <c r="EH119" s="173"/>
      <c r="EI119" s="528">
        <f t="shared" si="412"/>
        <v>2.7360000000000006E-3</v>
      </c>
      <c r="EJ119" s="528">
        <f t="shared" si="413"/>
        <v>0.10426724999999995</v>
      </c>
      <c r="EK119" s="528">
        <f t="shared" si="414"/>
        <v>1.8035156249999993E-2</v>
      </c>
      <c r="EL119" s="528">
        <f t="shared" si="415"/>
        <v>1.0596159281249993E-2</v>
      </c>
      <c r="EM119">
        <f t="shared" si="416"/>
        <v>4.4999999999999997E-3</v>
      </c>
      <c r="EN119" s="460">
        <f t="shared" si="417"/>
        <v>22.535156249999993</v>
      </c>
      <c r="EP119" s="460">
        <f t="shared" si="439"/>
        <v>140.13456553124996</v>
      </c>
      <c r="EQ119" s="173">
        <f t="shared" si="418"/>
        <v>6.3E-2</v>
      </c>
      <c r="ER119" s="173">
        <f t="shared" si="419"/>
        <v>9.9843749999999985E-3</v>
      </c>
      <c r="ES119" s="528"/>
      <c r="EU119" s="460">
        <f t="shared" si="420"/>
        <v>72.984375</v>
      </c>
      <c r="EV119" s="528">
        <f t="shared" si="421"/>
        <v>4.1040000000000009E-3</v>
      </c>
      <c r="EW119" s="528">
        <f t="shared" si="422"/>
        <v>1.3673777777777779E-2</v>
      </c>
      <c r="EX119" s="528">
        <f t="shared" si="423"/>
        <v>1.371715139077292E-4</v>
      </c>
      <c r="EY119" s="528">
        <f t="shared" si="424"/>
        <v>2.5665018782916969E-2</v>
      </c>
      <c r="EZ119" s="528"/>
      <c r="FA119" s="625">
        <f t="shared" si="425"/>
        <v>1.2824999999999996E-3</v>
      </c>
      <c r="FB119" s="460">
        <f t="shared" si="426"/>
        <v>44.862468074602482</v>
      </c>
      <c r="FC119" s="173">
        <f t="shared" si="427"/>
        <v>0.25798140860585245</v>
      </c>
      <c r="FD119" s="5">
        <f t="shared" si="428"/>
        <v>1.6559999999999997</v>
      </c>
      <c r="FE119" s="173">
        <f t="shared" si="429"/>
        <v>0.86521216588317507</v>
      </c>
      <c r="FF119" s="5">
        <f t="shared" si="430"/>
        <v>86.5212165883175</v>
      </c>
      <c r="FG119">
        <f t="shared" si="431"/>
        <v>9</v>
      </c>
      <c r="FI119" s="562">
        <f t="shared" si="432"/>
        <v>-50</v>
      </c>
      <c r="FJ119">
        <f t="shared" si="433"/>
        <v>-50</v>
      </c>
    </row>
    <row r="120" spans="5:166">
      <c r="E120" s="170">
        <v>10</v>
      </c>
      <c r="F120" s="217">
        <f t="shared" si="434"/>
        <v>0.1</v>
      </c>
      <c r="G120" s="217">
        <f t="shared" si="313"/>
        <v>2.5000000000000001E-2</v>
      </c>
      <c r="H120" s="217">
        <f t="shared" si="314"/>
        <v>1.64</v>
      </c>
      <c r="I120" s="217">
        <f t="shared" si="315"/>
        <v>0.2</v>
      </c>
      <c r="J120" s="541">
        <f t="shared" si="316"/>
        <v>9.955209755049875</v>
      </c>
      <c r="K120" s="443">
        <f t="shared" si="317"/>
        <v>17.119823785111333</v>
      </c>
      <c r="L120" s="172">
        <f t="shared" si="318"/>
        <v>27.075033540161208</v>
      </c>
      <c r="M120" s="443"/>
      <c r="N120" s="217">
        <f t="shared" si="319"/>
        <v>0.63231034449937007</v>
      </c>
      <c r="O120" s="172">
        <f t="shared" si="320"/>
        <v>18.701888876879863</v>
      </c>
      <c r="P120" s="172">
        <f t="shared" si="321"/>
        <v>2.5588545161703564</v>
      </c>
      <c r="Q120" s="217">
        <f t="shared" si="322"/>
        <v>1.1403590778585284</v>
      </c>
      <c r="R120" s="217">
        <f t="shared" si="323"/>
        <v>2.3377361096099829</v>
      </c>
      <c r="S120" s="217">
        <f t="shared" si="324"/>
        <v>16.399999999999999</v>
      </c>
      <c r="T120" s="217">
        <f t="shared" si="325"/>
        <v>0.58461118047009797</v>
      </c>
      <c r="U120" s="217">
        <f t="shared" si="326"/>
        <v>0.70468973916723154</v>
      </c>
      <c r="V120" s="217">
        <f t="shared" si="327"/>
        <v>0.40977840973703422</v>
      </c>
      <c r="W120" s="197">
        <f t="shared" si="328"/>
        <v>350</v>
      </c>
      <c r="X120" s="443">
        <f t="shared" si="435"/>
        <v>350</v>
      </c>
      <c r="Z120" s="217">
        <f t="shared" si="329"/>
        <v>1.498757645185494</v>
      </c>
      <c r="AA120" s="173">
        <f t="shared" si="330"/>
        <v>1.0505418728589424</v>
      </c>
      <c r="AB120" s="173">
        <f t="shared" si="331"/>
        <v>0.24558896708396485</v>
      </c>
      <c r="AC120" s="173"/>
      <c r="AD120" s="173">
        <f t="shared" si="332"/>
        <v>0.93458905890811728</v>
      </c>
      <c r="AE120" s="545">
        <f t="shared" si="333"/>
        <v>160.49834798541869</v>
      </c>
      <c r="AF120" s="528">
        <f t="shared" si="334"/>
        <v>0.21807078041189407</v>
      </c>
      <c r="AH120" s="173">
        <f t="shared" si="335"/>
        <v>0.93605046668995151</v>
      </c>
      <c r="AI120" s="173">
        <f t="shared" si="336"/>
        <v>1.3333333333333335</v>
      </c>
      <c r="AJ120" s="173">
        <f t="shared" si="337"/>
        <v>1.0917133417059535</v>
      </c>
      <c r="AL120" s="545">
        <f t="shared" si="338"/>
        <v>100</v>
      </c>
      <c r="AM120" s="460">
        <f t="shared" si="339"/>
        <v>160.49834798541869</v>
      </c>
      <c r="AO120" s="460">
        <f t="shared" si="340"/>
        <v>100</v>
      </c>
      <c r="AP120" s="460">
        <f t="shared" si="341"/>
        <v>160.49834798541869</v>
      </c>
      <c r="AR120" s="5">
        <f t="shared" si="275"/>
        <v>6.2305937260541162</v>
      </c>
      <c r="AS120" s="5">
        <f t="shared" si="440"/>
        <v>1.6071986822662223</v>
      </c>
      <c r="AT120" s="5">
        <f t="shared" si="441"/>
        <v>4.6233950437878937</v>
      </c>
      <c r="AU120" s="173">
        <f t="shared" si="442"/>
        <v>0.25795273338807051</v>
      </c>
      <c r="AW120" s="5">
        <f t="shared" si="342"/>
        <v>0.97999919650379419</v>
      </c>
      <c r="AX120" s="5">
        <f t="shared" si="343"/>
        <v>0.50224958820819443</v>
      </c>
      <c r="AY120" s="5">
        <f t="shared" si="344"/>
        <v>0.63470685687678208</v>
      </c>
      <c r="AZ120" s="5"/>
      <c r="BA120" s="173">
        <f t="shared" si="345"/>
        <v>0.39097426903158544</v>
      </c>
      <c r="BB120" s="173">
        <f t="shared" si="346"/>
        <v>0.66312269871254614</v>
      </c>
      <c r="BC120" s="173">
        <f t="shared" si="347"/>
        <v>0.16268863913894599</v>
      </c>
      <c r="BD120" s="173"/>
      <c r="BE120" s="528">
        <f t="shared" si="348"/>
        <v>3.0572175808956511E-3</v>
      </c>
      <c r="BF120" s="528">
        <f t="shared" si="349"/>
        <v>0.10863745387114192</v>
      </c>
      <c r="BG120" s="528">
        <f t="shared" si="350"/>
        <v>3.9944867988345741E-2</v>
      </c>
      <c r="BH120" s="528">
        <f t="shared" si="351"/>
        <v>1.1765450829115533E-2</v>
      </c>
      <c r="BI120">
        <f t="shared" si="352"/>
        <v>4.4798443897724437E-3</v>
      </c>
      <c r="BJ120" s="460">
        <f t="shared" si="436"/>
        <v>44.42471237811818</v>
      </c>
      <c r="BK120">
        <f t="shared" si="353"/>
        <v>0.1243759170594841</v>
      </c>
      <c r="BL120" s="460">
        <f t="shared" si="437"/>
        <v>167.88483465927129</v>
      </c>
      <c r="BM120" s="173">
        <f t="shared" si="354"/>
        <v>6.2124999999999993E-2</v>
      </c>
      <c r="BN120" s="173">
        <f t="shared" si="355"/>
        <v>1.5531249999999998E-2</v>
      </c>
      <c r="BO120" s="528"/>
      <c r="BQ120" s="460">
        <f t="shared" si="356"/>
        <v>77.65625</v>
      </c>
      <c r="BR120" s="528">
        <f t="shared" si="357"/>
        <v>4.5858263713434762E-3</v>
      </c>
      <c r="BS120" s="528">
        <f t="shared" si="358"/>
        <v>1.3191951406434307E-2</v>
      </c>
      <c r="BT120" s="528">
        <f t="shared" si="359"/>
        <v>1.3233796652441097E-4</v>
      </c>
      <c r="BU120" s="528">
        <f t="shared" si="360"/>
        <v>3.3496024246251671E-2</v>
      </c>
      <c r="BV120" s="528"/>
      <c r="BW120" s="625">
        <f t="shared" si="361"/>
        <v>1.4266519820926107E-3</v>
      </c>
      <c r="BX120" s="460">
        <f t="shared" si="362"/>
        <v>52.832791972646476</v>
      </c>
      <c r="BY120" s="173">
        <f t="shared" si="363"/>
        <v>0.29837387663191778</v>
      </c>
      <c r="BZ120" s="5">
        <f t="shared" si="364"/>
        <v>1.8399999999999999</v>
      </c>
      <c r="CA120" s="173">
        <f t="shared" si="365"/>
        <v>0.86046692774704259</v>
      </c>
      <c r="CB120" s="5">
        <f t="shared" si="366"/>
        <v>86.046692774704255</v>
      </c>
      <c r="CC120">
        <f t="shared" si="367"/>
        <v>10</v>
      </c>
      <c r="CE120" s="562">
        <f t="shared" si="368"/>
        <v>-50</v>
      </c>
      <c r="CF120">
        <f t="shared" si="369"/>
        <v>-50</v>
      </c>
      <c r="CG120" s="173">
        <f t="shared" si="370"/>
        <v>0.15133335955527358</v>
      </c>
      <c r="CH120" s="173">
        <f t="shared" si="371"/>
        <v>5.2877713940552955E-2</v>
      </c>
      <c r="CI120" s="170">
        <v>10</v>
      </c>
      <c r="CJ120" s="217">
        <f t="shared" si="438"/>
        <v>0.1</v>
      </c>
      <c r="CK120" s="217">
        <f t="shared" si="372"/>
        <v>2.5000000000000001E-2</v>
      </c>
      <c r="CL120" s="217">
        <f t="shared" si="373"/>
        <v>1.64</v>
      </c>
      <c r="CM120" s="217">
        <f t="shared" si="374"/>
        <v>0.2</v>
      </c>
      <c r="CN120" s="541">
        <f t="shared" si="375"/>
        <v>10</v>
      </c>
      <c r="CO120" s="443">
        <f t="shared" si="376"/>
        <v>17.099999999999998</v>
      </c>
      <c r="CP120" s="443">
        <f t="shared" si="377"/>
        <v>27.099999999999998</v>
      </c>
      <c r="CQ120" s="443"/>
      <c r="CR120" s="217">
        <f t="shared" si="378"/>
        <v>0.62686567164179097</v>
      </c>
      <c r="CS120" s="172">
        <f t="shared" si="379"/>
        <v>18.624269954574949</v>
      </c>
      <c r="CT120" s="172">
        <f t="shared" si="380"/>
        <v>2.5482344375682562</v>
      </c>
      <c r="CU120" s="217">
        <f t="shared" si="381"/>
        <v>1.135626216742375</v>
      </c>
      <c r="CV120" s="217">
        <f t="shared" si="382"/>
        <v>2.3280337443218686</v>
      </c>
      <c r="CW120" s="217">
        <f t="shared" si="383"/>
        <v>16.399999999999999</v>
      </c>
      <c r="CX120" s="217">
        <f t="shared" si="384"/>
        <v>0.58704761904761904</v>
      </c>
      <c r="CY120" s="217">
        <f t="shared" si="385"/>
        <v>0.70445714285714289</v>
      </c>
      <c r="CZ120" s="217">
        <f t="shared" si="386"/>
        <v>0.4119632414369257</v>
      </c>
      <c r="DA120" s="197">
        <f t="shared" si="387"/>
        <v>350</v>
      </c>
      <c r="DB120" s="443">
        <f t="shared" si="388"/>
        <v>350</v>
      </c>
      <c r="DD120" s="217">
        <f t="shared" si="389"/>
        <v>1.5023721665788083</v>
      </c>
      <c r="DE120" s="173">
        <f t="shared" si="390"/>
        <v>1.0542962572482866</v>
      </c>
      <c r="DF120" s="173">
        <f t="shared" si="391"/>
        <v>0.24706104135140031</v>
      </c>
      <c r="DG120" s="173"/>
      <c r="DH120" s="173">
        <f t="shared" si="392"/>
        <v>0.93567251461988332</v>
      </c>
      <c r="DI120" s="545">
        <f t="shared" si="393"/>
        <v>160.31249999999994</v>
      </c>
      <c r="DJ120" s="528">
        <f t="shared" si="394"/>
        <v>0.21832358674463945</v>
      </c>
      <c r="DL120" s="173">
        <f t="shared" si="395"/>
        <v>0.93605046668995151</v>
      </c>
      <c r="DM120" s="173">
        <f t="shared" si="396"/>
        <v>1.3333333333333335</v>
      </c>
      <c r="DN120" s="173">
        <f t="shared" si="397"/>
        <v>1.0916071428571428</v>
      </c>
      <c r="DP120" s="545">
        <f t="shared" si="398"/>
        <v>100</v>
      </c>
      <c r="DQ120" s="460">
        <f t="shared" si="399"/>
        <v>160.31249999999994</v>
      </c>
      <c r="DS120" s="460">
        <f t="shared" si="400"/>
        <v>100</v>
      </c>
      <c r="DT120" s="460">
        <f t="shared" si="401"/>
        <v>160.31249999999994</v>
      </c>
      <c r="DV120" s="5">
        <f t="shared" si="402"/>
        <v>6.2378167641325559</v>
      </c>
      <c r="DW120" s="5">
        <f t="shared" si="403"/>
        <v>1.6000000000000003</v>
      </c>
      <c r="DX120" s="5">
        <f t="shared" si="404"/>
        <v>4.6378167641325554</v>
      </c>
      <c r="DY120" s="173">
        <f t="shared" si="405"/>
        <v>0.25649999999999995</v>
      </c>
      <c r="EA120" s="5">
        <f t="shared" si="406"/>
        <v>0.97560975609756129</v>
      </c>
      <c r="EB120" s="5">
        <f t="shared" si="407"/>
        <v>0.50000000000000011</v>
      </c>
      <c r="EC120" s="5">
        <f t="shared" si="408"/>
        <v>0.63383495776478238</v>
      </c>
      <c r="ED120" s="5"/>
      <c r="EE120" s="173">
        <f t="shared" si="409"/>
        <v>0.38987177379235854</v>
      </c>
      <c r="EF120" s="173">
        <f t="shared" si="410"/>
        <v>0.66377149124724599</v>
      </c>
      <c r="EG120" s="173">
        <f t="shared" si="411"/>
        <v>0.16284781205635446</v>
      </c>
      <c r="EH120" s="173"/>
      <c r="EI120" s="528">
        <f t="shared" si="412"/>
        <v>3.0400000000000002E-3</v>
      </c>
      <c r="EJ120" s="528">
        <f t="shared" si="413"/>
        <v>0.11585249999999997</v>
      </c>
      <c r="EK120" s="528">
        <f t="shared" si="414"/>
        <v>2.0039062499999993E-2</v>
      </c>
      <c r="EL120" s="528">
        <f t="shared" si="415"/>
        <v>1.1773510312499994E-2</v>
      </c>
      <c r="EM120">
        <f t="shared" si="416"/>
        <v>4.4999999999999997E-3</v>
      </c>
      <c r="EN120" s="460">
        <f t="shared" si="417"/>
        <v>24.539062499999993</v>
      </c>
      <c r="EP120" s="460">
        <f t="shared" si="439"/>
        <v>155.20507281249996</v>
      </c>
      <c r="EQ120" s="173">
        <f t="shared" si="418"/>
        <v>6.9999999999999993E-2</v>
      </c>
      <c r="ER120" s="173">
        <f t="shared" si="419"/>
        <v>1.1093749999999999E-2</v>
      </c>
      <c r="ES120" s="528"/>
      <c r="EU120" s="460">
        <f t="shared" si="420"/>
        <v>81.093749999999986</v>
      </c>
      <c r="EV120" s="528">
        <f t="shared" si="421"/>
        <v>4.5599999999999998E-3</v>
      </c>
      <c r="EW120" s="528">
        <f t="shared" si="422"/>
        <v>1.3217777777777781E-2</v>
      </c>
      <c r="EX120" s="528">
        <f t="shared" si="423"/>
        <v>1.3259704945770871E-4</v>
      </c>
      <c r="EY120" s="528">
        <f t="shared" si="424"/>
        <v>3.3399142199596735E-2</v>
      </c>
      <c r="EZ120" s="528"/>
      <c r="FA120" s="625">
        <f t="shared" si="425"/>
        <v>1.4249999999999996E-3</v>
      </c>
      <c r="FB120" s="460">
        <f t="shared" si="426"/>
        <v>52.734517026832229</v>
      </c>
      <c r="FC120" s="173">
        <f t="shared" si="427"/>
        <v>0.28903333983933222</v>
      </c>
      <c r="FD120" s="5">
        <f t="shared" si="428"/>
        <v>1.8399999999999999</v>
      </c>
      <c r="FE120" s="173">
        <f t="shared" si="429"/>
        <v>0.86424198511558115</v>
      </c>
      <c r="FF120" s="5">
        <f t="shared" si="430"/>
        <v>86.424198511558117</v>
      </c>
      <c r="FG120">
        <f t="shared" si="431"/>
        <v>10</v>
      </c>
      <c r="FI120" s="562">
        <f t="shared" si="432"/>
        <v>-50</v>
      </c>
      <c r="FJ120">
        <f t="shared" si="433"/>
        <v>-50</v>
      </c>
    </row>
    <row r="121" spans="5:166">
      <c r="E121" s="170">
        <v>11</v>
      </c>
      <c r="F121" s="217">
        <f t="shared" si="434"/>
        <v>0.11</v>
      </c>
      <c r="G121" s="217">
        <f t="shared" si="313"/>
        <v>2.75E-2</v>
      </c>
      <c r="H121" s="217">
        <f t="shared" si="314"/>
        <v>1.8039999999999998</v>
      </c>
      <c r="I121" s="217">
        <f t="shared" si="315"/>
        <v>0.22</v>
      </c>
      <c r="J121" s="541">
        <f t="shared" si="316"/>
        <v>9.955209755049875</v>
      </c>
      <c r="K121" s="443">
        <f t="shared" si="317"/>
        <v>17.119823785111333</v>
      </c>
      <c r="L121" s="172">
        <f t="shared" si="318"/>
        <v>27.075033540161208</v>
      </c>
      <c r="M121" s="443"/>
      <c r="N121" s="217">
        <f t="shared" si="319"/>
        <v>0.63231034449937007</v>
      </c>
      <c r="O121" s="172">
        <f t="shared" si="320"/>
        <v>18.701888876879863</v>
      </c>
      <c r="P121" s="172">
        <f t="shared" si="321"/>
        <v>2.5588545161703564</v>
      </c>
      <c r="Q121" s="217">
        <f t="shared" si="322"/>
        <v>1.1403590778585284</v>
      </c>
      <c r="R121" s="217">
        <f t="shared" si="323"/>
        <v>2.3377361096099829</v>
      </c>
      <c r="S121" s="217">
        <f t="shared" si="324"/>
        <v>16.399999999999999</v>
      </c>
      <c r="T121" s="217">
        <f t="shared" si="325"/>
        <v>0.6430722985171079</v>
      </c>
      <c r="U121" s="217">
        <f t="shared" si="326"/>
        <v>0.7751587130839549</v>
      </c>
      <c r="V121" s="217">
        <f t="shared" si="327"/>
        <v>0.45075625071073772</v>
      </c>
      <c r="W121" s="197">
        <f t="shared" si="328"/>
        <v>350</v>
      </c>
      <c r="X121" s="443">
        <f t="shared" si="435"/>
        <v>350</v>
      </c>
      <c r="Z121" s="217">
        <f t="shared" si="329"/>
        <v>1.498757645185494</v>
      </c>
      <c r="AA121" s="173">
        <f t="shared" si="330"/>
        <v>1.0505418728589424</v>
      </c>
      <c r="AB121" s="173">
        <f t="shared" si="331"/>
        <v>0.24558896708396485</v>
      </c>
      <c r="AC121" s="173"/>
      <c r="AD121" s="173">
        <f t="shared" si="332"/>
        <v>0.93458905890811728</v>
      </c>
      <c r="AE121" s="545">
        <f t="shared" si="333"/>
        <v>176.54818278396056</v>
      </c>
      <c r="AF121" s="528">
        <f t="shared" si="334"/>
        <v>0.21807078041189407</v>
      </c>
      <c r="AH121" s="173">
        <f t="shared" si="335"/>
        <v>0.98173801179822096</v>
      </c>
      <c r="AI121" s="173">
        <f t="shared" si="336"/>
        <v>1.3333333333333335</v>
      </c>
      <c r="AJ121" s="173">
        <f t="shared" si="337"/>
        <v>1.1008846758765489</v>
      </c>
      <c r="AL121" s="545">
        <f t="shared" si="338"/>
        <v>110</v>
      </c>
      <c r="AM121" s="460">
        <f t="shared" si="339"/>
        <v>176.54818278396056</v>
      </c>
      <c r="AO121" s="460">
        <f t="shared" si="340"/>
        <v>110</v>
      </c>
      <c r="AP121" s="460">
        <f t="shared" si="341"/>
        <v>176.54818278396056</v>
      </c>
      <c r="AR121" s="5">
        <f t="shared" si="275"/>
        <v>5.6641761145946514</v>
      </c>
      <c r="AS121" s="5">
        <f t="shared" si="440"/>
        <v>1.6071986822662223</v>
      </c>
      <c r="AT121" s="5">
        <f t="shared" si="441"/>
        <v>4.0569774323284289</v>
      </c>
      <c r="AU121" s="173">
        <f t="shared" si="442"/>
        <v>0.28374800672687756</v>
      </c>
      <c r="AW121" s="5">
        <f t="shared" si="342"/>
        <v>1.0779991161541738</v>
      </c>
      <c r="AX121" s="5">
        <f t="shared" si="343"/>
        <v>0.552474547029014</v>
      </c>
      <c r="AY121" s="5">
        <f t="shared" si="344"/>
        <v>0.6126429835902385</v>
      </c>
      <c r="AZ121" s="5"/>
      <c r="BA121" s="173">
        <f t="shared" si="345"/>
        <v>0.41005727276718401</v>
      </c>
      <c r="BB121" s="173">
        <f t="shared" si="346"/>
        <v>0.65149491605332721</v>
      </c>
      <c r="BC121" s="173">
        <f t="shared" si="347"/>
        <v>0.15983591197291097</v>
      </c>
      <c r="BD121" s="173"/>
      <c r="BE121" s="528">
        <f t="shared" si="348"/>
        <v>3.3629393389852155E-3</v>
      </c>
      <c r="BF121" s="528">
        <f t="shared" si="349"/>
        <v>0.11950119925825607</v>
      </c>
      <c r="BG121" s="528">
        <f t="shared" si="350"/>
        <v>4.3939354787180314E-2</v>
      </c>
      <c r="BH121" s="528">
        <f t="shared" si="351"/>
        <v>1.2941995912027087E-2</v>
      </c>
      <c r="BI121">
        <f t="shared" si="352"/>
        <v>4.4798443897724437E-3</v>
      </c>
      <c r="BJ121" s="460">
        <f t="shared" si="436"/>
        <v>48.419199176952752</v>
      </c>
      <c r="BK121">
        <f t="shared" si="353"/>
        <v>0.13682345477610081</v>
      </c>
      <c r="BL121" s="460">
        <f t="shared" si="437"/>
        <v>184.22533368622112</v>
      </c>
      <c r="BM121" s="173">
        <f t="shared" si="354"/>
        <v>6.8337499999999995E-2</v>
      </c>
      <c r="BN121" s="173">
        <f t="shared" si="355"/>
        <v>1.7084374999999999E-2</v>
      </c>
      <c r="BO121" s="528"/>
      <c r="BQ121" s="460">
        <f t="shared" si="356"/>
        <v>85.421875</v>
      </c>
      <c r="BR121" s="528">
        <f t="shared" si="357"/>
        <v>5.0444090084778223E-3</v>
      </c>
      <c r="BS121" s="528">
        <f t="shared" si="358"/>
        <v>1.2733368769299955E-2</v>
      </c>
      <c r="BT121" s="528">
        <f t="shared" si="359"/>
        <v>1.2773759378106072E-4</v>
      </c>
      <c r="BU121" s="528">
        <f t="shared" si="360"/>
        <v>4.2508421195668722E-2</v>
      </c>
      <c r="BV121" s="528"/>
      <c r="BW121" s="625">
        <f t="shared" si="361"/>
        <v>1.5693171803018717E-3</v>
      </c>
      <c r="BX121" s="460">
        <f t="shared" si="362"/>
        <v>61.983253747529432</v>
      </c>
      <c r="BY121" s="173">
        <f t="shared" si="363"/>
        <v>0.33163046243375055</v>
      </c>
      <c r="BZ121" s="5">
        <f t="shared" si="364"/>
        <v>2.024</v>
      </c>
      <c r="CA121" s="173">
        <f t="shared" si="365"/>
        <v>0.85921795981058835</v>
      </c>
      <c r="CB121" s="5">
        <f t="shared" si="366"/>
        <v>85.921795981058835</v>
      </c>
      <c r="CC121">
        <f t="shared" si="367"/>
        <v>11</v>
      </c>
      <c r="CE121" s="562">
        <f t="shared" si="368"/>
        <v>-50</v>
      </c>
      <c r="CF121">
        <f t="shared" si="369"/>
        <v>-50</v>
      </c>
      <c r="CG121" s="173">
        <f t="shared" si="370"/>
        <v>0.16646669551080095</v>
      </c>
      <c r="CH121" s="173">
        <f t="shared" si="371"/>
        <v>5.8165485334608247E-2</v>
      </c>
      <c r="CI121" s="170">
        <v>11</v>
      </c>
      <c r="CJ121" s="217">
        <f t="shared" si="438"/>
        <v>0.11</v>
      </c>
      <c r="CK121" s="217">
        <f t="shared" si="372"/>
        <v>2.75E-2</v>
      </c>
      <c r="CL121" s="217">
        <f t="shared" si="373"/>
        <v>1.8039999999999998</v>
      </c>
      <c r="CM121" s="217">
        <f t="shared" si="374"/>
        <v>0.22</v>
      </c>
      <c r="CN121" s="541">
        <f t="shared" si="375"/>
        <v>10</v>
      </c>
      <c r="CO121" s="443">
        <f t="shared" si="376"/>
        <v>17.099999999999998</v>
      </c>
      <c r="CP121" s="443">
        <f t="shared" si="377"/>
        <v>27.099999999999998</v>
      </c>
      <c r="CQ121" s="443"/>
      <c r="CR121" s="217">
        <f t="shared" si="378"/>
        <v>0.62686567164179097</v>
      </c>
      <c r="CS121" s="172">
        <f t="shared" si="379"/>
        <v>18.624269954574949</v>
      </c>
      <c r="CT121" s="172">
        <f t="shared" si="380"/>
        <v>2.5482344375682562</v>
      </c>
      <c r="CU121" s="217">
        <f t="shared" si="381"/>
        <v>1.135626216742375</v>
      </c>
      <c r="CV121" s="217">
        <f t="shared" si="382"/>
        <v>2.3280337443218686</v>
      </c>
      <c r="CW121" s="217">
        <f t="shared" si="383"/>
        <v>16.399999999999999</v>
      </c>
      <c r="CX121" s="217">
        <f t="shared" si="384"/>
        <v>0.64575238095238097</v>
      </c>
      <c r="CY121" s="217">
        <f t="shared" si="385"/>
        <v>0.77490285714285712</v>
      </c>
      <c r="CZ121" s="217">
        <f t="shared" si="386"/>
        <v>0.45315956558061832</v>
      </c>
      <c r="DA121" s="197">
        <f t="shared" si="387"/>
        <v>350</v>
      </c>
      <c r="DB121" s="443">
        <f t="shared" si="388"/>
        <v>350</v>
      </c>
      <c r="DD121" s="217">
        <f t="shared" si="389"/>
        <v>1.5023721665788083</v>
      </c>
      <c r="DE121" s="173">
        <f t="shared" si="390"/>
        <v>1.0542962572482866</v>
      </c>
      <c r="DF121" s="173">
        <f t="shared" si="391"/>
        <v>0.24706104135140031</v>
      </c>
      <c r="DG121" s="173"/>
      <c r="DH121" s="173">
        <f t="shared" si="392"/>
        <v>0.93567251461988332</v>
      </c>
      <c r="DI121" s="545">
        <f t="shared" si="393"/>
        <v>176.34374999999994</v>
      </c>
      <c r="DJ121" s="528">
        <f t="shared" si="394"/>
        <v>0.21832358674463945</v>
      </c>
      <c r="DL121" s="173">
        <f t="shared" si="395"/>
        <v>0.98173801179822096</v>
      </c>
      <c r="DM121" s="173">
        <f t="shared" si="396"/>
        <v>1.3333333333333335</v>
      </c>
      <c r="DN121" s="173">
        <f t="shared" si="397"/>
        <v>1.1007678571428572</v>
      </c>
      <c r="DP121" s="545">
        <f t="shared" si="398"/>
        <v>110</v>
      </c>
      <c r="DQ121" s="460">
        <f t="shared" si="399"/>
        <v>176.34374999999994</v>
      </c>
      <c r="DS121" s="460">
        <f t="shared" si="400"/>
        <v>110</v>
      </c>
      <c r="DT121" s="460">
        <f t="shared" si="401"/>
        <v>176.34374999999994</v>
      </c>
      <c r="DV121" s="5">
        <f t="shared" si="402"/>
        <v>5.6707425128477773</v>
      </c>
      <c r="DW121" s="5">
        <f t="shared" si="403"/>
        <v>1.6000000000000003</v>
      </c>
      <c r="DX121" s="5">
        <f t="shared" si="404"/>
        <v>4.0707425128477768</v>
      </c>
      <c r="DY121" s="173">
        <f t="shared" si="405"/>
        <v>0.28215000000000001</v>
      </c>
      <c r="EA121" s="5">
        <f t="shared" si="406"/>
        <v>1.0731707317073176</v>
      </c>
      <c r="EB121" s="5">
        <f t="shared" si="407"/>
        <v>0.55000000000000016</v>
      </c>
      <c r="EC121" s="5">
        <f t="shared" si="408"/>
        <v>0.61196829109811557</v>
      </c>
      <c r="ED121" s="5"/>
      <c r="EE121" s="173">
        <f t="shared" si="409"/>
        <v>0.40890096600521753</v>
      </c>
      <c r="EF121" s="173">
        <f t="shared" si="410"/>
        <v>0.65222127578958411</v>
      </c>
      <c r="EG121" s="173">
        <f t="shared" si="411"/>
        <v>0.16001411500720067</v>
      </c>
      <c r="EH121" s="173"/>
      <c r="EI121" s="528">
        <f t="shared" si="412"/>
        <v>3.3440000000000015E-3</v>
      </c>
      <c r="EJ121" s="528">
        <f t="shared" si="413"/>
        <v>0.12743774999999996</v>
      </c>
      <c r="EK121" s="528">
        <f t="shared" si="414"/>
        <v>2.2042968749999992E-2</v>
      </c>
      <c r="EL121" s="528">
        <f t="shared" si="415"/>
        <v>1.2950861343749993E-2</v>
      </c>
      <c r="EM121">
        <f t="shared" si="416"/>
        <v>4.4999999999999997E-3</v>
      </c>
      <c r="EN121" s="460">
        <f t="shared" si="417"/>
        <v>26.542968749999993</v>
      </c>
      <c r="EP121" s="460">
        <f t="shared" si="439"/>
        <v>170.27558009374997</v>
      </c>
      <c r="EQ121" s="173">
        <f t="shared" si="418"/>
        <v>7.6999999999999999E-2</v>
      </c>
      <c r="ER121" s="173">
        <f t="shared" si="419"/>
        <v>1.2203124999999999E-2</v>
      </c>
      <c r="ES121" s="528"/>
      <c r="EU121" s="460">
        <f t="shared" si="420"/>
        <v>89.203125</v>
      </c>
      <c r="EV121" s="528">
        <f t="shared" si="421"/>
        <v>5.0160000000000022E-3</v>
      </c>
      <c r="EW121" s="528">
        <f t="shared" si="422"/>
        <v>1.2761777777777782E-2</v>
      </c>
      <c r="EX121" s="528">
        <f t="shared" si="423"/>
        <v>1.2802258500768822E-4</v>
      </c>
      <c r="EY121" s="528">
        <f t="shared" si="424"/>
        <v>4.2385472190878494E-2</v>
      </c>
      <c r="EZ121" s="528"/>
      <c r="FA121" s="625">
        <f t="shared" si="425"/>
        <v>1.5674999999999999E-3</v>
      </c>
      <c r="FB121" s="460">
        <f t="shared" si="426"/>
        <v>61.858772553663968</v>
      </c>
      <c r="FC121" s="173">
        <f t="shared" si="427"/>
        <v>0.32133747764741394</v>
      </c>
      <c r="FD121" s="5">
        <f t="shared" si="428"/>
        <v>2.024</v>
      </c>
      <c r="FE121" s="173">
        <f t="shared" si="429"/>
        <v>0.86298881047611775</v>
      </c>
      <c r="FF121" s="5">
        <f t="shared" si="430"/>
        <v>86.298881047611772</v>
      </c>
      <c r="FG121">
        <f t="shared" si="431"/>
        <v>11</v>
      </c>
      <c r="FI121" s="562">
        <f t="shared" si="432"/>
        <v>-50</v>
      </c>
      <c r="FJ121">
        <f t="shared" si="433"/>
        <v>-50</v>
      </c>
    </row>
    <row r="122" spans="5:166">
      <c r="E122" s="170">
        <v>12</v>
      </c>
      <c r="F122" s="217">
        <f t="shared" si="434"/>
        <v>0.12</v>
      </c>
      <c r="G122" s="217">
        <f t="shared" si="313"/>
        <v>0.03</v>
      </c>
      <c r="H122" s="217">
        <f t="shared" si="314"/>
        <v>1.9679999999999997</v>
      </c>
      <c r="I122" s="217">
        <f t="shared" si="315"/>
        <v>0.24</v>
      </c>
      <c r="J122" s="541">
        <f t="shared" si="316"/>
        <v>9.955209755049875</v>
      </c>
      <c r="K122" s="443">
        <f t="shared" si="317"/>
        <v>17.119823785111333</v>
      </c>
      <c r="L122" s="172">
        <f t="shared" si="318"/>
        <v>27.075033540161208</v>
      </c>
      <c r="M122" s="443"/>
      <c r="N122" s="217">
        <f t="shared" si="319"/>
        <v>0.63231034449937007</v>
      </c>
      <c r="O122" s="172">
        <f t="shared" si="320"/>
        <v>18.701888876879863</v>
      </c>
      <c r="P122" s="172">
        <f t="shared" si="321"/>
        <v>2.5588545161703564</v>
      </c>
      <c r="Q122" s="217">
        <f t="shared" si="322"/>
        <v>1.1403590778585284</v>
      </c>
      <c r="R122" s="217">
        <f t="shared" si="323"/>
        <v>2.3377361096099829</v>
      </c>
      <c r="S122" s="217">
        <f t="shared" si="324"/>
        <v>16.399999999999999</v>
      </c>
      <c r="T122" s="217">
        <f t="shared" si="325"/>
        <v>0.70153341656411761</v>
      </c>
      <c r="U122" s="217">
        <f t="shared" si="326"/>
        <v>0.84562768700067803</v>
      </c>
      <c r="V122" s="217">
        <f t="shared" si="327"/>
        <v>0.49173409168444115</v>
      </c>
      <c r="W122" s="197">
        <f t="shared" si="328"/>
        <v>350</v>
      </c>
      <c r="X122" s="443">
        <f t="shared" si="435"/>
        <v>350</v>
      </c>
      <c r="Z122" s="217">
        <f t="shared" si="329"/>
        <v>1.498757645185494</v>
      </c>
      <c r="AA122" s="173">
        <f t="shared" si="330"/>
        <v>1.0505418728589424</v>
      </c>
      <c r="AB122" s="173">
        <f t="shared" si="331"/>
        <v>0.24558896708396485</v>
      </c>
      <c r="AC122" s="173"/>
      <c r="AD122" s="173">
        <f t="shared" si="332"/>
        <v>0.93458905890811728</v>
      </c>
      <c r="AE122" s="545">
        <f t="shared" si="333"/>
        <v>192.59801758250242</v>
      </c>
      <c r="AF122" s="528">
        <f t="shared" si="334"/>
        <v>0.21807078041189407</v>
      </c>
      <c r="AH122" s="173">
        <f t="shared" si="335"/>
        <v>1.0253919111386491</v>
      </c>
      <c r="AI122" s="173">
        <f t="shared" si="336"/>
        <v>1.3333333333333335</v>
      </c>
      <c r="AJ122" s="173">
        <f t="shared" si="337"/>
        <v>1.1100560100471442</v>
      </c>
      <c r="AL122" s="545">
        <f t="shared" si="338"/>
        <v>120</v>
      </c>
      <c r="AM122" s="460">
        <f t="shared" si="339"/>
        <v>192.59801758250242</v>
      </c>
      <c r="AO122" s="460">
        <f t="shared" si="340"/>
        <v>120</v>
      </c>
      <c r="AP122" s="460">
        <f t="shared" si="341"/>
        <v>192.59801758250242</v>
      </c>
      <c r="AR122" s="5">
        <f t="shared" si="275"/>
        <v>5.1921614383784309</v>
      </c>
      <c r="AS122" s="5">
        <f t="shared" si="440"/>
        <v>1.6071986822662223</v>
      </c>
      <c r="AT122" s="5">
        <f t="shared" si="441"/>
        <v>3.5849627561122084</v>
      </c>
      <c r="AU122" s="173">
        <f t="shared" si="442"/>
        <v>0.3095432800656846</v>
      </c>
      <c r="AW122" s="5">
        <f t="shared" si="342"/>
        <v>1.1759990358045529</v>
      </c>
      <c r="AX122" s="5">
        <f t="shared" si="343"/>
        <v>0.60269950584983334</v>
      </c>
      <c r="AY122" s="5">
        <f t="shared" si="344"/>
        <v>0.59057911030369492</v>
      </c>
      <c r="AZ122" s="5"/>
      <c r="BA122" s="173">
        <f t="shared" si="345"/>
        <v>0.42829085310538573</v>
      </c>
      <c r="BB122" s="173">
        <f t="shared" si="346"/>
        <v>0.63965579629895775</v>
      </c>
      <c r="BC122" s="173">
        <f t="shared" si="347"/>
        <v>0.15693133596430667</v>
      </c>
      <c r="BD122" s="173"/>
      <c r="BE122" s="528">
        <f t="shared" si="348"/>
        <v>3.668661097074782E-3</v>
      </c>
      <c r="BF122" s="528">
        <f t="shared" si="349"/>
        <v>0.13036494464537027</v>
      </c>
      <c r="BG122" s="528">
        <f t="shared" si="350"/>
        <v>4.793384158601488E-2</v>
      </c>
      <c r="BH122" s="528">
        <f t="shared" si="351"/>
        <v>1.4118540994938641E-2</v>
      </c>
      <c r="BI122">
        <f t="shared" si="352"/>
        <v>4.4798443897724437E-3</v>
      </c>
      <c r="BJ122" s="460">
        <f t="shared" si="436"/>
        <v>52.413685975787331</v>
      </c>
      <c r="BK122">
        <f t="shared" si="353"/>
        <v>0.14927280243597391</v>
      </c>
      <c r="BL122" s="460">
        <f t="shared" si="437"/>
        <v>200.56583271317103</v>
      </c>
      <c r="BM122" s="173">
        <f t="shared" si="354"/>
        <v>7.4549999999999991E-2</v>
      </c>
      <c r="BN122" s="173">
        <f t="shared" si="355"/>
        <v>1.8637499999999998E-2</v>
      </c>
      <c r="BO122" s="528"/>
      <c r="BQ122" s="460">
        <f t="shared" si="356"/>
        <v>93.187499999999986</v>
      </c>
      <c r="BR122" s="528">
        <f t="shared" si="357"/>
        <v>5.5029916456121727E-3</v>
      </c>
      <c r="BS122" s="528">
        <f t="shared" si="358"/>
        <v>1.2274786132165611E-2</v>
      </c>
      <c r="BT122" s="528">
        <f t="shared" si="359"/>
        <v>1.2313722103771046E-4</v>
      </c>
      <c r="BU122" s="528">
        <f t="shared" si="360"/>
        <v>5.2838000831266732E-2</v>
      </c>
      <c r="BV122" s="528"/>
      <c r="BW122" s="625">
        <f t="shared" si="361"/>
        <v>1.7119823785111327E-3</v>
      </c>
      <c r="BX122" s="460">
        <f t="shared" si="362"/>
        <v>72.450898208593344</v>
      </c>
      <c r="BY122" s="173">
        <f t="shared" si="363"/>
        <v>0.3662042309217643</v>
      </c>
      <c r="BZ122" s="5">
        <f t="shared" si="364"/>
        <v>2.2079999999999997</v>
      </c>
      <c r="CA122" s="173">
        <f t="shared" si="365"/>
        <v>0.85774080140073627</v>
      </c>
      <c r="CB122" s="5">
        <f t="shared" si="366"/>
        <v>85.774080140073622</v>
      </c>
      <c r="CC122">
        <f t="shared" si="367"/>
        <v>12</v>
      </c>
      <c r="CE122" s="562">
        <f t="shared" si="368"/>
        <v>-50</v>
      </c>
      <c r="CF122">
        <f t="shared" si="369"/>
        <v>-50</v>
      </c>
      <c r="CG122" s="173">
        <f t="shared" si="370"/>
        <v>0.18160003146632828</v>
      </c>
      <c r="CH122" s="173">
        <f t="shared" si="371"/>
        <v>6.3453256728663532E-2</v>
      </c>
      <c r="CI122" s="170">
        <v>12</v>
      </c>
      <c r="CJ122" s="217">
        <f t="shared" si="438"/>
        <v>0.12</v>
      </c>
      <c r="CK122" s="217">
        <f t="shared" si="372"/>
        <v>0.03</v>
      </c>
      <c r="CL122" s="217">
        <f t="shared" si="373"/>
        <v>1.9679999999999997</v>
      </c>
      <c r="CM122" s="217">
        <f t="shared" si="374"/>
        <v>0.24</v>
      </c>
      <c r="CN122" s="541">
        <f t="shared" si="375"/>
        <v>10</v>
      </c>
      <c r="CO122" s="443">
        <f t="shared" si="376"/>
        <v>17.099999999999998</v>
      </c>
      <c r="CP122" s="443">
        <f t="shared" si="377"/>
        <v>27.099999999999998</v>
      </c>
      <c r="CQ122" s="443"/>
      <c r="CR122" s="217">
        <f t="shared" si="378"/>
        <v>0.62686567164179097</v>
      </c>
      <c r="CS122" s="172">
        <f t="shared" si="379"/>
        <v>18.624269954574949</v>
      </c>
      <c r="CT122" s="172">
        <f t="shared" si="380"/>
        <v>2.5482344375682562</v>
      </c>
      <c r="CU122" s="217">
        <f t="shared" si="381"/>
        <v>1.135626216742375</v>
      </c>
      <c r="CV122" s="217">
        <f t="shared" si="382"/>
        <v>2.3280337443218686</v>
      </c>
      <c r="CW122" s="217">
        <f t="shared" si="383"/>
        <v>16.399999999999999</v>
      </c>
      <c r="CX122" s="217">
        <f t="shared" si="384"/>
        <v>0.70445714285714278</v>
      </c>
      <c r="CY122" s="217">
        <f t="shared" si="385"/>
        <v>0.84534857142857134</v>
      </c>
      <c r="CZ122" s="217">
        <f t="shared" si="386"/>
        <v>0.49435588972431083</v>
      </c>
      <c r="DA122" s="197">
        <f t="shared" si="387"/>
        <v>350</v>
      </c>
      <c r="DB122" s="443">
        <f t="shared" si="388"/>
        <v>350</v>
      </c>
      <c r="DD122" s="217">
        <f t="shared" si="389"/>
        <v>1.5023721665788083</v>
      </c>
      <c r="DE122" s="173">
        <f t="shared" si="390"/>
        <v>1.0542962572482866</v>
      </c>
      <c r="DF122" s="173">
        <f t="shared" si="391"/>
        <v>0.24706104135140031</v>
      </c>
      <c r="DG122" s="173"/>
      <c r="DH122" s="173">
        <f t="shared" si="392"/>
        <v>0.93567251461988332</v>
      </c>
      <c r="DI122" s="545">
        <f t="shared" si="393"/>
        <v>192.37499999999991</v>
      </c>
      <c r="DJ122" s="528">
        <f t="shared" si="394"/>
        <v>0.21832358674463945</v>
      </c>
      <c r="DL122" s="173">
        <f t="shared" si="395"/>
        <v>1.0253919111386491</v>
      </c>
      <c r="DM122" s="173">
        <f t="shared" si="396"/>
        <v>1.3333333333333335</v>
      </c>
      <c r="DN122" s="173">
        <f t="shared" si="397"/>
        <v>1.1099285714285714</v>
      </c>
      <c r="DP122" s="545">
        <f t="shared" si="398"/>
        <v>120</v>
      </c>
      <c r="DQ122" s="460">
        <f t="shared" si="399"/>
        <v>192.37499999999991</v>
      </c>
      <c r="DS122" s="460">
        <f t="shared" si="400"/>
        <v>120</v>
      </c>
      <c r="DT122" s="460">
        <f t="shared" si="401"/>
        <v>192.37499999999991</v>
      </c>
      <c r="DV122" s="5">
        <f t="shared" si="402"/>
        <v>5.1981806367771304</v>
      </c>
      <c r="DW122" s="5">
        <f t="shared" si="403"/>
        <v>1.6000000000000003</v>
      </c>
      <c r="DX122" s="5">
        <f t="shared" si="404"/>
        <v>3.5981806367771298</v>
      </c>
      <c r="DY122" s="173">
        <f t="shared" si="405"/>
        <v>0.30779999999999991</v>
      </c>
      <c r="EA122" s="5">
        <f t="shared" si="406"/>
        <v>1.1707317073170735</v>
      </c>
      <c r="EB122" s="5">
        <f t="shared" si="407"/>
        <v>0.60000000000000009</v>
      </c>
      <c r="EC122" s="5">
        <f t="shared" si="408"/>
        <v>0.5901016244314492</v>
      </c>
      <c r="ED122" s="5"/>
      <c r="EE122" s="173">
        <f t="shared" si="409"/>
        <v>0.42708313008125243</v>
      </c>
      <c r="EF122" s="173">
        <f t="shared" si="410"/>
        <v>0.64046279563499453</v>
      </c>
      <c r="EG122" s="173">
        <f t="shared" si="411"/>
        <v>0.15712932288892978</v>
      </c>
      <c r="EH122" s="173"/>
      <c r="EI122" s="528">
        <f t="shared" si="412"/>
        <v>3.6479999999999998E-3</v>
      </c>
      <c r="EJ122" s="528">
        <f t="shared" si="413"/>
        <v>0.13902299999999995</v>
      </c>
      <c r="EK122" s="528">
        <f t="shared" si="414"/>
        <v>2.4046874999999988E-2</v>
      </c>
      <c r="EL122" s="528">
        <f t="shared" si="415"/>
        <v>1.412821237499999E-2</v>
      </c>
      <c r="EM122">
        <f t="shared" si="416"/>
        <v>4.4999999999999997E-3</v>
      </c>
      <c r="EN122" s="460">
        <f t="shared" si="417"/>
        <v>28.546874999999989</v>
      </c>
      <c r="EP122" s="460">
        <f t="shared" si="439"/>
        <v>185.34608737499997</v>
      </c>
      <c r="EQ122" s="173">
        <f t="shared" si="418"/>
        <v>8.3999999999999991E-2</v>
      </c>
      <c r="ER122" s="173">
        <f t="shared" si="419"/>
        <v>1.33125E-2</v>
      </c>
      <c r="ES122" s="528"/>
      <c r="EU122" s="460">
        <f t="shared" si="420"/>
        <v>97.3125</v>
      </c>
      <c r="EV122" s="528">
        <f t="shared" si="421"/>
        <v>5.4719999999999994E-3</v>
      </c>
      <c r="EW122" s="528">
        <f t="shared" si="422"/>
        <v>1.2305777777777784E-2</v>
      </c>
      <c r="EX122" s="528">
        <f t="shared" si="423"/>
        <v>1.2344812055766776E-4</v>
      </c>
      <c r="EY122" s="528">
        <f t="shared" si="424"/>
        <v>5.2685175122040545E-2</v>
      </c>
      <c r="EZ122" s="528"/>
      <c r="FA122" s="625">
        <f t="shared" si="425"/>
        <v>1.7099999999999995E-3</v>
      </c>
      <c r="FB122" s="460">
        <f t="shared" si="426"/>
        <v>72.29640102037601</v>
      </c>
      <c r="FC122" s="173">
        <f t="shared" si="427"/>
        <v>0.35495498839537598</v>
      </c>
      <c r="FD122" s="5">
        <f t="shared" si="428"/>
        <v>2.2079999999999997</v>
      </c>
      <c r="FE122" s="173">
        <f t="shared" si="429"/>
        <v>0.86150557071717926</v>
      </c>
      <c r="FF122" s="5">
        <f t="shared" si="430"/>
        <v>86.150557071717927</v>
      </c>
      <c r="FG122">
        <f t="shared" si="431"/>
        <v>12</v>
      </c>
      <c r="FI122" s="562">
        <f t="shared" si="432"/>
        <v>-50</v>
      </c>
      <c r="FJ122">
        <f t="shared" si="433"/>
        <v>-50</v>
      </c>
    </row>
    <row r="123" spans="5:166">
      <c r="E123" s="170">
        <v>13</v>
      </c>
      <c r="F123" s="217">
        <f t="shared" si="434"/>
        <v>0.13</v>
      </c>
      <c r="G123" s="217">
        <f t="shared" si="313"/>
        <v>3.2500000000000001E-2</v>
      </c>
      <c r="H123" s="217">
        <f t="shared" si="314"/>
        <v>2.1319999999999997</v>
      </c>
      <c r="I123" s="217">
        <f t="shared" si="315"/>
        <v>0.26</v>
      </c>
      <c r="J123" s="541">
        <f t="shared" si="316"/>
        <v>9.955209755049875</v>
      </c>
      <c r="K123" s="443">
        <f t="shared" si="317"/>
        <v>17.119823785111333</v>
      </c>
      <c r="L123" s="172">
        <f t="shared" si="318"/>
        <v>27.075033540161208</v>
      </c>
      <c r="M123" s="443"/>
      <c r="N123" s="217">
        <f t="shared" si="319"/>
        <v>0.63231034449937007</v>
      </c>
      <c r="O123" s="172">
        <f t="shared" si="320"/>
        <v>18.701888876879863</v>
      </c>
      <c r="P123" s="172">
        <f t="shared" si="321"/>
        <v>2.5588545161703564</v>
      </c>
      <c r="Q123" s="217">
        <f t="shared" si="322"/>
        <v>1.1403590778585284</v>
      </c>
      <c r="R123" s="217">
        <f t="shared" si="323"/>
        <v>2.3377361096099829</v>
      </c>
      <c r="S123" s="217">
        <f t="shared" si="324"/>
        <v>16.399999999999999</v>
      </c>
      <c r="T123" s="217">
        <f t="shared" si="325"/>
        <v>0.75999453461112731</v>
      </c>
      <c r="U123" s="217">
        <f t="shared" si="326"/>
        <v>0.91609666091740094</v>
      </c>
      <c r="V123" s="217">
        <f t="shared" si="327"/>
        <v>0.53271193265814443</v>
      </c>
      <c r="W123" s="197">
        <f t="shared" si="328"/>
        <v>350</v>
      </c>
      <c r="X123" s="443">
        <f t="shared" si="435"/>
        <v>350</v>
      </c>
      <c r="Z123" s="217">
        <f t="shared" si="329"/>
        <v>1.498757645185494</v>
      </c>
      <c r="AA123" s="173">
        <f t="shared" si="330"/>
        <v>1.0505418728589424</v>
      </c>
      <c r="AB123" s="173">
        <f t="shared" si="331"/>
        <v>0.24558896708396485</v>
      </c>
      <c r="AC123" s="173"/>
      <c r="AD123" s="173">
        <f t="shared" si="332"/>
        <v>0.93458905890811728</v>
      </c>
      <c r="AE123" s="545">
        <f t="shared" si="333"/>
        <v>208.64785238104429</v>
      </c>
      <c r="AF123" s="528">
        <f t="shared" si="334"/>
        <v>0.21807078041189407</v>
      </c>
      <c r="AH123" s="173">
        <f t="shared" si="335"/>
        <v>1.0672617387724619</v>
      </c>
      <c r="AI123" s="173">
        <f t="shared" si="336"/>
        <v>1.3333333333333335</v>
      </c>
      <c r="AJ123" s="173">
        <f t="shared" si="337"/>
        <v>1.1192273442177396</v>
      </c>
      <c r="AL123" s="545">
        <f t="shared" si="338"/>
        <v>130</v>
      </c>
      <c r="AM123" s="460">
        <f t="shared" si="339"/>
        <v>208.64785238104429</v>
      </c>
      <c r="AO123" s="460">
        <f t="shared" si="340"/>
        <v>130</v>
      </c>
      <c r="AP123" s="460">
        <f t="shared" si="341"/>
        <v>208.64785238104429</v>
      </c>
      <c r="AR123" s="5">
        <f t="shared" si="275"/>
        <v>4.7927644046570128</v>
      </c>
      <c r="AS123" s="5">
        <f t="shared" si="440"/>
        <v>1.6071986822662223</v>
      </c>
      <c r="AT123" s="5">
        <f t="shared" si="441"/>
        <v>3.1855657223907903</v>
      </c>
      <c r="AU123" s="173">
        <f t="shared" si="442"/>
        <v>0.33533855340449165</v>
      </c>
      <c r="AW123" s="5">
        <f t="shared" si="342"/>
        <v>1.2739989554549325</v>
      </c>
      <c r="AX123" s="5">
        <f t="shared" si="343"/>
        <v>0.6529244646706529</v>
      </c>
      <c r="AY123" s="5">
        <f t="shared" si="344"/>
        <v>0.56851523701715123</v>
      </c>
      <c r="AZ123" s="5"/>
      <c r="BA123" s="173">
        <f t="shared" si="345"/>
        <v>0.44577925339591268</v>
      </c>
      <c r="BB123" s="173">
        <f t="shared" si="346"/>
        <v>0.62759337937423731</v>
      </c>
      <c r="BC123" s="173">
        <f t="shared" si="347"/>
        <v>0.15397197686225908</v>
      </c>
      <c r="BD123" s="173"/>
      <c r="BE123" s="528">
        <f t="shared" si="348"/>
        <v>3.9743828551643467E-3</v>
      </c>
      <c r="BF123" s="528">
        <f t="shared" si="349"/>
        <v>0.14122869003248448</v>
      </c>
      <c r="BG123" s="528">
        <f t="shared" si="350"/>
        <v>5.1928328384849461E-2</v>
      </c>
      <c r="BH123" s="528">
        <f t="shared" si="351"/>
        <v>1.5295086077850193E-2</v>
      </c>
      <c r="BI123">
        <f t="shared" si="352"/>
        <v>4.4798443897724437E-3</v>
      </c>
      <c r="BJ123" s="460">
        <f t="shared" si="436"/>
        <v>56.408172774621903</v>
      </c>
      <c r="BK123">
        <f t="shared" si="353"/>
        <v>0.16172396043389617</v>
      </c>
      <c r="BL123" s="460">
        <f t="shared" si="437"/>
        <v>216.90633174012092</v>
      </c>
      <c r="BM123" s="173">
        <f t="shared" si="354"/>
        <v>8.0762499999999987E-2</v>
      </c>
      <c r="BN123" s="173">
        <f t="shared" si="355"/>
        <v>2.0190624999999997E-2</v>
      </c>
      <c r="BO123" s="528"/>
      <c r="BQ123" s="460">
        <f t="shared" si="356"/>
        <v>100.95312499999997</v>
      </c>
      <c r="BR123" s="528">
        <f t="shared" si="357"/>
        <v>5.9615742827465196E-3</v>
      </c>
      <c r="BS123" s="528">
        <f t="shared" si="358"/>
        <v>1.1816203495031262E-2</v>
      </c>
      <c r="BT123" s="528">
        <f t="shared" si="359"/>
        <v>1.1853684829436023E-4</v>
      </c>
      <c r="BU123" s="528">
        <f t="shared" si="360"/>
        <v>6.4543370826130833E-2</v>
      </c>
      <c r="BV123" s="528"/>
      <c r="BW123" s="625">
        <f t="shared" si="361"/>
        <v>1.8546475767203939E-3</v>
      </c>
      <c r="BX123" s="460">
        <f t="shared" si="362"/>
        <v>84.294333028923376</v>
      </c>
      <c r="BY123" s="173">
        <f t="shared" si="363"/>
        <v>0.40215378976904431</v>
      </c>
      <c r="BZ123" s="5">
        <f t="shared" si="364"/>
        <v>2.3919999999999995</v>
      </c>
      <c r="CA123" s="173">
        <f t="shared" si="365"/>
        <v>0.85607313697565479</v>
      </c>
      <c r="CB123" s="5">
        <f t="shared" si="366"/>
        <v>85.607313697565473</v>
      </c>
      <c r="CC123">
        <f t="shared" si="367"/>
        <v>13</v>
      </c>
      <c r="CE123" s="562">
        <f t="shared" si="368"/>
        <v>-50</v>
      </c>
      <c r="CF123">
        <f t="shared" si="369"/>
        <v>-50</v>
      </c>
      <c r="CG123" s="173">
        <f t="shared" si="370"/>
        <v>0.19673336742185563</v>
      </c>
      <c r="CH123" s="173">
        <f t="shared" si="371"/>
        <v>6.8741028122718845E-2</v>
      </c>
      <c r="CI123" s="170">
        <v>13</v>
      </c>
      <c r="CJ123" s="217">
        <f t="shared" si="438"/>
        <v>0.13</v>
      </c>
      <c r="CK123" s="217">
        <f t="shared" si="372"/>
        <v>3.2500000000000001E-2</v>
      </c>
      <c r="CL123" s="217">
        <f t="shared" si="373"/>
        <v>2.1319999999999997</v>
      </c>
      <c r="CM123" s="217">
        <f t="shared" si="374"/>
        <v>0.26</v>
      </c>
      <c r="CN123" s="541">
        <f t="shared" si="375"/>
        <v>10</v>
      </c>
      <c r="CO123" s="443">
        <f t="shared" si="376"/>
        <v>17.099999999999998</v>
      </c>
      <c r="CP123" s="443">
        <f t="shared" si="377"/>
        <v>27.099999999999998</v>
      </c>
      <c r="CQ123" s="443"/>
      <c r="CR123" s="217">
        <f t="shared" si="378"/>
        <v>0.62686567164179097</v>
      </c>
      <c r="CS123" s="172">
        <f t="shared" si="379"/>
        <v>18.624269954574949</v>
      </c>
      <c r="CT123" s="172">
        <f t="shared" si="380"/>
        <v>2.5482344375682562</v>
      </c>
      <c r="CU123" s="217">
        <f t="shared" si="381"/>
        <v>1.135626216742375</v>
      </c>
      <c r="CV123" s="217">
        <f t="shared" si="382"/>
        <v>2.3280337443218686</v>
      </c>
      <c r="CW123" s="217">
        <f t="shared" si="383"/>
        <v>16.399999999999999</v>
      </c>
      <c r="CX123" s="217">
        <f t="shared" si="384"/>
        <v>0.76316190476190471</v>
      </c>
      <c r="CY123" s="217">
        <f t="shared" si="385"/>
        <v>0.91579428571428578</v>
      </c>
      <c r="CZ123" s="217">
        <f t="shared" si="386"/>
        <v>0.53555221386800345</v>
      </c>
      <c r="DA123" s="197">
        <f t="shared" si="387"/>
        <v>350</v>
      </c>
      <c r="DB123" s="443">
        <f t="shared" si="388"/>
        <v>350</v>
      </c>
      <c r="DD123" s="217">
        <f t="shared" si="389"/>
        <v>1.5023721665788083</v>
      </c>
      <c r="DE123" s="173">
        <f t="shared" si="390"/>
        <v>1.0542962572482866</v>
      </c>
      <c r="DF123" s="173">
        <f t="shared" si="391"/>
        <v>0.24706104135140031</v>
      </c>
      <c r="DG123" s="173"/>
      <c r="DH123" s="173">
        <f t="shared" si="392"/>
        <v>0.93567251461988332</v>
      </c>
      <c r="DI123" s="545">
        <f t="shared" si="393"/>
        <v>208.40624999999991</v>
      </c>
      <c r="DJ123" s="528">
        <f t="shared" si="394"/>
        <v>0.21832358674463945</v>
      </c>
      <c r="DL123" s="173">
        <f t="shared" si="395"/>
        <v>1.0672617387724619</v>
      </c>
      <c r="DM123" s="173">
        <f t="shared" si="396"/>
        <v>1.3333333333333335</v>
      </c>
      <c r="DN123" s="173">
        <f t="shared" si="397"/>
        <v>1.1190892857142858</v>
      </c>
      <c r="DP123" s="545">
        <f t="shared" si="398"/>
        <v>130</v>
      </c>
      <c r="DQ123" s="460">
        <f t="shared" si="399"/>
        <v>208.40624999999991</v>
      </c>
      <c r="DS123" s="460">
        <f t="shared" si="400"/>
        <v>130</v>
      </c>
      <c r="DT123" s="460">
        <f t="shared" si="401"/>
        <v>208.40624999999991</v>
      </c>
      <c r="DV123" s="5">
        <f t="shared" si="402"/>
        <v>4.7983205877942741</v>
      </c>
      <c r="DW123" s="5">
        <f t="shared" si="403"/>
        <v>1.6000000000000003</v>
      </c>
      <c r="DX123" s="5">
        <f t="shared" si="404"/>
        <v>3.1983205877942735</v>
      </c>
      <c r="DY123" s="173">
        <f t="shared" si="405"/>
        <v>0.33344999999999991</v>
      </c>
      <c r="EA123" s="5">
        <f t="shared" si="406"/>
        <v>1.2682926829268297</v>
      </c>
      <c r="EB123" s="5">
        <f t="shared" si="407"/>
        <v>0.65000000000000013</v>
      </c>
      <c r="EC123" s="5">
        <f t="shared" si="408"/>
        <v>0.5682349577647825</v>
      </c>
      <c r="ED123" s="5"/>
      <c r="EE123" s="173">
        <f t="shared" si="409"/>
        <v>0.44452221541785741</v>
      </c>
      <c r="EF123" s="173">
        <f t="shared" si="410"/>
        <v>0.62848436145427888</v>
      </c>
      <c r="EG123" s="173">
        <f t="shared" si="411"/>
        <v>0.15419056787472263</v>
      </c>
      <c r="EH123" s="173"/>
      <c r="EI123" s="528">
        <f t="shared" si="412"/>
        <v>3.9520000000000007E-3</v>
      </c>
      <c r="EJ123" s="528">
        <f t="shared" si="413"/>
        <v>0.15060824999999992</v>
      </c>
      <c r="EK123" s="528">
        <f t="shared" si="414"/>
        <v>2.6050781249999988E-2</v>
      </c>
      <c r="EL123" s="528">
        <f t="shared" si="415"/>
        <v>1.5305563406249991E-2</v>
      </c>
      <c r="EM123">
        <f t="shared" si="416"/>
        <v>4.4999999999999997E-3</v>
      </c>
      <c r="EN123" s="460">
        <f t="shared" si="417"/>
        <v>30.550781249999989</v>
      </c>
      <c r="EP123" s="460">
        <f t="shared" si="439"/>
        <v>200.41659465624991</v>
      </c>
      <c r="EQ123" s="173">
        <f t="shared" si="418"/>
        <v>9.0999999999999998E-2</v>
      </c>
      <c r="ER123" s="173">
        <f t="shared" si="419"/>
        <v>1.4421874999999999E-2</v>
      </c>
      <c r="ES123" s="528"/>
      <c r="EU123" s="460">
        <f t="shared" si="420"/>
        <v>105.421875</v>
      </c>
      <c r="EV123" s="528">
        <f t="shared" si="421"/>
        <v>5.928000000000001E-3</v>
      </c>
      <c r="EW123" s="528">
        <f t="shared" si="422"/>
        <v>1.184977777777778E-2</v>
      </c>
      <c r="EX123" s="528">
        <f t="shared" si="423"/>
        <v>1.1887365610764723E-4</v>
      </c>
      <c r="EY123" s="528">
        <f t="shared" si="424"/>
        <v>6.4356689152578264E-2</v>
      </c>
      <c r="EZ123" s="528"/>
      <c r="FA123" s="625">
        <f t="shared" si="425"/>
        <v>1.8524999999999993E-3</v>
      </c>
      <c r="FB123" s="460">
        <f t="shared" si="426"/>
        <v>84.105840586463685</v>
      </c>
      <c r="FC123" s="173">
        <f t="shared" si="427"/>
        <v>0.38994431024271353</v>
      </c>
      <c r="FD123" s="5">
        <f t="shared" si="428"/>
        <v>2.3919999999999995</v>
      </c>
      <c r="FE123" s="173">
        <f t="shared" si="429"/>
        <v>0.85983029609651229</v>
      </c>
      <c r="FF123" s="5">
        <f t="shared" si="430"/>
        <v>85.983029609651226</v>
      </c>
      <c r="FG123">
        <f t="shared" si="431"/>
        <v>13</v>
      </c>
      <c r="FI123" s="562">
        <f t="shared" si="432"/>
        <v>-50</v>
      </c>
      <c r="FJ123">
        <f t="shared" si="433"/>
        <v>-50</v>
      </c>
    </row>
    <row r="124" spans="5:166">
      <c r="E124" s="170">
        <v>14</v>
      </c>
      <c r="F124" s="217">
        <f t="shared" si="434"/>
        <v>0.14000000000000001</v>
      </c>
      <c r="G124" s="217">
        <f t="shared" si="313"/>
        <v>3.5000000000000003E-2</v>
      </c>
      <c r="H124" s="217">
        <f t="shared" si="314"/>
        <v>2.2959999999999998</v>
      </c>
      <c r="I124" s="217">
        <f t="shared" si="315"/>
        <v>0.28000000000000003</v>
      </c>
      <c r="J124" s="541">
        <f t="shared" si="316"/>
        <v>9.955209755049875</v>
      </c>
      <c r="K124" s="443">
        <f t="shared" si="317"/>
        <v>17.119823785111333</v>
      </c>
      <c r="L124" s="172">
        <f t="shared" si="318"/>
        <v>27.075033540161208</v>
      </c>
      <c r="M124" s="443"/>
      <c r="N124" s="217">
        <f t="shared" si="319"/>
        <v>0.63231034449937007</v>
      </c>
      <c r="O124" s="172">
        <f t="shared" si="320"/>
        <v>18.701888876879863</v>
      </c>
      <c r="P124" s="172">
        <f t="shared" si="321"/>
        <v>2.5588545161703564</v>
      </c>
      <c r="Q124" s="217">
        <f t="shared" si="322"/>
        <v>1.1403590778585284</v>
      </c>
      <c r="R124" s="217">
        <f t="shared" si="323"/>
        <v>2.3377361096099829</v>
      </c>
      <c r="S124" s="217">
        <f t="shared" si="324"/>
        <v>16.399999999999999</v>
      </c>
      <c r="T124" s="217">
        <f t="shared" si="325"/>
        <v>0.81845565265813713</v>
      </c>
      <c r="U124" s="217">
        <f t="shared" si="326"/>
        <v>0.98656563483412418</v>
      </c>
      <c r="V124" s="217">
        <f t="shared" si="327"/>
        <v>0.57368977363184792</v>
      </c>
      <c r="W124" s="197">
        <f t="shared" si="328"/>
        <v>350</v>
      </c>
      <c r="X124" s="443">
        <f t="shared" si="435"/>
        <v>350</v>
      </c>
      <c r="Z124" s="217">
        <f t="shared" si="329"/>
        <v>1.498757645185494</v>
      </c>
      <c r="AA124" s="173">
        <f t="shared" si="330"/>
        <v>1.0505418728589424</v>
      </c>
      <c r="AB124" s="173">
        <f t="shared" si="331"/>
        <v>0.24558896708396485</v>
      </c>
      <c r="AC124" s="173"/>
      <c r="AD124" s="173">
        <f t="shared" si="332"/>
        <v>0.93458905890811728</v>
      </c>
      <c r="AE124" s="545">
        <f t="shared" si="333"/>
        <v>224.69768717958618</v>
      </c>
      <c r="AF124" s="528">
        <f t="shared" si="334"/>
        <v>0.21807078041189407</v>
      </c>
      <c r="AH124" s="173">
        <f t="shared" si="335"/>
        <v>1.1075498483890764</v>
      </c>
      <c r="AI124" s="173">
        <f t="shared" si="336"/>
        <v>1.3333333333333335</v>
      </c>
      <c r="AJ124" s="173">
        <f t="shared" si="337"/>
        <v>1.1283986783883351</v>
      </c>
      <c r="AL124" s="545">
        <f t="shared" si="338"/>
        <v>140</v>
      </c>
      <c r="AM124" s="460">
        <f t="shared" si="339"/>
        <v>224.69768717958618</v>
      </c>
      <c r="AO124" s="460">
        <f t="shared" si="340"/>
        <v>140</v>
      </c>
      <c r="AP124" s="460">
        <f t="shared" si="341"/>
        <v>224.69768717958618</v>
      </c>
      <c r="AR124" s="5">
        <f t="shared" si="275"/>
        <v>4.4504240900386538</v>
      </c>
      <c r="AS124" s="5">
        <f t="shared" si="440"/>
        <v>1.6071986822662223</v>
      </c>
      <c r="AT124" s="5">
        <f t="shared" si="441"/>
        <v>2.8432254077724313</v>
      </c>
      <c r="AU124" s="173">
        <f t="shared" si="442"/>
        <v>0.3611338267432988</v>
      </c>
      <c r="AW124" s="5">
        <f t="shared" si="342"/>
        <v>1.371998875105312</v>
      </c>
      <c r="AX124" s="5">
        <f t="shared" si="343"/>
        <v>0.70314942349147225</v>
      </c>
      <c r="AY124" s="5">
        <f t="shared" si="344"/>
        <v>0.54645136373060743</v>
      </c>
      <c r="AZ124" s="5"/>
      <c r="BA124" s="173">
        <f t="shared" si="345"/>
        <v>0.46260699374598269</v>
      </c>
      <c r="BB124" s="173">
        <f t="shared" si="346"/>
        <v>0.61529453266699607</v>
      </c>
      <c r="BC124" s="173">
        <f t="shared" si="347"/>
        <v>0.15095461274900474</v>
      </c>
      <c r="BD124" s="173"/>
      <c r="BE124" s="528">
        <f t="shared" si="348"/>
        <v>4.2801046132539136E-3</v>
      </c>
      <c r="BF124" s="528">
        <f t="shared" si="349"/>
        <v>0.15209243541959869</v>
      </c>
      <c r="BG124" s="528">
        <f t="shared" si="350"/>
        <v>5.5922815183684041E-2</v>
      </c>
      <c r="BH124" s="528">
        <f t="shared" si="351"/>
        <v>1.6471631160761748E-2</v>
      </c>
      <c r="BI124">
        <f t="shared" si="352"/>
        <v>4.4798443897724437E-3</v>
      </c>
      <c r="BJ124" s="460">
        <f t="shared" si="436"/>
        <v>60.402659573456489</v>
      </c>
      <c r="BK124">
        <f t="shared" si="353"/>
        <v>0.17417692916477534</v>
      </c>
      <c r="BL124" s="460">
        <f t="shared" si="437"/>
        <v>233.24683076707083</v>
      </c>
      <c r="BM124" s="173">
        <f t="shared" si="354"/>
        <v>8.6974999999999997E-2</v>
      </c>
      <c r="BN124" s="173">
        <f t="shared" si="355"/>
        <v>2.1743749999999999E-2</v>
      </c>
      <c r="BO124" s="528"/>
      <c r="BQ124" s="460">
        <f t="shared" si="356"/>
        <v>108.71875</v>
      </c>
      <c r="BR124" s="528">
        <f t="shared" si="357"/>
        <v>6.42015691988087E-3</v>
      </c>
      <c r="BS124" s="528">
        <f t="shared" si="358"/>
        <v>1.1357620857896914E-2</v>
      </c>
      <c r="BT124" s="528">
        <f t="shared" si="359"/>
        <v>1.1393647555100991E-4</v>
      </c>
      <c r="BU124" s="528">
        <f t="shared" si="360"/>
        <v>7.7680739528126E-2</v>
      </c>
      <c r="BV124" s="528"/>
      <c r="BW124" s="625">
        <f t="shared" si="361"/>
        <v>1.9973127749296554E-3</v>
      </c>
      <c r="BX124" s="460">
        <f t="shared" si="362"/>
        <v>97.569766556384437</v>
      </c>
      <c r="BY124" s="173">
        <f t="shared" si="363"/>
        <v>0.43953534732345528</v>
      </c>
      <c r="BZ124" s="5">
        <f t="shared" si="364"/>
        <v>2.5759999999999996</v>
      </c>
      <c r="CA124" s="173">
        <f t="shared" si="365"/>
        <v>0.85424301269969183</v>
      </c>
      <c r="CB124" s="5">
        <f t="shared" si="366"/>
        <v>85.424301269969177</v>
      </c>
      <c r="CC124">
        <f t="shared" si="367"/>
        <v>14.000000000000002</v>
      </c>
      <c r="CE124" s="562">
        <f t="shared" si="368"/>
        <v>-50</v>
      </c>
      <c r="CF124">
        <f t="shared" si="369"/>
        <v>-50</v>
      </c>
      <c r="CG124" s="173">
        <f t="shared" si="370"/>
        <v>0.211866703377383</v>
      </c>
      <c r="CH124" s="173">
        <f t="shared" si="371"/>
        <v>7.4028799516774144E-2</v>
      </c>
      <c r="CI124" s="170">
        <v>14</v>
      </c>
      <c r="CJ124" s="217">
        <f t="shared" si="438"/>
        <v>0.14000000000000001</v>
      </c>
      <c r="CK124" s="217">
        <f t="shared" si="372"/>
        <v>3.5000000000000003E-2</v>
      </c>
      <c r="CL124" s="217">
        <f t="shared" si="373"/>
        <v>2.2959999999999998</v>
      </c>
      <c r="CM124" s="217">
        <f t="shared" si="374"/>
        <v>0.28000000000000003</v>
      </c>
      <c r="CN124" s="541">
        <f t="shared" si="375"/>
        <v>10</v>
      </c>
      <c r="CO124" s="443">
        <f t="shared" si="376"/>
        <v>17.099999999999998</v>
      </c>
      <c r="CP124" s="443">
        <f t="shared" si="377"/>
        <v>27.099999999999998</v>
      </c>
      <c r="CQ124" s="443"/>
      <c r="CR124" s="217">
        <f t="shared" si="378"/>
        <v>0.62686567164179097</v>
      </c>
      <c r="CS124" s="172">
        <f t="shared" si="379"/>
        <v>18.624269954574949</v>
      </c>
      <c r="CT124" s="172">
        <f t="shared" si="380"/>
        <v>2.5482344375682562</v>
      </c>
      <c r="CU124" s="217">
        <f t="shared" si="381"/>
        <v>1.135626216742375</v>
      </c>
      <c r="CV124" s="217">
        <f t="shared" si="382"/>
        <v>2.3280337443218686</v>
      </c>
      <c r="CW124" s="217">
        <f t="shared" si="383"/>
        <v>16.399999999999999</v>
      </c>
      <c r="CX124" s="217">
        <f t="shared" si="384"/>
        <v>0.82186666666666663</v>
      </c>
      <c r="CY124" s="217">
        <f t="shared" si="385"/>
        <v>0.98624000000000001</v>
      </c>
      <c r="CZ124" s="217">
        <f t="shared" si="386"/>
        <v>0.57674853801169601</v>
      </c>
      <c r="DA124" s="197">
        <f t="shared" si="387"/>
        <v>350</v>
      </c>
      <c r="DB124" s="443">
        <f t="shared" si="388"/>
        <v>350</v>
      </c>
      <c r="DD124" s="217">
        <f t="shared" si="389"/>
        <v>1.5023721665788083</v>
      </c>
      <c r="DE124" s="173">
        <f t="shared" si="390"/>
        <v>1.0542962572482866</v>
      </c>
      <c r="DF124" s="173">
        <f t="shared" si="391"/>
        <v>0.24706104135140031</v>
      </c>
      <c r="DG124" s="173"/>
      <c r="DH124" s="173">
        <f t="shared" si="392"/>
        <v>0.93567251461988332</v>
      </c>
      <c r="DI124" s="545">
        <f t="shared" si="393"/>
        <v>224.43749999999994</v>
      </c>
      <c r="DJ124" s="528">
        <f t="shared" si="394"/>
        <v>0.21832358674463945</v>
      </c>
      <c r="DL124" s="173">
        <f t="shared" si="395"/>
        <v>1.1075498483890764</v>
      </c>
      <c r="DM124" s="173">
        <f t="shared" si="396"/>
        <v>1.3333333333333335</v>
      </c>
      <c r="DN124" s="173">
        <f t="shared" si="397"/>
        <v>1.12825</v>
      </c>
      <c r="DP124" s="545">
        <f t="shared" si="398"/>
        <v>140</v>
      </c>
      <c r="DQ124" s="460">
        <f t="shared" si="399"/>
        <v>224.43749999999994</v>
      </c>
      <c r="DS124" s="460">
        <f t="shared" si="400"/>
        <v>140</v>
      </c>
      <c r="DT124" s="460">
        <f t="shared" si="401"/>
        <v>224.43749999999994</v>
      </c>
      <c r="DV124" s="5">
        <f t="shared" si="402"/>
        <v>4.4555834029518255</v>
      </c>
      <c r="DW124" s="5">
        <f t="shared" si="403"/>
        <v>1.6000000000000003</v>
      </c>
      <c r="DX124" s="5">
        <f t="shared" si="404"/>
        <v>2.855583402951825</v>
      </c>
      <c r="DY124" s="173">
        <f t="shared" si="405"/>
        <v>0.35909999999999992</v>
      </c>
      <c r="EA124" s="5">
        <f t="shared" si="406"/>
        <v>1.3658536585365859</v>
      </c>
      <c r="EB124" s="5">
        <f t="shared" si="407"/>
        <v>0.70000000000000018</v>
      </c>
      <c r="EC124" s="5">
        <f t="shared" si="408"/>
        <v>0.54636829109811569</v>
      </c>
      <c r="ED124" s="5"/>
      <c r="EE124" s="173">
        <f t="shared" si="409"/>
        <v>0.4613025037868318</v>
      </c>
      <c r="EF124" s="173">
        <f t="shared" si="410"/>
        <v>0.61627314771340858</v>
      </c>
      <c r="EG124" s="173">
        <f t="shared" si="411"/>
        <v>0.15119470338449476</v>
      </c>
      <c r="EH124" s="173"/>
      <c r="EI124" s="528">
        <f t="shared" si="412"/>
        <v>4.2559999999999994E-3</v>
      </c>
      <c r="EJ124" s="528">
        <f t="shared" si="413"/>
        <v>0.16219349999999993</v>
      </c>
      <c r="EK124" s="528">
        <f t="shared" si="414"/>
        <v>2.8054687499999995E-2</v>
      </c>
      <c r="EL124" s="528">
        <f t="shared" si="415"/>
        <v>1.6482914437499996E-2</v>
      </c>
      <c r="EM124">
        <f t="shared" si="416"/>
        <v>4.4999999999999997E-3</v>
      </c>
      <c r="EN124" s="460">
        <f t="shared" si="417"/>
        <v>32.554687499999993</v>
      </c>
      <c r="EP124" s="460">
        <f t="shared" si="439"/>
        <v>215.48710193749992</v>
      </c>
      <c r="EQ124" s="173">
        <f t="shared" si="418"/>
        <v>9.8000000000000004E-2</v>
      </c>
      <c r="ER124" s="173">
        <f t="shared" si="419"/>
        <v>1.553125E-2</v>
      </c>
      <c r="ES124" s="528"/>
      <c r="EU124" s="460">
        <f t="shared" si="420"/>
        <v>113.53125</v>
      </c>
      <c r="EV124" s="528">
        <f t="shared" si="421"/>
        <v>6.3839999999999982E-3</v>
      </c>
      <c r="EW124" s="528">
        <f t="shared" si="422"/>
        <v>1.139377777777778E-2</v>
      </c>
      <c r="EX124" s="528">
        <f t="shared" si="423"/>
        <v>1.1429919165762675E-4</v>
      </c>
      <c r="EY124" s="528">
        <f t="shared" si="424"/>
        <v>7.7456060056442136E-2</v>
      </c>
      <c r="EZ124" s="528"/>
      <c r="FA124" s="625">
        <f t="shared" si="425"/>
        <v>1.9949999999999998E-3</v>
      </c>
      <c r="FB124" s="460">
        <f t="shared" si="426"/>
        <v>97.343137025877539</v>
      </c>
      <c r="FC124" s="173">
        <f t="shared" si="427"/>
        <v>0.4263614889633775</v>
      </c>
      <c r="FD124" s="5">
        <f t="shared" si="428"/>
        <v>2.5759999999999996</v>
      </c>
      <c r="FE124" s="173">
        <f t="shared" si="429"/>
        <v>0.85799128768115562</v>
      </c>
      <c r="FF124" s="5">
        <f t="shared" si="430"/>
        <v>85.799128768115565</v>
      </c>
      <c r="FG124">
        <f t="shared" si="431"/>
        <v>14.000000000000002</v>
      </c>
      <c r="FI124" s="562">
        <f t="shared" si="432"/>
        <v>-50</v>
      </c>
      <c r="FJ124">
        <f t="shared" si="433"/>
        <v>-50</v>
      </c>
    </row>
    <row r="125" spans="5:166">
      <c r="E125" s="170">
        <v>15</v>
      </c>
      <c r="F125" s="217">
        <f t="shared" si="434"/>
        <v>0.15</v>
      </c>
      <c r="G125" s="217">
        <f t="shared" si="313"/>
        <v>3.7499999999999999E-2</v>
      </c>
      <c r="H125" s="217">
        <f t="shared" si="314"/>
        <v>2.4599999999999995</v>
      </c>
      <c r="I125" s="217">
        <f t="shared" si="315"/>
        <v>0.3</v>
      </c>
      <c r="J125" s="541">
        <f t="shared" si="316"/>
        <v>9.955209755049875</v>
      </c>
      <c r="K125" s="443">
        <f t="shared" si="317"/>
        <v>17.119823785111333</v>
      </c>
      <c r="L125" s="172">
        <f t="shared" si="318"/>
        <v>27.075033540161208</v>
      </c>
      <c r="M125" s="443"/>
      <c r="N125" s="217">
        <f t="shared" si="319"/>
        <v>0.63231034449937007</v>
      </c>
      <c r="O125" s="172">
        <f t="shared" si="320"/>
        <v>18.701888876879863</v>
      </c>
      <c r="P125" s="172">
        <f t="shared" si="321"/>
        <v>2.5588545161703564</v>
      </c>
      <c r="Q125" s="217">
        <f t="shared" si="322"/>
        <v>1.1403590778585284</v>
      </c>
      <c r="R125" s="217">
        <f t="shared" si="323"/>
        <v>2.3377361096099829</v>
      </c>
      <c r="S125" s="217">
        <f t="shared" si="324"/>
        <v>16.399999999999999</v>
      </c>
      <c r="T125" s="217">
        <f t="shared" si="325"/>
        <v>0.87691677070514684</v>
      </c>
      <c r="U125" s="217">
        <f t="shared" si="326"/>
        <v>1.0570346087508473</v>
      </c>
      <c r="V125" s="217">
        <f t="shared" si="327"/>
        <v>0.61466761460555119</v>
      </c>
      <c r="W125" s="197">
        <f t="shared" si="328"/>
        <v>350</v>
      </c>
      <c r="X125" s="443">
        <f t="shared" si="435"/>
        <v>350</v>
      </c>
      <c r="Z125" s="217">
        <f t="shared" si="329"/>
        <v>1.498757645185494</v>
      </c>
      <c r="AA125" s="173">
        <f t="shared" si="330"/>
        <v>1.0505418728589424</v>
      </c>
      <c r="AB125" s="173">
        <f t="shared" si="331"/>
        <v>0.24558896708396485</v>
      </c>
      <c r="AC125" s="173"/>
      <c r="AD125" s="173">
        <f t="shared" si="332"/>
        <v>0.93458905890811728</v>
      </c>
      <c r="AE125" s="545">
        <f t="shared" si="333"/>
        <v>240.74752197812802</v>
      </c>
      <c r="AF125" s="528">
        <f t="shared" si="334"/>
        <v>0.21807078041189407</v>
      </c>
      <c r="AH125" s="173">
        <f t="shared" si="335"/>
        <v>1.1464230084422216</v>
      </c>
      <c r="AI125" s="173">
        <f t="shared" si="336"/>
        <v>1.3333333333333335</v>
      </c>
      <c r="AJ125" s="173">
        <f t="shared" si="337"/>
        <v>1.1375700125589303</v>
      </c>
      <c r="AL125" s="545">
        <f t="shared" si="338"/>
        <v>150</v>
      </c>
      <c r="AM125" s="460">
        <f t="shared" si="339"/>
        <v>240.74752197812802</v>
      </c>
      <c r="AO125" s="460">
        <f t="shared" si="340"/>
        <v>150</v>
      </c>
      <c r="AP125" s="460">
        <f t="shared" si="341"/>
        <v>240.74752197812802</v>
      </c>
      <c r="AR125" s="5">
        <f t="shared" si="275"/>
        <v>4.1537291507027447</v>
      </c>
      <c r="AS125" s="5">
        <f t="shared" si="440"/>
        <v>1.6071986822662223</v>
      </c>
      <c r="AT125" s="5">
        <f t="shared" si="441"/>
        <v>2.5465304684365222</v>
      </c>
      <c r="AU125" s="173">
        <f t="shared" si="442"/>
        <v>0.38692910008210574</v>
      </c>
      <c r="AW125" s="5">
        <f t="shared" si="342"/>
        <v>1.4699987947556914</v>
      </c>
      <c r="AX125" s="5">
        <f t="shared" si="343"/>
        <v>0.7533743823122917</v>
      </c>
      <c r="AY125" s="5">
        <f t="shared" si="344"/>
        <v>0.52438749044406396</v>
      </c>
      <c r="AZ125" s="5"/>
      <c r="BA125" s="173">
        <f t="shared" si="345"/>
        <v>0.47884373084250964</v>
      </c>
      <c r="BB125" s="173">
        <f t="shared" si="346"/>
        <v>0.60274478349083938</v>
      </c>
      <c r="BC125" s="173">
        <f t="shared" si="347"/>
        <v>0.14787569293677694</v>
      </c>
      <c r="BD125" s="173"/>
      <c r="BE125" s="528">
        <f t="shared" si="348"/>
        <v>4.5858263713434771E-3</v>
      </c>
      <c r="BF125" s="528">
        <f t="shared" si="349"/>
        <v>0.16295618080671287</v>
      </c>
      <c r="BG125" s="528">
        <f t="shared" si="350"/>
        <v>5.9917301982518607E-2</v>
      </c>
      <c r="BH125" s="528">
        <f t="shared" si="351"/>
        <v>1.7648176243673298E-2</v>
      </c>
      <c r="BI125">
        <f t="shared" si="352"/>
        <v>4.4798443897724437E-3</v>
      </c>
      <c r="BJ125" s="460">
        <f t="shared" si="436"/>
        <v>64.397146372291047</v>
      </c>
      <c r="BK125">
        <f t="shared" si="353"/>
        <v>0.18663170902363393</v>
      </c>
      <c r="BL125" s="460">
        <f t="shared" si="437"/>
        <v>249.58732979402069</v>
      </c>
      <c r="BM125" s="173">
        <f t="shared" si="354"/>
        <v>9.3187499999999993E-2</v>
      </c>
      <c r="BN125" s="173">
        <f t="shared" si="355"/>
        <v>2.3296874999999998E-2</v>
      </c>
      <c r="BO125" s="528"/>
      <c r="BQ125" s="460">
        <f t="shared" si="356"/>
        <v>116.48437499999999</v>
      </c>
      <c r="BR125" s="528">
        <f t="shared" si="357"/>
        <v>6.8787395570152144E-3</v>
      </c>
      <c r="BS125" s="528">
        <f t="shared" si="358"/>
        <v>1.0899038220762564E-2</v>
      </c>
      <c r="BT125" s="528">
        <f t="shared" si="359"/>
        <v>1.093361028076597E-4</v>
      </c>
      <c r="BU125" s="528">
        <f t="shared" si="360"/>
        <v>9.2304188792111538E-2</v>
      </c>
      <c r="BV125" s="528"/>
      <c r="BW125" s="625">
        <f t="shared" si="361"/>
        <v>2.1399779731389162E-3</v>
      </c>
      <c r="BX125" s="460">
        <f t="shared" si="362"/>
        <v>112.33128064583589</v>
      </c>
      <c r="BY125" s="173">
        <f t="shared" si="363"/>
        <v>0.4784029854398566</v>
      </c>
      <c r="BZ125" s="5">
        <f t="shared" si="364"/>
        <v>2.7599999999999993</v>
      </c>
      <c r="CA125" s="173">
        <f t="shared" si="365"/>
        <v>0.85227194157404185</v>
      </c>
      <c r="CB125" s="5">
        <f t="shared" si="366"/>
        <v>85.227194157404185</v>
      </c>
      <c r="CC125">
        <f t="shared" si="367"/>
        <v>15</v>
      </c>
      <c r="CE125" s="562">
        <f t="shared" si="368"/>
        <v>-50</v>
      </c>
      <c r="CF125">
        <f t="shared" si="369"/>
        <v>-50</v>
      </c>
      <c r="CG125" s="173">
        <f t="shared" si="370"/>
        <v>0.22700003933291032</v>
      </c>
      <c r="CH125" s="173">
        <f t="shared" si="371"/>
        <v>7.9316570910829415E-2</v>
      </c>
      <c r="CI125" s="170">
        <v>15</v>
      </c>
      <c r="CJ125" s="217">
        <f t="shared" si="438"/>
        <v>0.15</v>
      </c>
      <c r="CK125" s="217">
        <f t="shared" si="372"/>
        <v>3.7499999999999999E-2</v>
      </c>
      <c r="CL125" s="217">
        <f t="shared" si="373"/>
        <v>2.4599999999999995</v>
      </c>
      <c r="CM125" s="217">
        <f t="shared" si="374"/>
        <v>0.3</v>
      </c>
      <c r="CN125" s="541">
        <f t="shared" si="375"/>
        <v>10</v>
      </c>
      <c r="CO125" s="443">
        <f t="shared" si="376"/>
        <v>17.099999999999998</v>
      </c>
      <c r="CP125" s="443">
        <f t="shared" si="377"/>
        <v>27.099999999999998</v>
      </c>
      <c r="CQ125" s="443"/>
      <c r="CR125" s="217">
        <f t="shared" si="378"/>
        <v>0.62686567164179097</v>
      </c>
      <c r="CS125" s="172">
        <f t="shared" si="379"/>
        <v>18.624269954574949</v>
      </c>
      <c r="CT125" s="172">
        <f t="shared" si="380"/>
        <v>2.5482344375682562</v>
      </c>
      <c r="CU125" s="217">
        <f t="shared" si="381"/>
        <v>1.135626216742375</v>
      </c>
      <c r="CV125" s="217">
        <f t="shared" si="382"/>
        <v>2.3280337443218686</v>
      </c>
      <c r="CW125" s="217">
        <f t="shared" si="383"/>
        <v>16.399999999999999</v>
      </c>
      <c r="CX125" s="217">
        <f t="shared" si="384"/>
        <v>0.88057142857142845</v>
      </c>
      <c r="CY125" s="217">
        <f t="shared" si="385"/>
        <v>1.0566857142857142</v>
      </c>
      <c r="CZ125" s="217">
        <f t="shared" si="386"/>
        <v>0.61794486215538857</v>
      </c>
      <c r="DA125" s="197">
        <f t="shared" si="387"/>
        <v>350</v>
      </c>
      <c r="DB125" s="443">
        <f t="shared" si="388"/>
        <v>350</v>
      </c>
      <c r="DD125" s="217">
        <f t="shared" si="389"/>
        <v>1.5023721665788083</v>
      </c>
      <c r="DE125" s="173">
        <f t="shared" si="390"/>
        <v>1.0542962572482866</v>
      </c>
      <c r="DF125" s="173">
        <f t="shared" si="391"/>
        <v>0.24706104135140031</v>
      </c>
      <c r="DG125" s="173"/>
      <c r="DH125" s="173">
        <f t="shared" si="392"/>
        <v>0.93567251461988332</v>
      </c>
      <c r="DI125" s="545">
        <f t="shared" si="393"/>
        <v>240.46874999999989</v>
      </c>
      <c r="DJ125" s="528">
        <f t="shared" si="394"/>
        <v>0.21832358674463945</v>
      </c>
      <c r="DL125" s="173">
        <f t="shared" si="395"/>
        <v>1.1464230084422216</v>
      </c>
      <c r="DM125" s="173">
        <f t="shared" si="396"/>
        <v>1.3333333333333335</v>
      </c>
      <c r="DN125" s="173">
        <f t="shared" si="397"/>
        <v>1.1374107142857142</v>
      </c>
      <c r="DP125" s="545">
        <f t="shared" si="398"/>
        <v>150</v>
      </c>
      <c r="DQ125" s="460">
        <f t="shared" si="399"/>
        <v>240.46874999999989</v>
      </c>
      <c r="DS125" s="460">
        <f t="shared" si="400"/>
        <v>150</v>
      </c>
      <c r="DT125" s="460">
        <f t="shared" si="401"/>
        <v>240.46874999999989</v>
      </c>
      <c r="DV125" s="5">
        <f t="shared" si="402"/>
        <v>4.1585445094217048</v>
      </c>
      <c r="DW125" s="5">
        <f t="shared" si="403"/>
        <v>1.6000000000000003</v>
      </c>
      <c r="DX125" s="5">
        <f t="shared" si="404"/>
        <v>2.5585445094217043</v>
      </c>
      <c r="DY125" s="173">
        <f t="shared" si="405"/>
        <v>0.38474999999999987</v>
      </c>
      <c r="EA125" s="5">
        <f t="shared" si="406"/>
        <v>1.4634146341463419</v>
      </c>
      <c r="EB125" s="5">
        <f t="shared" si="407"/>
        <v>0.75000000000000011</v>
      </c>
      <c r="EC125" s="5">
        <f t="shared" si="408"/>
        <v>0.5245016244314491</v>
      </c>
      <c r="ED125" s="5"/>
      <c r="EE125" s="173">
        <f t="shared" si="409"/>
        <v>0.4774934554525328</v>
      </c>
      <c r="EF125" s="173">
        <f t="shared" si="410"/>
        <v>0.60381503177098261</v>
      </c>
      <c r="EG125" s="173">
        <f t="shared" si="411"/>
        <v>0.1481382646095237</v>
      </c>
      <c r="EH125" s="173"/>
      <c r="EI125" s="528">
        <f t="shared" si="412"/>
        <v>4.559999999999999E-3</v>
      </c>
      <c r="EJ125" s="528">
        <f t="shared" si="413"/>
        <v>0.17377874999999993</v>
      </c>
      <c r="EK125" s="528">
        <f t="shared" si="414"/>
        <v>3.0058593749999984E-2</v>
      </c>
      <c r="EL125" s="528">
        <f t="shared" si="415"/>
        <v>1.7660265468749992E-2</v>
      </c>
      <c r="EM125">
        <f t="shared" si="416"/>
        <v>4.4999999999999997E-3</v>
      </c>
      <c r="EN125" s="460">
        <f t="shared" si="417"/>
        <v>34.558593749999986</v>
      </c>
      <c r="EP125" s="460">
        <f t="shared" si="439"/>
        <v>230.55760921874992</v>
      </c>
      <c r="EQ125" s="173">
        <f t="shared" si="418"/>
        <v>0.105</v>
      </c>
      <c r="ER125" s="173">
        <f t="shared" si="419"/>
        <v>1.6640624999999999E-2</v>
      </c>
      <c r="ES125" s="528"/>
      <c r="EU125" s="460">
        <f t="shared" si="420"/>
        <v>121.640625</v>
      </c>
      <c r="EV125" s="528">
        <f t="shared" si="421"/>
        <v>6.8399999999999971E-3</v>
      </c>
      <c r="EW125" s="528">
        <f t="shared" si="422"/>
        <v>1.0937777777777782E-2</v>
      </c>
      <c r="EX125" s="528">
        <f t="shared" si="423"/>
        <v>1.097247272076063E-4</v>
      </c>
      <c r="EY125" s="528">
        <f t="shared" si="424"/>
        <v>9.2037213265127621E-2</v>
      </c>
      <c r="EZ125" s="528"/>
      <c r="FA125" s="625">
        <f t="shared" si="425"/>
        <v>2.1374999999999996E-3</v>
      </c>
      <c r="FB125" s="460">
        <f t="shared" si="426"/>
        <v>112.06221577011301</v>
      </c>
      <c r="FC125" s="173">
        <f t="shared" si="427"/>
        <v>0.46426044998886296</v>
      </c>
      <c r="FD125" s="5">
        <f t="shared" si="428"/>
        <v>2.7599999999999993</v>
      </c>
      <c r="FE125" s="173">
        <f t="shared" si="429"/>
        <v>0.85601025190428814</v>
      </c>
      <c r="FF125" s="5">
        <f t="shared" si="430"/>
        <v>85.601025190428814</v>
      </c>
      <c r="FG125">
        <f t="shared" si="431"/>
        <v>15</v>
      </c>
      <c r="FI125" s="562">
        <f t="shared" si="432"/>
        <v>-50</v>
      </c>
      <c r="FJ125">
        <f t="shared" si="433"/>
        <v>-50</v>
      </c>
    </row>
    <row r="126" spans="5:166">
      <c r="E126" s="170">
        <v>16</v>
      </c>
      <c r="F126" s="217">
        <f t="shared" si="434"/>
        <v>0.16</v>
      </c>
      <c r="G126" s="217">
        <f t="shared" si="313"/>
        <v>0.04</v>
      </c>
      <c r="H126" s="217">
        <f t="shared" si="314"/>
        <v>2.6239999999999997</v>
      </c>
      <c r="I126" s="217">
        <f t="shared" si="315"/>
        <v>0.32</v>
      </c>
      <c r="J126" s="541">
        <f t="shared" si="316"/>
        <v>9.955209755049875</v>
      </c>
      <c r="K126" s="443">
        <f t="shared" si="317"/>
        <v>17.119823785111333</v>
      </c>
      <c r="L126" s="172">
        <f t="shared" si="318"/>
        <v>27.075033540161208</v>
      </c>
      <c r="M126" s="443"/>
      <c r="N126" s="217">
        <f t="shared" si="319"/>
        <v>0.63231034449937007</v>
      </c>
      <c r="O126" s="172">
        <f t="shared" si="320"/>
        <v>18.701888876879863</v>
      </c>
      <c r="P126" s="172">
        <f t="shared" si="321"/>
        <v>2.5588545161703564</v>
      </c>
      <c r="Q126" s="217">
        <f t="shared" si="322"/>
        <v>1.1403590778585284</v>
      </c>
      <c r="R126" s="217">
        <f t="shared" si="323"/>
        <v>2.3377361096099829</v>
      </c>
      <c r="S126" s="217">
        <f t="shared" si="324"/>
        <v>16.399999999999999</v>
      </c>
      <c r="T126" s="217">
        <f t="shared" si="325"/>
        <v>0.93537788875215666</v>
      </c>
      <c r="U126" s="217">
        <f t="shared" si="326"/>
        <v>1.1275035826675706</v>
      </c>
      <c r="V126" s="217">
        <f t="shared" si="327"/>
        <v>0.6556454555792548</v>
      </c>
      <c r="W126" s="197">
        <f t="shared" si="328"/>
        <v>350</v>
      </c>
      <c r="X126" s="443">
        <f t="shared" si="435"/>
        <v>350</v>
      </c>
      <c r="Z126" s="217">
        <f t="shared" si="329"/>
        <v>1.498757645185494</v>
      </c>
      <c r="AA126" s="173">
        <f t="shared" si="330"/>
        <v>1.0505418728589424</v>
      </c>
      <c r="AB126" s="173">
        <f t="shared" si="331"/>
        <v>0.24558896708396485</v>
      </c>
      <c r="AC126" s="173"/>
      <c r="AD126" s="173">
        <f t="shared" si="332"/>
        <v>0.93458905890811728</v>
      </c>
      <c r="AE126" s="545">
        <f t="shared" si="333"/>
        <v>256.79735677666991</v>
      </c>
      <c r="AF126" s="528">
        <f t="shared" si="334"/>
        <v>0.21807078041189407</v>
      </c>
      <c r="AH126" s="173">
        <f t="shared" si="335"/>
        <v>1.1840205918415276</v>
      </c>
      <c r="AI126" s="173">
        <f t="shared" si="336"/>
        <v>1.3333333333333335</v>
      </c>
      <c r="AJ126" s="173">
        <f t="shared" si="337"/>
        <v>1.1467413467295258</v>
      </c>
      <c r="AL126" s="545">
        <f t="shared" si="338"/>
        <v>160</v>
      </c>
      <c r="AM126" s="460">
        <f t="shared" si="339"/>
        <v>256.79735677666991</v>
      </c>
      <c r="AO126" s="460">
        <f t="shared" si="340"/>
        <v>160</v>
      </c>
      <c r="AP126" s="460">
        <f t="shared" si="341"/>
        <v>256.79735677666991</v>
      </c>
      <c r="AR126" s="5">
        <f t="shared" si="275"/>
        <v>3.8941210787838223</v>
      </c>
      <c r="AS126" s="5">
        <f t="shared" si="440"/>
        <v>1.6071986822662223</v>
      </c>
      <c r="AT126" s="5">
        <f t="shared" si="441"/>
        <v>2.2869223965175998</v>
      </c>
      <c r="AU126" s="173">
        <f t="shared" si="442"/>
        <v>0.41272437342091284</v>
      </c>
      <c r="AW126" s="5">
        <f t="shared" si="342"/>
        <v>1.567998714406071</v>
      </c>
      <c r="AX126" s="5">
        <f t="shared" si="343"/>
        <v>0.80359934113311116</v>
      </c>
      <c r="AY126" s="5">
        <f t="shared" si="344"/>
        <v>0.50232361715752005</v>
      </c>
      <c r="AZ126" s="5"/>
      <c r="BA126" s="173">
        <f t="shared" si="345"/>
        <v>0.49454767866369781</v>
      </c>
      <c r="BB126" s="173">
        <f t="shared" si="346"/>
        <v>0.58992811945265045</v>
      </c>
      <c r="BC126" s="173">
        <f t="shared" si="347"/>
        <v>0.14473128899053544</v>
      </c>
      <c r="BD126" s="173"/>
      <c r="BE126" s="528">
        <f t="shared" si="348"/>
        <v>4.8915481294330423E-3</v>
      </c>
      <c r="BF126" s="528">
        <f t="shared" si="349"/>
        <v>0.17381992619382705</v>
      </c>
      <c r="BG126" s="528">
        <f t="shared" si="350"/>
        <v>6.3911788781353188E-2</v>
      </c>
      <c r="BH126" s="528">
        <f t="shared" si="351"/>
        <v>1.8824721326584852E-2</v>
      </c>
      <c r="BI126">
        <f t="shared" si="352"/>
        <v>4.4798443897724437E-3</v>
      </c>
      <c r="BJ126" s="460">
        <f t="shared" si="436"/>
        <v>68.391633171125633</v>
      </c>
      <c r="BK126">
        <f t="shared" si="353"/>
        <v>0.19908830040560949</v>
      </c>
      <c r="BL126" s="460">
        <f t="shared" si="437"/>
        <v>265.9278288209706</v>
      </c>
      <c r="BM126" s="173">
        <f t="shared" si="354"/>
        <v>9.9399999999999988E-2</v>
      </c>
      <c r="BN126" s="173">
        <f t="shared" si="355"/>
        <v>2.4849999999999997E-2</v>
      </c>
      <c r="BO126" s="528"/>
      <c r="BQ126" s="460">
        <f t="shared" si="356"/>
        <v>124.24999999999999</v>
      </c>
      <c r="BR126" s="528">
        <f t="shared" si="357"/>
        <v>7.337322194149563E-3</v>
      </c>
      <c r="BS126" s="528">
        <f t="shared" si="358"/>
        <v>1.0440455583628218E-2</v>
      </c>
      <c r="BT126" s="528">
        <f t="shared" si="359"/>
        <v>1.0473573006430943E-4</v>
      </c>
      <c r="BU126" s="528">
        <f t="shared" si="360"/>
        <v>0.10846589867866131</v>
      </c>
      <c r="BV126" s="528"/>
      <c r="BW126" s="625">
        <f t="shared" si="361"/>
        <v>2.2826431713481774E-3</v>
      </c>
      <c r="BX126" s="460">
        <f t="shared" si="362"/>
        <v>128.63105535785158</v>
      </c>
      <c r="BY126" s="173">
        <f t="shared" si="363"/>
        <v>0.5188088841788222</v>
      </c>
      <c r="BZ126" s="5">
        <f t="shared" si="364"/>
        <v>2.9439999999999995</v>
      </c>
      <c r="CA126" s="173">
        <f t="shared" si="365"/>
        <v>0.85017686464037889</v>
      </c>
      <c r="CB126" s="5">
        <f t="shared" si="366"/>
        <v>85.017686464037894</v>
      </c>
      <c r="CC126">
        <f t="shared" si="367"/>
        <v>16</v>
      </c>
      <c r="CE126" s="562">
        <f t="shared" si="368"/>
        <v>-50</v>
      </c>
      <c r="CF126">
        <f t="shared" si="369"/>
        <v>-50</v>
      </c>
      <c r="CG126" s="173">
        <f t="shared" si="370"/>
        <v>0.2421333752884377</v>
      </c>
      <c r="CH126" s="173">
        <f t="shared" si="371"/>
        <v>8.4604342304884714E-2</v>
      </c>
      <c r="CI126" s="170">
        <v>16</v>
      </c>
      <c r="CJ126" s="217">
        <f t="shared" si="438"/>
        <v>0.16</v>
      </c>
      <c r="CK126" s="217">
        <f t="shared" si="372"/>
        <v>0.04</v>
      </c>
      <c r="CL126" s="217">
        <f t="shared" si="373"/>
        <v>2.6239999999999997</v>
      </c>
      <c r="CM126" s="217">
        <f t="shared" si="374"/>
        <v>0.32</v>
      </c>
      <c r="CN126" s="541">
        <f t="shared" si="375"/>
        <v>10</v>
      </c>
      <c r="CO126" s="443">
        <f t="shared" si="376"/>
        <v>17.099999999999998</v>
      </c>
      <c r="CP126" s="443">
        <f t="shared" si="377"/>
        <v>27.099999999999998</v>
      </c>
      <c r="CQ126" s="443"/>
      <c r="CR126" s="217">
        <f t="shared" si="378"/>
        <v>0.62686567164179097</v>
      </c>
      <c r="CS126" s="172">
        <f t="shared" si="379"/>
        <v>18.624269954574949</v>
      </c>
      <c r="CT126" s="172">
        <f t="shared" si="380"/>
        <v>2.5482344375682562</v>
      </c>
      <c r="CU126" s="217">
        <f t="shared" si="381"/>
        <v>1.135626216742375</v>
      </c>
      <c r="CV126" s="217">
        <f t="shared" si="382"/>
        <v>2.3280337443218686</v>
      </c>
      <c r="CW126" s="217">
        <f t="shared" si="383"/>
        <v>16.399999999999999</v>
      </c>
      <c r="CX126" s="217">
        <f t="shared" si="384"/>
        <v>0.93927619047619038</v>
      </c>
      <c r="CY126" s="217">
        <f t="shared" si="385"/>
        <v>1.1271314285714285</v>
      </c>
      <c r="CZ126" s="217">
        <f t="shared" si="386"/>
        <v>0.65914118629908103</v>
      </c>
      <c r="DA126" s="197">
        <f t="shared" si="387"/>
        <v>350</v>
      </c>
      <c r="DB126" s="443">
        <f t="shared" si="388"/>
        <v>350</v>
      </c>
      <c r="DD126" s="217">
        <f t="shared" si="389"/>
        <v>1.5023721665788083</v>
      </c>
      <c r="DE126" s="173">
        <f t="shared" si="390"/>
        <v>1.0542962572482866</v>
      </c>
      <c r="DF126" s="173">
        <f t="shared" si="391"/>
        <v>0.24706104135140031</v>
      </c>
      <c r="DG126" s="173"/>
      <c r="DH126" s="173">
        <f t="shared" si="392"/>
        <v>0.93567251461988332</v>
      </c>
      <c r="DI126" s="545">
        <f t="shared" si="393"/>
        <v>256.49999999999989</v>
      </c>
      <c r="DJ126" s="528">
        <f t="shared" si="394"/>
        <v>0.21832358674463945</v>
      </c>
      <c r="DL126" s="173">
        <f t="shared" si="395"/>
        <v>1.1840205918415276</v>
      </c>
      <c r="DM126" s="173">
        <f t="shared" si="396"/>
        <v>1.3333333333333335</v>
      </c>
      <c r="DN126" s="173">
        <f t="shared" si="397"/>
        <v>1.1465714285714286</v>
      </c>
      <c r="DP126" s="545">
        <f t="shared" si="398"/>
        <v>160</v>
      </c>
      <c r="DQ126" s="460">
        <f t="shared" si="399"/>
        <v>256.49999999999989</v>
      </c>
      <c r="DS126" s="460">
        <f t="shared" si="400"/>
        <v>160</v>
      </c>
      <c r="DT126" s="460">
        <f t="shared" si="401"/>
        <v>256.49999999999989</v>
      </c>
      <c r="DV126" s="5">
        <f t="shared" si="402"/>
        <v>3.8986354775828476</v>
      </c>
      <c r="DW126" s="5">
        <f t="shared" si="403"/>
        <v>1.6000000000000003</v>
      </c>
      <c r="DX126" s="5">
        <f t="shared" si="404"/>
        <v>2.298635477582847</v>
      </c>
      <c r="DY126" s="173">
        <f t="shared" si="405"/>
        <v>0.41039999999999993</v>
      </c>
      <c r="EA126" s="5">
        <f t="shared" si="406"/>
        <v>1.5609756097560983</v>
      </c>
      <c r="EB126" s="5">
        <f t="shared" si="407"/>
        <v>0.80000000000000016</v>
      </c>
      <c r="EC126" s="5">
        <f t="shared" si="408"/>
        <v>0.5026349577647824</v>
      </c>
      <c r="ED126" s="5"/>
      <c r="EE126" s="173">
        <f t="shared" si="409"/>
        <v>0.49315312023751812</v>
      </c>
      <c r="EF126" s="173">
        <f t="shared" si="410"/>
        <v>0.5910944024372019</v>
      </c>
      <c r="EG126" s="173">
        <f t="shared" si="411"/>
        <v>0.14501742154485153</v>
      </c>
      <c r="EH126" s="173"/>
      <c r="EI126" s="528">
        <f t="shared" si="412"/>
        <v>4.8640000000000003E-3</v>
      </c>
      <c r="EJ126" s="528">
        <f t="shared" si="413"/>
        <v>0.18536399999999989</v>
      </c>
      <c r="EK126" s="528">
        <f t="shared" si="414"/>
        <v>3.2062499999999987E-2</v>
      </c>
      <c r="EL126" s="528">
        <f t="shared" si="415"/>
        <v>1.8837616499999987E-2</v>
      </c>
      <c r="EM126">
        <f t="shared" si="416"/>
        <v>4.4999999999999997E-3</v>
      </c>
      <c r="EN126" s="460">
        <f t="shared" si="417"/>
        <v>36.562499999999986</v>
      </c>
      <c r="EP126" s="460">
        <f t="shared" si="439"/>
        <v>245.62811649999989</v>
      </c>
      <c r="EQ126" s="173">
        <f t="shared" si="418"/>
        <v>0.11199999999999999</v>
      </c>
      <c r="ER126" s="173">
        <f t="shared" si="419"/>
        <v>1.7749999999999998E-2</v>
      </c>
      <c r="ES126" s="528"/>
      <c r="EU126" s="460">
        <f t="shared" si="420"/>
        <v>129.74999999999997</v>
      </c>
      <c r="EV126" s="528">
        <f t="shared" si="421"/>
        <v>7.2959999999999995E-3</v>
      </c>
      <c r="EW126" s="528">
        <f t="shared" si="422"/>
        <v>1.0481777777777784E-2</v>
      </c>
      <c r="EX126" s="528">
        <f t="shared" si="423"/>
        <v>1.0515026275758585E-4</v>
      </c>
      <c r="EY126" s="528">
        <f t="shared" si="424"/>
        <v>0.10815217791648944</v>
      </c>
      <c r="EZ126" s="528"/>
      <c r="FA126" s="625">
        <f t="shared" si="425"/>
        <v>2.2799999999999995E-3</v>
      </c>
      <c r="FB126" s="460">
        <f t="shared" si="426"/>
        <v>128.3151059570248</v>
      </c>
      <c r="FC126" s="173">
        <f t="shared" si="427"/>
        <v>0.50369322245702464</v>
      </c>
      <c r="FD126" s="5">
        <f t="shared" si="428"/>
        <v>2.9439999999999995</v>
      </c>
      <c r="FE126" s="173">
        <f t="shared" si="429"/>
        <v>0.8539042803529765</v>
      </c>
      <c r="FF126" s="5">
        <f t="shared" si="430"/>
        <v>85.390428035297646</v>
      </c>
      <c r="FG126">
        <f t="shared" si="431"/>
        <v>16</v>
      </c>
      <c r="FI126" s="562">
        <f t="shared" si="432"/>
        <v>-50</v>
      </c>
      <c r="FJ126">
        <f t="shared" si="433"/>
        <v>-50</v>
      </c>
    </row>
    <row r="127" spans="5:166">
      <c r="E127" s="170">
        <v>17</v>
      </c>
      <c r="F127" s="217">
        <f t="shared" si="434"/>
        <v>0.17</v>
      </c>
      <c r="G127" s="217">
        <f t="shared" si="313"/>
        <v>4.2500000000000003E-2</v>
      </c>
      <c r="H127" s="217">
        <f t="shared" si="314"/>
        <v>2.7879999999999998</v>
      </c>
      <c r="I127" s="217">
        <f t="shared" si="315"/>
        <v>0.34</v>
      </c>
      <c r="J127" s="541">
        <f t="shared" si="316"/>
        <v>9.955209755049875</v>
      </c>
      <c r="K127" s="443">
        <f t="shared" si="317"/>
        <v>17.119823785111333</v>
      </c>
      <c r="L127" s="172">
        <f t="shared" si="318"/>
        <v>27.075033540161208</v>
      </c>
      <c r="M127" s="443"/>
      <c r="N127" s="217">
        <f t="shared" si="319"/>
        <v>0.63231034449937007</v>
      </c>
      <c r="O127" s="172">
        <f t="shared" si="320"/>
        <v>18.701888876879863</v>
      </c>
      <c r="P127" s="172">
        <f t="shared" si="321"/>
        <v>2.5588545161703564</v>
      </c>
      <c r="Q127" s="217">
        <f t="shared" si="322"/>
        <v>1.1403590778585284</v>
      </c>
      <c r="R127" s="217">
        <f t="shared" si="323"/>
        <v>2.3377361096099829</v>
      </c>
      <c r="S127" s="217">
        <f t="shared" si="324"/>
        <v>16.399999999999999</v>
      </c>
      <c r="T127" s="217">
        <f t="shared" si="325"/>
        <v>0.99383900679916659</v>
      </c>
      <c r="U127" s="217">
        <f t="shared" si="326"/>
        <v>1.1979725565842936</v>
      </c>
      <c r="V127" s="217">
        <f t="shared" si="327"/>
        <v>0.69662329655295818</v>
      </c>
      <c r="W127" s="197">
        <f t="shared" si="328"/>
        <v>350</v>
      </c>
      <c r="X127" s="443">
        <f t="shared" si="435"/>
        <v>350</v>
      </c>
      <c r="Z127" s="217">
        <f t="shared" si="329"/>
        <v>1.498757645185494</v>
      </c>
      <c r="AA127" s="173">
        <f t="shared" si="330"/>
        <v>1.0505418728589424</v>
      </c>
      <c r="AB127" s="173">
        <f t="shared" si="331"/>
        <v>0.24558896708396485</v>
      </c>
      <c r="AC127" s="173"/>
      <c r="AD127" s="173">
        <f t="shared" si="332"/>
        <v>0.93458905890811728</v>
      </c>
      <c r="AE127" s="545">
        <f t="shared" si="333"/>
        <v>272.84719157521175</v>
      </c>
      <c r="AF127" s="528">
        <f t="shared" si="334"/>
        <v>0.21807078041189407</v>
      </c>
      <c r="AH127" s="173">
        <f t="shared" si="335"/>
        <v>1.2204604907672387</v>
      </c>
      <c r="AI127" s="173">
        <f t="shared" si="336"/>
        <v>1.3333333333333335</v>
      </c>
      <c r="AJ127" s="173">
        <f t="shared" si="337"/>
        <v>1.155912680900121</v>
      </c>
      <c r="AL127" s="545">
        <f t="shared" si="338"/>
        <v>170</v>
      </c>
      <c r="AM127" s="460">
        <f t="shared" si="339"/>
        <v>272.84719157521175</v>
      </c>
      <c r="AO127" s="460">
        <f t="shared" si="340"/>
        <v>170</v>
      </c>
      <c r="AP127" s="460">
        <f t="shared" si="341"/>
        <v>272.84719157521175</v>
      </c>
      <c r="AR127" s="5">
        <f t="shared" si="275"/>
        <v>3.6650551329730097</v>
      </c>
      <c r="AS127" s="5">
        <f t="shared" si="440"/>
        <v>1.6071986822662223</v>
      </c>
      <c r="AT127" s="5">
        <f t="shared" si="441"/>
        <v>2.0578564507067876</v>
      </c>
      <c r="AU127" s="173">
        <f t="shared" si="442"/>
        <v>0.43851964675971988</v>
      </c>
      <c r="AW127" s="5">
        <f t="shared" si="342"/>
        <v>1.6659986340564505</v>
      </c>
      <c r="AX127" s="5">
        <f t="shared" si="343"/>
        <v>0.85382429995393072</v>
      </c>
      <c r="AY127" s="5">
        <f t="shared" si="344"/>
        <v>0.48025974387097681</v>
      </c>
      <c r="AZ127" s="5"/>
      <c r="BA127" s="173">
        <f t="shared" si="345"/>
        <v>0.50976807900861187</v>
      </c>
      <c r="BB127" s="173">
        <f t="shared" si="346"/>
        <v>0.57682674887392527</v>
      </c>
      <c r="BC127" s="173">
        <f t="shared" si="347"/>
        <v>0.14151703595041781</v>
      </c>
      <c r="BD127" s="173"/>
      <c r="BE127" s="528">
        <f t="shared" si="348"/>
        <v>5.1972698875226075E-3</v>
      </c>
      <c r="BF127" s="528">
        <f t="shared" si="349"/>
        <v>0.18468367158094123</v>
      </c>
      <c r="BG127" s="528">
        <f t="shared" si="350"/>
        <v>6.7906275580187747E-2</v>
      </c>
      <c r="BH127" s="528">
        <f t="shared" si="351"/>
        <v>2.0001266409496406E-2</v>
      </c>
      <c r="BI127">
        <f t="shared" si="352"/>
        <v>4.4798443897724437E-3</v>
      </c>
      <c r="BJ127" s="460">
        <f t="shared" si="436"/>
        <v>72.386119969960191</v>
      </c>
      <c r="BK127">
        <f t="shared" si="353"/>
        <v>0.21154670370595435</v>
      </c>
      <c r="BL127" s="460">
        <f t="shared" si="437"/>
        <v>282.26832784792043</v>
      </c>
      <c r="BM127" s="173">
        <f t="shared" si="354"/>
        <v>0.10561249999999998</v>
      </c>
      <c r="BN127" s="173">
        <f t="shared" si="355"/>
        <v>2.6403124999999996E-2</v>
      </c>
      <c r="BO127" s="528"/>
      <c r="BQ127" s="460">
        <f t="shared" si="356"/>
        <v>132.01562499999997</v>
      </c>
      <c r="BR127" s="528">
        <f t="shared" si="357"/>
        <v>7.7959048312839108E-3</v>
      </c>
      <c r="BS127" s="528">
        <f t="shared" si="358"/>
        <v>9.9818729464938739E-3</v>
      </c>
      <c r="BT127" s="528">
        <f t="shared" si="359"/>
        <v>1.0013535732095924E-4</v>
      </c>
      <c r="BU127" s="528">
        <f t="shared" si="360"/>
        <v>0.12621633513825453</v>
      </c>
      <c r="BV127" s="528"/>
      <c r="BW127" s="625">
        <f t="shared" si="361"/>
        <v>2.4253083695574378E-3</v>
      </c>
      <c r="BX127" s="460">
        <f t="shared" si="362"/>
        <v>146.51955664291069</v>
      </c>
      <c r="BY127" s="173">
        <f t="shared" si="363"/>
        <v>0.56080350949083113</v>
      </c>
      <c r="BZ127" s="5">
        <f t="shared" si="364"/>
        <v>3.1279999999999997</v>
      </c>
      <c r="CA127" s="173">
        <f t="shared" si="365"/>
        <v>0.84797143354262328</v>
      </c>
      <c r="CB127" s="5">
        <f t="shared" si="366"/>
        <v>84.797143354262332</v>
      </c>
      <c r="CC127">
        <f t="shared" si="367"/>
        <v>17</v>
      </c>
      <c r="CE127" s="562">
        <f t="shared" si="368"/>
        <v>-50</v>
      </c>
      <c r="CF127">
        <f t="shared" si="369"/>
        <v>-50</v>
      </c>
      <c r="CG127" s="173">
        <f t="shared" si="370"/>
        <v>0.25726671124396505</v>
      </c>
      <c r="CH127" s="173">
        <f t="shared" si="371"/>
        <v>8.9892113698940013E-2</v>
      </c>
      <c r="CI127" s="170">
        <v>17</v>
      </c>
      <c r="CJ127" s="217">
        <f t="shared" si="438"/>
        <v>0.17</v>
      </c>
      <c r="CK127" s="217">
        <f t="shared" si="372"/>
        <v>4.2500000000000003E-2</v>
      </c>
      <c r="CL127" s="217">
        <f t="shared" si="373"/>
        <v>2.7879999999999998</v>
      </c>
      <c r="CM127" s="217">
        <f t="shared" si="374"/>
        <v>0.34</v>
      </c>
      <c r="CN127" s="541">
        <f t="shared" si="375"/>
        <v>10</v>
      </c>
      <c r="CO127" s="443">
        <f t="shared" si="376"/>
        <v>17.099999999999998</v>
      </c>
      <c r="CP127" s="443">
        <f t="shared" si="377"/>
        <v>27.099999999999998</v>
      </c>
      <c r="CQ127" s="443"/>
      <c r="CR127" s="217">
        <f t="shared" si="378"/>
        <v>0.62686567164179097</v>
      </c>
      <c r="CS127" s="172">
        <f t="shared" si="379"/>
        <v>18.624269954574949</v>
      </c>
      <c r="CT127" s="172">
        <f t="shared" si="380"/>
        <v>2.5482344375682562</v>
      </c>
      <c r="CU127" s="217">
        <f t="shared" si="381"/>
        <v>1.135626216742375</v>
      </c>
      <c r="CV127" s="217">
        <f t="shared" si="382"/>
        <v>2.3280337443218686</v>
      </c>
      <c r="CW127" s="217">
        <f t="shared" si="383"/>
        <v>16.399999999999999</v>
      </c>
      <c r="CX127" s="217">
        <f t="shared" si="384"/>
        <v>0.99798095238095241</v>
      </c>
      <c r="CY127" s="217">
        <f t="shared" si="385"/>
        <v>1.1975771428571429</v>
      </c>
      <c r="CZ127" s="217">
        <f t="shared" si="386"/>
        <v>0.70033751044277381</v>
      </c>
      <c r="DA127" s="197">
        <f t="shared" si="387"/>
        <v>350</v>
      </c>
      <c r="DB127" s="443">
        <f t="shared" si="388"/>
        <v>350</v>
      </c>
      <c r="DD127" s="217">
        <f t="shared" si="389"/>
        <v>1.5023721665788083</v>
      </c>
      <c r="DE127" s="173">
        <f t="shared" si="390"/>
        <v>1.0542962572482866</v>
      </c>
      <c r="DF127" s="173">
        <f t="shared" si="391"/>
        <v>0.24706104135140031</v>
      </c>
      <c r="DG127" s="173"/>
      <c r="DH127" s="173">
        <f t="shared" si="392"/>
        <v>0.93567251461988332</v>
      </c>
      <c r="DI127" s="545">
        <f t="shared" si="393"/>
        <v>272.53124999999989</v>
      </c>
      <c r="DJ127" s="528">
        <f t="shared" si="394"/>
        <v>0.21832358674463945</v>
      </c>
      <c r="DL127" s="173">
        <f t="shared" si="395"/>
        <v>1.2204604907672387</v>
      </c>
      <c r="DM127" s="173">
        <f t="shared" si="396"/>
        <v>1.3333333333333335</v>
      </c>
      <c r="DN127" s="173">
        <f t="shared" si="397"/>
        <v>1.1557321428571428</v>
      </c>
      <c r="DP127" s="545">
        <f t="shared" si="398"/>
        <v>170</v>
      </c>
      <c r="DQ127" s="460">
        <f t="shared" si="399"/>
        <v>272.53124999999989</v>
      </c>
      <c r="DS127" s="460">
        <f t="shared" si="400"/>
        <v>170</v>
      </c>
      <c r="DT127" s="460">
        <f t="shared" si="401"/>
        <v>272.53124999999989</v>
      </c>
      <c r="DV127" s="5">
        <f t="shared" si="402"/>
        <v>3.6693039789015036</v>
      </c>
      <c r="DW127" s="5">
        <f t="shared" si="403"/>
        <v>1.6000000000000003</v>
      </c>
      <c r="DX127" s="5">
        <f t="shared" si="404"/>
        <v>2.0693039789015035</v>
      </c>
      <c r="DY127" s="173">
        <f t="shared" si="405"/>
        <v>0.43604999999999988</v>
      </c>
      <c r="EA127" s="5">
        <f t="shared" si="406"/>
        <v>1.6585365853658545</v>
      </c>
      <c r="EB127" s="5">
        <f t="shared" si="407"/>
        <v>0.85000000000000031</v>
      </c>
      <c r="EC127" s="5">
        <f t="shared" si="408"/>
        <v>0.48076829109811592</v>
      </c>
      <c r="ED127" s="5"/>
      <c r="EE127" s="173">
        <f t="shared" si="409"/>
        <v>0.50833060108555339</v>
      </c>
      <c r="EF127" s="173">
        <f t="shared" si="410"/>
        <v>0.57809393059657077</v>
      </c>
      <c r="EG127" s="173">
        <f t="shared" si="411"/>
        <v>0.14182792271451017</v>
      </c>
      <c r="EH127" s="173"/>
      <c r="EI127" s="528">
        <f t="shared" si="412"/>
        <v>5.1680000000000007E-3</v>
      </c>
      <c r="EJ127" s="528">
        <f t="shared" si="413"/>
        <v>0.19694924999999994</v>
      </c>
      <c r="EK127" s="528">
        <f t="shared" si="414"/>
        <v>3.4066406249999986E-2</v>
      </c>
      <c r="EL127" s="528">
        <f t="shared" si="415"/>
        <v>2.0014967531249987E-2</v>
      </c>
      <c r="EM127">
        <f t="shared" si="416"/>
        <v>4.4999999999999997E-3</v>
      </c>
      <c r="EN127" s="460">
        <f t="shared" si="417"/>
        <v>38.566406249999986</v>
      </c>
      <c r="EP127" s="460">
        <f t="shared" si="439"/>
        <v>260.69862378124992</v>
      </c>
      <c r="EQ127" s="173">
        <f t="shared" si="418"/>
        <v>0.11899999999999999</v>
      </c>
      <c r="ER127" s="173">
        <f t="shared" si="419"/>
        <v>1.8859375000000001E-2</v>
      </c>
      <c r="ES127" s="528"/>
      <c r="EU127" s="460">
        <f t="shared" si="420"/>
        <v>137.859375</v>
      </c>
      <c r="EV127" s="528">
        <f t="shared" si="421"/>
        <v>7.7520000000000002E-3</v>
      </c>
      <c r="EW127" s="528">
        <f t="shared" si="422"/>
        <v>1.0025777777777783E-2</v>
      </c>
      <c r="EX127" s="528">
        <f t="shared" si="423"/>
        <v>1.0057579830756535E-4</v>
      </c>
      <c r="EY127" s="528">
        <f t="shared" si="424"/>
        <v>0.1258512739960847</v>
      </c>
      <c r="EZ127" s="528"/>
      <c r="FA127" s="625">
        <f t="shared" si="425"/>
        <v>2.4224999999999993E-3</v>
      </c>
      <c r="FB127" s="460">
        <f t="shared" si="426"/>
        <v>146.15212757217006</v>
      </c>
      <c r="FC127" s="173">
        <f t="shared" si="427"/>
        <v>0.54471012635341998</v>
      </c>
      <c r="FD127" s="5">
        <f t="shared" si="428"/>
        <v>3.1279999999999997</v>
      </c>
      <c r="FE127" s="173">
        <f t="shared" si="429"/>
        <v>0.85168714447544636</v>
      </c>
      <c r="FF127" s="5">
        <f t="shared" si="430"/>
        <v>85.16871444754463</v>
      </c>
      <c r="FG127">
        <f t="shared" si="431"/>
        <v>17</v>
      </c>
      <c r="FI127" s="562">
        <f t="shared" si="432"/>
        <v>-50</v>
      </c>
      <c r="FJ127">
        <f t="shared" si="433"/>
        <v>-50</v>
      </c>
    </row>
    <row r="128" spans="5:166">
      <c r="E128" s="170">
        <v>18</v>
      </c>
      <c r="F128" s="217">
        <f t="shared" si="434"/>
        <v>0.18</v>
      </c>
      <c r="G128" s="217">
        <f t="shared" si="313"/>
        <v>4.4999999999999998E-2</v>
      </c>
      <c r="H128" s="217">
        <f t="shared" si="314"/>
        <v>2.9519999999999995</v>
      </c>
      <c r="I128" s="217">
        <f t="shared" si="315"/>
        <v>0.36</v>
      </c>
      <c r="J128" s="541">
        <f t="shared" si="316"/>
        <v>9.955209755049875</v>
      </c>
      <c r="K128" s="443">
        <f t="shared" si="317"/>
        <v>17.119823785111333</v>
      </c>
      <c r="L128" s="172">
        <f t="shared" si="318"/>
        <v>27.075033540161208</v>
      </c>
      <c r="M128" s="443"/>
      <c r="N128" s="217">
        <f t="shared" si="319"/>
        <v>0.63231034449937007</v>
      </c>
      <c r="O128" s="172">
        <f t="shared" si="320"/>
        <v>18.701888876879863</v>
      </c>
      <c r="P128" s="172">
        <f t="shared" si="321"/>
        <v>2.5588545161703564</v>
      </c>
      <c r="Q128" s="217">
        <f t="shared" si="322"/>
        <v>1.1403590778585284</v>
      </c>
      <c r="R128" s="217">
        <f t="shared" si="323"/>
        <v>2.3377361096099829</v>
      </c>
      <c r="S128" s="217">
        <f t="shared" si="324"/>
        <v>16.399999999999999</v>
      </c>
      <c r="T128" s="217">
        <f t="shared" si="325"/>
        <v>1.0523001248461763</v>
      </c>
      <c r="U128" s="217">
        <f t="shared" si="326"/>
        <v>1.2684415305010166</v>
      </c>
      <c r="V128" s="217">
        <f t="shared" si="327"/>
        <v>0.73760113752666157</v>
      </c>
      <c r="W128" s="197">
        <f t="shared" si="328"/>
        <v>350</v>
      </c>
      <c r="X128" s="443">
        <f t="shared" si="435"/>
        <v>350</v>
      </c>
      <c r="Z128" s="217">
        <f t="shared" si="329"/>
        <v>1.498757645185494</v>
      </c>
      <c r="AA128" s="173">
        <f t="shared" si="330"/>
        <v>1.0505418728589424</v>
      </c>
      <c r="AB128" s="173">
        <f t="shared" si="331"/>
        <v>0.24558896708396485</v>
      </c>
      <c r="AC128" s="173"/>
      <c r="AD128" s="173">
        <f t="shared" si="332"/>
        <v>0.93458905890811728</v>
      </c>
      <c r="AE128" s="545">
        <f t="shared" si="333"/>
        <v>288.89702637375359</v>
      </c>
      <c r="AF128" s="528">
        <f t="shared" si="334"/>
        <v>0.21807078041189407</v>
      </c>
      <c r="AH128" s="173">
        <f t="shared" si="335"/>
        <v>1.2558434843334805</v>
      </c>
      <c r="AI128" s="173">
        <f t="shared" si="336"/>
        <v>1.3333333333333335</v>
      </c>
      <c r="AJ128" s="173">
        <f t="shared" si="337"/>
        <v>1.1650840150707165</v>
      </c>
      <c r="AL128" s="545">
        <f t="shared" si="338"/>
        <v>180</v>
      </c>
      <c r="AM128" s="460">
        <f t="shared" si="339"/>
        <v>288.89702637375359</v>
      </c>
      <c r="AO128" s="460">
        <f t="shared" si="340"/>
        <v>180</v>
      </c>
      <c r="AP128" s="460">
        <f t="shared" si="341"/>
        <v>288.89702637375359</v>
      </c>
      <c r="AR128" s="5">
        <f t="shared" si="275"/>
        <v>3.4614409589189545</v>
      </c>
      <c r="AS128" s="5">
        <f t="shared" si="440"/>
        <v>1.6071986822662223</v>
      </c>
      <c r="AT128" s="5">
        <f t="shared" si="441"/>
        <v>1.8542422766527322</v>
      </c>
      <c r="AU128" s="173">
        <f t="shared" si="442"/>
        <v>0.46431492009852676</v>
      </c>
      <c r="AW128" s="5">
        <f t="shared" si="342"/>
        <v>1.7639985537068297</v>
      </c>
      <c r="AX128" s="5">
        <f t="shared" si="343"/>
        <v>0.90404925877475006</v>
      </c>
      <c r="AY128" s="5">
        <f t="shared" si="344"/>
        <v>0.45819587058443323</v>
      </c>
      <c r="AZ128" s="5"/>
      <c r="BA128" s="173">
        <f t="shared" si="345"/>
        <v>0.52454702580474943</v>
      </c>
      <c r="BB128" s="173">
        <f t="shared" si="346"/>
        <v>0.563420811039124</v>
      </c>
      <c r="BC128" s="173">
        <f t="shared" si="347"/>
        <v>0.13822806124489267</v>
      </c>
      <c r="BD128" s="173"/>
      <c r="BE128" s="528">
        <f t="shared" si="348"/>
        <v>5.5029916456121701E-3</v>
      </c>
      <c r="BF128" s="528">
        <f t="shared" si="349"/>
        <v>0.19554741696805539</v>
      </c>
      <c r="BG128" s="528">
        <f t="shared" si="350"/>
        <v>7.190076237902232E-2</v>
      </c>
      <c r="BH128" s="528">
        <f t="shared" si="351"/>
        <v>2.1177811492407956E-2</v>
      </c>
      <c r="BI128">
        <f t="shared" si="352"/>
        <v>4.4798443897724437E-3</v>
      </c>
      <c r="BJ128" s="460">
        <f t="shared" si="436"/>
        <v>76.380606768794763</v>
      </c>
      <c r="BK128">
        <f t="shared" si="353"/>
        <v>0.22400691932003602</v>
      </c>
      <c r="BL128" s="460">
        <f t="shared" si="437"/>
        <v>298.6088268748702</v>
      </c>
      <c r="BM128" s="173">
        <f t="shared" si="354"/>
        <v>0.11182499999999999</v>
      </c>
      <c r="BN128" s="173">
        <f t="shared" si="355"/>
        <v>2.7956249999999998E-2</v>
      </c>
      <c r="BO128" s="528"/>
      <c r="BQ128" s="460">
        <f t="shared" si="356"/>
        <v>139.78125</v>
      </c>
      <c r="BR128" s="528">
        <f t="shared" si="357"/>
        <v>8.2544874684182534E-3</v>
      </c>
      <c r="BS128" s="528">
        <f t="shared" si="358"/>
        <v>9.5232903093595278E-3</v>
      </c>
      <c r="BT128" s="528">
        <f t="shared" si="359"/>
        <v>9.5534984577609015E-5</v>
      </c>
      <c r="BU128" s="528">
        <f t="shared" si="360"/>
        <v>0.14560440869852653</v>
      </c>
      <c r="BV128" s="528"/>
      <c r="BW128" s="625">
        <f t="shared" si="361"/>
        <v>2.567973567766699E-3</v>
      </c>
      <c r="BX128" s="460">
        <f t="shared" si="362"/>
        <v>166.04569502864859</v>
      </c>
      <c r="BY128" s="173">
        <f t="shared" si="363"/>
        <v>0.60443577190351883</v>
      </c>
      <c r="BZ128" s="5">
        <f t="shared" si="364"/>
        <v>3.3119999999999994</v>
      </c>
      <c r="CA128" s="173">
        <f t="shared" si="365"/>
        <v>0.84566687490709369</v>
      </c>
      <c r="CB128" s="5">
        <f t="shared" si="366"/>
        <v>84.56668749070937</v>
      </c>
      <c r="CC128">
        <f t="shared" si="367"/>
        <v>18</v>
      </c>
      <c r="CE128" s="562">
        <f t="shared" si="368"/>
        <v>-50</v>
      </c>
      <c r="CF128">
        <f t="shared" si="369"/>
        <v>-50</v>
      </c>
      <c r="CG128" s="173">
        <f t="shared" si="370"/>
        <v>0.27240004719949246</v>
      </c>
      <c r="CH128" s="173">
        <f t="shared" si="371"/>
        <v>9.5179885092995312E-2</v>
      </c>
      <c r="CI128" s="170">
        <v>18</v>
      </c>
      <c r="CJ128" s="217">
        <f t="shared" si="438"/>
        <v>0.18</v>
      </c>
      <c r="CK128" s="217">
        <f t="shared" si="372"/>
        <v>4.4999999999999998E-2</v>
      </c>
      <c r="CL128" s="217">
        <f t="shared" si="373"/>
        <v>2.9519999999999995</v>
      </c>
      <c r="CM128" s="217">
        <f t="shared" si="374"/>
        <v>0.36</v>
      </c>
      <c r="CN128" s="541">
        <f t="shared" si="375"/>
        <v>10</v>
      </c>
      <c r="CO128" s="443">
        <f t="shared" si="376"/>
        <v>17.099999999999998</v>
      </c>
      <c r="CP128" s="443">
        <f t="shared" si="377"/>
        <v>27.099999999999998</v>
      </c>
      <c r="CQ128" s="443"/>
      <c r="CR128" s="217">
        <f t="shared" si="378"/>
        <v>0.62686567164179097</v>
      </c>
      <c r="CS128" s="172">
        <f t="shared" si="379"/>
        <v>18.624269954574949</v>
      </c>
      <c r="CT128" s="172">
        <f t="shared" si="380"/>
        <v>2.5482344375682562</v>
      </c>
      <c r="CU128" s="217">
        <f t="shared" si="381"/>
        <v>1.135626216742375</v>
      </c>
      <c r="CV128" s="217">
        <f t="shared" si="382"/>
        <v>2.3280337443218686</v>
      </c>
      <c r="CW128" s="217">
        <f t="shared" si="383"/>
        <v>16.399999999999999</v>
      </c>
      <c r="CX128" s="217">
        <f t="shared" si="384"/>
        <v>1.0566857142857142</v>
      </c>
      <c r="CY128" s="217">
        <f t="shared" si="385"/>
        <v>1.2680228571428571</v>
      </c>
      <c r="CZ128" s="217">
        <f t="shared" si="386"/>
        <v>0.74153383458646627</v>
      </c>
      <c r="DA128" s="197">
        <f t="shared" si="387"/>
        <v>350</v>
      </c>
      <c r="DB128" s="443">
        <f t="shared" si="388"/>
        <v>350</v>
      </c>
      <c r="DD128" s="217">
        <f t="shared" si="389"/>
        <v>1.5023721665788083</v>
      </c>
      <c r="DE128" s="173">
        <f t="shared" si="390"/>
        <v>1.0542962572482866</v>
      </c>
      <c r="DF128" s="173">
        <f t="shared" si="391"/>
        <v>0.24706104135140031</v>
      </c>
      <c r="DG128" s="173"/>
      <c r="DH128" s="173">
        <f t="shared" si="392"/>
        <v>0.93567251461988332</v>
      </c>
      <c r="DI128" s="545">
        <f t="shared" si="393"/>
        <v>288.56249999999989</v>
      </c>
      <c r="DJ128" s="528">
        <f t="shared" si="394"/>
        <v>0.21832358674463945</v>
      </c>
      <c r="DL128" s="173">
        <f t="shared" si="395"/>
        <v>1.2558434843334805</v>
      </c>
      <c r="DM128" s="173">
        <f t="shared" si="396"/>
        <v>1.3333333333333335</v>
      </c>
      <c r="DN128" s="173">
        <f t="shared" si="397"/>
        <v>1.1648928571428572</v>
      </c>
      <c r="DP128" s="545">
        <f t="shared" si="398"/>
        <v>180</v>
      </c>
      <c r="DQ128" s="460">
        <f t="shared" si="399"/>
        <v>288.56249999999989</v>
      </c>
      <c r="DS128" s="460">
        <f t="shared" si="400"/>
        <v>180</v>
      </c>
      <c r="DT128" s="460">
        <f t="shared" si="401"/>
        <v>288.56249999999989</v>
      </c>
      <c r="DV128" s="5">
        <f t="shared" si="402"/>
        <v>3.46545375785142</v>
      </c>
      <c r="DW128" s="5">
        <f t="shared" si="403"/>
        <v>1.6000000000000003</v>
      </c>
      <c r="DX128" s="5">
        <f t="shared" si="404"/>
        <v>1.8654537578514196</v>
      </c>
      <c r="DY128" s="173">
        <f t="shared" si="405"/>
        <v>0.46169999999999994</v>
      </c>
      <c r="EA128" s="5">
        <f t="shared" si="406"/>
        <v>1.7560975609756102</v>
      </c>
      <c r="EB128" s="5">
        <f t="shared" si="407"/>
        <v>0.90000000000000013</v>
      </c>
      <c r="EC128" s="5">
        <f t="shared" si="408"/>
        <v>0.45890162443144916</v>
      </c>
      <c r="ED128" s="5"/>
      <c r="EE128" s="173">
        <f t="shared" si="409"/>
        <v>0.52306787322488091</v>
      </c>
      <c r="EF128" s="173">
        <f t="shared" si="410"/>
        <v>0.56479429228046618</v>
      </c>
      <c r="EG128" s="173">
        <f t="shared" si="411"/>
        <v>0.13856502723093217</v>
      </c>
      <c r="EH128" s="173"/>
      <c r="EI128" s="528">
        <f t="shared" si="412"/>
        <v>5.4720000000000012E-3</v>
      </c>
      <c r="EJ128" s="528">
        <f t="shared" si="413"/>
        <v>0.2085344999999999</v>
      </c>
      <c r="EK128" s="528">
        <f t="shared" si="414"/>
        <v>3.6070312499999986E-2</v>
      </c>
      <c r="EL128" s="528">
        <f t="shared" si="415"/>
        <v>2.1192318562499986E-2</v>
      </c>
      <c r="EM128">
        <f t="shared" si="416"/>
        <v>4.4999999999999997E-3</v>
      </c>
      <c r="EN128" s="460">
        <f t="shared" si="417"/>
        <v>40.570312499999986</v>
      </c>
      <c r="EP128" s="460">
        <f t="shared" si="439"/>
        <v>275.76913106249992</v>
      </c>
      <c r="EQ128" s="173">
        <f t="shared" si="418"/>
        <v>0.126</v>
      </c>
      <c r="ER128" s="173">
        <f t="shared" si="419"/>
        <v>1.9968749999999997E-2</v>
      </c>
      <c r="ES128" s="528"/>
      <c r="EU128" s="460">
        <f t="shared" si="420"/>
        <v>145.96875</v>
      </c>
      <c r="EV128" s="528">
        <f t="shared" si="421"/>
        <v>8.2080000000000018E-3</v>
      </c>
      <c r="EW128" s="528">
        <f t="shared" si="422"/>
        <v>9.5697777777777795E-3</v>
      </c>
      <c r="EX128" s="528">
        <f t="shared" si="423"/>
        <v>9.6001333857544872E-5</v>
      </c>
      <c r="EY128" s="528">
        <f t="shared" si="424"/>
        <v>0.14518327056544528</v>
      </c>
      <c r="EZ128" s="528"/>
      <c r="FA128" s="625">
        <f t="shared" si="425"/>
        <v>2.5649999999999991E-3</v>
      </c>
      <c r="FB128" s="460">
        <f t="shared" si="426"/>
        <v>165.62204967708061</v>
      </c>
      <c r="FC128" s="173">
        <f t="shared" si="427"/>
        <v>0.58735993073958059</v>
      </c>
      <c r="FD128" s="5">
        <f t="shared" si="428"/>
        <v>3.3119999999999994</v>
      </c>
      <c r="FE128" s="173">
        <f t="shared" si="429"/>
        <v>0.84937016813726707</v>
      </c>
      <c r="FF128" s="5">
        <f t="shared" si="430"/>
        <v>84.9370168137267</v>
      </c>
      <c r="FG128">
        <f t="shared" si="431"/>
        <v>18</v>
      </c>
      <c r="FI128" s="562">
        <f t="shared" si="432"/>
        <v>-50</v>
      </c>
      <c r="FJ128">
        <f t="shared" si="433"/>
        <v>-50</v>
      </c>
    </row>
    <row r="129" spans="5:166">
      <c r="E129" s="170">
        <v>19</v>
      </c>
      <c r="F129" s="217">
        <f t="shared" si="434"/>
        <v>0.19</v>
      </c>
      <c r="G129" s="217">
        <f t="shared" si="313"/>
        <v>4.7500000000000001E-2</v>
      </c>
      <c r="H129" s="217">
        <f t="shared" si="314"/>
        <v>3.1159999999999997</v>
      </c>
      <c r="I129" s="217">
        <f t="shared" si="315"/>
        <v>0.38</v>
      </c>
      <c r="J129" s="541">
        <f t="shared" si="316"/>
        <v>9.955209755049875</v>
      </c>
      <c r="K129" s="443">
        <f t="shared" si="317"/>
        <v>17.119823785111333</v>
      </c>
      <c r="L129" s="172">
        <f t="shared" si="318"/>
        <v>27.075033540161208</v>
      </c>
      <c r="M129" s="443"/>
      <c r="N129" s="217">
        <f t="shared" si="319"/>
        <v>0.63231034449937007</v>
      </c>
      <c r="O129" s="172">
        <f t="shared" si="320"/>
        <v>18.701888876879863</v>
      </c>
      <c r="P129" s="172">
        <f t="shared" si="321"/>
        <v>2.5588545161703564</v>
      </c>
      <c r="Q129" s="217">
        <f t="shared" si="322"/>
        <v>1.1403590778585284</v>
      </c>
      <c r="R129" s="217">
        <f t="shared" si="323"/>
        <v>2.3377361096099829</v>
      </c>
      <c r="S129" s="217">
        <f t="shared" si="324"/>
        <v>16.399999999999999</v>
      </c>
      <c r="T129" s="217">
        <f t="shared" si="325"/>
        <v>1.1107612428931861</v>
      </c>
      <c r="U129" s="217">
        <f t="shared" si="326"/>
        <v>1.3389105044177398</v>
      </c>
      <c r="V129" s="217">
        <f t="shared" si="327"/>
        <v>0.77857897850036506</v>
      </c>
      <c r="W129" s="197">
        <f t="shared" si="328"/>
        <v>350</v>
      </c>
      <c r="X129" s="443">
        <f t="shared" si="435"/>
        <v>350</v>
      </c>
      <c r="Z129" s="217">
        <f t="shared" si="329"/>
        <v>1.498757645185494</v>
      </c>
      <c r="AA129" s="173">
        <f t="shared" si="330"/>
        <v>1.0505418728589424</v>
      </c>
      <c r="AB129" s="173">
        <f t="shared" si="331"/>
        <v>0.24558896708396485</v>
      </c>
      <c r="AC129" s="173"/>
      <c r="AD129" s="173">
        <f t="shared" si="332"/>
        <v>0.93458905890811728</v>
      </c>
      <c r="AE129" s="545">
        <f t="shared" si="333"/>
        <v>304.94686117229554</v>
      </c>
      <c r="AF129" s="528">
        <f t="shared" si="334"/>
        <v>0.21807078041189407</v>
      </c>
      <c r="AH129" s="173">
        <f t="shared" si="335"/>
        <v>1.2902565267271096</v>
      </c>
      <c r="AI129" s="173">
        <f t="shared" si="336"/>
        <v>1.3333333333333335</v>
      </c>
      <c r="AJ129" s="173">
        <f t="shared" si="337"/>
        <v>1.1742553492413117</v>
      </c>
      <c r="AL129" s="545">
        <f t="shared" si="338"/>
        <v>190</v>
      </c>
      <c r="AM129" s="460">
        <f t="shared" si="339"/>
        <v>304.94686117229554</v>
      </c>
      <c r="AO129" s="460">
        <f t="shared" si="340"/>
        <v>190</v>
      </c>
      <c r="AP129" s="460">
        <f t="shared" si="341"/>
        <v>304.94686117229554</v>
      </c>
      <c r="AR129" s="5">
        <f t="shared" si="275"/>
        <v>3.2792598558179558</v>
      </c>
      <c r="AS129" s="5">
        <f t="shared" si="440"/>
        <v>1.6071986822662223</v>
      </c>
      <c r="AT129" s="5">
        <f t="shared" si="441"/>
        <v>1.6720611735517334</v>
      </c>
      <c r="AU129" s="173">
        <f t="shared" si="442"/>
        <v>0.49011019343733403</v>
      </c>
      <c r="AW129" s="5">
        <f t="shared" si="342"/>
        <v>1.861998473357209</v>
      </c>
      <c r="AX129" s="5">
        <f t="shared" si="343"/>
        <v>0.95427421759556941</v>
      </c>
      <c r="AY129" s="5">
        <f t="shared" si="344"/>
        <v>0.43613199729788926</v>
      </c>
      <c r="AZ129" s="5"/>
      <c r="BA129" s="173">
        <f t="shared" si="345"/>
        <v>0.53892083851442119</v>
      </c>
      <c r="BB129" s="173">
        <f t="shared" si="346"/>
        <v>0.54968802279793749</v>
      </c>
      <c r="BC129" s="173">
        <f t="shared" si="347"/>
        <v>0.13485889798916401</v>
      </c>
      <c r="BD129" s="173"/>
      <c r="BE129" s="528">
        <f t="shared" si="348"/>
        <v>5.8087134037017362E-3</v>
      </c>
      <c r="BF129" s="528">
        <f t="shared" si="349"/>
        <v>0.20641116235516963</v>
      </c>
      <c r="BG129" s="528">
        <f t="shared" si="350"/>
        <v>7.5895249177856908E-2</v>
      </c>
      <c r="BH129" s="528">
        <f t="shared" si="351"/>
        <v>2.2354356575319517E-2</v>
      </c>
      <c r="BI129">
        <f t="shared" si="352"/>
        <v>4.4798443897724437E-3</v>
      </c>
      <c r="BJ129" s="460">
        <f t="shared" si="436"/>
        <v>80.375093567629349</v>
      </c>
      <c r="BK129">
        <f t="shared" si="353"/>
        <v>0.23646894764333701</v>
      </c>
      <c r="BL129" s="460">
        <f t="shared" si="437"/>
        <v>314.94932590182026</v>
      </c>
      <c r="BM129" s="173">
        <f t="shared" si="354"/>
        <v>0.11803749999999998</v>
      </c>
      <c r="BN129" s="173">
        <f t="shared" si="355"/>
        <v>2.9509374999999994E-2</v>
      </c>
      <c r="BO129" s="528"/>
      <c r="BQ129" s="460">
        <f t="shared" si="356"/>
        <v>147.54687499999997</v>
      </c>
      <c r="BR129" s="528">
        <f t="shared" si="357"/>
        <v>8.7130701055526047E-3</v>
      </c>
      <c r="BS129" s="528">
        <f t="shared" si="358"/>
        <v>9.0647076722251748E-3</v>
      </c>
      <c r="BT129" s="528">
        <f t="shared" si="359"/>
        <v>9.093461183425872E-5</v>
      </c>
      <c r="BU129" s="528">
        <f t="shared" si="360"/>
        <v>0.16667761006736248</v>
      </c>
      <c r="BV129" s="528"/>
      <c r="BW129" s="625">
        <f t="shared" si="361"/>
        <v>2.7106387659759611E-3</v>
      </c>
      <c r="BX129" s="460">
        <f t="shared" si="362"/>
        <v>187.25696122295048</v>
      </c>
      <c r="BY129" s="173">
        <f t="shared" si="363"/>
        <v>0.64975316212477063</v>
      </c>
      <c r="BZ129" s="5">
        <f t="shared" si="364"/>
        <v>3.4959999999999996</v>
      </c>
      <c r="CA129" s="173">
        <f t="shared" si="365"/>
        <v>0.84327258842594455</v>
      </c>
      <c r="CB129" s="5">
        <f t="shared" si="366"/>
        <v>84.32725884259446</v>
      </c>
      <c r="CC129">
        <f t="shared" si="367"/>
        <v>19</v>
      </c>
      <c r="CE129" s="562">
        <f t="shared" si="368"/>
        <v>-50</v>
      </c>
      <c r="CF129">
        <f t="shared" si="369"/>
        <v>-50</v>
      </c>
      <c r="CG129" s="173">
        <f t="shared" si="370"/>
        <v>0.28753338315501981</v>
      </c>
      <c r="CH129" s="173">
        <f t="shared" si="371"/>
        <v>0.10046765648705061</v>
      </c>
      <c r="CI129" s="170">
        <v>19</v>
      </c>
      <c r="CJ129" s="217">
        <f t="shared" si="438"/>
        <v>0.19</v>
      </c>
      <c r="CK129" s="217">
        <f t="shared" si="372"/>
        <v>4.7500000000000001E-2</v>
      </c>
      <c r="CL129" s="217">
        <f t="shared" si="373"/>
        <v>3.1159999999999997</v>
      </c>
      <c r="CM129" s="217">
        <f t="shared" si="374"/>
        <v>0.38</v>
      </c>
      <c r="CN129" s="541">
        <f t="shared" si="375"/>
        <v>10</v>
      </c>
      <c r="CO129" s="443">
        <f t="shared" si="376"/>
        <v>17.099999999999998</v>
      </c>
      <c r="CP129" s="443">
        <f t="shared" si="377"/>
        <v>27.099999999999998</v>
      </c>
      <c r="CQ129" s="443"/>
      <c r="CR129" s="217">
        <f t="shared" si="378"/>
        <v>0.62686567164179097</v>
      </c>
      <c r="CS129" s="172">
        <f t="shared" si="379"/>
        <v>18.624269954574949</v>
      </c>
      <c r="CT129" s="172">
        <f t="shared" si="380"/>
        <v>2.5482344375682562</v>
      </c>
      <c r="CU129" s="217">
        <f t="shared" si="381"/>
        <v>1.135626216742375</v>
      </c>
      <c r="CV129" s="217">
        <f t="shared" si="382"/>
        <v>2.3280337443218686</v>
      </c>
      <c r="CW129" s="217">
        <f t="shared" si="383"/>
        <v>16.399999999999999</v>
      </c>
      <c r="CX129" s="217">
        <f t="shared" si="384"/>
        <v>1.115390476190476</v>
      </c>
      <c r="CY129" s="217">
        <f t="shared" si="385"/>
        <v>1.3384685714285713</v>
      </c>
      <c r="CZ129" s="217">
        <f t="shared" si="386"/>
        <v>0.78273015873015872</v>
      </c>
      <c r="DA129" s="197">
        <f t="shared" si="387"/>
        <v>350</v>
      </c>
      <c r="DB129" s="443">
        <f t="shared" si="388"/>
        <v>350</v>
      </c>
      <c r="DD129" s="217">
        <f t="shared" si="389"/>
        <v>1.5023721665788083</v>
      </c>
      <c r="DE129" s="173">
        <f t="shared" si="390"/>
        <v>1.0542962572482866</v>
      </c>
      <c r="DF129" s="173">
        <f t="shared" si="391"/>
        <v>0.24706104135140031</v>
      </c>
      <c r="DG129" s="173"/>
      <c r="DH129" s="173">
        <f t="shared" si="392"/>
        <v>0.93567251461988332</v>
      </c>
      <c r="DI129" s="545">
        <f t="shared" si="393"/>
        <v>304.59374999999989</v>
      </c>
      <c r="DJ129" s="528">
        <f t="shared" si="394"/>
        <v>0.21832358674463945</v>
      </c>
      <c r="DL129" s="173">
        <f t="shared" si="395"/>
        <v>1.2902565267271096</v>
      </c>
      <c r="DM129" s="173">
        <f t="shared" si="396"/>
        <v>1.3333333333333335</v>
      </c>
      <c r="DN129" s="173">
        <f t="shared" si="397"/>
        <v>1.1740535714285714</v>
      </c>
      <c r="DP129" s="545">
        <f t="shared" si="398"/>
        <v>190</v>
      </c>
      <c r="DQ129" s="460">
        <f t="shared" si="399"/>
        <v>304.59374999999989</v>
      </c>
      <c r="DS129" s="460">
        <f t="shared" si="400"/>
        <v>190</v>
      </c>
      <c r="DT129" s="460">
        <f t="shared" si="401"/>
        <v>304.59374999999989</v>
      </c>
      <c r="DV129" s="5">
        <f t="shared" si="402"/>
        <v>3.2830614548066084</v>
      </c>
      <c r="DW129" s="5">
        <f t="shared" si="403"/>
        <v>1.6000000000000003</v>
      </c>
      <c r="DX129" s="5">
        <f t="shared" si="404"/>
        <v>1.6830614548066081</v>
      </c>
      <c r="DY129" s="173">
        <f t="shared" si="405"/>
        <v>0.48734999999999989</v>
      </c>
      <c r="EA129" s="5">
        <f t="shared" si="406"/>
        <v>1.8536585365853664</v>
      </c>
      <c r="EB129" s="5">
        <f t="shared" si="407"/>
        <v>0.95000000000000007</v>
      </c>
      <c r="EC129" s="5">
        <f t="shared" si="408"/>
        <v>0.43703495776478246</v>
      </c>
      <c r="ED129" s="5"/>
      <c r="EE129" s="173">
        <f t="shared" si="409"/>
        <v>0.5374011537017761</v>
      </c>
      <c r="EF129" s="173">
        <f t="shared" si="410"/>
        <v>0.55117383155642707</v>
      </c>
      <c r="EG129" s="173">
        <f t="shared" si="411"/>
        <v>0.13522342208916646</v>
      </c>
      <c r="EH129" s="173"/>
      <c r="EI129" s="528">
        <f t="shared" si="412"/>
        <v>5.7759999999999999E-3</v>
      </c>
      <c r="EJ129" s="528">
        <f t="shared" si="413"/>
        <v>0.22011974999999992</v>
      </c>
      <c r="EK129" s="528">
        <f t="shared" si="414"/>
        <v>3.8074218749999979E-2</v>
      </c>
      <c r="EL129" s="528">
        <f t="shared" si="415"/>
        <v>2.2369669593749988E-2</v>
      </c>
      <c r="EM129">
        <f t="shared" si="416"/>
        <v>4.4999999999999997E-3</v>
      </c>
      <c r="EN129" s="460">
        <f t="shared" si="417"/>
        <v>42.574218749999979</v>
      </c>
      <c r="EP129" s="460">
        <f t="shared" si="439"/>
        <v>290.83963834374987</v>
      </c>
      <c r="EQ129" s="173">
        <f t="shared" si="418"/>
        <v>0.13299999999999998</v>
      </c>
      <c r="ER129" s="173">
        <f t="shared" si="419"/>
        <v>2.1078125E-2</v>
      </c>
      <c r="ES129" s="528"/>
      <c r="EU129" s="460">
        <f t="shared" si="420"/>
        <v>154.07812499999997</v>
      </c>
      <c r="EV129" s="528">
        <f t="shared" si="421"/>
        <v>8.6639999999999998E-3</v>
      </c>
      <c r="EW129" s="528">
        <f t="shared" si="422"/>
        <v>9.1137777777777797E-3</v>
      </c>
      <c r="EX129" s="528">
        <f t="shared" si="423"/>
        <v>9.1426869407524369E-5</v>
      </c>
      <c r="EY129" s="528">
        <f t="shared" si="424"/>
        <v>0.16619552097296184</v>
      </c>
      <c r="EZ129" s="528"/>
      <c r="FA129" s="625">
        <f t="shared" si="425"/>
        <v>2.7074999999999994E-3</v>
      </c>
      <c r="FB129" s="460">
        <f t="shared" si="426"/>
        <v>186.77222562014714</v>
      </c>
      <c r="FC129" s="173">
        <f t="shared" si="427"/>
        <v>0.63168998896389694</v>
      </c>
      <c r="FD129" s="5">
        <f t="shared" si="428"/>
        <v>3.4959999999999996</v>
      </c>
      <c r="FE129" s="173">
        <f t="shared" si="429"/>
        <v>0.84696283135292838</v>
      </c>
      <c r="FF129" s="5">
        <f t="shared" si="430"/>
        <v>84.696283135292845</v>
      </c>
      <c r="FG129">
        <f t="shared" si="431"/>
        <v>19</v>
      </c>
      <c r="FI129" s="562">
        <f t="shared" si="432"/>
        <v>-50</v>
      </c>
      <c r="FJ129">
        <f t="shared" si="433"/>
        <v>-50</v>
      </c>
    </row>
    <row r="130" spans="5:166">
      <c r="E130" s="170">
        <v>20</v>
      </c>
      <c r="F130" s="217">
        <f t="shared" si="434"/>
        <v>0.2</v>
      </c>
      <c r="G130" s="217">
        <f t="shared" si="313"/>
        <v>0.05</v>
      </c>
      <c r="H130" s="217">
        <f t="shared" si="314"/>
        <v>3.28</v>
      </c>
      <c r="I130" s="217">
        <f t="shared" si="315"/>
        <v>0.4</v>
      </c>
      <c r="J130" s="541">
        <f t="shared" si="316"/>
        <v>9.955209755049875</v>
      </c>
      <c r="K130" s="443">
        <f t="shared" si="317"/>
        <v>17.119823785111333</v>
      </c>
      <c r="L130" s="172">
        <f t="shared" si="318"/>
        <v>27.075033540161208</v>
      </c>
      <c r="M130" s="443"/>
      <c r="N130" s="217">
        <f t="shared" si="319"/>
        <v>0.63231034449937007</v>
      </c>
      <c r="O130" s="172">
        <f t="shared" si="320"/>
        <v>18.701888876879863</v>
      </c>
      <c r="P130" s="172">
        <f t="shared" si="321"/>
        <v>2.5588545161703564</v>
      </c>
      <c r="Q130" s="217">
        <f t="shared" si="322"/>
        <v>1.1403590778585284</v>
      </c>
      <c r="R130" s="217">
        <f t="shared" si="323"/>
        <v>2.3377361096099829</v>
      </c>
      <c r="S130" s="217">
        <f t="shared" si="324"/>
        <v>16.399999999999999</v>
      </c>
      <c r="T130" s="217">
        <f t="shared" si="325"/>
        <v>1.1692223609401959</v>
      </c>
      <c r="U130" s="217">
        <f t="shared" si="326"/>
        <v>1.4093794783344631</v>
      </c>
      <c r="V130" s="217">
        <f t="shared" si="327"/>
        <v>0.81955681947406844</v>
      </c>
      <c r="W130" s="197">
        <f t="shared" si="328"/>
        <v>350</v>
      </c>
      <c r="X130" s="443">
        <f t="shared" si="435"/>
        <v>350</v>
      </c>
      <c r="Z130" s="217">
        <f t="shared" si="329"/>
        <v>1.498757645185494</v>
      </c>
      <c r="AA130" s="173">
        <f t="shared" si="330"/>
        <v>1.0505418728589424</v>
      </c>
      <c r="AB130" s="173">
        <f t="shared" si="331"/>
        <v>0.24558896708396485</v>
      </c>
      <c r="AC130" s="173"/>
      <c r="AD130" s="173">
        <f t="shared" si="332"/>
        <v>0.93458905890811728</v>
      </c>
      <c r="AE130" s="545">
        <f t="shared" si="333"/>
        <v>320.99669597083738</v>
      </c>
      <c r="AF130" s="528">
        <f t="shared" si="334"/>
        <v>0.21807078041189407</v>
      </c>
      <c r="AH130" s="173">
        <f t="shared" si="335"/>
        <v>1.3237752650585946</v>
      </c>
      <c r="AI130" s="173">
        <f t="shared" si="336"/>
        <v>1.3333333333333335</v>
      </c>
      <c r="AJ130" s="173">
        <f t="shared" si="337"/>
        <v>1.1834266834119072</v>
      </c>
      <c r="AL130" s="545">
        <f t="shared" si="338"/>
        <v>200</v>
      </c>
      <c r="AM130" s="460">
        <f t="shared" si="339"/>
        <v>320.99669597083738</v>
      </c>
      <c r="AO130" s="460">
        <f t="shared" si="340"/>
        <v>200</v>
      </c>
      <c r="AP130" s="460">
        <f t="shared" si="341"/>
        <v>320.99669597083738</v>
      </c>
      <c r="AR130" s="5">
        <f t="shared" si="275"/>
        <v>3.1152968630270581</v>
      </c>
      <c r="AS130" s="5">
        <f t="shared" si="440"/>
        <v>1.6071986822662223</v>
      </c>
      <c r="AT130" s="5">
        <f t="shared" si="441"/>
        <v>1.5080981807608358</v>
      </c>
      <c r="AU130" s="173">
        <f t="shared" si="442"/>
        <v>0.51590546677614102</v>
      </c>
      <c r="AW130" s="5">
        <f t="shared" si="342"/>
        <v>1.9599983930075884</v>
      </c>
      <c r="AX130" s="5">
        <f t="shared" si="343"/>
        <v>1.0044991764163889</v>
      </c>
      <c r="AY130" s="5">
        <f t="shared" si="344"/>
        <v>0.41406812401134568</v>
      </c>
      <c r="AZ130" s="5"/>
      <c r="BA130" s="173">
        <f t="shared" si="345"/>
        <v>0.55292111380337527</v>
      </c>
      <c r="BB130" s="173">
        <f t="shared" si="346"/>
        <v>0.5356032435516308</v>
      </c>
      <c r="BC130" s="173">
        <f t="shared" si="347"/>
        <v>0.13140337826015619</v>
      </c>
      <c r="BD130" s="173"/>
      <c r="BE130" s="528">
        <f t="shared" si="348"/>
        <v>6.1144351617913022E-3</v>
      </c>
      <c r="BF130" s="528">
        <f t="shared" si="349"/>
        <v>0.21727490774228383</v>
      </c>
      <c r="BG130" s="528">
        <f t="shared" si="350"/>
        <v>7.9889735976691481E-2</v>
      </c>
      <c r="BH130" s="528">
        <f t="shared" si="351"/>
        <v>2.3530901658231067E-2</v>
      </c>
      <c r="BI130">
        <f t="shared" si="352"/>
        <v>4.4798443897724437E-3</v>
      </c>
      <c r="BJ130" s="460">
        <f t="shared" si="436"/>
        <v>84.369580366463921</v>
      </c>
      <c r="BK130">
        <f t="shared" si="353"/>
        <v>0.24893278907145477</v>
      </c>
      <c r="BL130" s="460">
        <f t="shared" si="437"/>
        <v>331.28982492877014</v>
      </c>
      <c r="BM130" s="173">
        <f t="shared" si="354"/>
        <v>0.12424999999999999</v>
      </c>
      <c r="BN130" s="173">
        <f t="shared" si="355"/>
        <v>3.1062499999999996E-2</v>
      </c>
      <c r="BO130" s="528"/>
      <c r="BQ130" s="460">
        <f t="shared" si="356"/>
        <v>155.3125</v>
      </c>
      <c r="BR130" s="528">
        <f t="shared" si="357"/>
        <v>9.1716527426869525E-3</v>
      </c>
      <c r="BS130" s="528">
        <f t="shared" si="358"/>
        <v>8.6061250350908253E-3</v>
      </c>
      <c r="BT130" s="528">
        <f t="shared" si="359"/>
        <v>8.6334239090908439E-5</v>
      </c>
      <c r="BU130" s="528">
        <f t="shared" si="360"/>
        <v>0.18948212709850876</v>
      </c>
      <c r="BV130" s="528"/>
      <c r="BW130" s="625">
        <f t="shared" si="361"/>
        <v>2.8533039641852214E-3</v>
      </c>
      <c r="BX130" s="460">
        <f t="shared" si="362"/>
        <v>210.19954307956269</v>
      </c>
      <c r="BY130" s="173">
        <f t="shared" si="363"/>
        <v>0.69680186800833277</v>
      </c>
      <c r="BZ130" s="5">
        <f t="shared" si="364"/>
        <v>3.6799999999999997</v>
      </c>
      <c r="CA130" s="173">
        <f t="shared" si="365"/>
        <v>0.84079657041331579</v>
      </c>
      <c r="CB130" s="5">
        <f t="shared" si="366"/>
        <v>84.079657041331586</v>
      </c>
      <c r="CC130">
        <f t="shared" si="367"/>
        <v>20</v>
      </c>
      <c r="CE130" s="562">
        <f t="shared" si="368"/>
        <v>-50</v>
      </c>
      <c r="CF130">
        <f t="shared" si="369"/>
        <v>-50</v>
      </c>
      <c r="CG130" s="173">
        <f t="shared" si="370"/>
        <v>0.30266671911054716</v>
      </c>
      <c r="CH130" s="173">
        <f t="shared" si="371"/>
        <v>0.10575542788110591</v>
      </c>
      <c r="CI130" s="170">
        <v>20</v>
      </c>
      <c r="CJ130" s="217">
        <f t="shared" si="438"/>
        <v>0.2</v>
      </c>
      <c r="CK130" s="217">
        <f t="shared" si="372"/>
        <v>0.05</v>
      </c>
      <c r="CL130" s="217">
        <f t="shared" si="373"/>
        <v>3.28</v>
      </c>
      <c r="CM130" s="217">
        <f t="shared" si="374"/>
        <v>0.4</v>
      </c>
      <c r="CN130" s="541">
        <f t="shared" si="375"/>
        <v>10</v>
      </c>
      <c r="CO130" s="443">
        <f t="shared" si="376"/>
        <v>17.099999999999998</v>
      </c>
      <c r="CP130" s="443">
        <f t="shared" si="377"/>
        <v>27.099999999999998</v>
      </c>
      <c r="CQ130" s="443"/>
      <c r="CR130" s="217">
        <f t="shared" si="378"/>
        <v>0.62686567164179097</v>
      </c>
      <c r="CS130" s="172">
        <f t="shared" si="379"/>
        <v>18.624269954574949</v>
      </c>
      <c r="CT130" s="172">
        <f t="shared" si="380"/>
        <v>2.5482344375682562</v>
      </c>
      <c r="CU130" s="217">
        <f t="shared" si="381"/>
        <v>1.135626216742375</v>
      </c>
      <c r="CV130" s="217">
        <f t="shared" si="382"/>
        <v>2.3280337443218686</v>
      </c>
      <c r="CW130" s="217">
        <f t="shared" si="383"/>
        <v>16.399999999999999</v>
      </c>
      <c r="CX130" s="217">
        <f t="shared" si="384"/>
        <v>1.1740952380952381</v>
      </c>
      <c r="CY130" s="217">
        <f t="shared" si="385"/>
        <v>1.4089142857142858</v>
      </c>
      <c r="CZ130" s="217">
        <f t="shared" si="386"/>
        <v>0.8239264828738514</v>
      </c>
      <c r="DA130" s="197">
        <f t="shared" si="387"/>
        <v>350</v>
      </c>
      <c r="DB130" s="443">
        <f t="shared" si="388"/>
        <v>350</v>
      </c>
      <c r="DD130" s="217">
        <f t="shared" si="389"/>
        <v>1.5023721665788083</v>
      </c>
      <c r="DE130" s="173">
        <f t="shared" si="390"/>
        <v>1.0542962572482866</v>
      </c>
      <c r="DF130" s="173">
        <f t="shared" si="391"/>
        <v>0.24706104135140031</v>
      </c>
      <c r="DG130" s="173"/>
      <c r="DH130" s="173">
        <f t="shared" si="392"/>
        <v>0.93567251461988332</v>
      </c>
      <c r="DI130" s="545">
        <f t="shared" si="393"/>
        <v>320.62499999999989</v>
      </c>
      <c r="DJ130" s="528">
        <f t="shared" si="394"/>
        <v>0.21832358674463945</v>
      </c>
      <c r="DL130" s="173">
        <f t="shared" si="395"/>
        <v>1.3237752650585946</v>
      </c>
      <c r="DM130" s="173">
        <f t="shared" si="396"/>
        <v>1.3333333333333335</v>
      </c>
      <c r="DN130" s="173">
        <f t="shared" si="397"/>
        <v>1.1832142857142856</v>
      </c>
      <c r="DP130" s="545">
        <f t="shared" si="398"/>
        <v>200</v>
      </c>
      <c r="DQ130" s="460">
        <f t="shared" si="399"/>
        <v>320.62499999999989</v>
      </c>
      <c r="DS130" s="460">
        <f t="shared" si="400"/>
        <v>200</v>
      </c>
      <c r="DT130" s="460">
        <f t="shared" si="401"/>
        <v>320.62499999999989</v>
      </c>
      <c r="DV130" s="5">
        <f t="shared" si="402"/>
        <v>3.118908382066278</v>
      </c>
      <c r="DW130" s="5">
        <f t="shared" si="403"/>
        <v>1.6000000000000003</v>
      </c>
      <c r="DX130" s="5">
        <f t="shared" si="404"/>
        <v>1.5189083820662777</v>
      </c>
      <c r="DY130" s="173">
        <f t="shared" si="405"/>
        <v>0.5129999999999999</v>
      </c>
      <c r="EA130" s="5">
        <f t="shared" si="406"/>
        <v>1.9512195121951226</v>
      </c>
      <c r="EB130" s="5">
        <f t="shared" si="407"/>
        <v>1.0000000000000002</v>
      </c>
      <c r="EC130" s="5">
        <f t="shared" si="408"/>
        <v>0.41516829109811576</v>
      </c>
      <c r="ED130" s="5"/>
      <c r="EE130" s="173">
        <f t="shared" si="409"/>
        <v>0.55136195008360889</v>
      </c>
      <c r="EF130" s="173">
        <f t="shared" si="410"/>
        <v>0.53720814643170922</v>
      </c>
      <c r="EG130" s="173">
        <f t="shared" si="411"/>
        <v>0.1317971205736331</v>
      </c>
      <c r="EH130" s="173"/>
      <c r="EI130" s="528">
        <f t="shared" si="412"/>
        <v>6.0800000000000003E-3</v>
      </c>
      <c r="EJ130" s="528">
        <f t="shared" si="413"/>
        <v>0.23170499999999994</v>
      </c>
      <c r="EK130" s="528">
        <f t="shared" si="414"/>
        <v>4.0078124999999985E-2</v>
      </c>
      <c r="EL130" s="528">
        <f t="shared" si="415"/>
        <v>2.3547020624999988E-2</v>
      </c>
      <c r="EM130">
        <f t="shared" si="416"/>
        <v>4.4999999999999997E-3</v>
      </c>
      <c r="EN130" s="460">
        <f t="shared" si="417"/>
        <v>44.578124999999986</v>
      </c>
      <c r="EP130" s="460">
        <f t="shared" si="439"/>
        <v>305.91014562499993</v>
      </c>
      <c r="EQ130" s="173">
        <f t="shared" si="418"/>
        <v>0.13999999999999999</v>
      </c>
      <c r="ER130" s="173">
        <f t="shared" si="419"/>
        <v>2.2187499999999999E-2</v>
      </c>
      <c r="ES130" s="528"/>
      <c r="EU130" s="460">
        <f t="shared" si="420"/>
        <v>162.18749999999997</v>
      </c>
      <c r="EV130" s="528">
        <f t="shared" si="421"/>
        <v>9.1199999999999996E-3</v>
      </c>
      <c r="EW130" s="528">
        <f t="shared" si="422"/>
        <v>8.6577777777777816E-3</v>
      </c>
      <c r="EX130" s="528">
        <f t="shared" si="423"/>
        <v>8.6852404957503906E-5</v>
      </c>
      <c r="EY130" s="528">
        <f t="shared" si="424"/>
        <v>0.18893407948118895</v>
      </c>
      <c r="EZ130" s="528"/>
      <c r="FA130" s="625">
        <f t="shared" si="425"/>
        <v>2.8499999999999992E-3</v>
      </c>
      <c r="FB130" s="460">
        <f t="shared" si="426"/>
        <v>209.64870966392425</v>
      </c>
      <c r="FC130" s="173">
        <f t="shared" si="427"/>
        <v>0.67774635528892413</v>
      </c>
      <c r="FD130" s="5">
        <f t="shared" si="428"/>
        <v>3.6799999999999997</v>
      </c>
      <c r="FE130" s="173">
        <f t="shared" si="429"/>
        <v>0.84447319783393193</v>
      </c>
      <c r="FF130" s="5">
        <f t="shared" si="430"/>
        <v>84.447319783393198</v>
      </c>
      <c r="FG130">
        <f t="shared" si="431"/>
        <v>20</v>
      </c>
      <c r="FI130" s="562">
        <f t="shared" si="432"/>
        <v>-50</v>
      </c>
      <c r="FJ130">
        <f t="shared" si="433"/>
        <v>-50</v>
      </c>
    </row>
    <row r="131" spans="5:166">
      <c r="E131" s="170">
        <v>21</v>
      </c>
      <c r="F131" s="217">
        <f t="shared" si="434"/>
        <v>0.21</v>
      </c>
      <c r="G131" s="217">
        <f t="shared" si="313"/>
        <v>5.2499999999999998E-2</v>
      </c>
      <c r="H131" s="217">
        <f t="shared" si="314"/>
        <v>3.4439999999999995</v>
      </c>
      <c r="I131" s="217">
        <f t="shared" si="315"/>
        <v>0.42</v>
      </c>
      <c r="J131" s="541">
        <f t="shared" si="316"/>
        <v>9.955209755049875</v>
      </c>
      <c r="K131" s="443">
        <f t="shared" si="317"/>
        <v>17.119823785111333</v>
      </c>
      <c r="L131" s="172">
        <f t="shared" si="318"/>
        <v>27.075033540161208</v>
      </c>
      <c r="M131" s="443"/>
      <c r="N131" s="217">
        <f t="shared" si="319"/>
        <v>0.63231034449937007</v>
      </c>
      <c r="O131" s="172">
        <f t="shared" si="320"/>
        <v>18.701888876879863</v>
      </c>
      <c r="P131" s="172">
        <f t="shared" si="321"/>
        <v>2.5588545161703564</v>
      </c>
      <c r="Q131" s="217">
        <f t="shared" si="322"/>
        <v>1.1403590778585284</v>
      </c>
      <c r="R131" s="217">
        <f t="shared" si="323"/>
        <v>2.3377361096099829</v>
      </c>
      <c r="S131" s="217">
        <f t="shared" si="324"/>
        <v>16.399999999999999</v>
      </c>
      <c r="T131" s="217">
        <f t="shared" si="325"/>
        <v>1.2276834789872058</v>
      </c>
      <c r="U131" s="217">
        <f t="shared" si="326"/>
        <v>1.4798484522511863</v>
      </c>
      <c r="V131" s="217">
        <f t="shared" si="327"/>
        <v>0.86053466044777183</v>
      </c>
      <c r="W131" s="197">
        <f t="shared" si="328"/>
        <v>350</v>
      </c>
      <c r="X131" s="443">
        <f t="shared" si="435"/>
        <v>350</v>
      </c>
      <c r="Z131" s="217">
        <f t="shared" si="329"/>
        <v>1.498757645185494</v>
      </c>
      <c r="AA131" s="173">
        <f t="shared" si="330"/>
        <v>1.0505418728589424</v>
      </c>
      <c r="AB131" s="173">
        <f t="shared" si="331"/>
        <v>0.24558896708396485</v>
      </c>
      <c r="AC131" s="173"/>
      <c r="AD131" s="173">
        <f t="shared" si="332"/>
        <v>0.93458905890811728</v>
      </c>
      <c r="AE131" s="545">
        <f t="shared" si="333"/>
        <v>337.04653076937922</v>
      </c>
      <c r="AF131" s="528">
        <f t="shared" si="334"/>
        <v>0.21807078041189407</v>
      </c>
      <c r="AH131" s="173">
        <f t="shared" si="335"/>
        <v>1.3564659966250534</v>
      </c>
      <c r="AI131" s="173">
        <f t="shared" si="336"/>
        <v>1.3564659966250534</v>
      </c>
      <c r="AJ131" s="173">
        <f t="shared" si="337"/>
        <v>1.1925980175825024</v>
      </c>
      <c r="AL131" s="545">
        <f t="shared" si="338"/>
        <v>210</v>
      </c>
      <c r="AM131" s="460">
        <f t="shared" si="339"/>
        <v>337.04653076937922</v>
      </c>
      <c r="AO131" s="460">
        <f t="shared" si="340"/>
        <v>210</v>
      </c>
      <c r="AP131" s="460">
        <f t="shared" si="341"/>
        <v>337.04653076937922</v>
      </c>
      <c r="AR131" s="5">
        <f t="shared" si="275"/>
        <v>2.9669493933591031</v>
      </c>
      <c r="AS131" s="5">
        <f t="shared" si="440"/>
        <v>1.6350827717360428</v>
      </c>
      <c r="AT131" s="5">
        <f t="shared" si="441"/>
        <v>1.3318666216230604</v>
      </c>
      <c r="AU131" s="173">
        <f t="shared" si="442"/>
        <v>0.55109897573441402</v>
      </c>
      <c r="AW131" s="5">
        <f t="shared" si="342"/>
        <v>2.0937035491742013</v>
      </c>
      <c r="AX131" s="5">
        <f t="shared" si="343"/>
        <v>1.0730230689517781</v>
      </c>
      <c r="AY131" s="5">
        <f t="shared" si="344"/>
        <v>0.38396551133633366</v>
      </c>
      <c r="AZ131" s="5"/>
      <c r="BA131" s="173">
        <f t="shared" si="345"/>
        <v>0.58138401404215945</v>
      </c>
      <c r="BB131" s="173">
        <f t="shared" si="346"/>
        <v>0.5247151241860285</v>
      </c>
      <c r="BC131" s="173">
        <f t="shared" si="347"/>
        <v>0.12873211798538145</v>
      </c>
      <c r="BD131" s="173"/>
      <c r="BE131" s="528">
        <f t="shared" si="348"/>
        <v>6.7601474356754777E-3</v>
      </c>
      <c r="BF131" s="528">
        <f t="shared" si="349"/>
        <v>0.23209674411439962</v>
      </c>
      <c r="BG131" s="528">
        <f t="shared" si="350"/>
        <v>8.3884222775526041E-2</v>
      </c>
      <c r="BH131" s="528">
        <f t="shared" si="351"/>
        <v>2.4707446741142617E-2</v>
      </c>
      <c r="BI131">
        <f t="shared" si="352"/>
        <v>4.4798443897724437E-3</v>
      </c>
      <c r="BJ131" s="460">
        <f t="shared" si="436"/>
        <v>88.364067165298493</v>
      </c>
      <c r="BK131">
        <f t="shared" si="353"/>
        <v>0.26581653555039797</v>
      </c>
      <c r="BL131" s="460">
        <f t="shared" si="437"/>
        <v>351.9284054565162</v>
      </c>
      <c r="BM131" s="173">
        <f t="shared" si="354"/>
        <v>0.13046249999999998</v>
      </c>
      <c r="BN131" s="173">
        <f t="shared" si="355"/>
        <v>3.2615624999999995E-2</v>
      </c>
      <c r="BO131" s="528"/>
      <c r="BQ131" s="460">
        <f t="shared" si="356"/>
        <v>163.07812499999997</v>
      </c>
      <c r="BR131" s="528">
        <f t="shared" si="357"/>
        <v>1.0140221153513216E-2</v>
      </c>
      <c r="BS131" s="528">
        <f t="shared" si="358"/>
        <v>8.2597788464867788E-3</v>
      </c>
      <c r="BT131" s="528">
        <f t="shared" si="359"/>
        <v>8.2859791005010855E-5</v>
      </c>
      <c r="BU131" s="528">
        <f t="shared" si="360"/>
        <v>0.2234688202905773</v>
      </c>
      <c r="BV131" s="528"/>
      <c r="BW131" s="625">
        <f t="shared" si="361"/>
        <v>3.1008280830782881E-3</v>
      </c>
      <c r="BX131" s="460">
        <f t="shared" si="362"/>
        <v>245.05250816466059</v>
      </c>
      <c r="BY131" s="173">
        <f t="shared" si="363"/>
        <v>0.76005903862117685</v>
      </c>
      <c r="BZ131" s="5">
        <f t="shared" si="364"/>
        <v>3.8639999999999994</v>
      </c>
      <c r="CA131" s="173">
        <f t="shared" si="365"/>
        <v>0.83562946920162706</v>
      </c>
      <c r="CB131" s="5">
        <f t="shared" si="366"/>
        <v>83.562946920162702</v>
      </c>
      <c r="CC131">
        <f t="shared" si="367"/>
        <v>21</v>
      </c>
      <c r="CE131" s="562">
        <f t="shared" si="368"/>
        <v>-50</v>
      </c>
      <c r="CF131">
        <f t="shared" si="369"/>
        <v>-50</v>
      </c>
      <c r="CG131" s="173">
        <f t="shared" si="370"/>
        <v>0.3178000550660745</v>
      </c>
      <c r="CH131" s="173">
        <f t="shared" si="371"/>
        <v>0.11104319927516118</v>
      </c>
      <c r="CI131" s="170">
        <v>21</v>
      </c>
      <c r="CJ131" s="217">
        <f t="shared" si="438"/>
        <v>0.21</v>
      </c>
      <c r="CK131" s="217">
        <f t="shared" si="372"/>
        <v>5.2499999999999998E-2</v>
      </c>
      <c r="CL131" s="217">
        <f t="shared" si="373"/>
        <v>3.4439999999999995</v>
      </c>
      <c r="CM131" s="217">
        <f t="shared" si="374"/>
        <v>0.42</v>
      </c>
      <c r="CN131" s="541">
        <f t="shared" si="375"/>
        <v>10</v>
      </c>
      <c r="CO131" s="443">
        <f t="shared" si="376"/>
        <v>17.099999999999998</v>
      </c>
      <c r="CP131" s="443">
        <f t="shared" si="377"/>
        <v>27.099999999999998</v>
      </c>
      <c r="CQ131" s="443"/>
      <c r="CR131" s="217">
        <f t="shared" si="378"/>
        <v>0.62686567164179097</v>
      </c>
      <c r="CS131" s="172">
        <f t="shared" si="379"/>
        <v>18.624269954574949</v>
      </c>
      <c r="CT131" s="172">
        <f t="shared" si="380"/>
        <v>2.5482344375682562</v>
      </c>
      <c r="CU131" s="217">
        <f t="shared" si="381"/>
        <v>1.135626216742375</v>
      </c>
      <c r="CV131" s="217">
        <f t="shared" si="382"/>
        <v>2.3280337443218686</v>
      </c>
      <c r="CW131" s="217">
        <f t="shared" si="383"/>
        <v>16.399999999999999</v>
      </c>
      <c r="CX131" s="217">
        <f t="shared" si="384"/>
        <v>1.2327999999999999</v>
      </c>
      <c r="CY131" s="217">
        <f t="shared" si="385"/>
        <v>1.47936</v>
      </c>
      <c r="CZ131" s="217">
        <f t="shared" si="386"/>
        <v>0.86512280701754385</v>
      </c>
      <c r="DA131" s="197">
        <f t="shared" si="387"/>
        <v>350</v>
      </c>
      <c r="DB131" s="443">
        <f t="shared" si="388"/>
        <v>350</v>
      </c>
      <c r="DD131" s="217">
        <f t="shared" si="389"/>
        <v>1.5023721665788083</v>
      </c>
      <c r="DE131" s="173">
        <f t="shared" si="390"/>
        <v>1.0542962572482866</v>
      </c>
      <c r="DF131" s="173">
        <f t="shared" si="391"/>
        <v>0.24706104135140031</v>
      </c>
      <c r="DG131" s="173"/>
      <c r="DH131" s="173">
        <f t="shared" si="392"/>
        <v>0.93567251461988332</v>
      </c>
      <c r="DI131" s="545">
        <f t="shared" si="393"/>
        <v>336.65624999999989</v>
      </c>
      <c r="DJ131" s="528">
        <f t="shared" si="394"/>
        <v>0.21832358674463945</v>
      </c>
      <c r="DL131" s="173">
        <f t="shared" si="395"/>
        <v>1.3564659966250534</v>
      </c>
      <c r="DM131" s="173">
        <f t="shared" si="396"/>
        <v>1.3564659966250534</v>
      </c>
      <c r="DN131" s="173">
        <f t="shared" si="397"/>
        <v>1.192375</v>
      </c>
      <c r="DP131" s="545">
        <f t="shared" si="398"/>
        <v>210</v>
      </c>
      <c r="DQ131" s="460">
        <f t="shared" si="399"/>
        <v>336.65624999999989</v>
      </c>
      <c r="DS131" s="460">
        <f t="shared" si="400"/>
        <v>210</v>
      </c>
      <c r="DT131" s="460">
        <f t="shared" si="401"/>
        <v>336.65624999999989</v>
      </c>
      <c r="DV131" s="5">
        <f t="shared" si="402"/>
        <v>2.9703889353012172</v>
      </c>
      <c r="DW131" s="5">
        <f t="shared" si="403"/>
        <v>1.6277591959500641</v>
      </c>
      <c r="DX131" s="5">
        <f t="shared" si="404"/>
        <v>1.342629739351153</v>
      </c>
      <c r="DY131" s="173">
        <f t="shared" si="405"/>
        <v>0.54799530681156361</v>
      </c>
      <c r="EA131" s="5">
        <f t="shared" si="406"/>
        <v>2.0843257996921554</v>
      </c>
      <c r="EB131" s="5">
        <f t="shared" si="407"/>
        <v>1.0682169723422297</v>
      </c>
      <c r="EC131" s="5">
        <f t="shared" si="408"/>
        <v>0.38533473519378081</v>
      </c>
      <c r="ED131" s="5"/>
      <c r="EE131" s="173">
        <f t="shared" si="409"/>
        <v>0.5797445887438355</v>
      </c>
      <c r="EF131" s="173">
        <f t="shared" si="410"/>
        <v>0.526525920687267</v>
      </c>
      <c r="EG131" s="173">
        <f t="shared" si="411"/>
        <v>0.12917637365498227</v>
      </c>
      <c r="EH131" s="173"/>
      <c r="EI131" s="528">
        <f t="shared" si="412"/>
        <v>6.7220757635551784E-3</v>
      </c>
      <c r="EJ131" s="528">
        <f t="shared" si="413"/>
        <v>0.2475112135765562</v>
      </c>
      <c r="EK131" s="528">
        <f t="shared" si="414"/>
        <v>4.2082031249999985E-2</v>
      </c>
      <c r="EL131" s="528">
        <f t="shared" si="415"/>
        <v>2.4724371656249987E-2</v>
      </c>
      <c r="EM131">
        <f t="shared" si="416"/>
        <v>4.4999999999999997E-3</v>
      </c>
      <c r="EN131" s="460">
        <f t="shared" si="417"/>
        <v>46.582031249999979</v>
      </c>
      <c r="EP131" s="460">
        <f t="shared" si="439"/>
        <v>325.53969224636131</v>
      </c>
      <c r="EQ131" s="173">
        <f t="shared" si="418"/>
        <v>0.14699999999999999</v>
      </c>
      <c r="ER131" s="173">
        <f t="shared" si="419"/>
        <v>2.3296874999999998E-2</v>
      </c>
      <c r="ES131" s="528"/>
      <c r="EU131" s="460">
        <f t="shared" si="420"/>
        <v>170.296875</v>
      </c>
      <c r="EV131" s="528">
        <f t="shared" si="421"/>
        <v>1.0083113645332768E-2</v>
      </c>
      <c r="EW131" s="528">
        <f t="shared" si="422"/>
        <v>8.3168863546672252E-3</v>
      </c>
      <c r="EX131" s="528">
        <f t="shared" si="423"/>
        <v>8.3432677553258003E-5</v>
      </c>
      <c r="EY131" s="528">
        <f t="shared" si="424"/>
        <v>0.22282247144290021</v>
      </c>
      <c r="EZ131" s="528"/>
      <c r="FA131" s="625">
        <f t="shared" si="425"/>
        <v>3.0972374999999981E-3</v>
      </c>
      <c r="FB131" s="460">
        <f t="shared" si="426"/>
        <v>244.40314162045345</v>
      </c>
      <c r="FC131" s="173">
        <f t="shared" si="427"/>
        <v>0.74023970886681478</v>
      </c>
      <c r="FD131" s="5">
        <f t="shared" si="428"/>
        <v>3.8639999999999994</v>
      </c>
      <c r="FE131" s="173">
        <f t="shared" si="429"/>
        <v>0.83922650520535114</v>
      </c>
      <c r="FF131" s="5">
        <f t="shared" si="430"/>
        <v>83.922650520535115</v>
      </c>
      <c r="FG131">
        <f t="shared" si="431"/>
        <v>21</v>
      </c>
      <c r="FI131" s="562">
        <f t="shared" si="432"/>
        <v>-50</v>
      </c>
      <c r="FJ131">
        <f t="shared" si="433"/>
        <v>-50</v>
      </c>
    </row>
    <row r="132" spans="5:166">
      <c r="E132" s="170">
        <v>22</v>
      </c>
      <c r="F132" s="217">
        <f t="shared" si="434"/>
        <v>0.22</v>
      </c>
      <c r="G132" s="217">
        <f t="shared" si="313"/>
        <v>5.5E-2</v>
      </c>
      <c r="H132" s="217">
        <f t="shared" si="314"/>
        <v>3.6079999999999997</v>
      </c>
      <c r="I132" s="217">
        <f t="shared" si="315"/>
        <v>0.44</v>
      </c>
      <c r="J132" s="541">
        <f t="shared" si="316"/>
        <v>9.955038121347652</v>
      </c>
      <c r="K132" s="443">
        <f t="shared" si="317"/>
        <v>17.119899748742132</v>
      </c>
      <c r="L132" s="172">
        <f t="shared" si="318"/>
        <v>27.074937870089784</v>
      </c>
      <c r="M132" s="443"/>
      <c r="N132" s="217">
        <f t="shared" si="319"/>
        <v>0.63231538446685864</v>
      </c>
      <c r="O132" s="172">
        <f t="shared" si="320"/>
        <v>18.701715510171681</v>
      </c>
      <c r="P132" s="172">
        <f t="shared" si="321"/>
        <v>2.5588307955618603</v>
      </c>
      <c r="Q132" s="217">
        <f t="shared" si="322"/>
        <v>1.1403485067177854</v>
      </c>
      <c r="R132" s="217">
        <f t="shared" si="323"/>
        <v>2.3377144387714601</v>
      </c>
      <c r="S132" s="217">
        <f t="shared" si="324"/>
        <v>16.399999999999999</v>
      </c>
      <c r="T132" s="217">
        <f t="shared" si="325"/>
        <v>1.2861565197187905</v>
      </c>
      <c r="U132" s="217">
        <f t="shared" si="326"/>
        <v>1.5503585268577698</v>
      </c>
      <c r="V132" s="217">
        <f t="shared" si="327"/>
        <v>0.90151685834255402</v>
      </c>
      <c r="W132" s="197">
        <f t="shared" si="328"/>
        <v>350</v>
      </c>
      <c r="X132" s="443">
        <f t="shared" si="435"/>
        <v>350</v>
      </c>
      <c r="Z132" s="217">
        <f t="shared" si="329"/>
        <v>1.4987437516862321</v>
      </c>
      <c r="AA132" s="173">
        <f t="shared" si="330"/>
        <v>1.0505274729518326</v>
      </c>
      <c r="AB132" s="173">
        <f t="shared" si="331"/>
        <v>0.2455833241845593</v>
      </c>
      <c r="AC132" s="173"/>
      <c r="AD132" s="173">
        <f t="shared" si="332"/>
        <v>0.93458491199258265</v>
      </c>
      <c r="AE132" s="545">
        <f t="shared" si="333"/>
        <v>353.09793231780634</v>
      </c>
      <c r="AF132" s="528">
        <f t="shared" si="334"/>
        <v>0.21806981279826931</v>
      </c>
      <c r="AH132" s="173">
        <f t="shared" si="335"/>
        <v>1.3883872109822417</v>
      </c>
      <c r="AI132" s="173">
        <f t="shared" si="336"/>
        <v>1.3883872109822417</v>
      </c>
      <c r="AJ132" s="173">
        <f t="shared" si="337"/>
        <v>1.2407806501103023</v>
      </c>
      <c r="AL132" s="545">
        <f t="shared" si="338"/>
        <v>220</v>
      </c>
      <c r="AM132" s="460">
        <f t="shared" si="339"/>
        <v>350</v>
      </c>
      <c r="AO132" s="460">
        <f t="shared" si="340"/>
        <v>220</v>
      </c>
      <c r="AP132" s="460">
        <f t="shared" si="341"/>
        <v>350</v>
      </c>
      <c r="AR132" s="5">
        <f t="shared" si="275"/>
        <v>2.8571428571428572</v>
      </c>
      <c r="AS132" s="5">
        <f t="shared" si="440"/>
        <v>1.6735894256456636</v>
      </c>
      <c r="AT132" s="5">
        <f t="shared" si="441"/>
        <v>1.1835534314971936</v>
      </c>
      <c r="AU132" s="173">
        <f t="shared" si="442"/>
        <v>0.58575629897598225</v>
      </c>
      <c r="AW132" s="5">
        <f t="shared" si="342"/>
        <v>2.2450589856222316</v>
      </c>
      <c r="AX132" s="5">
        <f t="shared" si="343"/>
        <v>1.1505927301313936</v>
      </c>
      <c r="AY132" s="5">
        <f t="shared" si="344"/>
        <v>0.35746228264767571</v>
      </c>
      <c r="AZ132" s="5"/>
      <c r="BA132" s="173">
        <f t="shared" si="345"/>
        <v>0.61349137434005296</v>
      </c>
      <c r="BB132" s="173">
        <f t="shared" si="346"/>
        <v>0.51591473728711756</v>
      </c>
      <c r="BC132" s="173">
        <f t="shared" si="347"/>
        <v>0.12657305606326699</v>
      </c>
      <c r="BD132" s="173"/>
      <c r="BE132" s="528">
        <f t="shared" si="348"/>
        <v>7.5274333277929395E-3</v>
      </c>
      <c r="BF132" s="528">
        <f t="shared" si="349"/>
        <v>0.24668763969262497</v>
      </c>
      <c r="BG132" s="528">
        <f t="shared" si="350"/>
        <v>8.7106583561791948E-2</v>
      </c>
      <c r="BH132" s="528">
        <f t="shared" si="351"/>
        <v>2.5656829123422771E-2</v>
      </c>
      <c r="BI132">
        <f t="shared" si="352"/>
        <v>4.479767154606443E-3</v>
      </c>
      <c r="BJ132" s="460">
        <f t="shared" si="436"/>
        <v>91.5863507163984</v>
      </c>
      <c r="BK132">
        <f t="shared" si="353"/>
        <v>0.28240940348866728</v>
      </c>
      <c r="BL132" s="460">
        <f t="shared" si="437"/>
        <v>371.4582528602391</v>
      </c>
      <c r="BM132" s="173">
        <f t="shared" si="354"/>
        <v>0.13667499999999999</v>
      </c>
      <c r="BN132" s="173">
        <f t="shared" si="355"/>
        <v>3.4168749999999998E-2</v>
      </c>
      <c r="BO132" s="528"/>
      <c r="BQ132" s="460">
        <f t="shared" si="356"/>
        <v>170.84375</v>
      </c>
      <c r="BR132" s="528">
        <f t="shared" si="357"/>
        <v>1.1291149991689408E-2</v>
      </c>
      <c r="BS132" s="528">
        <f t="shared" si="358"/>
        <v>7.9850404845010665E-3</v>
      </c>
      <c r="BT132" s="528">
        <f t="shared" si="359"/>
        <v>8.010369260597465E-5</v>
      </c>
      <c r="BU132" s="528">
        <f t="shared" si="360"/>
        <v>0.2602655140292201</v>
      </c>
      <c r="BV132" s="528"/>
      <c r="BW132" s="625">
        <f t="shared" si="361"/>
        <v>3.3733333333333337E-3</v>
      </c>
      <c r="BX132" s="460">
        <f t="shared" si="362"/>
        <v>282.99514153134993</v>
      </c>
      <c r="BY132" s="173">
        <f t="shared" si="363"/>
        <v>0.82529714439158919</v>
      </c>
      <c r="BZ132" s="5">
        <f t="shared" si="364"/>
        <v>4.048</v>
      </c>
      <c r="CA132" s="173">
        <f t="shared" si="365"/>
        <v>0.8306491231831864</v>
      </c>
      <c r="CB132" s="5">
        <f t="shared" si="366"/>
        <v>83.064912318318633</v>
      </c>
      <c r="CC132">
        <f t="shared" si="367"/>
        <v>22</v>
      </c>
      <c r="CE132" s="562">
        <f t="shared" si="368"/>
        <v>-50</v>
      </c>
      <c r="CF132">
        <f t="shared" si="369"/>
        <v>-50</v>
      </c>
      <c r="CG132" s="173">
        <f t="shared" si="370"/>
        <v>0.33166247903554003</v>
      </c>
      <c r="CH132" s="173">
        <f t="shared" si="371"/>
        <v>0.11588689858464711</v>
      </c>
      <c r="CI132" s="170">
        <v>22</v>
      </c>
      <c r="CJ132" s="217">
        <f t="shared" si="438"/>
        <v>0.22</v>
      </c>
      <c r="CK132" s="217">
        <f t="shared" si="372"/>
        <v>5.5E-2</v>
      </c>
      <c r="CL132" s="217">
        <f t="shared" si="373"/>
        <v>3.6079999999999997</v>
      </c>
      <c r="CM132" s="217">
        <f t="shared" si="374"/>
        <v>0.44</v>
      </c>
      <c r="CN132" s="541">
        <f t="shared" si="375"/>
        <v>10</v>
      </c>
      <c r="CO132" s="443">
        <f t="shared" si="376"/>
        <v>17.099999999999998</v>
      </c>
      <c r="CP132" s="443">
        <f t="shared" si="377"/>
        <v>27.099999999999998</v>
      </c>
      <c r="CQ132" s="443"/>
      <c r="CR132" s="217">
        <f t="shared" si="378"/>
        <v>0.62686567164179097</v>
      </c>
      <c r="CS132" s="172">
        <f t="shared" si="379"/>
        <v>18.624269954574949</v>
      </c>
      <c r="CT132" s="172">
        <f t="shared" si="380"/>
        <v>2.5482344375682562</v>
      </c>
      <c r="CU132" s="217">
        <f t="shared" si="381"/>
        <v>1.135626216742375</v>
      </c>
      <c r="CV132" s="217">
        <f t="shared" si="382"/>
        <v>2.3280337443218686</v>
      </c>
      <c r="CW132" s="217">
        <f t="shared" si="383"/>
        <v>16.399999999999999</v>
      </c>
      <c r="CX132" s="217">
        <f t="shared" si="384"/>
        <v>1.2915047619047619</v>
      </c>
      <c r="CY132" s="217">
        <f t="shared" si="385"/>
        <v>1.5498057142857142</v>
      </c>
      <c r="CZ132" s="217">
        <f t="shared" si="386"/>
        <v>0.90631913116123664</v>
      </c>
      <c r="DA132" s="197">
        <f t="shared" si="387"/>
        <v>350</v>
      </c>
      <c r="DB132" s="443">
        <f t="shared" si="388"/>
        <v>350</v>
      </c>
      <c r="DD132" s="217">
        <f t="shared" si="389"/>
        <v>1.5023721665788083</v>
      </c>
      <c r="DE132" s="173">
        <f t="shared" si="390"/>
        <v>1.0542962572482866</v>
      </c>
      <c r="DF132" s="173">
        <f t="shared" si="391"/>
        <v>0.24706104135140031</v>
      </c>
      <c r="DG132" s="173"/>
      <c r="DH132" s="173">
        <f t="shared" si="392"/>
        <v>0.93567251461988332</v>
      </c>
      <c r="DI132" s="545">
        <f t="shared" si="393"/>
        <v>352.68749999999989</v>
      </c>
      <c r="DJ132" s="528">
        <f t="shared" si="394"/>
        <v>0.21832358674463945</v>
      </c>
      <c r="DL132" s="173">
        <f t="shared" si="395"/>
        <v>1.3883872109822417</v>
      </c>
      <c r="DM132" s="173">
        <f t="shared" si="396"/>
        <v>1.3883872109822417</v>
      </c>
      <c r="DN132" s="173">
        <f t="shared" si="397"/>
        <v>1.2407806501103023</v>
      </c>
      <c r="DP132" s="545">
        <f t="shared" si="398"/>
        <v>220</v>
      </c>
      <c r="DQ132" s="460">
        <f t="shared" si="399"/>
        <v>350</v>
      </c>
      <c r="DS132" s="460">
        <f t="shared" si="400"/>
        <v>220</v>
      </c>
      <c r="DT132" s="460">
        <f t="shared" si="401"/>
        <v>350</v>
      </c>
      <c r="DV132" s="5">
        <f t="shared" si="402"/>
        <v>2.8571428571428572</v>
      </c>
      <c r="DW132" s="5">
        <f t="shared" si="403"/>
        <v>1.66606465317869</v>
      </c>
      <c r="DX132" s="5">
        <f t="shared" si="404"/>
        <v>1.1910782039641672</v>
      </c>
      <c r="DY132" s="173">
        <f t="shared" si="405"/>
        <v>0.58312262861254149</v>
      </c>
      <c r="EA132" s="5">
        <f t="shared" si="406"/>
        <v>2.2349647786543412</v>
      </c>
      <c r="EB132" s="5">
        <f t="shared" si="407"/>
        <v>1.1454194490603493</v>
      </c>
      <c r="EC132" s="5">
        <f t="shared" si="408"/>
        <v>0.35811751332522618</v>
      </c>
      <c r="ED132" s="5"/>
      <c r="EE132" s="173">
        <f t="shared" si="409"/>
        <v>0.61211063433860358</v>
      </c>
      <c r="EF132" s="173">
        <f t="shared" si="410"/>
        <v>0.51755217502129669</v>
      </c>
      <c r="EG132" s="173">
        <f t="shared" si="411"/>
        <v>0.12697478038542573</v>
      </c>
      <c r="EH132" s="173"/>
      <c r="EI132" s="528">
        <f t="shared" si="412"/>
        <v>7.4935885734081532E-3</v>
      </c>
      <c r="EJ132" s="528">
        <f t="shared" si="413"/>
        <v>0.26337705392333127</v>
      </c>
      <c r="EK132" s="528">
        <f t="shared" si="414"/>
        <v>4.3749999999999997E-2</v>
      </c>
      <c r="EL132" s="528">
        <f t="shared" si="415"/>
        <v>2.5704349999999997E-2</v>
      </c>
      <c r="EM132">
        <f t="shared" si="416"/>
        <v>4.4999999999999997E-3</v>
      </c>
      <c r="EN132" s="460">
        <f t="shared" si="417"/>
        <v>48.249999999999993</v>
      </c>
      <c r="EP132" s="460">
        <f t="shared" si="439"/>
        <v>344.82499249673941</v>
      </c>
      <c r="EQ132" s="173">
        <f t="shared" si="418"/>
        <v>0.154</v>
      </c>
      <c r="ER132" s="173">
        <f t="shared" si="419"/>
        <v>2.4406249999999997E-2</v>
      </c>
      <c r="ES132" s="528"/>
      <c r="EU132" s="460">
        <f t="shared" si="420"/>
        <v>178.40625</v>
      </c>
      <c r="EV132" s="528">
        <f t="shared" si="421"/>
        <v>1.124038286011223E-2</v>
      </c>
      <c r="EW132" s="528">
        <f t="shared" si="422"/>
        <v>8.0358076160782482E-3</v>
      </c>
      <c r="EX132" s="528">
        <f t="shared" si="423"/>
        <v>8.061297426963546E-5</v>
      </c>
      <c r="EY132" s="528">
        <f t="shared" si="424"/>
        <v>0.2602655140292201</v>
      </c>
      <c r="EZ132" s="528"/>
      <c r="FA132" s="625">
        <f t="shared" si="425"/>
        <v>3.3733333333333337E-3</v>
      </c>
      <c r="FB132" s="460">
        <f t="shared" si="426"/>
        <v>282.99565081301353</v>
      </c>
      <c r="FC132" s="173">
        <f t="shared" si="427"/>
        <v>0.80622689330975283</v>
      </c>
      <c r="FD132" s="5">
        <f t="shared" si="428"/>
        <v>4.048</v>
      </c>
      <c r="FE132" s="173">
        <f t="shared" si="429"/>
        <v>0.83391240025864466</v>
      </c>
      <c r="FF132" s="5">
        <f t="shared" si="430"/>
        <v>83.391240025864462</v>
      </c>
      <c r="FG132">
        <f t="shared" si="431"/>
        <v>22</v>
      </c>
      <c r="FI132" s="562">
        <f t="shared" si="432"/>
        <v>-50</v>
      </c>
      <c r="FJ132">
        <f t="shared" si="433"/>
        <v>-50</v>
      </c>
    </row>
    <row r="133" spans="5:166">
      <c r="E133" s="170">
        <v>23</v>
      </c>
      <c r="F133" s="217">
        <f t="shared" si="434"/>
        <v>0.23</v>
      </c>
      <c r="G133" s="217">
        <f t="shared" si="313"/>
        <v>5.7500000000000002E-2</v>
      </c>
      <c r="H133" s="217">
        <f t="shared" si="314"/>
        <v>3.7719999999999998</v>
      </c>
      <c r="I133" s="217">
        <f t="shared" si="315"/>
        <v>0.46</v>
      </c>
      <c r="J133" s="541">
        <f t="shared" si="316"/>
        <v>9.9540276158810261</v>
      </c>
      <c r="K133" s="443">
        <f t="shared" si="317"/>
        <v>17.120346989949375</v>
      </c>
      <c r="L133" s="172">
        <f t="shared" si="318"/>
        <v>27.0743746058304</v>
      </c>
      <c r="M133" s="443"/>
      <c r="N133" s="217">
        <f t="shared" si="319"/>
        <v>0.63234505835132204</v>
      </c>
      <c r="O133" s="172">
        <f t="shared" si="320"/>
        <v>18.700694718651686</v>
      </c>
      <c r="P133" s="172">
        <f t="shared" si="321"/>
        <v>2.5586911274776254</v>
      </c>
      <c r="Q133" s="217">
        <f t="shared" si="322"/>
        <v>1.14028626333242</v>
      </c>
      <c r="R133" s="217">
        <f t="shared" si="323"/>
        <v>2.3375868398314608</v>
      </c>
      <c r="S133" s="217">
        <f t="shared" si="324"/>
        <v>16.399999999999999</v>
      </c>
      <c r="T133" s="217">
        <f t="shared" si="325"/>
        <v>1.3446915767030783</v>
      </c>
      <c r="U133" s="217">
        <f t="shared" si="326"/>
        <v>1.6210823942956003</v>
      </c>
      <c r="V133" s="217">
        <f t="shared" si="327"/>
        <v>0.94252172166311066</v>
      </c>
      <c r="W133" s="197">
        <f t="shared" si="328"/>
        <v>350</v>
      </c>
      <c r="X133" s="443">
        <f t="shared" si="435"/>
        <v>350</v>
      </c>
      <c r="Z133" s="217">
        <f t="shared" si="329"/>
        <v>1.4986619460940376</v>
      </c>
      <c r="AA133" s="173">
        <f t="shared" si="330"/>
        <v>1.0504426904247943</v>
      </c>
      <c r="AB133" s="173">
        <f t="shared" si="331"/>
        <v>0.24555010091341525</v>
      </c>
      <c r="AC133" s="173"/>
      <c r="AD133" s="173">
        <f t="shared" si="332"/>
        <v>0.93456049748249381</v>
      </c>
      <c r="AE133" s="545">
        <f t="shared" si="333"/>
        <v>369.15748197078324</v>
      </c>
      <c r="AF133" s="528">
        <f t="shared" si="334"/>
        <v>0.21806411607924858</v>
      </c>
      <c r="AH133" s="173">
        <f t="shared" si="335"/>
        <v>1.4195908196512457</v>
      </c>
      <c r="AI133" s="173">
        <f t="shared" si="336"/>
        <v>1.4195908196512457</v>
      </c>
      <c r="AJ133" s="173">
        <f t="shared" si="337"/>
        <v>1.2638944343095646</v>
      </c>
      <c r="AL133" s="545">
        <f t="shared" si="338"/>
        <v>230</v>
      </c>
      <c r="AM133" s="460">
        <f t="shared" si="339"/>
        <v>350</v>
      </c>
      <c r="AO133" s="460">
        <f t="shared" si="340"/>
        <v>230</v>
      </c>
      <c r="AP133" s="460">
        <f t="shared" si="341"/>
        <v>350</v>
      </c>
      <c r="AR133" s="5">
        <f t="shared" si="275"/>
        <v>2.8571428571428572</v>
      </c>
      <c r="AS133" s="5">
        <f t="shared" si="440"/>
        <v>1.7113765897772411</v>
      </c>
      <c r="AT133" s="5">
        <f t="shared" si="441"/>
        <v>1.1457662673656162</v>
      </c>
      <c r="AU133" s="173">
        <f t="shared" si="442"/>
        <v>0.59898180642203436</v>
      </c>
      <c r="AW133" s="5">
        <f t="shared" si="342"/>
        <v>2.4001013149314971</v>
      </c>
      <c r="AX133" s="5">
        <f t="shared" si="343"/>
        <v>1.2300519239023919</v>
      </c>
      <c r="AY133" s="5">
        <f t="shared" si="344"/>
        <v>0.36181588392152392</v>
      </c>
      <c r="AZ133" s="5"/>
      <c r="BA133" s="173">
        <f t="shared" si="345"/>
        <v>0.63432141028982414</v>
      </c>
      <c r="BB133" s="173">
        <f t="shared" si="346"/>
        <v>0.51902059708065573</v>
      </c>
      <c r="BC133" s="173">
        <f t="shared" si="347"/>
        <v>0.12733503888205469</v>
      </c>
      <c r="BD133" s="173"/>
      <c r="BE133" s="528">
        <f t="shared" si="348"/>
        <v>8.0472730310414287E-3</v>
      </c>
      <c r="BF133" s="528">
        <f t="shared" si="349"/>
        <v>0.25222662700092147</v>
      </c>
      <c r="BG133" s="528">
        <f t="shared" si="350"/>
        <v>8.7097741638958975E-2</v>
      </c>
      <c r="BH133" s="528">
        <f t="shared" si="351"/>
        <v>2.565576161038919E-2</v>
      </c>
      <c r="BI133">
        <f t="shared" si="352"/>
        <v>4.4793124271464615E-3</v>
      </c>
      <c r="BJ133" s="460">
        <f t="shared" si="436"/>
        <v>91.577054066105433</v>
      </c>
      <c r="BK133">
        <f t="shared" si="353"/>
        <v>0.28865434171987436</v>
      </c>
      <c r="BL133" s="460">
        <f t="shared" si="437"/>
        <v>377.50671570845748</v>
      </c>
      <c r="BM133" s="173">
        <f t="shared" si="354"/>
        <v>0.1428875</v>
      </c>
      <c r="BN133" s="173">
        <f t="shared" si="355"/>
        <v>3.5721875E-2</v>
      </c>
      <c r="BO133" s="528"/>
      <c r="BQ133" s="460">
        <f t="shared" si="356"/>
        <v>178.60937500000003</v>
      </c>
      <c r="BR133" s="528">
        <f t="shared" si="357"/>
        <v>1.2070909546562142E-2</v>
      </c>
      <c r="BS133" s="528">
        <f t="shared" si="358"/>
        <v>8.0814714058188106E-3</v>
      </c>
      <c r="BT133" s="528">
        <f t="shared" si="359"/>
        <v>8.1071060635471901E-5</v>
      </c>
      <c r="BU133" s="528">
        <f t="shared" si="360"/>
        <v>0.2751364127268649</v>
      </c>
      <c r="BV133" s="528"/>
      <c r="BW133" s="625">
        <f t="shared" si="361"/>
        <v>3.526666666666668E-3</v>
      </c>
      <c r="BX133" s="460">
        <f t="shared" si="362"/>
        <v>298.89653140654798</v>
      </c>
      <c r="BY133" s="173">
        <f t="shared" si="363"/>
        <v>0.85501262211500539</v>
      </c>
      <c r="BZ133" s="5">
        <f t="shared" si="364"/>
        <v>4.2320000000000002</v>
      </c>
      <c r="CA133" s="173">
        <f t="shared" si="365"/>
        <v>0.83192244925873204</v>
      </c>
      <c r="CB133" s="5">
        <f t="shared" si="366"/>
        <v>83.192244925873212</v>
      </c>
      <c r="CC133">
        <f t="shared" si="367"/>
        <v>23</v>
      </c>
      <c r="CE133" s="562">
        <f t="shared" si="368"/>
        <v>-50</v>
      </c>
      <c r="CF133">
        <f t="shared" si="369"/>
        <v>-50</v>
      </c>
      <c r="CG133" s="173">
        <f t="shared" si="370"/>
        <v>0.33911649915626346</v>
      </c>
      <c r="CH133" s="173">
        <f t="shared" si="371"/>
        <v>0.11849142375219139</v>
      </c>
      <c r="CI133" s="170">
        <v>23</v>
      </c>
      <c r="CJ133" s="217">
        <f t="shared" si="438"/>
        <v>0.23</v>
      </c>
      <c r="CK133" s="217">
        <f t="shared" si="372"/>
        <v>5.7500000000000002E-2</v>
      </c>
      <c r="CL133" s="217">
        <f t="shared" si="373"/>
        <v>3.7719999999999998</v>
      </c>
      <c r="CM133" s="217">
        <f t="shared" si="374"/>
        <v>0.46</v>
      </c>
      <c r="CN133" s="541">
        <f t="shared" si="375"/>
        <v>10</v>
      </c>
      <c r="CO133" s="443">
        <f t="shared" si="376"/>
        <v>17.099999999999998</v>
      </c>
      <c r="CP133" s="443">
        <f t="shared" si="377"/>
        <v>27.099999999999998</v>
      </c>
      <c r="CQ133" s="443"/>
      <c r="CR133" s="217">
        <f t="shared" si="378"/>
        <v>0.62686567164179097</v>
      </c>
      <c r="CS133" s="172">
        <f t="shared" si="379"/>
        <v>18.624269954574949</v>
      </c>
      <c r="CT133" s="172">
        <f t="shared" si="380"/>
        <v>2.5482344375682562</v>
      </c>
      <c r="CU133" s="217">
        <f t="shared" si="381"/>
        <v>1.135626216742375</v>
      </c>
      <c r="CV133" s="217">
        <f t="shared" si="382"/>
        <v>2.3280337443218686</v>
      </c>
      <c r="CW133" s="217">
        <f t="shared" si="383"/>
        <v>16.399999999999999</v>
      </c>
      <c r="CX133" s="217">
        <f t="shared" si="384"/>
        <v>1.350209523809524</v>
      </c>
      <c r="CY133" s="217">
        <f t="shared" si="385"/>
        <v>1.6202514285714287</v>
      </c>
      <c r="CZ133" s="217">
        <f t="shared" si="386"/>
        <v>0.9475154553049292</v>
      </c>
      <c r="DA133" s="197">
        <f t="shared" si="387"/>
        <v>350</v>
      </c>
      <c r="DB133" s="443">
        <f t="shared" si="388"/>
        <v>350</v>
      </c>
      <c r="DD133" s="217">
        <f t="shared" si="389"/>
        <v>1.5023721665788083</v>
      </c>
      <c r="DE133" s="173">
        <f t="shared" si="390"/>
        <v>1.0542962572482866</v>
      </c>
      <c r="DF133" s="173">
        <f t="shared" si="391"/>
        <v>0.24706104135140031</v>
      </c>
      <c r="DG133" s="173"/>
      <c r="DH133" s="173">
        <f t="shared" si="392"/>
        <v>0.93567251461988332</v>
      </c>
      <c r="DI133" s="545">
        <f t="shared" si="393"/>
        <v>368.71874999999989</v>
      </c>
      <c r="DJ133" s="528">
        <f t="shared" si="394"/>
        <v>0.21832358674463945</v>
      </c>
      <c r="DL133" s="173">
        <f t="shared" si="395"/>
        <v>1.4195908196512457</v>
      </c>
      <c r="DM133" s="173">
        <f t="shared" si="396"/>
        <v>1.4195908196512457</v>
      </c>
      <c r="DN133" s="173">
        <f t="shared" si="397"/>
        <v>1.2638944343095646</v>
      </c>
      <c r="DP133" s="545">
        <f t="shared" si="398"/>
        <v>230</v>
      </c>
      <c r="DQ133" s="460">
        <f t="shared" si="399"/>
        <v>350</v>
      </c>
      <c r="DS133" s="460">
        <f t="shared" si="400"/>
        <v>230</v>
      </c>
      <c r="DT133" s="460">
        <f t="shared" si="401"/>
        <v>350</v>
      </c>
      <c r="DV133" s="5">
        <f t="shared" si="402"/>
        <v>2.8571428571428572</v>
      </c>
      <c r="DW133" s="5">
        <f t="shared" si="403"/>
        <v>1.7035089835814952</v>
      </c>
      <c r="DX133" s="5">
        <f t="shared" si="404"/>
        <v>1.153633873561362</v>
      </c>
      <c r="DY133" s="173">
        <f t="shared" si="405"/>
        <v>0.59622814425352333</v>
      </c>
      <c r="EA133" s="5">
        <f t="shared" si="406"/>
        <v>2.3890674769740485</v>
      </c>
      <c r="EB133" s="5">
        <f t="shared" si="407"/>
        <v>1.2243970819491996</v>
      </c>
      <c r="EC133" s="5">
        <f t="shared" si="408"/>
        <v>0.36262558092278807</v>
      </c>
      <c r="ED133" s="5"/>
      <c r="EE133" s="173">
        <f t="shared" si="409"/>
        <v>0.63286166728409532</v>
      </c>
      <c r="EF133" s="173">
        <f t="shared" si="410"/>
        <v>0.52079952172446053</v>
      </c>
      <c r="EG133" s="173">
        <f t="shared" si="411"/>
        <v>0.1277714752006926</v>
      </c>
      <c r="EH133" s="173"/>
      <c r="EI133" s="528">
        <f t="shared" si="412"/>
        <v>8.0102777983520994E-3</v>
      </c>
      <c r="EJ133" s="528">
        <f t="shared" si="413"/>
        <v>0.26929637848784133</v>
      </c>
      <c r="EK133" s="528">
        <f t="shared" si="414"/>
        <v>4.3749999999999997E-2</v>
      </c>
      <c r="EL133" s="528">
        <f t="shared" si="415"/>
        <v>2.5704349999999997E-2</v>
      </c>
      <c r="EM133">
        <f t="shared" si="416"/>
        <v>4.4999999999999997E-3</v>
      </c>
      <c r="EN133" s="460">
        <f t="shared" si="417"/>
        <v>48.249999999999993</v>
      </c>
      <c r="EP133" s="460">
        <f t="shared" si="439"/>
        <v>351.26100628619344</v>
      </c>
      <c r="EQ133" s="173">
        <f t="shared" si="418"/>
        <v>0.161</v>
      </c>
      <c r="ER133" s="173">
        <f t="shared" si="419"/>
        <v>2.5515625E-2</v>
      </c>
      <c r="ES133" s="528"/>
      <c r="EU133" s="460">
        <f t="shared" si="420"/>
        <v>186.51562500000003</v>
      </c>
      <c r="EV133" s="528">
        <f t="shared" si="421"/>
        <v>1.2015416697528147E-2</v>
      </c>
      <c r="EW133" s="528">
        <f t="shared" si="422"/>
        <v>8.1369642548528055E-3</v>
      </c>
      <c r="EX133" s="528">
        <f t="shared" si="423"/>
        <v>8.162774937480602E-5</v>
      </c>
      <c r="EY133" s="528">
        <f t="shared" si="424"/>
        <v>0.2751364127268649</v>
      </c>
      <c r="EZ133" s="528"/>
      <c r="FA133" s="625">
        <f t="shared" si="425"/>
        <v>3.526666666666668E-3</v>
      </c>
      <c r="FB133" s="460">
        <f t="shared" si="426"/>
        <v>298.8970880952873</v>
      </c>
      <c r="FC133" s="173">
        <f t="shared" si="427"/>
        <v>0.83667371938148083</v>
      </c>
      <c r="FD133" s="5">
        <f t="shared" si="428"/>
        <v>4.2320000000000002</v>
      </c>
      <c r="FE133" s="173">
        <f t="shared" si="429"/>
        <v>0.83493241709715371</v>
      </c>
      <c r="FF133" s="5">
        <f t="shared" si="430"/>
        <v>83.493241709715377</v>
      </c>
      <c r="FG133">
        <f t="shared" si="431"/>
        <v>23</v>
      </c>
      <c r="FI133" s="562">
        <f t="shared" si="432"/>
        <v>-50</v>
      </c>
      <c r="FJ133">
        <f t="shared" si="433"/>
        <v>-50</v>
      </c>
    </row>
    <row r="134" spans="5:166">
      <c r="E134" s="170">
        <v>24</v>
      </c>
      <c r="F134" s="217">
        <f t="shared" si="434"/>
        <v>0.24</v>
      </c>
      <c r="G134" s="217">
        <f t="shared" si="313"/>
        <v>0.06</v>
      </c>
      <c r="H134" s="217">
        <f t="shared" si="314"/>
        <v>3.9359999999999995</v>
      </c>
      <c r="I134" s="217">
        <f t="shared" si="315"/>
        <v>0.48</v>
      </c>
      <c r="J134" s="541">
        <f t="shared" si="316"/>
        <v>9.9530388493410076</v>
      </c>
      <c r="K134" s="443">
        <f t="shared" si="317"/>
        <v>17.120784609690823</v>
      </c>
      <c r="L134" s="172">
        <f t="shared" si="318"/>
        <v>27.073823459031829</v>
      </c>
      <c r="M134" s="443"/>
      <c r="N134" s="217">
        <f t="shared" si="319"/>
        <v>0.6323740950589426</v>
      </c>
      <c r="O134" s="172">
        <f t="shared" si="320"/>
        <v>18.699695750215891</v>
      </c>
      <c r="P134" s="172">
        <f t="shared" si="321"/>
        <v>2.5585544453002114</v>
      </c>
      <c r="Q134" s="217">
        <f t="shared" si="322"/>
        <v>1.1402253506229203</v>
      </c>
      <c r="R134" s="217">
        <f t="shared" si="323"/>
        <v>2.3374619687769864</v>
      </c>
      <c r="S134" s="217">
        <f t="shared" si="324"/>
        <v>16.399999999999999</v>
      </c>
      <c r="T134" s="217">
        <f t="shared" si="325"/>
        <v>1.4032313867832344</v>
      </c>
      <c r="U134" s="217">
        <f t="shared" si="326"/>
        <v>1.6918226580130058</v>
      </c>
      <c r="V134" s="217">
        <f t="shared" si="327"/>
        <v>0.9835283268424283</v>
      </c>
      <c r="W134" s="197">
        <f t="shared" si="328"/>
        <v>350</v>
      </c>
      <c r="X134" s="443">
        <f t="shared" si="435"/>
        <v>347.78362894374703</v>
      </c>
      <c r="Z134" s="217">
        <f t="shared" si="329"/>
        <v>1.4985818893901233</v>
      </c>
      <c r="AA134" s="173">
        <f t="shared" si="330"/>
        <v>1.0503597284030213</v>
      </c>
      <c r="AB134" s="173">
        <f t="shared" si="331"/>
        <v>0.24551759186769861</v>
      </c>
      <c r="AC134" s="173"/>
      <c r="AD134" s="173">
        <f t="shared" si="332"/>
        <v>0.93453660943456851</v>
      </c>
      <c r="AE134" s="545">
        <f t="shared" si="333"/>
        <v>385.21765371804338</v>
      </c>
      <c r="AF134" s="528">
        <f t="shared" si="334"/>
        <v>0.21805854220139934</v>
      </c>
      <c r="AH134" s="173">
        <f t="shared" si="335"/>
        <v>1.450123147479945</v>
      </c>
      <c r="AI134" s="173">
        <f t="shared" si="336"/>
        <v>1.450123147479945</v>
      </c>
      <c r="AJ134" s="173">
        <f t="shared" si="337"/>
        <v>1.2865109734419344</v>
      </c>
      <c r="AL134" s="545">
        <f t="shared" si="338"/>
        <v>240</v>
      </c>
      <c r="AM134" s="460">
        <f t="shared" si="339"/>
        <v>347.78362894374703</v>
      </c>
      <c r="AO134" s="460">
        <f t="shared" si="340"/>
        <v>240</v>
      </c>
      <c r="AP134" s="460">
        <f t="shared" si="341"/>
        <v>347.78362894374703</v>
      </c>
      <c r="AR134" s="5">
        <f t="shared" ref="AR134:AR197" si="443">1/AM134*1000</f>
        <v>2.8753509848554342</v>
      </c>
      <c r="AS134" s="5">
        <f t="shared" si="440"/>
        <v>1.7483582685816097</v>
      </c>
      <c r="AT134" s="5">
        <f t="shared" si="441"/>
        <v>1.1269927162738245</v>
      </c>
      <c r="AU134" s="173">
        <f t="shared" si="442"/>
        <v>0.60805038334111861</v>
      </c>
      <c r="AW134" s="5">
        <f t="shared" si="342"/>
        <v>2.5585730759730878</v>
      </c>
      <c r="AX134" s="5">
        <f t="shared" si="343"/>
        <v>1.3112687014362072</v>
      </c>
      <c r="AY134" s="5">
        <f t="shared" si="344"/>
        <v>0.37139773744808519</v>
      </c>
      <c r="AZ134" s="5"/>
      <c r="BA134" s="173">
        <f t="shared" si="345"/>
        <v>0.652850950785832</v>
      </c>
      <c r="BB134" s="173">
        <f t="shared" si="346"/>
        <v>0.5241545735853268</v>
      </c>
      <c r="BC134" s="173">
        <f t="shared" si="347"/>
        <v>0.12859459409338719</v>
      </c>
      <c r="BD134" s="173"/>
      <c r="BE134" s="528">
        <f t="shared" si="348"/>
        <v>8.5242872788392973E-3</v>
      </c>
      <c r="BF134" s="528">
        <f t="shared" si="349"/>
        <v>0.25601468935127358</v>
      </c>
      <c r="BG134" s="528">
        <f t="shared" si="350"/>
        <v>8.6537599251047786E-2</v>
      </c>
      <c r="BH134" s="528">
        <f t="shared" si="351"/>
        <v>2.5492258877316681E-2</v>
      </c>
      <c r="BI134">
        <f t="shared" si="352"/>
        <v>4.4788674822034535E-3</v>
      </c>
      <c r="BJ134" s="460">
        <f t="shared" si="436"/>
        <v>91.016466733251235</v>
      </c>
      <c r="BK134">
        <f t="shared" si="353"/>
        <v>0.29292607695378092</v>
      </c>
      <c r="BL134" s="460">
        <f t="shared" si="437"/>
        <v>381.04770224068079</v>
      </c>
      <c r="BM134" s="173">
        <f t="shared" si="354"/>
        <v>0.14909999999999998</v>
      </c>
      <c r="BN134" s="173">
        <f t="shared" si="355"/>
        <v>3.7274999999999996E-2</v>
      </c>
      <c r="BO134" s="528"/>
      <c r="BQ134" s="460">
        <f t="shared" si="356"/>
        <v>186.37499999999997</v>
      </c>
      <c r="BR134" s="528">
        <f t="shared" si="357"/>
        <v>1.2786430918258944E-2</v>
      </c>
      <c r="BS134" s="528">
        <f t="shared" si="358"/>
        <v>8.2421405103124731E-3</v>
      </c>
      <c r="BT134" s="528">
        <f t="shared" si="359"/>
        <v>8.2682848150215064E-5</v>
      </c>
      <c r="BU134" s="528">
        <f t="shared" si="360"/>
        <v>0.28559792899155034</v>
      </c>
      <c r="BV134" s="528"/>
      <c r="BW134" s="625">
        <f t="shared" si="361"/>
        <v>3.6566964414656818E-3</v>
      </c>
      <c r="BX134" s="460">
        <f t="shared" si="362"/>
        <v>310.36587970973761</v>
      </c>
      <c r="BY134" s="173">
        <f t="shared" si="363"/>
        <v>0.87778858195041831</v>
      </c>
      <c r="BZ134" s="5">
        <f t="shared" si="364"/>
        <v>4.4159999999999995</v>
      </c>
      <c r="CA134" s="173">
        <f t="shared" si="365"/>
        <v>0.83418518356715143</v>
      </c>
      <c r="CB134" s="5">
        <f t="shared" si="366"/>
        <v>83.41851835671514</v>
      </c>
      <c r="CC134">
        <f t="shared" si="367"/>
        <v>24</v>
      </c>
      <c r="CE134" s="562">
        <f t="shared" si="368"/>
        <v>-50</v>
      </c>
      <c r="CF134">
        <f t="shared" si="369"/>
        <v>-50</v>
      </c>
      <c r="CG134" s="173">
        <f t="shared" si="370"/>
        <v>0.34641016151377552</v>
      </c>
      <c r="CH134" s="173">
        <f t="shared" si="371"/>
        <v>0.12103991796954627</v>
      </c>
      <c r="CI134" s="170">
        <v>24</v>
      </c>
      <c r="CJ134" s="217">
        <f t="shared" si="438"/>
        <v>0.24</v>
      </c>
      <c r="CK134" s="217">
        <f t="shared" si="372"/>
        <v>0.06</v>
      </c>
      <c r="CL134" s="217">
        <f t="shared" si="373"/>
        <v>3.9359999999999995</v>
      </c>
      <c r="CM134" s="217">
        <f t="shared" si="374"/>
        <v>0.48</v>
      </c>
      <c r="CN134" s="541">
        <f t="shared" si="375"/>
        <v>10</v>
      </c>
      <c r="CO134" s="443">
        <f t="shared" si="376"/>
        <v>17.099999999999998</v>
      </c>
      <c r="CP134" s="443">
        <f t="shared" si="377"/>
        <v>27.099999999999998</v>
      </c>
      <c r="CQ134" s="443"/>
      <c r="CR134" s="217">
        <f t="shared" si="378"/>
        <v>0.62686567164179097</v>
      </c>
      <c r="CS134" s="172">
        <f t="shared" si="379"/>
        <v>18.624269954574949</v>
      </c>
      <c r="CT134" s="172">
        <f t="shared" si="380"/>
        <v>2.5482344375682562</v>
      </c>
      <c r="CU134" s="217">
        <f t="shared" si="381"/>
        <v>1.135626216742375</v>
      </c>
      <c r="CV134" s="217">
        <f t="shared" si="382"/>
        <v>2.3280337443218686</v>
      </c>
      <c r="CW134" s="217">
        <f t="shared" si="383"/>
        <v>16.399999999999999</v>
      </c>
      <c r="CX134" s="217">
        <f t="shared" si="384"/>
        <v>1.4089142857142856</v>
      </c>
      <c r="CY134" s="217">
        <f t="shared" si="385"/>
        <v>1.6906971428571427</v>
      </c>
      <c r="CZ134" s="217">
        <f t="shared" si="386"/>
        <v>0.98871177944862165</v>
      </c>
      <c r="DA134" s="197">
        <f t="shared" si="387"/>
        <v>350</v>
      </c>
      <c r="DB134" s="443">
        <f t="shared" si="388"/>
        <v>350</v>
      </c>
      <c r="DD134" s="217">
        <f t="shared" si="389"/>
        <v>1.5023721665788083</v>
      </c>
      <c r="DE134" s="173">
        <f t="shared" si="390"/>
        <v>1.0542962572482866</v>
      </c>
      <c r="DF134" s="173">
        <f t="shared" si="391"/>
        <v>0.24706104135140031</v>
      </c>
      <c r="DG134" s="173"/>
      <c r="DH134" s="173">
        <f t="shared" si="392"/>
        <v>0.93567251461988332</v>
      </c>
      <c r="DI134" s="545">
        <f t="shared" si="393"/>
        <v>384.74999999999983</v>
      </c>
      <c r="DJ134" s="528">
        <f t="shared" si="394"/>
        <v>0.21832358674463945</v>
      </c>
      <c r="DL134" s="173">
        <f t="shared" si="395"/>
        <v>1.450123147479945</v>
      </c>
      <c r="DM134" s="173">
        <f t="shared" si="396"/>
        <v>1.450123147479945</v>
      </c>
      <c r="DN134" s="173">
        <f t="shared" si="397"/>
        <v>1.2865109734419344</v>
      </c>
      <c r="DP134" s="545">
        <f t="shared" si="398"/>
        <v>240</v>
      </c>
      <c r="DQ134" s="460">
        <f t="shared" si="399"/>
        <v>350</v>
      </c>
      <c r="DS134" s="460">
        <f t="shared" si="400"/>
        <v>240</v>
      </c>
      <c r="DT134" s="460">
        <f t="shared" si="401"/>
        <v>350</v>
      </c>
      <c r="DV134" s="5">
        <f t="shared" si="402"/>
        <v>2.8571428571428572</v>
      </c>
      <c r="DW134" s="5">
        <f t="shared" si="403"/>
        <v>1.7401477769759341</v>
      </c>
      <c r="DX134" s="5">
        <f t="shared" si="404"/>
        <v>1.1169950801669231</v>
      </c>
      <c r="DY134" s="173">
        <f t="shared" si="405"/>
        <v>0.60905172194157697</v>
      </c>
      <c r="EA134" s="5">
        <f t="shared" si="406"/>
        <v>2.5465577224038065</v>
      </c>
      <c r="EB134" s="5">
        <f t="shared" si="407"/>
        <v>1.3051108327319507</v>
      </c>
      <c r="EC134" s="5">
        <f t="shared" si="408"/>
        <v>0.36637438629475066</v>
      </c>
      <c r="ED134" s="5"/>
      <c r="EE134" s="173">
        <f t="shared" si="409"/>
        <v>0.65338828778766433</v>
      </c>
      <c r="EF134" s="173">
        <f t="shared" si="410"/>
        <v>0.52348459990174023</v>
      </c>
      <c r="EG134" s="173">
        <f t="shared" si="411"/>
        <v>0.12843022465308113</v>
      </c>
      <c r="EH134" s="173"/>
      <c r="EI134" s="528">
        <f t="shared" si="412"/>
        <v>8.5383250923619144E-3</v>
      </c>
      <c r="EJ134" s="528">
        <f t="shared" si="413"/>
        <v>0.27508836107694556</v>
      </c>
      <c r="EK134" s="528">
        <f t="shared" si="414"/>
        <v>4.3749999999999997E-2</v>
      </c>
      <c r="EL134" s="528">
        <f t="shared" si="415"/>
        <v>2.5704349999999997E-2</v>
      </c>
      <c r="EM134">
        <f t="shared" si="416"/>
        <v>4.4999999999999997E-3</v>
      </c>
      <c r="EN134" s="460">
        <f t="shared" si="417"/>
        <v>48.249999999999993</v>
      </c>
      <c r="EP134" s="460">
        <f t="shared" si="439"/>
        <v>357.58103616930748</v>
      </c>
      <c r="EQ134" s="173">
        <f t="shared" si="418"/>
        <v>0.16799999999999998</v>
      </c>
      <c r="ER134" s="173">
        <f t="shared" si="419"/>
        <v>2.6624999999999999E-2</v>
      </c>
      <c r="ES134" s="528"/>
      <c r="EU134" s="460">
        <f t="shared" si="420"/>
        <v>194.625</v>
      </c>
      <c r="EV134" s="528">
        <f t="shared" si="421"/>
        <v>1.2807487638542871E-2</v>
      </c>
      <c r="EW134" s="528">
        <f t="shared" si="422"/>
        <v>8.2210837900285501E-3</v>
      </c>
      <c r="EX134" s="528">
        <f t="shared" si="423"/>
        <v>8.2471613022204441E-5</v>
      </c>
      <c r="EY134" s="528">
        <f t="shared" si="424"/>
        <v>0.29016987837653591</v>
      </c>
      <c r="EZ134" s="528"/>
      <c r="FA134" s="625">
        <f t="shared" si="425"/>
        <v>3.6799999999999992E-3</v>
      </c>
      <c r="FB134" s="460">
        <f t="shared" si="426"/>
        <v>314.96092141812954</v>
      </c>
      <c r="FC134" s="173">
        <f t="shared" si="427"/>
        <v>0.86716695758743689</v>
      </c>
      <c r="FD134" s="5">
        <f t="shared" si="428"/>
        <v>4.4159999999999995</v>
      </c>
      <c r="FE134" s="173">
        <f t="shared" si="429"/>
        <v>0.83586228401469453</v>
      </c>
      <c r="FF134" s="5">
        <f t="shared" si="430"/>
        <v>83.586228401469455</v>
      </c>
      <c r="FG134">
        <f t="shared" si="431"/>
        <v>24</v>
      </c>
      <c r="FI134" s="562">
        <f t="shared" si="432"/>
        <v>-50</v>
      </c>
      <c r="FJ134">
        <f t="shared" si="433"/>
        <v>-50</v>
      </c>
    </row>
    <row r="135" spans="5:166">
      <c r="E135" s="170">
        <v>25</v>
      </c>
      <c r="F135" s="217">
        <f t="shared" si="434"/>
        <v>0.25</v>
      </c>
      <c r="G135" s="217">
        <f t="shared" si="313"/>
        <v>6.25E-2</v>
      </c>
      <c r="H135" s="217">
        <f t="shared" si="314"/>
        <v>4.0999999999999996</v>
      </c>
      <c r="I135" s="217">
        <f t="shared" si="315"/>
        <v>0.5</v>
      </c>
      <c r="J135" s="541">
        <f t="shared" si="316"/>
        <v>9.9520704763131267</v>
      </c>
      <c r="K135" s="443">
        <f t="shared" si="317"/>
        <v>17.121213203435595</v>
      </c>
      <c r="L135" s="172">
        <f t="shared" si="318"/>
        <v>27.07328367974872</v>
      </c>
      <c r="M135" s="443"/>
      <c r="N135" s="217">
        <f t="shared" si="319"/>
        <v>0.63240253402443958</v>
      </c>
      <c r="O135" s="172">
        <f t="shared" si="320"/>
        <v>18.698717254233301</v>
      </c>
      <c r="P135" s="172">
        <f t="shared" si="321"/>
        <v>2.5584205642318025</v>
      </c>
      <c r="Q135" s="217">
        <f t="shared" si="322"/>
        <v>1.1401656862337379</v>
      </c>
      <c r="R135" s="217">
        <f t="shared" si="323"/>
        <v>2.3373396567791627</v>
      </c>
      <c r="S135" s="217">
        <f t="shared" si="324"/>
        <v>16.399999999999999</v>
      </c>
      <c r="T135" s="217">
        <f t="shared" si="325"/>
        <v>1.4617758513432355</v>
      </c>
      <c r="U135" s="217">
        <f t="shared" si="326"/>
        <v>1.762578978702855</v>
      </c>
      <c r="V135" s="217">
        <f t="shared" si="327"/>
        <v>1.0245366381278946</v>
      </c>
      <c r="W135" s="197">
        <f t="shared" si="328"/>
        <v>350</v>
      </c>
      <c r="X135" s="443">
        <f t="shared" si="435"/>
        <v>334.7711064029632</v>
      </c>
      <c r="Z135" s="217">
        <f t="shared" si="329"/>
        <v>1.4985034733357696</v>
      </c>
      <c r="AA135" s="173">
        <f t="shared" si="330"/>
        <v>1.050278474215887</v>
      </c>
      <c r="AB135" s="173">
        <f t="shared" si="331"/>
        <v>0.24548575284463031</v>
      </c>
      <c r="AC135" s="173"/>
      <c r="AD135" s="173">
        <f t="shared" si="332"/>
        <v>0.93451321526615849</v>
      </c>
      <c r="AE135" s="545">
        <f t="shared" si="333"/>
        <v>401.27843445552162</v>
      </c>
      <c r="AF135" s="528">
        <f t="shared" si="334"/>
        <v>0.21805308356210371</v>
      </c>
      <c r="AH135" s="173">
        <f t="shared" si="335"/>
        <v>1.4800257398019097</v>
      </c>
      <c r="AI135" s="173">
        <f t="shared" si="336"/>
        <v>1.4617758513432355</v>
      </c>
      <c r="AJ135" s="173">
        <f t="shared" si="337"/>
        <v>1.2951426059332607</v>
      </c>
      <c r="AL135" s="545">
        <f t="shared" si="338"/>
        <v>250</v>
      </c>
      <c r="AM135" s="460">
        <f t="shared" si="339"/>
        <v>334.7711064029632</v>
      </c>
      <c r="AO135" s="460">
        <f t="shared" si="340"/>
        <v>250</v>
      </c>
      <c r="AP135" s="460">
        <f t="shared" si="341"/>
        <v>334.7711064029632</v>
      </c>
      <c r="AR135" s="5">
        <f t="shared" si="443"/>
        <v>2.9871156168307498</v>
      </c>
      <c r="AS135" s="5">
        <f t="shared" si="440"/>
        <v>1.762578978702855</v>
      </c>
      <c r="AT135" s="5">
        <f t="shared" si="441"/>
        <v>1.2245366381278948</v>
      </c>
      <c r="AU135" s="173">
        <f t="shared" si="442"/>
        <v>0.59006051482295963</v>
      </c>
      <c r="AW135" s="5">
        <f t="shared" si="342"/>
        <v>2.6868581992421574</v>
      </c>
      <c r="AX135" s="5">
        <f t="shared" si="343"/>
        <v>1.3770148271116056</v>
      </c>
      <c r="AY135" s="5">
        <f t="shared" si="344"/>
        <v>0.42039830039001036</v>
      </c>
      <c r="AZ135" s="5"/>
      <c r="BA135" s="173">
        <f t="shared" si="345"/>
        <v>0.64828867148636493</v>
      </c>
      <c r="BB135" s="173">
        <f t="shared" si="346"/>
        <v>0.54035606620004839</v>
      </c>
      <c r="BC135" s="173">
        <f t="shared" si="347"/>
        <v>0.13256942226715676</v>
      </c>
      <c r="BD135" s="173"/>
      <c r="BE135" s="528">
        <f t="shared" si="348"/>
        <v>8.4055640315511201E-3</v>
      </c>
      <c r="BF135" s="528">
        <f t="shared" si="349"/>
        <v>0.24841107636977974</v>
      </c>
      <c r="BG135" s="528">
        <f t="shared" si="350"/>
        <v>8.3291641108890244E-2</v>
      </c>
      <c r="BH135" s="528">
        <f t="shared" si="351"/>
        <v>2.4537473041696397E-2</v>
      </c>
      <c r="BI135">
        <f t="shared" si="352"/>
        <v>4.4784317143409065E-3</v>
      </c>
      <c r="BJ135" s="460">
        <f t="shared" si="436"/>
        <v>87.77007282323116</v>
      </c>
      <c r="BK135">
        <f t="shared" si="353"/>
        <v>0.28419119158406175</v>
      </c>
      <c r="BL135" s="460">
        <f t="shared" si="437"/>
        <v>369.12418626625845</v>
      </c>
      <c r="BM135" s="173">
        <f t="shared" si="354"/>
        <v>0.15531249999999999</v>
      </c>
      <c r="BN135" s="173">
        <f t="shared" si="355"/>
        <v>3.8828124999999998E-2</v>
      </c>
      <c r="BO135" s="528"/>
      <c r="BQ135" s="460">
        <f t="shared" si="356"/>
        <v>194.14062499999997</v>
      </c>
      <c r="BR135" s="528">
        <f t="shared" si="357"/>
        <v>1.2608346047326678E-2</v>
      </c>
      <c r="BS135" s="528">
        <f t="shared" si="358"/>
        <v>8.7595403483757307E-3</v>
      </c>
      <c r="BT135" s="528">
        <f t="shared" si="359"/>
        <v>8.7873258601238599E-5</v>
      </c>
      <c r="BU135" s="528">
        <f t="shared" si="360"/>
        <v>0.26487555577033833</v>
      </c>
      <c r="BV135" s="528"/>
      <c r="BW135" s="625">
        <f t="shared" si="361"/>
        <v>3.5766754850910607E-3</v>
      </c>
      <c r="BX135" s="460">
        <f t="shared" si="362"/>
        <v>289.90799090973303</v>
      </c>
      <c r="BY135" s="173">
        <f t="shared" si="363"/>
        <v>0.85317280217599156</v>
      </c>
      <c r="BZ135" s="5">
        <f t="shared" si="364"/>
        <v>4.5999999999999996</v>
      </c>
      <c r="CA135" s="173">
        <f t="shared" si="365"/>
        <v>0.84354561406241368</v>
      </c>
      <c r="CB135" s="5">
        <f t="shared" si="366"/>
        <v>84.354561406241373</v>
      </c>
      <c r="CC135">
        <f t="shared" si="367"/>
        <v>25</v>
      </c>
      <c r="CE135" s="562">
        <f t="shared" si="368"/>
        <v>-50</v>
      </c>
      <c r="CF135">
        <f t="shared" si="369"/>
        <v>-50</v>
      </c>
      <c r="CG135" s="173">
        <f t="shared" si="370"/>
        <v>0.35355339059327379</v>
      </c>
      <c r="CH135" s="173">
        <f t="shared" si="371"/>
        <v>0.12353584897238372</v>
      </c>
      <c r="CI135" s="170">
        <v>25</v>
      </c>
      <c r="CJ135" s="217">
        <f t="shared" si="438"/>
        <v>0.25</v>
      </c>
      <c r="CK135" s="217">
        <f t="shared" si="372"/>
        <v>6.25E-2</v>
      </c>
      <c r="CL135" s="217">
        <f t="shared" si="373"/>
        <v>4.0999999999999996</v>
      </c>
      <c r="CM135" s="217">
        <f t="shared" si="374"/>
        <v>0.5</v>
      </c>
      <c r="CN135" s="541">
        <f t="shared" si="375"/>
        <v>10</v>
      </c>
      <c r="CO135" s="443">
        <f t="shared" si="376"/>
        <v>17.099999999999998</v>
      </c>
      <c r="CP135" s="443">
        <f t="shared" si="377"/>
        <v>27.099999999999998</v>
      </c>
      <c r="CQ135" s="443"/>
      <c r="CR135" s="217">
        <f t="shared" si="378"/>
        <v>0.62686567164179097</v>
      </c>
      <c r="CS135" s="172">
        <f t="shared" si="379"/>
        <v>18.624269954574949</v>
      </c>
      <c r="CT135" s="172">
        <f t="shared" si="380"/>
        <v>2.5482344375682562</v>
      </c>
      <c r="CU135" s="217">
        <f t="shared" si="381"/>
        <v>1.135626216742375</v>
      </c>
      <c r="CV135" s="217">
        <f t="shared" si="382"/>
        <v>2.3280337443218686</v>
      </c>
      <c r="CW135" s="217">
        <f t="shared" si="383"/>
        <v>16.399999999999999</v>
      </c>
      <c r="CX135" s="217">
        <f t="shared" si="384"/>
        <v>1.4676190476190476</v>
      </c>
      <c r="CY135" s="217">
        <f t="shared" si="385"/>
        <v>1.7611428571428571</v>
      </c>
      <c r="CZ135" s="217">
        <f t="shared" si="386"/>
        <v>1.0299081035923141</v>
      </c>
      <c r="DA135" s="197">
        <f t="shared" si="387"/>
        <v>350</v>
      </c>
      <c r="DB135" s="443">
        <f t="shared" si="388"/>
        <v>350</v>
      </c>
      <c r="DD135" s="217">
        <f t="shared" si="389"/>
        <v>1.5023721665788083</v>
      </c>
      <c r="DE135" s="173">
        <f t="shared" si="390"/>
        <v>1.0542962572482866</v>
      </c>
      <c r="DF135" s="173">
        <f t="shared" si="391"/>
        <v>0.24706104135140031</v>
      </c>
      <c r="DG135" s="173"/>
      <c r="DH135" s="173">
        <f t="shared" si="392"/>
        <v>0.93567251461988332</v>
      </c>
      <c r="DI135" s="545">
        <f t="shared" si="393"/>
        <v>400.78124999999983</v>
      </c>
      <c r="DJ135" s="528">
        <f t="shared" si="394"/>
        <v>0.21832358674463945</v>
      </c>
      <c r="DL135" s="173">
        <f t="shared" si="395"/>
        <v>1.4800257398019097</v>
      </c>
      <c r="DM135" s="173">
        <f t="shared" si="396"/>
        <v>1.4676190476190476</v>
      </c>
      <c r="DN135" s="173">
        <f t="shared" si="397"/>
        <v>1.2994708994708992</v>
      </c>
      <c r="DP135" s="545">
        <f t="shared" si="398"/>
        <v>250</v>
      </c>
      <c r="DQ135" s="460">
        <f t="shared" si="399"/>
        <v>350</v>
      </c>
      <c r="DS135" s="460">
        <f t="shared" si="400"/>
        <v>250</v>
      </c>
      <c r="DT135" s="460">
        <f t="shared" si="401"/>
        <v>350</v>
      </c>
      <c r="DV135" s="5">
        <f t="shared" si="402"/>
        <v>2.8571428571428572</v>
      </c>
      <c r="DW135" s="5">
        <f t="shared" si="403"/>
        <v>1.7611428571428571</v>
      </c>
      <c r="DX135" s="5">
        <f t="shared" si="404"/>
        <v>1.0960000000000001</v>
      </c>
      <c r="DY135" s="173">
        <f t="shared" si="405"/>
        <v>0.61639999999999995</v>
      </c>
      <c r="EA135" s="5">
        <f t="shared" si="406"/>
        <v>2.6846689895470388</v>
      </c>
      <c r="EB135" s="5">
        <f t="shared" si="407"/>
        <v>1.3758928571428573</v>
      </c>
      <c r="EC135" s="5">
        <f t="shared" si="408"/>
        <v>0.37446666666666661</v>
      </c>
      <c r="ED135" s="5"/>
      <c r="EE135" s="173">
        <f t="shared" si="409"/>
        <v>0.6652486889204331</v>
      </c>
      <c r="EF135" s="173">
        <f t="shared" si="410"/>
        <v>0.52479780697051148</v>
      </c>
      <c r="EG135" s="173">
        <f t="shared" si="411"/>
        <v>0.12875240314484571</v>
      </c>
      <c r="EH135" s="173"/>
      <c r="EI135" s="528">
        <f t="shared" si="412"/>
        <v>8.8511163622071037E-3</v>
      </c>
      <c r="EJ135" s="528">
        <f t="shared" si="413"/>
        <v>0.27840733333333328</v>
      </c>
      <c r="EK135" s="528">
        <f t="shared" si="414"/>
        <v>4.3749999999999997E-2</v>
      </c>
      <c r="EL135" s="528">
        <f t="shared" si="415"/>
        <v>2.5704349999999997E-2</v>
      </c>
      <c r="EM135">
        <f t="shared" si="416"/>
        <v>4.4999999999999997E-3</v>
      </c>
      <c r="EN135" s="460">
        <f t="shared" si="417"/>
        <v>48.249999999999993</v>
      </c>
      <c r="EP135" s="460">
        <f t="shared" si="439"/>
        <v>361.21279969554035</v>
      </c>
      <c r="EQ135" s="173">
        <f t="shared" si="418"/>
        <v>0.17499999999999999</v>
      </c>
      <c r="ER135" s="173">
        <f t="shared" si="419"/>
        <v>2.7734374999999999E-2</v>
      </c>
      <c r="ES135" s="528"/>
      <c r="EU135" s="460">
        <f t="shared" si="420"/>
        <v>202.734375</v>
      </c>
      <c r="EV135" s="528">
        <f t="shared" si="421"/>
        <v>1.3276674543310654E-2</v>
      </c>
      <c r="EW135" s="528">
        <f t="shared" si="422"/>
        <v>8.2623821460317461E-3</v>
      </c>
      <c r="EX135" s="528">
        <f t="shared" si="423"/>
        <v>8.2885906577864364E-5</v>
      </c>
      <c r="EY135" s="528">
        <f t="shared" si="424"/>
        <v>0.29900156697436253</v>
      </c>
      <c r="EZ135" s="528"/>
      <c r="FA135" s="625">
        <f t="shared" si="425"/>
        <v>3.7693349206349208E-3</v>
      </c>
      <c r="FB135" s="460">
        <f t="shared" si="426"/>
        <v>324.3928444909177</v>
      </c>
      <c r="FC135" s="173">
        <f t="shared" si="427"/>
        <v>0.888340019186458</v>
      </c>
      <c r="FD135" s="5">
        <f t="shared" si="428"/>
        <v>4.5999999999999996</v>
      </c>
      <c r="FE135" s="173">
        <f t="shared" si="429"/>
        <v>0.83814049128134416</v>
      </c>
      <c r="FF135" s="5">
        <f t="shared" si="430"/>
        <v>83.814049128134414</v>
      </c>
      <c r="FG135">
        <f t="shared" si="431"/>
        <v>25</v>
      </c>
      <c r="FI135" s="562">
        <f t="shared" si="432"/>
        <v>-50</v>
      </c>
      <c r="FJ135">
        <f t="shared" si="433"/>
        <v>-50</v>
      </c>
    </row>
    <row r="136" spans="5:166">
      <c r="E136" s="170">
        <v>26</v>
      </c>
      <c r="F136" s="217">
        <f t="shared" si="434"/>
        <v>0.26</v>
      </c>
      <c r="G136" s="217">
        <f t="shared" si="313"/>
        <v>6.5000000000000002E-2</v>
      </c>
      <c r="H136" s="217">
        <f t="shared" si="314"/>
        <v>4.2639999999999993</v>
      </c>
      <c r="I136" s="217">
        <f t="shared" si="315"/>
        <v>0.52</v>
      </c>
      <c r="J136" s="541">
        <f t="shared" si="316"/>
        <v>9.9507331996644428</v>
      </c>
      <c r="K136" s="443">
        <f t="shared" si="317"/>
        <v>17.121805070815366</v>
      </c>
      <c r="L136" s="172">
        <f t="shared" si="318"/>
        <v>27.072538270479811</v>
      </c>
      <c r="M136" s="443"/>
      <c r="N136" s="217">
        <f t="shared" si="319"/>
        <v>0.63244180873446831</v>
      </c>
      <c r="O136" s="172">
        <f t="shared" si="320"/>
        <v>18.697365784364205</v>
      </c>
      <c r="P136" s="172">
        <f t="shared" si="321"/>
        <v>2.5582356516381726</v>
      </c>
      <c r="Q136" s="217">
        <f t="shared" si="322"/>
        <v>1.1400832795344029</v>
      </c>
      <c r="R136" s="217">
        <f t="shared" si="323"/>
        <v>2.3371707230455256</v>
      </c>
      <c r="S136" s="217">
        <f t="shared" si="324"/>
        <v>16.399999999999999</v>
      </c>
      <c r="T136" s="217">
        <f t="shared" si="325"/>
        <v>1.5203567708152046</v>
      </c>
      <c r="U136" s="217">
        <f t="shared" si="326"/>
        <v>1.8334610006826118</v>
      </c>
      <c r="V136" s="217">
        <f t="shared" si="327"/>
        <v>1.0655582851413479</v>
      </c>
      <c r="W136" s="197">
        <f t="shared" si="328"/>
        <v>350</v>
      </c>
      <c r="X136" s="443">
        <f t="shared" si="435"/>
        <v>322.68272887954049</v>
      </c>
      <c r="Z136" s="217">
        <f t="shared" si="329"/>
        <v>1.4983951673880722</v>
      </c>
      <c r="AA136" s="173">
        <f t="shared" si="330"/>
        <v>1.0501662607586617</v>
      </c>
      <c r="AB136" s="173">
        <f t="shared" si="331"/>
        <v>0.24544178389753374</v>
      </c>
      <c r="AC136" s="173"/>
      <c r="AD136" s="173">
        <f t="shared" si="332"/>
        <v>0.93448091096846364</v>
      </c>
      <c r="AE136" s="545">
        <f t="shared" si="333"/>
        <v>417.34399860112444</v>
      </c>
      <c r="AF136" s="528">
        <f t="shared" si="334"/>
        <v>0.21804554589264152</v>
      </c>
      <c r="AH136" s="173">
        <f t="shared" si="335"/>
        <v>1.5093360255739068</v>
      </c>
      <c r="AI136" s="173">
        <f t="shared" si="336"/>
        <v>1.5203567708152046</v>
      </c>
      <c r="AJ136" s="173">
        <f t="shared" si="337"/>
        <v>1.3385358796162008</v>
      </c>
      <c r="AL136" s="545">
        <f t="shared" si="338"/>
        <v>260</v>
      </c>
      <c r="AM136" s="460">
        <f t="shared" si="339"/>
        <v>322.68272887954049</v>
      </c>
      <c r="AO136" s="460">
        <f t="shared" si="340"/>
        <v>260</v>
      </c>
      <c r="AP136" s="460">
        <f t="shared" si="341"/>
        <v>322.68272887954049</v>
      </c>
      <c r="AR136" s="5">
        <f t="shared" si="443"/>
        <v>3.0990192858239598</v>
      </c>
      <c r="AS136" s="5">
        <f t="shared" si="440"/>
        <v>1.8334610006826118</v>
      </c>
      <c r="AT136" s="5">
        <f t="shared" si="441"/>
        <v>1.265558285141348</v>
      </c>
      <c r="AU136" s="173">
        <f t="shared" si="442"/>
        <v>0.59162619899447821</v>
      </c>
      <c r="AW136" s="5">
        <f t="shared" si="342"/>
        <v>2.9067064644968239</v>
      </c>
      <c r="AX136" s="5">
        <f t="shared" si="343"/>
        <v>1.489687063054622</v>
      </c>
      <c r="AY136" s="5">
        <f t="shared" si="344"/>
        <v>0.45192151669995212</v>
      </c>
      <c r="AZ136" s="5"/>
      <c r="BA136" s="173">
        <f t="shared" si="345"/>
        <v>0.67516292190468519</v>
      </c>
      <c r="BB136" s="173">
        <f t="shared" si="346"/>
        <v>0.56093665632256573</v>
      </c>
      <c r="BC136" s="173">
        <f t="shared" si="347"/>
        <v>0.13761860578358498</v>
      </c>
      <c r="BD136" s="173"/>
      <c r="BE136" s="528">
        <f t="shared" si="348"/>
        <v>9.1168994222974413E-3</v>
      </c>
      <c r="BF136" s="528">
        <f t="shared" si="349"/>
        <v>0.24902989300694742</v>
      </c>
      <c r="BG136" s="528">
        <f t="shared" si="350"/>
        <v>8.0273243580499087E-2</v>
      </c>
      <c r="BH136" s="528">
        <f t="shared" si="351"/>
        <v>2.3650137698698653E-2</v>
      </c>
      <c r="BI136">
        <f t="shared" si="352"/>
        <v>4.477829939848999E-3</v>
      </c>
      <c r="BJ136" s="460">
        <f t="shared" si="436"/>
        <v>84.751073520348086</v>
      </c>
      <c r="BK136">
        <f t="shared" si="353"/>
        <v>0.28487558342513236</v>
      </c>
      <c r="BL136" s="460">
        <f t="shared" si="437"/>
        <v>366.54800364829163</v>
      </c>
      <c r="BM136" s="173">
        <f t="shared" si="354"/>
        <v>0.16152499999999997</v>
      </c>
      <c r="BN136" s="173">
        <f t="shared" si="355"/>
        <v>4.0381249999999994E-2</v>
      </c>
      <c r="BO136" s="528"/>
      <c r="BQ136" s="460">
        <f t="shared" si="356"/>
        <v>201.90624999999994</v>
      </c>
      <c r="BR136" s="528">
        <f t="shared" si="357"/>
        <v>1.367534913344616E-2</v>
      </c>
      <c r="BS136" s="528">
        <f t="shared" si="358"/>
        <v>9.4394979721902066E-3</v>
      </c>
      <c r="BT136" s="528">
        <f t="shared" si="359"/>
        <v>9.4694403289088849E-5</v>
      </c>
      <c r="BU136" s="528">
        <f t="shared" si="360"/>
        <v>0.26654656391995957</v>
      </c>
      <c r="BV136" s="528"/>
      <c r="BW136" s="625">
        <f t="shared" si="361"/>
        <v>3.7293809708400451E-3</v>
      </c>
      <c r="BX136" s="460">
        <f t="shared" si="362"/>
        <v>293.48548639972506</v>
      </c>
      <c r="BY136" s="173">
        <f t="shared" si="363"/>
        <v>0.86193974004801688</v>
      </c>
      <c r="BZ136" s="5">
        <f t="shared" si="364"/>
        <v>4.7839999999999989</v>
      </c>
      <c r="CA136" s="173">
        <f t="shared" si="365"/>
        <v>0.84733458383658078</v>
      </c>
      <c r="CB136" s="5">
        <f t="shared" si="366"/>
        <v>84.733458383658075</v>
      </c>
      <c r="CC136">
        <f t="shared" si="367"/>
        <v>26</v>
      </c>
      <c r="CE136" s="562">
        <f t="shared" si="368"/>
        <v>-50</v>
      </c>
      <c r="CF136">
        <f t="shared" si="369"/>
        <v>-50</v>
      </c>
      <c r="CG136" s="173">
        <f t="shared" si="370"/>
        <v>0.35771495841706191</v>
      </c>
      <c r="CH136" s="173">
        <f t="shared" si="371"/>
        <v>0.1249899513168843</v>
      </c>
      <c r="CI136" s="170">
        <v>26</v>
      </c>
      <c r="CJ136" s="217">
        <f t="shared" si="438"/>
        <v>0.26</v>
      </c>
      <c r="CK136" s="217">
        <f t="shared" si="372"/>
        <v>6.5000000000000002E-2</v>
      </c>
      <c r="CL136" s="217">
        <f t="shared" si="373"/>
        <v>4.2639999999999993</v>
      </c>
      <c r="CM136" s="217">
        <f t="shared" si="374"/>
        <v>0.52</v>
      </c>
      <c r="CN136" s="541">
        <f t="shared" si="375"/>
        <v>10</v>
      </c>
      <c r="CO136" s="443">
        <f t="shared" si="376"/>
        <v>17.099999999999998</v>
      </c>
      <c r="CP136" s="443">
        <f t="shared" si="377"/>
        <v>27.099999999999998</v>
      </c>
      <c r="CQ136" s="443"/>
      <c r="CR136" s="217">
        <f t="shared" si="378"/>
        <v>0.62686567164179097</v>
      </c>
      <c r="CS136" s="172">
        <f t="shared" si="379"/>
        <v>18.624269954574949</v>
      </c>
      <c r="CT136" s="172">
        <f t="shared" si="380"/>
        <v>2.5482344375682562</v>
      </c>
      <c r="CU136" s="217">
        <f t="shared" si="381"/>
        <v>1.135626216742375</v>
      </c>
      <c r="CV136" s="217">
        <f t="shared" si="382"/>
        <v>2.3280337443218686</v>
      </c>
      <c r="CW136" s="217">
        <f t="shared" si="383"/>
        <v>16.399999999999999</v>
      </c>
      <c r="CX136" s="217">
        <f t="shared" si="384"/>
        <v>1.5263238095238094</v>
      </c>
      <c r="CY136" s="217">
        <f t="shared" si="385"/>
        <v>1.8315885714285716</v>
      </c>
      <c r="CZ136" s="217">
        <f t="shared" si="386"/>
        <v>1.0711044277360069</v>
      </c>
      <c r="DA136" s="197">
        <f t="shared" si="387"/>
        <v>350</v>
      </c>
      <c r="DB136" s="443">
        <f t="shared" si="388"/>
        <v>344.5076693566316</v>
      </c>
      <c r="DD136" s="217">
        <f t="shared" si="389"/>
        <v>1.5023721665788083</v>
      </c>
      <c r="DE136" s="173">
        <f t="shared" si="390"/>
        <v>1.0542962572482866</v>
      </c>
      <c r="DF136" s="173">
        <f t="shared" si="391"/>
        <v>0.24706104135140031</v>
      </c>
      <c r="DG136" s="173"/>
      <c r="DH136" s="173">
        <f t="shared" si="392"/>
        <v>0.93567251461988332</v>
      </c>
      <c r="DI136" s="545">
        <f t="shared" si="393"/>
        <v>416.81249999999983</v>
      </c>
      <c r="DJ136" s="528">
        <f t="shared" si="394"/>
        <v>0.21832358674463945</v>
      </c>
      <c r="DL136" s="173">
        <f t="shared" si="395"/>
        <v>1.5093360255739068</v>
      </c>
      <c r="DM136" s="173">
        <f t="shared" si="396"/>
        <v>1.5263238095238094</v>
      </c>
      <c r="DN136" s="173">
        <f t="shared" si="397"/>
        <v>1.3429559082892415</v>
      </c>
      <c r="DP136" s="545">
        <f t="shared" si="398"/>
        <v>260</v>
      </c>
      <c r="DQ136" s="460">
        <f t="shared" si="399"/>
        <v>344.5076693566316</v>
      </c>
      <c r="DS136" s="460">
        <f t="shared" si="400"/>
        <v>260</v>
      </c>
      <c r="DT136" s="460">
        <f t="shared" si="401"/>
        <v>344.5076693566316</v>
      </c>
      <c r="DV136" s="5">
        <f t="shared" si="402"/>
        <v>2.9026929991645787</v>
      </c>
      <c r="DW136" s="5">
        <f t="shared" si="403"/>
        <v>1.8315885714285716</v>
      </c>
      <c r="DX136" s="5">
        <f t="shared" si="404"/>
        <v>1.0711044277360071</v>
      </c>
      <c r="DY136" s="173">
        <f t="shared" si="405"/>
        <v>0.63099630996309952</v>
      </c>
      <c r="EA136" s="5">
        <f t="shared" si="406"/>
        <v>2.9037379790940774</v>
      </c>
      <c r="EB136" s="5">
        <f t="shared" si="407"/>
        <v>1.4881657142857143</v>
      </c>
      <c r="EC136" s="5">
        <f t="shared" si="408"/>
        <v>0.38059910665552776</v>
      </c>
      <c r="ED136" s="5"/>
      <c r="EE136" s="173">
        <f t="shared" si="409"/>
        <v>0.70000229092033817</v>
      </c>
      <c r="EF136" s="173">
        <f t="shared" si="410"/>
        <v>0.5353051309418797</v>
      </c>
      <c r="EG136" s="173">
        <f t="shared" si="411"/>
        <v>0.13133024015934205</v>
      </c>
      <c r="EH136" s="173"/>
      <c r="EI136" s="528">
        <f t="shared" si="412"/>
        <v>9.8000641458744348E-3</v>
      </c>
      <c r="EJ136" s="528">
        <f t="shared" si="413"/>
        <v>0.28499999999999992</v>
      </c>
      <c r="EK136" s="528">
        <f t="shared" si="414"/>
        <v>4.3063458669578947E-2</v>
      </c>
      <c r="EL136" s="528">
        <f t="shared" si="415"/>
        <v>2.5300987745220379E-2</v>
      </c>
      <c r="EM136">
        <f t="shared" si="416"/>
        <v>4.4999999999999997E-3</v>
      </c>
      <c r="EN136" s="460">
        <f t="shared" si="417"/>
        <v>47.563458669578942</v>
      </c>
      <c r="EP136" s="460">
        <f t="shared" si="439"/>
        <v>367.66451056067365</v>
      </c>
      <c r="EQ136" s="173">
        <f t="shared" si="418"/>
        <v>0.182</v>
      </c>
      <c r="ER136" s="173">
        <f t="shared" si="419"/>
        <v>2.8843749999999998E-2</v>
      </c>
      <c r="ES136" s="528"/>
      <c r="EU136" s="460">
        <f t="shared" si="420"/>
        <v>210.84375</v>
      </c>
      <c r="EV136" s="528">
        <f t="shared" si="421"/>
        <v>1.4700096218811652E-2</v>
      </c>
      <c r="EW136" s="528">
        <f t="shared" si="422"/>
        <v>8.5965474963810885E-3</v>
      </c>
      <c r="EX136" s="528">
        <f t="shared" si="423"/>
        <v>8.6238159901552309E-5</v>
      </c>
      <c r="EY136" s="528">
        <f t="shared" si="424"/>
        <v>0.31701801185397366</v>
      </c>
      <c r="EZ136" s="528"/>
      <c r="FA136" s="625">
        <f t="shared" si="425"/>
        <v>4.0129362150764349E-3</v>
      </c>
      <c r="FB136" s="460">
        <f t="shared" si="426"/>
        <v>344.41382994414437</v>
      </c>
      <c r="FC136" s="173">
        <f t="shared" si="427"/>
        <v>0.92292209050481788</v>
      </c>
      <c r="FD136" s="5">
        <f t="shared" si="428"/>
        <v>4.7839999999999989</v>
      </c>
      <c r="FE136" s="173">
        <f t="shared" si="429"/>
        <v>0.83828023654985995</v>
      </c>
      <c r="FF136" s="5">
        <f t="shared" si="430"/>
        <v>83.828023654985998</v>
      </c>
      <c r="FG136">
        <f t="shared" si="431"/>
        <v>26</v>
      </c>
      <c r="FI136" s="562">
        <f t="shared" si="432"/>
        <v>-50</v>
      </c>
      <c r="FJ136">
        <f t="shared" si="433"/>
        <v>-50</v>
      </c>
    </row>
    <row r="137" spans="5:166">
      <c r="E137" s="170">
        <v>27</v>
      </c>
      <c r="F137" s="217">
        <f t="shared" si="434"/>
        <v>0.27</v>
      </c>
      <c r="G137" s="217">
        <f t="shared" si="313"/>
        <v>6.7500000000000004E-2</v>
      </c>
      <c r="H137" s="217">
        <f t="shared" si="314"/>
        <v>4.4279999999999999</v>
      </c>
      <c r="I137" s="217">
        <f t="shared" si="315"/>
        <v>0.54</v>
      </c>
      <c r="J137" s="541">
        <f t="shared" si="316"/>
        <v>9.9488383227284611</v>
      </c>
      <c r="K137" s="443">
        <f t="shared" si="317"/>
        <v>17.122643727385185</v>
      </c>
      <c r="L137" s="172">
        <f t="shared" si="318"/>
        <v>27.071482050113644</v>
      </c>
      <c r="M137" s="443"/>
      <c r="N137" s="217">
        <f t="shared" si="319"/>
        <v>0.63249746340774515</v>
      </c>
      <c r="O137" s="172">
        <f t="shared" si="320"/>
        <v>18.695450371171031</v>
      </c>
      <c r="P137" s="172">
        <f t="shared" si="321"/>
        <v>2.5579735784469584</v>
      </c>
      <c r="Q137" s="217">
        <f t="shared" si="322"/>
        <v>1.1399664860470142</v>
      </c>
      <c r="R137" s="217">
        <f t="shared" si="323"/>
        <v>2.3369312963963789</v>
      </c>
      <c r="S137" s="217">
        <f t="shared" si="324"/>
        <v>16.399999999999999</v>
      </c>
      <c r="T137" s="217">
        <f t="shared" si="325"/>
        <v>1.5789937880031371</v>
      </c>
      <c r="U137" s="217">
        <f t="shared" si="326"/>
        <v>1.9045364736454169</v>
      </c>
      <c r="V137" s="217">
        <f t="shared" si="327"/>
        <v>1.1066004618044576</v>
      </c>
      <c r="W137" s="197">
        <f t="shared" si="328"/>
        <v>350</v>
      </c>
      <c r="X137" s="443">
        <f t="shared" si="435"/>
        <v>311.41618065562244</v>
      </c>
      <c r="Z137" s="217">
        <f t="shared" si="329"/>
        <v>1.4982416673760754</v>
      </c>
      <c r="AA137" s="173">
        <f t="shared" si="330"/>
        <v>1.0500072474064424</v>
      </c>
      <c r="AB137" s="173">
        <f t="shared" si="331"/>
        <v>0.24537947979071301</v>
      </c>
      <c r="AC137" s="173"/>
      <c r="AD137" s="173">
        <f t="shared" si="332"/>
        <v>0.93443514066757827</v>
      </c>
      <c r="AE137" s="545">
        <f t="shared" si="333"/>
        <v>433.41691934943742</v>
      </c>
      <c r="AF137" s="528">
        <f t="shared" si="334"/>
        <v>0.21803486615576828</v>
      </c>
      <c r="AH137" s="173">
        <f t="shared" si="335"/>
        <v>1.5380878667079738</v>
      </c>
      <c r="AI137" s="173">
        <f t="shared" si="336"/>
        <v>1.5789937880031371</v>
      </c>
      <c r="AJ137" s="173">
        <f t="shared" si="337"/>
        <v>1.3819707071628173</v>
      </c>
      <c r="AL137" s="545">
        <f t="shared" si="338"/>
        <v>270</v>
      </c>
      <c r="AM137" s="460">
        <f t="shared" si="339"/>
        <v>311.41618065562244</v>
      </c>
      <c r="AO137" s="460">
        <f t="shared" si="340"/>
        <v>270</v>
      </c>
      <c r="AP137" s="460">
        <f t="shared" si="341"/>
        <v>311.41618065562244</v>
      </c>
      <c r="AR137" s="5">
        <f t="shared" si="443"/>
        <v>3.2111369354498747</v>
      </c>
      <c r="AS137" s="5">
        <f t="shared" si="440"/>
        <v>1.9045364736454169</v>
      </c>
      <c r="AT137" s="5">
        <f t="shared" si="441"/>
        <v>1.3066004618044578</v>
      </c>
      <c r="AU137" s="173">
        <f t="shared" si="442"/>
        <v>0.59310347454198331</v>
      </c>
      <c r="AW137" s="5">
        <f t="shared" si="342"/>
        <v>3.1355173651479431</v>
      </c>
      <c r="AX137" s="5">
        <f t="shared" si="343"/>
        <v>1.6069526496383206</v>
      </c>
      <c r="AY137" s="5">
        <f t="shared" si="344"/>
        <v>0.48461494173082459</v>
      </c>
      <c r="AZ137" s="5"/>
      <c r="BA137" s="173">
        <f t="shared" si="345"/>
        <v>0.70207745650420761</v>
      </c>
      <c r="BB137" s="173">
        <f t="shared" si="346"/>
        <v>0.5815161556248869</v>
      </c>
      <c r="BC137" s="173">
        <f t="shared" si="347"/>
        <v>0.14266752168128499</v>
      </c>
      <c r="BD137" s="173"/>
      <c r="BE137" s="528">
        <f t="shared" si="348"/>
        <v>9.8582550986283501E-3</v>
      </c>
      <c r="BF137" s="528">
        <f t="shared" si="349"/>
        <v>0.24959443599206443</v>
      </c>
      <c r="BG137" s="528">
        <f t="shared" si="350"/>
        <v>7.7455730810609663E-2</v>
      </c>
      <c r="BH137" s="528">
        <f t="shared" si="351"/>
        <v>2.282260629557837E-2</v>
      </c>
      <c r="BI137">
        <f t="shared" si="352"/>
        <v>4.4769772452278077E-3</v>
      </c>
      <c r="BJ137" s="460">
        <f t="shared" si="436"/>
        <v>81.932708055837466</v>
      </c>
      <c r="BK137">
        <f t="shared" si="353"/>
        <v>0.28560600732910196</v>
      </c>
      <c r="BL137" s="460">
        <f t="shared" si="437"/>
        <v>364.20800544210863</v>
      </c>
      <c r="BM137" s="173">
        <f t="shared" si="354"/>
        <v>0.16773749999999998</v>
      </c>
      <c r="BN137" s="173">
        <f t="shared" si="355"/>
        <v>4.1934374999999996E-2</v>
      </c>
      <c r="BO137" s="528"/>
      <c r="BQ137" s="460">
        <f t="shared" si="356"/>
        <v>209.67187499999997</v>
      </c>
      <c r="BR137" s="528">
        <f t="shared" si="357"/>
        <v>1.4787382647942524E-2</v>
      </c>
      <c r="BS137" s="528">
        <f t="shared" si="358"/>
        <v>1.014483117758243E-2</v>
      </c>
      <c r="BT137" s="528">
        <f t="shared" si="359"/>
        <v>1.0177010871339962E-4</v>
      </c>
      <c r="BU137" s="528">
        <f t="shared" si="360"/>
        <v>0.26808591243343771</v>
      </c>
      <c r="BV137" s="528"/>
      <c r="BW137" s="625">
        <f t="shared" si="361"/>
        <v>3.8821474024171437E-3</v>
      </c>
      <c r="BX137" s="460">
        <f t="shared" si="362"/>
        <v>297.00204377009322</v>
      </c>
      <c r="BY137" s="173">
        <f t="shared" si="363"/>
        <v>0.87088192421220179</v>
      </c>
      <c r="BZ137" s="5">
        <f t="shared" si="364"/>
        <v>4.968</v>
      </c>
      <c r="CA137" s="173">
        <f t="shared" si="365"/>
        <v>0.85084782745804477</v>
      </c>
      <c r="CB137" s="5">
        <f t="shared" si="366"/>
        <v>85.084782745804475</v>
      </c>
      <c r="CC137">
        <f t="shared" si="367"/>
        <v>27</v>
      </c>
      <c r="CE137" s="562">
        <f t="shared" si="368"/>
        <v>-50</v>
      </c>
      <c r="CF137">
        <f t="shared" si="369"/>
        <v>-50</v>
      </c>
      <c r="CG137" s="173">
        <f t="shared" si="370"/>
        <v>0.35771495841706197</v>
      </c>
      <c r="CH137" s="173">
        <f t="shared" si="371"/>
        <v>0.12498995131688433</v>
      </c>
      <c r="CI137" s="170">
        <v>27</v>
      </c>
      <c r="CJ137" s="217">
        <f t="shared" si="438"/>
        <v>0.27</v>
      </c>
      <c r="CK137" s="217">
        <f t="shared" si="372"/>
        <v>6.7500000000000004E-2</v>
      </c>
      <c r="CL137" s="217">
        <f t="shared" si="373"/>
        <v>4.4279999999999999</v>
      </c>
      <c r="CM137" s="217">
        <f t="shared" si="374"/>
        <v>0.54</v>
      </c>
      <c r="CN137" s="541">
        <f t="shared" si="375"/>
        <v>10</v>
      </c>
      <c r="CO137" s="443">
        <f t="shared" si="376"/>
        <v>17.099999999999998</v>
      </c>
      <c r="CP137" s="443">
        <f t="shared" si="377"/>
        <v>27.099999999999998</v>
      </c>
      <c r="CQ137" s="443"/>
      <c r="CR137" s="217">
        <f t="shared" si="378"/>
        <v>0.62686567164179097</v>
      </c>
      <c r="CS137" s="172">
        <f t="shared" si="379"/>
        <v>18.624269954574949</v>
      </c>
      <c r="CT137" s="172">
        <f t="shared" si="380"/>
        <v>2.5482344375682562</v>
      </c>
      <c r="CU137" s="217">
        <f t="shared" si="381"/>
        <v>1.135626216742375</v>
      </c>
      <c r="CV137" s="217">
        <f t="shared" si="382"/>
        <v>2.3280337443218686</v>
      </c>
      <c r="CW137" s="217">
        <f t="shared" si="383"/>
        <v>16.399999999999999</v>
      </c>
      <c r="CX137" s="217">
        <f t="shared" si="384"/>
        <v>1.5850285714285715</v>
      </c>
      <c r="CY137" s="217">
        <f t="shared" si="385"/>
        <v>1.9020342857142858</v>
      </c>
      <c r="CZ137" s="217">
        <f t="shared" si="386"/>
        <v>1.1123007518796995</v>
      </c>
      <c r="DA137" s="197">
        <f t="shared" si="387"/>
        <v>350</v>
      </c>
      <c r="DB137" s="443">
        <f t="shared" si="388"/>
        <v>331.74812604712679</v>
      </c>
      <c r="DD137" s="217">
        <f t="shared" si="389"/>
        <v>1.5023721665788083</v>
      </c>
      <c r="DE137" s="173">
        <f t="shared" si="390"/>
        <v>1.0542962572482866</v>
      </c>
      <c r="DF137" s="173">
        <f t="shared" si="391"/>
        <v>0.24706104135140031</v>
      </c>
      <c r="DG137" s="173"/>
      <c r="DH137" s="173">
        <f t="shared" si="392"/>
        <v>0.93567251461988332</v>
      </c>
      <c r="DI137" s="545">
        <f t="shared" si="393"/>
        <v>432.84374999999989</v>
      </c>
      <c r="DJ137" s="528">
        <f t="shared" si="394"/>
        <v>0.21832358674463945</v>
      </c>
      <c r="DL137" s="173">
        <f t="shared" si="395"/>
        <v>1.5380878667079738</v>
      </c>
      <c r="DM137" s="173">
        <f t="shared" si="396"/>
        <v>1.5850285714285715</v>
      </c>
      <c r="DN137" s="173">
        <f t="shared" si="397"/>
        <v>1.3864409171075835</v>
      </c>
      <c r="DP137" s="545">
        <f t="shared" si="398"/>
        <v>270</v>
      </c>
      <c r="DQ137" s="460">
        <f t="shared" si="399"/>
        <v>331.74812604712679</v>
      </c>
      <c r="DS137" s="460">
        <f t="shared" si="400"/>
        <v>270</v>
      </c>
      <c r="DT137" s="460">
        <f t="shared" si="401"/>
        <v>331.74812604712679</v>
      </c>
      <c r="DV137" s="5">
        <f t="shared" si="402"/>
        <v>3.0143350375939852</v>
      </c>
      <c r="DW137" s="5">
        <f t="shared" si="403"/>
        <v>1.9020342857142858</v>
      </c>
      <c r="DX137" s="5">
        <f t="shared" si="404"/>
        <v>1.1123007518796995</v>
      </c>
      <c r="DY137" s="173">
        <f t="shared" si="405"/>
        <v>0.63099630996309963</v>
      </c>
      <c r="EA137" s="5">
        <f t="shared" si="406"/>
        <v>3.1313979094076663</v>
      </c>
      <c r="EB137" s="5">
        <f t="shared" si="407"/>
        <v>1.6048414285714288</v>
      </c>
      <c r="EC137" s="5">
        <f t="shared" si="408"/>
        <v>0.41043897744360902</v>
      </c>
      <c r="ED137" s="5"/>
      <c r="EE137" s="173">
        <f t="shared" si="409"/>
        <v>0.72692545595573588</v>
      </c>
      <c r="EF137" s="173">
        <f t="shared" si="410"/>
        <v>0.55589378982425963</v>
      </c>
      <c r="EG137" s="173">
        <f t="shared" si="411"/>
        <v>0.13638140324239367</v>
      </c>
      <c r="EH137" s="173"/>
      <c r="EI137" s="528">
        <f t="shared" si="412"/>
        <v>1.056841237032909E-2</v>
      </c>
      <c r="EJ137" s="528">
        <f t="shared" si="413"/>
        <v>0.28500000000000003</v>
      </c>
      <c r="EK137" s="528">
        <f t="shared" si="414"/>
        <v>4.1468515755890847E-2</v>
      </c>
      <c r="EL137" s="528">
        <f t="shared" si="415"/>
        <v>2.4363914125027034E-2</v>
      </c>
      <c r="EM137">
        <f t="shared" si="416"/>
        <v>4.4999999999999997E-3</v>
      </c>
      <c r="EN137" s="460">
        <f t="shared" si="417"/>
        <v>45.968515755890841</v>
      </c>
      <c r="EP137" s="460">
        <f t="shared" si="439"/>
        <v>365.90084225124696</v>
      </c>
      <c r="EQ137" s="173">
        <f t="shared" si="418"/>
        <v>0.189</v>
      </c>
      <c r="ER137" s="173">
        <f t="shared" si="419"/>
        <v>2.9953125000000001E-2</v>
      </c>
      <c r="ES137" s="528"/>
      <c r="EU137" s="460">
        <f t="shared" si="420"/>
        <v>218.953125</v>
      </c>
      <c r="EV137" s="528">
        <f t="shared" si="421"/>
        <v>1.5852618555493636E-2</v>
      </c>
      <c r="EW137" s="528">
        <f t="shared" si="422"/>
        <v>9.2705371669553442E-3</v>
      </c>
      <c r="EX137" s="528">
        <f t="shared" si="423"/>
        <v>9.2999435751821936E-5</v>
      </c>
      <c r="EY137" s="528">
        <f t="shared" si="424"/>
        <v>0.31701801185397432</v>
      </c>
      <c r="EZ137" s="528"/>
      <c r="FA137" s="625">
        <f t="shared" si="425"/>
        <v>4.1672799156562993E-3</v>
      </c>
      <c r="FB137" s="460">
        <f t="shared" si="426"/>
        <v>346.40144692783144</v>
      </c>
      <c r="FC137" s="173">
        <f t="shared" si="427"/>
        <v>0.93125541417907842</v>
      </c>
      <c r="FD137" s="5">
        <f t="shared" si="428"/>
        <v>4.968</v>
      </c>
      <c r="FE137" s="173">
        <f t="shared" si="429"/>
        <v>0.84214017722630352</v>
      </c>
      <c r="FF137" s="5">
        <f t="shared" si="430"/>
        <v>84.214017722630359</v>
      </c>
      <c r="FG137">
        <f t="shared" si="431"/>
        <v>27</v>
      </c>
      <c r="FI137" s="562">
        <f t="shared" si="432"/>
        <v>-50</v>
      </c>
      <c r="FJ137">
        <f t="shared" si="433"/>
        <v>-50</v>
      </c>
    </row>
    <row r="138" spans="5:166">
      <c r="E138" s="170">
        <v>28</v>
      </c>
      <c r="F138" s="217">
        <f t="shared" si="434"/>
        <v>0.28000000000000003</v>
      </c>
      <c r="G138" s="217">
        <f t="shared" si="313"/>
        <v>7.0000000000000007E-2</v>
      </c>
      <c r="H138" s="217">
        <f t="shared" si="314"/>
        <v>4.5919999999999996</v>
      </c>
      <c r="I138" s="217">
        <f t="shared" si="315"/>
        <v>0.56000000000000005</v>
      </c>
      <c r="J138" s="541">
        <f t="shared" si="316"/>
        <v>9.9469434457924777</v>
      </c>
      <c r="K138" s="443">
        <f t="shared" si="317"/>
        <v>17.123482383955007</v>
      </c>
      <c r="L138" s="172">
        <f t="shared" si="318"/>
        <v>27.070425829747485</v>
      </c>
      <c r="M138" s="443"/>
      <c r="N138" s="217">
        <f t="shared" si="319"/>
        <v>0.6325531224240345</v>
      </c>
      <c r="O138" s="172">
        <f t="shared" si="320"/>
        <v>18.6935344596858</v>
      </c>
      <c r="P138" s="172">
        <f t="shared" si="321"/>
        <v>2.5577114370777716</v>
      </c>
      <c r="Q138" s="217">
        <f t="shared" si="322"/>
        <v>1.1398496621759635</v>
      </c>
      <c r="R138" s="217">
        <f t="shared" si="323"/>
        <v>2.336691807460725</v>
      </c>
      <c r="S138" s="217">
        <f t="shared" si="324"/>
        <v>16.399999999999999</v>
      </c>
      <c r="T138" s="217">
        <f t="shared" si="325"/>
        <v>1.6376428652031318</v>
      </c>
      <c r="U138" s="217">
        <f t="shared" si="326"/>
        <v>1.9756535753453177</v>
      </c>
      <c r="V138" s="217">
        <f t="shared" si="327"/>
        <v>1.1476470697836305</v>
      </c>
      <c r="W138" s="197">
        <f t="shared" si="328"/>
        <v>350</v>
      </c>
      <c r="X138" s="443">
        <f t="shared" si="435"/>
        <v>300.90566782326096</v>
      </c>
      <c r="Z138" s="217">
        <f t="shared" si="329"/>
        <v>1.4980881274312658</v>
      </c>
      <c r="AA138" s="173">
        <f t="shared" si="330"/>
        <v>1.0498482216456155</v>
      </c>
      <c r="AB138" s="173">
        <f t="shared" si="331"/>
        <v>0.24531717385965204</v>
      </c>
      <c r="AC138" s="173"/>
      <c r="AD138" s="173">
        <f t="shared" si="332"/>
        <v>0.93438937485007567</v>
      </c>
      <c r="AE138" s="545">
        <f t="shared" si="333"/>
        <v>449.49141257881877</v>
      </c>
      <c r="AF138" s="528">
        <f t="shared" si="334"/>
        <v>0.2180241874650177</v>
      </c>
      <c r="AH138" s="173">
        <f t="shared" si="335"/>
        <v>1.5663120165960973</v>
      </c>
      <c r="AI138" s="173">
        <f t="shared" si="336"/>
        <v>1.6376428652031318</v>
      </c>
      <c r="AJ138" s="173">
        <f t="shared" si="337"/>
        <v>1.4254144680517025</v>
      </c>
      <c r="AL138" s="545">
        <f t="shared" si="338"/>
        <v>280</v>
      </c>
      <c r="AM138" s="460">
        <f t="shared" si="339"/>
        <v>300.90566782326096</v>
      </c>
      <c r="AO138" s="460">
        <f t="shared" si="340"/>
        <v>280</v>
      </c>
      <c r="AP138" s="460">
        <f t="shared" si="341"/>
        <v>300.90566782326096</v>
      </c>
      <c r="AR138" s="5">
        <f t="shared" si="443"/>
        <v>3.3233006451289477</v>
      </c>
      <c r="AS138" s="5">
        <f t="shared" si="440"/>
        <v>1.9756535753453177</v>
      </c>
      <c r="AT138" s="5">
        <f t="shared" si="441"/>
        <v>1.34764706978363</v>
      </c>
      <c r="AU138" s="173">
        <f t="shared" si="442"/>
        <v>0.59448535847669604</v>
      </c>
      <c r="AW138" s="5">
        <f t="shared" si="342"/>
        <v>3.3730670798578606</v>
      </c>
      <c r="AX138" s="5">
        <f t="shared" si="343"/>
        <v>1.7286968784271532</v>
      </c>
      <c r="AY138" s="5">
        <f t="shared" si="344"/>
        <v>0.51845033084544323</v>
      </c>
      <c r="AZ138" s="5"/>
      <c r="BA138" s="173">
        <f t="shared" si="345"/>
        <v>0.72900272468644478</v>
      </c>
      <c r="BB138" s="173">
        <f t="shared" si="346"/>
        <v>0.60209059012464827</v>
      </c>
      <c r="BC138" s="173">
        <f t="shared" si="347"/>
        <v>0.14771519499471283</v>
      </c>
      <c r="BD138" s="173"/>
      <c r="BE138" s="528">
        <f t="shared" si="348"/>
        <v>1.0628899452005207E-2</v>
      </c>
      <c r="BF138" s="528">
        <f t="shared" si="349"/>
        <v>0.25011856313170183</v>
      </c>
      <c r="BG138" s="528">
        <f t="shared" si="350"/>
        <v>7.4827291508909849E-2</v>
      </c>
      <c r="BH138" s="528">
        <f t="shared" si="351"/>
        <v>2.2050606696627232E-2</v>
      </c>
      <c r="BI138">
        <f t="shared" si="352"/>
        <v>4.4761245506066147E-3</v>
      </c>
      <c r="BJ138" s="460">
        <f t="shared" si="436"/>
        <v>79.303416059516465</v>
      </c>
      <c r="BK138">
        <f t="shared" si="353"/>
        <v>0.28639113188901882</v>
      </c>
      <c r="BL138" s="460">
        <f t="shared" si="437"/>
        <v>362.10148533985068</v>
      </c>
      <c r="BM138" s="173">
        <f t="shared" si="354"/>
        <v>0.17394999999999999</v>
      </c>
      <c r="BN138" s="173">
        <f t="shared" si="355"/>
        <v>4.3487499999999998E-2</v>
      </c>
      <c r="BO138" s="528"/>
      <c r="BQ138" s="460">
        <f t="shared" si="356"/>
        <v>217.4375</v>
      </c>
      <c r="BR138" s="528">
        <f t="shared" si="357"/>
        <v>1.5943349178007809E-2</v>
      </c>
      <c r="BS138" s="528">
        <f t="shared" si="358"/>
        <v>1.0875392361499417E-2</v>
      </c>
      <c r="BT138" s="528">
        <f t="shared" si="359"/>
        <v>1.0909889416163019E-4</v>
      </c>
      <c r="BU138" s="528">
        <f t="shared" si="360"/>
        <v>0.26952181231750955</v>
      </c>
      <c r="BV138" s="528"/>
      <c r="BW138" s="625">
        <f t="shared" si="361"/>
        <v>4.0349556665624266E-3</v>
      </c>
      <c r="BX138" s="460">
        <f t="shared" si="362"/>
        <v>300.48460841774084</v>
      </c>
      <c r="BY138" s="173">
        <f t="shared" si="363"/>
        <v>0.88002359375759154</v>
      </c>
      <c r="BZ138" s="5">
        <f t="shared" si="364"/>
        <v>5.1519999999999992</v>
      </c>
      <c r="CA138" s="173">
        <f t="shared" si="365"/>
        <v>0.85410806504995951</v>
      </c>
      <c r="CB138" s="5">
        <f t="shared" si="366"/>
        <v>85.410806504995946</v>
      </c>
      <c r="CC138">
        <f t="shared" si="367"/>
        <v>28.000000000000004</v>
      </c>
      <c r="CE138" s="562">
        <f t="shared" si="368"/>
        <v>-50</v>
      </c>
      <c r="CF138">
        <f t="shared" si="369"/>
        <v>-50</v>
      </c>
      <c r="CG138" s="173">
        <f t="shared" si="370"/>
        <v>0.35771495841706197</v>
      </c>
      <c r="CH138" s="173">
        <f t="shared" si="371"/>
        <v>0.12498995131688433</v>
      </c>
      <c r="CI138" s="170">
        <v>28</v>
      </c>
      <c r="CJ138" s="217">
        <f t="shared" si="438"/>
        <v>0.28000000000000003</v>
      </c>
      <c r="CK138" s="217">
        <f t="shared" si="372"/>
        <v>7.0000000000000007E-2</v>
      </c>
      <c r="CL138" s="217">
        <f t="shared" si="373"/>
        <v>4.5919999999999996</v>
      </c>
      <c r="CM138" s="217">
        <f t="shared" si="374"/>
        <v>0.56000000000000005</v>
      </c>
      <c r="CN138" s="541">
        <f t="shared" si="375"/>
        <v>10</v>
      </c>
      <c r="CO138" s="443">
        <f t="shared" si="376"/>
        <v>17.099999999999998</v>
      </c>
      <c r="CP138" s="443">
        <f t="shared" si="377"/>
        <v>27.099999999999998</v>
      </c>
      <c r="CQ138" s="443"/>
      <c r="CR138" s="217">
        <f t="shared" si="378"/>
        <v>0.62686567164179097</v>
      </c>
      <c r="CS138" s="172">
        <f t="shared" si="379"/>
        <v>18.624269954574949</v>
      </c>
      <c r="CT138" s="172">
        <f t="shared" si="380"/>
        <v>2.5482344375682562</v>
      </c>
      <c r="CU138" s="217">
        <f t="shared" si="381"/>
        <v>1.135626216742375</v>
      </c>
      <c r="CV138" s="217">
        <f t="shared" si="382"/>
        <v>2.3280337443218686</v>
      </c>
      <c r="CW138" s="217">
        <f t="shared" si="383"/>
        <v>16.399999999999999</v>
      </c>
      <c r="CX138" s="217">
        <f t="shared" si="384"/>
        <v>1.6437333333333333</v>
      </c>
      <c r="CY138" s="217">
        <f t="shared" si="385"/>
        <v>1.97248</v>
      </c>
      <c r="CZ138" s="217">
        <f t="shared" si="386"/>
        <v>1.153497076023392</v>
      </c>
      <c r="DA138" s="197">
        <f t="shared" si="387"/>
        <v>350</v>
      </c>
      <c r="DB138" s="443">
        <f t="shared" si="388"/>
        <v>319.89997868830085</v>
      </c>
      <c r="DD138" s="217">
        <f t="shared" si="389"/>
        <v>1.5023721665788083</v>
      </c>
      <c r="DE138" s="173">
        <f t="shared" si="390"/>
        <v>1.0542962572482866</v>
      </c>
      <c r="DF138" s="173">
        <f t="shared" si="391"/>
        <v>0.24706104135140031</v>
      </c>
      <c r="DG138" s="173"/>
      <c r="DH138" s="173">
        <f t="shared" si="392"/>
        <v>0.93567251461988332</v>
      </c>
      <c r="DI138" s="545">
        <f t="shared" si="393"/>
        <v>448.87499999999989</v>
      </c>
      <c r="DJ138" s="528">
        <f t="shared" si="394"/>
        <v>0.21832358674463945</v>
      </c>
      <c r="DL138" s="173">
        <f t="shared" si="395"/>
        <v>1.5663120165960973</v>
      </c>
      <c r="DM138" s="173">
        <f t="shared" si="396"/>
        <v>1.6437333333333333</v>
      </c>
      <c r="DN138" s="173">
        <f t="shared" si="397"/>
        <v>1.4299259259259256</v>
      </c>
      <c r="DP138" s="545">
        <f t="shared" si="398"/>
        <v>280</v>
      </c>
      <c r="DQ138" s="460">
        <f t="shared" si="399"/>
        <v>319.89997868830085</v>
      </c>
      <c r="DS138" s="460">
        <f t="shared" si="400"/>
        <v>280</v>
      </c>
      <c r="DT138" s="460">
        <f t="shared" si="401"/>
        <v>319.89997868830085</v>
      </c>
      <c r="DV138" s="5">
        <f t="shared" si="402"/>
        <v>3.1259770760233918</v>
      </c>
      <c r="DW138" s="5">
        <f t="shared" si="403"/>
        <v>1.97248</v>
      </c>
      <c r="DX138" s="5">
        <f t="shared" si="404"/>
        <v>1.1534970760233918</v>
      </c>
      <c r="DY138" s="173">
        <f t="shared" si="405"/>
        <v>0.63099630996309963</v>
      </c>
      <c r="EA138" s="5">
        <f t="shared" si="406"/>
        <v>3.3676487804878059</v>
      </c>
      <c r="EB138" s="5">
        <f t="shared" si="407"/>
        <v>1.7259200000000001</v>
      </c>
      <c r="EC138" s="5">
        <f t="shared" si="408"/>
        <v>0.4414048810916178</v>
      </c>
      <c r="ED138" s="5"/>
      <c r="EE138" s="173">
        <f t="shared" si="409"/>
        <v>0.75384862099113348</v>
      </c>
      <c r="EF138" s="173">
        <f t="shared" si="410"/>
        <v>0.57648244870663956</v>
      </c>
      <c r="EG138" s="173">
        <f t="shared" si="411"/>
        <v>0.14143256632544529</v>
      </c>
      <c r="EH138" s="173"/>
      <c r="EI138" s="528">
        <f t="shared" si="412"/>
        <v>1.1365754867404671E-2</v>
      </c>
      <c r="EJ138" s="528">
        <f t="shared" si="413"/>
        <v>0.28500000000000003</v>
      </c>
      <c r="EK138" s="528">
        <f t="shared" si="414"/>
        <v>3.9987497336037604E-2</v>
      </c>
      <c r="EL138" s="528">
        <f t="shared" si="415"/>
        <v>2.3493774334847499E-2</v>
      </c>
      <c r="EM138">
        <f t="shared" si="416"/>
        <v>4.4999999999999997E-3</v>
      </c>
      <c r="EN138" s="460">
        <f t="shared" si="417"/>
        <v>44.487497336037599</v>
      </c>
      <c r="EP138" s="460">
        <f t="shared" si="439"/>
        <v>364.34702653828981</v>
      </c>
      <c r="EQ138" s="173">
        <f t="shared" si="418"/>
        <v>0.19600000000000001</v>
      </c>
      <c r="ER138" s="173">
        <f t="shared" si="419"/>
        <v>3.10625E-2</v>
      </c>
      <c r="ES138" s="528"/>
      <c r="EU138" s="460">
        <f t="shared" si="420"/>
        <v>227.0625</v>
      </c>
      <c r="EV138" s="528">
        <f t="shared" si="421"/>
        <v>1.7048632301107005E-2</v>
      </c>
      <c r="EW138" s="528">
        <f t="shared" si="422"/>
        <v>9.9699604100040983E-3</v>
      </c>
      <c r="EX138" s="528">
        <f t="shared" si="423"/>
        <v>1.000158540870074E-4</v>
      </c>
      <c r="EY138" s="528">
        <f t="shared" si="424"/>
        <v>0.31701801185397371</v>
      </c>
      <c r="EZ138" s="528"/>
      <c r="FA138" s="625">
        <f t="shared" si="425"/>
        <v>4.3216236162361621E-3</v>
      </c>
      <c r="FB138" s="460">
        <f t="shared" si="426"/>
        <v>348.45824403540797</v>
      </c>
      <c r="FC138" s="173">
        <f t="shared" si="427"/>
        <v>0.93986777057369775</v>
      </c>
      <c r="FD138" s="5">
        <f t="shared" si="428"/>
        <v>5.1519999999999992</v>
      </c>
      <c r="FE138" s="173">
        <f t="shared" si="429"/>
        <v>0.84571763439881975</v>
      </c>
      <c r="FF138" s="5">
        <f t="shared" si="430"/>
        <v>84.571763439881977</v>
      </c>
      <c r="FG138">
        <f t="shared" si="431"/>
        <v>28.000000000000004</v>
      </c>
      <c r="FI138" s="562">
        <f t="shared" si="432"/>
        <v>-50</v>
      </c>
      <c r="FJ138">
        <f t="shared" si="433"/>
        <v>-50</v>
      </c>
    </row>
    <row r="139" spans="5:166">
      <c r="E139" s="170">
        <v>29</v>
      </c>
      <c r="F139" s="217">
        <f t="shared" si="434"/>
        <v>0.28999999999999998</v>
      </c>
      <c r="G139" s="217">
        <f t="shared" si="313"/>
        <v>7.2499999999999995E-2</v>
      </c>
      <c r="H139" s="217">
        <f t="shared" si="314"/>
        <v>4.7559999999999993</v>
      </c>
      <c r="I139" s="217">
        <f t="shared" si="315"/>
        <v>0.57999999999999996</v>
      </c>
      <c r="J139" s="541">
        <f t="shared" si="316"/>
        <v>9.9450485688564942</v>
      </c>
      <c r="K139" s="443">
        <f t="shared" si="317"/>
        <v>17.12432104052483</v>
      </c>
      <c r="L139" s="172">
        <f t="shared" si="318"/>
        <v>27.069369609381326</v>
      </c>
      <c r="M139" s="443"/>
      <c r="N139" s="217">
        <f t="shared" si="319"/>
        <v>0.63260878578384483</v>
      </c>
      <c r="O139" s="172">
        <f t="shared" si="320"/>
        <v>18.691618049850181</v>
      </c>
      <c r="P139" s="172">
        <f t="shared" si="321"/>
        <v>2.5574492275226306</v>
      </c>
      <c r="Q139" s="217">
        <f t="shared" si="322"/>
        <v>1.139732807917694</v>
      </c>
      <c r="R139" s="217">
        <f t="shared" si="323"/>
        <v>2.3364522562312726</v>
      </c>
      <c r="S139" s="217">
        <f t="shared" si="324"/>
        <v>16.399999999999999</v>
      </c>
      <c r="T139" s="217">
        <f t="shared" si="325"/>
        <v>1.6963040108194807</v>
      </c>
      <c r="U139" s="217">
        <f t="shared" si="326"/>
        <v>2.0468123397183478</v>
      </c>
      <c r="V139" s="217">
        <f t="shared" si="327"/>
        <v>1.188698114317174</v>
      </c>
      <c r="W139" s="197">
        <f t="shared" si="328"/>
        <v>350</v>
      </c>
      <c r="X139" s="443">
        <f t="shared" si="435"/>
        <v>291.07755990826632</v>
      </c>
      <c r="Z139" s="217">
        <f t="shared" si="329"/>
        <v>1.4979345475489694</v>
      </c>
      <c r="AA139" s="173">
        <f t="shared" si="330"/>
        <v>1.0496891834747291</v>
      </c>
      <c r="AB139" s="173">
        <f t="shared" si="331"/>
        <v>0.24525486610710928</v>
      </c>
      <c r="AC139" s="173"/>
      <c r="AD139" s="173">
        <f t="shared" si="332"/>
        <v>0.93434361351529716</v>
      </c>
      <c r="AE139" s="545">
        <f t="shared" si="333"/>
        <v>465.56747828926871</v>
      </c>
      <c r="AF139" s="528">
        <f t="shared" si="334"/>
        <v>0.21801350982023601</v>
      </c>
      <c r="AH139" s="173">
        <f t="shared" si="335"/>
        <v>1.5940365055268906</v>
      </c>
      <c r="AI139" s="173">
        <f t="shared" si="336"/>
        <v>1.6963040108194807</v>
      </c>
      <c r="AJ139" s="173">
        <f t="shared" si="337"/>
        <v>1.468867168508257</v>
      </c>
      <c r="AL139" s="545">
        <f t="shared" si="338"/>
        <v>290</v>
      </c>
      <c r="AM139" s="460">
        <f t="shared" si="339"/>
        <v>291.07755990826632</v>
      </c>
      <c r="AO139" s="460">
        <f t="shared" si="340"/>
        <v>290</v>
      </c>
      <c r="AP139" s="460">
        <f t="shared" si="341"/>
        <v>291.07755990826632</v>
      </c>
      <c r="AR139" s="5">
        <f t="shared" si="443"/>
        <v>3.4355104540355224</v>
      </c>
      <c r="AS139" s="5">
        <f t="shared" si="440"/>
        <v>2.0468123397183478</v>
      </c>
      <c r="AT139" s="5">
        <f t="shared" si="441"/>
        <v>1.3886981143171746</v>
      </c>
      <c r="AU139" s="173">
        <f t="shared" si="442"/>
        <v>0.59578114143534611</v>
      </c>
      <c r="AW139" s="5">
        <f t="shared" si="342"/>
        <v>3.6193632836482981</v>
      </c>
      <c r="AX139" s="5">
        <f t="shared" si="343"/>
        <v>1.8549236828697524</v>
      </c>
      <c r="AY139" s="5">
        <f t="shared" si="344"/>
        <v>0.55342852157063416</v>
      </c>
      <c r="AZ139" s="5"/>
      <c r="BA139" s="173">
        <f t="shared" si="345"/>
        <v>0.75593845320448094</v>
      </c>
      <c r="BB139" s="173">
        <f t="shared" si="346"/>
        <v>0.62266054476541954</v>
      </c>
      <c r="BC139" s="173">
        <f t="shared" si="347"/>
        <v>0.15276176923226217</v>
      </c>
      <c r="BD139" s="173"/>
      <c r="BE139" s="528">
        <f t="shared" si="348"/>
        <v>1.1428858900663665E-2</v>
      </c>
      <c r="BF139" s="528">
        <f t="shared" si="349"/>
        <v>0.25060621005102962</v>
      </c>
      <c r="BG139" s="528">
        <f t="shared" si="350"/>
        <v>7.2369511764798611E-2</v>
      </c>
      <c r="BH139" s="528">
        <f t="shared" si="351"/>
        <v>2.132873064579302E-2</v>
      </c>
      <c r="BI139">
        <f t="shared" si="352"/>
        <v>4.4752718559854226E-3</v>
      </c>
      <c r="BJ139" s="460">
        <f t="shared" si="436"/>
        <v>76.844783620784028</v>
      </c>
      <c r="BK139">
        <f t="shared" si="353"/>
        <v>0.28722956247992926</v>
      </c>
      <c r="BL139" s="460">
        <f t="shared" si="437"/>
        <v>360.20858321827029</v>
      </c>
      <c r="BM139" s="173">
        <f t="shared" si="354"/>
        <v>0.18016249999999998</v>
      </c>
      <c r="BN139" s="173">
        <f t="shared" si="355"/>
        <v>4.5040624999999994E-2</v>
      </c>
      <c r="BO139" s="528"/>
      <c r="BQ139" s="460">
        <f t="shared" si="356"/>
        <v>225.20312499999997</v>
      </c>
      <c r="BR139" s="528">
        <f t="shared" si="357"/>
        <v>1.7143288350995496E-2</v>
      </c>
      <c r="BS139" s="528">
        <f t="shared" si="358"/>
        <v>1.163118462022707E-2</v>
      </c>
      <c r="BT139" s="528">
        <f t="shared" si="359"/>
        <v>1.166807906948546E-4</v>
      </c>
      <c r="BU139" s="528">
        <f t="shared" si="360"/>
        <v>0.27086384597961899</v>
      </c>
      <c r="BV139" s="528"/>
      <c r="BW139" s="625">
        <f t="shared" si="361"/>
        <v>4.1878016900549131E-3</v>
      </c>
      <c r="BX139" s="460">
        <f t="shared" si="362"/>
        <v>303.94280143159131</v>
      </c>
      <c r="BY139" s="173">
        <f t="shared" si="363"/>
        <v>0.88935450964986162</v>
      </c>
      <c r="BZ139" s="5">
        <f t="shared" si="364"/>
        <v>5.3359999999999994</v>
      </c>
      <c r="CA139" s="173">
        <f t="shared" si="365"/>
        <v>0.85713994146497485</v>
      </c>
      <c r="CB139" s="5">
        <f t="shared" si="366"/>
        <v>85.713994146497484</v>
      </c>
      <c r="CC139">
        <f t="shared" si="367"/>
        <v>28.999999999999996</v>
      </c>
      <c r="CE139" s="562">
        <f t="shared" si="368"/>
        <v>-50</v>
      </c>
      <c r="CF139">
        <f t="shared" si="369"/>
        <v>-50</v>
      </c>
      <c r="CG139" s="173">
        <f t="shared" si="370"/>
        <v>0.35771495841706197</v>
      </c>
      <c r="CH139" s="173">
        <f t="shared" si="371"/>
        <v>0.12498995131688433</v>
      </c>
      <c r="CI139" s="170">
        <v>29</v>
      </c>
      <c r="CJ139" s="217">
        <f t="shared" si="438"/>
        <v>0.28999999999999998</v>
      </c>
      <c r="CK139" s="217">
        <f t="shared" si="372"/>
        <v>7.2499999999999995E-2</v>
      </c>
      <c r="CL139" s="217">
        <f t="shared" si="373"/>
        <v>4.7559999999999993</v>
      </c>
      <c r="CM139" s="217">
        <f t="shared" si="374"/>
        <v>0.57999999999999996</v>
      </c>
      <c r="CN139" s="541">
        <f t="shared" si="375"/>
        <v>10</v>
      </c>
      <c r="CO139" s="443">
        <f t="shared" si="376"/>
        <v>17.099999999999998</v>
      </c>
      <c r="CP139" s="443">
        <f t="shared" si="377"/>
        <v>27.099999999999998</v>
      </c>
      <c r="CQ139" s="443"/>
      <c r="CR139" s="217">
        <f t="shared" si="378"/>
        <v>0.62686567164179097</v>
      </c>
      <c r="CS139" s="172">
        <f t="shared" si="379"/>
        <v>18.624269954574949</v>
      </c>
      <c r="CT139" s="172">
        <f t="shared" si="380"/>
        <v>2.5482344375682562</v>
      </c>
      <c r="CU139" s="217">
        <f t="shared" si="381"/>
        <v>1.135626216742375</v>
      </c>
      <c r="CV139" s="217">
        <f t="shared" si="382"/>
        <v>2.3280337443218686</v>
      </c>
      <c r="CW139" s="217">
        <f t="shared" si="383"/>
        <v>16.399999999999999</v>
      </c>
      <c r="CX139" s="217">
        <f t="shared" si="384"/>
        <v>1.7024380952380953</v>
      </c>
      <c r="CY139" s="217">
        <f t="shared" si="385"/>
        <v>2.0429257142857145</v>
      </c>
      <c r="CZ139" s="217">
        <f t="shared" si="386"/>
        <v>1.1946934001670846</v>
      </c>
      <c r="DA139" s="197">
        <f t="shared" si="387"/>
        <v>350</v>
      </c>
      <c r="DB139" s="443">
        <f t="shared" si="388"/>
        <v>308.86894494042838</v>
      </c>
      <c r="DD139" s="217">
        <f t="shared" si="389"/>
        <v>1.5023721665788083</v>
      </c>
      <c r="DE139" s="173">
        <f t="shared" si="390"/>
        <v>1.0542962572482866</v>
      </c>
      <c r="DF139" s="173">
        <f t="shared" si="391"/>
        <v>0.24706104135140031</v>
      </c>
      <c r="DG139" s="173"/>
      <c r="DH139" s="173">
        <f t="shared" si="392"/>
        <v>0.93567251461988332</v>
      </c>
      <c r="DI139" s="545">
        <f t="shared" si="393"/>
        <v>464.90624999999977</v>
      </c>
      <c r="DJ139" s="528">
        <f t="shared" si="394"/>
        <v>0.21832358674463945</v>
      </c>
      <c r="DL139" s="173">
        <f t="shared" si="395"/>
        <v>1.5940365055268906</v>
      </c>
      <c r="DM139" s="173">
        <f t="shared" si="396"/>
        <v>1.7024380952380953</v>
      </c>
      <c r="DN139" s="173">
        <f t="shared" si="397"/>
        <v>1.4734109347442681</v>
      </c>
      <c r="DP139" s="545">
        <f t="shared" si="398"/>
        <v>290</v>
      </c>
      <c r="DQ139" s="460">
        <f t="shared" si="399"/>
        <v>308.86894494042838</v>
      </c>
      <c r="DS139" s="460">
        <f t="shared" si="400"/>
        <v>290</v>
      </c>
      <c r="DT139" s="460">
        <f t="shared" si="401"/>
        <v>308.86894494042838</v>
      </c>
      <c r="DV139" s="5">
        <f t="shared" si="402"/>
        <v>3.2376191144527988</v>
      </c>
      <c r="DW139" s="5">
        <f t="shared" si="403"/>
        <v>2.0429257142857145</v>
      </c>
      <c r="DX139" s="5">
        <f t="shared" si="404"/>
        <v>1.1946934001670844</v>
      </c>
      <c r="DY139" s="173">
        <f t="shared" si="405"/>
        <v>0.63099630996309963</v>
      </c>
      <c r="EA139" s="5">
        <f t="shared" si="406"/>
        <v>3.612490592334495</v>
      </c>
      <c r="EB139" s="5">
        <f t="shared" si="407"/>
        <v>1.8514014285714284</v>
      </c>
      <c r="EC139" s="5">
        <f t="shared" si="408"/>
        <v>0.47349681759955431</v>
      </c>
      <c r="ED139" s="5"/>
      <c r="EE139" s="173">
        <f t="shared" si="409"/>
        <v>0.78077178602653119</v>
      </c>
      <c r="EF139" s="173">
        <f t="shared" si="410"/>
        <v>0.5970711075890196</v>
      </c>
      <c r="EG139" s="173">
        <f t="shared" si="411"/>
        <v>0.14648372940849688</v>
      </c>
      <c r="EH139" s="173"/>
      <c r="EI139" s="528">
        <f t="shared" si="412"/>
        <v>1.2192091637101188E-2</v>
      </c>
      <c r="EJ139" s="528">
        <f t="shared" si="413"/>
        <v>0.28499999999999998</v>
      </c>
      <c r="EK139" s="528">
        <f t="shared" si="414"/>
        <v>3.8608618117553548E-2</v>
      </c>
      <c r="EL139" s="528">
        <f t="shared" si="415"/>
        <v>2.2683644185369996E-2</v>
      </c>
      <c r="EM139">
        <f t="shared" si="416"/>
        <v>4.4999999999999997E-3</v>
      </c>
      <c r="EN139" s="460">
        <f t="shared" si="417"/>
        <v>43.108618117553547</v>
      </c>
      <c r="EP139" s="460">
        <f t="shared" si="439"/>
        <v>362.98435394002473</v>
      </c>
      <c r="EQ139" s="173">
        <f t="shared" si="418"/>
        <v>0.20299999999999999</v>
      </c>
      <c r="ER139" s="173">
        <f t="shared" si="419"/>
        <v>3.2171874999999996E-2</v>
      </c>
      <c r="ES139" s="528"/>
      <c r="EU139" s="460">
        <f t="shared" si="420"/>
        <v>235.17187499999997</v>
      </c>
      <c r="EV139" s="528">
        <f t="shared" si="421"/>
        <v>1.828813745565178E-2</v>
      </c>
      <c r="EW139" s="528">
        <f t="shared" si="422"/>
        <v>1.0694817225527359E-2</v>
      </c>
      <c r="EX139" s="528">
        <f t="shared" si="423"/>
        <v>1.0728741490710867E-4</v>
      </c>
      <c r="EY139" s="528">
        <f t="shared" si="424"/>
        <v>0.31701801185397394</v>
      </c>
      <c r="EZ139" s="528"/>
      <c r="FA139" s="625">
        <f t="shared" si="425"/>
        <v>4.4759673168160256E-3</v>
      </c>
      <c r="FB139" s="460">
        <f t="shared" si="426"/>
        <v>350.58422126687623</v>
      </c>
      <c r="FC139" s="173">
        <f t="shared" si="427"/>
        <v>0.94874045020690079</v>
      </c>
      <c r="FD139" s="5">
        <f t="shared" si="428"/>
        <v>5.3359999999999994</v>
      </c>
      <c r="FE139" s="173">
        <f t="shared" si="429"/>
        <v>0.84904063139541941</v>
      </c>
      <c r="FF139" s="5">
        <f t="shared" si="430"/>
        <v>84.904063139541947</v>
      </c>
      <c r="FG139">
        <f t="shared" si="431"/>
        <v>28.999999999999996</v>
      </c>
      <c r="FI139" s="562">
        <f t="shared" si="432"/>
        <v>-50</v>
      </c>
      <c r="FJ139">
        <f t="shared" si="433"/>
        <v>-50</v>
      </c>
    </row>
    <row r="140" spans="5:166">
      <c r="E140" s="170">
        <v>30</v>
      </c>
      <c r="F140" s="217">
        <f t="shared" si="434"/>
        <v>0.3</v>
      </c>
      <c r="G140" s="217">
        <f t="shared" si="313"/>
        <v>7.4999999999999997E-2</v>
      </c>
      <c r="H140" s="217">
        <f t="shared" si="314"/>
        <v>4.919999999999999</v>
      </c>
      <c r="I140" s="217">
        <f t="shared" si="315"/>
        <v>0.6</v>
      </c>
      <c r="J140" s="541">
        <f t="shared" si="316"/>
        <v>9.9431536919205108</v>
      </c>
      <c r="K140" s="443">
        <f t="shared" si="317"/>
        <v>17.125159697094652</v>
      </c>
      <c r="L140" s="172">
        <f t="shared" si="318"/>
        <v>27.068313389015163</v>
      </c>
      <c r="M140" s="443"/>
      <c r="N140" s="217">
        <f t="shared" si="319"/>
        <v>0.63266445348768452</v>
      </c>
      <c r="O140" s="172">
        <f t="shared" si="320"/>
        <v>18.689701141605845</v>
      </c>
      <c r="P140" s="172">
        <f t="shared" si="321"/>
        <v>2.5571869497735547</v>
      </c>
      <c r="Q140" s="217">
        <f t="shared" si="322"/>
        <v>1.1396159232686491</v>
      </c>
      <c r="R140" s="217">
        <f t="shared" si="323"/>
        <v>2.3362126427007306</v>
      </c>
      <c r="S140" s="217">
        <f t="shared" si="324"/>
        <v>16.399999999999999</v>
      </c>
      <c r="T140" s="217">
        <f t="shared" si="325"/>
        <v>1.7549772332625844</v>
      </c>
      <c r="U140" s="217">
        <f t="shared" si="326"/>
        <v>2.1180128007337826</v>
      </c>
      <c r="V140" s="217">
        <f t="shared" si="327"/>
        <v>1.2297536006466483</v>
      </c>
      <c r="W140" s="197">
        <f t="shared" si="328"/>
        <v>350</v>
      </c>
      <c r="X140" s="443">
        <f t="shared" si="435"/>
        <v>281.86748699432445</v>
      </c>
      <c r="Z140" s="217">
        <f t="shared" si="329"/>
        <v>1.49778092772451</v>
      </c>
      <c r="AA140" s="173">
        <f t="shared" si="330"/>
        <v>1.0495301328923299</v>
      </c>
      <c r="AB140" s="173">
        <f t="shared" si="331"/>
        <v>0.24519255653584388</v>
      </c>
      <c r="AC140" s="173"/>
      <c r="AD140" s="173">
        <f t="shared" si="332"/>
        <v>0.93429785666258414</v>
      </c>
      <c r="AE140" s="545">
        <f t="shared" si="333"/>
        <v>481.64511648078695</v>
      </c>
      <c r="AF140" s="528">
        <f t="shared" si="334"/>
        <v>0.21800283322126968</v>
      </c>
      <c r="AH140" s="173">
        <f t="shared" si="335"/>
        <v>1.6212869667555549</v>
      </c>
      <c r="AI140" s="173">
        <f t="shared" si="336"/>
        <v>1.7549772332625844</v>
      </c>
      <c r="AJ140" s="173">
        <f t="shared" si="337"/>
        <v>1.5123288147624081</v>
      </c>
      <c r="AL140" s="545">
        <f t="shared" si="338"/>
        <v>300</v>
      </c>
      <c r="AM140" s="460">
        <f t="shared" si="339"/>
        <v>281.86748699432445</v>
      </c>
      <c r="AO140" s="460">
        <f t="shared" si="340"/>
        <v>300</v>
      </c>
      <c r="AP140" s="460">
        <f t="shared" si="341"/>
        <v>281.86748699432445</v>
      </c>
      <c r="AR140" s="5">
        <f t="shared" si="443"/>
        <v>3.5477664013804313</v>
      </c>
      <c r="AS140" s="5">
        <f t="shared" si="440"/>
        <v>2.1180128007337826</v>
      </c>
      <c r="AT140" s="5">
        <f t="shared" si="441"/>
        <v>1.4297536006466487</v>
      </c>
      <c r="AU140" s="173">
        <f t="shared" si="442"/>
        <v>0.59699894556464217</v>
      </c>
      <c r="AW140" s="5">
        <f t="shared" si="342"/>
        <v>3.8744136598788708</v>
      </c>
      <c r="AX140" s="5">
        <f t="shared" si="343"/>
        <v>1.9856370006879211</v>
      </c>
      <c r="AY140" s="5">
        <f t="shared" si="344"/>
        <v>0.58955035236099418</v>
      </c>
      <c r="AZ140" s="5"/>
      <c r="BA140" s="173">
        <f t="shared" si="345"/>
        <v>0.78288440413026172</v>
      </c>
      <c r="BB140" s="173">
        <f t="shared" si="346"/>
        <v>0.64322653308115596</v>
      </c>
      <c r="BC140" s="173">
        <f t="shared" si="347"/>
        <v>0.15780737038289477</v>
      </c>
      <c r="BD140" s="173"/>
      <c r="BE140" s="528">
        <f t="shared" si="348"/>
        <v>1.2258159804607901E-2</v>
      </c>
      <c r="BF140" s="528">
        <f t="shared" si="349"/>
        <v>0.25106081738880071</v>
      </c>
      <c r="BG140" s="528">
        <f t="shared" si="350"/>
        <v>7.0066293598499349E-2</v>
      </c>
      <c r="BH140" s="528">
        <f t="shared" si="351"/>
        <v>2.0652250087290061E-2</v>
      </c>
      <c r="BI140">
        <f t="shared" si="352"/>
        <v>4.4744191613642296E-3</v>
      </c>
      <c r="BJ140" s="460">
        <f t="shared" si="436"/>
        <v>74.540712759863581</v>
      </c>
      <c r="BK140">
        <f t="shared" si="353"/>
        <v>0.28812009136433486</v>
      </c>
      <c r="BL140" s="460">
        <f t="shared" si="437"/>
        <v>358.51194004056225</v>
      </c>
      <c r="BM140" s="173">
        <f t="shared" si="354"/>
        <v>0.18637499999999999</v>
      </c>
      <c r="BN140" s="173">
        <f t="shared" si="355"/>
        <v>4.6593749999999996E-2</v>
      </c>
      <c r="BO140" s="528"/>
      <c r="BQ140" s="460">
        <f t="shared" si="356"/>
        <v>232.96874999999997</v>
      </c>
      <c r="BR140" s="528">
        <f t="shared" si="357"/>
        <v>1.8387239706911848E-2</v>
      </c>
      <c r="BS140" s="528">
        <f t="shared" si="358"/>
        <v>1.2412211185788101E-2</v>
      </c>
      <c r="BT140" s="528">
        <f t="shared" si="359"/>
        <v>1.2451583073582069E-4</v>
      </c>
      <c r="BU140" s="528">
        <f t="shared" si="360"/>
        <v>0.272120449917861</v>
      </c>
      <c r="BV140" s="528"/>
      <c r="BW140" s="625">
        <f t="shared" si="361"/>
        <v>4.3406819119652194E-3</v>
      </c>
      <c r="BX140" s="460">
        <f t="shared" si="362"/>
        <v>307.38509855326203</v>
      </c>
      <c r="BY140" s="173">
        <f t="shared" si="363"/>
        <v>0.89886578859382416</v>
      </c>
      <c r="BZ140" s="5">
        <f t="shared" si="364"/>
        <v>5.5199999999999987</v>
      </c>
      <c r="CA140" s="173">
        <f t="shared" si="365"/>
        <v>0.85996501279227744</v>
      </c>
      <c r="CB140" s="5">
        <f t="shared" si="366"/>
        <v>85.996501279227743</v>
      </c>
      <c r="CC140">
        <f t="shared" si="367"/>
        <v>30</v>
      </c>
      <c r="CE140" s="562">
        <f t="shared" si="368"/>
        <v>-50</v>
      </c>
      <c r="CF140">
        <f t="shared" si="369"/>
        <v>-50</v>
      </c>
      <c r="CG140" s="173">
        <f t="shared" si="370"/>
        <v>0.35771495841706202</v>
      </c>
      <c r="CH140" s="173">
        <f t="shared" si="371"/>
        <v>0.12498995131688433</v>
      </c>
      <c r="CI140" s="170">
        <v>30</v>
      </c>
      <c r="CJ140" s="217">
        <f t="shared" si="438"/>
        <v>0.3</v>
      </c>
      <c r="CK140" s="217">
        <f t="shared" si="372"/>
        <v>7.4999999999999997E-2</v>
      </c>
      <c r="CL140" s="217">
        <f t="shared" si="373"/>
        <v>4.919999999999999</v>
      </c>
      <c r="CM140" s="217">
        <f t="shared" si="374"/>
        <v>0.6</v>
      </c>
      <c r="CN140" s="541">
        <f t="shared" si="375"/>
        <v>10</v>
      </c>
      <c r="CO140" s="443">
        <f t="shared" si="376"/>
        <v>17.099999999999998</v>
      </c>
      <c r="CP140" s="443">
        <f t="shared" si="377"/>
        <v>27.099999999999998</v>
      </c>
      <c r="CQ140" s="443"/>
      <c r="CR140" s="217">
        <f t="shared" si="378"/>
        <v>0.62686567164179097</v>
      </c>
      <c r="CS140" s="172">
        <f t="shared" si="379"/>
        <v>18.624269954574949</v>
      </c>
      <c r="CT140" s="172">
        <f t="shared" si="380"/>
        <v>2.5482344375682562</v>
      </c>
      <c r="CU140" s="217">
        <f t="shared" si="381"/>
        <v>1.135626216742375</v>
      </c>
      <c r="CV140" s="217">
        <f t="shared" si="382"/>
        <v>2.3280337443218686</v>
      </c>
      <c r="CW140" s="217">
        <f t="shared" si="383"/>
        <v>16.399999999999999</v>
      </c>
      <c r="CX140" s="217">
        <f t="shared" si="384"/>
        <v>1.7611428571428569</v>
      </c>
      <c r="CY140" s="217">
        <f t="shared" si="385"/>
        <v>2.1133714285714285</v>
      </c>
      <c r="CZ140" s="217">
        <f t="shared" si="386"/>
        <v>1.2358897243107771</v>
      </c>
      <c r="DA140" s="197">
        <f t="shared" si="387"/>
        <v>350</v>
      </c>
      <c r="DB140" s="443">
        <f t="shared" si="388"/>
        <v>298.57331344241413</v>
      </c>
      <c r="DD140" s="217">
        <f t="shared" si="389"/>
        <v>1.5023721665788083</v>
      </c>
      <c r="DE140" s="173">
        <f t="shared" si="390"/>
        <v>1.0542962572482866</v>
      </c>
      <c r="DF140" s="173">
        <f t="shared" si="391"/>
        <v>0.24706104135140031</v>
      </c>
      <c r="DG140" s="173"/>
      <c r="DH140" s="173">
        <f t="shared" si="392"/>
        <v>0.93567251461988332</v>
      </c>
      <c r="DI140" s="545">
        <f t="shared" si="393"/>
        <v>480.93749999999977</v>
      </c>
      <c r="DJ140" s="528">
        <f t="shared" si="394"/>
        <v>0.21832358674463945</v>
      </c>
      <c r="DL140" s="173">
        <f t="shared" si="395"/>
        <v>1.6212869667555549</v>
      </c>
      <c r="DM140" s="173">
        <f t="shared" si="396"/>
        <v>1.7611428571428569</v>
      </c>
      <c r="DN140" s="173">
        <f t="shared" si="397"/>
        <v>1.5168959435626099</v>
      </c>
      <c r="DP140" s="545">
        <f t="shared" si="398"/>
        <v>300</v>
      </c>
      <c r="DQ140" s="460">
        <f t="shared" si="399"/>
        <v>298.57331344241413</v>
      </c>
      <c r="DS140" s="460">
        <f t="shared" si="400"/>
        <v>300</v>
      </c>
      <c r="DT140" s="460">
        <f t="shared" si="401"/>
        <v>298.57331344241413</v>
      </c>
      <c r="DV140" s="5">
        <f t="shared" si="402"/>
        <v>3.3492611528822054</v>
      </c>
      <c r="DW140" s="5">
        <f t="shared" si="403"/>
        <v>2.1133714285714285</v>
      </c>
      <c r="DX140" s="5">
        <f t="shared" si="404"/>
        <v>1.2358897243107769</v>
      </c>
      <c r="DY140" s="173">
        <f t="shared" si="405"/>
        <v>0.63099630996309963</v>
      </c>
      <c r="EA140" s="5">
        <f t="shared" si="406"/>
        <v>3.8659233449477357</v>
      </c>
      <c r="EB140" s="5">
        <f t="shared" si="407"/>
        <v>1.9812857142857141</v>
      </c>
      <c r="EC140" s="5">
        <f t="shared" si="408"/>
        <v>0.50671478696741834</v>
      </c>
      <c r="ED140" s="5"/>
      <c r="EE140" s="173">
        <f t="shared" si="409"/>
        <v>0.80769495106192868</v>
      </c>
      <c r="EF140" s="173">
        <f t="shared" si="410"/>
        <v>0.61765976647139942</v>
      </c>
      <c r="EG140" s="173">
        <f t="shared" si="411"/>
        <v>0.15153489249154847</v>
      </c>
      <c r="EH140" s="173"/>
      <c r="EI140" s="528">
        <f t="shared" si="412"/>
        <v>1.3047422679418628E-2</v>
      </c>
      <c r="EJ140" s="528">
        <f t="shared" si="413"/>
        <v>0.28499999999999998</v>
      </c>
      <c r="EK140" s="528">
        <f t="shared" si="414"/>
        <v>3.7321664180301764E-2</v>
      </c>
      <c r="EL140" s="528">
        <f t="shared" si="415"/>
        <v>2.1927522712524333E-2</v>
      </c>
      <c r="EM140">
        <f t="shared" si="416"/>
        <v>4.4999999999999997E-3</v>
      </c>
      <c r="EN140" s="460">
        <f t="shared" si="417"/>
        <v>41.821664180301759</v>
      </c>
      <c r="EP140" s="460">
        <f t="shared" si="439"/>
        <v>361.79660957224468</v>
      </c>
      <c r="EQ140" s="173">
        <f t="shared" si="418"/>
        <v>0.21</v>
      </c>
      <c r="ER140" s="173">
        <f t="shared" si="419"/>
        <v>3.3281249999999998E-2</v>
      </c>
      <c r="ES140" s="528"/>
      <c r="EU140" s="460">
        <f t="shared" si="420"/>
        <v>243.28125</v>
      </c>
      <c r="EV140" s="528">
        <f t="shared" si="421"/>
        <v>1.9571134019127939E-2</v>
      </c>
      <c r="EW140" s="528">
        <f t="shared" si="422"/>
        <v>1.1445107613525109E-2</v>
      </c>
      <c r="EX140" s="528">
        <f t="shared" si="423"/>
        <v>1.1481411821212577E-4</v>
      </c>
      <c r="EY140" s="528">
        <f t="shared" si="424"/>
        <v>0.31701801185397355</v>
      </c>
      <c r="EZ140" s="528"/>
      <c r="FA140" s="625">
        <f t="shared" si="425"/>
        <v>4.6303110173958884E-3</v>
      </c>
      <c r="FB140" s="460">
        <f t="shared" si="426"/>
        <v>352.77937862223462</v>
      </c>
      <c r="FC140" s="173">
        <f t="shared" si="427"/>
        <v>0.95785723819447932</v>
      </c>
      <c r="FD140" s="5">
        <f t="shared" si="428"/>
        <v>5.5199999999999987</v>
      </c>
      <c r="FE140" s="173">
        <f t="shared" si="429"/>
        <v>0.85213362953619909</v>
      </c>
      <c r="FF140" s="5">
        <f t="shared" si="430"/>
        <v>85.213362953619907</v>
      </c>
      <c r="FG140">
        <f t="shared" si="431"/>
        <v>30</v>
      </c>
      <c r="FI140" s="562">
        <f t="shared" si="432"/>
        <v>-50</v>
      </c>
      <c r="FJ140">
        <f t="shared" si="433"/>
        <v>-50</v>
      </c>
    </row>
    <row r="141" spans="5:166">
      <c r="E141" s="170">
        <v>31</v>
      </c>
      <c r="F141" s="217">
        <f t="shared" si="434"/>
        <v>0.31</v>
      </c>
      <c r="G141" s="217">
        <f t="shared" si="313"/>
        <v>7.7499999999999999E-2</v>
      </c>
      <c r="H141" s="217">
        <f t="shared" si="314"/>
        <v>5.0839999999999996</v>
      </c>
      <c r="I141" s="217">
        <f t="shared" si="315"/>
        <v>0.62</v>
      </c>
      <c r="J141" s="541">
        <f t="shared" si="316"/>
        <v>9.9412588149845291</v>
      </c>
      <c r="K141" s="443">
        <f t="shared" si="317"/>
        <v>17.125998353664475</v>
      </c>
      <c r="L141" s="172">
        <f t="shared" si="318"/>
        <v>27.067257168649004</v>
      </c>
      <c r="M141" s="443"/>
      <c r="N141" s="217">
        <f t="shared" si="319"/>
        <v>0.63272012553606216</v>
      </c>
      <c r="O141" s="172">
        <f t="shared" si="320"/>
        <v>18.687783734894445</v>
      </c>
      <c r="P141" s="172">
        <f t="shared" si="321"/>
        <v>2.5569246038225599</v>
      </c>
      <c r="Q141" s="217">
        <f t="shared" si="322"/>
        <v>1.1394990082252712</v>
      </c>
      <c r="R141" s="217">
        <f t="shared" si="323"/>
        <v>2.3359729668618057</v>
      </c>
      <c r="S141" s="217">
        <f t="shared" si="324"/>
        <v>16.399999999999999</v>
      </c>
      <c r="T141" s="217">
        <f t="shared" si="325"/>
        <v>1.8136625409489615</v>
      </c>
      <c r="U141" s="217">
        <f t="shared" si="326"/>
        <v>2.1892549923941811</v>
      </c>
      <c r="V141" s="217">
        <f t="shared" si="327"/>
        <v>1.2708135340168754</v>
      </c>
      <c r="W141" s="197">
        <f t="shared" si="328"/>
        <v>350</v>
      </c>
      <c r="X141" s="443">
        <f t="shared" si="435"/>
        <v>273.21892822060551</v>
      </c>
      <c r="Z141" s="217">
        <f t="shared" si="329"/>
        <v>1.497627267953213</v>
      </c>
      <c r="AA141" s="173">
        <f t="shared" si="330"/>
        <v>1.0493710698969654</v>
      </c>
      <c r="AB141" s="173">
        <f t="shared" si="331"/>
        <v>0.24513024514861603</v>
      </c>
      <c r="AC141" s="173"/>
      <c r="AD141" s="173">
        <f t="shared" si="332"/>
        <v>0.93425210429127825</v>
      </c>
      <c r="AE141" s="545">
        <f t="shared" si="333"/>
        <v>497.72432715337362</v>
      </c>
      <c r="AF141" s="528">
        <f t="shared" si="334"/>
        <v>0.21799215766796495</v>
      </c>
      <c r="AH141" s="173">
        <f t="shared" si="335"/>
        <v>1.6480869140280423</v>
      </c>
      <c r="AI141" s="173">
        <f t="shared" si="336"/>
        <v>1.8136625409489615</v>
      </c>
      <c r="AJ141" s="173">
        <f t="shared" si="337"/>
        <v>1.5557994130486132</v>
      </c>
      <c r="AL141" s="545">
        <f t="shared" si="338"/>
        <v>310</v>
      </c>
      <c r="AM141" s="460">
        <f t="shared" si="339"/>
        <v>273.21892822060551</v>
      </c>
      <c r="AO141" s="460">
        <f t="shared" si="340"/>
        <v>310</v>
      </c>
      <c r="AP141" s="460">
        <f t="shared" si="341"/>
        <v>273.21892822060551</v>
      </c>
      <c r="AR141" s="5">
        <f t="shared" si="443"/>
        <v>3.6600685264110573</v>
      </c>
      <c r="AS141" s="5">
        <f t="shared" si="440"/>
        <v>2.1892549923941811</v>
      </c>
      <c r="AT141" s="5">
        <f t="shared" si="441"/>
        <v>1.4708135340168762</v>
      </c>
      <c r="AU141" s="173">
        <f t="shared" si="442"/>
        <v>0.59814590262354805</v>
      </c>
      <c r="AW141" s="5">
        <f t="shared" si="342"/>
        <v>4.1382259002572948</v>
      </c>
      <c r="AX141" s="5">
        <f t="shared" si="343"/>
        <v>2.1208407738818629</v>
      </c>
      <c r="AY141" s="5">
        <f t="shared" si="344"/>
        <v>0.62681666260000646</v>
      </c>
      <c r="AZ141" s="5"/>
      <c r="BA141" s="173">
        <f t="shared" si="345"/>
        <v>0.80984036941799908</v>
      </c>
      <c r="BB141" s="173">
        <f t="shared" si="346"/>
        <v>0.66378900779896421</v>
      </c>
      <c r="BC141" s="173">
        <f t="shared" si="347"/>
        <v>0.1628521095173929</v>
      </c>
      <c r="BD141" s="173"/>
      <c r="BE141" s="528">
        <f t="shared" si="348"/>
        <v>1.3116828478781624E-2</v>
      </c>
      <c r="BF141" s="528">
        <f t="shared" si="349"/>
        <v>0.25148540624361532</v>
      </c>
      <c r="BG141" s="528">
        <f t="shared" si="350"/>
        <v>6.7903501964843002E-2</v>
      </c>
      <c r="BH141" s="528">
        <f t="shared" si="351"/>
        <v>2.0017013488875305E-2</v>
      </c>
      <c r="BI141">
        <f t="shared" si="352"/>
        <v>4.4735664667430383E-3</v>
      </c>
      <c r="BJ141" s="460">
        <f t="shared" si="436"/>
        <v>72.377068431586039</v>
      </c>
      <c r="BK141">
        <f t="shared" si="353"/>
        <v>0.28906166948816292</v>
      </c>
      <c r="BL141" s="460">
        <f t="shared" si="437"/>
        <v>356.99631664285829</v>
      </c>
      <c r="BM141" s="173">
        <f t="shared" si="354"/>
        <v>0.19258749999999999</v>
      </c>
      <c r="BN141" s="173">
        <f t="shared" si="355"/>
        <v>4.8146874999999999E-2</v>
      </c>
      <c r="BO141" s="528"/>
      <c r="BQ141" s="460">
        <f t="shared" si="356"/>
        <v>240.734375</v>
      </c>
      <c r="BR141" s="528">
        <f t="shared" si="357"/>
        <v>1.9675242718172434E-2</v>
      </c>
      <c r="BS141" s="528">
        <f t="shared" si="358"/>
        <v>1.3218475406242E-2</v>
      </c>
      <c r="BT141" s="528">
        <f t="shared" si="359"/>
        <v>1.3260404787132464E-4</v>
      </c>
      <c r="BU141" s="528">
        <f t="shared" si="360"/>
        <v>0.27329908071069076</v>
      </c>
      <c r="BV141" s="528"/>
      <c r="BW141" s="625">
        <f t="shared" si="361"/>
        <v>4.4935932055716089E-3</v>
      </c>
      <c r="BX141" s="460">
        <f t="shared" si="362"/>
        <v>310.81899608854815</v>
      </c>
      <c r="BY141" s="173">
        <f t="shared" si="363"/>
        <v>0.90854968773140643</v>
      </c>
      <c r="BZ141" s="5">
        <f t="shared" si="364"/>
        <v>5.7039999999999997</v>
      </c>
      <c r="CA141" s="173">
        <f t="shared" si="365"/>
        <v>0.86260221387567271</v>
      </c>
      <c r="CB141" s="5">
        <f t="shared" si="366"/>
        <v>86.26022138756727</v>
      </c>
      <c r="CC141">
        <f t="shared" si="367"/>
        <v>31</v>
      </c>
      <c r="CE141" s="562">
        <f t="shared" si="368"/>
        <v>-50</v>
      </c>
      <c r="CF141">
        <f t="shared" si="369"/>
        <v>-50</v>
      </c>
      <c r="CG141" s="173">
        <f t="shared" si="370"/>
        <v>0.35771495841706191</v>
      </c>
      <c r="CH141" s="173">
        <f t="shared" si="371"/>
        <v>0.1249899513168843</v>
      </c>
      <c r="CI141" s="170">
        <v>31</v>
      </c>
      <c r="CJ141" s="217">
        <f t="shared" si="438"/>
        <v>0.31</v>
      </c>
      <c r="CK141" s="217">
        <f t="shared" si="372"/>
        <v>7.7499999999999999E-2</v>
      </c>
      <c r="CL141" s="217">
        <f t="shared" si="373"/>
        <v>5.0839999999999996</v>
      </c>
      <c r="CM141" s="217">
        <f t="shared" si="374"/>
        <v>0.62</v>
      </c>
      <c r="CN141" s="541">
        <f t="shared" si="375"/>
        <v>10</v>
      </c>
      <c r="CO141" s="443">
        <f t="shared" si="376"/>
        <v>17.099999999999998</v>
      </c>
      <c r="CP141" s="443">
        <f t="shared" si="377"/>
        <v>27.099999999999998</v>
      </c>
      <c r="CQ141" s="443"/>
      <c r="CR141" s="217">
        <f t="shared" si="378"/>
        <v>0.62686567164179097</v>
      </c>
      <c r="CS141" s="172">
        <f t="shared" si="379"/>
        <v>18.624269954574949</v>
      </c>
      <c r="CT141" s="172">
        <f t="shared" si="380"/>
        <v>2.5482344375682562</v>
      </c>
      <c r="CU141" s="217">
        <f t="shared" si="381"/>
        <v>1.135626216742375</v>
      </c>
      <c r="CV141" s="217">
        <f t="shared" si="382"/>
        <v>2.3280337443218686</v>
      </c>
      <c r="CW141" s="217">
        <f t="shared" si="383"/>
        <v>16.399999999999999</v>
      </c>
      <c r="CX141" s="217">
        <f t="shared" si="384"/>
        <v>1.8198476190476192</v>
      </c>
      <c r="CY141" s="217">
        <f t="shared" si="385"/>
        <v>2.1838171428571429</v>
      </c>
      <c r="CZ141" s="217">
        <f t="shared" si="386"/>
        <v>1.2770860484544699</v>
      </c>
      <c r="DA141" s="197">
        <f t="shared" si="387"/>
        <v>350</v>
      </c>
      <c r="DB141" s="443">
        <f t="shared" si="388"/>
        <v>288.94191623459426</v>
      </c>
      <c r="DD141" s="217">
        <f t="shared" si="389"/>
        <v>1.5023721665788083</v>
      </c>
      <c r="DE141" s="173">
        <f t="shared" si="390"/>
        <v>1.0542962572482866</v>
      </c>
      <c r="DF141" s="173">
        <f t="shared" si="391"/>
        <v>0.24706104135140031</v>
      </c>
      <c r="DG141" s="173"/>
      <c r="DH141" s="173">
        <f t="shared" si="392"/>
        <v>0.93567251461988332</v>
      </c>
      <c r="DI141" s="545">
        <f t="shared" si="393"/>
        <v>496.96874999999983</v>
      </c>
      <c r="DJ141" s="528">
        <f t="shared" si="394"/>
        <v>0.21832358674463945</v>
      </c>
      <c r="DL141" s="173">
        <f t="shared" si="395"/>
        <v>1.6480869140280423</v>
      </c>
      <c r="DM141" s="173">
        <f t="shared" si="396"/>
        <v>1.8198476190476192</v>
      </c>
      <c r="DN141" s="173">
        <f t="shared" si="397"/>
        <v>1.5603809523809522</v>
      </c>
      <c r="DP141" s="545">
        <f t="shared" si="398"/>
        <v>310</v>
      </c>
      <c r="DQ141" s="460">
        <f t="shared" si="399"/>
        <v>288.94191623459426</v>
      </c>
      <c r="DS141" s="460">
        <f t="shared" si="400"/>
        <v>310</v>
      </c>
      <c r="DT141" s="460">
        <f t="shared" si="401"/>
        <v>288.94191623459426</v>
      </c>
      <c r="DV141" s="5">
        <f t="shared" si="402"/>
        <v>3.4609031913116128</v>
      </c>
      <c r="DW141" s="5">
        <f t="shared" si="403"/>
        <v>2.1838171428571429</v>
      </c>
      <c r="DX141" s="5">
        <f t="shared" si="404"/>
        <v>1.2770860484544699</v>
      </c>
      <c r="DY141" s="173">
        <f t="shared" si="405"/>
        <v>0.63099630996309952</v>
      </c>
      <c r="EA141" s="5">
        <f t="shared" si="406"/>
        <v>4.1279470383275267</v>
      </c>
      <c r="EB141" s="5">
        <f t="shared" si="407"/>
        <v>2.1155728571428574</v>
      </c>
      <c r="EC141" s="5">
        <f t="shared" si="408"/>
        <v>0.54105878919521033</v>
      </c>
      <c r="ED141" s="5"/>
      <c r="EE141" s="173">
        <f t="shared" si="409"/>
        <v>0.83461811609732639</v>
      </c>
      <c r="EF141" s="173">
        <f t="shared" si="410"/>
        <v>0.63824842535377968</v>
      </c>
      <c r="EG141" s="173">
        <f t="shared" si="411"/>
        <v>0.15658605557460017</v>
      </c>
      <c r="EH141" s="173"/>
      <c r="EI141" s="528">
        <f t="shared" si="412"/>
        <v>1.3931747994357004E-2</v>
      </c>
      <c r="EJ141" s="528">
        <f t="shared" si="413"/>
        <v>0.28499999999999998</v>
      </c>
      <c r="EK141" s="528">
        <f t="shared" si="414"/>
        <v>3.6117739529324282E-2</v>
      </c>
      <c r="EL141" s="528">
        <f t="shared" si="415"/>
        <v>2.1220183270184836E-2</v>
      </c>
      <c r="EM141">
        <f t="shared" si="416"/>
        <v>4.4999999999999997E-3</v>
      </c>
      <c r="EN141" s="460">
        <f t="shared" si="417"/>
        <v>40.617739529324275</v>
      </c>
      <c r="EP141" s="460">
        <f t="shared" si="439"/>
        <v>360.76967079386606</v>
      </c>
      <c r="EQ141" s="173">
        <f t="shared" si="418"/>
        <v>0.217</v>
      </c>
      <c r="ER141" s="173">
        <f t="shared" si="419"/>
        <v>3.4390625000000001E-2</v>
      </c>
      <c r="ES141" s="528"/>
      <c r="EU141" s="460">
        <f t="shared" si="420"/>
        <v>251.39062499999997</v>
      </c>
      <c r="EV141" s="528">
        <f t="shared" si="421"/>
        <v>2.0897621991535505E-2</v>
      </c>
      <c r="EW141" s="528">
        <f t="shared" si="422"/>
        <v>1.2220831573997377E-2</v>
      </c>
      <c r="EX141" s="528">
        <f t="shared" si="423"/>
        <v>1.2259596400205887E-4</v>
      </c>
      <c r="EY141" s="528">
        <f t="shared" si="424"/>
        <v>0.31701801185397388</v>
      </c>
      <c r="EZ141" s="528"/>
      <c r="FA141" s="625">
        <f t="shared" si="425"/>
        <v>4.7846547179757511E-3</v>
      </c>
      <c r="FB141" s="460">
        <f t="shared" si="426"/>
        <v>355.04371610148456</v>
      </c>
      <c r="FC141" s="173">
        <f t="shared" si="427"/>
        <v>0.96720401189535066</v>
      </c>
      <c r="FD141" s="5">
        <f t="shared" si="428"/>
        <v>5.7039999999999997</v>
      </c>
      <c r="FE141" s="173">
        <f t="shared" si="429"/>
        <v>0.85501807317378697</v>
      </c>
      <c r="FF141" s="5">
        <f t="shared" si="430"/>
        <v>85.501807317378692</v>
      </c>
      <c r="FG141">
        <f t="shared" si="431"/>
        <v>31</v>
      </c>
      <c r="FI141" s="562">
        <f t="shared" si="432"/>
        <v>-50</v>
      </c>
      <c r="FJ141">
        <f t="shared" si="433"/>
        <v>-50</v>
      </c>
    </row>
    <row r="142" spans="5:166">
      <c r="E142" s="170">
        <v>32</v>
      </c>
      <c r="F142" s="217">
        <f t="shared" si="434"/>
        <v>0.32</v>
      </c>
      <c r="G142" s="217">
        <f t="shared" ref="G142:G173" si="444">IF(PLOT_TYPE=1, E142/100*Iout2, min_I*EXP(Q142*rr/100))</f>
        <v>0.08</v>
      </c>
      <c r="H142" s="217">
        <f t="shared" ref="H142:H173" si="445">F142*Vout</f>
        <v>5.2479999999999993</v>
      </c>
      <c r="I142" s="217">
        <f t="shared" ref="I142:I173" si="446">Vout2*G142</f>
        <v>0.64</v>
      </c>
      <c r="J142" s="541">
        <f t="shared" ref="J142:J173" si="447">VIN_min-(F142/CG142/Nps+G142/CH142/(Nps/Nsec1sec2))*(Rdcr_pri+RON/1000)</f>
        <v>9.9393639380485457</v>
      </c>
      <c r="K142" s="443">
        <f t="shared" ref="K142:K173" si="448">MAX((S142+Vfwd2+Rdcr_sec*F142/CG142)*Nps,(Vout2+Vfwd22+Rdcr_sec2*G142/CH142)*Nps/Nsec1sec2)</f>
        <v>17.126837010234297</v>
      </c>
      <c r="L142" s="172">
        <f t="shared" ref="L142:L173" si="449">MAX((Vout+Vfwd2+F142/CG142*Rdcr_sec)*Nps+J142, (Vout2+Vfwd22+G142/CH142*Rdcr_sec2)*Nps/Nsec1sec2+J142)</f>
        <v>27.066200948282841</v>
      </c>
      <c r="M142" s="443"/>
      <c r="N142" s="217">
        <f t="shared" ref="N142:N173" si="450">MAX((Vout+Vfwd2+F142/CG142*Rdcr_sec)*Nps/((Vout+Vfwd2+F142/CG142*Rdcr_sec)*Nps+J142), (Vout2+Vfwd22+G142/CH142*Rdcr_sec2)*Nps/Nsec1sec2/((Vout2+Vfwd22+G142/CH142*Rdcr_sec2)*Nps/Nsec1sec2+J142))</f>
        <v>0.63277580192948635</v>
      </c>
      <c r="O142" s="172">
        <f t="shared" ref="O142:O173" si="451">N142*J142*Isw_max*0.5*Efficiency*Pout/(Pout+Pout2)</f>
        <v>18.685865829657619</v>
      </c>
      <c r="P142" s="172">
        <f t="shared" ref="P142:P173" si="452">N142*J142*Isw_max*0.5*Efficiency*(Pout2/Pout_total)</f>
        <v>2.5566621896616613</v>
      </c>
      <c r="Q142" s="217">
        <f t="shared" si="322"/>
        <v>1.1393820627840012</v>
      </c>
      <c r="R142" s="217">
        <f t="shared" ref="R142:R173" si="453">O142/Vout2</f>
        <v>2.3357332287072023</v>
      </c>
      <c r="S142" s="217">
        <f t="shared" ref="S142:S173" si="454">MIN(Vout,O142/F142)</f>
        <v>16.399999999999999</v>
      </c>
      <c r="T142" s="217">
        <f t="shared" ref="T142:T173" si="455">MIN(2*(Vout*F142+Vout2*G142)/(Efficiency*J142*N142), Isw_max)</f>
        <v>1.8723599423012514</v>
      </c>
      <c r="U142" s="217">
        <f t="shared" si="326"/>
        <v>2.2605389487354213</v>
      </c>
      <c r="V142" s="217">
        <f t="shared" si="327"/>
        <v>1.3118779196759371</v>
      </c>
      <c r="W142" s="197">
        <f t="shared" si="328"/>
        <v>350</v>
      </c>
      <c r="X142" s="443">
        <f t="shared" si="435"/>
        <v>265.08205081298991</v>
      </c>
      <c r="Z142" s="217">
        <f t="shared" si="329"/>
        <v>1.4974735682304015</v>
      </c>
      <c r="AA142" s="173">
        <f t="shared" si="330"/>
        <v>1.0492119944871823</v>
      </c>
      <c r="AB142" s="173">
        <f t="shared" ref="AB142:AB173" si="456">0.5*AA142*Z142*Nps*W142/1000*(Pout/(Pout+Pout2))</f>
        <v>0.24506793194818696</v>
      </c>
      <c r="AC142" s="173"/>
      <c r="AD142" s="173">
        <f t="shared" si="332"/>
        <v>0.93420635640072114</v>
      </c>
      <c r="AE142" s="545">
        <f t="shared" ref="AE142:AE173" si="457">MAX(10, F142/(0.5*AD142/1000000*Isw_min*Nps)/1000*Pout_total/Pout)</f>
        <v>513.80511030702871</v>
      </c>
      <c r="AF142" s="528">
        <f t="shared" ref="AF142:AF173" si="458">0.5*AD142/1000000*Isw_min*Nps*W142*1000*(Pout/Pout_total)</f>
        <v>0.2179814831601683</v>
      </c>
      <c r="AH142" s="173">
        <f t="shared" ref="AH142:AH173" si="459">SQRT((H142+I142)/(0.5*L*Fsw_DCM))</f>
        <v>1.6744579791113072</v>
      </c>
      <c r="AI142" s="173">
        <f t="shared" ref="AI142:AI173" si="460">MAX(IF(F142&gt;AB142,T142,AH142),Isw_min)</f>
        <v>1.8723599423012514</v>
      </c>
      <c r="AJ142" s="173">
        <f t="shared" ref="AJ142:AJ173" si="461">IF(F142&gt;AF142, (AI142-Isw_min)/1.08*0.8+1.2, AE142*0.2/350+1)</f>
        <v>1.5992789696058651</v>
      </c>
      <c r="AL142" s="545">
        <f t="shared" ref="AL142:AL173" si="462">F142*1000</f>
        <v>320</v>
      </c>
      <c r="AM142" s="460">
        <f t="shared" ref="AM142:AM173" si="463">IF(F142&gt;AF142, X142, AE142)</f>
        <v>265.08205081298991</v>
      </c>
      <c r="AO142" s="460">
        <f t="shared" si="340"/>
        <v>320</v>
      </c>
      <c r="AP142" s="460">
        <f t="shared" si="341"/>
        <v>265.08205081298991</v>
      </c>
      <c r="AR142" s="5">
        <f t="shared" si="443"/>
        <v>3.7724168684113586</v>
      </c>
      <c r="AS142" s="5">
        <f t="shared" si="440"/>
        <v>2.2605389487354213</v>
      </c>
      <c r="AT142" s="5">
        <f t="shared" si="441"/>
        <v>1.5118779196759373</v>
      </c>
      <c r="AU142" s="173">
        <f t="shared" si="442"/>
        <v>0.59922830047342568</v>
      </c>
      <c r="AW142" s="5">
        <f t="shared" si="342"/>
        <v>4.4108077048496028</v>
      </c>
      <c r="AX142" s="5">
        <f t="shared" si="343"/>
        <v>2.2605389487354213</v>
      </c>
      <c r="AY142" s="5">
        <f t="shared" si="344"/>
        <v>0.66522829260114535</v>
      </c>
      <c r="AZ142" s="5"/>
      <c r="BA142" s="173">
        <f t="shared" si="345"/>
        <v>0.83680616644200789</v>
      </c>
      <c r="BB142" s="173">
        <f t="shared" si="346"/>
        <v>0.68434836960625955</v>
      </c>
      <c r="BC142" s="173">
        <f t="shared" si="347"/>
        <v>0.16789608493926883</v>
      </c>
      <c r="BD142" s="173"/>
      <c r="BE142" s="528">
        <f t="shared" si="348"/>
        <v>1.4004891203907388E-2</v>
      </c>
      <c r="BF142" s="528">
        <f t="shared" ref="BF142:BF173" si="464">0.5*L142*AI142*AM142*1000*Tfall</f>
        <v>0.25188264022890683</v>
      </c>
      <c r="BG142" s="528">
        <f t="shared" ref="BG142:BG173" si="465">Qg*Vdd*AM142*1000*0+Qg*J142*AM142*1000</f>
        <v>6.58686744118646E-2</v>
      </c>
      <c r="BH142" s="528">
        <f t="shared" si="351"/>
        <v>1.9419360567150972E-2</v>
      </c>
      <c r="BI142">
        <f t="shared" si="352"/>
        <v>4.4727137721218453E-3</v>
      </c>
      <c r="BJ142" s="460">
        <f t="shared" si="436"/>
        <v>70.341388183986439</v>
      </c>
      <c r="BK142">
        <f t="shared" ref="BK142:BK173" si="466">(BF142+BG142*0+BH142+BI142*0+BE142*(1+RdsonTC*(Ta-25)))/(1-BE142*RdsonTC*ThetaJA)</f>
        <v>0.29005338328473196</v>
      </c>
      <c r="BL142" s="460">
        <f t="shared" si="437"/>
        <v>355.64828018395167</v>
      </c>
      <c r="BM142" s="173">
        <f t="shared" ref="BM142:BM173" si="467">Vfwd2*F142*(1+Diode_TC/1000*(Ta-25))</f>
        <v>0.19879999999999998</v>
      </c>
      <c r="BN142" s="173">
        <f t="shared" ref="BN142:BN173" si="468">Vfwd2*G142*(1+Diode_TC/1000*(Ta-25))</f>
        <v>4.9699999999999994E-2</v>
      </c>
      <c r="BO142" s="528"/>
      <c r="BQ142" s="460">
        <f t="shared" si="356"/>
        <v>248.49999999999997</v>
      </c>
      <c r="BR142" s="528">
        <f t="shared" si="357"/>
        <v>2.1007336805861081E-2</v>
      </c>
      <c r="BS142" s="528">
        <f t="shared" si="358"/>
        <v>1.4049980729482369E-2</v>
      </c>
      <c r="BT142" s="528">
        <f t="shared" si="359"/>
        <v>1.4094547668967088E-4</v>
      </c>
      <c r="BU142" s="528">
        <f t="shared" si="360"/>
        <v>0.27440635302297106</v>
      </c>
      <c r="BV142" s="528"/>
      <c r="BW142" s="625">
        <f t="shared" ref="BW142:BW173" si="469">0.5*Lleak*0.000000001*AI142^2*AM142*1000</f>
        <v>4.6465328141355178E-3</v>
      </c>
      <c r="BX142" s="460">
        <f t="shared" si="362"/>
        <v>314.25114884913967</v>
      </c>
      <c r="BY142" s="173">
        <f t="shared" si="363"/>
        <v>0.91839942903309135</v>
      </c>
      <c r="BZ142" s="5">
        <f t="shared" si="364"/>
        <v>5.887999999999999</v>
      </c>
      <c r="CA142" s="173">
        <f t="shared" si="365"/>
        <v>0.86506824370083168</v>
      </c>
      <c r="CB142" s="5">
        <f t="shared" si="366"/>
        <v>86.506824370083166</v>
      </c>
      <c r="CC142">
        <f t="shared" si="367"/>
        <v>32</v>
      </c>
      <c r="CE142" s="562">
        <f t="shared" ref="CE142:CE173" si="470">IF(ABS(F142-Ioutmax_Vinmin)&lt;Iout/200, AM142, -50)</f>
        <v>-50</v>
      </c>
      <c r="CF142">
        <f t="shared" ref="CF142:CF173" si="471">IF(ABS(F142-Ioutmax_Vinmin)&lt;Iout/200, (O142+P142)*CA142, -50)</f>
        <v>-50</v>
      </c>
      <c r="CG142" s="173">
        <f t="shared" si="370"/>
        <v>0.35771495841706202</v>
      </c>
      <c r="CH142" s="173">
        <f t="shared" ref="CH142:CH173" si="472">MIN(SQRT(2*DT142*1000*Ls2_*(CM142+CK142*Vfwd22))/(Vout2+Vfwd22), 1-DY142)</f>
        <v>0.12498995131688435</v>
      </c>
      <c r="CI142" s="170">
        <v>32</v>
      </c>
      <c r="CJ142" s="217">
        <f t="shared" si="438"/>
        <v>0.32</v>
      </c>
      <c r="CK142" s="217">
        <f t="shared" si="372"/>
        <v>0.08</v>
      </c>
      <c r="CL142" s="217">
        <f t="shared" si="373"/>
        <v>5.2479999999999993</v>
      </c>
      <c r="CM142" s="217">
        <f t="shared" si="374"/>
        <v>0.64</v>
      </c>
      <c r="CN142" s="541">
        <f t="shared" si="375"/>
        <v>10</v>
      </c>
      <c r="CO142" s="443">
        <f t="shared" ref="CO142:CO173" si="473">(CW142+Vfwd2)*Nps</f>
        <v>17.099999999999998</v>
      </c>
      <c r="CP142" s="443">
        <f t="shared" ref="CP142:CP173" si="474">(Vout+Vfwd2)*Nps+CN142</f>
        <v>27.099999999999998</v>
      </c>
      <c r="CQ142" s="443"/>
      <c r="CR142" s="217">
        <f t="shared" si="378"/>
        <v>0.62686567164179097</v>
      </c>
      <c r="CS142" s="172">
        <f t="shared" si="379"/>
        <v>18.624269954574949</v>
      </c>
      <c r="CT142" s="172">
        <f t="shared" si="380"/>
        <v>2.5482344375682562</v>
      </c>
      <c r="CU142" s="217">
        <f t="shared" si="381"/>
        <v>1.135626216742375</v>
      </c>
      <c r="CV142" s="217">
        <f t="shared" si="382"/>
        <v>2.3280337443218686</v>
      </c>
      <c r="CW142" s="217">
        <f t="shared" si="383"/>
        <v>16.399999999999999</v>
      </c>
      <c r="CX142" s="217">
        <f t="shared" si="384"/>
        <v>1.8785523809523808</v>
      </c>
      <c r="CY142" s="217">
        <f t="shared" si="385"/>
        <v>2.2542628571428569</v>
      </c>
      <c r="CZ142" s="217">
        <f t="shared" si="386"/>
        <v>1.3182823725981621</v>
      </c>
      <c r="DA142" s="197">
        <f t="shared" si="387"/>
        <v>350</v>
      </c>
      <c r="DB142" s="443">
        <f t="shared" si="388"/>
        <v>279.91248135226328</v>
      </c>
      <c r="DD142" s="217">
        <f t="shared" si="389"/>
        <v>1.5023721665788083</v>
      </c>
      <c r="DE142" s="173">
        <f t="shared" si="390"/>
        <v>1.0542962572482866</v>
      </c>
      <c r="DF142" s="173">
        <f t="shared" si="391"/>
        <v>0.24706104135140031</v>
      </c>
      <c r="DG142" s="173"/>
      <c r="DH142" s="173">
        <f t="shared" si="392"/>
        <v>0.93567251461988332</v>
      </c>
      <c r="DI142" s="545">
        <f t="shared" si="393"/>
        <v>512.99999999999977</v>
      </c>
      <c r="DJ142" s="528">
        <f t="shared" si="394"/>
        <v>0.21832358674463945</v>
      </c>
      <c r="DL142" s="173">
        <f t="shared" si="395"/>
        <v>1.6744579791113072</v>
      </c>
      <c r="DM142" s="173">
        <f t="shared" si="396"/>
        <v>1.8785523809523808</v>
      </c>
      <c r="DN142" s="173">
        <f t="shared" si="397"/>
        <v>1.6038659611992943</v>
      </c>
      <c r="DP142" s="545">
        <f t="shared" si="398"/>
        <v>320</v>
      </c>
      <c r="DQ142" s="460">
        <f t="shared" si="399"/>
        <v>279.91248135226328</v>
      </c>
      <c r="DS142" s="460">
        <f t="shared" si="400"/>
        <v>320</v>
      </c>
      <c r="DT142" s="460">
        <f t="shared" si="401"/>
        <v>279.91248135226328</v>
      </c>
      <c r="DV142" s="5">
        <f t="shared" si="402"/>
        <v>3.5725452297410185</v>
      </c>
      <c r="DW142" s="5">
        <f t="shared" si="403"/>
        <v>2.2542628571428569</v>
      </c>
      <c r="DX142" s="5">
        <f t="shared" si="404"/>
        <v>1.3182823725981616</v>
      </c>
      <c r="DY142" s="173">
        <f t="shared" si="405"/>
        <v>0.63099630996309963</v>
      </c>
      <c r="EA142" s="5">
        <f t="shared" si="406"/>
        <v>4.3985616724738676</v>
      </c>
      <c r="EB142" s="5">
        <f t="shared" si="407"/>
        <v>2.2542628571428569</v>
      </c>
      <c r="EC142" s="5">
        <f t="shared" si="408"/>
        <v>0.57652882428292918</v>
      </c>
      <c r="ED142" s="5"/>
      <c r="EE142" s="173">
        <f t="shared" si="409"/>
        <v>0.86154128113272399</v>
      </c>
      <c r="EF142" s="173">
        <f t="shared" si="410"/>
        <v>0.6588370842361595</v>
      </c>
      <c r="EG142" s="173">
        <f t="shared" si="411"/>
        <v>0.16163721865765174</v>
      </c>
      <c r="EH142" s="173"/>
      <c r="EI142" s="528">
        <f t="shared" si="412"/>
        <v>1.4845067581916307E-2</v>
      </c>
      <c r="EJ142" s="528">
        <f t="shared" si="413"/>
        <v>0.28500000000000003</v>
      </c>
      <c r="EK142" s="528">
        <f t="shared" si="414"/>
        <v>3.4989060169032908E-2</v>
      </c>
      <c r="EL142" s="528">
        <f t="shared" si="415"/>
        <v>2.0557052542991564E-2</v>
      </c>
      <c r="EM142">
        <f t="shared" si="416"/>
        <v>4.4999999999999997E-3</v>
      </c>
      <c r="EN142" s="460">
        <f t="shared" si="417"/>
        <v>39.489060169032904</v>
      </c>
      <c r="EP142" s="460">
        <f t="shared" si="439"/>
        <v>359.89118029394081</v>
      </c>
      <c r="EQ142" s="173">
        <f t="shared" si="418"/>
        <v>0.22399999999999998</v>
      </c>
      <c r="ER142" s="173">
        <f t="shared" ref="ER142:ER173" si="475">Vfwd22*CK142*(1+Diode_TC/1000*(Ta-25))</f>
        <v>3.5499999999999997E-2</v>
      </c>
      <c r="ES142" s="528"/>
      <c r="EU142" s="460">
        <f t="shared" si="420"/>
        <v>259.49999999999994</v>
      </c>
      <c r="EV142" s="528">
        <f t="shared" si="421"/>
        <v>2.2267601372874458E-2</v>
      </c>
      <c r="EW142" s="528">
        <f t="shared" si="422"/>
        <v>1.3021989106944128E-2</v>
      </c>
      <c r="EX142" s="528">
        <f t="shared" si="423"/>
        <v>1.306329522769076E-4</v>
      </c>
      <c r="EY142" s="528">
        <f t="shared" si="424"/>
        <v>0.3170180118539736</v>
      </c>
      <c r="EZ142" s="528"/>
      <c r="FA142" s="625">
        <f t="shared" si="425"/>
        <v>4.9389984185556138E-3</v>
      </c>
      <c r="FB142" s="460">
        <f t="shared" si="426"/>
        <v>357.3772337046247</v>
      </c>
      <c r="FC142" s="173">
        <f t="shared" si="427"/>
        <v>0.9767684139985654</v>
      </c>
      <c r="FD142" s="5">
        <f t="shared" si="428"/>
        <v>5.887999999999999</v>
      </c>
      <c r="FE142" s="173">
        <f t="shared" si="429"/>
        <v>0.85771283820634803</v>
      </c>
      <c r="FF142" s="5">
        <f t="shared" si="430"/>
        <v>85.771283820634807</v>
      </c>
      <c r="FG142">
        <f t="shared" si="431"/>
        <v>32</v>
      </c>
      <c r="FI142" s="562">
        <f t="shared" si="432"/>
        <v>-50</v>
      </c>
      <c r="FJ142">
        <f t="shared" si="433"/>
        <v>-50</v>
      </c>
    </row>
    <row r="143" spans="5:166">
      <c r="E143" s="170">
        <v>33</v>
      </c>
      <c r="F143" s="217">
        <f t="shared" ref="F143:F174" si="476">IF(PLOT_TYPE=1, E143/100*Iout_max, min_I*EXP(O143*rr/100))</f>
        <v>0.33</v>
      </c>
      <c r="G143" s="217">
        <f t="shared" si="444"/>
        <v>8.2500000000000004E-2</v>
      </c>
      <c r="H143" s="217">
        <f t="shared" si="445"/>
        <v>5.4119999999999999</v>
      </c>
      <c r="I143" s="217">
        <f t="shared" si="446"/>
        <v>0.66</v>
      </c>
      <c r="J143" s="541">
        <f t="shared" si="447"/>
        <v>9.9374690611125622</v>
      </c>
      <c r="K143" s="443">
        <f t="shared" si="448"/>
        <v>17.127675666804116</v>
      </c>
      <c r="L143" s="172">
        <f t="shared" si="449"/>
        <v>27.065144727916678</v>
      </c>
      <c r="M143" s="443"/>
      <c r="N143" s="217">
        <f t="shared" si="450"/>
        <v>0.63283148266846556</v>
      </c>
      <c r="O143" s="172">
        <f t="shared" si="451"/>
        <v>18.683947425836998</v>
      </c>
      <c r="P143" s="172">
        <f t="shared" si="452"/>
        <v>2.5563997072828735</v>
      </c>
      <c r="Q143" s="217">
        <f t="shared" si="322"/>
        <v>1.1392650869412804</v>
      </c>
      <c r="R143" s="217">
        <f t="shared" si="453"/>
        <v>2.3354934282296247</v>
      </c>
      <c r="S143" s="217">
        <f t="shared" si="454"/>
        <v>16.399999999999999</v>
      </c>
      <c r="T143" s="217">
        <f t="shared" si="455"/>
        <v>1.9310694457482236</v>
      </c>
      <c r="U143" s="217">
        <f t="shared" si="326"/>
        <v>2.3318647038267448</v>
      </c>
      <c r="V143" s="217">
        <f t="shared" si="327"/>
        <v>1.3529467628751839</v>
      </c>
      <c r="W143" s="197">
        <f t="shared" si="328"/>
        <v>350</v>
      </c>
      <c r="X143" s="443">
        <f t="shared" si="435"/>
        <v>257.41274925986704</v>
      </c>
      <c r="Z143" s="217">
        <f t="shared" si="329"/>
        <v>1.4973198285513969</v>
      </c>
      <c r="AA143" s="173">
        <f t="shared" si="330"/>
        <v>1.0490529066615266</v>
      </c>
      <c r="AB143" s="173">
        <f t="shared" si="456"/>
        <v>0.24500561693731809</v>
      </c>
      <c r="AC143" s="173"/>
      <c r="AD143" s="173">
        <f t="shared" si="332"/>
        <v>0.93416061299025477</v>
      </c>
      <c r="AE143" s="545">
        <f t="shared" si="457"/>
        <v>529.88746594175223</v>
      </c>
      <c r="AF143" s="528">
        <f t="shared" si="458"/>
        <v>0.21797080969772611</v>
      </c>
      <c r="AH143" s="173">
        <f t="shared" si="459"/>
        <v>1.7004201161561725</v>
      </c>
      <c r="AI143" s="173">
        <f t="shared" si="460"/>
        <v>1.9310694457482236</v>
      </c>
      <c r="AJ143" s="173">
        <f t="shared" si="461"/>
        <v>1.6427674906776963</v>
      </c>
      <c r="AL143" s="545">
        <f t="shared" si="462"/>
        <v>330</v>
      </c>
      <c r="AM143" s="460">
        <f t="shared" si="463"/>
        <v>257.41274925986704</v>
      </c>
      <c r="AO143" s="460">
        <f t="shared" si="340"/>
        <v>330</v>
      </c>
      <c r="AP143" s="460">
        <f t="shared" si="341"/>
        <v>257.41274925986704</v>
      </c>
      <c r="AR143" s="5">
        <f t="shared" si="443"/>
        <v>3.8848114667019291</v>
      </c>
      <c r="AS143" s="5">
        <f t="shared" si="440"/>
        <v>2.3318647038267448</v>
      </c>
      <c r="AT143" s="5">
        <f t="shared" si="441"/>
        <v>1.5529467628751843</v>
      </c>
      <c r="AU143" s="173">
        <f t="shared" si="442"/>
        <v>0.60025170431408803</v>
      </c>
      <c r="AW143" s="5">
        <f t="shared" si="342"/>
        <v>4.6921667820904025</v>
      </c>
      <c r="AX143" s="5">
        <f t="shared" si="343"/>
        <v>2.4047354758213308</v>
      </c>
      <c r="AY143" s="5">
        <f t="shared" si="344"/>
        <v>0.70478608360899497</v>
      </c>
      <c r="AZ143" s="5"/>
      <c r="BA143" s="173">
        <f t="shared" si="345"/>
        <v>0.86378163431110566</v>
      </c>
      <c r="BB143" s="173">
        <f t="shared" si="346"/>
        <v>0.70490497444285771</v>
      </c>
      <c r="BC143" s="173">
        <f t="shared" si="347"/>
        <v>0.17293938397378572</v>
      </c>
      <c r="BD143" s="173"/>
      <c r="BE143" s="528">
        <f t="shared" si="348"/>
        <v>1.4922374235463293E-2</v>
      </c>
      <c r="BF143" s="528">
        <f t="shared" si="464"/>
        <v>0.25225487682999009</v>
      </c>
      <c r="BG143" s="528">
        <f t="shared" si="465"/>
        <v>6.395078079264635E-2</v>
      </c>
      <c r="BH143" s="528">
        <f t="shared" si="351"/>
        <v>1.8856051713751806E-2</v>
      </c>
      <c r="BI143">
        <f t="shared" si="352"/>
        <v>4.4718610775006532E-3</v>
      </c>
      <c r="BJ143" s="460">
        <f t="shared" si="436"/>
        <v>68.422641870147004</v>
      </c>
      <c r="BK143">
        <f t="shared" si="466"/>
        <v>0.29109443547951114</v>
      </c>
      <c r="BL143" s="460">
        <f t="shared" si="437"/>
        <v>354.45594464935215</v>
      </c>
      <c r="BM143" s="173">
        <f t="shared" si="467"/>
        <v>0.20501249999999999</v>
      </c>
      <c r="BN143" s="173">
        <f t="shared" si="468"/>
        <v>5.1253124999999997E-2</v>
      </c>
      <c r="BO143" s="528"/>
      <c r="BQ143" s="460">
        <f t="shared" si="356"/>
        <v>256.265625</v>
      </c>
      <c r="BR143" s="528">
        <f t="shared" si="357"/>
        <v>2.2383561353194938E-2</v>
      </c>
      <c r="BS143" s="528">
        <f t="shared" si="358"/>
        <v>1.4906730689828576E-2</v>
      </c>
      <c r="BT143" s="528">
        <f t="shared" si="359"/>
        <v>1.4954015264616248E-4</v>
      </c>
      <c r="BU143" s="528">
        <f t="shared" si="360"/>
        <v>0.27544815497063546</v>
      </c>
      <c r="BV143" s="528"/>
      <c r="BW143" s="625">
        <f t="shared" si="469"/>
        <v>4.7994982977490139E-3</v>
      </c>
      <c r="BX143" s="460">
        <f t="shared" si="362"/>
        <v>317.68748546405419</v>
      </c>
      <c r="BY143" s="173">
        <f t="shared" si="363"/>
        <v>0.92840905511340632</v>
      </c>
      <c r="BZ143" s="5">
        <f t="shared" si="364"/>
        <v>6.0720000000000001</v>
      </c>
      <c r="CA143" s="173">
        <f t="shared" si="365"/>
        <v>0.86737788494870083</v>
      </c>
      <c r="CB143" s="5">
        <f t="shared" si="366"/>
        <v>86.737788494870088</v>
      </c>
      <c r="CC143">
        <f t="shared" si="367"/>
        <v>33</v>
      </c>
      <c r="CE143" s="562">
        <f t="shared" si="470"/>
        <v>-50</v>
      </c>
      <c r="CF143">
        <f t="shared" si="471"/>
        <v>-50</v>
      </c>
      <c r="CG143" s="173">
        <f t="shared" si="370"/>
        <v>0.35771495841706202</v>
      </c>
      <c r="CH143" s="173">
        <f t="shared" si="472"/>
        <v>0.12498995131688433</v>
      </c>
      <c r="CI143" s="170">
        <v>33</v>
      </c>
      <c r="CJ143" s="217">
        <f t="shared" si="438"/>
        <v>0.33</v>
      </c>
      <c r="CK143" s="217">
        <f t="shared" si="372"/>
        <v>8.2500000000000004E-2</v>
      </c>
      <c r="CL143" s="217">
        <f t="shared" si="373"/>
        <v>5.4119999999999999</v>
      </c>
      <c r="CM143" s="217">
        <f t="shared" si="374"/>
        <v>0.66</v>
      </c>
      <c r="CN143" s="541">
        <f t="shared" si="375"/>
        <v>10</v>
      </c>
      <c r="CO143" s="443">
        <f t="shared" si="473"/>
        <v>17.099999999999998</v>
      </c>
      <c r="CP143" s="443">
        <f t="shared" si="474"/>
        <v>27.099999999999998</v>
      </c>
      <c r="CQ143" s="443"/>
      <c r="CR143" s="217">
        <f t="shared" si="378"/>
        <v>0.62686567164179097</v>
      </c>
      <c r="CS143" s="172">
        <f t="shared" si="379"/>
        <v>18.624269954574949</v>
      </c>
      <c r="CT143" s="172">
        <f t="shared" si="380"/>
        <v>2.5482344375682562</v>
      </c>
      <c r="CU143" s="217">
        <f t="shared" si="381"/>
        <v>1.135626216742375</v>
      </c>
      <c r="CV143" s="217">
        <f t="shared" si="382"/>
        <v>2.3280337443218686</v>
      </c>
      <c r="CW143" s="217">
        <f t="shared" si="383"/>
        <v>16.399999999999999</v>
      </c>
      <c r="CX143" s="217">
        <f t="shared" si="384"/>
        <v>1.937257142857143</v>
      </c>
      <c r="CY143" s="217">
        <f t="shared" si="385"/>
        <v>2.3247085714285713</v>
      </c>
      <c r="CZ143" s="217">
        <f t="shared" si="386"/>
        <v>1.3594786967418548</v>
      </c>
      <c r="DA143" s="197">
        <f t="shared" si="387"/>
        <v>350</v>
      </c>
      <c r="DB143" s="443">
        <f t="shared" si="388"/>
        <v>271.43028494764923</v>
      </c>
      <c r="DD143" s="217">
        <f t="shared" si="389"/>
        <v>1.5023721665788083</v>
      </c>
      <c r="DE143" s="173">
        <f t="shared" si="390"/>
        <v>1.0542962572482866</v>
      </c>
      <c r="DF143" s="173">
        <f t="shared" si="391"/>
        <v>0.24706104135140031</v>
      </c>
      <c r="DG143" s="173"/>
      <c r="DH143" s="173">
        <f t="shared" si="392"/>
        <v>0.93567251461988332</v>
      </c>
      <c r="DI143" s="545">
        <f t="shared" si="393"/>
        <v>529.03124999999977</v>
      </c>
      <c r="DJ143" s="528">
        <f t="shared" si="394"/>
        <v>0.21832358674463945</v>
      </c>
      <c r="DL143" s="173">
        <f t="shared" si="395"/>
        <v>1.7004201161561725</v>
      </c>
      <c r="DM143" s="173">
        <f t="shared" si="396"/>
        <v>1.937257142857143</v>
      </c>
      <c r="DN143" s="173">
        <f t="shared" si="397"/>
        <v>1.6473509700176368</v>
      </c>
      <c r="DP143" s="545">
        <f t="shared" si="398"/>
        <v>330</v>
      </c>
      <c r="DQ143" s="460">
        <f t="shared" si="399"/>
        <v>271.43028494764923</v>
      </c>
      <c r="DS143" s="460">
        <f t="shared" si="400"/>
        <v>330</v>
      </c>
      <c r="DT143" s="460">
        <f t="shared" si="401"/>
        <v>271.43028494764923</v>
      </c>
      <c r="DV143" s="5">
        <f t="shared" si="402"/>
        <v>3.684187268170426</v>
      </c>
      <c r="DW143" s="5">
        <f t="shared" si="403"/>
        <v>2.3247085714285713</v>
      </c>
      <c r="DX143" s="5">
        <f t="shared" si="404"/>
        <v>1.3594786967418546</v>
      </c>
      <c r="DY143" s="173">
        <f t="shared" si="405"/>
        <v>0.63099630996309963</v>
      </c>
      <c r="EA143" s="5">
        <f t="shared" si="406"/>
        <v>4.6777672473867602</v>
      </c>
      <c r="EB143" s="5">
        <f t="shared" si="407"/>
        <v>2.3973557142857143</v>
      </c>
      <c r="EC143" s="5">
        <f t="shared" si="408"/>
        <v>0.61312489223057631</v>
      </c>
      <c r="ED143" s="5"/>
      <c r="EE143" s="173">
        <f t="shared" si="409"/>
        <v>0.8884644461681217</v>
      </c>
      <c r="EF143" s="173">
        <f t="shared" si="410"/>
        <v>0.67942574311853954</v>
      </c>
      <c r="EG143" s="173">
        <f t="shared" si="411"/>
        <v>0.16668838174070336</v>
      </c>
      <c r="EH143" s="173"/>
      <c r="EI143" s="528">
        <f t="shared" si="412"/>
        <v>1.5787381442096543E-2</v>
      </c>
      <c r="EJ143" s="528">
        <f t="shared" si="413"/>
        <v>0.28500000000000003</v>
      </c>
      <c r="EK143" s="528">
        <f t="shared" si="414"/>
        <v>3.392878561845615E-2</v>
      </c>
      <c r="EL143" s="528">
        <f t="shared" si="415"/>
        <v>1.9934111556840304E-2</v>
      </c>
      <c r="EM143">
        <f t="shared" si="416"/>
        <v>4.4999999999999997E-3</v>
      </c>
      <c r="EN143" s="460">
        <f t="shared" si="417"/>
        <v>38.428785618456146</v>
      </c>
      <c r="EP143" s="460">
        <f t="shared" si="439"/>
        <v>359.1502786173931</v>
      </c>
      <c r="EQ143" s="173">
        <f t="shared" si="418"/>
        <v>0.23099999999999998</v>
      </c>
      <c r="ER143" s="173">
        <f t="shared" si="475"/>
        <v>3.6609375E-2</v>
      </c>
      <c r="ES143" s="528"/>
      <c r="EU143" s="460">
        <f t="shared" si="420"/>
        <v>267.609375</v>
      </c>
      <c r="EV143" s="528">
        <f t="shared" si="421"/>
        <v>2.3681072163144815E-2</v>
      </c>
      <c r="EW143" s="528">
        <f t="shared" si="422"/>
        <v>1.384858021236539E-2</v>
      </c>
      <c r="EX143" s="528">
        <f t="shared" si="423"/>
        <v>1.3892508303667224E-4</v>
      </c>
      <c r="EY143" s="528">
        <f t="shared" si="424"/>
        <v>0.31701801185397416</v>
      </c>
      <c r="EZ143" s="528"/>
      <c r="FA143" s="625">
        <f t="shared" si="425"/>
        <v>5.0933421191354791E-3</v>
      </c>
      <c r="FB143" s="460">
        <f t="shared" si="426"/>
        <v>359.77993143165656</v>
      </c>
      <c r="FC143" s="173">
        <f t="shared" si="427"/>
        <v>0.98653958504904971</v>
      </c>
      <c r="FD143" s="5">
        <f t="shared" si="428"/>
        <v>6.0720000000000001</v>
      </c>
      <c r="FE143" s="173">
        <f t="shared" si="429"/>
        <v>0.8602346033252154</v>
      </c>
      <c r="FF143" s="5">
        <f t="shared" si="430"/>
        <v>86.023460332521537</v>
      </c>
      <c r="FG143">
        <f t="shared" si="431"/>
        <v>33</v>
      </c>
      <c r="FI143" s="562">
        <f t="shared" si="432"/>
        <v>-50</v>
      </c>
      <c r="FJ143">
        <f t="shared" si="433"/>
        <v>-50</v>
      </c>
    </row>
    <row r="144" spans="5:166">
      <c r="E144" s="170">
        <v>34</v>
      </c>
      <c r="F144" s="217">
        <f t="shared" si="476"/>
        <v>0.34</v>
      </c>
      <c r="G144" s="217">
        <f t="shared" si="444"/>
        <v>8.5000000000000006E-2</v>
      </c>
      <c r="H144" s="217">
        <f t="shared" si="445"/>
        <v>5.5759999999999996</v>
      </c>
      <c r="I144" s="217">
        <f t="shared" si="446"/>
        <v>0.68</v>
      </c>
      <c r="J144" s="541">
        <f t="shared" si="447"/>
        <v>9.9355741841765788</v>
      </c>
      <c r="K144" s="443">
        <f t="shared" si="448"/>
        <v>17.128514323373938</v>
      </c>
      <c r="L144" s="172">
        <f t="shared" si="449"/>
        <v>27.064088507550515</v>
      </c>
      <c r="M144" s="443"/>
      <c r="N144" s="217">
        <f t="shared" si="450"/>
        <v>0.63288716775350906</v>
      </c>
      <c r="O144" s="172">
        <f t="shared" si="451"/>
        <v>18.682028523374221</v>
      </c>
      <c r="P144" s="172">
        <f t="shared" si="452"/>
        <v>2.5561371566782101</v>
      </c>
      <c r="Q144" s="217">
        <f t="shared" si="322"/>
        <v>1.1391480806935501</v>
      </c>
      <c r="R144" s="217">
        <f t="shared" si="453"/>
        <v>2.3352535654217776</v>
      </c>
      <c r="S144" s="217">
        <f t="shared" si="454"/>
        <v>16.399999999999999</v>
      </c>
      <c r="T144" s="217">
        <f t="shared" si="455"/>
        <v>1.9897910597247785</v>
      </c>
      <c r="U144" s="217">
        <f t="shared" si="326"/>
        <v>2.4032322917707867</v>
      </c>
      <c r="V144" s="217">
        <f t="shared" si="327"/>
        <v>1.3940200688692308</v>
      </c>
      <c r="W144" s="197">
        <f t="shared" si="328"/>
        <v>350</v>
      </c>
      <c r="X144" s="443">
        <f t="shared" si="435"/>
        <v>250.17184550236544</v>
      </c>
      <c r="Z144" s="217">
        <f t="shared" si="329"/>
        <v>1.4971660489115228</v>
      </c>
      <c r="AA144" s="173">
        <f t="shared" si="330"/>
        <v>1.0488938064185458</v>
      </c>
      <c r="AB144" s="173">
        <f t="shared" si="456"/>
        <v>0.24494330011877286</v>
      </c>
      <c r="AC144" s="173"/>
      <c r="AD144" s="173">
        <f t="shared" si="332"/>
        <v>0.93411487405922056</v>
      </c>
      <c r="AE144" s="545">
        <f t="shared" si="457"/>
        <v>545.97139405754422</v>
      </c>
      <c r="AF144" s="528">
        <f t="shared" si="458"/>
        <v>0.2179601372804848</v>
      </c>
      <c r="AH144" s="173">
        <f t="shared" si="459"/>
        <v>1.7259917783835526</v>
      </c>
      <c r="AI144" s="173">
        <f t="shared" si="460"/>
        <v>1.9897910597247785</v>
      </c>
      <c r="AJ144" s="173">
        <f t="shared" si="461"/>
        <v>1.6862649825121814</v>
      </c>
      <c r="AL144" s="545">
        <f t="shared" si="462"/>
        <v>340</v>
      </c>
      <c r="AM144" s="460">
        <f t="shared" si="463"/>
        <v>250.17184550236544</v>
      </c>
      <c r="AO144" s="460">
        <f t="shared" si="340"/>
        <v>340</v>
      </c>
      <c r="AP144" s="460">
        <f t="shared" si="341"/>
        <v>250.17184550236544</v>
      </c>
      <c r="AR144" s="5">
        <f t="shared" si="443"/>
        <v>3.9972523606400174</v>
      </c>
      <c r="AS144" s="5">
        <f t="shared" si="440"/>
        <v>2.4032322917707867</v>
      </c>
      <c r="AT144" s="5">
        <f t="shared" si="441"/>
        <v>1.5940200688692308</v>
      </c>
      <c r="AU144" s="173">
        <f t="shared" si="442"/>
        <v>0.6012210576031769</v>
      </c>
      <c r="AW144" s="5">
        <f t="shared" si="342"/>
        <v>4.9823108487930963</v>
      </c>
      <c r="AX144" s="5">
        <f t="shared" si="343"/>
        <v>2.5534343100064607</v>
      </c>
      <c r="AY144" s="5">
        <f t="shared" si="344"/>
        <v>0.74549087780035639</v>
      </c>
      <c r="AZ144" s="5"/>
      <c r="BA144" s="173">
        <f t="shared" si="345"/>
        <v>0.89076663080632545</v>
      </c>
      <c r="BB144" s="173">
        <f t="shared" si="346"/>
        <v>0.72545913959976638</v>
      </c>
      <c r="BC144" s="173">
        <f t="shared" si="347"/>
        <v>0.17798208446421809</v>
      </c>
      <c r="BD144" s="173"/>
      <c r="BE144" s="528">
        <f t="shared" si="348"/>
        <v>1.5869303811161049E-2</v>
      </c>
      <c r="BF144" s="528">
        <f t="shared" si="464"/>
        <v>0.25260421015472401</v>
      </c>
      <c r="BG144" s="528">
        <f t="shared" si="465"/>
        <v>6.2140023244527831E-2</v>
      </c>
      <c r="BH144" s="528">
        <f t="shared" si="351"/>
        <v>1.8324209248255962E-2</v>
      </c>
      <c r="BI144">
        <f t="shared" si="352"/>
        <v>4.4710083828794602E-3</v>
      </c>
      <c r="BJ144" s="460">
        <f t="shared" si="436"/>
        <v>66.6110316274073</v>
      </c>
      <c r="BK144">
        <f t="shared" si="466"/>
        <v>0.29218412911353009</v>
      </c>
      <c r="BL144" s="460">
        <f t="shared" si="437"/>
        <v>353.40875484154827</v>
      </c>
      <c r="BM144" s="173">
        <f t="shared" si="467"/>
        <v>0.21122499999999997</v>
      </c>
      <c r="BN144" s="173">
        <f t="shared" si="468"/>
        <v>5.2806249999999992E-2</v>
      </c>
      <c r="BO144" s="528"/>
      <c r="BQ144" s="460">
        <f t="shared" si="356"/>
        <v>264.03124999999994</v>
      </c>
      <c r="BR144" s="528">
        <f t="shared" si="357"/>
        <v>2.3803955716741574E-2</v>
      </c>
      <c r="BS144" s="528">
        <f t="shared" si="358"/>
        <v>1.5788728896864997E-2</v>
      </c>
      <c r="BT144" s="528">
        <f t="shared" si="359"/>
        <v>1.5838811195114031E-4</v>
      </c>
      <c r="BU144" s="528">
        <f t="shared" si="360"/>
        <v>0.2764297450540858</v>
      </c>
      <c r="BV144" s="528"/>
      <c r="BW144" s="625">
        <f t="shared" si="469"/>
        <v>4.9524874890895321E-3</v>
      </c>
      <c r="BX144" s="460">
        <f t="shared" si="362"/>
        <v>321.13330526873307</v>
      </c>
      <c r="BY144" s="173">
        <f t="shared" si="363"/>
        <v>0.93857331011028111</v>
      </c>
      <c r="BZ144" s="5">
        <f t="shared" si="364"/>
        <v>6.2559999999999993</v>
      </c>
      <c r="CA144" s="173">
        <f t="shared" si="365"/>
        <v>0.86954427043069571</v>
      </c>
      <c r="CB144" s="5">
        <f t="shared" si="366"/>
        <v>86.954427043069572</v>
      </c>
      <c r="CC144">
        <f t="shared" si="367"/>
        <v>34</v>
      </c>
      <c r="CE144" s="562">
        <f t="shared" si="470"/>
        <v>-50</v>
      </c>
      <c r="CF144">
        <f t="shared" si="471"/>
        <v>-50</v>
      </c>
      <c r="CG144" s="173">
        <f t="shared" si="370"/>
        <v>0.35771495841706197</v>
      </c>
      <c r="CH144" s="173">
        <f t="shared" si="472"/>
        <v>0.1249899513168843</v>
      </c>
      <c r="CI144" s="170">
        <v>34</v>
      </c>
      <c r="CJ144" s="217">
        <f t="shared" si="438"/>
        <v>0.34</v>
      </c>
      <c r="CK144" s="217">
        <f t="shared" si="372"/>
        <v>8.5000000000000006E-2</v>
      </c>
      <c r="CL144" s="217">
        <f t="shared" si="373"/>
        <v>5.5759999999999996</v>
      </c>
      <c r="CM144" s="217">
        <f t="shared" si="374"/>
        <v>0.68</v>
      </c>
      <c r="CN144" s="541">
        <f t="shared" si="375"/>
        <v>10</v>
      </c>
      <c r="CO144" s="443">
        <f t="shared" si="473"/>
        <v>17.099999999999998</v>
      </c>
      <c r="CP144" s="443">
        <f t="shared" si="474"/>
        <v>27.099999999999998</v>
      </c>
      <c r="CQ144" s="443"/>
      <c r="CR144" s="217">
        <f t="shared" si="378"/>
        <v>0.62686567164179097</v>
      </c>
      <c r="CS144" s="172">
        <f t="shared" si="379"/>
        <v>18.624269954574949</v>
      </c>
      <c r="CT144" s="172">
        <f t="shared" si="380"/>
        <v>2.5482344375682562</v>
      </c>
      <c r="CU144" s="217">
        <f t="shared" si="381"/>
        <v>1.135626216742375</v>
      </c>
      <c r="CV144" s="217">
        <f t="shared" si="382"/>
        <v>2.3280337443218686</v>
      </c>
      <c r="CW144" s="217">
        <f t="shared" si="383"/>
        <v>16.399999999999999</v>
      </c>
      <c r="CX144" s="217">
        <f t="shared" si="384"/>
        <v>1.9959619047619048</v>
      </c>
      <c r="CY144" s="217">
        <f t="shared" si="385"/>
        <v>2.3951542857142858</v>
      </c>
      <c r="CZ144" s="217">
        <f t="shared" si="386"/>
        <v>1.4006750208855476</v>
      </c>
      <c r="DA144" s="197">
        <f t="shared" si="387"/>
        <v>350</v>
      </c>
      <c r="DB144" s="443">
        <f t="shared" si="388"/>
        <v>263.44704127271831</v>
      </c>
      <c r="DD144" s="217">
        <f t="shared" si="389"/>
        <v>1.5023721665788083</v>
      </c>
      <c r="DE144" s="173">
        <f t="shared" si="390"/>
        <v>1.0542962572482866</v>
      </c>
      <c r="DF144" s="173">
        <f t="shared" si="391"/>
        <v>0.24706104135140031</v>
      </c>
      <c r="DG144" s="173"/>
      <c r="DH144" s="173">
        <f t="shared" si="392"/>
        <v>0.93567251461988332</v>
      </c>
      <c r="DI144" s="545">
        <f t="shared" si="393"/>
        <v>545.06249999999977</v>
      </c>
      <c r="DJ144" s="528">
        <f t="shared" si="394"/>
        <v>0.21832358674463945</v>
      </c>
      <c r="DL144" s="173">
        <f t="shared" si="395"/>
        <v>1.7259917783835526</v>
      </c>
      <c r="DM144" s="173">
        <f t="shared" si="396"/>
        <v>1.9959619047619048</v>
      </c>
      <c r="DN144" s="173">
        <f t="shared" si="397"/>
        <v>1.6908359788359788</v>
      </c>
      <c r="DP144" s="545">
        <f t="shared" si="398"/>
        <v>340</v>
      </c>
      <c r="DQ144" s="460">
        <f t="shared" si="399"/>
        <v>263.44704127271831</v>
      </c>
      <c r="DS144" s="460">
        <f t="shared" si="400"/>
        <v>340</v>
      </c>
      <c r="DT144" s="460">
        <f t="shared" si="401"/>
        <v>263.44704127271831</v>
      </c>
      <c r="DV144" s="5">
        <f t="shared" si="402"/>
        <v>3.7958293065998334</v>
      </c>
      <c r="DW144" s="5">
        <f t="shared" si="403"/>
        <v>2.3951542857142858</v>
      </c>
      <c r="DX144" s="5">
        <f t="shared" si="404"/>
        <v>1.4006750208855476</v>
      </c>
      <c r="DY144" s="173">
        <f t="shared" si="405"/>
        <v>0.63099630996309952</v>
      </c>
      <c r="EA144" s="5">
        <f t="shared" si="406"/>
        <v>4.9655637630662035</v>
      </c>
      <c r="EB144" s="5">
        <f t="shared" si="407"/>
        <v>2.5448514285714285</v>
      </c>
      <c r="EC144" s="5">
        <f t="shared" si="408"/>
        <v>0.65084699303815097</v>
      </c>
      <c r="ED144" s="5"/>
      <c r="EE144" s="173">
        <f t="shared" si="409"/>
        <v>0.91538761120351919</v>
      </c>
      <c r="EF144" s="173">
        <f t="shared" si="410"/>
        <v>0.70001440200091958</v>
      </c>
      <c r="EG144" s="173">
        <f t="shared" si="411"/>
        <v>0.171739544823755</v>
      </c>
      <c r="EH144" s="173"/>
      <c r="EI144" s="528">
        <f t="shared" si="412"/>
        <v>1.6758689574897706E-2</v>
      </c>
      <c r="EJ144" s="528">
        <f t="shared" si="413"/>
        <v>0.28499999999999998</v>
      </c>
      <c r="EK144" s="528">
        <f t="shared" si="414"/>
        <v>3.2930880159089786E-2</v>
      </c>
      <c r="EL144" s="528">
        <f t="shared" si="415"/>
        <v>1.9347814158109704E-2</v>
      </c>
      <c r="EM144">
        <f t="shared" si="416"/>
        <v>4.4999999999999997E-3</v>
      </c>
      <c r="EN144" s="460">
        <f t="shared" si="417"/>
        <v>37.430880159089782</v>
      </c>
      <c r="EP144" s="460">
        <f t="shared" si="439"/>
        <v>358.53738389209724</v>
      </c>
      <c r="EQ144" s="173">
        <f t="shared" si="418"/>
        <v>0.23799999999999999</v>
      </c>
      <c r="ER144" s="173">
        <f t="shared" si="475"/>
        <v>3.7718750000000002E-2</v>
      </c>
      <c r="ES144" s="528"/>
      <c r="EU144" s="460">
        <f t="shared" si="420"/>
        <v>275.71875</v>
      </c>
      <c r="EV144" s="528">
        <f t="shared" si="421"/>
        <v>2.5138034362346556E-2</v>
      </c>
      <c r="EW144" s="528">
        <f t="shared" si="422"/>
        <v>1.470060489026115E-2</v>
      </c>
      <c r="EX144" s="528">
        <f t="shared" si="423"/>
        <v>1.4747235628135278E-4</v>
      </c>
      <c r="EY144" s="528">
        <f t="shared" si="424"/>
        <v>0.31701801185397405</v>
      </c>
      <c r="EZ144" s="528"/>
      <c r="FA144" s="625">
        <f t="shared" si="425"/>
        <v>5.2476858197153401E-3</v>
      </c>
      <c r="FB144" s="460">
        <f t="shared" si="426"/>
        <v>362.25180928257845</v>
      </c>
      <c r="FC144" s="173">
        <f t="shared" si="427"/>
        <v>0.99650794317467561</v>
      </c>
      <c r="FD144" s="5">
        <f t="shared" si="428"/>
        <v>6.2559999999999993</v>
      </c>
      <c r="FE144" s="173">
        <f t="shared" si="429"/>
        <v>0.86259815901167158</v>
      </c>
      <c r="FF144" s="5">
        <f t="shared" si="430"/>
        <v>86.259815901167158</v>
      </c>
      <c r="FG144">
        <f t="shared" si="431"/>
        <v>34</v>
      </c>
      <c r="FI144" s="562">
        <f t="shared" si="432"/>
        <v>-50</v>
      </c>
      <c r="FJ144">
        <f t="shared" si="433"/>
        <v>-50</v>
      </c>
    </row>
    <row r="145" spans="5:166">
      <c r="E145" s="170">
        <v>35</v>
      </c>
      <c r="F145" s="217">
        <f t="shared" si="476"/>
        <v>0.35</v>
      </c>
      <c r="G145" s="217">
        <f t="shared" si="444"/>
        <v>8.7499999999999994E-2</v>
      </c>
      <c r="H145" s="217">
        <f t="shared" si="445"/>
        <v>5.7399999999999993</v>
      </c>
      <c r="I145" s="217">
        <f t="shared" si="446"/>
        <v>0.7</v>
      </c>
      <c r="J145" s="541">
        <f t="shared" si="447"/>
        <v>9.9336793072405971</v>
      </c>
      <c r="K145" s="443">
        <f t="shared" si="448"/>
        <v>17.129352979943761</v>
      </c>
      <c r="L145" s="172">
        <f t="shared" si="449"/>
        <v>27.063032287184356</v>
      </c>
      <c r="M145" s="443"/>
      <c r="N145" s="217">
        <f t="shared" si="450"/>
        <v>0.63294285718512522</v>
      </c>
      <c r="O145" s="172">
        <f t="shared" si="451"/>
        <v>18.680109122210901</v>
      </c>
      <c r="P145" s="172">
        <f t="shared" si="452"/>
        <v>2.5558745378396832</v>
      </c>
      <c r="Q145" s="217">
        <f t="shared" si="322"/>
        <v>1.1390310440372502</v>
      </c>
      <c r="R145" s="217">
        <f t="shared" si="453"/>
        <v>2.3350136402763626</v>
      </c>
      <c r="S145" s="217">
        <f t="shared" si="454"/>
        <v>16.399999999999999</v>
      </c>
      <c r="T145" s="217">
        <f t="shared" si="455"/>
        <v>2.0485247926719596</v>
      </c>
      <c r="U145" s="217">
        <f t="shared" si="326"/>
        <v>2.4746417467036239</v>
      </c>
      <c r="V145" s="217">
        <f t="shared" si="327"/>
        <v>1.4350978429159689</v>
      </c>
      <c r="W145" s="197">
        <f t="shared" si="328"/>
        <v>350</v>
      </c>
      <c r="X145" s="443">
        <f t="shared" si="435"/>
        <v>243.32441951451295</v>
      </c>
      <c r="Z145" s="217">
        <f t="shared" si="329"/>
        <v>1.4970122293060997</v>
      </c>
      <c r="AA145" s="173">
        <f t="shared" si="330"/>
        <v>1.0487346937567854</v>
      </c>
      <c r="AB145" s="173">
        <f t="shared" si="456"/>
        <v>0.24488098149531468</v>
      </c>
      <c r="AC145" s="173"/>
      <c r="AD145" s="173">
        <f t="shared" si="332"/>
        <v>0.93406913960696103</v>
      </c>
      <c r="AE145" s="545">
        <f t="shared" si="457"/>
        <v>562.05689465440446</v>
      </c>
      <c r="AF145" s="528">
        <f t="shared" si="458"/>
        <v>0.21794946590829092</v>
      </c>
      <c r="AH145" s="173">
        <f t="shared" si="459"/>
        <v>1.7511900715418263</v>
      </c>
      <c r="AI145" s="173">
        <f t="shared" si="460"/>
        <v>2.0485247926719596</v>
      </c>
      <c r="AJ145" s="173">
        <f t="shared" si="461"/>
        <v>1.7297714513619451</v>
      </c>
      <c r="AL145" s="545">
        <f t="shared" si="462"/>
        <v>350</v>
      </c>
      <c r="AM145" s="460">
        <f t="shared" si="463"/>
        <v>243.32441951451295</v>
      </c>
      <c r="AO145" s="460">
        <f t="shared" si="340"/>
        <v>350</v>
      </c>
      <c r="AP145" s="460">
        <f t="shared" si="341"/>
        <v>243.32441951451295</v>
      </c>
      <c r="AR145" s="5">
        <f t="shared" si="443"/>
        <v>4.1097395896195925</v>
      </c>
      <c r="AS145" s="5">
        <f t="shared" si="440"/>
        <v>2.4746417467036239</v>
      </c>
      <c r="AT145" s="5">
        <f t="shared" si="441"/>
        <v>1.6350978429159686</v>
      </c>
      <c r="AU145" s="173">
        <f t="shared" si="442"/>
        <v>0.60214076652303972</v>
      </c>
      <c r="AW145" s="5">
        <f t="shared" si="342"/>
        <v>5.2812476301601734</v>
      </c>
      <c r="AX145" s="5">
        <f t="shared" si="343"/>
        <v>2.7066394104570883</v>
      </c>
      <c r="AY145" s="5">
        <f t="shared" si="344"/>
        <v>0.7873435182853693</v>
      </c>
      <c r="AZ145" s="5"/>
      <c r="BA145" s="173">
        <f t="shared" si="345"/>
        <v>0.9177610298223261</v>
      </c>
      <c r="BB145" s="173">
        <f t="shared" si="346"/>
        <v>0.74601114884655828</v>
      </c>
      <c r="BC145" s="173">
        <f t="shared" si="347"/>
        <v>0.18302425602978686</v>
      </c>
      <c r="BD145" s="173"/>
      <c r="BE145" s="528">
        <f t="shared" si="348"/>
        <v>1.6845706157210733E-2</v>
      </c>
      <c r="BF145" s="528">
        <f t="shared" si="464"/>
        <v>0.25293250671469469</v>
      </c>
      <c r="BG145" s="528">
        <f t="shared" si="465"/>
        <v>6.0427668776941182E-2</v>
      </c>
      <c r="BH145" s="528">
        <f t="shared" si="351"/>
        <v>1.7821268248409294E-2</v>
      </c>
      <c r="BI145">
        <f t="shared" si="352"/>
        <v>4.4701556882582689E-3</v>
      </c>
      <c r="BJ145" s="460">
        <f t="shared" si="436"/>
        <v>64.897824465199449</v>
      </c>
      <c r="BK145">
        <f t="shared" si="466"/>
        <v>0.29332185417329987</v>
      </c>
      <c r="BL145" s="460">
        <f t="shared" si="437"/>
        <v>352.49730558551414</v>
      </c>
      <c r="BM145" s="173">
        <f t="shared" si="467"/>
        <v>0.21743749999999995</v>
      </c>
      <c r="BN145" s="173">
        <f t="shared" si="468"/>
        <v>5.4359374999999988E-2</v>
      </c>
      <c r="BO145" s="528"/>
      <c r="BQ145" s="460">
        <f t="shared" si="356"/>
        <v>271.79687499999994</v>
      </c>
      <c r="BR145" s="528">
        <f t="shared" si="357"/>
        <v>2.5268559235816095E-2</v>
      </c>
      <c r="BS145" s="528">
        <f t="shared" si="358"/>
        <v>1.669597902610085E-2</v>
      </c>
      <c r="BT145" s="528">
        <f t="shared" si="359"/>
        <v>1.6748939147628487E-4</v>
      </c>
      <c r="BU145" s="528">
        <f t="shared" si="360"/>
        <v>0.27735583400064862</v>
      </c>
      <c r="BV145" s="528"/>
      <c r="BW145" s="625">
        <f t="shared" si="469"/>
        <v>5.1054984563877566E-3</v>
      </c>
      <c r="BX145" s="460">
        <f t="shared" si="362"/>
        <v>324.59336011042961</v>
      </c>
      <c r="BY145" s="173">
        <f t="shared" si="363"/>
        <v>0.9488875406959435</v>
      </c>
      <c r="BZ145" s="5">
        <f t="shared" si="364"/>
        <v>6.4399999999999995</v>
      </c>
      <c r="CA145" s="173">
        <f t="shared" si="365"/>
        <v>0.87157910639866509</v>
      </c>
      <c r="CB145" s="5">
        <f t="shared" si="366"/>
        <v>87.157910639866515</v>
      </c>
      <c r="CC145">
        <f t="shared" si="367"/>
        <v>35</v>
      </c>
      <c r="CE145" s="562">
        <f t="shared" si="470"/>
        <v>-50</v>
      </c>
      <c r="CF145">
        <f t="shared" si="471"/>
        <v>-50</v>
      </c>
      <c r="CG145" s="173">
        <f t="shared" si="370"/>
        <v>0.35771495841706197</v>
      </c>
      <c r="CH145" s="173">
        <f t="shared" si="472"/>
        <v>0.12498995131688433</v>
      </c>
      <c r="CI145" s="170">
        <v>35</v>
      </c>
      <c r="CJ145" s="217">
        <f t="shared" si="438"/>
        <v>0.35</v>
      </c>
      <c r="CK145" s="217">
        <f t="shared" si="372"/>
        <v>8.7499999999999994E-2</v>
      </c>
      <c r="CL145" s="217">
        <f t="shared" si="373"/>
        <v>5.7399999999999993</v>
      </c>
      <c r="CM145" s="217">
        <f t="shared" si="374"/>
        <v>0.7</v>
      </c>
      <c r="CN145" s="541">
        <f t="shared" si="375"/>
        <v>10</v>
      </c>
      <c r="CO145" s="443">
        <f t="shared" si="473"/>
        <v>17.099999999999998</v>
      </c>
      <c r="CP145" s="443">
        <f t="shared" si="474"/>
        <v>27.099999999999998</v>
      </c>
      <c r="CQ145" s="443"/>
      <c r="CR145" s="217">
        <f t="shared" si="378"/>
        <v>0.62686567164179097</v>
      </c>
      <c r="CS145" s="172">
        <f t="shared" si="379"/>
        <v>18.624269954574949</v>
      </c>
      <c r="CT145" s="172">
        <f t="shared" si="380"/>
        <v>2.5482344375682562</v>
      </c>
      <c r="CU145" s="217">
        <f t="shared" si="381"/>
        <v>1.135626216742375</v>
      </c>
      <c r="CV145" s="217">
        <f t="shared" si="382"/>
        <v>2.3280337443218686</v>
      </c>
      <c r="CW145" s="217">
        <f t="shared" si="383"/>
        <v>16.399999999999999</v>
      </c>
      <c r="CX145" s="217">
        <f t="shared" si="384"/>
        <v>2.0546666666666669</v>
      </c>
      <c r="CY145" s="217">
        <f t="shared" si="385"/>
        <v>2.4656000000000002</v>
      </c>
      <c r="CZ145" s="217">
        <f t="shared" si="386"/>
        <v>1.44187134502924</v>
      </c>
      <c r="DA145" s="197">
        <f t="shared" si="387"/>
        <v>350</v>
      </c>
      <c r="DB145" s="443">
        <f t="shared" si="388"/>
        <v>255.91998295064067</v>
      </c>
      <c r="DD145" s="217">
        <f t="shared" si="389"/>
        <v>1.5023721665788083</v>
      </c>
      <c r="DE145" s="173">
        <f t="shared" si="390"/>
        <v>1.0542962572482866</v>
      </c>
      <c r="DF145" s="173">
        <f t="shared" si="391"/>
        <v>0.24706104135140031</v>
      </c>
      <c r="DG145" s="173"/>
      <c r="DH145" s="173">
        <f t="shared" si="392"/>
        <v>0.93567251461988332</v>
      </c>
      <c r="DI145" s="545">
        <f t="shared" si="393"/>
        <v>561.09374999999977</v>
      </c>
      <c r="DJ145" s="528">
        <f t="shared" si="394"/>
        <v>0.21832358674463945</v>
      </c>
      <c r="DL145" s="173">
        <f t="shared" si="395"/>
        <v>1.7511900715418263</v>
      </c>
      <c r="DM145" s="173">
        <f t="shared" si="396"/>
        <v>2.0546666666666669</v>
      </c>
      <c r="DN145" s="173">
        <f t="shared" si="397"/>
        <v>1.7343209876543209</v>
      </c>
      <c r="DP145" s="545">
        <f t="shared" si="398"/>
        <v>350</v>
      </c>
      <c r="DQ145" s="460">
        <f t="shared" si="399"/>
        <v>255.91998295064067</v>
      </c>
      <c r="DS145" s="460">
        <f t="shared" si="400"/>
        <v>350</v>
      </c>
      <c r="DT145" s="460">
        <f t="shared" si="401"/>
        <v>255.91998295064067</v>
      </c>
      <c r="DV145" s="5">
        <f t="shared" si="402"/>
        <v>3.9074713450292395</v>
      </c>
      <c r="DW145" s="5">
        <f t="shared" si="403"/>
        <v>2.4656000000000002</v>
      </c>
      <c r="DX145" s="5">
        <f t="shared" si="404"/>
        <v>1.4418713450292393</v>
      </c>
      <c r="DY145" s="173">
        <f t="shared" si="405"/>
        <v>0.63099630996309974</v>
      </c>
      <c r="EA145" s="5">
        <f t="shared" si="406"/>
        <v>5.2619512195121967</v>
      </c>
      <c r="EB145" s="5">
        <f t="shared" si="407"/>
        <v>2.6967500000000002</v>
      </c>
      <c r="EC145" s="5">
        <f t="shared" si="408"/>
        <v>0.68969512670565258</v>
      </c>
      <c r="ED145" s="5"/>
      <c r="EE145" s="173">
        <f t="shared" si="409"/>
        <v>0.94231077623891712</v>
      </c>
      <c r="EF145" s="173">
        <f t="shared" si="410"/>
        <v>0.7206030608832994</v>
      </c>
      <c r="EG145" s="173">
        <f t="shared" si="411"/>
        <v>0.17679070790680659</v>
      </c>
      <c r="EH145" s="173"/>
      <c r="EI145" s="528">
        <f t="shared" si="412"/>
        <v>1.7758991980319813E-2</v>
      </c>
      <c r="EJ145" s="528">
        <f t="shared" si="413"/>
        <v>0.28500000000000003</v>
      </c>
      <c r="EK145" s="528">
        <f t="shared" si="414"/>
        <v>3.1989997868830083E-2</v>
      </c>
      <c r="EL145" s="528">
        <f t="shared" si="415"/>
        <v>1.8795019467878E-2</v>
      </c>
      <c r="EM145">
        <f t="shared" si="416"/>
        <v>4.4999999999999997E-3</v>
      </c>
      <c r="EN145" s="460">
        <f t="shared" si="417"/>
        <v>36.489997868830081</v>
      </c>
      <c r="EP145" s="460">
        <f t="shared" si="439"/>
        <v>358.04400931702793</v>
      </c>
      <c r="EQ145" s="173">
        <f t="shared" si="418"/>
        <v>0.24499999999999997</v>
      </c>
      <c r="ER145" s="173">
        <f t="shared" si="475"/>
        <v>3.8828124999999998E-2</v>
      </c>
      <c r="ES145" s="528"/>
      <c r="EU145" s="460">
        <f t="shared" si="420"/>
        <v>283.828125</v>
      </c>
      <c r="EV145" s="528">
        <f t="shared" si="421"/>
        <v>2.6638487970479716E-2</v>
      </c>
      <c r="EW145" s="528">
        <f t="shared" si="422"/>
        <v>1.5578063140631402E-2</v>
      </c>
      <c r="EX145" s="528">
        <f t="shared" si="423"/>
        <v>1.5627477201094907E-4</v>
      </c>
      <c r="EY145" s="528">
        <f t="shared" si="424"/>
        <v>0.31701801185397399</v>
      </c>
      <c r="EZ145" s="528"/>
      <c r="FA145" s="625">
        <f t="shared" si="425"/>
        <v>5.4020295202952037E-3</v>
      </c>
      <c r="FB145" s="460">
        <f t="shared" si="426"/>
        <v>364.79286725739132</v>
      </c>
      <c r="FC145" s="173">
        <f t="shared" si="427"/>
        <v>1.0066650015744192</v>
      </c>
      <c r="FD145" s="5">
        <f t="shared" si="428"/>
        <v>6.4399999999999995</v>
      </c>
      <c r="FE145" s="173">
        <f t="shared" si="429"/>
        <v>0.86481666606976626</v>
      </c>
      <c r="FF145" s="5">
        <f t="shared" si="430"/>
        <v>86.481666606976631</v>
      </c>
      <c r="FG145">
        <f t="shared" si="431"/>
        <v>35</v>
      </c>
      <c r="FI145" s="562">
        <f t="shared" si="432"/>
        <v>-50</v>
      </c>
      <c r="FJ145">
        <f t="shared" si="433"/>
        <v>-50</v>
      </c>
    </row>
    <row r="146" spans="5:166">
      <c r="E146" s="170">
        <v>36</v>
      </c>
      <c r="F146" s="217">
        <f t="shared" si="476"/>
        <v>0.36</v>
      </c>
      <c r="G146" s="217">
        <f t="shared" si="444"/>
        <v>0.09</v>
      </c>
      <c r="H146" s="217">
        <f t="shared" si="445"/>
        <v>5.903999999999999</v>
      </c>
      <c r="I146" s="217">
        <f t="shared" si="446"/>
        <v>0.72</v>
      </c>
      <c r="J146" s="541">
        <f t="shared" si="447"/>
        <v>9.9317844303046137</v>
      </c>
      <c r="K146" s="443">
        <f t="shared" si="448"/>
        <v>17.130191636513583</v>
      </c>
      <c r="L146" s="172">
        <f t="shared" si="449"/>
        <v>27.061976066818197</v>
      </c>
      <c r="M146" s="443"/>
      <c r="N146" s="217">
        <f t="shared" si="450"/>
        <v>0.63299855096382329</v>
      </c>
      <c r="O146" s="172">
        <f t="shared" si="451"/>
        <v>18.678189222288637</v>
      </c>
      <c r="P146" s="172">
        <f t="shared" si="452"/>
        <v>2.555611850759302</v>
      </c>
      <c r="Q146" s="217">
        <f t="shared" si="322"/>
        <v>1.1389139769688195</v>
      </c>
      <c r="R146" s="217">
        <f t="shared" si="453"/>
        <v>2.3347736527860796</v>
      </c>
      <c r="S146" s="217">
        <f t="shared" si="454"/>
        <v>16.399999999999999</v>
      </c>
      <c r="T146" s="217">
        <f t="shared" si="455"/>
        <v>2.1072706530369554</v>
      </c>
      <c r="U146" s="217">
        <f t="shared" si="326"/>
        <v>2.5460931027948108</v>
      </c>
      <c r="V146" s="217">
        <f t="shared" si="327"/>
        <v>1.4761800902765643</v>
      </c>
      <c r="W146" s="197">
        <f t="shared" si="328"/>
        <v>350</v>
      </c>
      <c r="X146" s="443">
        <f t="shared" si="435"/>
        <v>236.83924612954232</v>
      </c>
      <c r="Z146" s="217">
        <f t="shared" si="329"/>
        <v>1.4968583697304481</v>
      </c>
      <c r="AA146" s="173">
        <f t="shared" si="330"/>
        <v>1.0485755686747908</v>
      </c>
      <c r="AB146" s="173">
        <f t="shared" si="456"/>
        <v>0.24481866106970815</v>
      </c>
      <c r="AC146" s="173"/>
      <c r="AD146" s="173">
        <f t="shared" si="332"/>
        <v>0.93402340963281816</v>
      </c>
      <c r="AE146" s="545">
        <f t="shared" si="457"/>
        <v>578.14396773233318</v>
      </c>
      <c r="AF146" s="528">
        <f t="shared" si="458"/>
        <v>0.21793879558099091</v>
      </c>
      <c r="AH146" s="173">
        <f t="shared" si="459"/>
        <v>1.7760308877622915</v>
      </c>
      <c r="AI146" s="173">
        <f t="shared" si="460"/>
        <v>2.1072706530369554</v>
      </c>
      <c r="AJ146" s="173">
        <f t="shared" si="461"/>
        <v>1.7732869034841643</v>
      </c>
      <c r="AL146" s="545">
        <f t="shared" si="462"/>
        <v>360</v>
      </c>
      <c r="AM146" s="460">
        <f t="shared" si="463"/>
        <v>236.83924612954232</v>
      </c>
      <c r="AO146" s="460">
        <f t="shared" si="340"/>
        <v>360</v>
      </c>
      <c r="AP146" s="460">
        <f t="shared" si="341"/>
        <v>236.83924612954232</v>
      </c>
      <c r="AR146" s="5">
        <f t="shared" si="443"/>
        <v>4.2222731930713753</v>
      </c>
      <c r="AS146" s="5">
        <f t="shared" si="440"/>
        <v>2.5460931027948108</v>
      </c>
      <c r="AT146" s="5">
        <f t="shared" si="441"/>
        <v>1.6761800902765644</v>
      </c>
      <c r="AU146" s="173">
        <f t="shared" si="442"/>
        <v>0.60301477104155032</v>
      </c>
      <c r="AW146" s="5">
        <f t="shared" si="342"/>
        <v>5.5889848597934879</v>
      </c>
      <c r="AX146" s="5">
        <f t="shared" si="343"/>
        <v>2.8643547406441621</v>
      </c>
      <c r="AY146" s="5">
        <f t="shared" si="344"/>
        <v>0.83034484910862694</v>
      </c>
      <c r="AZ146" s="5"/>
      <c r="BA146" s="173">
        <f t="shared" si="345"/>
        <v>0.9447647192184051</v>
      </c>
      <c r="BB146" s="173">
        <f t="shared" si="346"/>
        <v>0.76656125676323705</v>
      </c>
      <c r="BC146" s="173">
        <f t="shared" si="347"/>
        <v>0.18806596112842683</v>
      </c>
      <c r="BD146" s="173"/>
      <c r="BE146" s="528">
        <f t="shared" si="348"/>
        <v>1.7851607493596638E-2</v>
      </c>
      <c r="BF146" s="528">
        <f t="shared" si="464"/>
        <v>0.25324143552743356</v>
      </c>
      <c r="BG146" s="528">
        <f t="shared" si="465"/>
        <v>5.8805908429861761E-2</v>
      </c>
      <c r="BH146" s="528">
        <f t="shared" si="351"/>
        <v>1.7344935184270088E-2</v>
      </c>
      <c r="BI146">
        <f t="shared" si="352"/>
        <v>4.4693029936370759E-3</v>
      </c>
      <c r="BJ146" s="460">
        <f t="shared" si="436"/>
        <v>63.275211423498831</v>
      </c>
      <c r="BK146">
        <f t="shared" si="466"/>
        <v>0.29450707634465495</v>
      </c>
      <c r="BL146" s="460">
        <f t="shared" si="437"/>
        <v>351.71318962879917</v>
      </c>
      <c r="BM146" s="173">
        <f t="shared" si="467"/>
        <v>0.22364999999999999</v>
      </c>
      <c r="BN146" s="173">
        <f t="shared" si="468"/>
        <v>5.5912499999999997E-2</v>
      </c>
      <c r="BO146" s="528"/>
      <c r="BQ146" s="460">
        <f t="shared" si="356"/>
        <v>279.5625</v>
      </c>
      <c r="BR146" s="528">
        <f t="shared" si="357"/>
        <v>2.6777411240394955E-2</v>
      </c>
      <c r="BS146" s="528">
        <f t="shared" si="358"/>
        <v>1.7628484811113003E-2</v>
      </c>
      <c r="BT146" s="528">
        <f t="shared" si="359"/>
        <v>1.7684402867579476E-4</v>
      </c>
      <c r="BU146" s="528">
        <f t="shared" si="360"/>
        <v>0.27823065418326076</v>
      </c>
      <c r="BV146" s="528"/>
      <c r="BW146" s="625">
        <f t="shared" si="469"/>
        <v>5.2585294722729825E-3</v>
      </c>
      <c r="BX146" s="460">
        <f t="shared" si="362"/>
        <v>328.07192373571746</v>
      </c>
      <c r="BY146" s="173">
        <f t="shared" si="363"/>
        <v>0.95934761336451668</v>
      </c>
      <c r="BZ146" s="5">
        <f t="shared" si="364"/>
        <v>6.6239999999999988</v>
      </c>
      <c r="CA146" s="173">
        <f t="shared" si="365"/>
        <v>0.8734928606366652</v>
      </c>
      <c r="CB146" s="5">
        <f t="shared" si="366"/>
        <v>87.349286063666526</v>
      </c>
      <c r="CC146">
        <f t="shared" si="367"/>
        <v>36</v>
      </c>
      <c r="CE146" s="562">
        <f t="shared" si="470"/>
        <v>-50</v>
      </c>
      <c r="CF146">
        <f t="shared" si="471"/>
        <v>-50</v>
      </c>
      <c r="CG146" s="173">
        <f t="shared" si="370"/>
        <v>0.35771495841706197</v>
      </c>
      <c r="CH146" s="173">
        <f t="shared" si="472"/>
        <v>0.12498995131688433</v>
      </c>
      <c r="CI146" s="170">
        <v>36</v>
      </c>
      <c r="CJ146" s="217">
        <f t="shared" si="438"/>
        <v>0.36</v>
      </c>
      <c r="CK146" s="217">
        <f t="shared" si="372"/>
        <v>0.09</v>
      </c>
      <c r="CL146" s="217">
        <f t="shared" si="373"/>
        <v>5.903999999999999</v>
      </c>
      <c r="CM146" s="217">
        <f t="shared" si="374"/>
        <v>0.72</v>
      </c>
      <c r="CN146" s="541">
        <f t="shared" si="375"/>
        <v>10</v>
      </c>
      <c r="CO146" s="443">
        <f t="shared" si="473"/>
        <v>17.099999999999998</v>
      </c>
      <c r="CP146" s="443">
        <f t="shared" si="474"/>
        <v>27.099999999999998</v>
      </c>
      <c r="CQ146" s="443"/>
      <c r="CR146" s="217">
        <f t="shared" si="378"/>
        <v>0.62686567164179097</v>
      </c>
      <c r="CS146" s="172">
        <f t="shared" si="379"/>
        <v>18.624269954574949</v>
      </c>
      <c r="CT146" s="172">
        <f t="shared" si="380"/>
        <v>2.5482344375682562</v>
      </c>
      <c r="CU146" s="217">
        <f t="shared" si="381"/>
        <v>1.135626216742375</v>
      </c>
      <c r="CV146" s="217">
        <f t="shared" si="382"/>
        <v>2.3280337443218686</v>
      </c>
      <c r="CW146" s="217">
        <f t="shared" si="383"/>
        <v>16.399999999999999</v>
      </c>
      <c r="CX146" s="217">
        <f t="shared" si="384"/>
        <v>2.1133714285714285</v>
      </c>
      <c r="CY146" s="217">
        <f t="shared" si="385"/>
        <v>2.5360457142857142</v>
      </c>
      <c r="CZ146" s="217">
        <f t="shared" si="386"/>
        <v>1.4830676691729325</v>
      </c>
      <c r="DA146" s="197">
        <f t="shared" si="387"/>
        <v>350</v>
      </c>
      <c r="DB146" s="443">
        <f t="shared" si="388"/>
        <v>248.81109453534509</v>
      </c>
      <c r="DD146" s="217">
        <f t="shared" si="389"/>
        <v>1.5023721665788083</v>
      </c>
      <c r="DE146" s="173">
        <f t="shared" si="390"/>
        <v>1.0542962572482866</v>
      </c>
      <c r="DF146" s="173">
        <f t="shared" si="391"/>
        <v>0.24706104135140031</v>
      </c>
      <c r="DG146" s="173"/>
      <c r="DH146" s="173">
        <f t="shared" si="392"/>
        <v>0.93567251461988332</v>
      </c>
      <c r="DI146" s="545">
        <f t="shared" si="393"/>
        <v>577.12499999999977</v>
      </c>
      <c r="DJ146" s="528">
        <f t="shared" si="394"/>
        <v>0.21832358674463945</v>
      </c>
      <c r="DL146" s="173">
        <f t="shared" si="395"/>
        <v>1.7760308877622915</v>
      </c>
      <c r="DM146" s="173">
        <f t="shared" si="396"/>
        <v>2.1133714285714285</v>
      </c>
      <c r="DN146" s="173">
        <f t="shared" si="397"/>
        <v>1.7778059964726629</v>
      </c>
      <c r="DP146" s="545">
        <f t="shared" si="398"/>
        <v>360</v>
      </c>
      <c r="DQ146" s="460">
        <f t="shared" si="399"/>
        <v>248.81109453534509</v>
      </c>
      <c r="DS146" s="460">
        <f t="shared" si="400"/>
        <v>360</v>
      </c>
      <c r="DT146" s="460">
        <f t="shared" si="401"/>
        <v>248.81109453534509</v>
      </c>
      <c r="DV146" s="5">
        <f t="shared" si="402"/>
        <v>4.0191133834586461</v>
      </c>
      <c r="DW146" s="5">
        <f t="shared" si="403"/>
        <v>2.5360457142857142</v>
      </c>
      <c r="DX146" s="5">
        <f t="shared" si="404"/>
        <v>1.4830676691729319</v>
      </c>
      <c r="DY146" s="173">
        <f t="shared" si="405"/>
        <v>0.63099630996309974</v>
      </c>
      <c r="EA146" s="5">
        <f t="shared" si="406"/>
        <v>5.5669296167247397</v>
      </c>
      <c r="EB146" s="5">
        <f t="shared" si="407"/>
        <v>2.8530514285714283</v>
      </c>
      <c r="EC146" s="5">
        <f t="shared" si="408"/>
        <v>0.72966929323308227</v>
      </c>
      <c r="ED146" s="5"/>
      <c r="EE146" s="173">
        <f t="shared" si="409"/>
        <v>0.96923394127431461</v>
      </c>
      <c r="EF146" s="173">
        <f t="shared" si="410"/>
        <v>0.74119171976567932</v>
      </c>
      <c r="EG146" s="173">
        <f t="shared" si="411"/>
        <v>0.18184187098985816</v>
      </c>
      <c r="EH146" s="173"/>
      <c r="EI146" s="528">
        <f t="shared" si="412"/>
        <v>1.878828865836283E-2</v>
      </c>
      <c r="EJ146" s="528">
        <f t="shared" si="413"/>
        <v>0.28499999999999998</v>
      </c>
      <c r="EK146" s="528">
        <f t="shared" si="414"/>
        <v>3.1101386816918136E-2</v>
      </c>
      <c r="EL146" s="528">
        <f t="shared" si="415"/>
        <v>1.8272935593770277E-2</v>
      </c>
      <c r="EM146">
        <f t="shared" si="416"/>
        <v>4.4999999999999997E-3</v>
      </c>
      <c r="EN146" s="460">
        <f t="shared" si="417"/>
        <v>35.601386816918136</v>
      </c>
      <c r="EP146" s="460">
        <f t="shared" si="439"/>
        <v>357.66261106905131</v>
      </c>
      <c r="EQ146" s="173">
        <f t="shared" si="418"/>
        <v>0.252</v>
      </c>
      <c r="ER146" s="173">
        <f t="shared" si="475"/>
        <v>3.9937499999999994E-2</v>
      </c>
      <c r="ES146" s="528"/>
      <c r="EU146" s="460">
        <f t="shared" si="420"/>
        <v>291.9375</v>
      </c>
      <c r="EV146" s="528">
        <f t="shared" si="421"/>
        <v>2.8182432987544245E-2</v>
      </c>
      <c r="EW146" s="528">
        <f t="shared" si="422"/>
        <v>1.6480954963476159E-2</v>
      </c>
      <c r="EX146" s="528">
        <f t="shared" si="423"/>
        <v>1.6533233022546109E-4</v>
      </c>
      <c r="EY146" s="528">
        <f t="shared" si="424"/>
        <v>0.31701801185397444</v>
      </c>
      <c r="EZ146" s="528"/>
      <c r="FA146" s="625">
        <f t="shared" si="425"/>
        <v>5.5563732208750655E-3</v>
      </c>
      <c r="FB146" s="460">
        <f t="shared" si="426"/>
        <v>367.40310535609535</v>
      </c>
      <c r="FC146" s="173">
        <f t="shared" si="427"/>
        <v>1.0170032164251464</v>
      </c>
      <c r="FD146" s="5">
        <f t="shared" si="428"/>
        <v>6.6239999999999988</v>
      </c>
      <c r="FE146" s="173">
        <f t="shared" si="429"/>
        <v>0.86690187301073374</v>
      </c>
      <c r="FF146" s="5">
        <f t="shared" si="430"/>
        <v>86.690187301073379</v>
      </c>
      <c r="FG146">
        <f t="shared" si="431"/>
        <v>36</v>
      </c>
      <c r="FI146" s="562">
        <f t="shared" si="432"/>
        <v>-50</v>
      </c>
      <c r="FJ146">
        <f t="shared" si="433"/>
        <v>-50</v>
      </c>
    </row>
    <row r="147" spans="5:166">
      <c r="E147" s="170">
        <v>37</v>
      </c>
      <c r="F147" s="217">
        <f t="shared" si="476"/>
        <v>0.37</v>
      </c>
      <c r="G147" s="217">
        <f t="shared" si="444"/>
        <v>9.2499999999999999E-2</v>
      </c>
      <c r="H147" s="217">
        <f t="shared" si="445"/>
        <v>6.0679999999999996</v>
      </c>
      <c r="I147" s="217">
        <f t="shared" si="446"/>
        <v>0.74</v>
      </c>
      <c r="J147" s="541">
        <f t="shared" si="447"/>
        <v>9.9298895533686302</v>
      </c>
      <c r="K147" s="443">
        <f t="shared" si="448"/>
        <v>17.131030293083406</v>
      </c>
      <c r="L147" s="172">
        <f t="shared" si="449"/>
        <v>27.060919846452038</v>
      </c>
      <c r="M147" s="443"/>
      <c r="N147" s="217">
        <f t="shared" si="450"/>
        <v>0.6330542490901121</v>
      </c>
      <c r="O147" s="172">
        <f t="shared" si="451"/>
        <v>18.676268823549027</v>
      </c>
      <c r="P147" s="172">
        <f t="shared" si="452"/>
        <v>2.5553490954290763</v>
      </c>
      <c r="Q147" s="217">
        <f t="shared" si="322"/>
        <v>1.1387968794846968</v>
      </c>
      <c r="R147" s="217">
        <f t="shared" si="453"/>
        <v>2.3345336029436283</v>
      </c>
      <c r="S147" s="217">
        <f t="shared" si="454"/>
        <v>16.399999999999999</v>
      </c>
      <c r="T147" s="217">
        <f t="shared" si="455"/>
        <v>2.1660286492731067</v>
      </c>
      <c r="U147" s="217">
        <f t="shared" si="326"/>
        <v>2.6175863942474162</v>
      </c>
      <c r="V147" s="217">
        <f t="shared" si="327"/>
        <v>1.5172668162154614</v>
      </c>
      <c r="W147" s="197">
        <f t="shared" si="328"/>
        <v>350</v>
      </c>
      <c r="X147" s="443">
        <f t="shared" si="435"/>
        <v>230.68831894614939</v>
      </c>
      <c r="Z147" s="217">
        <f t="shared" si="329"/>
        <v>1.4967044701798873</v>
      </c>
      <c r="AA147" s="173">
        <f t="shared" si="330"/>
        <v>1.0484164311711082</v>
      </c>
      <c r="AB147" s="173">
        <f t="shared" si="456"/>
        <v>0.24475633884471873</v>
      </c>
      <c r="AC147" s="173"/>
      <c r="AD147" s="173">
        <f t="shared" si="332"/>
        <v>0.93397768413613447</v>
      </c>
      <c r="AE147" s="545">
        <f t="shared" si="457"/>
        <v>594.23261329133038</v>
      </c>
      <c r="AF147" s="528">
        <f t="shared" si="458"/>
        <v>0.21792812629843139</v>
      </c>
      <c r="AH147" s="173">
        <f t="shared" si="459"/>
        <v>1.8005290227887918</v>
      </c>
      <c r="AI147" s="173">
        <f t="shared" si="460"/>
        <v>2.1660286492731067</v>
      </c>
      <c r="AJ147" s="173">
        <f t="shared" si="461"/>
        <v>1.8168113451405727</v>
      </c>
      <c r="AL147" s="545">
        <f t="shared" si="462"/>
        <v>370</v>
      </c>
      <c r="AM147" s="460">
        <f t="shared" si="463"/>
        <v>230.68831894614939</v>
      </c>
      <c r="AO147" s="460">
        <f t="shared" si="340"/>
        <v>370</v>
      </c>
      <c r="AP147" s="460">
        <f t="shared" si="341"/>
        <v>230.68831894614939</v>
      </c>
      <c r="AR147" s="5">
        <f t="shared" si="443"/>
        <v>4.3348532104628781</v>
      </c>
      <c r="AS147" s="5">
        <f t="shared" si="440"/>
        <v>2.6175863942474162</v>
      </c>
      <c r="AT147" s="5">
        <f t="shared" si="441"/>
        <v>1.7172668162154618</v>
      </c>
      <c r="AU147" s="173">
        <f t="shared" si="442"/>
        <v>0.603846604985249</v>
      </c>
      <c r="AW147" s="5">
        <f t="shared" si="342"/>
        <v>5.9055302797045375</v>
      </c>
      <c r="AX147" s="5">
        <f t="shared" si="343"/>
        <v>3.0265842683485746</v>
      </c>
      <c r="AY147" s="5">
        <f t="shared" si="344"/>
        <v>0.87449571525029346</v>
      </c>
      <c r="AZ147" s="5"/>
      <c r="BA147" s="173">
        <f t="shared" si="345"/>
        <v>0.97177759900459659</v>
      </c>
      <c r="BB147" s="173">
        <f t="shared" si="346"/>
        <v>0.78710969241702333</v>
      </c>
      <c r="BC147" s="173">
        <f t="shared" si="347"/>
        <v>0.19310725595883926</v>
      </c>
      <c r="BD147" s="173"/>
      <c r="BE147" s="528">
        <f t="shared" si="348"/>
        <v>1.8887034038542774E-2</v>
      </c>
      <c r="BF147" s="528">
        <f t="shared" si="464"/>
        <v>0.25353249356412205</v>
      </c>
      <c r="BG147" s="528">
        <f t="shared" si="465"/>
        <v>5.7267738209688487E-2</v>
      </c>
      <c r="BH147" s="528">
        <f t="shared" si="351"/>
        <v>1.6893152948491818E-2</v>
      </c>
      <c r="BI147">
        <f t="shared" si="352"/>
        <v>4.4684502990158838E-3</v>
      </c>
      <c r="BJ147" s="460">
        <f t="shared" si="436"/>
        <v>61.736188508704366</v>
      </c>
      <c r="BK147">
        <f t="shared" si="466"/>
        <v>0.29573932750741516</v>
      </c>
      <c r="BL147" s="460">
        <f t="shared" si="437"/>
        <v>351.04886905986098</v>
      </c>
      <c r="BM147" s="173">
        <f t="shared" si="467"/>
        <v>0.2298625</v>
      </c>
      <c r="BN147" s="173">
        <f t="shared" si="468"/>
        <v>5.7465624999999999E-2</v>
      </c>
      <c r="BO147" s="528"/>
      <c r="BQ147" s="460">
        <f t="shared" si="356"/>
        <v>287.328125</v>
      </c>
      <c r="BR147" s="528">
        <f t="shared" si="357"/>
        <v>2.8330551057814155E-2</v>
      </c>
      <c r="BS147" s="528">
        <f t="shared" si="358"/>
        <v>1.8586250036904631E-2</v>
      </c>
      <c r="BT147" s="528">
        <f t="shared" si="359"/>
        <v>1.8645206151976333E-4</v>
      </c>
      <c r="BU147" s="528">
        <f t="shared" si="360"/>
        <v>0.27905801875800873</v>
      </c>
      <c r="BV147" s="528"/>
      <c r="BW147" s="625">
        <f t="shared" si="469"/>
        <v>5.4115789874357697E-3</v>
      </c>
      <c r="BX147" s="460">
        <f t="shared" si="362"/>
        <v>331.57285090168301</v>
      </c>
      <c r="BY147" s="173">
        <f t="shared" si="363"/>
        <v>0.96994984496154391</v>
      </c>
      <c r="BZ147" s="5">
        <f t="shared" si="364"/>
        <v>6.8079999999999998</v>
      </c>
      <c r="CA147" s="173">
        <f t="shared" si="365"/>
        <v>0.87529492163158329</v>
      </c>
      <c r="CB147" s="5">
        <f t="shared" si="366"/>
        <v>87.529492163158324</v>
      </c>
      <c r="CC147">
        <f t="shared" si="367"/>
        <v>37</v>
      </c>
      <c r="CE147" s="562">
        <f t="shared" si="470"/>
        <v>-50</v>
      </c>
      <c r="CF147">
        <f t="shared" si="471"/>
        <v>-50</v>
      </c>
      <c r="CG147" s="173">
        <f t="shared" si="370"/>
        <v>0.35771495841706197</v>
      </c>
      <c r="CH147" s="173">
        <f t="shared" si="472"/>
        <v>0.12498995131688433</v>
      </c>
      <c r="CI147" s="170">
        <v>37</v>
      </c>
      <c r="CJ147" s="217">
        <f t="shared" si="438"/>
        <v>0.37</v>
      </c>
      <c r="CK147" s="217">
        <f t="shared" si="372"/>
        <v>9.2499999999999999E-2</v>
      </c>
      <c r="CL147" s="217">
        <f t="shared" si="373"/>
        <v>6.0679999999999996</v>
      </c>
      <c r="CM147" s="217">
        <f t="shared" si="374"/>
        <v>0.74</v>
      </c>
      <c r="CN147" s="541">
        <f t="shared" si="375"/>
        <v>10</v>
      </c>
      <c r="CO147" s="443">
        <f t="shared" si="473"/>
        <v>17.099999999999998</v>
      </c>
      <c r="CP147" s="443">
        <f t="shared" si="474"/>
        <v>27.099999999999998</v>
      </c>
      <c r="CQ147" s="443"/>
      <c r="CR147" s="217">
        <f t="shared" si="378"/>
        <v>0.62686567164179097</v>
      </c>
      <c r="CS147" s="172">
        <f t="shared" si="379"/>
        <v>18.624269954574949</v>
      </c>
      <c r="CT147" s="172">
        <f t="shared" si="380"/>
        <v>2.5482344375682562</v>
      </c>
      <c r="CU147" s="217">
        <f t="shared" si="381"/>
        <v>1.135626216742375</v>
      </c>
      <c r="CV147" s="217">
        <f t="shared" si="382"/>
        <v>2.3280337443218686</v>
      </c>
      <c r="CW147" s="217">
        <f t="shared" si="383"/>
        <v>16.399999999999999</v>
      </c>
      <c r="CX147" s="217">
        <f t="shared" si="384"/>
        <v>2.1720761904761905</v>
      </c>
      <c r="CY147" s="217">
        <f t="shared" si="385"/>
        <v>2.6064914285714287</v>
      </c>
      <c r="CZ147" s="217">
        <f t="shared" si="386"/>
        <v>1.5242639933166251</v>
      </c>
      <c r="DA147" s="197">
        <f t="shared" si="387"/>
        <v>350</v>
      </c>
      <c r="DB147" s="443">
        <f t="shared" si="388"/>
        <v>242.08647035871411</v>
      </c>
      <c r="DD147" s="217">
        <f t="shared" si="389"/>
        <v>1.5023721665788083</v>
      </c>
      <c r="DE147" s="173">
        <f t="shared" si="390"/>
        <v>1.0542962572482866</v>
      </c>
      <c r="DF147" s="173">
        <f t="shared" si="391"/>
        <v>0.24706104135140031</v>
      </c>
      <c r="DG147" s="173"/>
      <c r="DH147" s="173">
        <f t="shared" si="392"/>
        <v>0.93567251461988332</v>
      </c>
      <c r="DI147" s="545">
        <f t="shared" si="393"/>
        <v>593.15624999999977</v>
      </c>
      <c r="DJ147" s="528">
        <f t="shared" si="394"/>
        <v>0.21832358674463945</v>
      </c>
      <c r="DL147" s="173">
        <f t="shared" si="395"/>
        <v>1.8005290227887918</v>
      </c>
      <c r="DM147" s="173">
        <f t="shared" si="396"/>
        <v>2.1720761904761905</v>
      </c>
      <c r="DN147" s="173">
        <f t="shared" si="397"/>
        <v>1.8212910052910052</v>
      </c>
      <c r="DP147" s="545">
        <f t="shared" si="398"/>
        <v>370</v>
      </c>
      <c r="DQ147" s="460">
        <f t="shared" si="399"/>
        <v>242.08647035871411</v>
      </c>
      <c r="DS147" s="460">
        <f t="shared" si="400"/>
        <v>370</v>
      </c>
      <c r="DT147" s="460">
        <f t="shared" si="401"/>
        <v>242.08647035871411</v>
      </c>
      <c r="DV147" s="5">
        <f t="shared" si="402"/>
        <v>4.130755421888054</v>
      </c>
      <c r="DW147" s="5">
        <f t="shared" si="403"/>
        <v>2.6064914285714287</v>
      </c>
      <c r="DX147" s="5">
        <f t="shared" si="404"/>
        <v>1.5242639933166253</v>
      </c>
      <c r="DY147" s="173">
        <f t="shared" si="405"/>
        <v>0.63099630996309952</v>
      </c>
      <c r="EA147" s="5">
        <f t="shared" si="406"/>
        <v>5.8804989547038335</v>
      </c>
      <c r="EB147" s="5">
        <f t="shared" si="407"/>
        <v>3.0137557142857148</v>
      </c>
      <c r="EC147" s="5">
        <f t="shared" si="408"/>
        <v>0.77076949262044014</v>
      </c>
      <c r="ED147" s="5"/>
      <c r="EE147" s="173">
        <f t="shared" si="409"/>
        <v>0.9961571063097121</v>
      </c>
      <c r="EF147" s="173">
        <f t="shared" si="410"/>
        <v>0.76178037864805959</v>
      </c>
      <c r="EG147" s="173">
        <f t="shared" si="411"/>
        <v>0.18689303407290986</v>
      </c>
      <c r="EH147" s="173"/>
      <c r="EI147" s="528">
        <f t="shared" si="412"/>
        <v>1.9846579609026783E-2</v>
      </c>
      <c r="EJ147" s="528">
        <f t="shared" si="413"/>
        <v>0.28499999999999992</v>
      </c>
      <c r="EK147" s="528">
        <f t="shared" si="414"/>
        <v>3.0260808794839264E-2</v>
      </c>
      <c r="EL147" s="528">
        <f t="shared" si="415"/>
        <v>1.7779072469614323E-2</v>
      </c>
      <c r="EM147">
        <f t="shared" si="416"/>
        <v>4.4999999999999997E-3</v>
      </c>
      <c r="EN147" s="460">
        <f t="shared" si="417"/>
        <v>34.760808794839264</v>
      </c>
      <c r="EP147" s="460">
        <f t="shared" si="439"/>
        <v>357.3864608734803</v>
      </c>
      <c r="EQ147" s="173">
        <f t="shared" si="418"/>
        <v>0.25900000000000001</v>
      </c>
      <c r="ER147" s="173">
        <f t="shared" si="475"/>
        <v>4.1046874999999997E-2</v>
      </c>
      <c r="ES147" s="528"/>
      <c r="EU147" s="460">
        <f t="shared" si="420"/>
        <v>300.046875</v>
      </c>
      <c r="EV147" s="528">
        <f t="shared" si="421"/>
        <v>2.9769869413540172E-2</v>
      </c>
      <c r="EW147" s="528">
        <f t="shared" si="422"/>
        <v>1.740928035879543E-2</v>
      </c>
      <c r="EX147" s="528">
        <f t="shared" si="423"/>
        <v>1.7464503092488922E-4</v>
      </c>
      <c r="EY147" s="528">
        <f t="shared" si="424"/>
        <v>0.31701801185397388</v>
      </c>
      <c r="EZ147" s="528"/>
      <c r="FA147" s="625">
        <f t="shared" si="425"/>
        <v>5.7107169214549291E-3</v>
      </c>
      <c r="FB147" s="460">
        <f t="shared" si="426"/>
        <v>370.08252357868923</v>
      </c>
      <c r="FC147" s="173">
        <f t="shared" si="427"/>
        <v>1.0275158594521698</v>
      </c>
      <c r="FD147" s="5">
        <f t="shared" si="428"/>
        <v>6.8079999999999998</v>
      </c>
      <c r="FE147" s="173">
        <f t="shared" si="429"/>
        <v>0.86886429969857659</v>
      </c>
      <c r="FF147" s="5">
        <f t="shared" si="430"/>
        <v>86.886429969857659</v>
      </c>
      <c r="FG147">
        <f t="shared" si="431"/>
        <v>37</v>
      </c>
      <c r="FI147" s="562">
        <f t="shared" si="432"/>
        <v>-50</v>
      </c>
      <c r="FJ147">
        <f t="shared" si="433"/>
        <v>-50</v>
      </c>
    </row>
    <row r="148" spans="5:166">
      <c r="E148" s="170">
        <v>38</v>
      </c>
      <c r="F148" s="217">
        <f t="shared" si="476"/>
        <v>0.38</v>
      </c>
      <c r="G148" s="217">
        <f t="shared" si="444"/>
        <v>9.5000000000000001E-2</v>
      </c>
      <c r="H148" s="217">
        <f t="shared" si="445"/>
        <v>6.2319999999999993</v>
      </c>
      <c r="I148" s="217">
        <f t="shared" si="446"/>
        <v>0.76</v>
      </c>
      <c r="J148" s="541">
        <f t="shared" si="447"/>
        <v>9.9279946764326485</v>
      </c>
      <c r="K148" s="443">
        <f t="shared" si="448"/>
        <v>17.131868949653228</v>
      </c>
      <c r="L148" s="172">
        <f t="shared" si="449"/>
        <v>27.059863626085878</v>
      </c>
      <c r="M148" s="443"/>
      <c r="N148" s="217">
        <f t="shared" si="450"/>
        <v>0.63310995156450078</v>
      </c>
      <c r="O148" s="172">
        <f t="shared" si="451"/>
        <v>18.674347925933677</v>
      </c>
      <c r="P148" s="172">
        <f t="shared" si="452"/>
        <v>2.5550862718410148</v>
      </c>
      <c r="Q148" s="217">
        <f t="shared" si="322"/>
        <v>1.1386797515813218</v>
      </c>
      <c r="R148" s="217">
        <f t="shared" si="453"/>
        <v>2.3342934907417097</v>
      </c>
      <c r="S148" s="217">
        <f t="shared" si="454"/>
        <v>16.399999999999999</v>
      </c>
      <c r="T148" s="217">
        <f t="shared" si="455"/>
        <v>2.2247987898399093</v>
      </c>
      <c r="U148" s="217">
        <f t="shared" si="326"/>
        <v>2.6891216552980621</v>
      </c>
      <c r="V148" s="217">
        <f t="shared" si="327"/>
        <v>1.5583580260003862</v>
      </c>
      <c r="W148" s="197">
        <f t="shared" si="328"/>
        <v>350</v>
      </c>
      <c r="X148" s="443">
        <f t="shared" si="435"/>
        <v>224.8464460006366</v>
      </c>
      <c r="Z148" s="217">
        <f t="shared" si="329"/>
        <v>1.4965505306497373</v>
      </c>
      <c r="AA148" s="173">
        <f t="shared" si="330"/>
        <v>1.0482572812442834</v>
      </c>
      <c r="AB148" s="173">
        <f t="shared" si="456"/>
        <v>0.24469401482311326</v>
      </c>
      <c r="AC148" s="173"/>
      <c r="AD148" s="173">
        <f t="shared" si="332"/>
        <v>0.93393196311625204</v>
      </c>
      <c r="AE148" s="545">
        <f t="shared" si="457"/>
        <v>610.32283133139617</v>
      </c>
      <c r="AF148" s="528">
        <f t="shared" si="458"/>
        <v>0.21791745806045881</v>
      </c>
      <c r="AH148" s="173">
        <f t="shared" si="459"/>
        <v>1.8246982790378821</v>
      </c>
      <c r="AI148" s="173">
        <f t="shared" si="460"/>
        <v>2.2247987898399093</v>
      </c>
      <c r="AJ148" s="173">
        <f t="shared" si="461"/>
        <v>1.8603447825974635</v>
      </c>
      <c r="AL148" s="545">
        <f t="shared" si="462"/>
        <v>380</v>
      </c>
      <c r="AM148" s="460">
        <f t="shared" si="463"/>
        <v>224.8464460006366</v>
      </c>
      <c r="AO148" s="460">
        <f t="shared" si="340"/>
        <v>380</v>
      </c>
      <c r="AP148" s="460">
        <f t="shared" si="341"/>
        <v>224.8464460006366</v>
      </c>
      <c r="AR148" s="5">
        <f t="shared" si="443"/>
        <v>4.4474796812984483</v>
      </c>
      <c r="AS148" s="5">
        <f t="shared" si="440"/>
        <v>2.6891216552980621</v>
      </c>
      <c r="AT148" s="5">
        <f t="shared" si="441"/>
        <v>1.7583580260003862</v>
      </c>
      <c r="AU148" s="173">
        <f t="shared" si="442"/>
        <v>0.60463944705711825</v>
      </c>
      <c r="AW148" s="5">
        <f t="shared" si="342"/>
        <v>6.2308916403247787</v>
      </c>
      <c r="AX148" s="5">
        <f t="shared" si="343"/>
        <v>3.1933319656664487</v>
      </c>
      <c r="AY148" s="5">
        <f t="shared" si="344"/>
        <v>0.91979696262722421</v>
      </c>
      <c r="AZ148" s="5"/>
      <c r="BA148" s="173">
        <f t="shared" si="345"/>
        <v>0.99879957980343637</v>
      </c>
      <c r="BB148" s="173">
        <f t="shared" si="346"/>
        <v>0.80765666249683143</v>
      </c>
      <c r="BC148" s="173">
        <f t="shared" si="347"/>
        <v>0.1981481912294952</v>
      </c>
      <c r="BD148" s="173"/>
      <c r="BE148" s="528">
        <f t="shared" si="348"/>
        <v>1.9952012012310422E-2</v>
      </c>
      <c r="BF148" s="528">
        <f t="shared" si="464"/>
        <v>0.25380702736133365</v>
      </c>
      <c r="BG148" s="528">
        <f t="shared" si="465"/>
        <v>5.5806857972728031E-2</v>
      </c>
      <c r="BH148" s="528">
        <f t="shared" si="351"/>
        <v>1.6464071157905508E-2</v>
      </c>
      <c r="BI148">
        <f t="shared" si="352"/>
        <v>4.4675976043946916E-3</v>
      </c>
      <c r="BJ148" s="460">
        <f t="shared" si="436"/>
        <v>60.274455577122723</v>
      </c>
      <c r="BK148">
        <f t="shared" si="466"/>
        <v>0.29701819766476267</v>
      </c>
      <c r="BL148" s="460">
        <f t="shared" si="437"/>
        <v>350.49756610867234</v>
      </c>
      <c r="BM148" s="173">
        <f t="shared" si="467"/>
        <v>0.23607499999999995</v>
      </c>
      <c r="BN148" s="173">
        <f t="shared" si="468"/>
        <v>5.9018749999999988E-2</v>
      </c>
      <c r="BO148" s="528"/>
      <c r="BQ148" s="460">
        <f t="shared" si="356"/>
        <v>295.09374999999994</v>
      </c>
      <c r="BR148" s="528">
        <f t="shared" si="357"/>
        <v>2.9928018018465629E-2</v>
      </c>
      <c r="BS148" s="528">
        <f t="shared" si="358"/>
        <v>1.956927853426562E-2</v>
      </c>
      <c r="BT148" s="528">
        <f t="shared" si="359"/>
        <v>1.9631352843760299E-4</v>
      </c>
      <c r="BU148" s="528">
        <f t="shared" si="360"/>
        <v>0.27984137225163291</v>
      </c>
      <c r="BV148" s="528"/>
      <c r="BW148" s="625">
        <f t="shared" si="469"/>
        <v>5.5646456082605929E-3</v>
      </c>
      <c r="BX148" s="460">
        <f t="shared" si="362"/>
        <v>335.09962794106235</v>
      </c>
      <c r="BY148" s="173">
        <f t="shared" si="363"/>
        <v>0.98069094404973478</v>
      </c>
      <c r="BZ148" s="5">
        <f t="shared" si="364"/>
        <v>6.9919999999999991</v>
      </c>
      <c r="CA148" s="173">
        <f t="shared" si="365"/>
        <v>0.87699373386828017</v>
      </c>
      <c r="CB148" s="5">
        <f t="shared" si="366"/>
        <v>87.699373386828015</v>
      </c>
      <c r="CC148">
        <f t="shared" si="367"/>
        <v>38</v>
      </c>
      <c r="CE148" s="562">
        <f t="shared" si="470"/>
        <v>-50</v>
      </c>
      <c r="CF148">
        <f t="shared" si="471"/>
        <v>-50</v>
      </c>
      <c r="CG148" s="173">
        <f t="shared" si="370"/>
        <v>0.35771495841706197</v>
      </c>
      <c r="CH148" s="173">
        <f t="shared" si="472"/>
        <v>0.12498995131688433</v>
      </c>
      <c r="CI148" s="170">
        <v>38</v>
      </c>
      <c r="CJ148" s="217">
        <f t="shared" si="438"/>
        <v>0.38</v>
      </c>
      <c r="CK148" s="217">
        <f t="shared" si="372"/>
        <v>9.5000000000000001E-2</v>
      </c>
      <c r="CL148" s="217">
        <f t="shared" si="373"/>
        <v>6.2319999999999993</v>
      </c>
      <c r="CM148" s="217">
        <f t="shared" si="374"/>
        <v>0.76</v>
      </c>
      <c r="CN148" s="541">
        <f t="shared" si="375"/>
        <v>10</v>
      </c>
      <c r="CO148" s="443">
        <f t="shared" si="473"/>
        <v>17.099999999999998</v>
      </c>
      <c r="CP148" s="443">
        <f t="shared" si="474"/>
        <v>27.099999999999998</v>
      </c>
      <c r="CQ148" s="443"/>
      <c r="CR148" s="217">
        <f t="shared" si="378"/>
        <v>0.62686567164179097</v>
      </c>
      <c r="CS148" s="172">
        <f t="shared" si="379"/>
        <v>18.624269954574949</v>
      </c>
      <c r="CT148" s="172">
        <f t="shared" si="380"/>
        <v>2.5482344375682562</v>
      </c>
      <c r="CU148" s="217">
        <f t="shared" si="381"/>
        <v>1.135626216742375</v>
      </c>
      <c r="CV148" s="217">
        <f t="shared" si="382"/>
        <v>2.3280337443218686</v>
      </c>
      <c r="CW148" s="217">
        <f t="shared" si="383"/>
        <v>16.399999999999999</v>
      </c>
      <c r="CX148" s="217">
        <f t="shared" si="384"/>
        <v>2.2307809523809521</v>
      </c>
      <c r="CY148" s="217">
        <f t="shared" si="385"/>
        <v>2.6769371428571427</v>
      </c>
      <c r="CZ148" s="217">
        <f t="shared" si="386"/>
        <v>1.5654603174603174</v>
      </c>
      <c r="DA148" s="197">
        <f t="shared" si="387"/>
        <v>350</v>
      </c>
      <c r="DB148" s="443">
        <f t="shared" si="388"/>
        <v>235.71577377032693</v>
      </c>
      <c r="DD148" s="217">
        <f t="shared" si="389"/>
        <v>1.5023721665788083</v>
      </c>
      <c r="DE148" s="173">
        <f t="shared" si="390"/>
        <v>1.0542962572482866</v>
      </c>
      <c r="DF148" s="173">
        <f t="shared" si="391"/>
        <v>0.24706104135140031</v>
      </c>
      <c r="DG148" s="173"/>
      <c r="DH148" s="173">
        <f t="shared" si="392"/>
        <v>0.93567251461988332</v>
      </c>
      <c r="DI148" s="545">
        <f t="shared" si="393"/>
        <v>609.18749999999977</v>
      </c>
      <c r="DJ148" s="528">
        <f t="shared" si="394"/>
        <v>0.21832358674463945</v>
      </c>
      <c r="DL148" s="173">
        <f t="shared" si="395"/>
        <v>1.8246982790378821</v>
      </c>
      <c r="DM148" s="173">
        <f t="shared" si="396"/>
        <v>2.2307809523809521</v>
      </c>
      <c r="DN148" s="173">
        <f t="shared" si="397"/>
        <v>1.864776014109347</v>
      </c>
      <c r="DP148" s="545">
        <f t="shared" si="398"/>
        <v>380</v>
      </c>
      <c r="DQ148" s="460">
        <f t="shared" si="399"/>
        <v>235.71577377032693</v>
      </c>
      <c r="DS148" s="460">
        <f t="shared" si="400"/>
        <v>380</v>
      </c>
      <c r="DT148" s="460">
        <f t="shared" si="401"/>
        <v>235.71577377032693</v>
      </c>
      <c r="DV148" s="5">
        <f t="shared" si="402"/>
        <v>4.2423974603174601</v>
      </c>
      <c r="DW148" s="5">
        <f t="shared" si="403"/>
        <v>2.6769371428571427</v>
      </c>
      <c r="DX148" s="5">
        <f t="shared" si="404"/>
        <v>1.5654603174603174</v>
      </c>
      <c r="DY148" s="173">
        <f t="shared" si="405"/>
        <v>0.63099630996309963</v>
      </c>
      <c r="EA148" s="5">
        <f t="shared" si="406"/>
        <v>6.202659233449479</v>
      </c>
      <c r="EB148" s="5">
        <f t="shared" si="407"/>
        <v>3.1788628571428568</v>
      </c>
      <c r="EC148" s="5">
        <f t="shared" si="408"/>
        <v>0.81299572486772465</v>
      </c>
      <c r="ED148" s="5"/>
      <c r="EE148" s="173">
        <f t="shared" si="409"/>
        <v>1.0230802713451097</v>
      </c>
      <c r="EF148" s="173">
        <f t="shared" si="410"/>
        <v>0.78236903753043929</v>
      </c>
      <c r="EG148" s="173">
        <f t="shared" si="411"/>
        <v>0.19194419715596142</v>
      </c>
      <c r="EH148" s="173"/>
      <c r="EI148" s="528">
        <f t="shared" si="412"/>
        <v>2.0933864832311664E-2</v>
      </c>
      <c r="EJ148" s="528">
        <f t="shared" si="413"/>
        <v>0.28499999999999998</v>
      </c>
      <c r="EK148" s="528">
        <f t="shared" si="414"/>
        <v>2.9464471721290866E-2</v>
      </c>
      <c r="EL148" s="528">
        <f t="shared" si="415"/>
        <v>1.7311202141466576E-2</v>
      </c>
      <c r="EM148">
        <f t="shared" si="416"/>
        <v>4.4999999999999997E-3</v>
      </c>
      <c r="EN148" s="460">
        <f t="shared" si="417"/>
        <v>33.964471721290863</v>
      </c>
      <c r="EP148" s="460">
        <f t="shared" si="439"/>
        <v>357.20953869506911</v>
      </c>
      <c r="EQ148" s="173">
        <f t="shared" si="418"/>
        <v>0.26599999999999996</v>
      </c>
      <c r="ER148" s="173">
        <f t="shared" si="475"/>
        <v>4.2156249999999999E-2</v>
      </c>
      <c r="ES148" s="528"/>
      <c r="EU148" s="460">
        <f t="shared" si="420"/>
        <v>308.15624999999994</v>
      </c>
      <c r="EV148" s="528">
        <f t="shared" si="421"/>
        <v>3.1400797248467498E-2</v>
      </c>
      <c r="EW148" s="528">
        <f t="shared" si="422"/>
        <v>1.8363039326589177E-2</v>
      </c>
      <c r="EX148" s="528">
        <f t="shared" si="423"/>
        <v>1.8421287410923294E-4</v>
      </c>
      <c r="EY148" s="528">
        <f t="shared" si="424"/>
        <v>0.31701801185397432</v>
      </c>
      <c r="EZ148" s="528"/>
      <c r="FA148" s="625">
        <f t="shared" si="425"/>
        <v>5.8650606220347909E-3</v>
      </c>
      <c r="FB148" s="460">
        <f t="shared" si="426"/>
        <v>372.83112192517501</v>
      </c>
      <c r="FC148" s="173">
        <f t="shared" si="427"/>
        <v>1.038196910620244</v>
      </c>
      <c r="FD148" s="5">
        <f t="shared" si="428"/>
        <v>6.9919999999999991</v>
      </c>
      <c r="FE148" s="173">
        <f t="shared" si="429"/>
        <v>0.87071339318626317</v>
      </c>
      <c r="FF148" s="5">
        <f t="shared" si="430"/>
        <v>87.071339318626315</v>
      </c>
      <c r="FG148">
        <f t="shared" si="431"/>
        <v>38</v>
      </c>
      <c r="FI148" s="562">
        <f t="shared" si="432"/>
        <v>-50</v>
      </c>
      <c r="FJ148">
        <f t="shared" si="433"/>
        <v>-50</v>
      </c>
    </row>
    <row r="149" spans="5:166">
      <c r="E149" s="170">
        <v>39</v>
      </c>
      <c r="F149" s="217">
        <f t="shared" si="476"/>
        <v>0.39</v>
      </c>
      <c r="G149" s="217">
        <f t="shared" si="444"/>
        <v>9.7500000000000003E-2</v>
      </c>
      <c r="H149" s="217">
        <f t="shared" si="445"/>
        <v>6.3959999999999999</v>
      </c>
      <c r="I149" s="217">
        <f t="shared" si="446"/>
        <v>0.78</v>
      </c>
      <c r="J149" s="541">
        <f t="shared" si="447"/>
        <v>9.9260997994966651</v>
      </c>
      <c r="K149" s="443">
        <f t="shared" si="448"/>
        <v>17.132707606223047</v>
      </c>
      <c r="L149" s="172">
        <f t="shared" si="449"/>
        <v>27.058807405719712</v>
      </c>
      <c r="M149" s="443"/>
      <c r="N149" s="217">
        <f t="shared" si="450"/>
        <v>0.63316565838749872</v>
      </c>
      <c r="O149" s="172">
        <f t="shared" si="451"/>
        <v>18.672426529384154</v>
      </c>
      <c r="P149" s="172">
        <f t="shared" si="452"/>
        <v>2.5548233799871243</v>
      </c>
      <c r="Q149" s="217">
        <f t="shared" si="322"/>
        <v>1.1385625932551315</v>
      </c>
      <c r="R149" s="217">
        <f t="shared" si="453"/>
        <v>2.3340533161730193</v>
      </c>
      <c r="S149" s="217">
        <f t="shared" si="454"/>
        <v>16.399999999999999</v>
      </c>
      <c r="T149" s="217">
        <f t="shared" si="455"/>
        <v>2.283581083203027</v>
      </c>
      <c r="U149" s="217">
        <f t="shared" si="326"/>
        <v>2.7606989202169698</v>
      </c>
      <c r="V149" s="217">
        <f t="shared" si="327"/>
        <v>1.5994537249023528</v>
      </c>
      <c r="W149" s="197">
        <f t="shared" si="328"/>
        <v>350</v>
      </c>
      <c r="X149" s="443">
        <f t="shared" si="435"/>
        <v>219.29090489334567</v>
      </c>
      <c r="Z149" s="217">
        <f t="shared" si="329"/>
        <v>1.4963965511353154</v>
      </c>
      <c r="AA149" s="173">
        <f t="shared" si="330"/>
        <v>1.0480981188928609</v>
      </c>
      <c r="AB149" s="173">
        <f t="shared" si="456"/>
        <v>0.24463168900765847</v>
      </c>
      <c r="AC149" s="173"/>
      <c r="AD149" s="173">
        <f t="shared" si="332"/>
        <v>0.93388624657251407</v>
      </c>
      <c r="AE149" s="545">
        <f t="shared" si="457"/>
        <v>626.41462185252999</v>
      </c>
      <c r="AF149" s="528">
        <f t="shared" si="458"/>
        <v>0.21790679086691997</v>
      </c>
      <c r="AH149" s="173">
        <f t="shared" si="459"/>
        <v>1.8485515565282071</v>
      </c>
      <c r="AI149" s="173">
        <f t="shared" si="460"/>
        <v>2.283581083203027</v>
      </c>
      <c r="AJ149" s="173">
        <f t="shared" si="461"/>
        <v>1.9038872221256988</v>
      </c>
      <c r="AL149" s="545">
        <f t="shared" si="462"/>
        <v>390</v>
      </c>
      <c r="AM149" s="460">
        <f t="shared" si="463"/>
        <v>219.29090489334567</v>
      </c>
      <c r="AO149" s="460">
        <f t="shared" si="340"/>
        <v>390</v>
      </c>
      <c r="AP149" s="460">
        <f t="shared" si="341"/>
        <v>219.29090489334567</v>
      </c>
      <c r="AR149" s="5">
        <f t="shared" si="443"/>
        <v>4.5601526451193219</v>
      </c>
      <c r="AS149" s="5">
        <f t="shared" si="440"/>
        <v>2.7606989202169698</v>
      </c>
      <c r="AT149" s="5">
        <f t="shared" si="441"/>
        <v>1.7994537249023521</v>
      </c>
      <c r="AU149" s="173">
        <f t="shared" si="442"/>
        <v>0.60539616435246169</v>
      </c>
      <c r="AW149" s="5">
        <f t="shared" si="342"/>
        <v>6.5650767005159665</v>
      </c>
      <c r="AX149" s="5">
        <f t="shared" si="343"/>
        <v>3.3646018090144323</v>
      </c>
      <c r="AY149" s="5">
        <f t="shared" si="344"/>
        <v>0.96624943809409225</v>
      </c>
      <c r="AZ149" s="5"/>
      <c r="BA149" s="173">
        <f t="shared" si="345"/>
        <v>1.0258305815397244</v>
      </c>
      <c r="BB149" s="173">
        <f t="shared" si="346"/>
        <v>0.8282023539965585</v>
      </c>
      <c r="BC149" s="173">
        <f t="shared" si="347"/>
        <v>0.2031888128169462</v>
      </c>
      <c r="BD149" s="173"/>
      <c r="BE149" s="528">
        <f t="shared" si="348"/>
        <v>2.1046567640442583E-2</v>
      </c>
      <c r="BF149" s="528">
        <f t="shared" si="464"/>
        <v>0.25406625145488415</v>
      </c>
      <c r="BG149" s="528">
        <f t="shared" si="465"/>
        <v>5.4417585177332008E-2</v>
      </c>
      <c r="BH149" s="528">
        <f t="shared" si="351"/>
        <v>1.6056020822098459E-2</v>
      </c>
      <c r="BI149">
        <f t="shared" si="352"/>
        <v>4.4667449097734995E-3</v>
      </c>
      <c r="BJ149" s="460">
        <f t="shared" si="436"/>
        <v>58.884330087105511</v>
      </c>
      <c r="BK149">
        <f t="shared" si="466"/>
        <v>0.29834332806125063</v>
      </c>
      <c r="BL149" s="460">
        <f t="shared" si="437"/>
        <v>350.05317000453073</v>
      </c>
      <c r="BM149" s="173">
        <f t="shared" si="467"/>
        <v>0.24228749999999996</v>
      </c>
      <c r="BN149" s="173">
        <f t="shared" si="468"/>
        <v>6.057187499999999E-2</v>
      </c>
      <c r="BO149" s="528"/>
      <c r="BQ149" s="460">
        <f t="shared" si="356"/>
        <v>302.85937499999994</v>
      </c>
      <c r="BR149" s="528">
        <f t="shared" si="357"/>
        <v>3.1569851460663878E-2</v>
      </c>
      <c r="BS149" s="528">
        <f t="shared" si="358"/>
        <v>2.0577574174963222E-2</v>
      </c>
      <c r="BT149" s="528">
        <f t="shared" si="359"/>
        <v>2.0642846826980001E-4</v>
      </c>
      <c r="BU149" s="528">
        <f t="shared" si="360"/>
        <v>0.28058383400532177</v>
      </c>
      <c r="BV149" s="528"/>
      <c r="BW149" s="625">
        <f t="shared" si="469"/>
        <v>5.7177280777475593E-3</v>
      </c>
      <c r="BX149" s="460">
        <f t="shared" si="362"/>
        <v>338.65541618696625</v>
      </c>
      <c r="BY149" s="173">
        <f t="shared" si="363"/>
        <v>0.99156796119149682</v>
      </c>
      <c r="BZ149" s="5">
        <f t="shared" si="364"/>
        <v>7.1760000000000002</v>
      </c>
      <c r="CA149" s="173">
        <f t="shared" si="365"/>
        <v>0.87859691331581591</v>
      </c>
      <c r="CB149" s="5">
        <f t="shared" si="366"/>
        <v>87.859691331581587</v>
      </c>
      <c r="CC149">
        <f t="shared" si="367"/>
        <v>39</v>
      </c>
      <c r="CE149" s="562">
        <f t="shared" si="470"/>
        <v>-50</v>
      </c>
      <c r="CF149">
        <f t="shared" si="471"/>
        <v>-50</v>
      </c>
      <c r="CG149" s="173">
        <f t="shared" si="370"/>
        <v>0.35771495841706197</v>
      </c>
      <c r="CH149" s="173">
        <f t="shared" si="472"/>
        <v>0.1249899513168843</v>
      </c>
      <c r="CI149" s="170">
        <v>39</v>
      </c>
      <c r="CJ149" s="217">
        <f t="shared" si="438"/>
        <v>0.39</v>
      </c>
      <c r="CK149" s="217">
        <f t="shared" si="372"/>
        <v>9.7500000000000003E-2</v>
      </c>
      <c r="CL149" s="217">
        <f t="shared" si="373"/>
        <v>6.3959999999999999</v>
      </c>
      <c r="CM149" s="217">
        <f t="shared" si="374"/>
        <v>0.78</v>
      </c>
      <c r="CN149" s="541">
        <f t="shared" si="375"/>
        <v>10</v>
      </c>
      <c r="CO149" s="443">
        <f t="shared" si="473"/>
        <v>17.099999999999998</v>
      </c>
      <c r="CP149" s="443">
        <f t="shared" si="474"/>
        <v>27.099999999999998</v>
      </c>
      <c r="CQ149" s="443"/>
      <c r="CR149" s="217">
        <f t="shared" si="378"/>
        <v>0.62686567164179097</v>
      </c>
      <c r="CS149" s="172">
        <f t="shared" si="379"/>
        <v>18.624269954574949</v>
      </c>
      <c r="CT149" s="172">
        <f t="shared" si="380"/>
        <v>2.5482344375682562</v>
      </c>
      <c r="CU149" s="217">
        <f t="shared" si="381"/>
        <v>1.135626216742375</v>
      </c>
      <c r="CV149" s="217">
        <f t="shared" si="382"/>
        <v>2.3280337443218686</v>
      </c>
      <c r="CW149" s="217">
        <f t="shared" si="383"/>
        <v>16.399999999999999</v>
      </c>
      <c r="CX149" s="217">
        <f t="shared" si="384"/>
        <v>2.2894857142857146</v>
      </c>
      <c r="CY149" s="217">
        <f t="shared" si="385"/>
        <v>2.7473828571428576</v>
      </c>
      <c r="CZ149" s="217">
        <f t="shared" si="386"/>
        <v>1.6066566416040104</v>
      </c>
      <c r="DA149" s="197">
        <f t="shared" si="387"/>
        <v>350</v>
      </c>
      <c r="DB149" s="443">
        <f t="shared" si="388"/>
        <v>229.67177957108771</v>
      </c>
      <c r="DD149" s="217">
        <f t="shared" si="389"/>
        <v>1.5023721665788083</v>
      </c>
      <c r="DE149" s="173">
        <f t="shared" si="390"/>
        <v>1.0542962572482866</v>
      </c>
      <c r="DF149" s="173">
        <f t="shared" si="391"/>
        <v>0.24706104135140031</v>
      </c>
      <c r="DG149" s="173"/>
      <c r="DH149" s="173">
        <f t="shared" si="392"/>
        <v>0.93567251461988332</v>
      </c>
      <c r="DI149" s="545">
        <f t="shared" si="393"/>
        <v>625.21874999999977</v>
      </c>
      <c r="DJ149" s="528">
        <f t="shared" si="394"/>
        <v>0.21832358674463945</v>
      </c>
      <c r="DL149" s="173">
        <f t="shared" si="395"/>
        <v>1.8485515565282071</v>
      </c>
      <c r="DM149" s="173">
        <f t="shared" si="396"/>
        <v>2.2894857142857146</v>
      </c>
      <c r="DN149" s="173">
        <f t="shared" si="397"/>
        <v>1.9082610229276897</v>
      </c>
      <c r="DP149" s="545">
        <f t="shared" si="398"/>
        <v>390</v>
      </c>
      <c r="DQ149" s="460">
        <f t="shared" si="399"/>
        <v>229.67177957108771</v>
      </c>
      <c r="DS149" s="460">
        <f t="shared" si="400"/>
        <v>390</v>
      </c>
      <c r="DT149" s="460">
        <f t="shared" si="401"/>
        <v>229.67177957108771</v>
      </c>
      <c r="DV149" s="5">
        <f t="shared" si="402"/>
        <v>4.354039498746868</v>
      </c>
      <c r="DW149" s="5">
        <f t="shared" si="403"/>
        <v>2.7473828571428576</v>
      </c>
      <c r="DX149" s="5">
        <f t="shared" si="404"/>
        <v>1.6066566416040104</v>
      </c>
      <c r="DY149" s="173">
        <f t="shared" si="405"/>
        <v>0.63099630996309963</v>
      </c>
      <c r="EA149" s="5">
        <f t="shared" si="406"/>
        <v>6.5334104529616743</v>
      </c>
      <c r="EB149" s="5">
        <f t="shared" si="407"/>
        <v>3.3483728571428575</v>
      </c>
      <c r="EC149" s="5">
        <f t="shared" si="408"/>
        <v>0.85634798997493733</v>
      </c>
      <c r="ED149" s="5"/>
      <c r="EE149" s="173">
        <f t="shared" si="409"/>
        <v>1.0500034363805075</v>
      </c>
      <c r="EF149" s="173">
        <f t="shared" si="410"/>
        <v>0.80295769641281955</v>
      </c>
      <c r="EG149" s="173">
        <f t="shared" si="411"/>
        <v>0.19699536023901307</v>
      </c>
      <c r="EH149" s="173"/>
      <c r="EI149" s="528">
        <f t="shared" si="412"/>
        <v>2.2050144328217489E-2</v>
      </c>
      <c r="EJ149" s="528">
        <f t="shared" si="413"/>
        <v>0.28499999999999992</v>
      </c>
      <c r="EK149" s="528">
        <f t="shared" si="414"/>
        <v>2.8708972446385962E-2</v>
      </c>
      <c r="EL149" s="528">
        <f t="shared" si="415"/>
        <v>1.6867325163480253E-2</v>
      </c>
      <c r="EM149">
        <f t="shared" si="416"/>
        <v>4.4999999999999997E-3</v>
      </c>
      <c r="EN149" s="460">
        <f t="shared" si="417"/>
        <v>33.208972446385957</v>
      </c>
      <c r="EP149" s="460">
        <f t="shared" si="439"/>
        <v>357.1264419380837</v>
      </c>
      <c r="EQ149" s="173">
        <f t="shared" si="418"/>
        <v>0.27299999999999996</v>
      </c>
      <c r="ER149" s="173">
        <f t="shared" si="475"/>
        <v>4.3265625000000002E-2</v>
      </c>
      <c r="ES149" s="528"/>
      <c r="EU149" s="460">
        <f t="shared" si="420"/>
        <v>316.265625</v>
      </c>
      <c r="EV149" s="528">
        <f t="shared" si="421"/>
        <v>3.3075216492326233E-2</v>
      </c>
      <c r="EW149" s="528">
        <f t="shared" si="422"/>
        <v>1.9342231866857452E-2</v>
      </c>
      <c r="EX149" s="528">
        <f t="shared" si="423"/>
        <v>1.9403585977849266E-4</v>
      </c>
      <c r="EY149" s="528">
        <f t="shared" si="424"/>
        <v>0.31701801185397377</v>
      </c>
      <c r="EZ149" s="528"/>
      <c r="FA149" s="625">
        <f t="shared" si="425"/>
        <v>6.0194043226146554E-3</v>
      </c>
      <c r="FB149" s="460">
        <f t="shared" si="426"/>
        <v>375.64890039555058</v>
      </c>
      <c r="FC149" s="173">
        <f t="shared" si="427"/>
        <v>1.0490409673336343</v>
      </c>
      <c r="FD149" s="5">
        <f t="shared" si="428"/>
        <v>7.1760000000000002</v>
      </c>
      <c r="FE149" s="173">
        <f t="shared" si="429"/>
        <v>0.87245766051500795</v>
      </c>
      <c r="FF149" s="5">
        <f t="shared" si="430"/>
        <v>87.245766051500794</v>
      </c>
      <c r="FG149">
        <f t="shared" si="431"/>
        <v>39</v>
      </c>
      <c r="FI149" s="562">
        <f t="shared" si="432"/>
        <v>-50</v>
      </c>
      <c r="FJ149">
        <f t="shared" si="433"/>
        <v>-50</v>
      </c>
    </row>
    <row r="150" spans="5:166">
      <c r="E150" s="170">
        <v>40</v>
      </c>
      <c r="F150" s="217">
        <f t="shared" si="476"/>
        <v>0.4</v>
      </c>
      <c r="G150" s="217">
        <f t="shared" si="444"/>
        <v>0.1</v>
      </c>
      <c r="H150" s="217">
        <f t="shared" si="445"/>
        <v>6.56</v>
      </c>
      <c r="I150" s="217">
        <f t="shared" si="446"/>
        <v>0.8</v>
      </c>
      <c r="J150" s="541">
        <f t="shared" si="447"/>
        <v>9.9242049225606817</v>
      </c>
      <c r="K150" s="443">
        <f t="shared" si="448"/>
        <v>17.133546262792869</v>
      </c>
      <c r="L150" s="172">
        <f t="shared" si="449"/>
        <v>27.057751185353553</v>
      </c>
      <c r="M150" s="443"/>
      <c r="N150" s="217">
        <f t="shared" si="450"/>
        <v>0.63322136955961483</v>
      </c>
      <c r="O150" s="172">
        <f t="shared" si="451"/>
        <v>18.670504633842029</v>
      </c>
      <c r="P150" s="172">
        <f t="shared" si="452"/>
        <v>2.554560419859409</v>
      </c>
      <c r="Q150" s="217">
        <f t="shared" si="322"/>
        <v>1.1384454045025629</v>
      </c>
      <c r="R150" s="217">
        <f t="shared" si="453"/>
        <v>2.3338130792302536</v>
      </c>
      <c r="S150" s="217">
        <f t="shared" si="454"/>
        <v>16.399999999999999</v>
      </c>
      <c r="T150" s="217">
        <f t="shared" si="455"/>
        <v>2.3423755378342901</v>
      </c>
      <c r="U150" s="217">
        <f t="shared" si="326"/>
        <v>2.8323182233079907</v>
      </c>
      <c r="V150" s="217">
        <f t="shared" si="327"/>
        <v>1.6405539181956621</v>
      </c>
      <c r="W150" s="197">
        <f t="shared" si="328"/>
        <v>350</v>
      </c>
      <c r="X150" s="443">
        <f t="shared" si="435"/>
        <v>214.00114741385082</v>
      </c>
      <c r="Z150" s="217">
        <f t="shared" si="329"/>
        <v>1.4962425316319399</v>
      </c>
      <c r="AA150" s="173">
        <f t="shared" si="330"/>
        <v>1.0479389441153859</v>
      </c>
      <c r="AB150" s="173">
        <f t="shared" si="456"/>
        <v>0.24456936140112304</v>
      </c>
      <c r="AC150" s="173"/>
      <c r="AD150" s="173">
        <f t="shared" si="332"/>
        <v>0.93384053450426252</v>
      </c>
      <c r="AE150" s="545">
        <f t="shared" si="457"/>
        <v>642.5079848547324</v>
      </c>
      <c r="AF150" s="528">
        <f t="shared" si="458"/>
        <v>0.21789612471766132</v>
      </c>
      <c r="AH150" s="173">
        <f t="shared" si="459"/>
        <v>1.872100933379903</v>
      </c>
      <c r="AI150" s="173">
        <f t="shared" si="460"/>
        <v>2.3423755378342901</v>
      </c>
      <c r="AJ150" s="173">
        <f t="shared" si="461"/>
        <v>1.9474386700007085</v>
      </c>
      <c r="AL150" s="545">
        <f t="shared" si="462"/>
        <v>400</v>
      </c>
      <c r="AM150" s="460">
        <f t="shared" si="463"/>
        <v>214.00114741385082</v>
      </c>
      <c r="AO150" s="460">
        <f t="shared" si="340"/>
        <v>400</v>
      </c>
      <c r="AP150" s="460">
        <f t="shared" si="341"/>
        <v>214.00114741385082</v>
      </c>
      <c r="AR150" s="5">
        <f t="shared" si="443"/>
        <v>4.6728721415036532</v>
      </c>
      <c r="AS150" s="5">
        <f t="shared" si="440"/>
        <v>2.8323182233079907</v>
      </c>
      <c r="AT150" s="5">
        <f t="shared" si="441"/>
        <v>1.8405539181956625</v>
      </c>
      <c r="AU150" s="173">
        <f t="shared" si="442"/>
        <v>0.60611934962906933</v>
      </c>
      <c r="AW150" s="5">
        <f t="shared" si="342"/>
        <v>6.9080932275804665</v>
      </c>
      <c r="AX150" s="5">
        <f t="shared" si="343"/>
        <v>3.5403977791349885</v>
      </c>
      <c r="AY150" s="5">
        <f t="shared" si="344"/>
        <v>1.013853989444506</v>
      </c>
      <c r="AZ150" s="5"/>
      <c r="BA150" s="173">
        <f t="shared" si="345"/>
        <v>1.0528705323197998</v>
      </c>
      <c r="BB150" s="173">
        <f t="shared" si="346"/>
        <v>0.84874693652119571</v>
      </c>
      <c r="BC150" s="173">
        <f t="shared" si="347"/>
        <v>0.20822916233159891</v>
      </c>
      <c r="BD150" s="173"/>
      <c r="BE150" s="528">
        <f t="shared" si="348"/>
        <v>2.2170727156547571E-2</v>
      </c>
      <c r="BF150" s="528">
        <f t="shared" si="464"/>
        <v>0.25431126416792116</v>
      </c>
      <c r="BG150" s="528">
        <f t="shared" si="465"/>
        <v>5.3094781014954302E-2</v>
      </c>
      <c r="BH150" s="528">
        <f t="shared" si="351"/>
        <v>1.5667492647742698E-2</v>
      </c>
      <c r="BI150">
        <f t="shared" si="352"/>
        <v>4.4658922151523065E-3</v>
      </c>
      <c r="BJ150" s="460">
        <f t="shared" si="436"/>
        <v>57.560673230106609</v>
      </c>
      <c r="BK150">
        <f t="shared" si="466"/>
        <v>0.29971440529044779</v>
      </c>
      <c r="BL150" s="460">
        <f t="shared" si="437"/>
        <v>349.71015720231804</v>
      </c>
      <c r="BM150" s="173">
        <f t="shared" si="467"/>
        <v>0.24849999999999997</v>
      </c>
      <c r="BN150" s="173">
        <f t="shared" si="468"/>
        <v>6.2124999999999993E-2</v>
      </c>
      <c r="BO150" s="528"/>
      <c r="BQ150" s="460">
        <f t="shared" si="356"/>
        <v>310.625</v>
      </c>
      <c r="BR150" s="528">
        <f t="shared" si="357"/>
        <v>3.3256090734821359E-2</v>
      </c>
      <c r="BS150" s="528">
        <f t="shared" si="358"/>
        <v>2.1611140867623436E-2</v>
      </c>
      <c r="BT150" s="528">
        <f t="shared" si="359"/>
        <v>2.1679692022659683E-4</v>
      </c>
      <c r="BU150" s="528">
        <f t="shared" si="360"/>
        <v>0.28128823562317562</v>
      </c>
      <c r="BV150" s="528"/>
      <c r="BW150" s="625">
        <f t="shared" si="469"/>
        <v>5.8708252591723412E-3</v>
      </c>
      <c r="BX150" s="460">
        <f t="shared" si="362"/>
        <v>342.2430894050193</v>
      </c>
      <c r="BY150" s="173">
        <f t="shared" si="363"/>
        <v>1.0025782466073372</v>
      </c>
      <c r="BZ150" s="5">
        <f t="shared" si="364"/>
        <v>7.3599999999999994</v>
      </c>
      <c r="CA150" s="173">
        <f t="shared" si="365"/>
        <v>0.88011134640036659</v>
      </c>
      <c r="CB150" s="5">
        <f t="shared" si="366"/>
        <v>88.011134640036659</v>
      </c>
      <c r="CC150">
        <f t="shared" si="367"/>
        <v>40</v>
      </c>
      <c r="CE150" s="562">
        <f t="shared" si="470"/>
        <v>-50</v>
      </c>
      <c r="CF150">
        <f t="shared" si="471"/>
        <v>-50</v>
      </c>
      <c r="CG150" s="173">
        <f t="shared" si="370"/>
        <v>0.35771495841706197</v>
      </c>
      <c r="CH150" s="173">
        <f t="shared" si="472"/>
        <v>0.12498995131688433</v>
      </c>
      <c r="CI150" s="170">
        <v>40</v>
      </c>
      <c r="CJ150" s="217">
        <f t="shared" si="438"/>
        <v>0.4</v>
      </c>
      <c r="CK150" s="217">
        <f t="shared" si="372"/>
        <v>0.1</v>
      </c>
      <c r="CL150" s="217">
        <f t="shared" si="373"/>
        <v>6.56</v>
      </c>
      <c r="CM150" s="217">
        <f t="shared" si="374"/>
        <v>0.8</v>
      </c>
      <c r="CN150" s="541">
        <f t="shared" si="375"/>
        <v>10</v>
      </c>
      <c r="CO150" s="443">
        <f t="shared" si="473"/>
        <v>17.099999999999998</v>
      </c>
      <c r="CP150" s="443">
        <f t="shared" si="474"/>
        <v>27.099999999999998</v>
      </c>
      <c r="CQ150" s="443"/>
      <c r="CR150" s="217">
        <f t="shared" si="378"/>
        <v>0.62686567164179097</v>
      </c>
      <c r="CS150" s="172">
        <f t="shared" si="379"/>
        <v>18.624269954574949</v>
      </c>
      <c r="CT150" s="172">
        <f t="shared" si="380"/>
        <v>2.5482344375682562</v>
      </c>
      <c r="CU150" s="217">
        <f t="shared" si="381"/>
        <v>1.135626216742375</v>
      </c>
      <c r="CV150" s="217">
        <f t="shared" si="382"/>
        <v>2.3280337443218686</v>
      </c>
      <c r="CW150" s="217">
        <f t="shared" si="383"/>
        <v>16.399999999999999</v>
      </c>
      <c r="CX150" s="217">
        <f t="shared" si="384"/>
        <v>2.3481904761904762</v>
      </c>
      <c r="CY150" s="217">
        <f t="shared" si="385"/>
        <v>2.8178285714285716</v>
      </c>
      <c r="CZ150" s="217">
        <f t="shared" si="386"/>
        <v>1.6478529657477028</v>
      </c>
      <c r="DA150" s="197">
        <f t="shared" si="387"/>
        <v>350</v>
      </c>
      <c r="DB150" s="443">
        <f t="shared" si="388"/>
        <v>223.92998508181057</v>
      </c>
      <c r="DD150" s="217">
        <f t="shared" si="389"/>
        <v>1.5023721665788083</v>
      </c>
      <c r="DE150" s="173">
        <f t="shared" si="390"/>
        <v>1.0542962572482866</v>
      </c>
      <c r="DF150" s="173">
        <f t="shared" si="391"/>
        <v>0.24706104135140031</v>
      </c>
      <c r="DG150" s="173"/>
      <c r="DH150" s="173">
        <f t="shared" si="392"/>
        <v>0.93567251461988332</v>
      </c>
      <c r="DI150" s="545">
        <f t="shared" si="393"/>
        <v>641.24999999999977</v>
      </c>
      <c r="DJ150" s="528">
        <f t="shared" si="394"/>
        <v>0.21832358674463945</v>
      </c>
      <c r="DL150" s="173">
        <f t="shared" si="395"/>
        <v>1.872100933379903</v>
      </c>
      <c r="DM150" s="173">
        <f t="shared" si="396"/>
        <v>2.3481904761904762</v>
      </c>
      <c r="DN150" s="173">
        <f t="shared" si="397"/>
        <v>1.9517460317460316</v>
      </c>
      <c r="DP150" s="545">
        <f t="shared" si="398"/>
        <v>400</v>
      </c>
      <c r="DQ150" s="460">
        <f t="shared" si="399"/>
        <v>223.92998508181057</v>
      </c>
      <c r="DS150" s="460">
        <f t="shared" si="400"/>
        <v>400</v>
      </c>
      <c r="DT150" s="460">
        <f t="shared" si="401"/>
        <v>223.92998508181057</v>
      </c>
      <c r="DV150" s="5">
        <f t="shared" si="402"/>
        <v>4.4656815371762741</v>
      </c>
      <c r="DW150" s="5">
        <f t="shared" si="403"/>
        <v>2.8178285714285716</v>
      </c>
      <c r="DX150" s="5">
        <f t="shared" si="404"/>
        <v>1.6478529657477026</v>
      </c>
      <c r="DY150" s="173">
        <f t="shared" si="405"/>
        <v>0.63099630996309963</v>
      </c>
      <c r="EA150" s="5">
        <f t="shared" si="406"/>
        <v>6.8727526132404195</v>
      </c>
      <c r="EB150" s="5">
        <f t="shared" si="407"/>
        <v>3.5222857142857147</v>
      </c>
      <c r="EC150" s="5">
        <f t="shared" si="408"/>
        <v>0.9008262879420772</v>
      </c>
      <c r="ED150" s="5"/>
      <c r="EE150" s="173">
        <f t="shared" si="409"/>
        <v>1.0769266014159051</v>
      </c>
      <c r="EF150" s="173">
        <f t="shared" si="410"/>
        <v>0.82354635529519937</v>
      </c>
      <c r="EG150" s="173">
        <f t="shared" si="411"/>
        <v>0.20204652332206466</v>
      </c>
      <c r="EH150" s="173"/>
      <c r="EI150" s="528">
        <f t="shared" si="412"/>
        <v>2.3195418096744237E-2</v>
      </c>
      <c r="EJ150" s="528">
        <f t="shared" si="413"/>
        <v>0.28499999999999998</v>
      </c>
      <c r="EK150" s="528">
        <f t="shared" si="414"/>
        <v>2.7991248135226323E-2</v>
      </c>
      <c r="EL150" s="528">
        <f t="shared" si="415"/>
        <v>1.6445642034393245E-2</v>
      </c>
      <c r="EM150">
        <f t="shared" si="416"/>
        <v>4.4999999999999997E-3</v>
      </c>
      <c r="EN150" s="460">
        <f t="shared" si="417"/>
        <v>32.491248135226321</v>
      </c>
      <c r="EP150" s="460">
        <f t="shared" si="439"/>
        <v>357.13230826636379</v>
      </c>
      <c r="EQ150" s="173">
        <f t="shared" si="418"/>
        <v>0.27999999999999997</v>
      </c>
      <c r="ER150" s="173">
        <f t="shared" si="475"/>
        <v>4.4374999999999998E-2</v>
      </c>
      <c r="ES150" s="528"/>
      <c r="EU150" s="460">
        <f t="shared" si="420"/>
        <v>324.37499999999994</v>
      </c>
      <c r="EV150" s="528">
        <f t="shared" si="421"/>
        <v>3.479312714511635E-2</v>
      </c>
      <c r="EW150" s="528">
        <f t="shared" si="422"/>
        <v>2.0346857979600202E-2</v>
      </c>
      <c r="EX150" s="528">
        <f t="shared" si="423"/>
        <v>2.0411398793266812E-4</v>
      </c>
      <c r="EY150" s="528">
        <f t="shared" si="424"/>
        <v>0.31701801185397388</v>
      </c>
      <c r="EZ150" s="528"/>
      <c r="FA150" s="625">
        <f t="shared" si="425"/>
        <v>6.1737480231945181E-3</v>
      </c>
      <c r="FB150" s="460">
        <f t="shared" si="426"/>
        <v>378.5358589898176</v>
      </c>
      <c r="FC150" s="173">
        <f t="shared" si="427"/>
        <v>1.0600431672561814</v>
      </c>
      <c r="FD150" s="5">
        <f t="shared" si="428"/>
        <v>7.3599999999999994</v>
      </c>
      <c r="FE150" s="173">
        <f t="shared" si="429"/>
        <v>0.87410478233906552</v>
      </c>
      <c r="FF150" s="5">
        <f t="shared" si="430"/>
        <v>87.410478233906559</v>
      </c>
      <c r="FG150">
        <f t="shared" si="431"/>
        <v>40</v>
      </c>
      <c r="FI150" s="562">
        <f t="shared" si="432"/>
        <v>-50</v>
      </c>
      <c r="FJ150">
        <f t="shared" si="433"/>
        <v>-50</v>
      </c>
    </row>
    <row r="151" spans="5:166">
      <c r="E151" s="170">
        <v>41</v>
      </c>
      <c r="F151" s="217">
        <f t="shared" si="476"/>
        <v>0.41</v>
      </c>
      <c r="G151" s="217">
        <f t="shared" si="444"/>
        <v>0.10249999999999999</v>
      </c>
      <c r="H151" s="217">
        <f t="shared" si="445"/>
        <v>6.7239999999999993</v>
      </c>
      <c r="I151" s="217">
        <f t="shared" si="446"/>
        <v>0.82</v>
      </c>
      <c r="J151" s="541">
        <f t="shared" si="447"/>
        <v>9.9223100456246982</v>
      </c>
      <c r="K151" s="443">
        <f t="shared" si="448"/>
        <v>17.134384919362692</v>
      </c>
      <c r="L151" s="172">
        <f t="shared" si="449"/>
        <v>27.05669496498739</v>
      </c>
      <c r="M151" s="443"/>
      <c r="N151" s="217">
        <f t="shared" si="450"/>
        <v>0.63327708508135883</v>
      </c>
      <c r="O151" s="172">
        <f t="shared" si="451"/>
        <v>18.66858223924887</v>
      </c>
      <c r="P151" s="172">
        <f t="shared" si="452"/>
        <v>2.5542973914498757</v>
      </c>
      <c r="Q151" s="217">
        <f t="shared" si="322"/>
        <v>1.1383281853200531</v>
      </c>
      <c r="R151" s="217">
        <f t="shared" si="453"/>
        <v>2.3335727799061088</v>
      </c>
      <c r="S151" s="217">
        <f t="shared" si="454"/>
        <v>16.399999999999999</v>
      </c>
      <c r="T151" s="217">
        <f t="shared" si="455"/>
        <v>2.4011821622117067</v>
      </c>
      <c r="U151" s="217">
        <f t="shared" si="326"/>
        <v>2.9039795989086503</v>
      </c>
      <c r="V151" s="217">
        <f t="shared" si="327"/>
        <v>1.6816586111579088</v>
      </c>
      <c r="W151" s="197">
        <f t="shared" si="328"/>
        <v>350</v>
      </c>
      <c r="X151" s="443">
        <f t="shared" si="435"/>
        <v>208.9585455700572</v>
      </c>
      <c r="Z151" s="217">
        <f t="shared" si="329"/>
        <v>1.496088472134927</v>
      </c>
      <c r="AA151" s="173">
        <f t="shared" si="330"/>
        <v>1.0477797569104035</v>
      </c>
      <c r="AB151" s="173">
        <f t="shared" si="456"/>
        <v>0.24450703200627574</v>
      </c>
      <c r="AC151" s="173"/>
      <c r="AD151" s="173">
        <f t="shared" si="332"/>
        <v>0.93379482691084059</v>
      </c>
      <c r="AE151" s="545">
        <f t="shared" si="457"/>
        <v>658.60292033800317</v>
      </c>
      <c r="AF151" s="528">
        <f t="shared" si="458"/>
        <v>0.2178854596125295</v>
      </c>
      <c r="AH151" s="173">
        <f t="shared" si="459"/>
        <v>1.8953577373100183</v>
      </c>
      <c r="AI151" s="173">
        <f t="shared" si="460"/>
        <v>2.4011821622117067</v>
      </c>
      <c r="AJ151" s="173">
        <f t="shared" si="461"/>
        <v>1.9909991325024987</v>
      </c>
      <c r="AL151" s="545">
        <f t="shared" si="462"/>
        <v>410</v>
      </c>
      <c r="AM151" s="460">
        <f t="shared" si="463"/>
        <v>208.9585455700572</v>
      </c>
      <c r="AO151" s="460">
        <f t="shared" si="340"/>
        <v>410</v>
      </c>
      <c r="AP151" s="460">
        <f t="shared" si="341"/>
        <v>208.9585455700572</v>
      </c>
      <c r="AR151" s="5">
        <f t="shared" si="443"/>
        <v>4.7856382100665584</v>
      </c>
      <c r="AS151" s="5">
        <f t="shared" si="440"/>
        <v>2.9039795989086503</v>
      </c>
      <c r="AT151" s="5">
        <f t="shared" si="441"/>
        <v>1.8816586111579081</v>
      </c>
      <c r="AU151" s="173">
        <f t="shared" si="442"/>
        <v>0.60681135335306968</v>
      </c>
      <c r="AW151" s="5">
        <f t="shared" si="342"/>
        <v>7.2599489972716267</v>
      </c>
      <c r="AX151" s="5">
        <f t="shared" si="343"/>
        <v>3.7207238611017082</v>
      </c>
      <c r="AY151" s="5">
        <f t="shared" si="344"/>
        <v>1.062611465412135</v>
      </c>
      <c r="AZ151" s="5"/>
      <c r="BA151" s="173">
        <f t="shared" si="345"/>
        <v>1.0799193674691066</v>
      </c>
      <c r="BB151" s="173">
        <f t="shared" si="346"/>
        <v>0.86929056427623053</v>
      </c>
      <c r="BC151" s="173">
        <f t="shared" si="347"/>
        <v>0.21326927760578965</v>
      </c>
      <c r="BD151" s="173"/>
      <c r="BE151" s="528">
        <f t="shared" si="348"/>
        <v>2.3324516804697503E-2</v>
      </c>
      <c r="BF151" s="528">
        <f t="shared" si="464"/>
        <v>0.25454306118593206</v>
      </c>
      <c r="BG151" s="528">
        <f t="shared" si="465"/>
        <v>5.1833786895722614E-2</v>
      </c>
      <c r="BH151" s="528">
        <f t="shared" si="351"/>
        <v>1.5297118384095155E-2</v>
      </c>
      <c r="BI151">
        <f t="shared" si="352"/>
        <v>4.4650395205311144E-3</v>
      </c>
      <c r="BJ151" s="460">
        <f t="shared" si="436"/>
        <v>56.298826416253732</v>
      </c>
      <c r="BK151">
        <f t="shared" si="466"/>
        <v>0.30113115623041908</v>
      </c>
      <c r="BL151" s="460">
        <f t="shared" si="437"/>
        <v>349.4635227909784</v>
      </c>
      <c r="BM151" s="173">
        <f t="shared" si="467"/>
        <v>0.25471249999999995</v>
      </c>
      <c r="BN151" s="173">
        <f t="shared" si="468"/>
        <v>6.3678124999999988E-2</v>
      </c>
      <c r="BO151" s="528"/>
      <c r="BQ151" s="460">
        <f t="shared" si="356"/>
        <v>318.39062499999994</v>
      </c>
      <c r="BR151" s="528">
        <f t="shared" si="357"/>
        <v>3.4986775207046253E-2</v>
      </c>
      <c r="BS151" s="528">
        <f t="shared" si="358"/>
        <v>2.2669982554190615E-2</v>
      </c>
      <c r="BT151" s="528">
        <f t="shared" si="359"/>
        <v>2.2741892385247684E-4</v>
      </c>
      <c r="BU151" s="528">
        <f t="shared" si="360"/>
        <v>0.28195715336776428</v>
      </c>
      <c r="BV151" s="528"/>
      <c r="BW151" s="625">
        <f t="shared" si="469"/>
        <v>6.0239361220365819E-3</v>
      </c>
      <c r="BX151" s="460">
        <f t="shared" si="362"/>
        <v>345.86526617489017</v>
      </c>
      <c r="BY151" s="173">
        <f t="shared" si="363"/>
        <v>1.0137194139658687</v>
      </c>
      <c r="BZ151" s="5">
        <f t="shared" si="364"/>
        <v>7.5439999999999996</v>
      </c>
      <c r="CA151" s="173">
        <f t="shared" si="365"/>
        <v>0.88154327514974173</v>
      </c>
      <c r="CB151" s="5">
        <f t="shared" si="366"/>
        <v>88.15432751497417</v>
      </c>
      <c r="CC151">
        <f t="shared" si="367"/>
        <v>41</v>
      </c>
      <c r="CE151" s="562">
        <f t="shared" si="470"/>
        <v>-50</v>
      </c>
      <c r="CF151">
        <f t="shared" si="471"/>
        <v>-50</v>
      </c>
      <c r="CG151" s="173">
        <f t="shared" si="370"/>
        <v>0.35771495841706197</v>
      </c>
      <c r="CH151" s="173">
        <f t="shared" si="472"/>
        <v>0.12498995131688433</v>
      </c>
      <c r="CI151" s="170">
        <v>41</v>
      </c>
      <c r="CJ151" s="217">
        <f t="shared" si="438"/>
        <v>0.41</v>
      </c>
      <c r="CK151" s="217">
        <f t="shared" si="372"/>
        <v>0.10249999999999999</v>
      </c>
      <c r="CL151" s="217">
        <f t="shared" si="373"/>
        <v>6.7239999999999993</v>
      </c>
      <c r="CM151" s="217">
        <f t="shared" si="374"/>
        <v>0.82</v>
      </c>
      <c r="CN151" s="541">
        <f t="shared" si="375"/>
        <v>10</v>
      </c>
      <c r="CO151" s="443">
        <f t="shared" si="473"/>
        <v>17.099999999999998</v>
      </c>
      <c r="CP151" s="443">
        <f t="shared" si="474"/>
        <v>27.099999999999998</v>
      </c>
      <c r="CQ151" s="443"/>
      <c r="CR151" s="217">
        <f t="shared" si="378"/>
        <v>0.62686567164179097</v>
      </c>
      <c r="CS151" s="172">
        <f t="shared" si="379"/>
        <v>18.624269954574949</v>
      </c>
      <c r="CT151" s="172">
        <f t="shared" si="380"/>
        <v>2.5482344375682562</v>
      </c>
      <c r="CU151" s="217">
        <f t="shared" si="381"/>
        <v>1.135626216742375</v>
      </c>
      <c r="CV151" s="217">
        <f t="shared" si="382"/>
        <v>2.3280337443218686</v>
      </c>
      <c r="CW151" s="217">
        <f t="shared" si="383"/>
        <v>16.399999999999999</v>
      </c>
      <c r="CX151" s="217">
        <f t="shared" si="384"/>
        <v>2.4068952380952382</v>
      </c>
      <c r="CY151" s="217">
        <f t="shared" si="385"/>
        <v>2.888274285714286</v>
      </c>
      <c r="CZ151" s="217">
        <f t="shared" si="386"/>
        <v>1.6890492898913954</v>
      </c>
      <c r="DA151" s="197">
        <f t="shared" si="387"/>
        <v>350</v>
      </c>
      <c r="DB151" s="443">
        <f t="shared" si="388"/>
        <v>218.46827812859567</v>
      </c>
      <c r="DD151" s="217">
        <f t="shared" si="389"/>
        <v>1.5023721665788083</v>
      </c>
      <c r="DE151" s="173">
        <f t="shared" si="390"/>
        <v>1.0542962572482866</v>
      </c>
      <c r="DF151" s="173">
        <f t="shared" si="391"/>
        <v>0.24706104135140031</v>
      </c>
      <c r="DG151" s="173"/>
      <c r="DH151" s="173">
        <f t="shared" si="392"/>
        <v>0.93567251461988332</v>
      </c>
      <c r="DI151" s="545">
        <f t="shared" si="393"/>
        <v>657.28124999999966</v>
      </c>
      <c r="DJ151" s="528">
        <f t="shared" si="394"/>
        <v>0.21832358674463945</v>
      </c>
      <c r="DL151" s="173">
        <f t="shared" si="395"/>
        <v>1.8953577373100183</v>
      </c>
      <c r="DM151" s="173">
        <f t="shared" si="396"/>
        <v>2.4068952380952382</v>
      </c>
      <c r="DN151" s="173">
        <f t="shared" si="397"/>
        <v>1.9952310405643738</v>
      </c>
      <c r="DP151" s="545">
        <f t="shared" si="398"/>
        <v>410</v>
      </c>
      <c r="DQ151" s="460">
        <f t="shared" si="399"/>
        <v>218.46827812859567</v>
      </c>
      <c r="DS151" s="460">
        <f t="shared" si="400"/>
        <v>410</v>
      </c>
      <c r="DT151" s="460">
        <f t="shared" si="401"/>
        <v>218.46827812859567</v>
      </c>
      <c r="DV151" s="5">
        <f t="shared" si="402"/>
        <v>4.5773235756056811</v>
      </c>
      <c r="DW151" s="5">
        <f t="shared" si="403"/>
        <v>2.888274285714286</v>
      </c>
      <c r="DX151" s="5">
        <f t="shared" si="404"/>
        <v>1.6890492898913951</v>
      </c>
      <c r="DY151" s="173">
        <f t="shared" si="405"/>
        <v>0.63099630996309963</v>
      </c>
      <c r="EA151" s="5">
        <f t="shared" si="406"/>
        <v>7.2206857142857164</v>
      </c>
      <c r="EB151" s="5">
        <f t="shared" si="407"/>
        <v>3.7006014285714288</v>
      </c>
      <c r="EC151" s="5">
        <f t="shared" si="408"/>
        <v>0.9464306187691448</v>
      </c>
      <c r="ED151" s="5"/>
      <c r="EE151" s="173">
        <f t="shared" si="409"/>
        <v>1.1038497664513027</v>
      </c>
      <c r="EF151" s="173">
        <f t="shared" si="410"/>
        <v>0.84413501417757941</v>
      </c>
      <c r="EG151" s="173">
        <f t="shared" si="411"/>
        <v>0.2070976864051163</v>
      </c>
      <c r="EH151" s="173"/>
      <c r="EI151" s="528">
        <f t="shared" si="412"/>
        <v>2.4369686137891915E-2</v>
      </c>
      <c r="EJ151" s="528">
        <f t="shared" si="413"/>
        <v>0.28499999999999992</v>
      </c>
      <c r="EK151" s="528">
        <f t="shared" si="414"/>
        <v>2.7308534766074456E-2</v>
      </c>
      <c r="EL151" s="528">
        <f t="shared" si="415"/>
        <v>1.604452881404219E-2</v>
      </c>
      <c r="EM151">
        <f t="shared" si="416"/>
        <v>4.4999999999999997E-3</v>
      </c>
      <c r="EN151" s="460">
        <f t="shared" si="417"/>
        <v>31.808534766074452</v>
      </c>
      <c r="EP151" s="460">
        <f t="shared" si="439"/>
        <v>357.22274971800852</v>
      </c>
      <c r="EQ151" s="173">
        <f t="shared" si="418"/>
        <v>0.28699999999999998</v>
      </c>
      <c r="ER151" s="173">
        <f t="shared" si="475"/>
        <v>4.5484374999999994E-2</v>
      </c>
      <c r="ES151" s="528"/>
      <c r="EU151" s="460">
        <f t="shared" si="420"/>
        <v>332.48437499999994</v>
      </c>
      <c r="EV151" s="528">
        <f t="shared" si="421"/>
        <v>3.6554529206837869E-2</v>
      </c>
      <c r="EW151" s="528">
        <f t="shared" si="422"/>
        <v>2.1376917664817464E-2</v>
      </c>
      <c r="EX151" s="528">
        <f t="shared" si="423"/>
        <v>2.1444725857175948E-4</v>
      </c>
      <c r="EY151" s="528">
        <f t="shared" si="424"/>
        <v>0.31701801185397399</v>
      </c>
      <c r="EZ151" s="528"/>
      <c r="FA151" s="625">
        <f t="shared" si="425"/>
        <v>6.3280917237743808E-3</v>
      </c>
      <c r="FB151" s="460">
        <f t="shared" si="426"/>
        <v>381.49199770797543</v>
      </c>
      <c r="FC151" s="173">
        <f t="shared" si="427"/>
        <v>1.071199122425984</v>
      </c>
      <c r="FD151" s="5">
        <f t="shared" si="428"/>
        <v>7.5439999999999996</v>
      </c>
      <c r="FE151" s="173">
        <f t="shared" si="429"/>
        <v>0.87566171051838182</v>
      </c>
      <c r="FF151" s="5">
        <f t="shared" si="430"/>
        <v>87.566171051838182</v>
      </c>
      <c r="FG151">
        <f t="shared" si="431"/>
        <v>41</v>
      </c>
      <c r="FI151" s="562">
        <f t="shared" si="432"/>
        <v>-50</v>
      </c>
      <c r="FJ151">
        <f t="shared" si="433"/>
        <v>-50</v>
      </c>
    </row>
    <row r="152" spans="5:166">
      <c r="E152" s="170">
        <v>42</v>
      </c>
      <c r="F152" s="217">
        <f t="shared" si="476"/>
        <v>0.42</v>
      </c>
      <c r="G152" s="217">
        <f t="shared" si="444"/>
        <v>0.105</v>
      </c>
      <c r="H152" s="217">
        <f t="shared" si="445"/>
        <v>6.887999999999999</v>
      </c>
      <c r="I152" s="217">
        <f t="shared" si="446"/>
        <v>0.84</v>
      </c>
      <c r="J152" s="541">
        <f t="shared" si="447"/>
        <v>9.9204151686887165</v>
      </c>
      <c r="K152" s="443">
        <f t="shared" si="448"/>
        <v>17.135223575932514</v>
      </c>
      <c r="L152" s="172">
        <f t="shared" si="449"/>
        <v>27.055638744621231</v>
      </c>
      <c r="M152" s="443"/>
      <c r="N152" s="217">
        <f t="shared" si="450"/>
        <v>0.63333280495323974</v>
      </c>
      <c r="O152" s="172">
        <f t="shared" si="451"/>
        <v>18.666659345546226</v>
      </c>
      <c r="P152" s="172">
        <f t="shared" si="452"/>
        <v>2.554034294750525</v>
      </c>
      <c r="Q152" s="217">
        <f t="shared" si="322"/>
        <v>1.1382109357040382</v>
      </c>
      <c r="R152" s="217">
        <f t="shared" si="453"/>
        <v>2.3333324181932782</v>
      </c>
      <c r="S152" s="217">
        <f t="shared" si="454"/>
        <v>16.399999999999999</v>
      </c>
      <c r="T152" s="217">
        <f t="shared" si="455"/>
        <v>2.4600009648194643</v>
      </c>
      <c r="U152" s="217">
        <f t="shared" si="326"/>
        <v>2.9756830813901849</v>
      </c>
      <c r="V152" s="217">
        <f t="shared" si="327"/>
        <v>1.7227678090699827</v>
      </c>
      <c r="W152" s="197">
        <f t="shared" si="328"/>
        <v>350</v>
      </c>
      <c r="X152" s="443">
        <f t="shared" si="435"/>
        <v>204.14617240473316</v>
      </c>
      <c r="Z152" s="217">
        <f t="shared" si="329"/>
        <v>1.4959343726395931</v>
      </c>
      <c r="AA152" s="173">
        <f t="shared" si="330"/>
        <v>1.0476205572764576</v>
      </c>
      <c r="AB152" s="173">
        <f t="shared" si="456"/>
        <v>0.24444470082588665</v>
      </c>
      <c r="AC152" s="173"/>
      <c r="AD152" s="173">
        <f t="shared" si="332"/>
        <v>0.93374912379159136</v>
      </c>
      <c r="AE152" s="545">
        <f t="shared" si="457"/>
        <v>674.69942830234243</v>
      </c>
      <c r="AF152" s="528">
        <f t="shared" si="458"/>
        <v>0.21787479555137138</v>
      </c>
      <c r="AH152" s="173">
        <f t="shared" si="459"/>
        <v>1.9183326093250876</v>
      </c>
      <c r="AI152" s="173">
        <f t="shared" si="460"/>
        <v>2.4600009648194643</v>
      </c>
      <c r="AJ152" s="173">
        <f t="shared" si="461"/>
        <v>2.0345686159156524</v>
      </c>
      <c r="AL152" s="545">
        <f t="shared" si="462"/>
        <v>420</v>
      </c>
      <c r="AM152" s="460">
        <f t="shared" si="463"/>
        <v>204.14617240473316</v>
      </c>
      <c r="AO152" s="460">
        <f t="shared" si="340"/>
        <v>420</v>
      </c>
      <c r="AP152" s="460">
        <f t="shared" si="341"/>
        <v>204.14617240473316</v>
      </c>
      <c r="AR152" s="5">
        <f t="shared" si="443"/>
        <v>4.8984508904601674</v>
      </c>
      <c r="AS152" s="5">
        <f t="shared" si="440"/>
        <v>2.9756830813901849</v>
      </c>
      <c r="AT152" s="5">
        <f t="shared" si="441"/>
        <v>1.9227678090699825</v>
      </c>
      <c r="AU152" s="173">
        <f t="shared" si="442"/>
        <v>0.60747431135532826</v>
      </c>
      <c r="AW152" s="5">
        <f t="shared" si="342"/>
        <v>7.6206517938041332</v>
      </c>
      <c r="AX152" s="5">
        <f t="shared" si="343"/>
        <v>3.9055840443246179</v>
      </c>
      <c r="AY152" s="5">
        <f t="shared" si="344"/>
        <v>1.1125227156718411</v>
      </c>
      <c r="AZ152" s="5"/>
      <c r="BA152" s="173">
        <f t="shared" si="345"/>
        <v>1.1069770287025571</v>
      </c>
      <c r="BB152" s="173">
        <f t="shared" si="346"/>
        <v>0.8898333777899603</v>
      </c>
      <c r="BC152" s="173">
        <f t="shared" si="347"/>
        <v>0.21830919311633171</v>
      </c>
      <c r="BD152" s="173"/>
      <c r="BE152" s="528">
        <f t="shared" si="348"/>
        <v>2.4507962841502837E-2</v>
      </c>
      <c r="BF152" s="528">
        <f t="shared" si="464"/>
        <v>0.25476254727232756</v>
      </c>
      <c r="BG152" s="528">
        <f t="shared" si="465"/>
        <v>5.0630369633841418E-2</v>
      </c>
      <c r="BH152" s="528">
        <f t="shared" si="351"/>
        <v>1.4943654723681095E-2</v>
      </c>
      <c r="BI152">
        <f t="shared" si="352"/>
        <v>4.4641868259099222E-3</v>
      </c>
      <c r="BJ152" s="460">
        <f t="shared" si="436"/>
        <v>55.094556459751338</v>
      </c>
      <c r="BK152">
        <f t="shared" si="466"/>
        <v>0.30259334367479063</v>
      </c>
      <c r="BL152" s="460">
        <f t="shared" si="437"/>
        <v>349.30872129726288</v>
      </c>
      <c r="BM152" s="173">
        <f t="shared" si="467"/>
        <v>0.26092499999999996</v>
      </c>
      <c r="BN152" s="173">
        <f t="shared" si="468"/>
        <v>6.5231249999999991E-2</v>
      </c>
      <c r="BO152" s="528"/>
      <c r="BQ152" s="460">
        <f t="shared" si="356"/>
        <v>326.15624999999994</v>
      </c>
      <c r="BR152" s="528">
        <f t="shared" si="357"/>
        <v>3.6761944262254258E-2</v>
      </c>
      <c r="BS152" s="528">
        <f t="shared" si="358"/>
        <v>2.3754103206872705E-2</v>
      </c>
      <c r="BT152" s="528">
        <f t="shared" si="359"/>
        <v>2.3829451899551907E-4</v>
      </c>
      <c r="BU152" s="528">
        <f t="shared" si="360"/>
        <v>0.28259293627980409</v>
      </c>
      <c r="BV152" s="528"/>
      <c r="BW152" s="625">
        <f t="shared" si="469"/>
        <v>6.1770597299427039E-3</v>
      </c>
      <c r="BX152" s="460">
        <f t="shared" si="362"/>
        <v>349.52433799786922</v>
      </c>
      <c r="BY152" s="173">
        <f t="shared" si="363"/>
        <v>1.0249893092951319</v>
      </c>
      <c r="BZ152" s="5">
        <f t="shared" si="364"/>
        <v>7.7279999999999989</v>
      </c>
      <c r="CA152" s="173">
        <f t="shared" si="365"/>
        <v>0.88289837070786126</v>
      </c>
      <c r="CB152" s="5">
        <f t="shared" si="366"/>
        <v>88.28983707078612</v>
      </c>
      <c r="CC152">
        <f t="shared" si="367"/>
        <v>42</v>
      </c>
      <c r="CE152" s="562">
        <f t="shared" si="470"/>
        <v>-50</v>
      </c>
      <c r="CF152">
        <f t="shared" si="471"/>
        <v>-50</v>
      </c>
      <c r="CG152" s="173">
        <f t="shared" si="370"/>
        <v>0.35771495841706197</v>
      </c>
      <c r="CH152" s="173">
        <f t="shared" si="472"/>
        <v>0.12498995131688433</v>
      </c>
      <c r="CI152" s="170">
        <v>42</v>
      </c>
      <c r="CJ152" s="217">
        <f t="shared" si="438"/>
        <v>0.42</v>
      </c>
      <c r="CK152" s="217">
        <f t="shared" si="372"/>
        <v>0.105</v>
      </c>
      <c r="CL152" s="217">
        <f t="shared" si="373"/>
        <v>6.887999999999999</v>
      </c>
      <c r="CM152" s="217">
        <f t="shared" si="374"/>
        <v>0.84</v>
      </c>
      <c r="CN152" s="541">
        <f t="shared" si="375"/>
        <v>10</v>
      </c>
      <c r="CO152" s="443">
        <f t="shared" si="473"/>
        <v>17.099999999999998</v>
      </c>
      <c r="CP152" s="443">
        <f t="shared" si="474"/>
        <v>27.099999999999998</v>
      </c>
      <c r="CQ152" s="443"/>
      <c r="CR152" s="217">
        <f t="shared" si="378"/>
        <v>0.62686567164179097</v>
      </c>
      <c r="CS152" s="172">
        <f t="shared" si="379"/>
        <v>18.624269954574949</v>
      </c>
      <c r="CT152" s="172">
        <f t="shared" si="380"/>
        <v>2.5482344375682562</v>
      </c>
      <c r="CU152" s="217">
        <f t="shared" si="381"/>
        <v>1.135626216742375</v>
      </c>
      <c r="CV152" s="217">
        <f t="shared" si="382"/>
        <v>2.3280337443218686</v>
      </c>
      <c r="CW152" s="217">
        <f t="shared" si="383"/>
        <v>16.399999999999999</v>
      </c>
      <c r="CX152" s="217">
        <f t="shared" si="384"/>
        <v>2.4655999999999998</v>
      </c>
      <c r="CY152" s="217">
        <f t="shared" si="385"/>
        <v>2.95872</v>
      </c>
      <c r="CZ152" s="217">
        <f t="shared" si="386"/>
        <v>1.7302456140350877</v>
      </c>
      <c r="DA152" s="197">
        <f t="shared" si="387"/>
        <v>350</v>
      </c>
      <c r="DB152" s="443">
        <f t="shared" si="388"/>
        <v>213.26665245886724</v>
      </c>
      <c r="DD152" s="217">
        <f t="shared" si="389"/>
        <v>1.5023721665788083</v>
      </c>
      <c r="DE152" s="173">
        <f t="shared" si="390"/>
        <v>1.0542962572482866</v>
      </c>
      <c r="DF152" s="173">
        <f t="shared" si="391"/>
        <v>0.24706104135140031</v>
      </c>
      <c r="DG152" s="173"/>
      <c r="DH152" s="173">
        <f t="shared" si="392"/>
        <v>0.93567251461988332</v>
      </c>
      <c r="DI152" s="545">
        <f t="shared" si="393"/>
        <v>673.31249999999977</v>
      </c>
      <c r="DJ152" s="528">
        <f t="shared" si="394"/>
        <v>0.21832358674463945</v>
      </c>
      <c r="DL152" s="173">
        <f t="shared" si="395"/>
        <v>1.9183326093250876</v>
      </c>
      <c r="DM152" s="173">
        <f t="shared" si="396"/>
        <v>2.4655999999999998</v>
      </c>
      <c r="DN152" s="173">
        <f t="shared" si="397"/>
        <v>2.0387160493827157</v>
      </c>
      <c r="DP152" s="545">
        <f t="shared" si="398"/>
        <v>420</v>
      </c>
      <c r="DQ152" s="460">
        <f t="shared" si="399"/>
        <v>213.26665245886724</v>
      </c>
      <c r="DS152" s="460">
        <f t="shared" si="400"/>
        <v>420</v>
      </c>
      <c r="DT152" s="460">
        <f t="shared" si="401"/>
        <v>213.26665245886724</v>
      </c>
      <c r="DV152" s="5">
        <f t="shared" si="402"/>
        <v>4.6889656140350873</v>
      </c>
      <c r="DW152" s="5">
        <f t="shared" si="403"/>
        <v>2.95872</v>
      </c>
      <c r="DX152" s="5">
        <f t="shared" si="404"/>
        <v>1.7302456140350873</v>
      </c>
      <c r="DY152" s="173">
        <f t="shared" si="405"/>
        <v>0.63099630996309974</v>
      </c>
      <c r="EA152" s="5">
        <f t="shared" si="406"/>
        <v>7.5772097560975622</v>
      </c>
      <c r="EB152" s="5">
        <f t="shared" si="407"/>
        <v>3.8833199999999999</v>
      </c>
      <c r="EC152" s="5">
        <f t="shared" si="408"/>
        <v>0.99316098245613982</v>
      </c>
      <c r="ED152" s="5"/>
      <c r="EE152" s="173">
        <f t="shared" si="409"/>
        <v>1.1307729314867003</v>
      </c>
      <c r="EF152" s="173">
        <f t="shared" si="410"/>
        <v>0.86472367305995912</v>
      </c>
      <c r="EG152" s="173">
        <f t="shared" si="411"/>
        <v>0.21214884948816784</v>
      </c>
      <c r="EH152" s="173"/>
      <c r="EI152" s="528">
        <f t="shared" si="412"/>
        <v>2.5572948451660516E-2</v>
      </c>
      <c r="EJ152" s="528">
        <f t="shared" si="413"/>
        <v>0.28500000000000003</v>
      </c>
      <c r="EK152" s="528">
        <f t="shared" si="414"/>
        <v>2.6658331557358403E-2</v>
      </c>
      <c r="EL152" s="528">
        <f t="shared" si="415"/>
        <v>1.5662516223231667E-2</v>
      </c>
      <c r="EM152">
        <f t="shared" si="416"/>
        <v>4.4999999999999997E-3</v>
      </c>
      <c r="EN152" s="460">
        <f t="shared" si="417"/>
        <v>31.158331557358402</v>
      </c>
      <c r="EP152" s="460">
        <f t="shared" si="439"/>
        <v>357.39379623225062</v>
      </c>
      <c r="EQ152" s="173">
        <f t="shared" si="418"/>
        <v>0.29399999999999998</v>
      </c>
      <c r="ER152" s="173">
        <f t="shared" si="475"/>
        <v>4.6593749999999996E-2</v>
      </c>
      <c r="ES152" s="528"/>
      <c r="EU152" s="460">
        <f t="shared" si="420"/>
        <v>340.59375</v>
      </c>
      <c r="EV152" s="528">
        <f t="shared" si="421"/>
        <v>3.8359422677490769E-2</v>
      </c>
      <c r="EW152" s="528">
        <f t="shared" si="422"/>
        <v>2.2432410922509211E-2</v>
      </c>
      <c r="EX152" s="528">
        <f t="shared" si="423"/>
        <v>2.2503567169576647E-4</v>
      </c>
      <c r="EY152" s="528">
        <f t="shared" si="424"/>
        <v>0.31701801185397366</v>
      </c>
      <c r="EZ152" s="528"/>
      <c r="FA152" s="625">
        <f t="shared" si="425"/>
        <v>6.4824354243542435E-3</v>
      </c>
      <c r="FB152" s="460">
        <f t="shared" si="426"/>
        <v>384.51731655002362</v>
      </c>
      <c r="FC152" s="173">
        <f t="shared" si="427"/>
        <v>1.0825048627822744</v>
      </c>
      <c r="FD152" s="5">
        <f t="shared" si="428"/>
        <v>7.7279999999999989</v>
      </c>
      <c r="FE152" s="173">
        <f t="shared" si="429"/>
        <v>0.87713475224841653</v>
      </c>
      <c r="FF152" s="5">
        <f t="shared" si="430"/>
        <v>87.713475224841659</v>
      </c>
      <c r="FG152">
        <f t="shared" si="431"/>
        <v>42</v>
      </c>
      <c r="FI152" s="562">
        <f t="shared" si="432"/>
        <v>-50</v>
      </c>
      <c r="FJ152">
        <f t="shared" si="433"/>
        <v>-50</v>
      </c>
    </row>
    <row r="153" spans="5:166">
      <c r="E153" s="170">
        <v>43</v>
      </c>
      <c r="F153" s="217">
        <f t="shared" si="476"/>
        <v>0.43</v>
      </c>
      <c r="G153" s="217">
        <f t="shared" si="444"/>
        <v>0.1075</v>
      </c>
      <c r="H153" s="217">
        <f t="shared" si="445"/>
        <v>7.0519999999999996</v>
      </c>
      <c r="I153" s="217">
        <f t="shared" si="446"/>
        <v>0.86</v>
      </c>
      <c r="J153" s="541">
        <f t="shared" si="447"/>
        <v>9.9185202917527331</v>
      </c>
      <c r="K153" s="443">
        <f t="shared" si="448"/>
        <v>17.136062232502336</v>
      </c>
      <c r="L153" s="172">
        <f t="shared" si="449"/>
        <v>27.054582524255068</v>
      </c>
      <c r="M153" s="443"/>
      <c r="N153" s="217">
        <f t="shared" si="450"/>
        <v>0.63338852917576738</v>
      </c>
      <c r="O153" s="172">
        <f t="shared" si="451"/>
        <v>18.664735952675645</v>
      </c>
      <c r="P153" s="172">
        <f t="shared" si="452"/>
        <v>2.5537711297533607</v>
      </c>
      <c r="Q153" s="217">
        <f t="shared" si="322"/>
        <v>1.138093655650954</v>
      </c>
      <c r="R153" s="217">
        <f t="shared" si="453"/>
        <v>2.3330919940844557</v>
      </c>
      <c r="S153" s="217">
        <f t="shared" si="454"/>
        <v>16.399999999999999</v>
      </c>
      <c r="T153" s="217">
        <f t="shared" si="455"/>
        <v>2.5188319541479411</v>
      </c>
      <c r="U153" s="217">
        <f t="shared" si="326"/>
        <v>3.0474287051575879</v>
      </c>
      <c r="V153" s="217">
        <f t="shared" si="327"/>
        <v>1.7638815172160744</v>
      </c>
      <c r="W153" s="197">
        <f t="shared" si="328"/>
        <v>350</v>
      </c>
      <c r="X153" s="443">
        <f t="shared" si="435"/>
        <v>199.54861216441293</v>
      </c>
      <c r="Z153" s="217">
        <f t="shared" si="329"/>
        <v>1.4957802331412537</v>
      </c>
      <c r="AA153" s="173">
        <f t="shared" si="330"/>
        <v>1.0474613452120933</v>
      </c>
      <c r="AB153" s="173">
        <f t="shared" si="456"/>
        <v>0.24438236786272691</v>
      </c>
      <c r="AC153" s="173"/>
      <c r="AD153" s="173">
        <f t="shared" si="332"/>
        <v>0.93370342514585758</v>
      </c>
      <c r="AE153" s="545">
        <f t="shared" si="457"/>
        <v>690.79750874775027</v>
      </c>
      <c r="AF153" s="528">
        <f t="shared" si="458"/>
        <v>0.21786413253403344</v>
      </c>
      <c r="AH153" s="173">
        <f t="shared" si="459"/>
        <v>1.9410355606271223</v>
      </c>
      <c r="AI153" s="173">
        <f t="shared" si="460"/>
        <v>2.5188319541479411</v>
      </c>
      <c r="AJ153" s="173">
        <f t="shared" si="461"/>
        <v>2.078147126529339</v>
      </c>
      <c r="AL153" s="545">
        <f t="shared" si="462"/>
        <v>430</v>
      </c>
      <c r="AM153" s="460">
        <f t="shared" si="463"/>
        <v>199.54861216441293</v>
      </c>
      <c r="AO153" s="460">
        <f t="shared" si="340"/>
        <v>430</v>
      </c>
      <c r="AP153" s="460">
        <f t="shared" si="341"/>
        <v>199.54861216441293</v>
      </c>
      <c r="AR153" s="5">
        <f t="shared" si="443"/>
        <v>5.0113102223736625</v>
      </c>
      <c r="AS153" s="5">
        <f t="shared" si="440"/>
        <v>3.0474287051575879</v>
      </c>
      <c r="AT153" s="5">
        <f t="shared" si="441"/>
        <v>1.9638815172160746</v>
      </c>
      <c r="AU153" s="173">
        <f t="shared" si="442"/>
        <v>0.60811016878419066</v>
      </c>
      <c r="AW153" s="5">
        <f t="shared" si="342"/>
        <v>7.9902094098644083</v>
      </c>
      <c r="AX153" s="5">
        <f t="shared" si="343"/>
        <v>4.0949823225555084</v>
      </c>
      <c r="AY153" s="5">
        <f t="shared" si="344"/>
        <v>1.1635885908408021</v>
      </c>
      <c r="AZ153" s="5"/>
      <c r="BA153" s="173">
        <f t="shared" si="345"/>
        <v>1.1340434634068075</v>
      </c>
      <c r="BB153" s="173">
        <f t="shared" si="346"/>
        <v>0.91037550540964773</v>
      </c>
      <c r="BC153" s="173">
        <f t="shared" si="347"/>
        <v>0.22334894035157782</v>
      </c>
      <c r="BD153" s="173"/>
      <c r="BE153" s="528">
        <f t="shared" si="348"/>
        <v>2.5721091537914145E-2</v>
      </c>
      <c r="BF153" s="528">
        <f t="shared" si="464"/>
        <v>0.25497054641511008</v>
      </c>
      <c r="BG153" s="528">
        <f t="shared" si="465"/>
        <v>4.9480673973595651E-2</v>
      </c>
      <c r="BH153" s="528">
        <f t="shared" si="351"/>
        <v>1.4605969358948031E-2</v>
      </c>
      <c r="BI153">
        <f t="shared" si="352"/>
        <v>4.4633341312887301E-3</v>
      </c>
      <c r="BJ153" s="460">
        <f t="shared" si="436"/>
        <v>53.944008104884382</v>
      </c>
      <c r="BK153">
        <f t="shared" si="466"/>
        <v>0.30410076255076457</v>
      </c>
      <c r="BL153" s="460">
        <f t="shared" si="437"/>
        <v>349.24161541685669</v>
      </c>
      <c r="BM153" s="173">
        <f t="shared" si="467"/>
        <v>0.26713749999999997</v>
      </c>
      <c r="BN153" s="173">
        <f t="shared" si="468"/>
        <v>6.6784374999999993E-2</v>
      </c>
      <c r="BO153" s="528"/>
      <c r="BQ153" s="460">
        <f t="shared" si="356"/>
        <v>333.921875</v>
      </c>
      <c r="BR153" s="528">
        <f t="shared" si="357"/>
        <v>3.8581637306871218E-2</v>
      </c>
      <c r="BS153" s="528">
        <f t="shared" si="358"/>
        <v>2.4863506825496148E-2</v>
      </c>
      <c r="BT153" s="528">
        <f t="shared" si="359"/>
        <v>2.4942374578086331E-4</v>
      </c>
      <c r="BU153" s="528">
        <f t="shared" si="360"/>
        <v>0.2831977306655275</v>
      </c>
      <c r="BV153" s="528"/>
      <c r="BW153" s="625">
        <f t="shared" si="469"/>
        <v>6.3301952300925269E-3</v>
      </c>
      <c r="BX153" s="460">
        <f t="shared" si="362"/>
        <v>353.22249377376829</v>
      </c>
      <c r="BY153" s="173">
        <f t="shared" si="363"/>
        <v>1.0363859841906249</v>
      </c>
      <c r="BZ153" s="5">
        <f t="shared" si="364"/>
        <v>7.9119999999999999</v>
      </c>
      <c r="CA153" s="173">
        <f t="shared" si="365"/>
        <v>0.88418179702779498</v>
      </c>
      <c r="CB153" s="5">
        <f t="shared" si="366"/>
        <v>88.418179702779497</v>
      </c>
      <c r="CC153">
        <f t="shared" si="367"/>
        <v>43</v>
      </c>
      <c r="CE153" s="562">
        <f t="shared" si="470"/>
        <v>-50</v>
      </c>
      <c r="CF153">
        <f t="shared" si="471"/>
        <v>-50</v>
      </c>
      <c r="CG153" s="173">
        <f t="shared" si="370"/>
        <v>0.35771495841706197</v>
      </c>
      <c r="CH153" s="173">
        <f t="shared" si="472"/>
        <v>0.1249899513168843</v>
      </c>
      <c r="CI153" s="170">
        <v>43</v>
      </c>
      <c r="CJ153" s="217">
        <f t="shared" si="438"/>
        <v>0.43</v>
      </c>
      <c r="CK153" s="217">
        <f t="shared" si="372"/>
        <v>0.1075</v>
      </c>
      <c r="CL153" s="217">
        <f t="shared" si="373"/>
        <v>7.0519999999999996</v>
      </c>
      <c r="CM153" s="217">
        <f t="shared" si="374"/>
        <v>0.86</v>
      </c>
      <c r="CN153" s="541">
        <f t="shared" si="375"/>
        <v>10</v>
      </c>
      <c r="CO153" s="443">
        <f t="shared" si="473"/>
        <v>17.099999999999998</v>
      </c>
      <c r="CP153" s="443">
        <f t="shared" si="474"/>
        <v>27.099999999999998</v>
      </c>
      <c r="CQ153" s="443"/>
      <c r="CR153" s="217">
        <f t="shared" si="378"/>
        <v>0.62686567164179097</v>
      </c>
      <c r="CS153" s="172">
        <f t="shared" si="379"/>
        <v>18.624269954574949</v>
      </c>
      <c r="CT153" s="172">
        <f t="shared" si="380"/>
        <v>2.5482344375682562</v>
      </c>
      <c r="CU153" s="217">
        <f t="shared" si="381"/>
        <v>1.135626216742375</v>
      </c>
      <c r="CV153" s="217">
        <f t="shared" si="382"/>
        <v>2.3280337443218686</v>
      </c>
      <c r="CW153" s="217">
        <f t="shared" si="383"/>
        <v>16.399999999999999</v>
      </c>
      <c r="CX153" s="217">
        <f t="shared" si="384"/>
        <v>2.5243047619047623</v>
      </c>
      <c r="CY153" s="217">
        <f t="shared" si="385"/>
        <v>3.0291657142857149</v>
      </c>
      <c r="CZ153" s="217">
        <f t="shared" si="386"/>
        <v>1.7714419381787807</v>
      </c>
      <c r="DA153" s="197">
        <f t="shared" si="387"/>
        <v>350</v>
      </c>
      <c r="DB153" s="443">
        <f t="shared" si="388"/>
        <v>208.30696286680049</v>
      </c>
      <c r="DD153" s="217">
        <f t="shared" si="389"/>
        <v>1.5023721665788083</v>
      </c>
      <c r="DE153" s="173">
        <f t="shared" si="390"/>
        <v>1.0542962572482866</v>
      </c>
      <c r="DF153" s="173">
        <f t="shared" si="391"/>
        <v>0.24706104135140031</v>
      </c>
      <c r="DG153" s="173"/>
      <c r="DH153" s="173">
        <f t="shared" si="392"/>
        <v>0.93567251461988332</v>
      </c>
      <c r="DI153" s="545">
        <f t="shared" si="393"/>
        <v>689.34374999999977</v>
      </c>
      <c r="DJ153" s="528">
        <f t="shared" si="394"/>
        <v>0.21832358674463945</v>
      </c>
      <c r="DL153" s="173">
        <f t="shared" si="395"/>
        <v>1.9410355606271223</v>
      </c>
      <c r="DM153" s="173">
        <f t="shared" si="396"/>
        <v>2.5243047619047623</v>
      </c>
      <c r="DN153" s="173">
        <f t="shared" si="397"/>
        <v>2.0822010582010582</v>
      </c>
      <c r="DP153" s="545">
        <f t="shared" si="398"/>
        <v>430</v>
      </c>
      <c r="DQ153" s="460">
        <f t="shared" si="399"/>
        <v>208.30696286680049</v>
      </c>
      <c r="DS153" s="460">
        <f t="shared" si="400"/>
        <v>430</v>
      </c>
      <c r="DT153" s="460">
        <f t="shared" si="401"/>
        <v>208.30696286680049</v>
      </c>
      <c r="DV153" s="5">
        <f t="shared" si="402"/>
        <v>4.8006076524644961</v>
      </c>
      <c r="DW153" s="5">
        <f t="shared" si="403"/>
        <v>3.0291657142857149</v>
      </c>
      <c r="DX153" s="5">
        <f t="shared" si="404"/>
        <v>1.7714419381787812</v>
      </c>
      <c r="DY153" s="173">
        <f t="shared" si="405"/>
        <v>0.63099630996309952</v>
      </c>
      <c r="EA153" s="5">
        <f t="shared" si="406"/>
        <v>7.9423247386759614</v>
      </c>
      <c r="EB153" s="5">
        <f t="shared" si="407"/>
        <v>4.0704414285714297</v>
      </c>
      <c r="EC153" s="5">
        <f t="shared" si="408"/>
        <v>1.0410173790030635</v>
      </c>
      <c r="ED153" s="5"/>
      <c r="EE153" s="173">
        <f t="shared" si="409"/>
        <v>1.1576960965220979</v>
      </c>
      <c r="EF153" s="173">
        <f t="shared" si="410"/>
        <v>0.8853123319423396</v>
      </c>
      <c r="EG153" s="173">
        <f t="shared" si="411"/>
        <v>0.21720001257121957</v>
      </c>
      <c r="EH153" s="173"/>
      <c r="EI153" s="528">
        <f t="shared" si="412"/>
        <v>2.6805205038050055E-2</v>
      </c>
      <c r="EJ153" s="528">
        <f t="shared" si="413"/>
        <v>0.28499999999999998</v>
      </c>
      <c r="EK153" s="528">
        <f t="shared" si="414"/>
        <v>2.603837035835006E-2</v>
      </c>
      <c r="EL153" s="528">
        <f t="shared" si="415"/>
        <v>1.5298271659900692E-2</v>
      </c>
      <c r="EM153">
        <f t="shared" si="416"/>
        <v>4.4999999999999997E-3</v>
      </c>
      <c r="EN153" s="460">
        <f t="shared" si="417"/>
        <v>30.538370358350061</v>
      </c>
      <c r="EP153" s="460">
        <f t="shared" si="439"/>
        <v>357.64184705630083</v>
      </c>
      <c r="EQ153" s="173">
        <f t="shared" si="418"/>
        <v>0.30099999999999999</v>
      </c>
      <c r="ER153" s="173">
        <f t="shared" si="475"/>
        <v>4.7703124999999999E-2</v>
      </c>
      <c r="ES153" s="528"/>
      <c r="EU153" s="460">
        <f t="shared" si="420"/>
        <v>348.703125</v>
      </c>
      <c r="EV153" s="528">
        <f t="shared" si="421"/>
        <v>4.0207807557075079E-2</v>
      </c>
      <c r="EW153" s="528">
        <f t="shared" si="422"/>
        <v>2.3513337752675497E-2</v>
      </c>
      <c r="EX153" s="528">
        <f t="shared" si="423"/>
        <v>2.358792273046897E-4</v>
      </c>
      <c r="EY153" s="528">
        <f t="shared" si="424"/>
        <v>0.31701801185397416</v>
      </c>
      <c r="EZ153" s="528"/>
      <c r="FA153" s="625">
        <f t="shared" si="425"/>
        <v>6.6367791249341062E-3</v>
      </c>
      <c r="FB153" s="460">
        <f t="shared" si="426"/>
        <v>387.61181551596354</v>
      </c>
      <c r="FC153" s="173">
        <f t="shared" si="427"/>
        <v>1.0939567875722644</v>
      </c>
      <c r="FD153" s="5">
        <f t="shared" si="428"/>
        <v>7.9119999999999999</v>
      </c>
      <c r="FE153" s="173">
        <f t="shared" si="429"/>
        <v>0.87852964283796409</v>
      </c>
      <c r="FF153" s="5">
        <f t="shared" si="430"/>
        <v>87.85296428379641</v>
      </c>
      <c r="FG153">
        <f t="shared" si="431"/>
        <v>43</v>
      </c>
      <c r="FI153" s="562">
        <f t="shared" si="432"/>
        <v>-50</v>
      </c>
      <c r="FJ153">
        <f t="shared" si="433"/>
        <v>-50</v>
      </c>
    </row>
    <row r="154" spans="5:166">
      <c r="E154" s="170">
        <v>44</v>
      </c>
      <c r="F154" s="217">
        <f t="shared" si="476"/>
        <v>0.44</v>
      </c>
      <c r="G154" s="217">
        <f t="shared" si="444"/>
        <v>0.11</v>
      </c>
      <c r="H154" s="217">
        <f t="shared" si="445"/>
        <v>7.2159999999999993</v>
      </c>
      <c r="I154" s="217">
        <f t="shared" si="446"/>
        <v>0.88</v>
      </c>
      <c r="J154" s="541">
        <f t="shared" si="447"/>
        <v>9.9166254148167496</v>
      </c>
      <c r="K154" s="443">
        <f t="shared" si="448"/>
        <v>17.136900889072155</v>
      </c>
      <c r="L154" s="172">
        <f t="shared" si="449"/>
        <v>27.053526303888905</v>
      </c>
      <c r="M154" s="443"/>
      <c r="N154" s="217">
        <f t="shared" si="450"/>
        <v>0.63344425774945101</v>
      </c>
      <c r="O154" s="172">
        <f t="shared" si="451"/>
        <v>18.662812060578656</v>
      </c>
      <c r="P154" s="172">
        <f t="shared" si="452"/>
        <v>2.5535078964503817</v>
      </c>
      <c r="Q154" s="217">
        <f t="shared" si="322"/>
        <v>1.1379763451572351</v>
      </c>
      <c r="R154" s="217">
        <f t="shared" si="453"/>
        <v>2.332851507572332</v>
      </c>
      <c r="S154" s="217">
        <f t="shared" si="454"/>
        <v>16.399999999999999</v>
      </c>
      <c r="T154" s="217">
        <f t="shared" si="455"/>
        <v>2.5776751386937065</v>
      </c>
      <c r="U154" s="217">
        <f t="shared" si="326"/>
        <v>3.1192165046496387</v>
      </c>
      <c r="V154" s="217">
        <f t="shared" si="327"/>
        <v>1.804999740883676</v>
      </c>
      <c r="W154" s="197">
        <f t="shared" si="328"/>
        <v>350</v>
      </c>
      <c r="X154" s="443">
        <f t="shared" si="435"/>
        <v>195.15179533488296</v>
      </c>
      <c r="Z154" s="217">
        <f t="shared" si="329"/>
        <v>1.4956260536352228</v>
      </c>
      <c r="AA154" s="173">
        <f t="shared" si="330"/>
        <v>1.0473021207158542</v>
      </c>
      <c r="AB154" s="173">
        <f t="shared" si="456"/>
        <v>0.24432003311956801</v>
      </c>
      <c r="AC154" s="173"/>
      <c r="AD154" s="173">
        <f t="shared" si="332"/>
        <v>0.93365773097298299</v>
      </c>
      <c r="AE154" s="545">
        <f t="shared" si="457"/>
        <v>706.89716167422625</v>
      </c>
      <c r="AF154" s="528">
        <f t="shared" si="458"/>
        <v>0.21785347056036269</v>
      </c>
      <c r="AH154" s="173">
        <f t="shared" si="459"/>
        <v>1.9634760235964419</v>
      </c>
      <c r="AI154" s="173">
        <f t="shared" si="460"/>
        <v>2.5776751386937065</v>
      </c>
      <c r="AJ154" s="173">
        <f t="shared" si="461"/>
        <v>2.1217346706373132</v>
      </c>
      <c r="AL154" s="545">
        <f t="shared" si="462"/>
        <v>440</v>
      </c>
      <c r="AM154" s="460">
        <f t="shared" si="463"/>
        <v>195.15179533488296</v>
      </c>
      <c r="AO154" s="460">
        <f t="shared" si="340"/>
        <v>440</v>
      </c>
      <c r="AP154" s="460">
        <f t="shared" si="341"/>
        <v>195.15179533488296</v>
      </c>
      <c r="AR154" s="5">
        <f t="shared" si="443"/>
        <v>5.124216245533316</v>
      </c>
      <c r="AS154" s="5">
        <f t="shared" si="440"/>
        <v>3.1192165046496387</v>
      </c>
      <c r="AT154" s="5">
        <f t="shared" si="441"/>
        <v>2.0049997408836773</v>
      </c>
      <c r="AU154" s="173">
        <f t="shared" si="442"/>
        <v>0.60872070092057529</v>
      </c>
      <c r="AW154" s="5">
        <f t="shared" si="342"/>
        <v>8.3686296466209829</v>
      </c>
      <c r="AX154" s="5">
        <f t="shared" si="343"/>
        <v>4.2889226938932534</v>
      </c>
      <c r="AY154" s="5">
        <f t="shared" si="344"/>
        <v>1.2158099424796422</v>
      </c>
      <c r="AZ154" s="5"/>
      <c r="BA154" s="173">
        <f t="shared" si="345"/>
        <v>1.1611186240172036</v>
      </c>
      <c r="BB154" s="173">
        <f t="shared" si="346"/>
        <v>0.93091706460543644</v>
      </c>
      <c r="BC154" s="173">
        <f t="shared" si="347"/>
        <v>0.22838854813131937</v>
      </c>
      <c r="BD154" s="173"/>
      <c r="BE154" s="528">
        <f t="shared" si="348"/>
        <v>2.696392918079208E-2</v>
      </c>
      <c r="BF154" s="528">
        <f t="shared" si="464"/>
        <v>0.25516781064439936</v>
      </c>
      <c r="BG154" s="528">
        <f t="shared" si="465"/>
        <v>4.8381181334125424E-2</v>
      </c>
      <c r="BH154" s="528">
        <f t="shared" si="351"/>
        <v>1.4283028865403304E-2</v>
      </c>
      <c r="BI154">
        <f t="shared" si="352"/>
        <v>4.4624814366675371E-3</v>
      </c>
      <c r="BJ154" s="460">
        <f t="shared" si="436"/>
        <v>52.84366277079296</v>
      </c>
      <c r="BK154">
        <f t="shared" si="466"/>
        <v>0.30565323663442273</v>
      </c>
      <c r="BL154" s="460">
        <f t="shared" si="437"/>
        <v>349.25843146138772</v>
      </c>
      <c r="BM154" s="173">
        <f t="shared" si="467"/>
        <v>0.27334999999999998</v>
      </c>
      <c r="BN154" s="173">
        <f t="shared" si="468"/>
        <v>6.8337499999999995E-2</v>
      </c>
      <c r="BO154" s="528"/>
      <c r="BQ154" s="460">
        <f t="shared" si="356"/>
        <v>341.6875</v>
      </c>
      <c r="BR154" s="528">
        <f t="shared" si="357"/>
        <v>4.0445893771188117E-2</v>
      </c>
      <c r="BS154" s="528">
        <f t="shared" si="358"/>
        <v>2.5998197435208068E-2</v>
      </c>
      <c r="BT154" s="528">
        <f t="shared" si="359"/>
        <v>2.6080664458765992E-4</v>
      </c>
      <c r="BU154" s="528">
        <f t="shared" si="360"/>
        <v>0.28377350148705693</v>
      </c>
      <c r="BV154" s="528"/>
      <c r="BW154" s="625">
        <f t="shared" si="469"/>
        <v>6.4833418441614622E-3</v>
      </c>
      <c r="BX154" s="460">
        <f t="shared" si="362"/>
        <v>356.96174118220227</v>
      </c>
      <c r="BY154" s="173">
        <f t="shared" si="363"/>
        <v>1.0479076726435899</v>
      </c>
      <c r="BZ154" s="5">
        <f t="shared" si="364"/>
        <v>8.0960000000000001</v>
      </c>
      <c r="CA154" s="173">
        <f t="shared" si="365"/>
        <v>0.88539826623811158</v>
      </c>
      <c r="CB154" s="5">
        <f t="shared" si="366"/>
        <v>88.539826623811152</v>
      </c>
      <c r="CC154">
        <f t="shared" si="367"/>
        <v>44</v>
      </c>
      <c r="CE154" s="562">
        <f t="shared" si="470"/>
        <v>-50</v>
      </c>
      <c r="CF154">
        <f t="shared" si="471"/>
        <v>-50</v>
      </c>
      <c r="CG154" s="173">
        <f t="shared" si="370"/>
        <v>0.35771495841706202</v>
      </c>
      <c r="CH154" s="173">
        <f t="shared" si="472"/>
        <v>0.12498995131688433</v>
      </c>
      <c r="CI154" s="170">
        <v>44</v>
      </c>
      <c r="CJ154" s="217">
        <f t="shared" si="438"/>
        <v>0.44</v>
      </c>
      <c r="CK154" s="217">
        <f t="shared" si="372"/>
        <v>0.11</v>
      </c>
      <c r="CL154" s="217">
        <f t="shared" si="373"/>
        <v>7.2159999999999993</v>
      </c>
      <c r="CM154" s="217">
        <f t="shared" si="374"/>
        <v>0.88</v>
      </c>
      <c r="CN154" s="541">
        <f t="shared" si="375"/>
        <v>10</v>
      </c>
      <c r="CO154" s="443">
        <f t="shared" si="473"/>
        <v>17.099999999999998</v>
      </c>
      <c r="CP154" s="443">
        <f t="shared" si="474"/>
        <v>27.099999999999998</v>
      </c>
      <c r="CQ154" s="443"/>
      <c r="CR154" s="217">
        <f t="shared" si="378"/>
        <v>0.62686567164179097</v>
      </c>
      <c r="CS154" s="172">
        <f t="shared" si="379"/>
        <v>18.624269954574949</v>
      </c>
      <c r="CT154" s="172">
        <f t="shared" si="380"/>
        <v>2.5482344375682562</v>
      </c>
      <c r="CU154" s="217">
        <f t="shared" si="381"/>
        <v>1.135626216742375</v>
      </c>
      <c r="CV154" s="217">
        <f t="shared" si="382"/>
        <v>2.3280337443218686</v>
      </c>
      <c r="CW154" s="217">
        <f t="shared" si="383"/>
        <v>16.399999999999999</v>
      </c>
      <c r="CX154" s="217">
        <f t="shared" si="384"/>
        <v>2.5830095238095239</v>
      </c>
      <c r="CY154" s="217">
        <f t="shared" si="385"/>
        <v>3.0996114285714285</v>
      </c>
      <c r="CZ154" s="217">
        <f t="shared" si="386"/>
        <v>1.8126382623224733</v>
      </c>
      <c r="DA154" s="197">
        <f t="shared" si="387"/>
        <v>350</v>
      </c>
      <c r="DB154" s="443">
        <f t="shared" si="388"/>
        <v>203.57271371073691</v>
      </c>
      <c r="DD154" s="217">
        <f t="shared" si="389"/>
        <v>1.5023721665788083</v>
      </c>
      <c r="DE154" s="173">
        <f t="shared" si="390"/>
        <v>1.0542962572482866</v>
      </c>
      <c r="DF154" s="173">
        <f t="shared" si="391"/>
        <v>0.24706104135140031</v>
      </c>
      <c r="DG154" s="173"/>
      <c r="DH154" s="173">
        <f t="shared" si="392"/>
        <v>0.93567251461988332</v>
      </c>
      <c r="DI154" s="545">
        <f t="shared" si="393"/>
        <v>705.37499999999977</v>
      </c>
      <c r="DJ154" s="528">
        <f t="shared" si="394"/>
        <v>0.21832358674463945</v>
      </c>
      <c r="DL154" s="173">
        <f t="shared" si="395"/>
        <v>1.9634760235964419</v>
      </c>
      <c r="DM154" s="173">
        <f t="shared" si="396"/>
        <v>2.5830095238095239</v>
      </c>
      <c r="DN154" s="173">
        <f t="shared" si="397"/>
        <v>2.1256860670194002</v>
      </c>
      <c r="DP154" s="545">
        <f t="shared" si="398"/>
        <v>440</v>
      </c>
      <c r="DQ154" s="460">
        <f t="shared" si="399"/>
        <v>203.57271371073691</v>
      </c>
      <c r="DS154" s="460">
        <f t="shared" si="400"/>
        <v>440</v>
      </c>
      <c r="DT154" s="460">
        <f t="shared" si="401"/>
        <v>203.57271371073691</v>
      </c>
      <c r="DV154" s="5">
        <f t="shared" si="402"/>
        <v>4.9122496908939004</v>
      </c>
      <c r="DW154" s="5">
        <f t="shared" si="403"/>
        <v>3.0996114285714285</v>
      </c>
      <c r="DX154" s="5">
        <f t="shared" si="404"/>
        <v>1.8126382623224719</v>
      </c>
      <c r="DY154" s="173">
        <f t="shared" si="405"/>
        <v>0.63099630996309974</v>
      </c>
      <c r="EA154" s="5">
        <f t="shared" si="406"/>
        <v>8.316030662020907</v>
      </c>
      <c r="EB154" s="5">
        <f t="shared" si="407"/>
        <v>4.2619657142857141</v>
      </c>
      <c r="EC154" s="5">
        <f t="shared" si="408"/>
        <v>1.0899998084099127</v>
      </c>
      <c r="ED154" s="5"/>
      <c r="EE154" s="173">
        <f t="shared" si="409"/>
        <v>1.1846192615574958</v>
      </c>
      <c r="EF154" s="173">
        <f t="shared" si="410"/>
        <v>0.9059009908247192</v>
      </c>
      <c r="EG154" s="173">
        <f t="shared" si="411"/>
        <v>0.2222511756542711</v>
      </c>
      <c r="EH154" s="173"/>
      <c r="EI154" s="528">
        <f t="shared" si="412"/>
        <v>2.8066455897060531E-2</v>
      </c>
      <c r="EJ154" s="528">
        <f t="shared" si="413"/>
        <v>0.28499999999999998</v>
      </c>
      <c r="EK154" s="528">
        <f t="shared" si="414"/>
        <v>2.5446589213842113E-2</v>
      </c>
      <c r="EL154" s="528">
        <f t="shared" si="415"/>
        <v>1.4950583667630225E-2</v>
      </c>
      <c r="EM154">
        <f t="shared" si="416"/>
        <v>4.4999999999999997E-3</v>
      </c>
      <c r="EN154" s="460">
        <f t="shared" si="417"/>
        <v>29.946589213842113</v>
      </c>
      <c r="EP154" s="460">
        <f t="shared" si="439"/>
        <v>357.96362877853289</v>
      </c>
      <c r="EQ154" s="173">
        <f t="shared" si="418"/>
        <v>0.308</v>
      </c>
      <c r="ER154" s="173">
        <f t="shared" si="475"/>
        <v>4.8812499999999995E-2</v>
      </c>
      <c r="ES154" s="528"/>
      <c r="EU154" s="460">
        <f t="shared" si="420"/>
        <v>356.8125</v>
      </c>
      <c r="EV154" s="528">
        <f t="shared" si="421"/>
        <v>4.2099683845590791E-2</v>
      </c>
      <c r="EW154" s="528">
        <f t="shared" si="422"/>
        <v>2.4619698155316238E-2</v>
      </c>
      <c r="EX154" s="528">
        <f t="shared" si="423"/>
        <v>2.4697792539852837E-4</v>
      </c>
      <c r="EY154" s="528">
        <f t="shared" si="424"/>
        <v>0.31701801185397371</v>
      </c>
      <c r="EZ154" s="528"/>
      <c r="FA154" s="625">
        <f t="shared" si="425"/>
        <v>6.7911228255139698E-3</v>
      </c>
      <c r="FB154" s="460">
        <f t="shared" si="426"/>
        <v>390.77549460579326</v>
      </c>
      <c r="FC154" s="173">
        <f t="shared" si="427"/>
        <v>1.1055516233843261</v>
      </c>
      <c r="FD154" s="5">
        <f t="shared" si="428"/>
        <v>8.0960000000000001</v>
      </c>
      <c r="FE154" s="173">
        <f t="shared" si="429"/>
        <v>0.8798516088770576</v>
      </c>
      <c r="FF154" s="5">
        <f t="shared" si="430"/>
        <v>87.98516088770576</v>
      </c>
      <c r="FG154">
        <f t="shared" si="431"/>
        <v>44</v>
      </c>
      <c r="FI154" s="562">
        <f t="shared" si="432"/>
        <v>-50</v>
      </c>
      <c r="FJ154">
        <f t="shared" si="433"/>
        <v>-50</v>
      </c>
    </row>
    <row r="155" spans="5:166">
      <c r="E155" s="170">
        <v>45</v>
      </c>
      <c r="F155" s="217">
        <f t="shared" si="476"/>
        <v>0.45</v>
      </c>
      <c r="G155" s="217">
        <f t="shared" si="444"/>
        <v>0.1125</v>
      </c>
      <c r="H155" s="217">
        <f t="shared" si="445"/>
        <v>7.38</v>
      </c>
      <c r="I155" s="217">
        <f t="shared" si="446"/>
        <v>0.9</v>
      </c>
      <c r="J155" s="541">
        <f t="shared" si="447"/>
        <v>9.914730537880768</v>
      </c>
      <c r="K155" s="443">
        <f t="shared" si="448"/>
        <v>17.137739545641978</v>
      </c>
      <c r="L155" s="172">
        <f t="shared" si="449"/>
        <v>27.052470083522746</v>
      </c>
      <c r="M155" s="443"/>
      <c r="N155" s="217">
        <f t="shared" si="450"/>
        <v>0.63349999067480045</v>
      </c>
      <c r="O155" s="172">
        <f t="shared" si="451"/>
        <v>18.660887669196786</v>
      </c>
      <c r="P155" s="172">
        <f t="shared" si="452"/>
        <v>2.553244594833588</v>
      </c>
      <c r="Q155" s="217">
        <f t="shared" si="322"/>
        <v>1.1378590042193164</v>
      </c>
      <c r="R155" s="217">
        <f t="shared" si="453"/>
        <v>2.3326109586495982</v>
      </c>
      <c r="S155" s="217">
        <f t="shared" si="454"/>
        <v>16.399999999999999</v>
      </c>
      <c r="T155" s="217">
        <f t="shared" si="455"/>
        <v>2.6365305269595298</v>
      </c>
      <c r="U155" s="217">
        <f t="shared" si="326"/>
        <v>3.1910465143389493</v>
      </c>
      <c r="V155" s="217">
        <f t="shared" si="327"/>
        <v>1.8461224853635847</v>
      </c>
      <c r="W155" s="197">
        <f t="shared" si="328"/>
        <v>350</v>
      </c>
      <c r="X155" s="443">
        <f t="shared" si="435"/>
        <v>190.94285482419971</v>
      </c>
      <c r="Z155" s="217">
        <f t="shared" si="329"/>
        <v>1.4954718341168156</v>
      </c>
      <c r="AA155" s="173">
        <f t="shared" si="330"/>
        <v>1.0471428837862844</v>
      </c>
      <c r="AB155" s="173">
        <f t="shared" si="456"/>
        <v>0.24425769659918292</v>
      </c>
      <c r="AC155" s="173"/>
      <c r="AD155" s="173">
        <f t="shared" si="332"/>
        <v>0.93361204127231034</v>
      </c>
      <c r="AE155" s="545">
        <f t="shared" si="457"/>
        <v>722.99838708177083</v>
      </c>
      <c r="AF155" s="528">
        <f t="shared" si="458"/>
        <v>0.21784280963020575</v>
      </c>
      <c r="AH155" s="173">
        <f t="shared" si="459"/>
        <v>1.9856628975878918</v>
      </c>
      <c r="AI155" s="173">
        <f t="shared" si="460"/>
        <v>2.6365305269595298</v>
      </c>
      <c r="AJ155" s="173">
        <f t="shared" si="461"/>
        <v>2.1653312545379233</v>
      </c>
      <c r="AL155" s="545">
        <f t="shared" si="462"/>
        <v>450</v>
      </c>
      <c r="AM155" s="460">
        <f t="shared" si="463"/>
        <v>190.94285482419971</v>
      </c>
      <c r="AO155" s="460">
        <f t="shared" si="340"/>
        <v>450</v>
      </c>
      <c r="AP155" s="460">
        <f t="shared" si="341"/>
        <v>190.94285482419971</v>
      </c>
      <c r="AR155" s="5">
        <f t="shared" si="443"/>
        <v>5.2371689997025328</v>
      </c>
      <c r="AS155" s="5">
        <f t="shared" si="440"/>
        <v>3.1910465143389493</v>
      </c>
      <c r="AT155" s="5">
        <f t="shared" si="441"/>
        <v>2.0461224853635835</v>
      </c>
      <c r="AU155" s="173">
        <f t="shared" si="442"/>
        <v>0.60930753132469051</v>
      </c>
      <c r="AW155" s="5">
        <f t="shared" si="342"/>
        <v>8.755920313734924</v>
      </c>
      <c r="AX155" s="5">
        <f t="shared" si="343"/>
        <v>4.4874091607891478</v>
      </c>
      <c r="AY155" s="5">
        <f t="shared" si="344"/>
        <v>1.269187623093561</v>
      </c>
      <c r="AZ155" s="5"/>
      <c r="BA155" s="173">
        <f t="shared" si="345"/>
        <v>1.1882024674751543</v>
      </c>
      <c r="BB155" s="173">
        <f t="shared" si="346"/>
        <v>0.95145816311024423</v>
      </c>
      <c r="BC155" s="173">
        <f t="shared" si="347"/>
        <v>0.23342804288644436</v>
      </c>
      <c r="BD155" s="173"/>
      <c r="BE155" s="528">
        <f t="shared" si="348"/>
        <v>2.8236502074280904E-2</v>
      </c>
      <c r="BF155" s="528">
        <f t="shared" si="464"/>
        <v>0.25535502771959784</v>
      </c>
      <c r="BG155" s="528">
        <f t="shared" si="465"/>
        <v>4.7328673842890676E-2</v>
      </c>
      <c r="BH155" s="528">
        <f t="shared" si="351"/>
        <v>1.397388813806583E-2</v>
      </c>
      <c r="BI155">
        <f t="shared" si="352"/>
        <v>4.4616287420463458E-3</v>
      </c>
      <c r="BJ155" s="460">
        <f t="shared" si="436"/>
        <v>51.790302584937017</v>
      </c>
      <c r="BK155">
        <f t="shared" si="466"/>
        <v>0.30725061568898132</v>
      </c>
      <c r="BL155" s="460">
        <f t="shared" si="437"/>
        <v>349.3557205168816</v>
      </c>
      <c r="BM155" s="173">
        <f t="shared" si="467"/>
        <v>0.27956249999999999</v>
      </c>
      <c r="BN155" s="173">
        <f t="shared" si="468"/>
        <v>6.9890624999999998E-2</v>
      </c>
      <c r="BO155" s="528"/>
      <c r="BQ155" s="460">
        <f t="shared" si="356"/>
        <v>349.453125</v>
      </c>
      <c r="BR155" s="528">
        <f t="shared" si="357"/>
        <v>4.2354753111421353E-2</v>
      </c>
      <c r="BS155" s="528">
        <f t="shared" si="358"/>
        <v>2.7158179084473603E-2</v>
      </c>
      <c r="BT155" s="528">
        <f t="shared" si="359"/>
        <v>2.724432560289786E-4</v>
      </c>
      <c r="BU155" s="528">
        <f t="shared" si="360"/>
        <v>0.28432205110287984</v>
      </c>
      <c r="BV155" s="528"/>
      <c r="BW155" s="625">
        <f t="shared" si="469"/>
        <v>6.6364988603426047E-3</v>
      </c>
      <c r="BX155" s="460">
        <f t="shared" si="362"/>
        <v>360.74392541514641</v>
      </c>
      <c r="BY155" s="173">
        <f t="shared" si="363"/>
        <v>1.059552770932028</v>
      </c>
      <c r="BZ155" s="5">
        <f t="shared" si="364"/>
        <v>8.2799999999999994</v>
      </c>
      <c r="CA155" s="173">
        <f t="shared" si="365"/>
        <v>0.88655208692329157</v>
      </c>
      <c r="CB155" s="5">
        <f t="shared" si="366"/>
        <v>88.655208692329154</v>
      </c>
      <c r="CC155">
        <f t="shared" si="367"/>
        <v>45</v>
      </c>
      <c r="CE155" s="562">
        <f t="shared" si="470"/>
        <v>-50</v>
      </c>
      <c r="CF155">
        <f t="shared" si="471"/>
        <v>-50</v>
      </c>
      <c r="CG155" s="173">
        <f t="shared" si="370"/>
        <v>0.35771495841706197</v>
      </c>
      <c r="CH155" s="173">
        <f t="shared" si="472"/>
        <v>0.12498995131688433</v>
      </c>
      <c r="CI155" s="170">
        <v>45</v>
      </c>
      <c r="CJ155" s="217">
        <f t="shared" si="438"/>
        <v>0.45</v>
      </c>
      <c r="CK155" s="217">
        <f t="shared" si="372"/>
        <v>0.1125</v>
      </c>
      <c r="CL155" s="217">
        <f t="shared" si="373"/>
        <v>7.38</v>
      </c>
      <c r="CM155" s="217">
        <f t="shared" si="374"/>
        <v>0.9</v>
      </c>
      <c r="CN155" s="541">
        <f t="shared" si="375"/>
        <v>10</v>
      </c>
      <c r="CO155" s="443">
        <f t="shared" si="473"/>
        <v>17.099999999999998</v>
      </c>
      <c r="CP155" s="443">
        <f t="shared" si="474"/>
        <v>27.099999999999998</v>
      </c>
      <c r="CQ155" s="443"/>
      <c r="CR155" s="217">
        <f t="shared" si="378"/>
        <v>0.62686567164179097</v>
      </c>
      <c r="CS155" s="172">
        <f t="shared" si="379"/>
        <v>18.624269954574949</v>
      </c>
      <c r="CT155" s="172">
        <f t="shared" si="380"/>
        <v>2.5482344375682562</v>
      </c>
      <c r="CU155" s="217">
        <f t="shared" si="381"/>
        <v>1.135626216742375</v>
      </c>
      <c r="CV155" s="217">
        <f t="shared" si="382"/>
        <v>2.3280337443218686</v>
      </c>
      <c r="CW155" s="217">
        <f t="shared" si="383"/>
        <v>16.399999999999999</v>
      </c>
      <c r="CX155" s="217">
        <f t="shared" si="384"/>
        <v>2.6417142857142859</v>
      </c>
      <c r="CY155" s="217">
        <f t="shared" si="385"/>
        <v>3.1700571428571434</v>
      </c>
      <c r="CZ155" s="217">
        <f t="shared" si="386"/>
        <v>1.8538345864661656</v>
      </c>
      <c r="DA155" s="197">
        <f t="shared" si="387"/>
        <v>350</v>
      </c>
      <c r="DB155" s="443">
        <f t="shared" si="388"/>
        <v>199.04887562827602</v>
      </c>
      <c r="DD155" s="217">
        <f t="shared" si="389"/>
        <v>1.5023721665788083</v>
      </c>
      <c r="DE155" s="173">
        <f t="shared" si="390"/>
        <v>1.0542962572482866</v>
      </c>
      <c r="DF155" s="173">
        <f t="shared" si="391"/>
        <v>0.24706104135140031</v>
      </c>
      <c r="DG155" s="173"/>
      <c r="DH155" s="173">
        <f t="shared" si="392"/>
        <v>0.93567251461988332</v>
      </c>
      <c r="DI155" s="545">
        <f t="shared" si="393"/>
        <v>721.40624999999977</v>
      </c>
      <c r="DJ155" s="528">
        <f t="shared" si="394"/>
        <v>0.21832358674463945</v>
      </c>
      <c r="DL155" s="173">
        <f t="shared" si="395"/>
        <v>1.9856628975878918</v>
      </c>
      <c r="DM155" s="173">
        <f t="shared" si="396"/>
        <v>2.6417142857142859</v>
      </c>
      <c r="DN155" s="173">
        <f t="shared" si="397"/>
        <v>2.1691710758377427</v>
      </c>
      <c r="DP155" s="545">
        <f t="shared" si="398"/>
        <v>450</v>
      </c>
      <c r="DQ155" s="460">
        <f t="shared" si="399"/>
        <v>199.04887562827602</v>
      </c>
      <c r="DS155" s="460">
        <f t="shared" si="400"/>
        <v>450</v>
      </c>
      <c r="DT155" s="460">
        <f t="shared" si="401"/>
        <v>199.04887562827602</v>
      </c>
      <c r="DV155" s="5">
        <f t="shared" si="402"/>
        <v>5.0238917293233101</v>
      </c>
      <c r="DW155" s="5">
        <f t="shared" si="403"/>
        <v>3.1700571428571434</v>
      </c>
      <c r="DX155" s="5">
        <f t="shared" si="404"/>
        <v>1.8538345864661667</v>
      </c>
      <c r="DY155" s="173">
        <f t="shared" si="405"/>
        <v>0.63099630996309952</v>
      </c>
      <c r="EA155" s="5">
        <f t="shared" si="406"/>
        <v>8.6983275261324078</v>
      </c>
      <c r="EB155" s="5">
        <f t="shared" si="407"/>
        <v>4.4578928571428582</v>
      </c>
      <c r="EC155" s="5">
        <f t="shared" si="408"/>
        <v>1.1401082706766925</v>
      </c>
      <c r="ED155" s="5"/>
      <c r="EE155" s="173">
        <f t="shared" si="409"/>
        <v>1.2115424265928931</v>
      </c>
      <c r="EF155" s="173">
        <f t="shared" si="410"/>
        <v>0.92648964970709957</v>
      </c>
      <c r="EG155" s="173">
        <f t="shared" si="411"/>
        <v>0.22730233873732283</v>
      </c>
      <c r="EH155" s="173"/>
      <c r="EI155" s="528">
        <f t="shared" si="412"/>
        <v>2.9356701028691919E-2</v>
      </c>
      <c r="EJ155" s="528">
        <f t="shared" si="413"/>
        <v>0.28499999999999992</v>
      </c>
      <c r="EK155" s="528">
        <f t="shared" si="414"/>
        <v>2.48811094535345E-2</v>
      </c>
      <c r="EL155" s="528">
        <f t="shared" si="415"/>
        <v>1.4618348475016217E-2</v>
      </c>
      <c r="EM155">
        <f t="shared" si="416"/>
        <v>4.4999999999999997E-3</v>
      </c>
      <c r="EN155" s="460">
        <f t="shared" si="417"/>
        <v>29.381109453534499</v>
      </c>
      <c r="EP155" s="460">
        <f t="shared" si="439"/>
        <v>358.35615895724254</v>
      </c>
      <c r="EQ155" s="173">
        <f t="shared" si="418"/>
        <v>0.315</v>
      </c>
      <c r="ER155" s="173">
        <f t="shared" si="475"/>
        <v>4.9921874999999998E-2</v>
      </c>
      <c r="ES155" s="528"/>
      <c r="EU155" s="460">
        <f t="shared" si="420"/>
        <v>364.921875</v>
      </c>
      <c r="EV155" s="528">
        <f t="shared" si="421"/>
        <v>4.4035051543037877E-2</v>
      </c>
      <c r="EW155" s="528">
        <f t="shared" si="422"/>
        <v>2.5751492130431521E-2</v>
      </c>
      <c r="EX155" s="528">
        <f t="shared" si="423"/>
        <v>2.5833176597728327E-4</v>
      </c>
      <c r="EY155" s="528">
        <f t="shared" si="424"/>
        <v>0.3170180118539736</v>
      </c>
      <c r="EZ155" s="528"/>
      <c r="FA155" s="625">
        <f t="shared" si="425"/>
        <v>6.9454665260938317E-3</v>
      </c>
      <c r="FB155" s="460">
        <f t="shared" si="426"/>
        <v>394.00835381951418</v>
      </c>
      <c r="FC155" s="173">
        <f t="shared" si="427"/>
        <v>1.1172863877767565</v>
      </c>
      <c r="FD155" s="5">
        <f t="shared" si="428"/>
        <v>8.2799999999999994</v>
      </c>
      <c r="FE155" s="173">
        <f t="shared" si="429"/>
        <v>0.88110542323898589</v>
      </c>
      <c r="FF155" s="5">
        <f t="shared" si="430"/>
        <v>88.110542323898585</v>
      </c>
      <c r="FG155">
        <f t="shared" si="431"/>
        <v>45</v>
      </c>
      <c r="FI155" s="562">
        <f t="shared" si="432"/>
        <v>-50</v>
      </c>
      <c r="FJ155">
        <f t="shared" si="433"/>
        <v>-50</v>
      </c>
    </row>
    <row r="156" spans="5:166" s="76" customFormat="1">
      <c r="E156" s="189">
        <v>46</v>
      </c>
      <c r="F156" s="329">
        <f t="shared" si="476"/>
        <v>0.46</v>
      </c>
      <c r="G156" s="217">
        <f t="shared" si="444"/>
        <v>0.115</v>
      </c>
      <c r="H156" s="329">
        <f t="shared" si="445"/>
        <v>7.5439999999999996</v>
      </c>
      <c r="I156" s="217">
        <f t="shared" si="446"/>
        <v>0.92</v>
      </c>
      <c r="J156" s="541">
        <f t="shared" si="447"/>
        <v>9.9128356609447845</v>
      </c>
      <c r="K156" s="443">
        <f t="shared" si="448"/>
        <v>17.1385782022118</v>
      </c>
      <c r="L156" s="172">
        <f t="shared" si="449"/>
        <v>27.051413863156583</v>
      </c>
      <c r="M156" s="443"/>
      <c r="N156" s="217">
        <f t="shared" si="450"/>
        <v>0.63355572795232551</v>
      </c>
      <c r="O156" s="172">
        <f t="shared" si="451"/>
        <v>18.658962778471555</v>
      </c>
      <c r="P156" s="172">
        <f t="shared" si="452"/>
        <v>2.5529812248949777</v>
      </c>
      <c r="Q156" s="329">
        <f t="shared" si="322"/>
        <v>1.1377416328336314</v>
      </c>
      <c r="R156" s="217">
        <f t="shared" si="453"/>
        <v>2.3323703473089443</v>
      </c>
      <c r="S156" s="329">
        <f t="shared" si="454"/>
        <v>16.399999999999999</v>
      </c>
      <c r="T156" s="217">
        <f t="shared" si="455"/>
        <v>2.6953981274543874</v>
      </c>
      <c r="U156" s="329">
        <f t="shared" si="326"/>
        <v>3.2629187687320029</v>
      </c>
      <c r="V156" s="329">
        <f t="shared" si="327"/>
        <v>1.8872497559499088</v>
      </c>
      <c r="W156" s="537">
        <f t="shared" si="328"/>
        <v>350</v>
      </c>
      <c r="X156" s="443">
        <f t="shared" si="435"/>
        <v>186.91000019657395</v>
      </c>
      <c r="Z156" s="329">
        <f t="shared" si="329"/>
        <v>1.4953175745813438</v>
      </c>
      <c r="AA156" s="538">
        <f t="shared" si="330"/>
        <v>1.046983634421927</v>
      </c>
      <c r="AB156" s="173">
        <f t="shared" si="456"/>
        <v>0.24419535830434502</v>
      </c>
      <c r="AC156" s="538"/>
      <c r="AD156" s="538">
        <f t="shared" si="332"/>
        <v>0.93356635604318328</v>
      </c>
      <c r="AE156" s="545">
        <f t="shared" si="457"/>
        <v>739.10118497038377</v>
      </c>
      <c r="AF156" s="528">
        <f t="shared" si="458"/>
        <v>0.21783214974340945</v>
      </c>
      <c r="AH156" s="173">
        <f t="shared" si="459"/>
        <v>2.0076045901711299</v>
      </c>
      <c r="AI156" s="538">
        <f t="shared" si="460"/>
        <v>2.6953981274543874</v>
      </c>
      <c r="AJ156" s="538">
        <f t="shared" si="461"/>
        <v>2.208936884534114</v>
      </c>
      <c r="AL156" s="563">
        <f t="shared" si="462"/>
        <v>460</v>
      </c>
      <c r="AM156" s="564">
        <f t="shared" si="463"/>
        <v>186.91000019657395</v>
      </c>
      <c r="AO156" s="76">
        <f t="shared" si="340"/>
        <v>460</v>
      </c>
      <c r="AP156" s="76">
        <f t="shared" si="341"/>
        <v>186.91000019657395</v>
      </c>
      <c r="AR156" s="534">
        <f t="shared" si="443"/>
        <v>5.3501685246819122</v>
      </c>
      <c r="AS156" s="5">
        <f t="shared" si="440"/>
        <v>3.2629187687320029</v>
      </c>
      <c r="AT156" s="5">
        <f t="shared" si="441"/>
        <v>2.0872497559499092</v>
      </c>
      <c r="AU156" s="173">
        <f t="shared" si="442"/>
        <v>0.60987214770510356</v>
      </c>
      <c r="AW156" s="5">
        <f t="shared" si="342"/>
        <v>9.1520892293702545</v>
      </c>
      <c r="AX156" s="5">
        <f t="shared" si="343"/>
        <v>4.6904457300522546</v>
      </c>
      <c r="AY156" s="5">
        <f t="shared" si="344"/>
        <v>1.3237224861334778</v>
      </c>
      <c r="AZ156" s="5"/>
      <c r="BA156" s="173">
        <f t="shared" si="345"/>
        <v>1.2152949547540686</v>
      </c>
      <c r="BB156" s="173">
        <f t="shared" si="346"/>
        <v>0.97199889991922295</v>
      </c>
      <c r="BC156" s="173">
        <f t="shared" si="347"/>
        <v>0.23846744890414215</v>
      </c>
      <c r="BD156" s="173"/>
      <c r="BE156" s="528">
        <f t="shared" si="348"/>
        <v>2.9538836541013871E-2</v>
      </c>
      <c r="BF156" s="528">
        <f t="shared" si="464"/>
        <v>0.25553282785172032</v>
      </c>
      <c r="BG156" s="528">
        <f t="shared" si="465"/>
        <v>4.6320202883394869E-2</v>
      </c>
      <c r="BH156" s="528">
        <f t="shared" si="351"/>
        <v>1.3677681153777998E-2</v>
      </c>
      <c r="BI156">
        <f t="shared" si="352"/>
        <v>4.4607760474251528E-3</v>
      </c>
      <c r="BJ156" s="460">
        <f t="shared" si="436"/>
        <v>50.780978930820019</v>
      </c>
      <c r="BK156">
        <f t="shared" si="466"/>
        <v>0.30889277296410456</v>
      </c>
      <c r="BL156" s="460">
        <f t="shared" si="437"/>
        <v>349.53032447733221</v>
      </c>
      <c r="BM156" s="173">
        <f t="shared" si="467"/>
        <v>0.285775</v>
      </c>
      <c r="BN156" s="173">
        <f t="shared" si="468"/>
        <v>7.144375E-2</v>
      </c>
      <c r="BO156" s="528"/>
      <c r="BP156"/>
      <c r="BQ156" s="460">
        <f t="shared" si="356"/>
        <v>357.21875000000006</v>
      </c>
      <c r="BR156" s="528">
        <f t="shared" si="357"/>
        <v>4.4308254811520807E-2</v>
      </c>
      <c r="BS156" s="528">
        <f t="shared" si="358"/>
        <v>2.8343455843325389E-2</v>
      </c>
      <c r="BT156" s="528">
        <f t="shared" si="359"/>
        <v>2.8433362093424825E-4</v>
      </c>
      <c r="BU156" s="528">
        <f t="shared" si="360"/>
        <v>0.28484503573332465</v>
      </c>
      <c r="BV156" s="528"/>
      <c r="BW156" s="625">
        <f t="shared" si="469"/>
        <v>6.7896656263893677E-3</v>
      </c>
      <c r="BX156" s="460">
        <f t="shared" si="362"/>
        <v>364.57074563549446</v>
      </c>
      <c r="BY156" s="173">
        <f t="shared" si="363"/>
        <v>1.0713198201128267</v>
      </c>
      <c r="BZ156" s="5">
        <f t="shared" si="364"/>
        <v>8.4640000000000004</v>
      </c>
      <c r="CA156" s="173">
        <f t="shared" si="365"/>
        <v>0.88764720635241889</v>
      </c>
      <c r="CB156" s="5">
        <f t="shared" si="366"/>
        <v>88.764720635241886</v>
      </c>
      <c r="CC156">
        <f t="shared" si="367"/>
        <v>46</v>
      </c>
      <c r="CE156" s="562">
        <f t="shared" si="470"/>
        <v>-50</v>
      </c>
      <c r="CF156">
        <f t="shared" si="471"/>
        <v>-50</v>
      </c>
      <c r="CG156" s="173">
        <f t="shared" si="370"/>
        <v>0.35771495841706197</v>
      </c>
      <c r="CH156" s="173">
        <f t="shared" si="472"/>
        <v>0.12498995131688433</v>
      </c>
      <c r="CI156" s="189">
        <v>46</v>
      </c>
      <c r="CJ156" s="329">
        <f t="shared" si="438"/>
        <v>0.46</v>
      </c>
      <c r="CK156" s="217">
        <f t="shared" si="372"/>
        <v>0.115</v>
      </c>
      <c r="CL156" s="329">
        <f t="shared" si="373"/>
        <v>7.5439999999999996</v>
      </c>
      <c r="CM156" s="217">
        <f t="shared" si="374"/>
        <v>0.92</v>
      </c>
      <c r="CN156" s="541">
        <f t="shared" si="375"/>
        <v>10</v>
      </c>
      <c r="CO156" s="443">
        <f t="shared" si="473"/>
        <v>17.099999999999998</v>
      </c>
      <c r="CP156" s="443">
        <f t="shared" si="474"/>
        <v>27.099999999999998</v>
      </c>
      <c r="CQ156" s="535"/>
      <c r="CR156" s="329">
        <f t="shared" si="378"/>
        <v>0.62686567164179097</v>
      </c>
      <c r="CS156" s="172">
        <f t="shared" si="379"/>
        <v>18.624269954574949</v>
      </c>
      <c r="CT156" s="172">
        <f t="shared" si="380"/>
        <v>2.5482344375682562</v>
      </c>
      <c r="CU156" s="329">
        <f t="shared" si="381"/>
        <v>1.135626216742375</v>
      </c>
      <c r="CV156" s="217">
        <f t="shared" si="382"/>
        <v>2.3280337443218686</v>
      </c>
      <c r="CW156" s="329">
        <f t="shared" si="383"/>
        <v>16.399999999999999</v>
      </c>
      <c r="CX156" s="217">
        <f t="shared" si="384"/>
        <v>2.7004190476190479</v>
      </c>
      <c r="CY156" s="329">
        <f t="shared" si="385"/>
        <v>3.2405028571428574</v>
      </c>
      <c r="CZ156" s="329">
        <f t="shared" si="386"/>
        <v>1.8950309106098584</v>
      </c>
      <c r="DA156" s="537">
        <f t="shared" si="387"/>
        <v>350</v>
      </c>
      <c r="DB156" s="535">
        <f t="shared" si="388"/>
        <v>194.72172615809615</v>
      </c>
      <c r="DD156" s="329">
        <f t="shared" si="389"/>
        <v>1.5023721665788083</v>
      </c>
      <c r="DE156" s="538">
        <f t="shared" si="390"/>
        <v>1.0542962572482866</v>
      </c>
      <c r="DF156" s="173">
        <f t="shared" si="391"/>
        <v>0.24706104135140031</v>
      </c>
      <c r="DG156" s="538"/>
      <c r="DH156" s="538">
        <f t="shared" si="392"/>
        <v>0.93567251461988332</v>
      </c>
      <c r="DI156" s="545">
        <f t="shared" si="393"/>
        <v>737.43749999999977</v>
      </c>
      <c r="DJ156" s="528">
        <f t="shared" si="394"/>
        <v>0.21832358674463945</v>
      </c>
      <c r="DL156" s="173">
        <f t="shared" si="395"/>
        <v>2.0076045901711299</v>
      </c>
      <c r="DM156" s="538">
        <f t="shared" si="396"/>
        <v>2.7004190476190479</v>
      </c>
      <c r="DN156" s="538">
        <f t="shared" si="397"/>
        <v>2.2126560846560848</v>
      </c>
      <c r="DP156" s="563">
        <f t="shared" si="398"/>
        <v>460</v>
      </c>
      <c r="DQ156" s="564">
        <f t="shared" si="399"/>
        <v>194.72172615809615</v>
      </c>
      <c r="DS156" s="76">
        <f t="shared" si="400"/>
        <v>460</v>
      </c>
      <c r="DT156" s="76">
        <f t="shared" si="401"/>
        <v>194.72172615809615</v>
      </c>
      <c r="DV156" s="534">
        <f t="shared" si="402"/>
        <v>5.1355337677527162</v>
      </c>
      <c r="DW156" s="5">
        <f t="shared" si="403"/>
        <v>3.2405028571428574</v>
      </c>
      <c r="DX156" s="5">
        <f t="shared" si="404"/>
        <v>1.8950309106098588</v>
      </c>
      <c r="DY156" s="173">
        <f t="shared" si="405"/>
        <v>0.63099630996309952</v>
      </c>
      <c r="EA156" s="5">
        <f t="shared" si="406"/>
        <v>9.089215331010454</v>
      </c>
      <c r="EB156" s="5">
        <f t="shared" si="407"/>
        <v>4.6582228571428574</v>
      </c>
      <c r="EC156" s="5">
        <f t="shared" si="408"/>
        <v>1.1913427658033977</v>
      </c>
      <c r="ED156" s="5"/>
      <c r="EE156" s="173">
        <f t="shared" si="409"/>
        <v>1.2384655916282907</v>
      </c>
      <c r="EF156" s="173">
        <f t="shared" si="410"/>
        <v>0.94707830858947961</v>
      </c>
      <c r="EG156" s="173">
        <f t="shared" si="411"/>
        <v>0.23235350182037443</v>
      </c>
      <c r="EH156" s="173"/>
      <c r="EI156" s="528">
        <f t="shared" si="412"/>
        <v>3.0675940432944242E-2</v>
      </c>
      <c r="EJ156" s="528">
        <f t="shared" si="413"/>
        <v>0.28500000000000003</v>
      </c>
      <c r="EK156" s="528">
        <f t="shared" si="414"/>
        <v>2.4340215769762016E-2</v>
      </c>
      <c r="EL156" s="528">
        <f t="shared" si="415"/>
        <v>1.4300558290776737E-2</v>
      </c>
      <c r="EM156">
        <f t="shared" si="416"/>
        <v>4.4999999999999997E-3</v>
      </c>
      <c r="EN156" s="460">
        <f t="shared" si="417"/>
        <v>28.840215769762018</v>
      </c>
      <c r="EO156"/>
      <c r="EP156" s="460">
        <f t="shared" si="439"/>
        <v>358.81671449348306</v>
      </c>
      <c r="EQ156" s="173">
        <f t="shared" si="418"/>
        <v>0.32200000000000001</v>
      </c>
      <c r="ER156" s="173">
        <f t="shared" si="475"/>
        <v>5.103125E-2</v>
      </c>
      <c r="ES156" s="528"/>
      <c r="ET156"/>
      <c r="EU156" s="460">
        <f t="shared" si="420"/>
        <v>373.03125000000006</v>
      </c>
      <c r="EV156" s="528">
        <f t="shared" si="421"/>
        <v>4.6013910649416359E-2</v>
      </c>
      <c r="EW156" s="528">
        <f t="shared" si="422"/>
        <v>2.6908719678021286E-2</v>
      </c>
      <c r="EX156" s="528">
        <f t="shared" si="423"/>
        <v>2.699407490409537E-4</v>
      </c>
      <c r="EY156" s="528">
        <f t="shared" si="424"/>
        <v>0.31701801185397405</v>
      </c>
      <c r="EZ156" s="528"/>
      <c r="FA156" s="625">
        <f t="shared" si="425"/>
        <v>7.099810226673697E-3</v>
      </c>
      <c r="FB156" s="460">
        <f t="shared" si="426"/>
        <v>397.31039315712633</v>
      </c>
      <c r="FC156" s="173">
        <f t="shared" si="427"/>
        <v>1.1291583576506097</v>
      </c>
      <c r="FD156" s="5">
        <f t="shared" si="428"/>
        <v>8.4640000000000004</v>
      </c>
      <c r="FE156" s="173">
        <f t="shared" si="429"/>
        <v>0.88229545311840929</v>
      </c>
      <c r="FF156" s="5">
        <f t="shared" si="430"/>
        <v>88.229545311840923</v>
      </c>
      <c r="FG156">
        <f t="shared" si="431"/>
        <v>46</v>
      </c>
      <c r="FI156" s="562">
        <f t="shared" si="432"/>
        <v>-50</v>
      </c>
      <c r="FJ156">
        <f t="shared" si="433"/>
        <v>-50</v>
      </c>
    </row>
    <row r="157" spans="5:166">
      <c r="E157" s="170">
        <v>47</v>
      </c>
      <c r="F157" s="217">
        <f t="shared" si="476"/>
        <v>0.47</v>
      </c>
      <c r="G157" s="217">
        <f t="shared" si="444"/>
        <v>0.11749999999999999</v>
      </c>
      <c r="H157" s="217">
        <f t="shared" si="445"/>
        <v>7.7079999999999993</v>
      </c>
      <c r="I157" s="217">
        <f t="shared" si="446"/>
        <v>0.94</v>
      </c>
      <c r="J157" s="541">
        <f t="shared" si="447"/>
        <v>9.9109407840088011</v>
      </c>
      <c r="K157" s="443">
        <f t="shared" si="448"/>
        <v>17.139416858781622</v>
      </c>
      <c r="L157" s="172">
        <f t="shared" si="449"/>
        <v>27.050357642790424</v>
      </c>
      <c r="M157" s="443"/>
      <c r="N157" s="217">
        <f t="shared" si="450"/>
        <v>0.63361146958253589</v>
      </c>
      <c r="O157" s="172">
        <f t="shared" si="451"/>
        <v>18.65703738834446</v>
      </c>
      <c r="P157" s="172">
        <f t="shared" si="452"/>
        <v>2.5527177866265478</v>
      </c>
      <c r="Q157" s="217">
        <f t="shared" si="322"/>
        <v>1.1376242309966136</v>
      </c>
      <c r="R157" s="217">
        <f t="shared" si="453"/>
        <v>2.3321296735430574</v>
      </c>
      <c r="S157" s="217">
        <f t="shared" si="454"/>
        <v>16.399999999999999</v>
      </c>
      <c r="T157" s="217">
        <f t="shared" si="455"/>
        <v>2.7542779486934652</v>
      </c>
      <c r="U157" s="217">
        <f t="shared" si="326"/>
        <v>3.3348333023691925</v>
      </c>
      <c r="V157" s="217">
        <f t="shared" si="327"/>
        <v>1.9283815579400689</v>
      </c>
      <c r="W157" s="197">
        <f t="shared" si="328"/>
        <v>350</v>
      </c>
      <c r="X157" s="443">
        <f t="shared" si="435"/>
        <v>183.04240736806608</v>
      </c>
      <c r="Z157" s="217">
        <f t="shared" si="329"/>
        <v>1.4951632750241206</v>
      </c>
      <c r="AA157" s="173">
        <f t="shared" si="330"/>
        <v>1.046824372621326</v>
      </c>
      <c r="AB157" s="173">
        <f t="shared" si="456"/>
        <v>0.2441330182378289</v>
      </c>
      <c r="AC157" s="173"/>
      <c r="AD157" s="173">
        <f t="shared" si="332"/>
        <v>0.93352067528494564</v>
      </c>
      <c r="AE157" s="545">
        <f t="shared" si="457"/>
        <v>755.20555534006496</v>
      </c>
      <c r="AF157" s="528">
        <f t="shared" si="458"/>
        <v>0.2178214908998207</v>
      </c>
      <c r="AH157" s="173">
        <f t="shared" si="459"/>
        <v>2.0293090543569843</v>
      </c>
      <c r="AI157" s="173">
        <f t="shared" si="460"/>
        <v>2.7542779486934652</v>
      </c>
      <c r="AJ157" s="173">
        <f t="shared" si="461"/>
        <v>2.2525515669334308</v>
      </c>
      <c r="AL157" s="545">
        <f t="shared" si="462"/>
        <v>470</v>
      </c>
      <c r="AM157" s="460">
        <f t="shared" si="463"/>
        <v>183.04240736806608</v>
      </c>
      <c r="AO157">
        <f t="shared" si="340"/>
        <v>470</v>
      </c>
      <c r="AP157">
        <f t="shared" si="341"/>
        <v>183.04240736806608</v>
      </c>
      <c r="AR157" s="5">
        <f t="shared" si="443"/>
        <v>5.4632148603092618</v>
      </c>
      <c r="AS157" s="5">
        <f t="shared" si="440"/>
        <v>3.3348333023691925</v>
      </c>
      <c r="AT157" s="5">
        <f t="shared" si="441"/>
        <v>2.1283815579400693</v>
      </c>
      <c r="AU157" s="173">
        <f t="shared" si="442"/>
        <v>0.61041591583685473</v>
      </c>
      <c r="AW157" s="5">
        <f t="shared" si="342"/>
        <v>9.5571442202043944</v>
      </c>
      <c r="AX157" s="5">
        <f t="shared" si="343"/>
        <v>4.8980364128547507</v>
      </c>
      <c r="AY157" s="5">
        <f t="shared" si="344"/>
        <v>1.3794153859971479</v>
      </c>
      <c r="AZ157" s="5"/>
      <c r="BA157" s="173">
        <f t="shared" si="345"/>
        <v>1.2423960504439564</v>
      </c>
      <c r="BB157" s="173">
        <f t="shared" si="346"/>
        <v>0.99253936616855942</v>
      </c>
      <c r="BC157" s="173">
        <f t="shared" si="347"/>
        <v>0.24350678854350594</v>
      </c>
      <c r="BD157" s="173"/>
      <c r="BE157" s="528">
        <f t="shared" si="348"/>
        <v>3.0870958923174836E-2</v>
      </c>
      <c r="BF157" s="528">
        <f t="shared" si="464"/>
        <v>0.25570178959927409</v>
      </c>
      <c r="BG157" s="528">
        <f t="shared" si="465"/>
        <v>4.535306150968297E-2</v>
      </c>
      <c r="BH157" s="528">
        <f t="shared" si="351"/>
        <v>1.3393612869208097E-2</v>
      </c>
      <c r="BI157">
        <f t="shared" si="352"/>
        <v>4.4599233528039607E-3</v>
      </c>
      <c r="BJ157" s="460">
        <f t="shared" si="436"/>
        <v>49.812984862486935</v>
      </c>
      <c r="BK157">
        <f t="shared" si="466"/>
        <v>0.31057960300452897</v>
      </c>
      <c r="BL157" s="460">
        <f t="shared" si="437"/>
        <v>349.779346254144</v>
      </c>
      <c r="BM157" s="173">
        <f t="shared" si="467"/>
        <v>0.29198749999999996</v>
      </c>
      <c r="BN157" s="173">
        <f t="shared" si="468"/>
        <v>7.2996874999999989E-2</v>
      </c>
      <c r="BO157" s="528"/>
      <c r="BQ157" s="460">
        <f t="shared" si="356"/>
        <v>364.98437499999994</v>
      </c>
      <c r="BR157" s="528">
        <f t="shared" si="357"/>
        <v>4.6306438384762255E-2</v>
      </c>
      <c r="BS157" s="528">
        <f t="shared" si="358"/>
        <v>2.955403180182857E-2</v>
      </c>
      <c r="BT157" s="528">
        <f t="shared" si="359"/>
        <v>2.9647778033385858E-4</v>
      </c>
      <c r="BU157" s="528">
        <f t="shared" si="360"/>
        <v>0.28534397996658351</v>
      </c>
      <c r="BV157" s="528"/>
      <c r="BW157" s="625">
        <f t="shared" si="469"/>
        <v>6.9428415435134946E-3</v>
      </c>
      <c r="BX157" s="460">
        <f t="shared" si="362"/>
        <v>368.4437694770217</v>
      </c>
      <c r="BY157" s="173">
        <f t="shared" si="363"/>
        <v>1.0832074907311655</v>
      </c>
      <c r="BZ157" s="5">
        <f t="shared" si="364"/>
        <v>8.6479999999999997</v>
      </c>
      <c r="CA157" s="173">
        <f t="shared" si="365"/>
        <v>0.88868724752165595</v>
      </c>
      <c r="CB157" s="5">
        <f t="shared" si="366"/>
        <v>88.868724752165591</v>
      </c>
      <c r="CC157">
        <f t="shared" si="367"/>
        <v>47</v>
      </c>
      <c r="CE157" s="562">
        <f t="shared" si="470"/>
        <v>-50</v>
      </c>
      <c r="CF157">
        <f t="shared" si="471"/>
        <v>-50</v>
      </c>
      <c r="CG157" s="173">
        <f t="shared" si="370"/>
        <v>0.35771495841706197</v>
      </c>
      <c r="CH157" s="173">
        <f t="shared" si="472"/>
        <v>0.1249899513168843</v>
      </c>
      <c r="CI157" s="170">
        <v>47</v>
      </c>
      <c r="CJ157" s="217">
        <f t="shared" si="438"/>
        <v>0.47</v>
      </c>
      <c r="CK157" s="217">
        <f t="shared" si="372"/>
        <v>0.11749999999999999</v>
      </c>
      <c r="CL157" s="217">
        <f t="shared" si="373"/>
        <v>7.7079999999999993</v>
      </c>
      <c r="CM157" s="217">
        <f t="shared" si="374"/>
        <v>0.94</v>
      </c>
      <c r="CN157" s="541">
        <f t="shared" si="375"/>
        <v>10</v>
      </c>
      <c r="CO157" s="443">
        <f t="shared" si="473"/>
        <v>17.099999999999998</v>
      </c>
      <c r="CP157" s="443">
        <f t="shared" si="474"/>
        <v>27.099999999999998</v>
      </c>
      <c r="CQ157" s="443"/>
      <c r="CR157" s="217">
        <f t="shared" si="378"/>
        <v>0.62686567164179097</v>
      </c>
      <c r="CS157" s="172">
        <f t="shared" si="379"/>
        <v>18.624269954574949</v>
      </c>
      <c r="CT157" s="172">
        <f t="shared" si="380"/>
        <v>2.5482344375682562</v>
      </c>
      <c r="CU157" s="217">
        <f t="shared" si="381"/>
        <v>1.135626216742375</v>
      </c>
      <c r="CV157" s="217">
        <f t="shared" si="382"/>
        <v>2.3280337443218686</v>
      </c>
      <c r="CW157" s="217">
        <f t="shared" si="383"/>
        <v>16.399999999999999</v>
      </c>
      <c r="CX157" s="217">
        <f t="shared" si="384"/>
        <v>2.7591238095238095</v>
      </c>
      <c r="CY157" s="217">
        <f t="shared" si="385"/>
        <v>3.3109485714285718</v>
      </c>
      <c r="CZ157" s="217">
        <f t="shared" si="386"/>
        <v>1.9362272347535512</v>
      </c>
      <c r="DA157" s="197">
        <f t="shared" si="387"/>
        <v>350</v>
      </c>
      <c r="DB157" s="443">
        <f t="shared" si="388"/>
        <v>190.57871070792388</v>
      </c>
      <c r="DD157" s="217">
        <f t="shared" si="389"/>
        <v>1.5023721665788083</v>
      </c>
      <c r="DE157" s="173">
        <f t="shared" si="390"/>
        <v>1.0542962572482866</v>
      </c>
      <c r="DF157" s="173">
        <f t="shared" si="391"/>
        <v>0.24706104135140031</v>
      </c>
      <c r="DG157" s="173"/>
      <c r="DH157" s="173">
        <f t="shared" si="392"/>
        <v>0.93567251461988332</v>
      </c>
      <c r="DI157" s="545">
        <f t="shared" si="393"/>
        <v>753.46874999999966</v>
      </c>
      <c r="DJ157" s="528">
        <f t="shared" si="394"/>
        <v>0.21832358674463945</v>
      </c>
      <c r="DL157" s="173">
        <f t="shared" si="395"/>
        <v>2.0293090543569843</v>
      </c>
      <c r="DM157" s="173">
        <f t="shared" si="396"/>
        <v>2.7591238095238095</v>
      </c>
      <c r="DN157" s="173">
        <f t="shared" si="397"/>
        <v>2.2561410934744268</v>
      </c>
      <c r="DP157" s="545">
        <f t="shared" si="398"/>
        <v>470</v>
      </c>
      <c r="DQ157" s="460">
        <f t="shared" si="399"/>
        <v>190.57871070792388</v>
      </c>
      <c r="DS157">
        <f t="shared" si="400"/>
        <v>470</v>
      </c>
      <c r="DT157">
        <f t="shared" si="401"/>
        <v>190.57871070792388</v>
      </c>
      <c r="DV157" s="5">
        <f t="shared" si="402"/>
        <v>5.2471758061821223</v>
      </c>
      <c r="DW157" s="5">
        <f t="shared" si="403"/>
        <v>3.3109485714285718</v>
      </c>
      <c r="DX157" s="5">
        <f t="shared" si="404"/>
        <v>1.9362272347535505</v>
      </c>
      <c r="DY157" s="173">
        <f t="shared" si="405"/>
        <v>0.63099630996309963</v>
      </c>
      <c r="EA157" s="5">
        <f t="shared" si="406"/>
        <v>9.4886940766550545</v>
      </c>
      <c r="EB157" s="5">
        <f t="shared" si="407"/>
        <v>4.8629557142857145</v>
      </c>
      <c r="EC157" s="5">
        <f t="shared" si="408"/>
        <v>1.2437032937900303</v>
      </c>
      <c r="ED157" s="5"/>
      <c r="EE157" s="173">
        <f t="shared" si="409"/>
        <v>1.2653887566636886</v>
      </c>
      <c r="EF157" s="173">
        <f t="shared" si="410"/>
        <v>0.96766696747185932</v>
      </c>
      <c r="EG157" s="173">
        <f t="shared" si="411"/>
        <v>0.23740466490342596</v>
      </c>
      <c r="EH157" s="173"/>
      <c r="EI157" s="528">
        <f t="shared" si="412"/>
        <v>3.2024174109817512E-2</v>
      </c>
      <c r="EJ157" s="528">
        <f t="shared" si="413"/>
        <v>0.28499999999999992</v>
      </c>
      <c r="EK157" s="528">
        <f t="shared" si="414"/>
        <v>2.3822338838490484E-2</v>
      </c>
      <c r="EL157" s="528">
        <f t="shared" si="415"/>
        <v>1.3996291093100636E-2</v>
      </c>
      <c r="EM157">
        <f t="shared" si="416"/>
        <v>4.4999999999999997E-3</v>
      </c>
      <c r="EN157" s="460">
        <f t="shared" si="417"/>
        <v>28.322338838490484</v>
      </c>
      <c r="EP157" s="460">
        <f t="shared" si="439"/>
        <v>359.34280404140856</v>
      </c>
      <c r="EQ157" s="173">
        <f t="shared" si="418"/>
        <v>0.32899999999999996</v>
      </c>
      <c r="ER157" s="173">
        <f t="shared" si="475"/>
        <v>5.2140624999999996E-2</v>
      </c>
      <c r="ES157" s="528"/>
      <c r="EU157" s="460">
        <f t="shared" si="420"/>
        <v>381.14062499999994</v>
      </c>
      <c r="EV157" s="528">
        <f t="shared" si="421"/>
        <v>4.8036261164726271E-2</v>
      </c>
      <c r="EW157" s="528">
        <f t="shared" si="422"/>
        <v>2.8091380798085534E-2</v>
      </c>
      <c r="EX157" s="528">
        <f t="shared" si="423"/>
        <v>2.8180487458953987E-4</v>
      </c>
      <c r="EY157" s="528">
        <f t="shared" si="424"/>
        <v>0.31701801185397377</v>
      </c>
      <c r="EZ157" s="528"/>
      <c r="FA157" s="625">
        <f t="shared" si="425"/>
        <v>7.2541539272535571E-3</v>
      </c>
      <c r="FB157" s="460">
        <f t="shared" si="426"/>
        <v>400.68161261862861</v>
      </c>
      <c r="FC157" s="173">
        <f t="shared" si="427"/>
        <v>1.1411650416600372</v>
      </c>
      <c r="FD157" s="5">
        <f t="shared" si="428"/>
        <v>8.6479999999999997</v>
      </c>
      <c r="FE157" s="173">
        <f t="shared" si="429"/>
        <v>0.88342570211008309</v>
      </c>
      <c r="FF157" s="5">
        <f t="shared" si="430"/>
        <v>88.342570211008308</v>
      </c>
      <c r="FG157">
        <f t="shared" si="431"/>
        <v>47</v>
      </c>
      <c r="FI157" s="562">
        <f t="shared" si="432"/>
        <v>-50</v>
      </c>
      <c r="FJ157">
        <f t="shared" si="433"/>
        <v>-50</v>
      </c>
    </row>
    <row r="158" spans="5:166">
      <c r="E158" s="170">
        <v>48</v>
      </c>
      <c r="F158" s="217">
        <f t="shared" si="476"/>
        <v>0.48</v>
      </c>
      <c r="G158" s="217">
        <f t="shared" si="444"/>
        <v>0.12</v>
      </c>
      <c r="H158" s="217">
        <f t="shared" si="445"/>
        <v>7.871999999999999</v>
      </c>
      <c r="I158" s="217">
        <f t="shared" si="446"/>
        <v>0.96</v>
      </c>
      <c r="J158" s="541">
        <f t="shared" si="447"/>
        <v>9.9090459070728176</v>
      </c>
      <c r="K158" s="443">
        <f t="shared" si="448"/>
        <v>17.140255515351445</v>
      </c>
      <c r="L158" s="172">
        <f t="shared" si="449"/>
        <v>27.049301422424264</v>
      </c>
      <c r="M158" s="443"/>
      <c r="N158" s="217">
        <f t="shared" si="450"/>
        <v>0.63366721556594152</v>
      </c>
      <c r="O158" s="172">
        <f t="shared" si="451"/>
        <v>18.655111498757012</v>
      </c>
      <c r="P158" s="172">
        <f t="shared" si="452"/>
        <v>2.5524542800202936</v>
      </c>
      <c r="Q158" s="217">
        <f t="shared" si="322"/>
        <v>1.1375067987046961</v>
      </c>
      <c r="R158" s="217">
        <f t="shared" si="453"/>
        <v>2.3318889373446265</v>
      </c>
      <c r="S158" s="217">
        <f t="shared" si="454"/>
        <v>16.399999999999999</v>
      </c>
      <c r="T158" s="217">
        <f t="shared" si="455"/>
        <v>2.8131699991981676</v>
      </c>
      <c r="U158" s="217">
        <f t="shared" si="326"/>
        <v>3.4067901498248592</v>
      </c>
      <c r="V158" s="217">
        <f t="shared" si="327"/>
        <v>1.9695178966347999</v>
      </c>
      <c r="W158" s="197">
        <f t="shared" si="328"/>
        <v>350</v>
      </c>
      <c r="X158" s="443">
        <f t="shared" si="435"/>
        <v>179.33012159091351</v>
      </c>
      <c r="Z158" s="217">
        <f t="shared" si="329"/>
        <v>1.4950089354404574</v>
      </c>
      <c r="AA158" s="173">
        <f t="shared" si="330"/>
        <v>1.0466650983830239</v>
      </c>
      <c r="AB158" s="173">
        <f t="shared" si="456"/>
        <v>0.24407067640240981</v>
      </c>
      <c r="AC158" s="173"/>
      <c r="AD158" s="173">
        <f t="shared" si="332"/>
        <v>0.93347499899694097</v>
      </c>
      <c r="AE158" s="545">
        <f t="shared" si="457"/>
        <v>771.31149819081486</v>
      </c>
      <c r="AF158" s="528">
        <f t="shared" si="458"/>
        <v>0.21781083309928626</v>
      </c>
      <c r="AH158" s="173">
        <f t="shared" si="459"/>
        <v>2.0507838222772983</v>
      </c>
      <c r="AI158" s="173">
        <f t="shared" si="460"/>
        <v>2.8131699991981676</v>
      </c>
      <c r="AJ158" s="173">
        <f t="shared" si="461"/>
        <v>2.2961753080480252</v>
      </c>
      <c r="AL158" s="545">
        <f t="shared" si="462"/>
        <v>480</v>
      </c>
      <c r="AM158" s="460">
        <f t="shared" si="463"/>
        <v>179.33012159091351</v>
      </c>
      <c r="AO158">
        <f t="shared" si="340"/>
        <v>480</v>
      </c>
      <c r="AP158">
        <f t="shared" si="341"/>
        <v>179.33012159091351</v>
      </c>
      <c r="AR158" s="5">
        <f t="shared" si="443"/>
        <v>5.5763080464596593</v>
      </c>
      <c r="AS158" s="5">
        <f t="shared" si="440"/>
        <v>3.4067901498248592</v>
      </c>
      <c r="AT158" s="5">
        <f t="shared" si="441"/>
        <v>2.1695178966348001</v>
      </c>
      <c r="AU158" s="173">
        <f t="shared" si="442"/>
        <v>0.61094009180281839</v>
      </c>
      <c r="AW158" s="5">
        <f t="shared" si="342"/>
        <v>9.9710931214386136</v>
      </c>
      <c r="AX158" s="5">
        <f t="shared" si="343"/>
        <v>5.1101852247372888</v>
      </c>
      <c r="AY158" s="5">
        <f t="shared" si="344"/>
        <v>1.4362671780303116</v>
      </c>
      <c r="AZ158" s="5"/>
      <c r="BA158" s="173">
        <f t="shared" si="345"/>
        <v>1.2695057223863995</v>
      </c>
      <c r="BB158" s="173">
        <f t="shared" si="346"/>
        <v>1.0130796459102933</v>
      </c>
      <c r="BC158" s="173">
        <f t="shared" si="347"/>
        <v>0.24854608242562429</v>
      </c>
      <c r="BD158" s="173"/>
      <c r="BE158" s="528">
        <f t="shared" si="348"/>
        <v>3.2232895583436283E-2</v>
      </c>
      <c r="BF158" s="528">
        <f t="shared" si="464"/>
        <v>0.25586244505384614</v>
      </c>
      <c r="BG158" s="528">
        <f t="shared" si="465"/>
        <v>4.44247601841328E-2</v>
      </c>
      <c r="BH158" s="528">
        <f t="shared" si="351"/>
        <v>1.3120952094920398E-2</v>
      </c>
      <c r="BI158">
        <f t="shared" si="352"/>
        <v>4.4590706581827677E-3</v>
      </c>
      <c r="BJ158" s="460">
        <f t="shared" si="436"/>
        <v>48.883830842315568</v>
      </c>
      <c r="BK158">
        <f t="shared" si="466"/>
        <v>0.31231101972455982</v>
      </c>
      <c r="BL158" s="460">
        <f t="shared" si="437"/>
        <v>350.10012357451848</v>
      </c>
      <c r="BM158" s="173">
        <f t="shared" si="467"/>
        <v>0.29819999999999997</v>
      </c>
      <c r="BN158" s="173">
        <f t="shared" si="468"/>
        <v>7.4549999999999991E-2</v>
      </c>
      <c r="BO158" s="528"/>
      <c r="BQ158" s="460">
        <f t="shared" si="356"/>
        <v>372.74999999999994</v>
      </c>
      <c r="BR158" s="528">
        <f t="shared" si="357"/>
        <v>4.8349343375154417E-2</v>
      </c>
      <c r="BS158" s="528">
        <f t="shared" si="358"/>
        <v>3.0789911068731756E-2</v>
      </c>
      <c r="BT158" s="528">
        <f t="shared" si="359"/>
        <v>3.0887577544562613E-4</v>
      </c>
      <c r="BU158" s="528">
        <f t="shared" si="360"/>
        <v>0.28582028957179556</v>
      </c>
      <c r="BV158" s="528"/>
      <c r="BW158" s="625">
        <f t="shared" si="469"/>
        <v>7.0960260610181758E-3</v>
      </c>
      <c r="BX158" s="460">
        <f t="shared" si="362"/>
        <v>372.36444585214554</v>
      </c>
      <c r="BY158" s="173">
        <f t="shared" si="363"/>
        <v>1.095214569426664</v>
      </c>
      <c r="BZ158" s="5">
        <f t="shared" si="364"/>
        <v>8.831999999999999</v>
      </c>
      <c r="CA158" s="173">
        <f t="shared" si="365"/>
        <v>0.88967554173759367</v>
      </c>
      <c r="CB158" s="5">
        <f t="shared" si="366"/>
        <v>88.967554173759368</v>
      </c>
      <c r="CC158">
        <f t="shared" si="367"/>
        <v>48</v>
      </c>
      <c r="CE158" s="562">
        <f t="shared" si="470"/>
        <v>-50</v>
      </c>
      <c r="CF158">
        <f t="shared" si="471"/>
        <v>-50</v>
      </c>
      <c r="CG158" s="173">
        <f t="shared" si="370"/>
        <v>0.35771495841706197</v>
      </c>
      <c r="CH158" s="173">
        <f t="shared" si="472"/>
        <v>0.12498995131688433</v>
      </c>
      <c r="CI158" s="170">
        <v>48</v>
      </c>
      <c r="CJ158" s="217">
        <f t="shared" si="438"/>
        <v>0.48</v>
      </c>
      <c r="CK158" s="217">
        <f t="shared" si="372"/>
        <v>0.12</v>
      </c>
      <c r="CL158" s="217">
        <f t="shared" si="373"/>
        <v>7.871999999999999</v>
      </c>
      <c r="CM158" s="217">
        <f t="shared" si="374"/>
        <v>0.96</v>
      </c>
      <c r="CN158" s="541">
        <f t="shared" si="375"/>
        <v>10</v>
      </c>
      <c r="CO158" s="443">
        <f t="shared" si="473"/>
        <v>17.099999999999998</v>
      </c>
      <c r="CP158" s="443">
        <f t="shared" si="474"/>
        <v>27.099999999999998</v>
      </c>
      <c r="CQ158" s="443"/>
      <c r="CR158" s="217">
        <f t="shared" si="378"/>
        <v>0.62686567164179097</v>
      </c>
      <c r="CS158" s="172">
        <f t="shared" si="379"/>
        <v>18.624269954574949</v>
      </c>
      <c r="CT158" s="172">
        <f t="shared" si="380"/>
        <v>2.5482344375682562</v>
      </c>
      <c r="CU158" s="217">
        <f t="shared" si="381"/>
        <v>1.135626216742375</v>
      </c>
      <c r="CV158" s="217">
        <f t="shared" si="382"/>
        <v>2.3280337443218686</v>
      </c>
      <c r="CW158" s="217">
        <f t="shared" si="383"/>
        <v>16.399999999999999</v>
      </c>
      <c r="CX158" s="217">
        <f t="shared" si="384"/>
        <v>2.8178285714285711</v>
      </c>
      <c r="CY158" s="217">
        <f t="shared" si="385"/>
        <v>3.3813942857142854</v>
      </c>
      <c r="CZ158" s="217">
        <f t="shared" si="386"/>
        <v>1.9774235588972433</v>
      </c>
      <c r="DA158" s="197">
        <f t="shared" si="387"/>
        <v>350</v>
      </c>
      <c r="DB158" s="443">
        <f t="shared" si="388"/>
        <v>186.60832090150885</v>
      </c>
      <c r="DD158" s="217">
        <f t="shared" si="389"/>
        <v>1.5023721665788083</v>
      </c>
      <c r="DE158" s="173">
        <f t="shared" si="390"/>
        <v>1.0542962572482866</v>
      </c>
      <c r="DF158" s="173">
        <f t="shared" si="391"/>
        <v>0.24706104135140031</v>
      </c>
      <c r="DG158" s="173"/>
      <c r="DH158" s="173">
        <f t="shared" si="392"/>
        <v>0.93567251461988332</v>
      </c>
      <c r="DI158" s="545">
        <f t="shared" si="393"/>
        <v>769.49999999999966</v>
      </c>
      <c r="DJ158" s="528">
        <f t="shared" si="394"/>
        <v>0.21832358674463945</v>
      </c>
      <c r="DL158" s="173">
        <f t="shared" si="395"/>
        <v>2.0507838222772983</v>
      </c>
      <c r="DM158" s="173">
        <f t="shared" si="396"/>
        <v>2.8178285714285711</v>
      </c>
      <c r="DN158" s="173">
        <f t="shared" si="397"/>
        <v>2.2996261022927684</v>
      </c>
      <c r="DP158" s="545">
        <f t="shared" si="398"/>
        <v>480</v>
      </c>
      <c r="DQ158" s="460">
        <f t="shared" si="399"/>
        <v>186.60832090150885</v>
      </c>
      <c r="DS158">
        <f t="shared" si="400"/>
        <v>480</v>
      </c>
      <c r="DT158">
        <f t="shared" si="401"/>
        <v>186.60832090150885</v>
      </c>
      <c r="DV158" s="5">
        <f t="shared" si="402"/>
        <v>5.3588178446115284</v>
      </c>
      <c r="DW158" s="5">
        <f t="shared" si="403"/>
        <v>3.3813942857142854</v>
      </c>
      <c r="DX158" s="5">
        <f t="shared" si="404"/>
        <v>1.9774235588972431</v>
      </c>
      <c r="DY158" s="173">
        <f t="shared" si="405"/>
        <v>0.63099630996309963</v>
      </c>
      <c r="EA158" s="5">
        <f t="shared" si="406"/>
        <v>9.8967637630662022</v>
      </c>
      <c r="EB158" s="5">
        <f t="shared" si="407"/>
        <v>5.0720914285714276</v>
      </c>
      <c r="EC158" s="5">
        <f t="shared" si="408"/>
        <v>1.2971898546365912</v>
      </c>
      <c r="ED158" s="5"/>
      <c r="EE158" s="173">
        <f t="shared" si="409"/>
        <v>1.2923119216990859</v>
      </c>
      <c r="EF158" s="173">
        <f t="shared" si="410"/>
        <v>0.98825562635423914</v>
      </c>
      <c r="EG158" s="173">
        <f t="shared" si="411"/>
        <v>0.24245582798647758</v>
      </c>
      <c r="EH158" s="173"/>
      <c r="EI158" s="528">
        <f t="shared" si="412"/>
        <v>3.3401402059311691E-2</v>
      </c>
      <c r="EJ158" s="528">
        <f t="shared" si="413"/>
        <v>0.28500000000000003</v>
      </c>
      <c r="EK158" s="528">
        <f t="shared" si="414"/>
        <v>2.3326040112688604E-2</v>
      </c>
      <c r="EL158" s="528">
        <f t="shared" si="415"/>
        <v>1.3704701695327708E-2</v>
      </c>
      <c r="EM158">
        <f t="shared" si="416"/>
        <v>4.4999999999999997E-3</v>
      </c>
      <c r="EN158" s="460">
        <f t="shared" si="417"/>
        <v>27.826040112688606</v>
      </c>
      <c r="EP158" s="460">
        <f t="shared" si="439"/>
        <v>359.93214386732808</v>
      </c>
      <c r="EQ158" s="173">
        <f t="shared" si="418"/>
        <v>0.33599999999999997</v>
      </c>
      <c r="ER158" s="173">
        <f t="shared" si="475"/>
        <v>5.3249999999999999E-2</v>
      </c>
      <c r="ES158" s="528"/>
      <c r="EU158" s="460">
        <f t="shared" si="420"/>
        <v>389.25</v>
      </c>
      <c r="EV158" s="528">
        <f t="shared" si="421"/>
        <v>5.010210308896753E-2</v>
      </c>
      <c r="EW158" s="528">
        <f t="shared" si="422"/>
        <v>2.9299475490624283E-2</v>
      </c>
      <c r="EX158" s="528">
        <f t="shared" si="423"/>
        <v>2.93924142623042E-4</v>
      </c>
      <c r="EY158" s="528">
        <f t="shared" si="424"/>
        <v>0.31701801185397421</v>
      </c>
      <c r="EZ158" s="528"/>
      <c r="FA158" s="625">
        <f t="shared" si="425"/>
        <v>7.4084976278334215E-3</v>
      </c>
      <c r="FB158" s="460">
        <f t="shared" si="426"/>
        <v>404.1220122040225</v>
      </c>
      <c r="FC158" s="173">
        <f t="shared" si="427"/>
        <v>1.1533041560713506</v>
      </c>
      <c r="FD158" s="5">
        <f t="shared" si="428"/>
        <v>8.831999999999999</v>
      </c>
      <c r="FE158" s="173">
        <f t="shared" si="429"/>
        <v>0.8844998471708938</v>
      </c>
      <c r="FF158" s="5">
        <f t="shared" si="430"/>
        <v>88.449984717089379</v>
      </c>
      <c r="FG158">
        <f t="shared" si="431"/>
        <v>48</v>
      </c>
      <c r="FI158" s="562">
        <f t="shared" si="432"/>
        <v>-50</v>
      </c>
      <c r="FJ158">
        <f t="shared" si="433"/>
        <v>-50</v>
      </c>
    </row>
    <row r="159" spans="5:166">
      <c r="E159" s="170">
        <v>49</v>
      </c>
      <c r="F159" s="217">
        <f t="shared" si="476"/>
        <v>0.49</v>
      </c>
      <c r="G159" s="217">
        <f t="shared" si="444"/>
        <v>0.1225</v>
      </c>
      <c r="H159" s="217">
        <f t="shared" si="445"/>
        <v>8.0359999999999996</v>
      </c>
      <c r="I159" s="217">
        <f t="shared" si="446"/>
        <v>0.98</v>
      </c>
      <c r="J159" s="541">
        <f t="shared" si="447"/>
        <v>9.907151030136836</v>
      </c>
      <c r="K159" s="443">
        <f t="shared" si="448"/>
        <v>17.141094171921267</v>
      </c>
      <c r="L159" s="172">
        <f t="shared" si="449"/>
        <v>27.048245202058105</v>
      </c>
      <c r="M159" s="443"/>
      <c r="N159" s="217">
        <f t="shared" si="450"/>
        <v>0.63372296590305233</v>
      </c>
      <c r="O159" s="172">
        <f t="shared" si="451"/>
        <v>18.6531851096507</v>
      </c>
      <c r="P159" s="172">
        <f t="shared" si="452"/>
        <v>2.55219070506821</v>
      </c>
      <c r="Q159" s="217">
        <f t="shared" si="322"/>
        <v>1.137389335954311</v>
      </c>
      <c r="R159" s="217">
        <f t="shared" si="453"/>
        <v>2.3316481387063375</v>
      </c>
      <c r="S159" s="217">
        <f t="shared" si="454"/>
        <v>16.399999999999999</v>
      </c>
      <c r="T159" s="217">
        <f t="shared" si="455"/>
        <v>2.8720742874961238</v>
      </c>
      <c r="U159" s="217">
        <f t="shared" si="326"/>
        <v>3.4787893457073364</v>
      </c>
      <c r="V159" s="217">
        <f t="shared" si="327"/>
        <v>2.0106587773381608</v>
      </c>
      <c r="W159" s="197">
        <f t="shared" si="328"/>
        <v>350</v>
      </c>
      <c r="X159" s="443">
        <f t="shared" si="435"/>
        <v>175.76397189552216</v>
      </c>
      <c r="Z159" s="217">
        <f t="shared" si="329"/>
        <v>1.4948545558256658</v>
      </c>
      <c r="AA159" s="173">
        <f t="shared" si="330"/>
        <v>1.0465058117055648</v>
      </c>
      <c r="AB159" s="173">
        <f t="shared" si="456"/>
        <v>0.24400833280086448</v>
      </c>
      <c r="AC159" s="173"/>
      <c r="AD159" s="173">
        <f t="shared" si="332"/>
        <v>0.93342932717851324</v>
      </c>
      <c r="AE159" s="545">
        <f t="shared" si="457"/>
        <v>787.41901352263289</v>
      </c>
      <c r="AF159" s="528">
        <f t="shared" si="458"/>
        <v>0.21780017634165313</v>
      </c>
      <c r="AH159" s="173">
        <f t="shared" si="459"/>
        <v>2.0720360357226735</v>
      </c>
      <c r="AI159" s="173">
        <f t="shared" si="460"/>
        <v>2.8720742874961238</v>
      </c>
      <c r="AJ159" s="173">
        <f t="shared" si="461"/>
        <v>2.3398081141946596</v>
      </c>
      <c r="AL159" s="545">
        <f t="shared" si="462"/>
        <v>490</v>
      </c>
      <c r="AM159" s="460">
        <f t="shared" si="463"/>
        <v>175.76397189552216</v>
      </c>
      <c r="AO159">
        <f t="shared" si="340"/>
        <v>490</v>
      </c>
      <c r="AP159">
        <f t="shared" si="341"/>
        <v>175.76397189552216</v>
      </c>
      <c r="AR159" s="5">
        <f t="shared" si="443"/>
        <v>5.689448123045497</v>
      </c>
      <c r="AS159" s="5">
        <f t="shared" si="440"/>
        <v>3.4787893457073364</v>
      </c>
      <c r="AT159" s="5">
        <f t="shared" si="441"/>
        <v>2.2106587773381605</v>
      </c>
      <c r="AU159" s="173">
        <f t="shared" si="442"/>
        <v>0.61144583278934617</v>
      </c>
      <c r="AW159" s="5">
        <f t="shared" si="342"/>
        <v>10.393943776808507</v>
      </c>
      <c r="AX159" s="5">
        <f t="shared" si="343"/>
        <v>5.3268961856143591</v>
      </c>
      <c r="AY159" s="5">
        <f t="shared" si="344"/>
        <v>1.4942787185278303</v>
      </c>
      <c r="AZ159" s="5"/>
      <c r="BA159" s="173">
        <f t="shared" si="345"/>
        <v>1.2966239413529017</v>
      </c>
      <c r="BB159" s="173">
        <f t="shared" si="346"/>
        <v>1.0336198167972219</v>
      </c>
      <c r="BC159" s="173">
        <f t="shared" si="347"/>
        <v>0.25358534960161394</v>
      </c>
      <c r="BD159" s="173"/>
      <c r="BE159" s="528">
        <f t="shared" si="348"/>
        <v>3.3624672905790666E-2</v>
      </c>
      <c r="BF159" s="528">
        <f t="shared" si="464"/>
        <v>0.25601528441326821</v>
      </c>
      <c r="BG159" s="528">
        <f t="shared" si="465"/>
        <v>4.3533005380641601E-2</v>
      </c>
      <c r="BH159" s="528">
        <f t="shared" si="351"/>
        <v>1.2859025211025884E-2</v>
      </c>
      <c r="BI159">
        <f t="shared" si="352"/>
        <v>4.4582179635615764E-3</v>
      </c>
      <c r="BJ159" s="460">
        <f t="shared" si="436"/>
        <v>47.991223344203178</v>
      </c>
      <c r="BK159">
        <f t="shared" si="466"/>
        <v>0.31408695471184828</v>
      </c>
      <c r="BL159" s="460">
        <f t="shared" si="437"/>
        <v>350.49020587428794</v>
      </c>
      <c r="BM159" s="173">
        <f t="shared" si="467"/>
        <v>0.30441249999999997</v>
      </c>
      <c r="BN159" s="173">
        <f t="shared" si="468"/>
        <v>7.6103124999999994E-2</v>
      </c>
      <c r="BO159" s="528"/>
      <c r="BQ159" s="460">
        <f t="shared" si="356"/>
        <v>380.51562499999994</v>
      </c>
      <c r="BR159" s="528">
        <f t="shared" si="357"/>
        <v>5.0437009358685989E-2</v>
      </c>
      <c r="BS159" s="528">
        <f t="shared" si="358"/>
        <v>3.2051097770277683E-2</v>
      </c>
      <c r="BT159" s="528">
        <f t="shared" si="359"/>
        <v>3.2152764766286382E-4</v>
      </c>
      <c r="BU159" s="528">
        <f t="shared" si="360"/>
        <v>0.28627526284514254</v>
      </c>
      <c r="BV159" s="528"/>
      <c r="BW159" s="625">
        <f t="shared" si="469"/>
        <v>7.2492186715649963E-3</v>
      </c>
      <c r="BX159" s="460">
        <f t="shared" si="362"/>
        <v>376.33411629333409</v>
      </c>
      <c r="BY159" s="173">
        <f t="shared" si="363"/>
        <v>1.107339947167622</v>
      </c>
      <c r="BZ159" s="5">
        <f t="shared" si="364"/>
        <v>9.016</v>
      </c>
      <c r="CA159" s="173">
        <f t="shared" si="365"/>
        <v>0.89061515735452101</v>
      </c>
      <c r="CB159" s="5">
        <f t="shared" si="366"/>
        <v>89.061515735452105</v>
      </c>
      <c r="CC159">
        <f t="shared" si="367"/>
        <v>49</v>
      </c>
      <c r="CE159" s="562">
        <f t="shared" si="470"/>
        <v>-50</v>
      </c>
      <c r="CF159">
        <f t="shared" si="471"/>
        <v>-50</v>
      </c>
      <c r="CG159" s="173">
        <f t="shared" si="370"/>
        <v>0.35771495841706197</v>
      </c>
      <c r="CH159" s="173">
        <f t="shared" si="472"/>
        <v>0.12498995131688433</v>
      </c>
      <c r="CI159" s="170">
        <v>49</v>
      </c>
      <c r="CJ159" s="217">
        <f t="shared" si="438"/>
        <v>0.49</v>
      </c>
      <c r="CK159" s="217">
        <f t="shared" si="372"/>
        <v>0.1225</v>
      </c>
      <c r="CL159" s="217">
        <f t="shared" si="373"/>
        <v>8.0359999999999996</v>
      </c>
      <c r="CM159" s="217">
        <f t="shared" si="374"/>
        <v>0.98</v>
      </c>
      <c r="CN159" s="541">
        <f t="shared" si="375"/>
        <v>10</v>
      </c>
      <c r="CO159" s="443">
        <f t="shared" si="473"/>
        <v>17.099999999999998</v>
      </c>
      <c r="CP159" s="443">
        <f t="shared" si="474"/>
        <v>27.099999999999998</v>
      </c>
      <c r="CQ159" s="443"/>
      <c r="CR159" s="217">
        <f t="shared" si="378"/>
        <v>0.62686567164179097</v>
      </c>
      <c r="CS159" s="172">
        <f t="shared" si="379"/>
        <v>18.624269954574949</v>
      </c>
      <c r="CT159" s="172">
        <f t="shared" si="380"/>
        <v>2.5482344375682562</v>
      </c>
      <c r="CU159" s="217">
        <f t="shared" si="381"/>
        <v>1.135626216742375</v>
      </c>
      <c r="CV159" s="217">
        <f t="shared" si="382"/>
        <v>2.3280337443218686</v>
      </c>
      <c r="CW159" s="217">
        <f t="shared" si="383"/>
        <v>16.399999999999999</v>
      </c>
      <c r="CX159" s="217">
        <f t="shared" si="384"/>
        <v>2.8765333333333336</v>
      </c>
      <c r="CY159" s="217">
        <f t="shared" si="385"/>
        <v>3.4518400000000002</v>
      </c>
      <c r="CZ159" s="217">
        <f t="shared" si="386"/>
        <v>2.0186198830409361</v>
      </c>
      <c r="DA159" s="197">
        <f t="shared" si="387"/>
        <v>350</v>
      </c>
      <c r="DB159" s="443">
        <f t="shared" si="388"/>
        <v>182.79998782188616</v>
      </c>
      <c r="DD159" s="217">
        <f t="shared" si="389"/>
        <v>1.5023721665788083</v>
      </c>
      <c r="DE159" s="173">
        <f t="shared" si="390"/>
        <v>1.0542962572482866</v>
      </c>
      <c r="DF159" s="173">
        <f t="shared" si="391"/>
        <v>0.24706104135140031</v>
      </c>
      <c r="DG159" s="173"/>
      <c r="DH159" s="173">
        <f t="shared" si="392"/>
        <v>0.93567251461988332</v>
      </c>
      <c r="DI159" s="545">
        <f t="shared" si="393"/>
        <v>785.53124999999966</v>
      </c>
      <c r="DJ159" s="528">
        <f t="shared" si="394"/>
        <v>0.21832358674463945</v>
      </c>
      <c r="DL159" s="173">
        <f t="shared" si="395"/>
        <v>2.0720360357226735</v>
      </c>
      <c r="DM159" s="173">
        <f t="shared" si="396"/>
        <v>2.8765333333333336</v>
      </c>
      <c r="DN159" s="173">
        <f t="shared" si="397"/>
        <v>2.3431111111111109</v>
      </c>
      <c r="DP159" s="545">
        <f t="shared" si="398"/>
        <v>490</v>
      </c>
      <c r="DQ159" s="460">
        <f t="shared" si="399"/>
        <v>182.79998782188616</v>
      </c>
      <c r="DS159">
        <f t="shared" si="400"/>
        <v>490</v>
      </c>
      <c r="DT159">
        <f t="shared" si="401"/>
        <v>182.79998782188616</v>
      </c>
      <c r="DV159" s="5">
        <f t="shared" si="402"/>
        <v>5.4704598830409372</v>
      </c>
      <c r="DW159" s="5">
        <f t="shared" si="403"/>
        <v>3.4518400000000002</v>
      </c>
      <c r="DX159" s="5">
        <f t="shared" si="404"/>
        <v>2.018619883040937</v>
      </c>
      <c r="DY159" s="173">
        <f t="shared" si="405"/>
        <v>0.63099630996309952</v>
      </c>
      <c r="EA159" s="5">
        <f t="shared" si="406"/>
        <v>10.313424390243904</v>
      </c>
      <c r="EB159" s="5">
        <f t="shared" si="407"/>
        <v>5.2856300000000003</v>
      </c>
      <c r="EC159" s="5">
        <f t="shared" si="408"/>
        <v>1.3518024483430806</v>
      </c>
      <c r="ED159" s="5"/>
      <c r="EE159" s="173">
        <f t="shared" si="409"/>
        <v>1.3192350867344838</v>
      </c>
      <c r="EF159" s="173">
        <f t="shared" si="410"/>
        <v>1.0088442852366195</v>
      </c>
      <c r="EG159" s="173">
        <f t="shared" si="411"/>
        <v>0.24750699106952928</v>
      </c>
      <c r="EH159" s="173"/>
      <c r="EI159" s="528">
        <f t="shared" si="412"/>
        <v>3.4807624281426815E-2</v>
      </c>
      <c r="EJ159" s="528">
        <f t="shared" si="413"/>
        <v>0.28499999999999998</v>
      </c>
      <c r="EK159" s="528">
        <f t="shared" si="414"/>
        <v>2.2849998477735767E-2</v>
      </c>
      <c r="EL159" s="528">
        <f t="shared" si="415"/>
        <v>1.3425013905627139E-2</v>
      </c>
      <c r="EM159">
        <f t="shared" si="416"/>
        <v>4.4999999999999997E-3</v>
      </c>
      <c r="EN159" s="460">
        <f t="shared" si="417"/>
        <v>27.349998477735767</v>
      </c>
      <c r="EP159" s="460">
        <f t="shared" si="439"/>
        <v>360.58263666478967</v>
      </c>
      <c r="EQ159" s="173">
        <f t="shared" si="418"/>
        <v>0.34299999999999997</v>
      </c>
      <c r="ER159" s="173">
        <f t="shared" si="475"/>
        <v>5.4359374999999995E-2</v>
      </c>
      <c r="ES159" s="528"/>
      <c r="EU159" s="460">
        <f t="shared" si="420"/>
        <v>397.35937499999994</v>
      </c>
      <c r="EV159" s="528">
        <f t="shared" si="421"/>
        <v>5.2211436422140226E-2</v>
      </c>
      <c r="EW159" s="528">
        <f t="shared" si="422"/>
        <v>3.0533003755637569E-2</v>
      </c>
      <c r="EX159" s="528">
        <f t="shared" si="423"/>
        <v>3.0629855314146025E-4</v>
      </c>
      <c r="EY159" s="528">
        <f t="shared" si="424"/>
        <v>0.31701801185397399</v>
      </c>
      <c r="EZ159" s="528"/>
      <c r="FA159" s="625">
        <f t="shared" si="425"/>
        <v>7.5628413284132851E-3</v>
      </c>
      <c r="FB159" s="460">
        <f t="shared" si="426"/>
        <v>407.63159191330652</v>
      </c>
      <c r="FC159" s="173">
        <f t="shared" si="427"/>
        <v>1.1655736035780961</v>
      </c>
      <c r="FD159" s="5">
        <f t="shared" si="428"/>
        <v>9.016</v>
      </c>
      <c r="FE159" s="173">
        <f t="shared" si="429"/>
        <v>0.88552127117477397</v>
      </c>
      <c r="FF159" s="5">
        <f t="shared" si="430"/>
        <v>88.552127117477397</v>
      </c>
      <c r="FG159">
        <f t="shared" si="431"/>
        <v>49</v>
      </c>
      <c r="FI159" s="562">
        <f t="shared" si="432"/>
        <v>-50</v>
      </c>
      <c r="FJ159">
        <f t="shared" si="433"/>
        <v>-50</v>
      </c>
    </row>
    <row r="160" spans="5:166">
      <c r="E160" s="170">
        <v>50</v>
      </c>
      <c r="F160" s="217">
        <f t="shared" si="476"/>
        <v>0.5</v>
      </c>
      <c r="G160" s="217">
        <f t="shared" si="444"/>
        <v>0.125</v>
      </c>
      <c r="H160" s="217">
        <f t="shared" si="445"/>
        <v>8.1999999999999993</v>
      </c>
      <c r="I160" s="217">
        <f t="shared" si="446"/>
        <v>1</v>
      </c>
      <c r="J160" s="541">
        <f t="shared" si="447"/>
        <v>9.9052561532008525</v>
      </c>
      <c r="K160" s="443">
        <f t="shared" si="448"/>
        <v>17.141932828491086</v>
      </c>
      <c r="L160" s="172">
        <f t="shared" si="449"/>
        <v>27.047188981691939</v>
      </c>
      <c r="M160" s="443"/>
      <c r="N160" s="217">
        <f t="shared" si="450"/>
        <v>0.63377872059437845</v>
      </c>
      <c r="O160" s="172">
        <f t="shared" si="451"/>
        <v>18.651258220966991</v>
      </c>
      <c r="P160" s="172">
        <f t="shared" si="452"/>
        <v>2.5519270617622896</v>
      </c>
      <c r="Q160" s="217">
        <f t="shared" si="322"/>
        <v>1.1372718427418897</v>
      </c>
      <c r="R160" s="217">
        <f t="shared" si="453"/>
        <v>2.3314072776208739</v>
      </c>
      <c r="S160" s="217">
        <f t="shared" si="454"/>
        <v>16.399999999999999</v>
      </c>
      <c r="T160" s="217">
        <f t="shared" si="455"/>
        <v>2.9309908221211907</v>
      </c>
      <c r="U160" s="217">
        <f t="shared" si="326"/>
        <v>3.5508309246589862</v>
      </c>
      <c r="V160" s="217">
        <f t="shared" si="327"/>
        <v>2.0518042053575289</v>
      </c>
      <c r="W160" s="197">
        <f t="shared" si="328"/>
        <v>350</v>
      </c>
      <c r="X160" s="443">
        <f t="shared" si="435"/>
        <v>172.33549544190518</v>
      </c>
      <c r="Z160" s="217">
        <f t="shared" si="329"/>
        <v>1.4947001361750549</v>
      </c>
      <c r="AA160" s="173">
        <f t="shared" si="330"/>
        <v>1.0463465125874902</v>
      </c>
      <c r="AB160" s="173">
        <f t="shared" si="456"/>
        <v>0.24394598743596957</v>
      </c>
      <c r="AC160" s="173"/>
      <c r="AD160" s="173">
        <f t="shared" si="332"/>
        <v>0.9333836598290064</v>
      </c>
      <c r="AE160" s="545">
        <f t="shared" si="457"/>
        <v>803.52810133551941</v>
      </c>
      <c r="AF160" s="528">
        <f t="shared" si="458"/>
        <v>0.21778952062676821</v>
      </c>
      <c r="AH160" s="173">
        <f t="shared" si="459"/>
        <v>2.0930724738891344</v>
      </c>
      <c r="AI160" s="173">
        <f t="shared" si="460"/>
        <v>2.9309908221211907</v>
      </c>
      <c r="AJ160" s="173">
        <f t="shared" si="461"/>
        <v>2.3834499916947092</v>
      </c>
      <c r="AL160" s="545">
        <f t="shared" si="462"/>
        <v>500</v>
      </c>
      <c r="AM160" s="460">
        <f t="shared" si="463"/>
        <v>172.33549544190518</v>
      </c>
      <c r="AO160">
        <f t="shared" si="340"/>
        <v>500</v>
      </c>
      <c r="AP160">
        <f t="shared" si="341"/>
        <v>172.33549544190518</v>
      </c>
      <c r="AR160" s="5">
        <f t="shared" si="443"/>
        <v>5.8026351300165153</v>
      </c>
      <c r="AS160" s="5">
        <f t="shared" si="440"/>
        <v>3.5508309246589862</v>
      </c>
      <c r="AT160" s="5">
        <f t="shared" si="441"/>
        <v>2.2518042053575291</v>
      </c>
      <c r="AU160" s="173">
        <f t="shared" si="442"/>
        <v>0.61193420663154463</v>
      </c>
      <c r="AW160" s="5">
        <f t="shared" si="342"/>
        <v>10.825704038594472</v>
      </c>
      <c r="AX160" s="5">
        <f t="shared" si="343"/>
        <v>5.5481733197796661</v>
      </c>
      <c r="AY160" s="5">
        <f t="shared" si="344"/>
        <v>1.553450864734822</v>
      </c>
      <c r="AZ160" s="5"/>
      <c r="BA160" s="173">
        <f t="shared" si="345"/>
        <v>1.3237506807607236</v>
      </c>
      <c r="BB160" s="173">
        <f t="shared" si="346"/>
        <v>1.0541599506898398</v>
      </c>
      <c r="BC160" s="173">
        <f t="shared" si="347"/>
        <v>0.25862460770152457</v>
      </c>
      <c r="BD160" s="173"/>
      <c r="BE160" s="528">
        <f t="shared" si="348"/>
        <v>3.5046317296289584E-2</v>
      </c>
      <c r="BF160" s="528">
        <f t="shared" si="464"/>
        <v>0.25616076002511001</v>
      </c>
      <c r="BG160" s="528">
        <f t="shared" si="465"/>
        <v>4.2675680666021218E-2</v>
      </c>
      <c r="BH160" s="528">
        <f t="shared" si="351"/>
        <v>1.2607210610695004E-2</v>
      </c>
      <c r="BI160">
        <f t="shared" si="352"/>
        <v>4.4573652689403834E-3</v>
      </c>
      <c r="BJ160" s="460">
        <f t="shared" si="436"/>
        <v>47.133045934961601</v>
      </c>
      <c r="BK160">
        <f t="shared" si="466"/>
        <v>0.31590735572950324</v>
      </c>
      <c r="BL160" s="460">
        <f t="shared" si="437"/>
        <v>350.94733386705622</v>
      </c>
      <c r="BM160" s="173">
        <f t="shared" si="467"/>
        <v>0.31062499999999998</v>
      </c>
      <c r="BN160" s="173">
        <f t="shared" si="468"/>
        <v>7.7656249999999996E-2</v>
      </c>
      <c r="BO160" s="528"/>
      <c r="BQ160" s="460">
        <f t="shared" si="356"/>
        <v>388.28124999999994</v>
      </c>
      <c r="BR160" s="528">
        <f t="shared" si="357"/>
        <v>5.2569475944434368E-2</v>
      </c>
      <c r="BS160" s="528">
        <f t="shared" si="358"/>
        <v>3.3337596049152166E-2</v>
      </c>
      <c r="BT160" s="528">
        <f t="shared" si="359"/>
        <v>3.3443343854383739E-4</v>
      </c>
      <c r="BU160" s="528">
        <f t="shared" si="360"/>
        <v>0.28671010068107067</v>
      </c>
      <c r="BV160" s="528"/>
      <c r="BW160" s="625">
        <f t="shared" si="469"/>
        <v>7.4024189069890759E-3</v>
      </c>
      <c r="BX160" s="460">
        <f t="shared" si="362"/>
        <v>380.35402502019014</v>
      </c>
      <c r="BY160" s="173">
        <f t="shared" si="363"/>
        <v>1.1195826088872465</v>
      </c>
      <c r="BZ160" s="5">
        <f t="shared" si="364"/>
        <v>9.1999999999999993</v>
      </c>
      <c r="CA160" s="173">
        <f t="shared" si="365"/>
        <v>0.89150892518433267</v>
      </c>
      <c r="CB160" s="5">
        <f t="shared" si="366"/>
        <v>89.150892518433267</v>
      </c>
      <c r="CC160">
        <f t="shared" si="367"/>
        <v>50</v>
      </c>
      <c r="CE160" s="562">
        <f t="shared" si="470"/>
        <v>-50</v>
      </c>
      <c r="CF160">
        <f t="shared" si="471"/>
        <v>-50</v>
      </c>
      <c r="CG160" s="173">
        <f t="shared" si="370"/>
        <v>0.35771495841706197</v>
      </c>
      <c r="CH160" s="173">
        <f t="shared" si="472"/>
        <v>0.12498995131688433</v>
      </c>
      <c r="CI160" s="170">
        <v>50</v>
      </c>
      <c r="CJ160" s="217">
        <f t="shared" si="438"/>
        <v>0.5</v>
      </c>
      <c r="CK160" s="217">
        <f t="shared" si="372"/>
        <v>0.125</v>
      </c>
      <c r="CL160" s="217">
        <f t="shared" si="373"/>
        <v>8.1999999999999993</v>
      </c>
      <c r="CM160" s="217">
        <f t="shared" si="374"/>
        <v>1</v>
      </c>
      <c r="CN160" s="541">
        <f t="shared" si="375"/>
        <v>10</v>
      </c>
      <c r="CO160" s="443">
        <f t="shared" si="473"/>
        <v>17.099999999999998</v>
      </c>
      <c r="CP160" s="443">
        <f t="shared" si="474"/>
        <v>27.099999999999998</v>
      </c>
      <c r="CQ160" s="443"/>
      <c r="CR160" s="217">
        <f t="shared" si="378"/>
        <v>0.62686567164179097</v>
      </c>
      <c r="CS160" s="172">
        <f t="shared" si="379"/>
        <v>18.624269954574949</v>
      </c>
      <c r="CT160" s="172">
        <f t="shared" si="380"/>
        <v>2.5482344375682562</v>
      </c>
      <c r="CU160" s="217">
        <f t="shared" si="381"/>
        <v>1.135626216742375</v>
      </c>
      <c r="CV160" s="217">
        <f t="shared" si="382"/>
        <v>2.3280337443218686</v>
      </c>
      <c r="CW160" s="217">
        <f t="shared" si="383"/>
        <v>16.399999999999999</v>
      </c>
      <c r="CX160" s="217">
        <f t="shared" si="384"/>
        <v>2.9352380952380952</v>
      </c>
      <c r="CY160" s="217">
        <f t="shared" si="385"/>
        <v>3.5222857142857142</v>
      </c>
      <c r="CZ160" s="217">
        <f t="shared" si="386"/>
        <v>2.0598162071846282</v>
      </c>
      <c r="DA160" s="197">
        <f t="shared" si="387"/>
        <v>350</v>
      </c>
      <c r="DB160" s="443">
        <f t="shared" si="388"/>
        <v>179.14398806544847</v>
      </c>
      <c r="DD160" s="217">
        <f t="shared" si="389"/>
        <v>1.5023721665788083</v>
      </c>
      <c r="DE160" s="173">
        <f t="shared" si="390"/>
        <v>1.0542962572482866</v>
      </c>
      <c r="DF160" s="173">
        <f t="shared" si="391"/>
        <v>0.24706104135140031</v>
      </c>
      <c r="DG160" s="173"/>
      <c r="DH160" s="173">
        <f t="shared" si="392"/>
        <v>0.93567251461988332</v>
      </c>
      <c r="DI160" s="545">
        <f t="shared" si="393"/>
        <v>801.56249999999966</v>
      </c>
      <c r="DJ160" s="528">
        <f t="shared" si="394"/>
        <v>0.21832358674463945</v>
      </c>
      <c r="DL160" s="173">
        <f t="shared" si="395"/>
        <v>2.0930724738891344</v>
      </c>
      <c r="DM160" s="173">
        <f t="shared" si="396"/>
        <v>2.9352380952380952</v>
      </c>
      <c r="DN160" s="173">
        <f t="shared" si="397"/>
        <v>2.386596119929453</v>
      </c>
      <c r="DP160" s="545">
        <f t="shared" si="398"/>
        <v>500</v>
      </c>
      <c r="DQ160" s="460">
        <f t="shared" si="399"/>
        <v>179.14398806544847</v>
      </c>
      <c r="DS160">
        <f t="shared" si="400"/>
        <v>500</v>
      </c>
      <c r="DT160">
        <f t="shared" si="401"/>
        <v>179.14398806544847</v>
      </c>
      <c r="DV160" s="5">
        <f t="shared" si="402"/>
        <v>5.5821019214703425</v>
      </c>
      <c r="DW160" s="5">
        <f t="shared" si="403"/>
        <v>3.5222857142857142</v>
      </c>
      <c r="DX160" s="5">
        <f t="shared" si="404"/>
        <v>2.0598162071846282</v>
      </c>
      <c r="DY160" s="173">
        <f t="shared" si="405"/>
        <v>0.63099630996309963</v>
      </c>
      <c r="EA160" s="5">
        <f t="shared" si="406"/>
        <v>10.738675958188155</v>
      </c>
      <c r="EB160" s="5">
        <f t="shared" si="407"/>
        <v>5.503571428571429</v>
      </c>
      <c r="EC160" s="5">
        <f t="shared" si="408"/>
        <v>1.4075410749094956</v>
      </c>
      <c r="ED160" s="5"/>
      <c r="EE160" s="173">
        <f t="shared" si="409"/>
        <v>1.3461582517698814</v>
      </c>
      <c r="EF160" s="173">
        <f t="shared" si="410"/>
        <v>1.0294329441189993</v>
      </c>
      <c r="EG160" s="173">
        <f t="shared" si="411"/>
        <v>0.25255815415258082</v>
      </c>
      <c r="EH160" s="173"/>
      <c r="EI160" s="528">
        <f t="shared" si="412"/>
        <v>3.6242840776162868E-2</v>
      </c>
      <c r="EJ160" s="528">
        <f t="shared" si="413"/>
        <v>0.28499999999999998</v>
      </c>
      <c r="EK160" s="528">
        <f t="shared" si="414"/>
        <v>2.2392998508181057E-2</v>
      </c>
      <c r="EL160" s="528">
        <f t="shared" si="415"/>
        <v>1.3156513627514599E-2</v>
      </c>
      <c r="EM160">
        <f t="shared" si="416"/>
        <v>4.4999999999999997E-3</v>
      </c>
      <c r="EN160" s="460">
        <f t="shared" si="417"/>
        <v>26.892998508181059</v>
      </c>
      <c r="EP160" s="460">
        <f t="shared" si="439"/>
        <v>361.29235291185847</v>
      </c>
      <c r="EQ160" s="173">
        <f t="shared" si="418"/>
        <v>0.35</v>
      </c>
      <c r="ER160" s="173">
        <f t="shared" si="475"/>
        <v>5.5468749999999997E-2</v>
      </c>
      <c r="ES160" s="528"/>
      <c r="EU160" s="460">
        <f t="shared" si="420"/>
        <v>405.46875</v>
      </c>
      <c r="EV160" s="528">
        <f t="shared" si="421"/>
        <v>5.4364261164244296E-2</v>
      </c>
      <c r="EW160" s="528">
        <f t="shared" si="422"/>
        <v>3.1791965593125325E-2</v>
      </c>
      <c r="EX160" s="528">
        <f t="shared" si="423"/>
        <v>3.1892810614479386E-4</v>
      </c>
      <c r="EY160" s="528">
        <f t="shared" si="424"/>
        <v>0.31701801185397405</v>
      </c>
      <c r="EZ160" s="528"/>
      <c r="FA160" s="625">
        <f t="shared" si="425"/>
        <v>7.717185028993147E-3</v>
      </c>
      <c r="FB160" s="460">
        <f t="shared" si="426"/>
        <v>411.21035174648165</v>
      </c>
      <c r="FC160" s="173">
        <f t="shared" si="427"/>
        <v>1.17797145465834</v>
      </c>
      <c r="FD160" s="5">
        <f t="shared" si="428"/>
        <v>9.1999999999999993</v>
      </c>
      <c r="FE160" s="173">
        <f t="shared" si="429"/>
        <v>0.8864930916600674</v>
      </c>
      <c r="FF160" s="5">
        <f t="shared" si="430"/>
        <v>88.649309166006745</v>
      </c>
      <c r="FG160">
        <f t="shared" si="431"/>
        <v>50</v>
      </c>
      <c r="FI160" s="562">
        <f t="shared" si="432"/>
        <v>-50</v>
      </c>
      <c r="FJ160">
        <f t="shared" si="433"/>
        <v>-50</v>
      </c>
    </row>
    <row r="161" spans="5:166">
      <c r="E161" s="170">
        <v>51</v>
      </c>
      <c r="F161" s="217">
        <f t="shared" si="476"/>
        <v>0.51</v>
      </c>
      <c r="G161" s="217">
        <f t="shared" si="444"/>
        <v>0.1275</v>
      </c>
      <c r="H161" s="217">
        <f t="shared" si="445"/>
        <v>8.363999999999999</v>
      </c>
      <c r="I161" s="217">
        <f t="shared" si="446"/>
        <v>1.02</v>
      </c>
      <c r="J161" s="541">
        <f t="shared" si="447"/>
        <v>9.9033612762648691</v>
      </c>
      <c r="K161" s="443">
        <f t="shared" si="448"/>
        <v>17.142771485060909</v>
      </c>
      <c r="L161" s="172">
        <f t="shared" si="449"/>
        <v>27.046132761325779</v>
      </c>
      <c r="M161" s="443"/>
      <c r="N161" s="217">
        <f t="shared" si="450"/>
        <v>0.63383447964042994</v>
      </c>
      <c r="O161" s="172">
        <f t="shared" si="451"/>
        <v>18.649330832647365</v>
      </c>
      <c r="P161" s="172">
        <f t="shared" si="452"/>
        <v>2.5516633500945236</v>
      </c>
      <c r="Q161" s="217">
        <f t="shared" si="322"/>
        <v>1.1371543190638638</v>
      </c>
      <c r="R161" s="217">
        <f t="shared" si="453"/>
        <v>2.3311663540809207</v>
      </c>
      <c r="S161" s="217">
        <f t="shared" si="454"/>
        <v>16.399999999999999</v>
      </c>
      <c r="T161" s="217">
        <f t="shared" si="455"/>
        <v>2.989919611613463</v>
      </c>
      <c r="U161" s="217">
        <f t="shared" si="326"/>
        <v>3.6229149213562386</v>
      </c>
      <c r="V161" s="217">
        <f t="shared" si="327"/>
        <v>2.0929541860036101</v>
      </c>
      <c r="W161" s="197">
        <f t="shared" si="328"/>
        <v>350</v>
      </c>
      <c r="X161" s="443">
        <f t="shared" si="435"/>
        <v>169.03687046691317</v>
      </c>
      <c r="Z161" s="217">
        <f t="shared" si="329"/>
        <v>1.4945456764839349</v>
      </c>
      <c r="AA161" s="173">
        <f t="shared" si="330"/>
        <v>1.046187201027343</v>
      </c>
      <c r="AB161" s="173">
        <f t="shared" si="456"/>
        <v>0.24388364031050339</v>
      </c>
      <c r="AC161" s="173"/>
      <c r="AD161" s="173">
        <f t="shared" si="332"/>
        <v>0.93333799694776454</v>
      </c>
      <c r="AE161" s="545">
        <f t="shared" si="457"/>
        <v>819.6387616294744</v>
      </c>
      <c r="AF161" s="528">
        <f t="shared" si="458"/>
        <v>0.21777886595447843</v>
      </c>
      <c r="AH161" s="173">
        <f t="shared" si="459"/>
        <v>2.1138995786393044</v>
      </c>
      <c r="AI161" s="173">
        <f t="shared" si="460"/>
        <v>2.989919611613463</v>
      </c>
      <c r="AJ161" s="173">
        <f t="shared" si="461"/>
        <v>2.42710094687417</v>
      </c>
      <c r="AL161" s="545">
        <f t="shared" si="462"/>
        <v>510</v>
      </c>
      <c r="AM161" s="460">
        <f t="shared" si="463"/>
        <v>169.03687046691317</v>
      </c>
      <c r="AO161">
        <f t="shared" si="340"/>
        <v>510</v>
      </c>
      <c r="AP161">
        <f t="shared" si="341"/>
        <v>169.03687046691317</v>
      </c>
      <c r="AR161" s="5">
        <f t="shared" si="443"/>
        <v>5.9158691073598488</v>
      </c>
      <c r="AS161" s="5">
        <f t="shared" si="440"/>
        <v>3.6229149213562386</v>
      </c>
      <c r="AT161" s="5">
        <f t="shared" si="441"/>
        <v>2.2929541860036102</v>
      </c>
      <c r="AU161" s="173">
        <f t="shared" si="442"/>
        <v>0.61240620027394144</v>
      </c>
      <c r="AW161" s="5">
        <f t="shared" si="342"/>
        <v>11.266381767632209</v>
      </c>
      <c r="AX161" s="5">
        <f t="shared" si="343"/>
        <v>5.7740206559115048</v>
      </c>
      <c r="AY161" s="5">
        <f t="shared" si="344"/>
        <v>1.6137844748478019</v>
      </c>
      <c r="AZ161" s="5"/>
      <c r="BA161" s="173">
        <f t="shared" si="345"/>
        <v>1.3508859164212039</v>
      </c>
      <c r="BB161" s="173">
        <f t="shared" si="346"/>
        <v>1.0747001141954802</v>
      </c>
      <c r="BC161" s="173">
        <f t="shared" si="347"/>
        <v>0.26366387306660988</v>
      </c>
      <c r="BD161" s="173"/>
      <c r="BE161" s="528">
        <f t="shared" si="348"/>
        <v>3.6497855183703125E-2</v>
      </c>
      <c r="BF161" s="528">
        <f t="shared" si="464"/>
        <v>0.2562992899707206</v>
      </c>
      <c r="BG161" s="528">
        <f t="shared" si="465"/>
        <v>4.1850829931075716E-2</v>
      </c>
      <c r="BH161" s="528">
        <f t="shared" si="351"/>
        <v>1.2364933775042778E-2</v>
      </c>
      <c r="BI161">
        <f t="shared" si="352"/>
        <v>4.4565125743191913E-3</v>
      </c>
      <c r="BJ161" s="460">
        <f t="shared" si="436"/>
        <v>46.307342505394907</v>
      </c>
      <c r="BK161">
        <f t="shared" si="466"/>
        <v>0.31777218539028529</v>
      </c>
      <c r="BL161" s="460">
        <f t="shared" si="437"/>
        <v>351.46942143486137</v>
      </c>
      <c r="BM161" s="173">
        <f t="shared" si="467"/>
        <v>0.31683749999999999</v>
      </c>
      <c r="BN161" s="173">
        <f t="shared" si="468"/>
        <v>7.9209374999999999E-2</v>
      </c>
      <c r="BO161" s="528"/>
      <c r="BQ161" s="460">
        <f t="shared" si="356"/>
        <v>396.046875</v>
      </c>
      <c r="BR161" s="528">
        <f t="shared" si="357"/>
        <v>5.4746782775554677E-2</v>
      </c>
      <c r="BS161" s="528">
        <f t="shared" si="358"/>
        <v>3.4649410063553342E-2</v>
      </c>
      <c r="BT161" s="528">
        <f t="shared" si="359"/>
        <v>3.4759318980242686E-4</v>
      </c>
      <c r="BU161" s="528">
        <f t="shared" si="360"/>
        <v>0.28712591553259781</v>
      </c>
      <c r="BV161" s="528"/>
      <c r="BW161" s="625">
        <f t="shared" si="469"/>
        <v>7.5556263345897458E-3</v>
      </c>
      <c r="BX161" s="460">
        <f t="shared" si="362"/>
        <v>384.42532789609794</v>
      </c>
      <c r="BY161" s="173">
        <f t="shared" si="363"/>
        <v>1.1319416243309595</v>
      </c>
      <c r="BZ161" s="5">
        <f t="shared" si="364"/>
        <v>9.3839999999999986</v>
      </c>
      <c r="CA161" s="173">
        <f t="shared" si="365"/>
        <v>0.8923594610194524</v>
      </c>
      <c r="CB161" s="5">
        <f t="shared" si="366"/>
        <v>89.235946101945245</v>
      </c>
      <c r="CC161">
        <f t="shared" si="367"/>
        <v>51</v>
      </c>
      <c r="CE161" s="562">
        <f t="shared" si="470"/>
        <v>-50</v>
      </c>
      <c r="CF161">
        <f t="shared" si="471"/>
        <v>-50</v>
      </c>
      <c r="CG161" s="173">
        <f t="shared" si="370"/>
        <v>0.35771495841706197</v>
      </c>
      <c r="CH161" s="173">
        <f t="shared" si="472"/>
        <v>0.12498995131688433</v>
      </c>
      <c r="CI161" s="170">
        <v>51</v>
      </c>
      <c r="CJ161" s="217">
        <f t="shared" si="438"/>
        <v>0.51</v>
      </c>
      <c r="CK161" s="217">
        <f t="shared" si="372"/>
        <v>0.1275</v>
      </c>
      <c r="CL161" s="217">
        <f t="shared" si="373"/>
        <v>8.363999999999999</v>
      </c>
      <c r="CM161" s="217">
        <f t="shared" si="374"/>
        <v>1.02</v>
      </c>
      <c r="CN161" s="541">
        <f t="shared" si="375"/>
        <v>10</v>
      </c>
      <c r="CO161" s="443">
        <f t="shared" si="473"/>
        <v>17.099999999999998</v>
      </c>
      <c r="CP161" s="443">
        <f t="shared" si="474"/>
        <v>27.099999999999998</v>
      </c>
      <c r="CQ161" s="443"/>
      <c r="CR161" s="217">
        <f t="shared" si="378"/>
        <v>0.62686567164179097</v>
      </c>
      <c r="CS161" s="172">
        <f t="shared" si="379"/>
        <v>18.624269954574949</v>
      </c>
      <c r="CT161" s="172">
        <f t="shared" si="380"/>
        <v>2.5482344375682562</v>
      </c>
      <c r="CU161" s="217">
        <f t="shared" si="381"/>
        <v>1.135626216742375</v>
      </c>
      <c r="CV161" s="217">
        <f t="shared" si="382"/>
        <v>2.3280337443218686</v>
      </c>
      <c r="CW161" s="217">
        <f t="shared" si="383"/>
        <v>16.399999999999999</v>
      </c>
      <c r="CX161" s="217">
        <f t="shared" si="384"/>
        <v>2.9939428571428568</v>
      </c>
      <c r="CY161" s="217">
        <f t="shared" si="385"/>
        <v>3.5927314285714282</v>
      </c>
      <c r="CZ161" s="217">
        <f t="shared" si="386"/>
        <v>2.1010125313283212</v>
      </c>
      <c r="DA161" s="197">
        <f t="shared" si="387"/>
        <v>350</v>
      </c>
      <c r="DB161" s="443">
        <f t="shared" si="388"/>
        <v>175.63136084847889</v>
      </c>
      <c r="DD161" s="217">
        <f t="shared" si="389"/>
        <v>1.5023721665788083</v>
      </c>
      <c r="DE161" s="173">
        <f t="shared" si="390"/>
        <v>1.0542962572482866</v>
      </c>
      <c r="DF161" s="173">
        <f t="shared" si="391"/>
        <v>0.24706104135140031</v>
      </c>
      <c r="DG161" s="173"/>
      <c r="DH161" s="173">
        <f t="shared" si="392"/>
        <v>0.93567251461988332</v>
      </c>
      <c r="DI161" s="545">
        <f t="shared" si="393"/>
        <v>817.59374999999966</v>
      </c>
      <c r="DJ161" s="528">
        <f t="shared" si="394"/>
        <v>0.21832358674463945</v>
      </c>
      <c r="DL161" s="173">
        <f t="shared" si="395"/>
        <v>2.1138995786393044</v>
      </c>
      <c r="DM161" s="173">
        <f t="shared" si="396"/>
        <v>2.9939428571428568</v>
      </c>
      <c r="DN161" s="173">
        <f t="shared" si="397"/>
        <v>2.430081128747795</v>
      </c>
      <c r="DP161" s="545">
        <f t="shared" si="398"/>
        <v>510</v>
      </c>
      <c r="DQ161" s="460">
        <f t="shared" si="399"/>
        <v>175.63136084847889</v>
      </c>
      <c r="DS161">
        <f t="shared" si="400"/>
        <v>510</v>
      </c>
      <c r="DT161">
        <f t="shared" si="401"/>
        <v>175.63136084847889</v>
      </c>
      <c r="DV161" s="5">
        <f t="shared" si="402"/>
        <v>5.6937439598997495</v>
      </c>
      <c r="DW161" s="5">
        <f t="shared" si="403"/>
        <v>3.5927314285714282</v>
      </c>
      <c r="DX161" s="5">
        <f t="shared" si="404"/>
        <v>2.1010125313283212</v>
      </c>
      <c r="DY161" s="173">
        <f t="shared" si="405"/>
        <v>0.63099630996309952</v>
      </c>
      <c r="EA161" s="5">
        <f t="shared" si="406"/>
        <v>11.172518466898957</v>
      </c>
      <c r="EB161" s="5">
        <f t="shared" si="407"/>
        <v>5.7259157142857138</v>
      </c>
      <c r="EC161" s="5">
        <f t="shared" si="408"/>
        <v>1.4644057343358396</v>
      </c>
      <c r="ED161" s="5"/>
      <c r="EE161" s="173">
        <f t="shared" si="409"/>
        <v>1.3730814168052787</v>
      </c>
      <c r="EF161" s="173">
        <f t="shared" si="410"/>
        <v>1.0500216030013794</v>
      </c>
      <c r="EG161" s="173">
        <f t="shared" si="411"/>
        <v>0.25760931723563246</v>
      </c>
      <c r="EH161" s="173"/>
      <c r="EI161" s="528">
        <f t="shared" si="412"/>
        <v>3.7707051543519832E-2</v>
      </c>
      <c r="EJ161" s="528">
        <f t="shared" si="413"/>
        <v>0.28499999999999998</v>
      </c>
      <c r="EK161" s="528">
        <f t="shared" si="414"/>
        <v>2.1953920106059861E-2</v>
      </c>
      <c r="EL161" s="528">
        <f t="shared" si="415"/>
        <v>1.2898542772073137E-2</v>
      </c>
      <c r="EM161">
        <f t="shared" si="416"/>
        <v>4.4999999999999997E-3</v>
      </c>
      <c r="EN161" s="460">
        <f t="shared" si="417"/>
        <v>26.453920106059861</v>
      </c>
      <c r="EP161" s="460">
        <f t="shared" si="439"/>
        <v>362.05951442165281</v>
      </c>
      <c r="EQ161" s="173">
        <f t="shared" si="418"/>
        <v>0.35699999999999998</v>
      </c>
      <c r="ER161" s="173">
        <f t="shared" si="475"/>
        <v>5.6578125E-2</v>
      </c>
      <c r="ES161" s="528"/>
      <c r="EU161" s="460">
        <f t="shared" si="420"/>
        <v>413.57812499999994</v>
      </c>
      <c r="EV161" s="528">
        <f t="shared" si="421"/>
        <v>5.6560577315279748E-2</v>
      </c>
      <c r="EW161" s="528">
        <f t="shared" si="422"/>
        <v>3.3076361003087591E-2</v>
      </c>
      <c r="EX161" s="528">
        <f t="shared" si="423"/>
        <v>3.3181280163304365E-4</v>
      </c>
      <c r="EY161" s="528">
        <f t="shared" si="424"/>
        <v>0.31701801185397388</v>
      </c>
      <c r="EZ161" s="528"/>
      <c r="FA161" s="625">
        <f t="shared" si="425"/>
        <v>7.8715287295730088E-3</v>
      </c>
      <c r="FB161" s="460">
        <f t="shared" si="426"/>
        <v>414.85829170354725</v>
      </c>
      <c r="FC161" s="173">
        <f t="shared" si="427"/>
        <v>1.1904959311252001</v>
      </c>
      <c r="FD161" s="5">
        <f t="shared" si="428"/>
        <v>9.3839999999999986</v>
      </c>
      <c r="FE161" s="173">
        <f t="shared" si="429"/>
        <v>0.88741818627769586</v>
      </c>
      <c r="FF161" s="5">
        <f t="shared" si="430"/>
        <v>88.74181862776959</v>
      </c>
      <c r="FG161">
        <f t="shared" si="431"/>
        <v>51</v>
      </c>
      <c r="FI161" s="562">
        <f t="shared" si="432"/>
        <v>-50</v>
      </c>
      <c r="FJ161">
        <f t="shared" si="433"/>
        <v>-50</v>
      </c>
    </row>
    <row r="162" spans="5:166">
      <c r="E162" s="170">
        <v>52</v>
      </c>
      <c r="F162" s="217">
        <f t="shared" si="476"/>
        <v>0.52</v>
      </c>
      <c r="G162" s="217">
        <f t="shared" si="444"/>
        <v>0.13</v>
      </c>
      <c r="H162" s="217">
        <f t="shared" si="445"/>
        <v>8.5279999999999987</v>
      </c>
      <c r="I162" s="217">
        <f t="shared" si="446"/>
        <v>1.04</v>
      </c>
      <c r="J162" s="541">
        <f t="shared" si="447"/>
        <v>9.9014663993288874</v>
      </c>
      <c r="K162" s="443">
        <f t="shared" si="448"/>
        <v>17.143610141630731</v>
      </c>
      <c r="L162" s="172">
        <f t="shared" si="449"/>
        <v>27.04507654095962</v>
      </c>
      <c r="M162" s="443"/>
      <c r="N162" s="217">
        <f t="shared" si="450"/>
        <v>0.63389024304171693</v>
      </c>
      <c r="O162" s="172">
        <f t="shared" si="451"/>
        <v>18.647402944633281</v>
      </c>
      <c r="P162" s="172">
        <f t="shared" si="452"/>
        <v>2.5513995700569039</v>
      </c>
      <c r="Q162" s="217">
        <f t="shared" si="322"/>
        <v>1.1370367649166635</v>
      </c>
      <c r="R162" s="217">
        <f t="shared" si="453"/>
        <v>2.3309253680791602</v>
      </c>
      <c r="S162" s="217">
        <f t="shared" si="454"/>
        <v>16.399999999999999</v>
      </c>
      <c r="T162" s="217">
        <f t="shared" si="455"/>
        <v>3.0488606645192755</v>
      </c>
      <c r="U162" s="217">
        <f t="shared" si="326"/>
        <v>3.6950413705096343</v>
      </c>
      <c r="V162" s="217">
        <f t="shared" si="327"/>
        <v>2.1341087245904413</v>
      </c>
      <c r="W162" s="197">
        <f t="shared" si="328"/>
        <v>350</v>
      </c>
      <c r="X162" s="443">
        <f t="shared" si="435"/>
        <v>165.86085670892578</v>
      </c>
      <c r="Z162" s="217">
        <f t="shared" si="329"/>
        <v>1.494391176747615</v>
      </c>
      <c r="AA162" s="173">
        <f t="shared" si="330"/>
        <v>1.046027877023666</v>
      </c>
      <c r="AB162" s="173">
        <f t="shared" si="456"/>
        <v>0.2438212914272451</v>
      </c>
      <c r="AC162" s="173"/>
      <c r="AD162" s="173">
        <f t="shared" si="332"/>
        <v>0.93329233853413174</v>
      </c>
      <c r="AE162" s="545">
        <f t="shared" si="457"/>
        <v>835.75099440449787</v>
      </c>
      <c r="AF162" s="528">
        <f t="shared" si="458"/>
        <v>0.21776821232463078</v>
      </c>
      <c r="AH162" s="173">
        <f t="shared" si="459"/>
        <v>2.1345234775449238</v>
      </c>
      <c r="AI162" s="173">
        <f t="shared" si="460"/>
        <v>3.0488606645192755</v>
      </c>
      <c r="AJ162" s="173">
        <f t="shared" si="461"/>
        <v>2.4707609860636608</v>
      </c>
      <c r="AL162" s="545">
        <f t="shared" si="462"/>
        <v>520</v>
      </c>
      <c r="AM162" s="460">
        <f t="shared" si="463"/>
        <v>165.86085670892578</v>
      </c>
      <c r="AO162">
        <f t="shared" si="340"/>
        <v>520</v>
      </c>
      <c r="AP162">
        <f t="shared" si="341"/>
        <v>165.86085670892578</v>
      </c>
      <c r="AR162" s="5">
        <f t="shared" si="443"/>
        <v>6.0291500951000767</v>
      </c>
      <c r="AS162" s="5">
        <f t="shared" si="440"/>
        <v>3.6950413705096343</v>
      </c>
      <c r="AT162" s="5">
        <f t="shared" si="441"/>
        <v>2.3341087245904424</v>
      </c>
      <c r="AU162" s="173">
        <f t="shared" si="442"/>
        <v>0.61286272728765112</v>
      </c>
      <c r="AW162" s="5">
        <f t="shared" si="342"/>
        <v>11.715984833323231</v>
      </c>
      <c r="AX162" s="5">
        <f t="shared" si="343"/>
        <v>6.0044422270781554</v>
      </c>
      <c r="AY162" s="5">
        <f t="shared" si="344"/>
        <v>1.675280408015831</v>
      </c>
      <c r="AZ162" s="5"/>
      <c r="BA162" s="173">
        <f t="shared" si="345"/>
        <v>1.3780296263163114</v>
      </c>
      <c r="BB162" s="173">
        <f t="shared" si="346"/>
        <v>1.0952403691483283</v>
      </c>
      <c r="BC162" s="173">
        <f t="shared" si="347"/>
        <v>0.26870316086709345</v>
      </c>
      <c r="BD162" s="173"/>
      <c r="BE162" s="528">
        <f t="shared" si="348"/>
        <v>3.7979313020109456E-2</v>
      </c>
      <c r="BF162" s="528">
        <f t="shared" si="464"/>
        <v>0.2564312612495887</v>
      </c>
      <c r="BG162" s="528">
        <f t="shared" si="465"/>
        <v>4.1056642491683296E-2</v>
      </c>
      <c r="BH162" s="528">
        <f t="shared" si="351"/>
        <v>1.2131662897243288E-2</v>
      </c>
      <c r="BI162">
        <f t="shared" si="352"/>
        <v>4.4556598796979992E-3</v>
      </c>
      <c r="BJ162" s="460">
        <f t="shared" si="436"/>
        <v>45.512302371381288</v>
      </c>
      <c r="BK162">
        <f t="shared" si="466"/>
        <v>0.31968141998052907</v>
      </c>
      <c r="BL162" s="460">
        <f t="shared" si="437"/>
        <v>352.05453953832273</v>
      </c>
      <c r="BM162" s="173">
        <f t="shared" si="467"/>
        <v>0.32304999999999995</v>
      </c>
      <c r="BN162" s="173">
        <f t="shared" si="468"/>
        <v>8.0762499999999987E-2</v>
      </c>
      <c r="BO162" s="528"/>
      <c r="BQ162" s="460">
        <f t="shared" si="356"/>
        <v>403.81249999999989</v>
      </c>
      <c r="BR162" s="528">
        <f t="shared" si="357"/>
        <v>5.6968969530164185E-2</v>
      </c>
      <c r="BS162" s="528">
        <f t="shared" si="358"/>
        <v>3.5986543986364992E-2</v>
      </c>
      <c r="BT162" s="528">
        <f t="shared" si="359"/>
        <v>3.6100694329983552E-4</v>
      </c>
      <c r="BU162" s="528">
        <f t="shared" si="360"/>
        <v>0.28752373940095405</v>
      </c>
      <c r="BV162" s="528"/>
      <c r="BW162" s="625">
        <f t="shared" si="469"/>
        <v>7.7088405538348293E-3</v>
      </c>
      <c r="BX162" s="460">
        <f t="shared" si="362"/>
        <v>388.5491004146179</v>
      </c>
      <c r="BY162" s="173">
        <f t="shared" si="363"/>
        <v>1.1444161399529404</v>
      </c>
      <c r="BZ162" s="5">
        <f t="shared" si="364"/>
        <v>9.5679999999999978</v>
      </c>
      <c r="CA162" s="173">
        <f t="shared" si="365"/>
        <v>0.89316918564386827</v>
      </c>
      <c r="CB162" s="5">
        <f t="shared" si="366"/>
        <v>89.316918564386825</v>
      </c>
      <c r="CC162">
        <f t="shared" si="367"/>
        <v>52</v>
      </c>
      <c r="CE162" s="562">
        <f t="shared" si="470"/>
        <v>-50</v>
      </c>
      <c r="CF162">
        <f t="shared" si="471"/>
        <v>-50</v>
      </c>
      <c r="CG162" s="173">
        <f t="shared" si="370"/>
        <v>0.35771495841706191</v>
      </c>
      <c r="CH162" s="173">
        <f t="shared" si="472"/>
        <v>0.1249899513168843</v>
      </c>
      <c r="CI162" s="170">
        <v>52</v>
      </c>
      <c r="CJ162" s="217">
        <f t="shared" si="438"/>
        <v>0.52</v>
      </c>
      <c r="CK162" s="217">
        <f t="shared" si="372"/>
        <v>0.13</v>
      </c>
      <c r="CL162" s="217">
        <f t="shared" si="373"/>
        <v>8.5279999999999987</v>
      </c>
      <c r="CM162" s="217">
        <f t="shared" si="374"/>
        <v>1.04</v>
      </c>
      <c r="CN162" s="541">
        <f t="shared" si="375"/>
        <v>10</v>
      </c>
      <c r="CO162" s="443">
        <f t="shared" si="473"/>
        <v>17.099999999999998</v>
      </c>
      <c r="CP162" s="443">
        <f t="shared" si="474"/>
        <v>27.099999999999998</v>
      </c>
      <c r="CQ162" s="443"/>
      <c r="CR162" s="217">
        <f t="shared" si="378"/>
        <v>0.62686567164179097</v>
      </c>
      <c r="CS162" s="172">
        <f t="shared" si="379"/>
        <v>18.624269954574949</v>
      </c>
      <c r="CT162" s="172">
        <f t="shared" si="380"/>
        <v>2.5482344375682562</v>
      </c>
      <c r="CU162" s="217">
        <f t="shared" si="381"/>
        <v>1.135626216742375</v>
      </c>
      <c r="CV162" s="217">
        <f t="shared" si="382"/>
        <v>2.3280337443218686</v>
      </c>
      <c r="CW162" s="217">
        <f t="shared" si="383"/>
        <v>16.399999999999999</v>
      </c>
      <c r="CX162" s="217">
        <f t="shared" si="384"/>
        <v>3.0526476190476188</v>
      </c>
      <c r="CY162" s="217">
        <f t="shared" si="385"/>
        <v>3.6631771428571431</v>
      </c>
      <c r="CZ162" s="217">
        <f t="shared" si="386"/>
        <v>2.1422088554720138</v>
      </c>
      <c r="DA162" s="197">
        <f t="shared" si="387"/>
        <v>350</v>
      </c>
      <c r="DB162" s="443">
        <f t="shared" si="388"/>
        <v>172.2538346783158</v>
      </c>
      <c r="DD162" s="217">
        <f t="shared" si="389"/>
        <v>1.5023721665788083</v>
      </c>
      <c r="DE162" s="173">
        <f t="shared" si="390"/>
        <v>1.0542962572482866</v>
      </c>
      <c r="DF162" s="173">
        <f t="shared" si="391"/>
        <v>0.24706104135140031</v>
      </c>
      <c r="DG162" s="173"/>
      <c r="DH162" s="173">
        <f t="shared" si="392"/>
        <v>0.93567251461988332</v>
      </c>
      <c r="DI162" s="545">
        <f t="shared" si="393"/>
        <v>833.62499999999966</v>
      </c>
      <c r="DJ162" s="528">
        <f t="shared" si="394"/>
        <v>0.21832358674463945</v>
      </c>
      <c r="DL162" s="173">
        <f t="shared" si="395"/>
        <v>2.1345234775449238</v>
      </c>
      <c r="DM162" s="173">
        <f t="shared" si="396"/>
        <v>3.0526476190476188</v>
      </c>
      <c r="DN162" s="173">
        <f t="shared" si="397"/>
        <v>2.4735661375661371</v>
      </c>
      <c r="DP162" s="545">
        <f t="shared" si="398"/>
        <v>520</v>
      </c>
      <c r="DQ162" s="460">
        <f t="shared" si="399"/>
        <v>172.2538346783158</v>
      </c>
      <c r="DS162">
        <f t="shared" si="400"/>
        <v>520</v>
      </c>
      <c r="DT162">
        <f t="shared" si="401"/>
        <v>172.2538346783158</v>
      </c>
      <c r="DV162" s="5">
        <f t="shared" si="402"/>
        <v>5.8053859983291574</v>
      </c>
      <c r="DW162" s="5">
        <f t="shared" si="403"/>
        <v>3.6631771428571431</v>
      </c>
      <c r="DX162" s="5">
        <f t="shared" si="404"/>
        <v>2.1422088554720142</v>
      </c>
      <c r="DY162" s="173">
        <f t="shared" si="405"/>
        <v>0.63099630996309952</v>
      </c>
      <c r="EA162" s="5">
        <f t="shared" si="406"/>
        <v>11.61495191637631</v>
      </c>
      <c r="EB162" s="5">
        <f t="shared" si="407"/>
        <v>5.9526628571428573</v>
      </c>
      <c r="EC162" s="5">
        <f t="shared" si="408"/>
        <v>1.5223964266221111</v>
      </c>
      <c r="ED162" s="5"/>
      <c r="EE162" s="173">
        <f t="shared" si="409"/>
        <v>1.4000045818406763</v>
      </c>
      <c r="EF162" s="173">
        <f t="shared" si="410"/>
        <v>1.0706102618837594</v>
      </c>
      <c r="EG162" s="173">
        <f t="shared" si="411"/>
        <v>0.26266048031868411</v>
      </c>
      <c r="EH162" s="173"/>
      <c r="EI162" s="528">
        <f t="shared" si="412"/>
        <v>3.9200256583497739E-2</v>
      </c>
      <c r="EJ162" s="528">
        <f t="shared" si="413"/>
        <v>0.28499999999999992</v>
      </c>
      <c r="EK162" s="528">
        <f t="shared" si="414"/>
        <v>2.1531729334789473E-2</v>
      </c>
      <c r="EL162" s="528">
        <f t="shared" si="415"/>
        <v>1.2650493872610189E-2</v>
      </c>
      <c r="EM162">
        <f t="shared" si="416"/>
        <v>4.4999999999999997E-3</v>
      </c>
      <c r="EN162" s="460">
        <f t="shared" si="417"/>
        <v>26.031729334789475</v>
      </c>
      <c r="EP162" s="460">
        <f t="shared" si="439"/>
        <v>362.88247979089732</v>
      </c>
      <c r="EQ162" s="173">
        <f t="shared" si="418"/>
        <v>0.36399999999999999</v>
      </c>
      <c r="ER162" s="173">
        <f t="shared" si="475"/>
        <v>5.7687499999999996E-2</v>
      </c>
      <c r="ES162" s="528"/>
      <c r="EU162" s="460">
        <f t="shared" si="420"/>
        <v>421.6875</v>
      </c>
      <c r="EV162" s="528">
        <f t="shared" si="421"/>
        <v>5.8800384875246609E-2</v>
      </c>
      <c r="EW162" s="528">
        <f t="shared" si="422"/>
        <v>3.4386189985524354E-2</v>
      </c>
      <c r="EX162" s="528">
        <f t="shared" si="423"/>
        <v>3.4495263960620924E-4</v>
      </c>
      <c r="EY162" s="528">
        <f t="shared" si="424"/>
        <v>0.31701801185397332</v>
      </c>
      <c r="EZ162" s="528"/>
      <c r="FA162" s="625">
        <f t="shared" si="425"/>
        <v>8.0258724301528698E-3</v>
      </c>
      <c r="FB162" s="460">
        <f t="shared" si="426"/>
        <v>418.57541178450339</v>
      </c>
      <c r="FC162" s="173">
        <f t="shared" si="427"/>
        <v>1.2031453915754007</v>
      </c>
      <c r="FD162" s="5">
        <f t="shared" si="428"/>
        <v>9.5679999999999978</v>
      </c>
      <c r="FE162" s="173">
        <f t="shared" si="429"/>
        <v>0.88829921537254197</v>
      </c>
      <c r="FF162" s="5">
        <f t="shared" si="430"/>
        <v>88.829921537254194</v>
      </c>
      <c r="FG162">
        <f t="shared" si="431"/>
        <v>52</v>
      </c>
      <c r="FI162" s="562">
        <f t="shared" si="432"/>
        <v>-50</v>
      </c>
      <c r="FJ162">
        <f t="shared" si="433"/>
        <v>-50</v>
      </c>
    </row>
    <row r="163" spans="5:166">
      <c r="E163" s="170">
        <v>53</v>
      </c>
      <c r="F163" s="217">
        <f t="shared" si="476"/>
        <v>0.53</v>
      </c>
      <c r="G163" s="217">
        <f t="shared" si="444"/>
        <v>0.13250000000000001</v>
      </c>
      <c r="H163" s="217">
        <f t="shared" si="445"/>
        <v>8.6920000000000002</v>
      </c>
      <c r="I163" s="217">
        <f t="shared" si="446"/>
        <v>1.06</v>
      </c>
      <c r="J163" s="541">
        <f t="shared" si="447"/>
        <v>9.8995715223929039</v>
      </c>
      <c r="K163" s="443">
        <f t="shared" si="448"/>
        <v>17.144448798200553</v>
      </c>
      <c r="L163" s="172">
        <f t="shared" si="449"/>
        <v>27.044020320593457</v>
      </c>
      <c r="M163" s="443"/>
      <c r="N163" s="217">
        <f t="shared" si="450"/>
        <v>0.63394601079875001</v>
      </c>
      <c r="O163" s="172">
        <f t="shared" si="451"/>
        <v>18.645474556866194</v>
      </c>
      <c r="P163" s="172">
        <f t="shared" si="452"/>
        <v>2.551135721641419</v>
      </c>
      <c r="Q163" s="217">
        <f t="shared" si="322"/>
        <v>1.1369191802967193</v>
      </c>
      <c r="R163" s="217">
        <f t="shared" si="453"/>
        <v>2.3306843196082743</v>
      </c>
      <c r="S163" s="217">
        <f t="shared" si="454"/>
        <v>16.399999999999999</v>
      </c>
      <c r="T163" s="217">
        <f t="shared" si="455"/>
        <v>3.1078139893912118</v>
      </c>
      <c r="U163" s="217">
        <f t="shared" si="326"/>
        <v>3.7672103068638645</v>
      </c>
      <c r="V163" s="217">
        <f t="shared" si="327"/>
        <v>2.1752678264353893</v>
      </c>
      <c r="W163" s="197">
        <f t="shared" si="328"/>
        <v>350</v>
      </c>
      <c r="X163" s="443">
        <f t="shared" si="435"/>
        <v>162.80074235492296</v>
      </c>
      <c r="Z163" s="217">
        <f t="shared" si="329"/>
        <v>1.4942366369614022</v>
      </c>
      <c r="AA163" s="173">
        <f t="shared" si="330"/>
        <v>1.0458685405750001</v>
      </c>
      <c r="AB163" s="173">
        <f t="shared" si="456"/>
        <v>0.24375894078897428</v>
      </c>
      <c r="AC163" s="173"/>
      <c r="AD163" s="173">
        <f t="shared" si="332"/>
        <v>0.93324668458745252</v>
      </c>
      <c r="AE163" s="545">
        <f t="shared" si="457"/>
        <v>851.86479966058994</v>
      </c>
      <c r="AF163" s="528">
        <f t="shared" si="458"/>
        <v>0.21775755973707225</v>
      </c>
      <c r="AH163" s="173">
        <f t="shared" si="459"/>
        <v>2.15495000494432</v>
      </c>
      <c r="AI163" s="173">
        <f t="shared" si="460"/>
        <v>3.1078139893912118</v>
      </c>
      <c r="AJ163" s="173">
        <f t="shared" si="461"/>
        <v>2.5144301155984286</v>
      </c>
      <c r="AL163" s="545">
        <f t="shared" si="462"/>
        <v>530</v>
      </c>
      <c r="AM163" s="460">
        <f t="shared" si="463"/>
        <v>162.80074235492296</v>
      </c>
      <c r="AO163">
        <f t="shared" si="340"/>
        <v>530</v>
      </c>
      <c r="AP163">
        <f t="shared" si="341"/>
        <v>162.80074235492296</v>
      </c>
      <c r="AR163" s="5">
        <f t="shared" si="443"/>
        <v>6.142478133299254</v>
      </c>
      <c r="AS163" s="5">
        <f t="shared" si="440"/>
        <v>3.7672103068638645</v>
      </c>
      <c r="AT163" s="5">
        <f t="shared" si="441"/>
        <v>2.3752678264353895</v>
      </c>
      <c r="AU163" s="173">
        <f t="shared" si="442"/>
        <v>0.61330463456455431</v>
      </c>
      <c r="AW163" s="5">
        <f t="shared" si="342"/>
        <v>12.174521113645419</v>
      </c>
      <c r="AX163" s="5">
        <f t="shared" si="343"/>
        <v>6.2394420707432756</v>
      </c>
      <c r="AY163" s="5">
        <f t="shared" si="344"/>
        <v>1.73793952434165</v>
      </c>
      <c r="AZ163" s="5"/>
      <c r="BA163" s="173">
        <f t="shared" si="345"/>
        <v>1.4051817903998063</v>
      </c>
      <c r="BB163" s="173">
        <f t="shared" si="346"/>
        <v>1.115780773037742</v>
      </c>
      <c r="BC163" s="173">
        <f t="shared" si="347"/>
        <v>0.27374248520725092</v>
      </c>
      <c r="BD163" s="173"/>
      <c r="BE163" s="528">
        <f t="shared" si="348"/>
        <v>3.9490717281424108E-2</v>
      </c>
      <c r="BF163" s="528">
        <f t="shared" si="464"/>
        <v>0.25655703261507806</v>
      </c>
      <c r="BG163" s="528">
        <f t="shared" si="465"/>
        <v>4.0291439821030485E-2</v>
      </c>
      <c r="BH163" s="528">
        <f t="shared" si="351"/>
        <v>1.1906904985721665E-2</v>
      </c>
      <c r="BI163">
        <f t="shared" si="352"/>
        <v>4.454807185076807E-3</v>
      </c>
      <c r="BJ163" s="460">
        <f t="shared" si="436"/>
        <v>44.746247006107289</v>
      </c>
      <c r="BK163">
        <f t="shared" si="466"/>
        <v>0.32163504841471113</v>
      </c>
      <c r="BL163" s="460">
        <f t="shared" si="437"/>
        <v>352.70090188833115</v>
      </c>
      <c r="BM163" s="173">
        <f t="shared" si="467"/>
        <v>0.32926249999999996</v>
      </c>
      <c r="BN163" s="173">
        <f t="shared" si="468"/>
        <v>8.2315624999999989E-2</v>
      </c>
      <c r="BO163" s="528"/>
      <c r="BQ163" s="460">
        <f t="shared" si="356"/>
        <v>411.57812499999994</v>
      </c>
      <c r="BR163" s="528">
        <f t="shared" si="357"/>
        <v>5.9236075922136151E-2</v>
      </c>
      <c r="BS163" s="528">
        <f t="shared" si="358"/>
        <v>3.7349002004421039E-2</v>
      </c>
      <c r="BT163" s="528">
        <f t="shared" si="359"/>
        <v>3.7467474103720992E-4</v>
      </c>
      <c r="BU163" s="528">
        <f t="shared" si="360"/>
        <v>0.28790453097502544</v>
      </c>
      <c r="BV163" s="528"/>
      <c r="BW163" s="625">
        <f t="shared" si="469"/>
        <v>7.8620611934257963E-3</v>
      </c>
      <c r="BX163" s="460">
        <f t="shared" si="362"/>
        <v>392.72634483604566</v>
      </c>
      <c r="BY163" s="173">
        <f t="shared" si="363"/>
        <v>1.1570053717243769</v>
      </c>
      <c r="BZ163" s="5">
        <f t="shared" si="364"/>
        <v>9.7520000000000007</v>
      </c>
      <c r="CA163" s="173">
        <f t="shared" si="365"/>
        <v>0.8939403426527518</v>
      </c>
      <c r="CB163" s="5">
        <f t="shared" si="366"/>
        <v>89.394034265275181</v>
      </c>
      <c r="CC163">
        <f t="shared" si="367"/>
        <v>53</v>
      </c>
      <c r="CE163" s="562">
        <f t="shared" si="470"/>
        <v>-50</v>
      </c>
      <c r="CF163">
        <f t="shared" si="471"/>
        <v>-50</v>
      </c>
      <c r="CG163" s="173">
        <f t="shared" si="370"/>
        <v>0.35771495841706197</v>
      </c>
      <c r="CH163" s="173">
        <f t="shared" si="472"/>
        <v>0.12498995131688433</v>
      </c>
      <c r="CI163" s="170">
        <v>53</v>
      </c>
      <c r="CJ163" s="217">
        <f t="shared" si="438"/>
        <v>0.53</v>
      </c>
      <c r="CK163" s="217">
        <f t="shared" si="372"/>
        <v>0.13250000000000001</v>
      </c>
      <c r="CL163" s="217">
        <f t="shared" si="373"/>
        <v>8.6920000000000002</v>
      </c>
      <c r="CM163" s="217">
        <f t="shared" si="374"/>
        <v>1.06</v>
      </c>
      <c r="CN163" s="541">
        <f t="shared" si="375"/>
        <v>10</v>
      </c>
      <c r="CO163" s="443">
        <f t="shared" si="473"/>
        <v>17.099999999999998</v>
      </c>
      <c r="CP163" s="443">
        <f t="shared" si="474"/>
        <v>27.099999999999998</v>
      </c>
      <c r="CQ163" s="443"/>
      <c r="CR163" s="217">
        <f t="shared" si="378"/>
        <v>0.62686567164179097</v>
      </c>
      <c r="CS163" s="172">
        <f t="shared" si="379"/>
        <v>18.624269954574949</v>
      </c>
      <c r="CT163" s="172">
        <f t="shared" si="380"/>
        <v>2.5482344375682562</v>
      </c>
      <c r="CU163" s="217">
        <f t="shared" si="381"/>
        <v>1.135626216742375</v>
      </c>
      <c r="CV163" s="217">
        <f t="shared" si="382"/>
        <v>2.3280337443218686</v>
      </c>
      <c r="CW163" s="217">
        <f t="shared" si="383"/>
        <v>16.399999999999999</v>
      </c>
      <c r="CX163" s="217">
        <f t="shared" si="384"/>
        <v>3.1113523809523813</v>
      </c>
      <c r="CY163" s="217">
        <f t="shared" si="385"/>
        <v>3.733622857142858</v>
      </c>
      <c r="CZ163" s="217">
        <f t="shared" si="386"/>
        <v>2.1834051796157063</v>
      </c>
      <c r="DA163" s="197">
        <f t="shared" si="387"/>
        <v>350</v>
      </c>
      <c r="DB163" s="443">
        <f t="shared" si="388"/>
        <v>169.00376232589477</v>
      </c>
      <c r="DD163" s="217">
        <f t="shared" si="389"/>
        <v>1.5023721665788083</v>
      </c>
      <c r="DE163" s="173">
        <f t="shared" si="390"/>
        <v>1.0542962572482866</v>
      </c>
      <c r="DF163" s="173">
        <f t="shared" si="391"/>
        <v>0.24706104135140031</v>
      </c>
      <c r="DG163" s="173"/>
      <c r="DH163" s="173">
        <f t="shared" si="392"/>
        <v>0.93567251461988332</v>
      </c>
      <c r="DI163" s="545">
        <f t="shared" si="393"/>
        <v>849.65624999999977</v>
      </c>
      <c r="DJ163" s="528">
        <f t="shared" si="394"/>
        <v>0.21832358674463945</v>
      </c>
      <c r="DL163" s="173">
        <f t="shared" si="395"/>
        <v>2.15495000494432</v>
      </c>
      <c r="DM163" s="173">
        <f t="shared" si="396"/>
        <v>3.1113523809523813</v>
      </c>
      <c r="DN163" s="173">
        <f t="shared" si="397"/>
        <v>2.51705114638448</v>
      </c>
      <c r="DP163" s="545">
        <f t="shared" si="398"/>
        <v>530</v>
      </c>
      <c r="DQ163" s="460">
        <f t="shared" si="399"/>
        <v>169.00376232589477</v>
      </c>
      <c r="DS163">
        <f t="shared" si="400"/>
        <v>530</v>
      </c>
      <c r="DT163">
        <f t="shared" si="401"/>
        <v>169.00376232589477</v>
      </c>
      <c r="DV163" s="5">
        <f t="shared" si="402"/>
        <v>5.9170280367585635</v>
      </c>
      <c r="DW163" s="5">
        <f t="shared" si="403"/>
        <v>3.733622857142858</v>
      </c>
      <c r="DX163" s="5">
        <f t="shared" si="404"/>
        <v>2.1834051796157055</v>
      </c>
      <c r="DY163" s="173">
        <f t="shared" si="405"/>
        <v>0.63099630996309974</v>
      </c>
      <c r="EA163" s="5">
        <f t="shared" si="406"/>
        <v>12.065976306620215</v>
      </c>
      <c r="EB163" s="5">
        <f t="shared" si="407"/>
        <v>6.1838128571428586</v>
      </c>
      <c r="EC163" s="5">
        <f t="shared" si="408"/>
        <v>1.5815131517683092</v>
      </c>
      <c r="ED163" s="5"/>
      <c r="EE163" s="173">
        <f t="shared" si="409"/>
        <v>1.4269277468760746</v>
      </c>
      <c r="EF163" s="173">
        <f t="shared" si="410"/>
        <v>1.0911989207661392</v>
      </c>
      <c r="EG163" s="173">
        <f t="shared" si="411"/>
        <v>0.26771164340173564</v>
      </c>
      <c r="EH163" s="173"/>
      <c r="EI163" s="528">
        <f t="shared" si="412"/>
        <v>4.0722455896096611E-2</v>
      </c>
      <c r="EJ163" s="528">
        <f t="shared" si="413"/>
        <v>0.28499999999999998</v>
      </c>
      <c r="EK163" s="528">
        <f t="shared" si="414"/>
        <v>2.1125470290736848E-2</v>
      </c>
      <c r="EL163" s="528">
        <f t="shared" si="415"/>
        <v>1.2411805308976035E-2</v>
      </c>
      <c r="EM163">
        <f t="shared" si="416"/>
        <v>4.4999999999999997E-3</v>
      </c>
      <c r="EN163" s="460">
        <f t="shared" si="417"/>
        <v>25.62547029073685</v>
      </c>
      <c r="EP163" s="460">
        <f t="shared" si="439"/>
        <v>363.75973149580949</v>
      </c>
      <c r="EQ163" s="173">
        <f t="shared" si="418"/>
        <v>0.371</v>
      </c>
      <c r="ER163" s="173">
        <f t="shared" si="475"/>
        <v>5.8796874999999998E-2</v>
      </c>
      <c r="ES163" s="528"/>
      <c r="EU163" s="460">
        <f t="shared" si="420"/>
        <v>429.79687499999994</v>
      </c>
      <c r="EV163" s="528">
        <f t="shared" si="421"/>
        <v>6.1083683844144913E-2</v>
      </c>
      <c r="EW163" s="528">
        <f t="shared" si="422"/>
        <v>3.5721452540435607E-2</v>
      </c>
      <c r="EX163" s="528">
        <f t="shared" si="423"/>
        <v>3.583476200642904E-4</v>
      </c>
      <c r="EY163" s="528">
        <f t="shared" si="424"/>
        <v>0.3170180118539736</v>
      </c>
      <c r="EZ163" s="528"/>
      <c r="FA163" s="625">
        <f t="shared" si="425"/>
        <v>8.1802161307327377E-3</v>
      </c>
      <c r="FB163" s="460">
        <f t="shared" si="426"/>
        <v>422.36171198935114</v>
      </c>
      <c r="FC163" s="173">
        <f t="shared" si="427"/>
        <v>1.2159183184851603</v>
      </c>
      <c r="FD163" s="5">
        <f t="shared" si="428"/>
        <v>9.7520000000000007</v>
      </c>
      <c r="FE163" s="173">
        <f t="shared" si="429"/>
        <v>0.88913864206703019</v>
      </c>
      <c r="FF163" s="5">
        <f t="shared" si="430"/>
        <v>88.913864206703025</v>
      </c>
      <c r="FG163">
        <f t="shared" si="431"/>
        <v>53</v>
      </c>
      <c r="FI163" s="562">
        <f t="shared" si="432"/>
        <v>-50</v>
      </c>
      <c r="FJ163">
        <f t="shared" si="433"/>
        <v>-50</v>
      </c>
    </row>
    <row r="164" spans="5:166">
      <c r="E164" s="170">
        <v>54</v>
      </c>
      <c r="F164" s="217">
        <f t="shared" si="476"/>
        <v>0.54</v>
      </c>
      <c r="G164" s="217">
        <f t="shared" si="444"/>
        <v>0.13500000000000001</v>
      </c>
      <c r="H164" s="217">
        <f t="shared" si="445"/>
        <v>8.8559999999999999</v>
      </c>
      <c r="I164" s="217">
        <f t="shared" si="446"/>
        <v>1.08</v>
      </c>
      <c r="J164" s="541">
        <f t="shared" si="447"/>
        <v>9.8976766454569205</v>
      </c>
      <c r="K164" s="443">
        <f t="shared" si="448"/>
        <v>17.145287454770376</v>
      </c>
      <c r="L164" s="172">
        <f t="shared" si="449"/>
        <v>27.042964100227294</v>
      </c>
      <c r="M164" s="443"/>
      <c r="N164" s="217">
        <f t="shared" si="450"/>
        <v>0.63400178291203924</v>
      </c>
      <c r="O164" s="172">
        <f t="shared" si="451"/>
        <v>18.643545669287544</v>
      </c>
      <c r="P164" s="172">
        <f t="shared" si="452"/>
        <v>2.5508718048400572</v>
      </c>
      <c r="Q164" s="217">
        <f t="shared" si="322"/>
        <v>1.1368015652004602</v>
      </c>
      <c r="R164" s="217">
        <f t="shared" si="453"/>
        <v>2.330443208660943</v>
      </c>
      <c r="S164" s="217">
        <f t="shared" si="454"/>
        <v>16.399999999999999</v>
      </c>
      <c r="T164" s="217">
        <f t="shared" si="455"/>
        <v>3.1667795947881081</v>
      </c>
      <c r="U164" s="217">
        <f t="shared" si="326"/>
        <v>3.8394217651978053</v>
      </c>
      <c r="V164" s="217">
        <f t="shared" si="327"/>
        <v>2.216431496859161</v>
      </c>
      <c r="W164" s="197">
        <f t="shared" si="328"/>
        <v>350</v>
      </c>
      <c r="X164" s="443">
        <f t="shared" si="435"/>
        <v>159.85029669177268</v>
      </c>
      <c r="Z164" s="217">
        <f t="shared" si="329"/>
        <v>1.4940820571206044</v>
      </c>
      <c r="AA164" s="173">
        <f t="shared" si="330"/>
        <v>1.045709191679888</v>
      </c>
      <c r="AB164" s="173">
        <f t="shared" si="456"/>
        <v>0.24369658839847183</v>
      </c>
      <c r="AC164" s="173"/>
      <c r="AD164" s="173">
        <f t="shared" si="332"/>
        <v>0.93320103510707153</v>
      </c>
      <c r="AE164" s="545">
        <f t="shared" si="457"/>
        <v>867.98017739775025</v>
      </c>
      <c r="AF164" s="528">
        <f t="shared" si="458"/>
        <v>0.21774690819165002</v>
      </c>
      <c r="AH164" s="173">
        <f t="shared" si="459"/>
        <v>2.1751847212199178</v>
      </c>
      <c r="AI164" s="173">
        <f t="shared" si="460"/>
        <v>3.1667795947881081</v>
      </c>
      <c r="AJ164" s="173">
        <f t="shared" si="461"/>
        <v>2.5581083418183512</v>
      </c>
      <c r="AL164" s="545">
        <f t="shared" si="462"/>
        <v>540</v>
      </c>
      <c r="AM164" s="460">
        <f t="shared" si="463"/>
        <v>159.85029669177268</v>
      </c>
      <c r="AO164">
        <f t="shared" si="340"/>
        <v>540</v>
      </c>
      <c r="AP164">
        <f t="shared" si="341"/>
        <v>159.85029669177268</v>
      </c>
      <c r="AR164" s="5">
        <f t="shared" si="443"/>
        <v>6.2558532620569656</v>
      </c>
      <c r="AS164" s="5">
        <f t="shared" si="440"/>
        <v>3.8394217651978053</v>
      </c>
      <c r="AT164" s="5">
        <f t="shared" si="441"/>
        <v>2.4164314968591603</v>
      </c>
      <c r="AU164" s="173">
        <f t="shared" si="442"/>
        <v>0.61373270829171878</v>
      </c>
      <c r="AW164" s="5">
        <f t="shared" si="342"/>
        <v>12.641998495163508</v>
      </c>
      <c r="AX164" s="5">
        <f t="shared" si="343"/>
        <v>6.479024228771296</v>
      </c>
      <c r="AY164" s="5">
        <f t="shared" si="344"/>
        <v>1.8017626848828359</v>
      </c>
      <c r="AZ164" s="5"/>
      <c r="BA164" s="173">
        <f t="shared" si="345"/>
        <v>1.4323423904198962</v>
      </c>
      <c r="BB164" s="173">
        <f t="shared" si="346"/>
        <v>1.1363213793912628</v>
      </c>
      <c r="BC164" s="173">
        <f t="shared" si="347"/>
        <v>0.2787818592193772</v>
      </c>
      <c r="BD164" s="173"/>
      <c r="BE164" s="528">
        <f t="shared" si="348"/>
        <v>4.1032094467875646E-2</v>
      </c>
      <c r="BF164" s="528">
        <f t="shared" si="464"/>
        <v>0.25667693710526435</v>
      </c>
      <c r="BG164" s="528">
        <f t="shared" si="465"/>
        <v>3.9553663708387948E-2</v>
      </c>
      <c r="BH164" s="528">
        <f t="shared" si="351"/>
        <v>1.1690202386328331E-2</v>
      </c>
      <c r="BI164">
        <f t="shared" si="352"/>
        <v>4.453954490455614E-3</v>
      </c>
      <c r="BJ164" s="460">
        <f t="shared" si="436"/>
        <v>44.007618198843566</v>
      </c>
      <c r="BK164">
        <f t="shared" si="466"/>
        <v>0.32363307130430841</v>
      </c>
      <c r="BL164" s="460">
        <f t="shared" si="437"/>
        <v>353.40685215831189</v>
      </c>
      <c r="BM164" s="173">
        <f t="shared" si="467"/>
        <v>0.33547499999999997</v>
      </c>
      <c r="BN164" s="173">
        <f t="shared" si="468"/>
        <v>8.3868749999999992E-2</v>
      </c>
      <c r="BO164" s="528"/>
      <c r="BQ164" s="460">
        <f t="shared" si="356"/>
        <v>419.34374999999994</v>
      </c>
      <c r="BR164" s="528">
        <f t="shared" si="357"/>
        <v>6.1548141701813469E-2</v>
      </c>
      <c r="BS164" s="528">
        <f t="shared" si="358"/>
        <v>3.8736788317849859E-2</v>
      </c>
      <c r="BT164" s="528">
        <f t="shared" si="359"/>
        <v>3.8859662514906322E-4</v>
      </c>
      <c r="BU164" s="528">
        <f t="shared" si="360"/>
        <v>0.28826918202419938</v>
      </c>
      <c r="BV164" s="528"/>
      <c r="BW164" s="625">
        <f t="shared" si="469"/>
        <v>8.0152879086784236E-3</v>
      </c>
      <c r="BX164" s="460">
        <f t="shared" si="362"/>
        <v>396.95799657769021</v>
      </c>
      <c r="BY164" s="173">
        <f t="shared" si="363"/>
        <v>1.1697085987360021</v>
      </c>
      <c r="BZ164" s="5">
        <f t="shared" si="364"/>
        <v>9.9359999999999999</v>
      </c>
      <c r="CA164" s="173">
        <f t="shared" si="365"/>
        <v>0.89467501435530805</v>
      </c>
      <c r="CB164" s="5">
        <f t="shared" si="366"/>
        <v>89.467501435530806</v>
      </c>
      <c r="CC164">
        <f t="shared" si="367"/>
        <v>54</v>
      </c>
      <c r="CE164" s="562">
        <f t="shared" si="470"/>
        <v>-50</v>
      </c>
      <c r="CF164">
        <f t="shared" si="471"/>
        <v>-50</v>
      </c>
      <c r="CG164" s="173">
        <f t="shared" si="370"/>
        <v>0.35771495841706197</v>
      </c>
      <c r="CH164" s="173">
        <f t="shared" si="472"/>
        <v>0.12498995131688433</v>
      </c>
      <c r="CI164" s="170">
        <v>54</v>
      </c>
      <c r="CJ164" s="217">
        <f t="shared" si="438"/>
        <v>0.54</v>
      </c>
      <c r="CK164" s="217">
        <f t="shared" si="372"/>
        <v>0.13500000000000001</v>
      </c>
      <c r="CL164" s="217">
        <f t="shared" si="373"/>
        <v>8.8559999999999999</v>
      </c>
      <c r="CM164" s="217">
        <f t="shared" si="374"/>
        <v>1.08</v>
      </c>
      <c r="CN164" s="541">
        <f t="shared" si="375"/>
        <v>10</v>
      </c>
      <c r="CO164" s="443">
        <f t="shared" si="473"/>
        <v>17.099999999999998</v>
      </c>
      <c r="CP164" s="443">
        <f t="shared" si="474"/>
        <v>27.099999999999998</v>
      </c>
      <c r="CQ164" s="443"/>
      <c r="CR164" s="217">
        <f t="shared" si="378"/>
        <v>0.62686567164179097</v>
      </c>
      <c r="CS164" s="172">
        <f t="shared" si="379"/>
        <v>18.624269954574949</v>
      </c>
      <c r="CT164" s="172">
        <f t="shared" si="380"/>
        <v>2.5482344375682562</v>
      </c>
      <c r="CU164" s="217">
        <f t="shared" si="381"/>
        <v>1.135626216742375</v>
      </c>
      <c r="CV164" s="217">
        <f t="shared" si="382"/>
        <v>2.3280337443218686</v>
      </c>
      <c r="CW164" s="217">
        <f t="shared" si="383"/>
        <v>16.399999999999999</v>
      </c>
      <c r="CX164" s="217">
        <f t="shared" si="384"/>
        <v>3.1700571428571429</v>
      </c>
      <c r="CY164" s="217">
        <f t="shared" si="385"/>
        <v>3.8040685714285716</v>
      </c>
      <c r="CZ164" s="217">
        <f t="shared" si="386"/>
        <v>2.2246015037593989</v>
      </c>
      <c r="DA164" s="197">
        <f t="shared" si="387"/>
        <v>350</v>
      </c>
      <c r="DB164" s="443">
        <f t="shared" si="388"/>
        <v>165.87406302356339</v>
      </c>
      <c r="DD164" s="217">
        <f t="shared" si="389"/>
        <v>1.5023721665788083</v>
      </c>
      <c r="DE164" s="173">
        <f t="shared" si="390"/>
        <v>1.0542962572482866</v>
      </c>
      <c r="DF164" s="173">
        <f t="shared" si="391"/>
        <v>0.24706104135140031</v>
      </c>
      <c r="DG164" s="173"/>
      <c r="DH164" s="173">
        <f t="shared" si="392"/>
        <v>0.93567251461988332</v>
      </c>
      <c r="DI164" s="545">
        <f t="shared" si="393"/>
        <v>865.68749999999977</v>
      </c>
      <c r="DJ164" s="528">
        <f t="shared" si="394"/>
        <v>0.21832358674463945</v>
      </c>
      <c r="DL164" s="173">
        <f t="shared" si="395"/>
        <v>2.1751847212199178</v>
      </c>
      <c r="DM164" s="173">
        <f t="shared" si="396"/>
        <v>3.1700571428571429</v>
      </c>
      <c r="DN164" s="173">
        <f t="shared" si="397"/>
        <v>2.5605361552028221</v>
      </c>
      <c r="DP164" s="545">
        <f t="shared" si="398"/>
        <v>540</v>
      </c>
      <c r="DQ164" s="460">
        <f t="shared" si="399"/>
        <v>165.87406302356339</v>
      </c>
      <c r="DS164">
        <f t="shared" si="400"/>
        <v>540</v>
      </c>
      <c r="DT164">
        <f t="shared" si="401"/>
        <v>165.87406302356339</v>
      </c>
      <c r="DV164" s="5">
        <f t="shared" si="402"/>
        <v>6.0286700751879705</v>
      </c>
      <c r="DW164" s="5">
        <f t="shared" si="403"/>
        <v>3.8040685714285716</v>
      </c>
      <c r="DX164" s="5">
        <f t="shared" si="404"/>
        <v>2.2246015037593989</v>
      </c>
      <c r="DY164" s="173">
        <f t="shared" si="405"/>
        <v>0.63099630996309963</v>
      </c>
      <c r="EA164" s="5">
        <f t="shared" si="406"/>
        <v>12.525591637630665</v>
      </c>
      <c r="EB164" s="5">
        <f t="shared" si="407"/>
        <v>6.419365714285715</v>
      </c>
      <c r="EC164" s="5">
        <f t="shared" si="408"/>
        <v>1.6417559097744361</v>
      </c>
      <c r="ED164" s="5"/>
      <c r="EE164" s="173">
        <f t="shared" si="409"/>
        <v>1.4538509119114718</v>
      </c>
      <c r="EF164" s="173">
        <f t="shared" si="410"/>
        <v>1.1117875796485193</v>
      </c>
      <c r="EG164" s="173">
        <f t="shared" si="411"/>
        <v>0.27276280648478735</v>
      </c>
      <c r="EH164" s="173"/>
      <c r="EI164" s="528">
        <f t="shared" si="412"/>
        <v>4.2273649481316358E-2</v>
      </c>
      <c r="EJ164" s="528">
        <f t="shared" si="413"/>
        <v>0.28500000000000003</v>
      </c>
      <c r="EK164" s="528">
        <f t="shared" si="414"/>
        <v>2.0734257877945424E-2</v>
      </c>
      <c r="EL164" s="528">
        <f t="shared" si="415"/>
        <v>1.2181957062513517E-2</v>
      </c>
      <c r="EM164">
        <f t="shared" si="416"/>
        <v>4.4999999999999997E-3</v>
      </c>
      <c r="EN164" s="460">
        <f t="shared" si="417"/>
        <v>25.234257877945424</v>
      </c>
      <c r="EP164" s="460">
        <f t="shared" si="439"/>
        <v>364.68986442177533</v>
      </c>
      <c r="EQ164" s="173">
        <f t="shared" si="418"/>
        <v>0.378</v>
      </c>
      <c r="ER164" s="173">
        <f t="shared" si="475"/>
        <v>5.9906250000000001E-2</v>
      </c>
      <c r="ES164" s="528"/>
      <c r="EU164" s="460">
        <f t="shared" si="420"/>
        <v>437.90625</v>
      </c>
      <c r="EV164" s="528">
        <f t="shared" si="421"/>
        <v>6.3410474221974544E-2</v>
      </c>
      <c r="EW164" s="528">
        <f t="shared" si="422"/>
        <v>3.7082148667821377E-2</v>
      </c>
      <c r="EX164" s="528">
        <f t="shared" si="423"/>
        <v>3.7199774300728774E-4</v>
      </c>
      <c r="EY164" s="528">
        <f t="shared" si="424"/>
        <v>0.31701801185397405</v>
      </c>
      <c r="EZ164" s="528"/>
      <c r="FA164" s="625">
        <f t="shared" si="425"/>
        <v>8.3345598313125987E-3</v>
      </c>
      <c r="FB164" s="460">
        <f t="shared" si="426"/>
        <v>426.21719231808987</v>
      </c>
      <c r="FC164" s="173">
        <f t="shared" si="427"/>
        <v>1.2288133067398654</v>
      </c>
      <c r="FD164" s="5">
        <f t="shared" si="428"/>
        <v>9.9359999999999999</v>
      </c>
      <c r="FE164" s="173">
        <f t="shared" si="429"/>
        <v>0.88993875016270374</v>
      </c>
      <c r="FF164" s="5">
        <f t="shared" si="430"/>
        <v>88.99387501627038</v>
      </c>
      <c r="FG164">
        <f t="shared" si="431"/>
        <v>54</v>
      </c>
      <c r="FI164" s="562">
        <f t="shared" si="432"/>
        <v>-50</v>
      </c>
      <c r="FJ164">
        <f t="shared" si="433"/>
        <v>-50</v>
      </c>
    </row>
    <row r="165" spans="5:166">
      <c r="E165" s="170">
        <v>55</v>
      </c>
      <c r="F165" s="217">
        <f t="shared" si="476"/>
        <v>0.55000000000000004</v>
      </c>
      <c r="G165" s="217">
        <f t="shared" si="444"/>
        <v>0.13750000000000001</v>
      </c>
      <c r="H165" s="217">
        <f t="shared" si="445"/>
        <v>9.02</v>
      </c>
      <c r="I165" s="217">
        <f t="shared" si="446"/>
        <v>1.1000000000000001</v>
      </c>
      <c r="J165" s="541">
        <f t="shared" si="447"/>
        <v>9.895781768520937</v>
      </c>
      <c r="K165" s="443">
        <f t="shared" si="448"/>
        <v>17.146126111340198</v>
      </c>
      <c r="L165" s="172">
        <f t="shared" si="449"/>
        <v>27.041907879861135</v>
      </c>
      <c r="M165" s="443"/>
      <c r="N165" s="217">
        <f t="shared" si="450"/>
        <v>0.63405755938209518</v>
      </c>
      <c r="O165" s="172">
        <f t="shared" si="451"/>
        <v>18.641616281838768</v>
      </c>
      <c r="P165" s="172">
        <f t="shared" si="452"/>
        <v>2.5506078196448048</v>
      </c>
      <c r="Q165" s="217">
        <f t="shared" si="322"/>
        <v>1.1366839196243153</v>
      </c>
      <c r="R165" s="217">
        <f t="shared" si="453"/>
        <v>2.330202035229846</v>
      </c>
      <c r="S165" s="217">
        <f t="shared" si="454"/>
        <v>16.399999999999999</v>
      </c>
      <c r="T165" s="217">
        <f t="shared" si="455"/>
        <v>3.2257574892750616</v>
      </c>
      <c r="U165" s="217">
        <f t="shared" si="326"/>
        <v>3.9116757803245652</v>
      </c>
      <c r="V165" s="217">
        <f t="shared" si="327"/>
        <v>2.2575997411858015</v>
      </c>
      <c r="W165" s="197">
        <f t="shared" si="328"/>
        <v>350</v>
      </c>
      <c r="X165" s="443">
        <f t="shared" si="435"/>
        <v>157.00372775879961</v>
      </c>
      <c r="Z165" s="217">
        <f t="shared" si="329"/>
        <v>1.493927437220528</v>
      </c>
      <c r="AA165" s="173">
        <f t="shared" si="330"/>
        <v>1.0455498303368711</v>
      </c>
      <c r="AB165" s="173">
        <f t="shared" si="456"/>
        <v>0.24363423425851966</v>
      </c>
      <c r="AC165" s="173"/>
      <c r="AD165" s="173">
        <f t="shared" si="332"/>
        <v>0.93315539009233328</v>
      </c>
      <c r="AE165" s="545">
        <f t="shared" si="457"/>
        <v>884.09712761597871</v>
      </c>
      <c r="AF165" s="528">
        <f t="shared" si="458"/>
        <v>0.21773625768821114</v>
      </c>
      <c r="AH165" s="173">
        <f t="shared" si="459"/>
        <v>2.1952329304763127</v>
      </c>
      <c r="AI165" s="173">
        <f t="shared" si="460"/>
        <v>3.2257574892750616</v>
      </c>
      <c r="AJ165" s="173">
        <f t="shared" si="461"/>
        <v>2.6017956710679471</v>
      </c>
      <c r="AL165" s="545">
        <f t="shared" si="462"/>
        <v>550</v>
      </c>
      <c r="AM165" s="460">
        <f t="shared" si="463"/>
        <v>157.00372775879961</v>
      </c>
      <c r="AO165">
        <f t="shared" si="340"/>
        <v>550</v>
      </c>
      <c r="AP165">
        <f t="shared" si="341"/>
        <v>157.00372775879961</v>
      </c>
      <c r="AR165" s="5">
        <f t="shared" si="443"/>
        <v>6.3692755215103665</v>
      </c>
      <c r="AS165" s="5">
        <f t="shared" si="440"/>
        <v>3.9116757803245652</v>
      </c>
      <c r="AT165" s="5">
        <f t="shared" si="441"/>
        <v>2.4575997411858013</v>
      </c>
      <c r="AU165" s="173">
        <f t="shared" si="442"/>
        <v>0.6141476792947681</v>
      </c>
      <c r="AW165" s="5">
        <f t="shared" si="342"/>
        <v>13.118424873039706</v>
      </c>
      <c r="AX165" s="5">
        <f t="shared" si="343"/>
        <v>6.7231927474328472</v>
      </c>
      <c r="AY165" s="5">
        <f t="shared" si="344"/>
        <v>1.8667507516529414</v>
      </c>
      <c r="AZ165" s="5"/>
      <c r="BA165" s="173">
        <f t="shared" si="345"/>
        <v>1.4595114097607378</v>
      </c>
      <c r="BB165" s="173">
        <f t="shared" si="346"/>
        <v>1.156862238117806</v>
      </c>
      <c r="BC165" s="173">
        <f t="shared" si="347"/>
        <v>0.28382129514798393</v>
      </c>
      <c r="BD165" s="173"/>
      <c r="BE165" s="528">
        <f t="shared" si="348"/>
        <v>4.2603471104435527E-2</v>
      </c>
      <c r="BF165" s="528">
        <f t="shared" si="464"/>
        <v>0.2567912843064501</v>
      </c>
      <c r="BG165" s="528">
        <f t="shared" si="465"/>
        <v>3.8841865668633839E-2</v>
      </c>
      <c r="BH165" s="528">
        <f t="shared" si="351"/>
        <v>1.1481129671863976E-2</v>
      </c>
      <c r="BI165">
        <f t="shared" si="352"/>
        <v>4.4531017958344219E-3</v>
      </c>
      <c r="BJ165" s="460">
        <f t="shared" si="436"/>
        <v>43.294967464468257</v>
      </c>
      <c r="BK165">
        <f t="shared" si="466"/>
        <v>0.32567550012690444</v>
      </c>
      <c r="BL165" s="460">
        <f t="shared" si="437"/>
        <v>354.17085254721786</v>
      </c>
      <c r="BM165" s="173">
        <f t="shared" si="467"/>
        <v>0.34168749999999998</v>
      </c>
      <c r="BN165" s="173">
        <f t="shared" si="468"/>
        <v>8.5421874999999994E-2</v>
      </c>
      <c r="BO165" s="528"/>
      <c r="BQ165" s="460">
        <f t="shared" si="356"/>
        <v>427.10937499999994</v>
      </c>
      <c r="BR165" s="528">
        <f t="shared" si="357"/>
        <v>6.3905206656653279E-2</v>
      </c>
      <c r="BS165" s="528">
        <f t="shared" si="358"/>
        <v>4.0149907139488177E-2</v>
      </c>
      <c r="BT165" s="528">
        <f t="shared" si="359"/>
        <v>4.0277263789739503E-4</v>
      </c>
      <c r="BU165" s="528">
        <f t="shared" si="360"/>
        <v>0.28861852313412151</v>
      </c>
      <c r="BV165" s="528"/>
      <c r="BW165" s="625">
        <f t="shared" si="469"/>
        <v>8.1685203791801563E-3</v>
      </c>
      <c r="BX165" s="460">
        <f t="shared" si="362"/>
        <v>401.24492994734049</v>
      </c>
      <c r="BY165" s="173">
        <f t="shared" si="363"/>
        <v>1.1825251574945583</v>
      </c>
      <c r="BZ165" s="5">
        <f t="shared" si="364"/>
        <v>10.119999999999999</v>
      </c>
      <c r="CA165" s="173">
        <f t="shared" si="365"/>
        <v>0.89537513599689356</v>
      </c>
      <c r="CB165" s="5">
        <f t="shared" si="366"/>
        <v>89.537513599689362</v>
      </c>
      <c r="CC165">
        <f t="shared" si="367"/>
        <v>55.000000000000007</v>
      </c>
      <c r="CE165" s="562">
        <f t="shared" si="470"/>
        <v>-50</v>
      </c>
      <c r="CF165">
        <f t="shared" si="471"/>
        <v>-50</v>
      </c>
      <c r="CG165" s="173">
        <f t="shared" si="370"/>
        <v>0.35771495841706197</v>
      </c>
      <c r="CH165" s="173">
        <f t="shared" si="472"/>
        <v>0.12498995131688433</v>
      </c>
      <c r="CI165" s="170">
        <v>55</v>
      </c>
      <c r="CJ165" s="217">
        <f t="shared" si="438"/>
        <v>0.55000000000000004</v>
      </c>
      <c r="CK165" s="217">
        <f t="shared" si="372"/>
        <v>0.13750000000000001</v>
      </c>
      <c r="CL165" s="217">
        <f t="shared" si="373"/>
        <v>9.02</v>
      </c>
      <c r="CM165" s="217">
        <f t="shared" si="374"/>
        <v>1.1000000000000001</v>
      </c>
      <c r="CN165" s="541">
        <f t="shared" si="375"/>
        <v>10</v>
      </c>
      <c r="CO165" s="443">
        <f t="shared" si="473"/>
        <v>17.099999999999998</v>
      </c>
      <c r="CP165" s="443">
        <f t="shared" si="474"/>
        <v>27.099999999999998</v>
      </c>
      <c r="CQ165" s="443"/>
      <c r="CR165" s="217">
        <f t="shared" si="378"/>
        <v>0.62686567164179097</v>
      </c>
      <c r="CS165" s="172">
        <f t="shared" si="379"/>
        <v>18.624269954574949</v>
      </c>
      <c r="CT165" s="172">
        <f t="shared" si="380"/>
        <v>2.5482344375682562</v>
      </c>
      <c r="CU165" s="217">
        <f t="shared" si="381"/>
        <v>1.135626216742375</v>
      </c>
      <c r="CV165" s="217">
        <f t="shared" si="382"/>
        <v>2.3280337443218686</v>
      </c>
      <c r="CW165" s="217">
        <f t="shared" si="383"/>
        <v>16.399999999999999</v>
      </c>
      <c r="CX165" s="217">
        <f t="shared" si="384"/>
        <v>3.2287619047619049</v>
      </c>
      <c r="CY165" s="217">
        <f t="shared" si="385"/>
        <v>3.874514285714286</v>
      </c>
      <c r="CZ165" s="217">
        <f t="shared" si="386"/>
        <v>2.2657978279030915</v>
      </c>
      <c r="DA165" s="197">
        <f t="shared" si="387"/>
        <v>350</v>
      </c>
      <c r="DB165" s="443">
        <f t="shared" si="388"/>
        <v>162.85817096858949</v>
      </c>
      <c r="DD165" s="217">
        <f t="shared" si="389"/>
        <v>1.5023721665788083</v>
      </c>
      <c r="DE165" s="173">
        <f t="shared" si="390"/>
        <v>1.0542962572482866</v>
      </c>
      <c r="DF165" s="173">
        <f t="shared" si="391"/>
        <v>0.24706104135140031</v>
      </c>
      <c r="DG165" s="173"/>
      <c r="DH165" s="173">
        <f t="shared" si="392"/>
        <v>0.93567251461988332</v>
      </c>
      <c r="DI165" s="545">
        <f t="shared" si="393"/>
        <v>881.71874999999977</v>
      </c>
      <c r="DJ165" s="528">
        <f t="shared" si="394"/>
        <v>0.21832358674463945</v>
      </c>
      <c r="DL165" s="173">
        <f t="shared" si="395"/>
        <v>2.1952329304763127</v>
      </c>
      <c r="DM165" s="173">
        <f t="shared" si="396"/>
        <v>3.2287619047619049</v>
      </c>
      <c r="DN165" s="173">
        <f t="shared" si="397"/>
        <v>2.6040211640211641</v>
      </c>
      <c r="DP165" s="545">
        <f t="shared" si="398"/>
        <v>550</v>
      </c>
      <c r="DQ165" s="460">
        <f t="shared" si="399"/>
        <v>162.85817096858949</v>
      </c>
      <c r="DS165">
        <f t="shared" si="400"/>
        <v>550</v>
      </c>
      <c r="DT165">
        <f t="shared" si="401"/>
        <v>162.85817096858949</v>
      </c>
      <c r="DV165" s="5">
        <f t="shared" si="402"/>
        <v>6.1403121136173775</v>
      </c>
      <c r="DW165" s="5">
        <f t="shared" si="403"/>
        <v>3.874514285714286</v>
      </c>
      <c r="DX165" s="5">
        <f t="shared" si="404"/>
        <v>2.2657978279030915</v>
      </c>
      <c r="DY165" s="173">
        <f t="shared" si="405"/>
        <v>0.63099630996309963</v>
      </c>
      <c r="EA165" s="5">
        <f t="shared" si="406"/>
        <v>12.99379790940767</v>
      </c>
      <c r="EB165" s="5">
        <f t="shared" si="407"/>
        <v>6.6593214285714293</v>
      </c>
      <c r="EC165" s="5">
        <f t="shared" si="408"/>
        <v>1.7031247006404902</v>
      </c>
      <c r="ED165" s="5"/>
      <c r="EE165" s="173">
        <f t="shared" si="409"/>
        <v>1.4807740769468696</v>
      </c>
      <c r="EF165" s="173">
        <f t="shared" si="410"/>
        <v>1.1323762385308993</v>
      </c>
      <c r="EG165" s="173">
        <f t="shared" si="411"/>
        <v>0.27781396956783894</v>
      </c>
      <c r="EH165" s="173"/>
      <c r="EI165" s="528">
        <f t="shared" si="412"/>
        <v>4.385383733915707E-2</v>
      </c>
      <c r="EJ165" s="528">
        <f t="shared" si="413"/>
        <v>0.28499999999999992</v>
      </c>
      <c r="EK165" s="528">
        <f t="shared" si="414"/>
        <v>2.0357271371073685E-2</v>
      </c>
      <c r="EL165" s="528">
        <f t="shared" si="415"/>
        <v>1.1960466934104179E-2</v>
      </c>
      <c r="EM165">
        <f t="shared" si="416"/>
        <v>4.4999999999999997E-3</v>
      </c>
      <c r="EN165" s="460">
        <f t="shared" si="417"/>
        <v>24.857271371073686</v>
      </c>
      <c r="EP165" s="460">
        <f t="shared" si="439"/>
        <v>365.67157564433484</v>
      </c>
      <c r="EQ165" s="173">
        <f t="shared" si="418"/>
        <v>0.38500000000000001</v>
      </c>
      <c r="ER165" s="173">
        <f t="shared" si="475"/>
        <v>6.1015625000000004E-2</v>
      </c>
      <c r="ES165" s="528"/>
      <c r="EU165" s="460">
        <f t="shared" si="420"/>
        <v>446.015625</v>
      </c>
      <c r="EV165" s="528">
        <f t="shared" si="421"/>
        <v>6.5780756008735605E-2</v>
      </c>
      <c r="EW165" s="528">
        <f t="shared" si="422"/>
        <v>3.8468278367681644E-2</v>
      </c>
      <c r="EX165" s="528">
        <f t="shared" si="423"/>
        <v>3.8590300843520067E-4</v>
      </c>
      <c r="EY165" s="528">
        <f t="shared" si="424"/>
        <v>0.31701801185397388</v>
      </c>
      <c r="EZ165" s="528"/>
      <c r="FA165" s="625">
        <f t="shared" si="425"/>
        <v>8.4889035318924614E-3</v>
      </c>
      <c r="FB165" s="460">
        <f t="shared" si="426"/>
        <v>430.1418527707188</v>
      </c>
      <c r="FC165" s="173">
        <f t="shared" si="427"/>
        <v>1.2418290534150536</v>
      </c>
      <c r="FD165" s="5">
        <f t="shared" si="428"/>
        <v>10.119999999999999</v>
      </c>
      <c r="FE165" s="173">
        <f t="shared" si="429"/>
        <v>0.89070166013087537</v>
      </c>
      <c r="FF165" s="5">
        <f t="shared" si="430"/>
        <v>89.070166013087544</v>
      </c>
      <c r="FG165">
        <f t="shared" si="431"/>
        <v>55.000000000000007</v>
      </c>
      <c r="FI165" s="562">
        <f t="shared" si="432"/>
        <v>-50</v>
      </c>
      <c r="FJ165">
        <f t="shared" si="433"/>
        <v>-50</v>
      </c>
    </row>
    <row r="166" spans="5:166">
      <c r="E166" s="170">
        <v>56</v>
      </c>
      <c r="F166" s="217">
        <f t="shared" si="476"/>
        <v>0.56000000000000005</v>
      </c>
      <c r="G166" s="217">
        <f t="shared" si="444"/>
        <v>0.14000000000000001</v>
      </c>
      <c r="H166" s="217">
        <f t="shared" si="445"/>
        <v>9.1839999999999993</v>
      </c>
      <c r="I166" s="217">
        <f t="shared" si="446"/>
        <v>1.1200000000000001</v>
      </c>
      <c r="J166" s="541">
        <f t="shared" si="447"/>
        <v>9.8938868915849554</v>
      </c>
      <c r="K166" s="443">
        <f t="shared" si="448"/>
        <v>17.146964767910017</v>
      </c>
      <c r="L166" s="172">
        <f t="shared" si="449"/>
        <v>27.040851659494972</v>
      </c>
      <c r="M166" s="443"/>
      <c r="N166" s="217">
        <f t="shared" si="450"/>
        <v>0.63411334020942822</v>
      </c>
      <c r="O166" s="172">
        <f t="shared" si="451"/>
        <v>18.639686394461286</v>
      </c>
      <c r="P166" s="172">
        <f t="shared" si="452"/>
        <v>2.5503437660476482</v>
      </c>
      <c r="Q166" s="217">
        <f t="shared" si="322"/>
        <v>1.1365662435647126</v>
      </c>
      <c r="R166" s="217">
        <f t="shared" si="453"/>
        <v>2.3299607993076608</v>
      </c>
      <c r="S166" s="217">
        <f t="shared" si="454"/>
        <v>16.399999999999999</v>
      </c>
      <c r="T166" s="217">
        <f t="shared" si="455"/>
        <v>3.2847476814234349</v>
      </c>
      <c r="U166" s="217">
        <f t="shared" si="326"/>
        <v>3.9839723870915202</v>
      </c>
      <c r="V166" s="217">
        <f t="shared" si="327"/>
        <v>2.2987725647426998</v>
      </c>
      <c r="W166" s="197">
        <f t="shared" si="328"/>
        <v>350</v>
      </c>
      <c r="X166" s="443">
        <f t="shared" si="435"/>
        <v>154.25564439598401</v>
      </c>
      <c r="Z166" s="217">
        <f t="shared" si="329"/>
        <v>1.4937727772564793</v>
      </c>
      <c r="AA166" s="173">
        <f t="shared" si="330"/>
        <v>1.0453904565444909</v>
      </c>
      <c r="AB166" s="173">
        <f t="shared" si="456"/>
        <v>0.2435718783719002</v>
      </c>
      <c r="AC166" s="173"/>
      <c r="AD166" s="173">
        <f t="shared" si="332"/>
        <v>0.93310974954258252</v>
      </c>
      <c r="AE166" s="545">
        <f t="shared" si="457"/>
        <v>900.21565031527575</v>
      </c>
      <c r="AF166" s="528">
        <f t="shared" si="458"/>
        <v>0.21772560822660258</v>
      </c>
      <c r="AH166" s="173">
        <f t="shared" si="459"/>
        <v>2.2150996967781529</v>
      </c>
      <c r="AI166" s="173">
        <f t="shared" si="460"/>
        <v>3.2847476814234349</v>
      </c>
      <c r="AJ166" s="173">
        <f t="shared" si="461"/>
        <v>2.6454921096963711</v>
      </c>
      <c r="AL166" s="545">
        <f t="shared" si="462"/>
        <v>560</v>
      </c>
      <c r="AM166" s="460">
        <f t="shared" si="463"/>
        <v>154.25564439598401</v>
      </c>
      <c r="AO166">
        <f t="shared" si="340"/>
        <v>560</v>
      </c>
      <c r="AP166">
        <f t="shared" si="341"/>
        <v>154.25564439598401</v>
      </c>
      <c r="AR166" s="5">
        <f t="shared" si="443"/>
        <v>6.4827449518342206</v>
      </c>
      <c r="AS166" s="5">
        <f t="shared" si="440"/>
        <v>3.9839723870915202</v>
      </c>
      <c r="AT166" s="5">
        <f t="shared" si="441"/>
        <v>2.4987725647427004</v>
      </c>
      <c r="AU166" s="173">
        <f t="shared" si="442"/>
        <v>0.61455022782660906</v>
      </c>
      <c r="AW166" s="5">
        <f t="shared" si="342"/>
        <v>13.60380815104422</v>
      </c>
      <c r="AX166" s="5">
        <f t="shared" si="343"/>
        <v>6.9719516774101615</v>
      </c>
      <c r="AY166" s="5">
        <f t="shared" si="344"/>
        <v>1.9329045876226469</v>
      </c>
      <c r="AZ166" s="5"/>
      <c r="BA166" s="173">
        <f t="shared" si="345"/>
        <v>1.4866888333004757</v>
      </c>
      <c r="BB166" s="173">
        <f t="shared" si="346"/>
        <v>1.1774033958157872</v>
      </c>
      <c r="BC166" s="173">
        <f t="shared" si="347"/>
        <v>0.28886080442539397</v>
      </c>
      <c r="BD166" s="173"/>
      <c r="BE166" s="528">
        <f t="shared" si="348"/>
        <v>4.4204873741206595E-2</v>
      </c>
      <c r="BF166" s="528">
        <f t="shared" si="464"/>
        <v>0.25690036238172687</v>
      </c>
      <c r="BG166" s="528">
        <f t="shared" si="465"/>
        <v>3.8154697451060406E-2</v>
      </c>
      <c r="BH166" s="528">
        <f t="shared" si="351"/>
        <v>1.1279290854469371E-2</v>
      </c>
      <c r="BI166">
        <f t="shared" si="352"/>
        <v>4.4522491012132298E-3</v>
      </c>
      <c r="BJ166" s="460">
        <f t="shared" si="436"/>
        <v>42.606946552273634</v>
      </c>
      <c r="BK166">
        <f t="shared" si="466"/>
        <v>0.32776235648343643</v>
      </c>
      <c r="BL166" s="460">
        <f t="shared" si="437"/>
        <v>354.99147352967645</v>
      </c>
      <c r="BM166" s="173">
        <f t="shared" si="467"/>
        <v>0.34789999999999999</v>
      </c>
      <c r="BN166" s="173">
        <f t="shared" si="468"/>
        <v>8.6974999999999997E-2</v>
      </c>
      <c r="BO166" s="528"/>
      <c r="BQ166" s="460">
        <f t="shared" si="356"/>
        <v>434.875</v>
      </c>
      <c r="BR166" s="528">
        <f t="shared" si="357"/>
        <v>6.6307310611809889E-2</v>
      </c>
      <c r="BS166" s="528">
        <f t="shared" si="358"/>
        <v>4.1588362694356416E-2</v>
      </c>
      <c r="BT166" s="528">
        <f t="shared" si="359"/>
        <v>4.1720282166642851E-4</v>
      </c>
      <c r="BU166" s="528">
        <f t="shared" si="360"/>
        <v>0.28895332886275926</v>
      </c>
      <c r="BV166" s="528"/>
      <c r="BW166" s="625">
        <f t="shared" si="469"/>
        <v>8.321758306690628E-3</v>
      </c>
      <c r="BX166" s="460">
        <f t="shared" si="362"/>
        <v>405.58796329728261</v>
      </c>
      <c r="BY166" s="173">
        <f t="shared" si="363"/>
        <v>1.1954544368269591</v>
      </c>
      <c r="BZ166" s="5">
        <f t="shared" si="364"/>
        <v>10.303999999999998</v>
      </c>
      <c r="CA166" s="173">
        <f t="shared" si="365"/>
        <v>0.89604250850383649</v>
      </c>
      <c r="CB166" s="5">
        <f t="shared" si="366"/>
        <v>89.60425085038365</v>
      </c>
      <c r="CC166">
        <f t="shared" si="367"/>
        <v>56.000000000000007</v>
      </c>
      <c r="CE166" s="562">
        <f t="shared" si="470"/>
        <v>-50</v>
      </c>
      <c r="CF166">
        <f t="shared" si="471"/>
        <v>-50</v>
      </c>
      <c r="CG166" s="173">
        <f t="shared" si="370"/>
        <v>0.35771495841706197</v>
      </c>
      <c r="CH166" s="173">
        <f t="shared" si="472"/>
        <v>0.12498995131688433</v>
      </c>
      <c r="CI166" s="170">
        <v>56</v>
      </c>
      <c r="CJ166" s="217">
        <f t="shared" si="438"/>
        <v>0.56000000000000005</v>
      </c>
      <c r="CK166" s="217">
        <f t="shared" si="372"/>
        <v>0.14000000000000001</v>
      </c>
      <c r="CL166" s="217">
        <f t="shared" si="373"/>
        <v>9.1839999999999993</v>
      </c>
      <c r="CM166" s="217">
        <f t="shared" si="374"/>
        <v>1.1200000000000001</v>
      </c>
      <c r="CN166" s="541">
        <f t="shared" si="375"/>
        <v>10</v>
      </c>
      <c r="CO166" s="443">
        <f t="shared" si="473"/>
        <v>17.099999999999998</v>
      </c>
      <c r="CP166" s="443">
        <f t="shared" si="474"/>
        <v>27.099999999999998</v>
      </c>
      <c r="CQ166" s="443"/>
      <c r="CR166" s="217">
        <f t="shared" si="378"/>
        <v>0.62686567164179097</v>
      </c>
      <c r="CS166" s="172">
        <f t="shared" si="379"/>
        <v>18.624269954574949</v>
      </c>
      <c r="CT166" s="172">
        <f t="shared" si="380"/>
        <v>2.5482344375682562</v>
      </c>
      <c r="CU166" s="217">
        <f t="shared" si="381"/>
        <v>1.135626216742375</v>
      </c>
      <c r="CV166" s="217">
        <f t="shared" si="382"/>
        <v>2.3280337443218686</v>
      </c>
      <c r="CW166" s="217">
        <f t="shared" si="383"/>
        <v>16.399999999999999</v>
      </c>
      <c r="CX166" s="217">
        <f t="shared" si="384"/>
        <v>3.2874666666666665</v>
      </c>
      <c r="CY166" s="217">
        <f t="shared" si="385"/>
        <v>3.94496</v>
      </c>
      <c r="CZ166" s="217">
        <f t="shared" si="386"/>
        <v>2.306994152046784</v>
      </c>
      <c r="DA166" s="197">
        <f t="shared" si="387"/>
        <v>350</v>
      </c>
      <c r="DB166" s="443">
        <f t="shared" si="388"/>
        <v>159.94998934415042</v>
      </c>
      <c r="DD166" s="217">
        <f t="shared" si="389"/>
        <v>1.5023721665788083</v>
      </c>
      <c r="DE166" s="173">
        <f t="shared" si="390"/>
        <v>1.0542962572482866</v>
      </c>
      <c r="DF166" s="173">
        <f t="shared" si="391"/>
        <v>0.24706104135140031</v>
      </c>
      <c r="DG166" s="173"/>
      <c r="DH166" s="173">
        <f t="shared" si="392"/>
        <v>0.93567251461988332</v>
      </c>
      <c r="DI166" s="545">
        <f t="shared" si="393"/>
        <v>897.74999999999977</v>
      </c>
      <c r="DJ166" s="528">
        <f t="shared" si="394"/>
        <v>0.21832358674463945</v>
      </c>
      <c r="DL166" s="173">
        <f t="shared" si="395"/>
        <v>2.2150996967781529</v>
      </c>
      <c r="DM166" s="173">
        <f t="shared" si="396"/>
        <v>3.2874666666666665</v>
      </c>
      <c r="DN166" s="173">
        <f t="shared" si="397"/>
        <v>2.6475061728395062</v>
      </c>
      <c r="DP166" s="545">
        <f t="shared" si="398"/>
        <v>560</v>
      </c>
      <c r="DQ166" s="460">
        <f t="shared" si="399"/>
        <v>159.94998934415042</v>
      </c>
      <c r="DS166">
        <f t="shared" si="400"/>
        <v>560</v>
      </c>
      <c r="DT166">
        <f t="shared" si="401"/>
        <v>159.94998934415042</v>
      </c>
      <c r="DV166" s="5">
        <f t="shared" si="402"/>
        <v>6.2519541520467836</v>
      </c>
      <c r="DW166" s="5">
        <f t="shared" si="403"/>
        <v>3.94496</v>
      </c>
      <c r="DX166" s="5">
        <f t="shared" si="404"/>
        <v>2.3069941520467836</v>
      </c>
      <c r="DY166" s="173">
        <f t="shared" si="405"/>
        <v>0.63099630996309963</v>
      </c>
      <c r="EA166" s="5">
        <f t="shared" si="406"/>
        <v>13.470595121951224</v>
      </c>
      <c r="EB166" s="5">
        <f t="shared" si="407"/>
        <v>6.9036800000000005</v>
      </c>
      <c r="EC166" s="5">
        <f t="shared" si="408"/>
        <v>1.7656195243664712</v>
      </c>
      <c r="ED166" s="5"/>
      <c r="EE166" s="173">
        <f t="shared" si="409"/>
        <v>1.507697241982267</v>
      </c>
      <c r="EF166" s="173">
        <f t="shared" si="410"/>
        <v>1.1529648974132791</v>
      </c>
      <c r="EG166" s="173">
        <f t="shared" si="411"/>
        <v>0.28286513265089058</v>
      </c>
      <c r="EH166" s="173"/>
      <c r="EI166" s="528">
        <f t="shared" si="412"/>
        <v>4.5463019469618685E-2</v>
      </c>
      <c r="EJ166" s="528">
        <f t="shared" si="413"/>
        <v>0.28500000000000003</v>
      </c>
      <c r="EK166" s="528">
        <f t="shared" si="414"/>
        <v>1.9993748668018802E-2</v>
      </c>
      <c r="EL166" s="528">
        <f t="shared" si="415"/>
        <v>1.1746887167423749E-2</v>
      </c>
      <c r="EM166">
        <f t="shared" si="416"/>
        <v>4.4999999999999997E-3</v>
      </c>
      <c r="EN166" s="460">
        <f t="shared" si="417"/>
        <v>24.493748668018803</v>
      </c>
      <c r="EP166" s="460">
        <f t="shared" si="439"/>
        <v>366.7036553050612</v>
      </c>
      <c r="EQ166" s="173">
        <f t="shared" si="418"/>
        <v>0.39200000000000002</v>
      </c>
      <c r="ER166" s="173">
        <f t="shared" si="475"/>
        <v>6.2125E-2</v>
      </c>
      <c r="ES166" s="528"/>
      <c r="EU166" s="460">
        <f t="shared" si="420"/>
        <v>454.125</v>
      </c>
      <c r="EV166" s="528">
        <f t="shared" si="421"/>
        <v>6.819452920442802E-2</v>
      </c>
      <c r="EW166" s="528">
        <f t="shared" si="422"/>
        <v>3.9879841640016393E-2</v>
      </c>
      <c r="EX166" s="528">
        <f t="shared" si="423"/>
        <v>4.000634163480296E-4</v>
      </c>
      <c r="EY166" s="528">
        <f t="shared" si="424"/>
        <v>0.31701801185397388</v>
      </c>
      <c r="EZ166" s="528"/>
      <c r="FA166" s="625">
        <f t="shared" si="425"/>
        <v>8.6432472324723241E-3</v>
      </c>
      <c r="FB166" s="460">
        <f t="shared" si="426"/>
        <v>434.13569334723866</v>
      </c>
      <c r="FC166" s="173">
        <f t="shared" si="427"/>
        <v>1.2549643486522997</v>
      </c>
      <c r="FD166" s="5">
        <f t="shared" si="428"/>
        <v>10.303999999999998</v>
      </c>
      <c r="FE166" s="173">
        <f t="shared" si="429"/>
        <v>0.89142934342568325</v>
      </c>
      <c r="FF166" s="5">
        <f t="shared" si="430"/>
        <v>89.142934342568324</v>
      </c>
      <c r="FG166">
        <f t="shared" si="431"/>
        <v>56.000000000000007</v>
      </c>
      <c r="FI166" s="562">
        <f t="shared" si="432"/>
        <v>-50</v>
      </c>
      <c r="FJ166">
        <f t="shared" si="433"/>
        <v>-50</v>
      </c>
    </row>
    <row r="167" spans="5:166">
      <c r="E167" s="170">
        <v>57</v>
      </c>
      <c r="F167" s="217">
        <f t="shared" si="476"/>
        <v>0.56999999999999995</v>
      </c>
      <c r="G167" s="217">
        <f t="shared" si="444"/>
        <v>0.14249999999999999</v>
      </c>
      <c r="H167" s="217">
        <f t="shared" si="445"/>
        <v>9.347999999999999</v>
      </c>
      <c r="I167" s="217">
        <f t="shared" si="446"/>
        <v>1.1399999999999999</v>
      </c>
      <c r="J167" s="541">
        <f t="shared" si="447"/>
        <v>9.8919920146489719</v>
      </c>
      <c r="K167" s="443">
        <f t="shared" si="448"/>
        <v>17.147803424479839</v>
      </c>
      <c r="L167" s="172">
        <f t="shared" si="449"/>
        <v>27.03979543912881</v>
      </c>
      <c r="M167" s="443"/>
      <c r="N167" s="217">
        <f t="shared" si="450"/>
        <v>0.63416912539454928</v>
      </c>
      <c r="O167" s="172">
        <f t="shared" si="451"/>
        <v>18.63775600709652</v>
      </c>
      <c r="P167" s="172">
        <f t="shared" si="452"/>
        <v>2.5500796440405713</v>
      </c>
      <c r="Q167" s="217">
        <f t="shared" si="322"/>
        <v>1.1364485370180806</v>
      </c>
      <c r="R167" s="217">
        <f t="shared" si="453"/>
        <v>2.329719500887065</v>
      </c>
      <c r="S167" s="217">
        <f t="shared" si="454"/>
        <v>16.399999999999999</v>
      </c>
      <c r="T167" s="217">
        <f t="shared" si="455"/>
        <v>3.343750179810864</v>
      </c>
      <c r="U167" s="217">
        <f t="shared" si="326"/>
        <v>4.0563116203803613</v>
      </c>
      <c r="V167" s="217">
        <f t="shared" si="327"/>
        <v>2.3399499728605919</v>
      </c>
      <c r="W167" s="197">
        <f t="shared" si="328"/>
        <v>350</v>
      </c>
      <c r="X167" s="443">
        <f t="shared" si="435"/>
        <v>151.60102216453612</v>
      </c>
      <c r="Z167" s="217">
        <f t="shared" si="329"/>
        <v>1.4936180772237626</v>
      </c>
      <c r="AA167" s="173">
        <f t="shared" si="330"/>
        <v>1.0452310703012879</v>
      </c>
      <c r="AB167" s="173">
        <f t="shared" si="456"/>
        <v>0.24350952074139687</v>
      </c>
      <c r="AC167" s="173"/>
      <c r="AD167" s="173">
        <f t="shared" si="332"/>
        <v>0.93306411345716411</v>
      </c>
      <c r="AE167" s="545">
        <f t="shared" si="457"/>
        <v>916.33574549564116</v>
      </c>
      <c r="AF167" s="528">
        <f t="shared" si="458"/>
        <v>0.21771495980667163</v>
      </c>
      <c r="AH167" s="173">
        <f t="shared" si="459"/>
        <v>2.2347898590887048</v>
      </c>
      <c r="AI167" s="173">
        <f t="shared" si="460"/>
        <v>3.343750179810864</v>
      </c>
      <c r="AJ167" s="173">
        <f t="shared" si="461"/>
        <v>2.68919766405743</v>
      </c>
      <c r="AL167" s="545">
        <f t="shared" si="462"/>
        <v>570</v>
      </c>
      <c r="AM167" s="460">
        <f t="shared" si="463"/>
        <v>151.60102216453612</v>
      </c>
      <c r="AO167">
        <f t="shared" si="340"/>
        <v>570</v>
      </c>
      <c r="AP167">
        <f t="shared" si="341"/>
        <v>151.60102216453612</v>
      </c>
      <c r="AR167" s="5">
        <f t="shared" si="443"/>
        <v>6.5962615932409525</v>
      </c>
      <c r="AS167" s="5">
        <f t="shared" si="440"/>
        <v>4.0563116203803613</v>
      </c>
      <c r="AT167" s="5">
        <f t="shared" si="441"/>
        <v>2.5399499728605912</v>
      </c>
      <c r="AU167" s="173">
        <f t="shared" si="442"/>
        <v>0.61494098786754858</v>
      </c>
      <c r="AW167" s="5">
        <f t="shared" si="342"/>
        <v>14.09815624156589</v>
      </c>
      <c r="AX167" s="5">
        <f t="shared" si="343"/>
        <v>7.2253050738025184</v>
      </c>
      <c r="AY167" s="5">
        <f t="shared" si="344"/>
        <v>2.0002250567209074</v>
      </c>
      <c r="AZ167" s="5"/>
      <c r="BA167" s="173">
        <f t="shared" si="345"/>
        <v>1.5138746472838471</v>
      </c>
      <c r="BB167" s="173">
        <f t="shared" si="346"/>
        <v>1.1979448960502883</v>
      </c>
      <c r="BC167" s="173">
        <f t="shared" si="347"/>
        <v>0.29390039773974075</v>
      </c>
      <c r="BD167" s="173"/>
      <c r="BE167" s="528">
        <f t="shared" si="348"/>
        <v>4.5836328953775853E-2</v>
      </c>
      <c r="BF167" s="528">
        <f t="shared" si="464"/>
        <v>0.25700443989255656</v>
      </c>
      <c r="BG167" s="528">
        <f t="shared" si="465"/>
        <v>3.7490902516605321E-2</v>
      </c>
      <c r="BH167" s="528">
        <f t="shared" si="351"/>
        <v>1.1084316882446347E-2</v>
      </c>
      <c r="BI167">
        <f t="shared" si="352"/>
        <v>4.4513964065920376E-3</v>
      </c>
      <c r="BJ167" s="460">
        <f t="shared" si="436"/>
        <v>41.942298923197356</v>
      </c>
      <c r="BK167">
        <f t="shared" si="466"/>
        <v>0.32989367143313231</v>
      </c>
      <c r="BL167" s="460">
        <f t="shared" si="437"/>
        <v>355.86738465197607</v>
      </c>
      <c r="BM167" s="173">
        <f t="shared" si="467"/>
        <v>0.35411249999999994</v>
      </c>
      <c r="BN167" s="173">
        <f t="shared" si="468"/>
        <v>8.8528124999999985E-2</v>
      </c>
      <c r="BO167" s="528"/>
      <c r="BQ167" s="460">
        <f t="shared" si="356"/>
        <v>442.64062499999989</v>
      </c>
      <c r="BR167" s="528">
        <f t="shared" si="357"/>
        <v>6.8754493430663768E-2</v>
      </c>
      <c r="BS167" s="528">
        <f t="shared" si="358"/>
        <v>4.3052159219188077E-2</v>
      </c>
      <c r="BT167" s="528">
        <f t="shared" si="359"/>
        <v>4.3188721895788909E-4</v>
      </c>
      <c r="BU167" s="528">
        <f t="shared" si="360"/>
        <v>0.28927432238397888</v>
      </c>
      <c r="BV167" s="528"/>
      <c r="BW167" s="625">
        <f t="shared" si="469"/>
        <v>8.4750014132563903E-3</v>
      </c>
      <c r="BX167" s="460">
        <f t="shared" si="362"/>
        <v>409.98786366604503</v>
      </c>
      <c r="BY167" s="173">
        <f t="shared" si="363"/>
        <v>1.2084958733180211</v>
      </c>
      <c r="BZ167" s="5">
        <f t="shared" si="364"/>
        <v>10.488</v>
      </c>
      <c r="CA167" s="173">
        <f t="shared" si="365"/>
        <v>0.89667880992675464</v>
      </c>
      <c r="CB167" s="5">
        <f t="shared" si="366"/>
        <v>89.667880992675464</v>
      </c>
      <c r="CC167">
        <f t="shared" si="367"/>
        <v>56.999999999999993</v>
      </c>
      <c r="CE167" s="562">
        <f t="shared" si="470"/>
        <v>-50</v>
      </c>
      <c r="CF167">
        <f t="shared" si="471"/>
        <v>-50</v>
      </c>
      <c r="CG167" s="173">
        <f t="shared" si="370"/>
        <v>0.35771495841706197</v>
      </c>
      <c r="CH167" s="173">
        <f t="shared" si="472"/>
        <v>0.12498995131688433</v>
      </c>
      <c r="CI167" s="170">
        <v>57</v>
      </c>
      <c r="CJ167" s="217">
        <f t="shared" si="438"/>
        <v>0.56999999999999995</v>
      </c>
      <c r="CK167" s="217">
        <f t="shared" si="372"/>
        <v>0.14249999999999999</v>
      </c>
      <c r="CL167" s="217">
        <f t="shared" si="373"/>
        <v>9.347999999999999</v>
      </c>
      <c r="CM167" s="217">
        <f t="shared" si="374"/>
        <v>1.1399999999999999</v>
      </c>
      <c r="CN167" s="541">
        <f t="shared" si="375"/>
        <v>10</v>
      </c>
      <c r="CO167" s="443">
        <f t="shared" si="473"/>
        <v>17.099999999999998</v>
      </c>
      <c r="CP167" s="443">
        <f t="shared" si="474"/>
        <v>27.099999999999998</v>
      </c>
      <c r="CQ167" s="443"/>
      <c r="CR167" s="217">
        <f t="shared" si="378"/>
        <v>0.62686567164179097</v>
      </c>
      <c r="CS167" s="172">
        <f t="shared" si="379"/>
        <v>18.624269954574949</v>
      </c>
      <c r="CT167" s="172">
        <f t="shared" si="380"/>
        <v>2.5482344375682562</v>
      </c>
      <c r="CU167" s="217">
        <f t="shared" si="381"/>
        <v>1.135626216742375</v>
      </c>
      <c r="CV167" s="217">
        <f t="shared" si="382"/>
        <v>2.3280337443218686</v>
      </c>
      <c r="CW167" s="217">
        <f t="shared" si="383"/>
        <v>16.399999999999999</v>
      </c>
      <c r="CX167" s="217">
        <f t="shared" si="384"/>
        <v>3.3461714285714286</v>
      </c>
      <c r="CY167" s="217">
        <f t="shared" si="385"/>
        <v>4.0154057142857145</v>
      </c>
      <c r="CZ167" s="217">
        <f t="shared" si="386"/>
        <v>2.3481904761904766</v>
      </c>
      <c r="DA167" s="197">
        <f t="shared" si="387"/>
        <v>350</v>
      </c>
      <c r="DB167" s="443">
        <f t="shared" si="388"/>
        <v>157.14384918021796</v>
      </c>
      <c r="DD167" s="217">
        <f t="shared" si="389"/>
        <v>1.5023721665788083</v>
      </c>
      <c r="DE167" s="173">
        <f t="shared" si="390"/>
        <v>1.0542962572482866</v>
      </c>
      <c r="DF167" s="173">
        <f t="shared" si="391"/>
        <v>0.24706104135140031</v>
      </c>
      <c r="DG167" s="173"/>
      <c r="DH167" s="173">
        <f t="shared" si="392"/>
        <v>0.93567251461988332</v>
      </c>
      <c r="DI167" s="545">
        <f t="shared" si="393"/>
        <v>913.78124999999955</v>
      </c>
      <c r="DJ167" s="528">
        <f t="shared" si="394"/>
        <v>0.21832358674463945</v>
      </c>
      <c r="DL167" s="173">
        <f t="shared" si="395"/>
        <v>2.2347898590887048</v>
      </c>
      <c r="DM167" s="173">
        <f t="shared" si="396"/>
        <v>3.3461714285714286</v>
      </c>
      <c r="DN167" s="173">
        <f t="shared" si="397"/>
        <v>2.6909911816578482</v>
      </c>
      <c r="DP167" s="545">
        <f t="shared" si="398"/>
        <v>570</v>
      </c>
      <c r="DQ167" s="460">
        <f t="shared" si="399"/>
        <v>157.14384918021796</v>
      </c>
      <c r="DS167">
        <f t="shared" si="400"/>
        <v>570</v>
      </c>
      <c r="DT167">
        <f t="shared" si="401"/>
        <v>157.14384918021796</v>
      </c>
      <c r="DV167" s="5">
        <f t="shared" si="402"/>
        <v>6.3635961904761906</v>
      </c>
      <c r="DW167" s="5">
        <f t="shared" si="403"/>
        <v>4.0154057142857145</v>
      </c>
      <c r="DX167" s="5">
        <f t="shared" si="404"/>
        <v>2.3481904761904762</v>
      </c>
      <c r="DY167" s="173">
        <f t="shared" si="405"/>
        <v>0.63099630996309963</v>
      </c>
      <c r="EA167" s="5">
        <f t="shared" si="406"/>
        <v>13.955983275261326</v>
      </c>
      <c r="EB167" s="5">
        <f t="shared" si="407"/>
        <v>7.1524414285714286</v>
      </c>
      <c r="EC167" s="5">
        <f t="shared" si="408"/>
        <v>1.8292403809523803</v>
      </c>
      <c r="ED167" s="5"/>
      <c r="EE167" s="173">
        <f t="shared" si="409"/>
        <v>1.5346204070176648</v>
      </c>
      <c r="EF167" s="173">
        <f t="shared" si="410"/>
        <v>1.1735535562956592</v>
      </c>
      <c r="EG167" s="173">
        <f t="shared" si="411"/>
        <v>0.28791629573394217</v>
      </c>
      <c r="EH167" s="173"/>
      <c r="EI167" s="528">
        <f t="shared" si="412"/>
        <v>4.7101195872701264E-2</v>
      </c>
      <c r="EJ167" s="528">
        <f t="shared" si="413"/>
        <v>0.28500000000000003</v>
      </c>
      <c r="EK167" s="528">
        <f t="shared" si="414"/>
        <v>1.9642981147527244E-2</v>
      </c>
      <c r="EL167" s="528">
        <f t="shared" si="415"/>
        <v>1.1540801427644385E-2</v>
      </c>
      <c r="EM167">
        <f t="shared" si="416"/>
        <v>4.4999999999999997E-3</v>
      </c>
      <c r="EN167" s="460">
        <f t="shared" si="417"/>
        <v>24.142981147527244</v>
      </c>
      <c r="EP167" s="460">
        <f t="shared" si="439"/>
        <v>367.78497844787296</v>
      </c>
      <c r="EQ167" s="173">
        <f t="shared" si="418"/>
        <v>0.39899999999999997</v>
      </c>
      <c r="ER167" s="173">
        <f t="shared" si="475"/>
        <v>6.3234374999999995E-2</v>
      </c>
      <c r="ES167" s="528"/>
      <c r="EU167" s="460">
        <f t="shared" si="420"/>
        <v>462.234375</v>
      </c>
      <c r="EV167" s="528">
        <f t="shared" si="421"/>
        <v>7.0651793809051899E-2</v>
      </c>
      <c r="EW167" s="528">
        <f t="shared" si="422"/>
        <v>4.131683848482566E-2</v>
      </c>
      <c r="EX167" s="528">
        <f t="shared" si="423"/>
        <v>4.1447896674577428E-4</v>
      </c>
      <c r="EY167" s="528">
        <f t="shared" si="424"/>
        <v>0.31701801185397432</v>
      </c>
      <c r="EZ167" s="528"/>
      <c r="FA167" s="625">
        <f t="shared" si="425"/>
        <v>8.7975909330521886E-3</v>
      </c>
      <c r="FB167" s="460">
        <f t="shared" si="426"/>
        <v>438.1987140476499</v>
      </c>
      <c r="FC167" s="173">
        <f t="shared" si="427"/>
        <v>1.2682180674955226</v>
      </c>
      <c r="FD167" s="5">
        <f t="shared" si="428"/>
        <v>10.488</v>
      </c>
      <c r="FE167" s="173">
        <f t="shared" si="429"/>
        <v>0.89212363532095518</v>
      </c>
      <c r="FF167" s="5">
        <f t="shared" si="430"/>
        <v>89.212363532095523</v>
      </c>
      <c r="FG167">
        <f t="shared" si="431"/>
        <v>56.999999999999993</v>
      </c>
      <c r="FI167" s="562">
        <f t="shared" si="432"/>
        <v>-50</v>
      </c>
      <c r="FJ167">
        <f t="shared" si="433"/>
        <v>-50</v>
      </c>
    </row>
    <row r="168" spans="5:166">
      <c r="E168" s="170">
        <v>58</v>
      </c>
      <c r="F168" s="217">
        <f t="shared" si="476"/>
        <v>0.57999999999999996</v>
      </c>
      <c r="G168" s="217">
        <f t="shared" si="444"/>
        <v>0.14499999999999999</v>
      </c>
      <c r="H168" s="217">
        <f t="shared" si="445"/>
        <v>9.5119999999999987</v>
      </c>
      <c r="I168" s="217">
        <f t="shared" si="446"/>
        <v>1.1599999999999999</v>
      </c>
      <c r="J168" s="541">
        <f t="shared" si="447"/>
        <v>9.8900971377129885</v>
      </c>
      <c r="K168" s="443">
        <f t="shared" si="448"/>
        <v>17.148642081049662</v>
      </c>
      <c r="L168" s="172">
        <f t="shared" si="449"/>
        <v>27.03873921876265</v>
      </c>
      <c r="M168" s="443"/>
      <c r="N168" s="217">
        <f t="shared" si="450"/>
        <v>0.63422491493796873</v>
      </c>
      <c r="O168" s="172">
        <f t="shared" si="451"/>
        <v>18.635825119685872</v>
      </c>
      <c r="P168" s="172">
        <f t="shared" si="452"/>
        <v>2.5498154536155568</v>
      </c>
      <c r="Q168" s="217">
        <f t="shared" si="322"/>
        <v>1.1363307999808461</v>
      </c>
      <c r="R168" s="217">
        <f t="shared" si="453"/>
        <v>2.3294781399607341</v>
      </c>
      <c r="S168" s="217">
        <f t="shared" si="454"/>
        <v>16.399999999999999</v>
      </c>
      <c r="T168" s="217">
        <f t="shared" si="455"/>
        <v>3.4027649930212607</v>
      </c>
      <c r="U168" s="217">
        <f t="shared" si="326"/>
        <v>4.1286935151071225</v>
      </c>
      <c r="V168" s="217">
        <f t="shared" si="327"/>
        <v>2.381131970873565</v>
      </c>
      <c r="W168" s="197">
        <f t="shared" si="328"/>
        <v>350</v>
      </c>
      <c r="X168" s="443">
        <f t="shared" si="435"/>
        <v>149.03517268658783</v>
      </c>
      <c r="Z168" s="217">
        <f t="shared" si="329"/>
        <v>1.4934633371176831</v>
      </c>
      <c r="AA168" s="173">
        <f t="shared" si="330"/>
        <v>1.0450716716058035</v>
      </c>
      <c r="AB168" s="173">
        <f t="shared" si="456"/>
        <v>0.24344716136979419</v>
      </c>
      <c r="AC168" s="173"/>
      <c r="AD168" s="173">
        <f t="shared" si="332"/>
        <v>0.93301848183542291</v>
      </c>
      <c r="AE168" s="545">
        <f t="shared" si="457"/>
        <v>932.45741315707494</v>
      </c>
      <c r="AF168" s="528">
        <f t="shared" si="458"/>
        <v>0.21770431242826538</v>
      </c>
      <c r="AH168" s="173">
        <f t="shared" si="459"/>
        <v>2.2543080450339437</v>
      </c>
      <c r="AI168" s="173">
        <f t="shared" si="460"/>
        <v>3.4027649930212607</v>
      </c>
      <c r="AJ168" s="173">
        <f t="shared" si="461"/>
        <v>2.7329123405095759</v>
      </c>
      <c r="AL168" s="545">
        <f t="shared" si="462"/>
        <v>580</v>
      </c>
      <c r="AM168" s="460">
        <f t="shared" si="463"/>
        <v>149.03517268658783</v>
      </c>
      <c r="AO168">
        <f t="shared" si="340"/>
        <v>580</v>
      </c>
      <c r="AP168">
        <f t="shared" si="341"/>
        <v>149.03517268658783</v>
      </c>
      <c r="AR168" s="5">
        <f t="shared" si="443"/>
        <v>6.709825485980689</v>
      </c>
      <c r="AS168" s="5">
        <f t="shared" si="440"/>
        <v>4.1286935151071225</v>
      </c>
      <c r="AT168" s="5">
        <f t="shared" si="441"/>
        <v>2.5811319708735665</v>
      </c>
      <c r="AU168" s="173">
        <f t="shared" si="442"/>
        <v>0.6153205509939853</v>
      </c>
      <c r="AW168" s="5">
        <f t="shared" si="342"/>
        <v>14.601477065622751</v>
      </c>
      <c r="AX168" s="5">
        <f t="shared" si="343"/>
        <v>7.4832569961316588</v>
      </c>
      <c r="AY168" s="5">
        <f t="shared" si="344"/>
        <v>2.0687130238361138</v>
      </c>
      <c r="AZ168" s="5"/>
      <c r="BA168" s="173">
        <f t="shared" si="345"/>
        <v>1.5410688392076317</v>
      </c>
      <c r="BB168" s="173">
        <f t="shared" si="346"/>
        <v>1.2184867796028411</v>
      </c>
      <c r="BC168" s="173">
        <f t="shared" si="347"/>
        <v>0.29894008509624936</v>
      </c>
      <c r="BD168" s="173"/>
      <c r="BE168" s="528">
        <f t="shared" si="348"/>
        <v>4.7497863343535153E-2</v>
      </c>
      <c r="BF168" s="528">
        <f t="shared" si="464"/>
        <v>0.25710376743759633</v>
      </c>
      <c r="BG168" s="528">
        <f t="shared" si="465"/>
        <v>3.6849308370154578E-2</v>
      </c>
      <c r="BH168" s="528">
        <f t="shared" si="351"/>
        <v>1.089586338821745E-2</v>
      </c>
      <c r="BI168">
        <f t="shared" si="352"/>
        <v>4.4505437119708446E-3</v>
      </c>
      <c r="BJ168" s="460">
        <f t="shared" si="436"/>
        <v>41.299852082125426</v>
      </c>
      <c r="BK168">
        <f t="shared" si="466"/>
        <v>0.33206948489707727</v>
      </c>
      <c r="BL168" s="460">
        <f t="shared" si="437"/>
        <v>356.79734625147444</v>
      </c>
      <c r="BM168" s="173">
        <f t="shared" si="467"/>
        <v>0.36032499999999995</v>
      </c>
      <c r="BN168" s="173">
        <f t="shared" si="468"/>
        <v>9.0081249999999988E-2</v>
      </c>
      <c r="BO168" s="528"/>
      <c r="BQ168" s="460">
        <f t="shared" si="356"/>
        <v>450.40624999999994</v>
      </c>
      <c r="BR168" s="528">
        <f t="shared" si="357"/>
        <v>7.1246795015302719E-2</v>
      </c>
      <c r="BS168" s="528">
        <f t="shared" si="358"/>
        <v>4.4541300962007077E-2</v>
      </c>
      <c r="BT168" s="528">
        <f t="shared" si="359"/>
        <v>4.468258723867641E-4</v>
      </c>
      <c r="BU168" s="528">
        <f t="shared" si="360"/>
        <v>0.28958217967704136</v>
      </c>
      <c r="BV168" s="528"/>
      <c r="BW168" s="625">
        <f t="shared" si="469"/>
        <v>8.6282494395147867E-3</v>
      </c>
      <c r="BX168" s="460">
        <f t="shared" si="362"/>
        <v>414.4453509662527</v>
      </c>
      <c r="BY168" s="173">
        <f t="shared" si="363"/>
        <v>1.221648947217727</v>
      </c>
      <c r="BZ168" s="5">
        <f t="shared" si="364"/>
        <v>10.671999999999999</v>
      </c>
      <c r="CA168" s="173">
        <f t="shared" si="365"/>
        <v>0.89728560573468863</v>
      </c>
      <c r="CB168" s="5">
        <f t="shared" si="366"/>
        <v>89.728560573468869</v>
      </c>
      <c r="CC168">
        <f t="shared" si="367"/>
        <v>57.999999999999993</v>
      </c>
      <c r="CE168" s="562">
        <f t="shared" si="470"/>
        <v>-50</v>
      </c>
      <c r="CF168">
        <f t="shared" si="471"/>
        <v>-50</v>
      </c>
      <c r="CG168" s="173">
        <f t="shared" si="370"/>
        <v>0.35771495841706197</v>
      </c>
      <c r="CH168" s="173">
        <f t="shared" si="472"/>
        <v>0.12498995131688433</v>
      </c>
      <c r="CI168" s="170">
        <v>58</v>
      </c>
      <c r="CJ168" s="217">
        <f t="shared" si="438"/>
        <v>0.57999999999999996</v>
      </c>
      <c r="CK168" s="217">
        <f t="shared" si="372"/>
        <v>0.14499999999999999</v>
      </c>
      <c r="CL168" s="217">
        <f t="shared" si="373"/>
        <v>9.5119999999999987</v>
      </c>
      <c r="CM168" s="217">
        <f t="shared" si="374"/>
        <v>1.1599999999999999</v>
      </c>
      <c r="CN168" s="541">
        <f t="shared" si="375"/>
        <v>10</v>
      </c>
      <c r="CO168" s="443">
        <f t="shared" si="473"/>
        <v>17.099999999999998</v>
      </c>
      <c r="CP168" s="443">
        <f t="shared" si="474"/>
        <v>27.099999999999998</v>
      </c>
      <c r="CQ168" s="443"/>
      <c r="CR168" s="217">
        <f t="shared" si="378"/>
        <v>0.62686567164179097</v>
      </c>
      <c r="CS168" s="172">
        <f t="shared" si="379"/>
        <v>18.624269954574949</v>
      </c>
      <c r="CT168" s="172">
        <f t="shared" si="380"/>
        <v>2.5482344375682562</v>
      </c>
      <c r="CU168" s="217">
        <f t="shared" si="381"/>
        <v>1.135626216742375</v>
      </c>
      <c r="CV168" s="217">
        <f t="shared" si="382"/>
        <v>2.3280337443218686</v>
      </c>
      <c r="CW168" s="217">
        <f t="shared" si="383"/>
        <v>16.399999999999999</v>
      </c>
      <c r="CX168" s="217">
        <f t="shared" si="384"/>
        <v>3.4048761904761906</v>
      </c>
      <c r="CY168" s="217">
        <f t="shared" si="385"/>
        <v>4.0858514285714289</v>
      </c>
      <c r="CZ168" s="217">
        <f t="shared" si="386"/>
        <v>2.3893868003341692</v>
      </c>
      <c r="DA168" s="197">
        <f t="shared" si="387"/>
        <v>350</v>
      </c>
      <c r="DB168" s="443">
        <f t="shared" si="388"/>
        <v>154.43447247021419</v>
      </c>
      <c r="DD168" s="217">
        <f t="shared" si="389"/>
        <v>1.5023721665788083</v>
      </c>
      <c r="DE168" s="173">
        <f t="shared" si="390"/>
        <v>1.0542962572482866</v>
      </c>
      <c r="DF168" s="173">
        <f t="shared" si="391"/>
        <v>0.24706104135140031</v>
      </c>
      <c r="DG168" s="173"/>
      <c r="DH168" s="173">
        <f t="shared" si="392"/>
        <v>0.93567251461988332</v>
      </c>
      <c r="DI168" s="545">
        <f t="shared" si="393"/>
        <v>929.81249999999955</v>
      </c>
      <c r="DJ168" s="528">
        <f t="shared" si="394"/>
        <v>0.21832358674463945</v>
      </c>
      <c r="DL168" s="173">
        <f t="shared" si="395"/>
        <v>2.2543080450339437</v>
      </c>
      <c r="DM168" s="173">
        <f t="shared" si="396"/>
        <v>3.4048761904761906</v>
      </c>
      <c r="DN168" s="173">
        <f t="shared" si="397"/>
        <v>2.7344761904761903</v>
      </c>
      <c r="DP168" s="545">
        <f t="shared" si="398"/>
        <v>580</v>
      </c>
      <c r="DQ168" s="460">
        <f t="shared" si="399"/>
        <v>154.43447247021419</v>
      </c>
      <c r="DS168">
        <f t="shared" si="400"/>
        <v>580</v>
      </c>
      <c r="DT168">
        <f t="shared" si="401"/>
        <v>154.43447247021419</v>
      </c>
      <c r="DV168" s="5">
        <f t="shared" si="402"/>
        <v>6.4752382289055976</v>
      </c>
      <c r="DW168" s="5">
        <f t="shared" si="403"/>
        <v>4.0858514285714289</v>
      </c>
      <c r="DX168" s="5">
        <f t="shared" si="404"/>
        <v>2.3893868003341687</v>
      </c>
      <c r="DY168" s="173">
        <f t="shared" si="405"/>
        <v>0.63099630996309963</v>
      </c>
      <c r="EA168" s="5">
        <f t="shared" si="406"/>
        <v>14.44996236933798</v>
      </c>
      <c r="EB168" s="5">
        <f t="shared" si="407"/>
        <v>7.4056057142857137</v>
      </c>
      <c r="EC168" s="5">
        <f t="shared" si="408"/>
        <v>1.8939872703982172</v>
      </c>
      <c r="ED168" s="5"/>
      <c r="EE168" s="173">
        <f t="shared" si="409"/>
        <v>1.5615435720530624</v>
      </c>
      <c r="EF168" s="173">
        <f t="shared" si="410"/>
        <v>1.1941422151780392</v>
      </c>
      <c r="EG168" s="173">
        <f t="shared" si="411"/>
        <v>0.29296745881699376</v>
      </c>
      <c r="EH168" s="173"/>
      <c r="EI168" s="528">
        <f t="shared" si="412"/>
        <v>4.8768366548404753E-2</v>
      </c>
      <c r="EJ168" s="528">
        <f t="shared" si="413"/>
        <v>0.28499999999999998</v>
      </c>
      <c r="EK168" s="528">
        <f t="shared" si="414"/>
        <v>1.9304309058776774E-2</v>
      </c>
      <c r="EL168" s="528">
        <f t="shared" si="415"/>
        <v>1.1341822092684998E-2</v>
      </c>
      <c r="EM168">
        <f t="shared" si="416"/>
        <v>4.4999999999999997E-3</v>
      </c>
      <c r="EN168" s="460">
        <f t="shared" si="417"/>
        <v>23.804309058776774</v>
      </c>
      <c r="EP168" s="460">
        <f t="shared" si="439"/>
        <v>368.9144976998665</v>
      </c>
      <c r="EQ168" s="173">
        <f t="shared" si="418"/>
        <v>0.40599999999999997</v>
      </c>
      <c r="ER168" s="173">
        <f t="shared" si="475"/>
        <v>6.4343749999999991E-2</v>
      </c>
      <c r="ES168" s="528"/>
      <c r="EU168" s="460">
        <f t="shared" si="420"/>
        <v>470.34374999999994</v>
      </c>
      <c r="EV168" s="528">
        <f t="shared" si="421"/>
        <v>7.3152549822607119E-2</v>
      </c>
      <c r="EW168" s="528">
        <f t="shared" si="422"/>
        <v>4.2779268902109438E-2</v>
      </c>
      <c r="EX168" s="528">
        <f t="shared" si="423"/>
        <v>4.291496596284347E-4</v>
      </c>
      <c r="EY168" s="528">
        <f t="shared" si="424"/>
        <v>0.31701801185397366</v>
      </c>
      <c r="EZ168" s="528"/>
      <c r="FA168" s="625">
        <f t="shared" si="425"/>
        <v>8.9519346336320513E-3</v>
      </c>
      <c r="FB168" s="460">
        <f t="shared" si="426"/>
        <v>442.33091487195071</v>
      </c>
      <c r="FC168" s="173">
        <f t="shared" si="427"/>
        <v>1.2815891625718172</v>
      </c>
      <c r="FD168" s="5">
        <f t="shared" si="428"/>
        <v>10.671999999999999</v>
      </c>
      <c r="FE168" s="173">
        <f t="shared" si="429"/>
        <v>0.89278624644515692</v>
      </c>
      <c r="FF168" s="5">
        <f t="shared" si="430"/>
        <v>89.278624644515688</v>
      </c>
      <c r="FG168">
        <f t="shared" si="431"/>
        <v>57.999999999999993</v>
      </c>
      <c r="FI168" s="562">
        <f t="shared" si="432"/>
        <v>-50</v>
      </c>
      <c r="FJ168">
        <f t="shared" si="433"/>
        <v>-50</v>
      </c>
    </row>
    <row r="169" spans="5:166">
      <c r="E169" s="170">
        <v>59</v>
      </c>
      <c r="F169" s="217">
        <f t="shared" si="476"/>
        <v>0.59</v>
      </c>
      <c r="G169" s="217">
        <f t="shared" si="444"/>
        <v>0.14749999999999999</v>
      </c>
      <c r="H169" s="217">
        <f t="shared" si="445"/>
        <v>9.6759999999999984</v>
      </c>
      <c r="I169" s="217">
        <f t="shared" si="446"/>
        <v>1.18</v>
      </c>
      <c r="J169" s="541">
        <f t="shared" si="447"/>
        <v>9.888202260777005</v>
      </c>
      <c r="K169" s="443">
        <f t="shared" si="448"/>
        <v>17.149480737619484</v>
      </c>
      <c r="L169" s="172">
        <f t="shared" si="449"/>
        <v>27.037682998396491</v>
      </c>
      <c r="M169" s="443"/>
      <c r="N169" s="217">
        <f t="shared" si="450"/>
        <v>0.6342807088401976</v>
      </c>
      <c r="O169" s="172">
        <f t="shared" si="451"/>
        <v>18.633893732170741</v>
      </c>
      <c r="P169" s="172">
        <f t="shared" si="452"/>
        <v>2.5495511947645868</v>
      </c>
      <c r="Q169" s="217">
        <f t="shared" si="322"/>
        <v>1.1362130324494355</v>
      </c>
      <c r="R169" s="217">
        <f t="shared" si="453"/>
        <v>2.3292367165213426</v>
      </c>
      <c r="S169" s="217">
        <f t="shared" si="454"/>
        <v>16.399999999999999</v>
      </c>
      <c r="T169" s="217">
        <f t="shared" si="455"/>
        <v>3.4617921296448224</v>
      </c>
      <c r="U169" s="217">
        <f t="shared" si="326"/>
        <v>4.2011181062222303</v>
      </c>
      <c r="V169" s="217">
        <f t="shared" si="327"/>
        <v>2.4223185641190579</v>
      </c>
      <c r="W169" s="197">
        <f t="shared" si="328"/>
        <v>350</v>
      </c>
      <c r="X169" s="443">
        <f t="shared" si="435"/>
        <v>146.55371601037854</v>
      </c>
      <c r="Z169" s="217">
        <f t="shared" si="329"/>
        <v>1.4933085569335438</v>
      </c>
      <c r="AA169" s="173">
        <f t="shared" si="330"/>
        <v>1.0449122604565786</v>
      </c>
      <c r="AB169" s="173">
        <f t="shared" si="456"/>
        <v>0.24338480025987749</v>
      </c>
      <c r="AC169" s="173"/>
      <c r="AD169" s="173">
        <f t="shared" si="332"/>
        <v>0.93297285467670421</v>
      </c>
      <c r="AE169" s="545">
        <f t="shared" si="457"/>
        <v>948.58065329957742</v>
      </c>
      <c r="AF169" s="528">
        <f t="shared" si="458"/>
        <v>0.21769366609123103</v>
      </c>
      <c r="AH169" s="173">
        <f t="shared" si="459"/>
        <v>2.2736586836031059</v>
      </c>
      <c r="AI169" s="173">
        <f t="shared" si="460"/>
        <v>3.4617921296448224</v>
      </c>
      <c r="AJ169" s="173">
        <f t="shared" si="461"/>
        <v>2.7766361454159174</v>
      </c>
      <c r="AL169" s="545">
        <f t="shared" si="462"/>
        <v>590</v>
      </c>
      <c r="AM169" s="460">
        <f t="shared" si="463"/>
        <v>146.55371601037854</v>
      </c>
      <c r="AO169">
        <f t="shared" si="340"/>
        <v>590</v>
      </c>
      <c r="AP169">
        <f t="shared" si="341"/>
        <v>146.55371601037854</v>
      </c>
      <c r="AR169" s="5">
        <f t="shared" si="443"/>
        <v>6.8234366703412883</v>
      </c>
      <c r="AS169" s="5">
        <f t="shared" si="440"/>
        <v>4.2011181062222303</v>
      </c>
      <c r="AT169" s="5">
        <f t="shared" si="441"/>
        <v>2.6223185641190581</v>
      </c>
      <c r="AU169" s="173">
        <f t="shared" si="442"/>
        <v>0.615689469865352</v>
      </c>
      <c r="AW169" s="5">
        <f t="shared" si="342"/>
        <v>15.11377855287266</v>
      </c>
      <c r="AX169" s="5">
        <f t="shared" si="343"/>
        <v>7.7458115083472361</v>
      </c>
      <c r="AY169" s="5">
        <f t="shared" si="344"/>
        <v>2.1383693548172302</v>
      </c>
      <c r="AZ169" s="5"/>
      <c r="BA169" s="173">
        <f t="shared" si="345"/>
        <v>1.5682713977174725</v>
      </c>
      <c r="BB169" s="173">
        <f t="shared" si="346"/>
        <v>1.2390290846969239</v>
      </c>
      <c r="BC169" s="173">
        <f t="shared" si="347"/>
        <v>0.30397987587255948</v>
      </c>
      <c r="BD169" s="173"/>
      <c r="BE169" s="528">
        <f t="shared" si="348"/>
        <v>4.9189503537974293E-2</v>
      </c>
      <c r="BF169" s="528">
        <f t="shared" si="464"/>
        <v>0.25719857912980859</v>
      </c>
      <c r="BG169" s="528">
        <f t="shared" si="465"/>
        <v>3.6228819649477405E-2</v>
      </c>
      <c r="BH169" s="528">
        <f t="shared" si="351"/>
        <v>1.0713608658512168E-2</v>
      </c>
      <c r="BI169">
        <f t="shared" si="352"/>
        <v>4.4496910173496525E-3</v>
      </c>
      <c r="BJ169" s="460">
        <f t="shared" si="436"/>
        <v>40.678510666827059</v>
      </c>
      <c r="BK169">
        <f t="shared" si="466"/>
        <v>0.33428984512254917</v>
      </c>
      <c r="BL169" s="460">
        <f t="shared" si="437"/>
        <v>357.78020199312209</v>
      </c>
      <c r="BM169" s="173">
        <f t="shared" si="467"/>
        <v>0.36653749999999996</v>
      </c>
      <c r="BN169" s="173">
        <f t="shared" si="468"/>
        <v>9.163437499999999E-2</v>
      </c>
      <c r="BO169" s="528"/>
      <c r="BQ169" s="460">
        <f t="shared" si="356"/>
        <v>458.17187499999994</v>
      </c>
      <c r="BR169" s="528">
        <f t="shared" si="357"/>
        <v>7.3784255306961435E-2</v>
      </c>
      <c r="BS169" s="528">
        <f t="shared" si="358"/>
        <v>4.60557921817469E-2</v>
      </c>
      <c r="BT169" s="528">
        <f t="shared" si="359"/>
        <v>4.6201882467748333E-4</v>
      </c>
      <c r="BU169" s="528">
        <f t="shared" si="360"/>
        <v>0.28987753331298516</v>
      </c>
      <c r="BV169" s="528"/>
      <c r="BW169" s="625">
        <f t="shared" si="469"/>
        <v>8.7815021431652193E-3</v>
      </c>
      <c r="BX169" s="460">
        <f t="shared" si="362"/>
        <v>418.96110176953619</v>
      </c>
      <c r="BY169" s="173">
        <f t="shared" si="363"/>
        <v>1.2349131787626582</v>
      </c>
      <c r="BZ169" s="5">
        <f t="shared" si="364"/>
        <v>10.855999999999998</v>
      </c>
      <c r="CA169" s="173">
        <f t="shared" si="365"/>
        <v>0.89786435809234422</v>
      </c>
      <c r="CB169" s="5">
        <f t="shared" si="366"/>
        <v>89.786435809234419</v>
      </c>
      <c r="CC169">
        <f t="shared" si="367"/>
        <v>59</v>
      </c>
      <c r="CE169" s="562">
        <f t="shared" si="470"/>
        <v>-50</v>
      </c>
      <c r="CF169">
        <f t="shared" si="471"/>
        <v>-50</v>
      </c>
      <c r="CG169" s="173">
        <f t="shared" si="370"/>
        <v>0.35771495841706197</v>
      </c>
      <c r="CH169" s="173">
        <f t="shared" si="472"/>
        <v>0.12498995131688433</v>
      </c>
      <c r="CI169" s="170">
        <v>59</v>
      </c>
      <c r="CJ169" s="217">
        <f t="shared" si="438"/>
        <v>0.59</v>
      </c>
      <c r="CK169" s="217">
        <f t="shared" si="372"/>
        <v>0.14749999999999999</v>
      </c>
      <c r="CL169" s="217">
        <f t="shared" si="373"/>
        <v>9.6759999999999984</v>
      </c>
      <c r="CM169" s="217">
        <f t="shared" si="374"/>
        <v>1.18</v>
      </c>
      <c r="CN169" s="541">
        <f t="shared" si="375"/>
        <v>10</v>
      </c>
      <c r="CO169" s="443">
        <f t="shared" si="473"/>
        <v>17.099999999999998</v>
      </c>
      <c r="CP169" s="443">
        <f t="shared" si="474"/>
        <v>27.099999999999998</v>
      </c>
      <c r="CQ169" s="443"/>
      <c r="CR169" s="217">
        <f t="shared" si="378"/>
        <v>0.62686567164179097</v>
      </c>
      <c r="CS169" s="172">
        <f t="shared" si="379"/>
        <v>18.624269954574949</v>
      </c>
      <c r="CT169" s="172">
        <f t="shared" si="380"/>
        <v>2.5482344375682562</v>
      </c>
      <c r="CU169" s="217">
        <f t="shared" si="381"/>
        <v>1.135626216742375</v>
      </c>
      <c r="CV169" s="217">
        <f t="shared" si="382"/>
        <v>2.3280337443218686</v>
      </c>
      <c r="CW169" s="217">
        <f t="shared" si="383"/>
        <v>16.399999999999999</v>
      </c>
      <c r="CX169" s="217">
        <f t="shared" si="384"/>
        <v>3.4635809523809522</v>
      </c>
      <c r="CY169" s="217">
        <f t="shared" si="385"/>
        <v>4.1562971428571425</v>
      </c>
      <c r="CZ169" s="217">
        <f t="shared" si="386"/>
        <v>2.4305831244778617</v>
      </c>
      <c r="DA169" s="197">
        <f t="shared" si="387"/>
        <v>350</v>
      </c>
      <c r="DB169" s="443">
        <f t="shared" si="388"/>
        <v>151.81693903851564</v>
      </c>
      <c r="DD169" s="217">
        <f t="shared" si="389"/>
        <v>1.5023721665788083</v>
      </c>
      <c r="DE169" s="173">
        <f t="shared" si="390"/>
        <v>1.0542962572482866</v>
      </c>
      <c r="DF169" s="173">
        <f t="shared" si="391"/>
        <v>0.24706104135140031</v>
      </c>
      <c r="DG169" s="173"/>
      <c r="DH169" s="173">
        <f t="shared" si="392"/>
        <v>0.93567251461988332</v>
      </c>
      <c r="DI169" s="545">
        <f t="shared" si="393"/>
        <v>945.84374999999955</v>
      </c>
      <c r="DJ169" s="528">
        <f t="shared" si="394"/>
        <v>0.21832358674463945</v>
      </c>
      <c r="DL169" s="173">
        <f t="shared" si="395"/>
        <v>2.2736586836031059</v>
      </c>
      <c r="DM169" s="173">
        <f t="shared" si="396"/>
        <v>3.4635809523809522</v>
      </c>
      <c r="DN169" s="173">
        <f t="shared" si="397"/>
        <v>2.7779611992945323</v>
      </c>
      <c r="DP169" s="545">
        <f t="shared" si="398"/>
        <v>590</v>
      </c>
      <c r="DQ169" s="460">
        <f t="shared" si="399"/>
        <v>151.81693903851564</v>
      </c>
      <c r="DS169">
        <f t="shared" si="400"/>
        <v>590</v>
      </c>
      <c r="DT169">
        <f t="shared" si="401"/>
        <v>151.81693903851564</v>
      </c>
      <c r="DV169" s="5">
        <f t="shared" si="402"/>
        <v>6.5868802673350046</v>
      </c>
      <c r="DW169" s="5">
        <f t="shared" si="403"/>
        <v>4.1562971428571425</v>
      </c>
      <c r="DX169" s="5">
        <f t="shared" si="404"/>
        <v>2.4305831244778622</v>
      </c>
      <c r="DY169" s="173">
        <f t="shared" si="405"/>
        <v>0.63099630996309952</v>
      </c>
      <c r="EA169" s="5">
        <f t="shared" si="406"/>
        <v>14.952532404181184</v>
      </c>
      <c r="EB169" s="5">
        <f t="shared" si="407"/>
        <v>7.6631728571428548</v>
      </c>
      <c r="EC169" s="5">
        <f t="shared" si="408"/>
        <v>1.959860192703982</v>
      </c>
      <c r="ED169" s="5"/>
      <c r="EE169" s="173">
        <f t="shared" si="409"/>
        <v>1.5884667370884598</v>
      </c>
      <c r="EF169" s="173">
        <f t="shared" si="410"/>
        <v>1.2147308740604192</v>
      </c>
      <c r="EG169" s="173">
        <f t="shared" si="411"/>
        <v>0.29801862190004541</v>
      </c>
      <c r="EH169" s="173"/>
      <c r="EI169" s="528">
        <f t="shared" si="412"/>
        <v>5.0464531496729158E-2</v>
      </c>
      <c r="EJ169" s="528">
        <f t="shared" si="413"/>
        <v>0.28499999999999998</v>
      </c>
      <c r="EK169" s="528">
        <f t="shared" si="414"/>
        <v>1.8977117379814452E-2</v>
      </c>
      <c r="EL169" s="528">
        <f t="shared" si="415"/>
        <v>1.1149587819927625E-2</v>
      </c>
      <c r="EM169">
        <f t="shared" si="416"/>
        <v>4.4999999999999997E-3</v>
      </c>
      <c r="EN169" s="460">
        <f t="shared" si="417"/>
        <v>23.477117379814452</v>
      </c>
      <c r="EP169" s="460">
        <f t="shared" si="439"/>
        <v>370.09123669647119</v>
      </c>
      <c r="EQ169" s="173">
        <f t="shared" si="418"/>
        <v>0.41299999999999998</v>
      </c>
      <c r="ER169" s="173">
        <f t="shared" si="475"/>
        <v>6.5453124999999987E-2</v>
      </c>
      <c r="ES169" s="528"/>
      <c r="EU169" s="460">
        <f t="shared" si="420"/>
        <v>478.453125</v>
      </c>
      <c r="EV169" s="528">
        <f t="shared" si="421"/>
        <v>7.5696797245093733E-2</v>
      </c>
      <c r="EW169" s="528">
        <f t="shared" si="422"/>
        <v>4.4267132891867705E-2</v>
      </c>
      <c r="EX169" s="528">
        <f t="shared" si="423"/>
        <v>4.4407549499601113E-4</v>
      </c>
      <c r="EY169" s="528">
        <f t="shared" si="424"/>
        <v>0.31701801185397416</v>
      </c>
      <c r="EZ169" s="528"/>
      <c r="FA169" s="625">
        <f t="shared" si="425"/>
        <v>9.106278334211914E-3</v>
      </c>
      <c r="FB169" s="460">
        <f t="shared" si="426"/>
        <v>446.53229582014347</v>
      </c>
      <c r="FC169" s="173">
        <f t="shared" si="427"/>
        <v>1.2950766575166146</v>
      </c>
      <c r="FD169" s="5">
        <f t="shared" si="428"/>
        <v>10.855999999999998</v>
      </c>
      <c r="FE169" s="173">
        <f t="shared" si="429"/>
        <v>0.89341877316562845</v>
      </c>
      <c r="FF169" s="5">
        <f t="shared" si="430"/>
        <v>89.341877316562844</v>
      </c>
      <c r="FG169">
        <f t="shared" si="431"/>
        <v>59</v>
      </c>
      <c r="FI169" s="562">
        <f t="shared" si="432"/>
        <v>-50</v>
      </c>
      <c r="FJ169">
        <f t="shared" si="433"/>
        <v>-50</v>
      </c>
    </row>
    <row r="170" spans="5:166">
      <c r="E170" s="170">
        <v>60</v>
      </c>
      <c r="F170" s="217">
        <f t="shared" si="476"/>
        <v>0.6</v>
      </c>
      <c r="G170" s="217">
        <f t="shared" si="444"/>
        <v>0.15</v>
      </c>
      <c r="H170" s="217">
        <f t="shared" si="445"/>
        <v>9.8399999999999981</v>
      </c>
      <c r="I170" s="217">
        <f t="shared" si="446"/>
        <v>1.2</v>
      </c>
      <c r="J170" s="541">
        <f t="shared" si="447"/>
        <v>9.8863073838410234</v>
      </c>
      <c r="K170" s="443">
        <f t="shared" si="448"/>
        <v>17.150319394189307</v>
      </c>
      <c r="L170" s="172">
        <f t="shared" si="449"/>
        <v>27.036626778030332</v>
      </c>
      <c r="M170" s="443"/>
      <c r="N170" s="217">
        <f t="shared" si="450"/>
        <v>0.63433650710174649</v>
      </c>
      <c r="O170" s="172">
        <f t="shared" si="451"/>
        <v>18.631961844492515</v>
      </c>
      <c r="P170" s="172">
        <f t="shared" si="452"/>
        <v>2.5492868674796427</v>
      </c>
      <c r="Q170" s="217">
        <f t="shared" si="322"/>
        <v>1.1360952344202755</v>
      </c>
      <c r="R170" s="217">
        <f t="shared" si="453"/>
        <v>2.3289952305615644</v>
      </c>
      <c r="S170" s="217">
        <f t="shared" si="454"/>
        <v>16.399999999999999</v>
      </c>
      <c r="T170" s="217">
        <f t="shared" si="455"/>
        <v>3.5208315982780367</v>
      </c>
      <c r="U170" s="217">
        <f t="shared" si="326"/>
        <v>4.2735854287105433</v>
      </c>
      <c r="V170" s="217">
        <f t="shared" si="327"/>
        <v>2.4635097579378691</v>
      </c>
      <c r="W170" s="197">
        <f t="shared" si="328"/>
        <v>350</v>
      </c>
      <c r="X170" s="443">
        <f t="shared" si="435"/>
        <v>144.15255565826249</v>
      </c>
      <c r="Z170" s="217">
        <f t="shared" si="329"/>
        <v>1.4931537366666474</v>
      </c>
      <c r="AA170" s="173">
        <f t="shared" si="330"/>
        <v>1.0447528368521526</v>
      </c>
      <c r="AB170" s="173">
        <f t="shared" si="456"/>
        <v>0.24332243741443271</v>
      </c>
      <c r="AC170" s="173"/>
      <c r="AD170" s="173">
        <f t="shared" si="332"/>
        <v>0.93292723198035354</v>
      </c>
      <c r="AE170" s="545">
        <f t="shared" si="457"/>
        <v>964.70546592314804</v>
      </c>
      <c r="AF170" s="528">
        <f t="shared" si="458"/>
        <v>0.21768302079541585</v>
      </c>
      <c r="AH170" s="173">
        <f t="shared" si="459"/>
        <v>2.2928460168844431</v>
      </c>
      <c r="AI170" s="173">
        <f t="shared" si="460"/>
        <v>3.5208315982780367</v>
      </c>
      <c r="AJ170" s="173">
        <f t="shared" si="461"/>
        <v>2.8203690851442245</v>
      </c>
      <c r="AL170" s="545">
        <f t="shared" si="462"/>
        <v>600</v>
      </c>
      <c r="AM170" s="460">
        <f t="shared" si="463"/>
        <v>144.15255565826249</v>
      </c>
      <c r="AO170">
        <f t="shared" si="340"/>
        <v>600</v>
      </c>
      <c r="AP170">
        <f t="shared" si="341"/>
        <v>144.15255565826249</v>
      </c>
      <c r="AR170" s="5">
        <f t="shared" si="443"/>
        <v>6.9370951866484116</v>
      </c>
      <c r="AS170" s="5">
        <f t="shared" si="440"/>
        <v>4.2735854287105433</v>
      </c>
      <c r="AT170" s="5">
        <f t="shared" si="441"/>
        <v>2.6635097579378684</v>
      </c>
      <c r="AU170" s="173">
        <f t="shared" si="442"/>
        <v>0.61604826137253621</v>
      </c>
      <c r="AW170" s="5">
        <f t="shared" ref="AW170:AW210" si="477">F170*AS170/Vout_ripple*1000</f>
        <v>15.63506864162394</v>
      </c>
      <c r="AX170" s="5">
        <f t="shared" ref="AX170:AX210" si="478">G170*AS170/Vout_ripple2*1000</f>
        <v>8.0129726788322682</v>
      </c>
      <c r="AY170" s="5">
        <f t="shared" ref="AY170:AY210" si="479">H170/Efficiency/J170*AT170/Vinripple1</f>
        <v>2.2091949164749662</v>
      </c>
      <c r="AZ170" s="5"/>
      <c r="BA170" s="173">
        <f t="shared" ref="BA170:BA209" si="480">AI170*SQRT(AU170/3)</f>
        <v>1.5954823125147564</v>
      </c>
      <c r="BB170" s="173">
        <f t="shared" ref="BB170:BB210" si="481">AI170*Npri_sec1*SQRT((1-AU170)/3)*(Pout/Pout_total)</f>
        <v>1.2595718472018933</v>
      </c>
      <c r="BC170" s="173">
        <f t="shared" ref="BC170:BC210" si="482">AI170*Npri_sec2*SQRT((1-AU170)/3)*(Pout2/Pout_total)</f>
        <v>0.30901977886875714</v>
      </c>
      <c r="BD170" s="173"/>
      <c r="BE170" s="528">
        <f t="shared" ref="BE170:BE210" si="483">Rdson*BA170^2</f>
        <v>5.09112761909487E-2</v>
      </c>
      <c r="BF170" s="528">
        <f t="shared" si="464"/>
        <v>0.25728909393016974</v>
      </c>
      <c r="BG170" s="528">
        <f t="shared" si="465"/>
        <v>3.5628411885095856E-2</v>
      </c>
      <c r="BH170" s="528">
        <f t="shared" ref="BH170:BH210" si="484">0.5*(Coss+Csw)*L170^2*AM170*1000</f>
        <v>1.0537251801609948E-2</v>
      </c>
      <c r="BI170">
        <f t="shared" ref="BI170:BI210" si="485">J170*IQ</f>
        <v>4.4488383227284604E-3</v>
      </c>
      <c r="BJ170" s="460">
        <f t="shared" si="436"/>
        <v>40.077250207824314</v>
      </c>
      <c r="BK170">
        <f t="shared" si="466"/>
        <v>0.33655480820127404</v>
      </c>
      <c r="BL170" s="460">
        <f t="shared" si="437"/>
        <v>358.81487213055271</v>
      </c>
      <c r="BM170" s="173">
        <f t="shared" si="467"/>
        <v>0.37274999999999997</v>
      </c>
      <c r="BN170" s="173">
        <f t="shared" si="468"/>
        <v>9.3187499999999993E-2</v>
      </c>
      <c r="BO170" s="528"/>
      <c r="BQ170" s="460">
        <f t="shared" ref="BQ170:BQ210" si="486">SUM(BM170:BP170)*1000</f>
        <v>465.93749999999994</v>
      </c>
      <c r="BR170" s="528">
        <f t="shared" ref="BR170:BR210" si="487">Rdcr_pri*BA170^2</f>
        <v>7.6366914286423046E-2</v>
      </c>
      <c r="BS170" s="528">
        <f t="shared" ref="BS170:BS210" si="488">Rdcr_sec*BB170^2</f>
        <v>4.7595637147907689E-2</v>
      </c>
      <c r="BT170" s="528">
        <f t="shared" ref="BT170:BT210" si="489">Rdcr_sec2*BC170^2</f>
        <v>4.7746611866047783E-4</v>
      </c>
      <c r="BU170" s="528">
        <f t="shared" ref="BU170:BU210" si="490">AI170^2.5*AM170^2.5*k_core</f>
        <v>0.29016097588239265</v>
      </c>
      <c r="BV170" s="528"/>
      <c r="BW170" s="625">
        <f t="shared" si="469"/>
        <v>8.9347592975887943E-3</v>
      </c>
      <c r="BX170" s="460">
        <f t="shared" ref="BX170:BX192" si="491">SUM(BR170:BW170)*1000</f>
        <v>423.5357527329727</v>
      </c>
      <c r="BY170" s="173">
        <f t="shared" ref="BY170:BY192" si="492">SUM(BE170:BI170,BM170:BP170,BR170:BW170)</f>
        <v>1.2482881248635254</v>
      </c>
      <c r="BZ170" s="5">
        <f t="shared" ref="BZ170:BZ192" si="493">MIN(H170+I170,O170+P170)</f>
        <v>11.039999999999997</v>
      </c>
      <c r="CA170" s="173">
        <f t="shared" ref="CA170:CA192" si="494">BZ170/(BZ170+BY170)</f>
        <v>0.89841643423563611</v>
      </c>
      <c r="CB170" s="5">
        <f t="shared" ref="CB170:CB192" si="495">CA170*100</f>
        <v>89.84164342356361</v>
      </c>
      <c r="CC170">
        <f t="shared" ref="CC170:CC192" si="496">F170/Iout*100</f>
        <v>60</v>
      </c>
      <c r="CE170" s="562">
        <f t="shared" si="470"/>
        <v>-50</v>
      </c>
      <c r="CF170">
        <f t="shared" si="471"/>
        <v>-50</v>
      </c>
      <c r="CG170" s="173">
        <f t="shared" si="370"/>
        <v>0.35771495841706202</v>
      </c>
      <c r="CH170" s="173">
        <f t="shared" si="472"/>
        <v>0.12498995131688433</v>
      </c>
      <c r="CI170" s="170">
        <v>60</v>
      </c>
      <c r="CJ170" s="217">
        <f t="shared" si="438"/>
        <v>0.6</v>
      </c>
      <c r="CK170" s="217">
        <f t="shared" si="372"/>
        <v>0.15</v>
      </c>
      <c r="CL170" s="217">
        <f t="shared" si="373"/>
        <v>9.8399999999999981</v>
      </c>
      <c r="CM170" s="217">
        <f t="shared" si="374"/>
        <v>1.2</v>
      </c>
      <c r="CN170" s="541">
        <f t="shared" si="375"/>
        <v>10</v>
      </c>
      <c r="CO170" s="443">
        <f t="shared" si="473"/>
        <v>17.099999999999998</v>
      </c>
      <c r="CP170" s="443">
        <f t="shared" si="474"/>
        <v>27.099999999999998</v>
      </c>
      <c r="CQ170" s="443"/>
      <c r="CR170" s="217">
        <f t="shared" si="378"/>
        <v>0.62686567164179097</v>
      </c>
      <c r="CS170" s="172">
        <f t="shared" si="379"/>
        <v>18.624269954574949</v>
      </c>
      <c r="CT170" s="172">
        <f t="shared" si="380"/>
        <v>2.5482344375682562</v>
      </c>
      <c r="CU170" s="217">
        <f t="shared" si="381"/>
        <v>1.135626216742375</v>
      </c>
      <c r="CV170" s="217">
        <f t="shared" si="382"/>
        <v>2.3280337443218686</v>
      </c>
      <c r="CW170" s="217">
        <f t="shared" si="383"/>
        <v>16.399999999999999</v>
      </c>
      <c r="CX170" s="217">
        <f t="shared" si="384"/>
        <v>3.5222857142857138</v>
      </c>
      <c r="CY170" s="217">
        <f t="shared" si="385"/>
        <v>4.2267428571428569</v>
      </c>
      <c r="CZ170" s="217">
        <f t="shared" si="386"/>
        <v>2.4717794486215543</v>
      </c>
      <c r="DA170" s="197">
        <f t="shared" si="387"/>
        <v>350</v>
      </c>
      <c r="DB170" s="443">
        <f t="shared" si="388"/>
        <v>149.28665672120707</v>
      </c>
      <c r="DD170" s="217">
        <f t="shared" si="389"/>
        <v>1.5023721665788083</v>
      </c>
      <c r="DE170" s="173">
        <f t="shared" si="390"/>
        <v>1.0542962572482866</v>
      </c>
      <c r="DF170" s="173">
        <f t="shared" si="391"/>
        <v>0.24706104135140031</v>
      </c>
      <c r="DG170" s="173"/>
      <c r="DH170" s="173">
        <f t="shared" si="392"/>
        <v>0.93567251461988332</v>
      </c>
      <c r="DI170" s="545">
        <f t="shared" si="393"/>
        <v>961.87499999999955</v>
      </c>
      <c r="DJ170" s="528">
        <f t="shared" si="394"/>
        <v>0.21832358674463945</v>
      </c>
      <c r="DL170" s="173">
        <f t="shared" si="395"/>
        <v>2.2928460168844431</v>
      </c>
      <c r="DM170" s="173">
        <f t="shared" si="396"/>
        <v>3.5222857142857138</v>
      </c>
      <c r="DN170" s="173">
        <f t="shared" si="397"/>
        <v>2.8214462081128744</v>
      </c>
      <c r="DP170" s="545">
        <f t="shared" si="398"/>
        <v>600</v>
      </c>
      <c r="DQ170" s="460">
        <f t="shared" si="399"/>
        <v>149.28665672120707</v>
      </c>
      <c r="DS170">
        <f t="shared" si="400"/>
        <v>600</v>
      </c>
      <c r="DT170">
        <f t="shared" si="401"/>
        <v>149.28665672120707</v>
      </c>
      <c r="DV170" s="5">
        <f t="shared" si="402"/>
        <v>6.6985223057644108</v>
      </c>
      <c r="DW170" s="5">
        <f t="shared" si="403"/>
        <v>4.2267428571428569</v>
      </c>
      <c r="DX170" s="5">
        <f t="shared" si="404"/>
        <v>2.4717794486215539</v>
      </c>
      <c r="DY170" s="173">
        <f t="shared" si="405"/>
        <v>0.63099630996309963</v>
      </c>
      <c r="EA170" s="5">
        <f t="shared" si="406"/>
        <v>15.463693379790943</v>
      </c>
      <c r="EB170" s="5">
        <f t="shared" si="407"/>
        <v>7.9251428571428564</v>
      </c>
      <c r="EC170" s="5">
        <f t="shared" si="408"/>
        <v>2.0268591478696734</v>
      </c>
      <c r="ED170" s="5"/>
      <c r="EE170" s="173">
        <f t="shared" si="409"/>
        <v>1.6153899021238574</v>
      </c>
      <c r="EF170" s="173">
        <f t="shared" si="410"/>
        <v>1.2353195329427988</v>
      </c>
      <c r="EG170" s="173">
        <f t="shared" si="411"/>
        <v>0.30306978498309695</v>
      </c>
      <c r="EH170" s="173"/>
      <c r="EI170" s="528">
        <f t="shared" si="412"/>
        <v>5.2189690717674514E-2</v>
      </c>
      <c r="EJ170" s="528">
        <f t="shared" si="413"/>
        <v>0.28499999999999998</v>
      </c>
      <c r="EK170" s="528">
        <f t="shared" si="414"/>
        <v>1.8660832090150882E-2</v>
      </c>
      <c r="EL170" s="528">
        <f t="shared" si="415"/>
        <v>1.0963761356262166E-2</v>
      </c>
      <c r="EM170">
        <f t="shared" si="416"/>
        <v>4.4999999999999997E-3</v>
      </c>
      <c r="EN170" s="460">
        <f t="shared" si="417"/>
        <v>23.160832090150883</v>
      </c>
      <c r="EP170" s="460">
        <f t="shared" si="439"/>
        <v>371.3142841640875</v>
      </c>
      <c r="EQ170" s="173">
        <f t="shared" si="418"/>
        <v>0.42</v>
      </c>
      <c r="ER170" s="173">
        <f t="shared" si="475"/>
        <v>6.6562499999999997E-2</v>
      </c>
      <c r="ES170" s="528"/>
      <c r="EU170" s="460">
        <f t="shared" ref="EU170:EU210" si="497">SUM(EQ170:ET170)*1000</f>
        <v>486.5625</v>
      </c>
      <c r="EV170" s="528">
        <f t="shared" si="421"/>
        <v>7.8284536076511757E-2</v>
      </c>
      <c r="EW170" s="528">
        <f t="shared" si="422"/>
        <v>4.5780430454100435E-2</v>
      </c>
      <c r="EX170" s="528">
        <f t="shared" si="423"/>
        <v>4.5925647284850309E-4</v>
      </c>
      <c r="EY170" s="528">
        <f t="shared" si="424"/>
        <v>0.31701801185397371</v>
      </c>
      <c r="EZ170" s="528"/>
      <c r="FA170" s="625">
        <f t="shared" si="425"/>
        <v>9.2606220347917767E-3</v>
      </c>
      <c r="FB170" s="460">
        <f t="shared" ref="FB170:FB192" si="498">SUM(EV170:FA170)*1000</f>
        <v>450.80285689222615</v>
      </c>
      <c r="FC170" s="173">
        <f t="shared" si="427"/>
        <v>1.3086796410563135</v>
      </c>
      <c r="FD170" s="5">
        <f t="shared" si="428"/>
        <v>11.039999999999997</v>
      </c>
      <c r="FE170" s="173">
        <f t="shared" si="429"/>
        <v>0.89402270695360198</v>
      </c>
      <c r="FF170" s="5">
        <f t="shared" si="430"/>
        <v>89.402270695360201</v>
      </c>
      <c r="FG170">
        <f t="shared" si="431"/>
        <v>60</v>
      </c>
      <c r="FI170" s="562">
        <f t="shared" si="432"/>
        <v>-50</v>
      </c>
      <c r="FJ170">
        <f t="shared" si="433"/>
        <v>-50</v>
      </c>
    </row>
    <row r="171" spans="5:166">
      <c r="E171" s="170">
        <v>61</v>
      </c>
      <c r="F171" s="217">
        <f t="shared" si="476"/>
        <v>0.61</v>
      </c>
      <c r="G171" s="217">
        <f t="shared" si="444"/>
        <v>0.1525</v>
      </c>
      <c r="H171" s="217">
        <f t="shared" si="445"/>
        <v>10.004</v>
      </c>
      <c r="I171" s="217">
        <f t="shared" si="446"/>
        <v>1.22</v>
      </c>
      <c r="J171" s="541">
        <f t="shared" si="447"/>
        <v>9.8844125069050399</v>
      </c>
      <c r="K171" s="443">
        <f t="shared" si="448"/>
        <v>17.151158050759129</v>
      </c>
      <c r="L171" s="172">
        <f t="shared" si="449"/>
        <v>27.035570557664169</v>
      </c>
      <c r="M171" s="443"/>
      <c r="N171" s="217">
        <f t="shared" si="450"/>
        <v>0.63439230972312655</v>
      </c>
      <c r="O171" s="172">
        <f t="shared" si="451"/>
        <v>18.630029456592577</v>
      </c>
      <c r="P171" s="172">
        <f t="shared" si="452"/>
        <v>2.5490224717527026</v>
      </c>
      <c r="Q171" s="217">
        <f t="shared" si="322"/>
        <v>1.1359774058897913</v>
      </c>
      <c r="R171" s="217">
        <f t="shared" si="453"/>
        <v>2.3287536820740722</v>
      </c>
      <c r="S171" s="217">
        <f t="shared" si="454"/>
        <v>16.399999999999999</v>
      </c>
      <c r="T171" s="217">
        <f t="shared" si="455"/>
        <v>3.5798834075236892</v>
      </c>
      <c r="U171" s="217">
        <f t="shared" si="326"/>
        <v>4.3460955175913902</v>
      </c>
      <c r="V171" s="217">
        <f t="shared" si="327"/>
        <v>2.5047055576741584</v>
      </c>
      <c r="W171" s="197">
        <f t="shared" si="328"/>
        <v>350</v>
      </c>
      <c r="X171" s="443">
        <f t="shared" si="435"/>
        <v>141.82785605851711</v>
      </c>
      <c r="Z171" s="217">
        <f t="shared" si="329"/>
        <v>1.492998876312297</v>
      </c>
      <c r="AA171" s="173">
        <f t="shared" si="330"/>
        <v>1.0445934007910669</v>
      </c>
      <c r="AB171" s="173">
        <f t="shared" si="456"/>
        <v>0.2432600728362474</v>
      </c>
      <c r="AC171" s="173"/>
      <c r="AD171" s="173">
        <f t="shared" si="332"/>
        <v>0.93288161374571588</v>
      </c>
      <c r="AE171" s="545">
        <f t="shared" si="457"/>
        <v>980.83185102778748</v>
      </c>
      <c r="AF171" s="528">
        <f t="shared" si="458"/>
        <v>0.21767237654066707</v>
      </c>
      <c r="AH171" s="173">
        <f t="shared" si="459"/>
        <v>2.3118741109242746</v>
      </c>
      <c r="AI171" s="173">
        <f t="shared" si="460"/>
        <v>3.5798834075236892</v>
      </c>
      <c r="AJ171" s="173">
        <f t="shared" si="461"/>
        <v>2.8641111660669303</v>
      </c>
      <c r="AL171" s="545">
        <f t="shared" si="462"/>
        <v>610</v>
      </c>
      <c r="AM171" s="460">
        <f t="shared" si="463"/>
        <v>141.82785605851711</v>
      </c>
      <c r="AO171">
        <f t="shared" si="340"/>
        <v>610</v>
      </c>
      <c r="AP171">
        <f t="shared" si="341"/>
        <v>141.82785605851711</v>
      </c>
      <c r="AR171" s="5">
        <f t="shared" si="443"/>
        <v>7.0508010752655483</v>
      </c>
      <c r="AS171" s="5">
        <f t="shared" si="440"/>
        <v>4.3460955175913902</v>
      </c>
      <c r="AT171" s="5">
        <f t="shared" si="441"/>
        <v>2.7047055576741581</v>
      </c>
      <c r="AU171" s="173">
        <f t="shared" si="442"/>
        <v>0.61639740948551824</v>
      </c>
      <c r="AW171" s="5">
        <f t="shared" si="477"/>
        <v>16.165355278846025</v>
      </c>
      <c r="AX171" s="5">
        <f t="shared" si="478"/>
        <v>8.2847445804085869</v>
      </c>
      <c r="AY171" s="5">
        <f t="shared" si="479"/>
        <v>2.281190576582929</v>
      </c>
      <c r="AZ171" s="5"/>
      <c r="BA171" s="173">
        <f t="shared" si="480"/>
        <v>1.6227015742724413</v>
      </c>
      <c r="BB171" s="173">
        <f t="shared" si="481"/>
        <v>1.2801151008177141</v>
      </c>
      <c r="BC171" s="173">
        <f t="shared" si="482"/>
        <v>0.31405980235269593</v>
      </c>
      <c r="BD171" s="173"/>
      <c r="BE171" s="528">
        <f t="shared" si="483"/>
        <v>5.2663207982925189E-2</v>
      </c>
      <c r="BF171" s="528">
        <f t="shared" si="464"/>
        <v>0.25737551685396476</v>
      </c>
      <c r="BG171" s="528">
        <f t="shared" si="465"/>
        <v>3.5047125856308349E-2</v>
      </c>
      <c r="BH171" s="528">
        <f t="shared" si="484"/>
        <v>1.0366511089676565E-2</v>
      </c>
      <c r="BI171">
        <f t="shared" si="485"/>
        <v>4.4479856281072682E-3</v>
      </c>
      <c r="BJ171" s="460">
        <f t="shared" si="436"/>
        <v>39.495111484415617</v>
      </c>
      <c r="BK171">
        <f t="shared" si="466"/>
        <v>0.33886443763563234</v>
      </c>
      <c r="BL171" s="460">
        <f t="shared" si="437"/>
        <v>359.90034741098214</v>
      </c>
      <c r="BM171" s="173">
        <f t="shared" si="467"/>
        <v>0.37896249999999998</v>
      </c>
      <c r="BN171" s="173">
        <f t="shared" si="468"/>
        <v>9.4740624999999995E-2</v>
      </c>
      <c r="BO171" s="528"/>
      <c r="BQ171" s="460">
        <f t="shared" si="486"/>
        <v>473.703125</v>
      </c>
      <c r="BR171" s="528">
        <f t="shared" si="487"/>
        <v>7.8994811974387777E-2</v>
      </c>
      <c r="BS171" s="528">
        <f t="shared" si="488"/>
        <v>4.9160840140246388E-2</v>
      </c>
      <c r="BT171" s="528">
        <f t="shared" si="489"/>
        <v>4.9316779726907213E-4</v>
      </c>
      <c r="BU171" s="528">
        <f t="shared" si="490"/>
        <v>0.29043306310354594</v>
      </c>
      <c r="BV171" s="528"/>
      <c r="BW171" s="625">
        <f t="shared" si="469"/>
        <v>9.0880206905998677E-3</v>
      </c>
      <c r="BX171" s="460">
        <f t="shared" si="491"/>
        <v>428.16990370604907</v>
      </c>
      <c r="BY171" s="173">
        <f t="shared" si="492"/>
        <v>1.2617733761170311</v>
      </c>
      <c r="BZ171" s="5">
        <f t="shared" si="493"/>
        <v>11.224</v>
      </c>
      <c r="CA171" s="173">
        <f t="shared" si="494"/>
        <v>0.89894311404605753</v>
      </c>
      <c r="CB171" s="5">
        <f t="shared" si="495"/>
        <v>89.894311404605759</v>
      </c>
      <c r="CC171">
        <f t="shared" si="496"/>
        <v>61</v>
      </c>
      <c r="CE171" s="562">
        <f t="shared" si="470"/>
        <v>-50</v>
      </c>
      <c r="CF171">
        <f t="shared" si="471"/>
        <v>-50</v>
      </c>
      <c r="CG171" s="173">
        <f t="shared" si="370"/>
        <v>0.35771495841706197</v>
      </c>
      <c r="CH171" s="173">
        <f t="shared" si="472"/>
        <v>0.1249899513168843</v>
      </c>
      <c r="CI171" s="170">
        <v>61</v>
      </c>
      <c r="CJ171" s="217">
        <f t="shared" si="438"/>
        <v>0.61</v>
      </c>
      <c r="CK171" s="217">
        <f t="shared" si="372"/>
        <v>0.1525</v>
      </c>
      <c r="CL171" s="217">
        <f t="shared" si="373"/>
        <v>10.004</v>
      </c>
      <c r="CM171" s="217">
        <f t="shared" si="374"/>
        <v>1.22</v>
      </c>
      <c r="CN171" s="541">
        <f t="shared" si="375"/>
        <v>10</v>
      </c>
      <c r="CO171" s="443">
        <f t="shared" si="473"/>
        <v>17.099999999999998</v>
      </c>
      <c r="CP171" s="443">
        <f t="shared" si="474"/>
        <v>27.099999999999998</v>
      </c>
      <c r="CQ171" s="443"/>
      <c r="CR171" s="217">
        <f t="shared" si="378"/>
        <v>0.62686567164179097</v>
      </c>
      <c r="CS171" s="172">
        <f t="shared" si="379"/>
        <v>18.624269954574949</v>
      </c>
      <c r="CT171" s="172">
        <f t="shared" si="380"/>
        <v>2.5482344375682562</v>
      </c>
      <c r="CU171" s="217">
        <f t="shared" si="381"/>
        <v>1.135626216742375</v>
      </c>
      <c r="CV171" s="217">
        <f t="shared" si="382"/>
        <v>2.3280337443218686</v>
      </c>
      <c r="CW171" s="217">
        <f t="shared" si="383"/>
        <v>16.399999999999999</v>
      </c>
      <c r="CX171" s="217">
        <f t="shared" si="384"/>
        <v>3.5809904761904767</v>
      </c>
      <c r="CY171" s="217">
        <f t="shared" si="385"/>
        <v>4.2971885714285722</v>
      </c>
      <c r="CZ171" s="217">
        <f t="shared" si="386"/>
        <v>2.5129757727652469</v>
      </c>
      <c r="DA171" s="197">
        <f t="shared" si="387"/>
        <v>350</v>
      </c>
      <c r="DB171" s="443">
        <f t="shared" si="388"/>
        <v>146.83933447987576</v>
      </c>
      <c r="DD171" s="217">
        <f t="shared" si="389"/>
        <v>1.5023721665788083</v>
      </c>
      <c r="DE171" s="173">
        <f t="shared" si="390"/>
        <v>1.0542962572482866</v>
      </c>
      <c r="DF171" s="173">
        <f t="shared" si="391"/>
        <v>0.24706104135140031</v>
      </c>
      <c r="DG171" s="173"/>
      <c r="DH171" s="173">
        <f t="shared" si="392"/>
        <v>0.93567251461988332</v>
      </c>
      <c r="DI171" s="545">
        <f t="shared" si="393"/>
        <v>977.90624999999966</v>
      </c>
      <c r="DJ171" s="528">
        <f t="shared" si="394"/>
        <v>0.21832358674463945</v>
      </c>
      <c r="DL171" s="173">
        <f t="shared" si="395"/>
        <v>2.3118741109242746</v>
      </c>
      <c r="DM171" s="173">
        <f t="shared" si="396"/>
        <v>3.5809904761904767</v>
      </c>
      <c r="DN171" s="173">
        <f t="shared" si="397"/>
        <v>2.8649312169312173</v>
      </c>
      <c r="DP171" s="545">
        <f t="shared" si="398"/>
        <v>610</v>
      </c>
      <c r="DQ171" s="460">
        <f t="shared" si="399"/>
        <v>146.83933447987576</v>
      </c>
      <c r="DS171">
        <f t="shared" si="400"/>
        <v>610</v>
      </c>
      <c r="DT171">
        <f t="shared" si="401"/>
        <v>146.83933447987576</v>
      </c>
      <c r="DV171" s="5">
        <f t="shared" si="402"/>
        <v>6.8101643441938196</v>
      </c>
      <c r="DW171" s="5">
        <f t="shared" si="403"/>
        <v>4.2971885714285722</v>
      </c>
      <c r="DX171" s="5">
        <f t="shared" si="404"/>
        <v>2.5129757727652473</v>
      </c>
      <c r="DY171" s="173">
        <f t="shared" si="405"/>
        <v>0.63099630996309963</v>
      </c>
      <c r="EA171" s="5">
        <f t="shared" si="406"/>
        <v>15.983445296167252</v>
      </c>
      <c r="EB171" s="5">
        <f t="shared" si="407"/>
        <v>8.1915157142857158</v>
      </c>
      <c r="EC171" s="5">
        <f t="shared" si="408"/>
        <v>2.0949841358952939</v>
      </c>
      <c r="ED171" s="5"/>
      <c r="EE171" s="173">
        <f t="shared" si="409"/>
        <v>1.6423130671592554</v>
      </c>
      <c r="EF171" s="173">
        <f t="shared" si="410"/>
        <v>1.2559081918251793</v>
      </c>
      <c r="EG171" s="173">
        <f t="shared" si="411"/>
        <v>0.30812094806614865</v>
      </c>
      <c r="EH171" s="173"/>
      <c r="EI171" s="528">
        <f t="shared" si="412"/>
        <v>5.3943844211240821E-2</v>
      </c>
      <c r="EJ171" s="528">
        <f t="shared" si="413"/>
        <v>0.28499999999999998</v>
      </c>
      <c r="EK171" s="528">
        <f t="shared" si="414"/>
        <v>1.8354916809984467E-2</v>
      </c>
      <c r="EL171" s="528">
        <f t="shared" si="415"/>
        <v>1.0784027563536554E-2</v>
      </c>
      <c r="EM171">
        <f t="shared" si="416"/>
        <v>4.4999999999999997E-3</v>
      </c>
      <c r="EN171" s="460">
        <f t="shared" si="417"/>
        <v>22.854916809984466</v>
      </c>
      <c r="EP171" s="460">
        <f t="shared" si="439"/>
        <v>372.58278858476183</v>
      </c>
      <c r="EQ171" s="173">
        <f t="shared" si="418"/>
        <v>0.42699999999999999</v>
      </c>
      <c r="ER171" s="173">
        <f t="shared" si="475"/>
        <v>6.7671874999999992E-2</v>
      </c>
      <c r="ES171" s="528"/>
      <c r="EU171" s="460">
        <f t="shared" si="497"/>
        <v>494.671875</v>
      </c>
      <c r="EV171" s="528">
        <f t="shared" si="421"/>
        <v>8.0915766316861232E-2</v>
      </c>
      <c r="EW171" s="528">
        <f t="shared" si="422"/>
        <v>4.7319161588807744E-2</v>
      </c>
      <c r="EX171" s="528">
        <f t="shared" si="423"/>
        <v>4.7469259318591139E-4</v>
      </c>
      <c r="EY171" s="528">
        <f t="shared" si="424"/>
        <v>0.31701801185397399</v>
      </c>
      <c r="EZ171" s="528"/>
      <c r="FA171" s="625">
        <f t="shared" si="425"/>
        <v>9.4149657353716394E-3</v>
      </c>
      <c r="FB171" s="460">
        <f t="shared" si="498"/>
        <v>455.14259808820049</v>
      </c>
      <c r="FC171" s="173">
        <f t="shared" si="427"/>
        <v>1.3223972616729625</v>
      </c>
      <c r="FD171" s="5">
        <f t="shared" si="428"/>
        <v>11.224</v>
      </c>
      <c r="FE171" s="173">
        <f t="shared" si="429"/>
        <v>0.89459944284462811</v>
      </c>
      <c r="FF171" s="5">
        <f t="shared" si="430"/>
        <v>89.459944284462807</v>
      </c>
      <c r="FG171">
        <f t="shared" si="431"/>
        <v>61</v>
      </c>
      <c r="FI171" s="562">
        <f t="shared" si="432"/>
        <v>-50</v>
      </c>
      <c r="FJ171">
        <f t="shared" si="433"/>
        <v>-50</v>
      </c>
    </row>
    <row r="172" spans="5:166">
      <c r="E172" s="170">
        <v>62</v>
      </c>
      <c r="F172" s="217">
        <f t="shared" si="476"/>
        <v>0.62</v>
      </c>
      <c r="G172" s="217">
        <f t="shared" si="444"/>
        <v>0.155</v>
      </c>
      <c r="H172" s="217">
        <f t="shared" si="445"/>
        <v>10.167999999999999</v>
      </c>
      <c r="I172" s="217">
        <f t="shared" si="446"/>
        <v>1.24</v>
      </c>
      <c r="J172" s="541">
        <f t="shared" si="447"/>
        <v>9.8825176299690565</v>
      </c>
      <c r="K172" s="443">
        <f t="shared" si="448"/>
        <v>17.151996707328948</v>
      </c>
      <c r="L172" s="172">
        <f t="shared" si="449"/>
        <v>27.034514337298006</v>
      </c>
      <c r="M172" s="443"/>
      <c r="N172" s="217">
        <f t="shared" si="450"/>
        <v>0.63444811670484857</v>
      </c>
      <c r="O172" s="172">
        <f t="shared" si="451"/>
        <v>18.628096568412289</v>
      </c>
      <c r="P172" s="172">
        <f t="shared" si="452"/>
        <v>2.5487580075757448</v>
      </c>
      <c r="Q172" s="217">
        <f t="shared" si="322"/>
        <v>1.1358595468544079</v>
      </c>
      <c r="R172" s="217">
        <f t="shared" si="453"/>
        <v>2.3285120710515361</v>
      </c>
      <c r="S172" s="217">
        <f t="shared" si="454"/>
        <v>16.399999999999999</v>
      </c>
      <c r="T172" s="217">
        <f t="shared" si="455"/>
        <v>3.6389475659908639</v>
      </c>
      <c r="U172" s="217">
        <f t="shared" si="326"/>
        <v>4.4186484079186101</v>
      </c>
      <c r="V172" s="217">
        <f t="shared" si="327"/>
        <v>2.5459059686754464</v>
      </c>
      <c r="W172" s="197">
        <f t="shared" si="328"/>
        <v>350</v>
      </c>
      <c r="X172" s="443">
        <f t="shared" si="435"/>
        <v>139.57602209942164</v>
      </c>
      <c r="Z172" s="217">
        <f t="shared" si="329"/>
        <v>1.4928439758657932</v>
      </c>
      <c r="AA172" s="173">
        <f t="shared" si="330"/>
        <v>1.0444339522718609</v>
      </c>
      <c r="AB172" s="173">
        <f t="shared" si="456"/>
        <v>0.24319770652810918</v>
      </c>
      <c r="AC172" s="173"/>
      <c r="AD172" s="173">
        <f t="shared" si="332"/>
        <v>0.93283599997213706</v>
      </c>
      <c r="AE172" s="545">
        <f t="shared" si="457"/>
        <v>996.95980861349494</v>
      </c>
      <c r="AF172" s="528">
        <f t="shared" si="458"/>
        <v>0.217661733326832</v>
      </c>
      <c r="AH172" s="173">
        <f t="shared" si="459"/>
        <v>2.3307468657880785</v>
      </c>
      <c r="AI172" s="173">
        <f t="shared" si="460"/>
        <v>3.6389475659908639</v>
      </c>
      <c r="AJ172" s="173">
        <f t="shared" si="461"/>
        <v>2.9078623945611337</v>
      </c>
      <c r="AL172" s="545">
        <f t="shared" si="462"/>
        <v>620</v>
      </c>
      <c r="AM172" s="460">
        <f t="shared" si="463"/>
        <v>139.57602209942164</v>
      </c>
      <c r="AO172">
        <f t="shared" si="340"/>
        <v>620</v>
      </c>
      <c r="AP172">
        <f t="shared" si="341"/>
        <v>139.57602209942164</v>
      </c>
      <c r="AR172" s="5">
        <f t="shared" si="443"/>
        <v>7.1645543765940563</v>
      </c>
      <c r="AS172" s="5">
        <f t="shared" si="440"/>
        <v>4.4186484079186101</v>
      </c>
      <c r="AT172" s="5">
        <f t="shared" si="441"/>
        <v>2.7459059686754461</v>
      </c>
      <c r="AU172" s="173">
        <f t="shared" si="442"/>
        <v>0.61673736783322219</v>
      </c>
      <c r="AW172" s="5">
        <f t="shared" si="477"/>
        <v>16.704646420180111</v>
      </c>
      <c r="AX172" s="5">
        <f t="shared" si="478"/>
        <v>8.5611312903423062</v>
      </c>
      <c r="AY172" s="5">
        <f t="shared" si="479"/>
        <v>2.354357203878771</v>
      </c>
      <c r="AZ172" s="5"/>
      <c r="BA172" s="173">
        <f t="shared" si="480"/>
        <v>1.649929174558836</v>
      </c>
      <c r="BB172" s="173">
        <f t="shared" si="481"/>
        <v>1.3006588772425596</v>
      </c>
      <c r="BC172" s="173">
        <f t="shared" si="482"/>
        <v>0.31909995410111575</v>
      </c>
      <c r="BD172" s="173"/>
      <c r="BE172" s="528">
        <f t="shared" si="483"/>
        <v>5.4445325621208039E-2</v>
      </c>
      <c r="BF172" s="528">
        <f t="shared" si="464"/>
        <v>0.25745804006364198</v>
      </c>
      <c r="BG172" s="528">
        <f t="shared" si="465"/>
        <v>3.4484062477962117E-2</v>
      </c>
      <c r="BH172" s="528">
        <f t="shared" si="484"/>
        <v>1.0201122456984074E-2</v>
      </c>
      <c r="BI172">
        <f t="shared" si="485"/>
        <v>4.4471329334860752E-3</v>
      </c>
      <c r="BJ172" s="460">
        <f t="shared" si="436"/>
        <v>38.931195411448186</v>
      </c>
      <c r="BK172">
        <f t="shared" si="466"/>
        <v>0.34121880394758797</v>
      </c>
      <c r="BL172" s="460">
        <f t="shared" si="437"/>
        <v>361.03568355328224</v>
      </c>
      <c r="BM172" s="173">
        <f t="shared" si="467"/>
        <v>0.38517499999999999</v>
      </c>
      <c r="BN172" s="173">
        <f t="shared" si="468"/>
        <v>9.6293749999999997E-2</v>
      </c>
      <c r="BO172" s="528"/>
      <c r="BQ172" s="460">
        <f t="shared" si="486"/>
        <v>481.46875</v>
      </c>
      <c r="BR172" s="528">
        <f t="shared" si="487"/>
        <v>8.1667988431812055E-2</v>
      </c>
      <c r="BS172" s="528">
        <f t="shared" si="488"/>
        <v>5.0751405448496267E-2</v>
      </c>
      <c r="BT172" s="528">
        <f t="shared" si="489"/>
        <v>5.0912390353667094E-4</v>
      </c>
      <c r="BU172" s="528">
        <f t="shared" si="490"/>
        <v>0.29069431664518897</v>
      </c>
      <c r="BV172" s="528"/>
      <c r="BW172" s="625">
        <f t="shared" si="469"/>
        <v>9.2412861233149672E-3</v>
      </c>
      <c r="BX172" s="460">
        <f t="shared" si="491"/>
        <v>432.86412055234894</v>
      </c>
      <c r="BY172" s="173">
        <f t="shared" si="492"/>
        <v>1.275368554105631</v>
      </c>
      <c r="BZ172" s="5">
        <f t="shared" si="493"/>
        <v>11.407999999999999</v>
      </c>
      <c r="CA172" s="173">
        <f t="shared" si="494"/>
        <v>0.89944559691180848</v>
      </c>
      <c r="CB172" s="5">
        <f t="shared" si="495"/>
        <v>89.944559691180842</v>
      </c>
      <c r="CC172">
        <f t="shared" si="496"/>
        <v>62</v>
      </c>
      <c r="CE172" s="562">
        <f t="shared" si="470"/>
        <v>-50</v>
      </c>
      <c r="CF172">
        <f t="shared" si="471"/>
        <v>-50</v>
      </c>
      <c r="CG172" s="173">
        <f t="shared" si="370"/>
        <v>0.35771495841706191</v>
      </c>
      <c r="CH172" s="173">
        <f t="shared" si="472"/>
        <v>0.1249899513168843</v>
      </c>
      <c r="CI172" s="170">
        <v>62</v>
      </c>
      <c r="CJ172" s="217">
        <f t="shared" si="438"/>
        <v>0.62</v>
      </c>
      <c r="CK172" s="217">
        <f t="shared" si="372"/>
        <v>0.155</v>
      </c>
      <c r="CL172" s="217">
        <f t="shared" si="373"/>
        <v>10.167999999999999</v>
      </c>
      <c r="CM172" s="217">
        <f t="shared" si="374"/>
        <v>1.24</v>
      </c>
      <c r="CN172" s="541">
        <f t="shared" si="375"/>
        <v>10</v>
      </c>
      <c r="CO172" s="443">
        <f t="shared" si="473"/>
        <v>17.099999999999998</v>
      </c>
      <c r="CP172" s="443">
        <f t="shared" si="474"/>
        <v>27.099999999999998</v>
      </c>
      <c r="CQ172" s="443"/>
      <c r="CR172" s="217">
        <f t="shared" si="378"/>
        <v>0.62686567164179097</v>
      </c>
      <c r="CS172" s="172">
        <f t="shared" si="379"/>
        <v>18.624269954574949</v>
      </c>
      <c r="CT172" s="172">
        <f t="shared" si="380"/>
        <v>2.5482344375682562</v>
      </c>
      <c r="CU172" s="217">
        <f t="shared" si="381"/>
        <v>1.135626216742375</v>
      </c>
      <c r="CV172" s="217">
        <f t="shared" si="382"/>
        <v>2.3280337443218686</v>
      </c>
      <c r="CW172" s="217">
        <f t="shared" si="383"/>
        <v>16.399999999999999</v>
      </c>
      <c r="CX172" s="217">
        <f t="shared" si="384"/>
        <v>3.6396952380952383</v>
      </c>
      <c r="CY172" s="217">
        <f t="shared" si="385"/>
        <v>4.3676342857142858</v>
      </c>
      <c r="CZ172" s="217">
        <f t="shared" si="386"/>
        <v>2.5541720969089399</v>
      </c>
      <c r="DA172" s="197">
        <f t="shared" si="387"/>
        <v>350</v>
      </c>
      <c r="DB172" s="443">
        <f t="shared" si="388"/>
        <v>144.47095811729713</v>
      </c>
      <c r="DD172" s="217">
        <f t="shared" si="389"/>
        <v>1.5023721665788083</v>
      </c>
      <c r="DE172" s="173">
        <f t="shared" si="390"/>
        <v>1.0542962572482866</v>
      </c>
      <c r="DF172" s="173">
        <f t="shared" si="391"/>
        <v>0.24706104135140031</v>
      </c>
      <c r="DG172" s="173"/>
      <c r="DH172" s="173">
        <f t="shared" si="392"/>
        <v>0.93567251461988332</v>
      </c>
      <c r="DI172" s="545">
        <f t="shared" si="393"/>
        <v>993.93749999999966</v>
      </c>
      <c r="DJ172" s="528">
        <f t="shared" si="394"/>
        <v>0.21832358674463945</v>
      </c>
      <c r="DL172" s="173">
        <f t="shared" si="395"/>
        <v>2.3307468657880785</v>
      </c>
      <c r="DM172" s="173">
        <f t="shared" si="396"/>
        <v>3.6396952380952383</v>
      </c>
      <c r="DN172" s="173">
        <f t="shared" si="397"/>
        <v>2.9084162257495589</v>
      </c>
      <c r="DP172" s="545">
        <f t="shared" si="398"/>
        <v>620</v>
      </c>
      <c r="DQ172" s="460">
        <f t="shared" si="399"/>
        <v>144.47095811729713</v>
      </c>
      <c r="DS172">
        <f t="shared" si="400"/>
        <v>620</v>
      </c>
      <c r="DT172">
        <f t="shared" si="401"/>
        <v>144.47095811729713</v>
      </c>
      <c r="DV172" s="5">
        <f t="shared" si="402"/>
        <v>6.9218063826232257</v>
      </c>
      <c r="DW172" s="5">
        <f t="shared" si="403"/>
        <v>4.3676342857142858</v>
      </c>
      <c r="DX172" s="5">
        <f t="shared" si="404"/>
        <v>2.5541720969089399</v>
      </c>
      <c r="DY172" s="173">
        <f t="shared" si="405"/>
        <v>0.63099630996309952</v>
      </c>
      <c r="EA172" s="5">
        <f t="shared" si="406"/>
        <v>16.511788153310107</v>
      </c>
      <c r="EB172" s="5">
        <f t="shared" si="407"/>
        <v>8.4622914285714295</v>
      </c>
      <c r="EC172" s="5">
        <f t="shared" si="408"/>
        <v>2.1642351567808413</v>
      </c>
      <c r="ED172" s="5"/>
      <c r="EE172" s="173">
        <f t="shared" si="409"/>
        <v>1.6692362321946528</v>
      </c>
      <c r="EF172" s="173">
        <f t="shared" si="410"/>
        <v>1.2764968507075594</v>
      </c>
      <c r="EG172" s="173">
        <f t="shared" si="411"/>
        <v>0.31317211114920035</v>
      </c>
      <c r="EH172" s="173"/>
      <c r="EI172" s="528">
        <f t="shared" si="412"/>
        <v>5.5726991977428017E-2</v>
      </c>
      <c r="EJ172" s="528">
        <f t="shared" si="413"/>
        <v>0.28499999999999998</v>
      </c>
      <c r="EK172" s="528">
        <f t="shared" si="414"/>
        <v>1.8058869764662141E-2</v>
      </c>
      <c r="EL172" s="528">
        <f t="shared" si="415"/>
        <v>1.0610091635092418E-2</v>
      </c>
      <c r="EM172">
        <f t="shared" si="416"/>
        <v>4.4999999999999997E-3</v>
      </c>
      <c r="EN172" s="460">
        <f t="shared" si="417"/>
        <v>22.558869764662141</v>
      </c>
      <c r="EP172" s="460">
        <f t="shared" si="439"/>
        <v>373.89595337718259</v>
      </c>
      <c r="EQ172" s="173">
        <f t="shared" si="418"/>
        <v>0.434</v>
      </c>
      <c r="ER172" s="173">
        <f t="shared" si="475"/>
        <v>6.8781250000000002E-2</v>
      </c>
      <c r="ES172" s="528"/>
      <c r="EU172" s="460">
        <f t="shared" si="497"/>
        <v>502.78124999999994</v>
      </c>
      <c r="EV172" s="528">
        <f t="shared" si="421"/>
        <v>8.3590487966142019E-2</v>
      </c>
      <c r="EW172" s="528">
        <f t="shared" si="422"/>
        <v>4.8883326295989508E-2</v>
      </c>
      <c r="EX172" s="528">
        <f t="shared" si="423"/>
        <v>4.9038385600823548E-4</v>
      </c>
      <c r="EY172" s="528">
        <f t="shared" si="424"/>
        <v>0.31701801185397405</v>
      </c>
      <c r="EZ172" s="528"/>
      <c r="FA172" s="625">
        <f t="shared" si="425"/>
        <v>9.5693094359515021E-3</v>
      </c>
      <c r="FB172" s="460">
        <f t="shared" si="498"/>
        <v>459.5515194080653</v>
      </c>
      <c r="FC172" s="173">
        <f t="shared" si="427"/>
        <v>1.3362287227852478</v>
      </c>
      <c r="FD172" s="5">
        <f t="shared" si="428"/>
        <v>11.407999999999999</v>
      </c>
      <c r="FE172" s="173">
        <f t="shared" si="429"/>
        <v>0.89515028709456368</v>
      </c>
      <c r="FF172" s="5">
        <f t="shared" si="430"/>
        <v>89.515028709456374</v>
      </c>
      <c r="FG172">
        <f t="shared" si="431"/>
        <v>62</v>
      </c>
      <c r="FI172" s="562">
        <f t="shared" si="432"/>
        <v>-50</v>
      </c>
      <c r="FJ172">
        <f t="shared" si="433"/>
        <v>-50</v>
      </c>
    </row>
    <row r="173" spans="5:166">
      <c r="E173" s="170">
        <v>63</v>
      </c>
      <c r="F173" s="217">
        <f t="shared" si="476"/>
        <v>0.63</v>
      </c>
      <c r="G173" s="217">
        <f t="shared" si="444"/>
        <v>0.1575</v>
      </c>
      <c r="H173" s="217">
        <f t="shared" si="445"/>
        <v>10.331999999999999</v>
      </c>
      <c r="I173" s="217">
        <f t="shared" si="446"/>
        <v>1.26</v>
      </c>
      <c r="J173" s="541">
        <f t="shared" si="447"/>
        <v>9.8806227530330748</v>
      </c>
      <c r="K173" s="443">
        <f t="shared" si="448"/>
        <v>17.15283536389877</v>
      </c>
      <c r="L173" s="172">
        <f t="shared" si="449"/>
        <v>27.033458116931847</v>
      </c>
      <c r="M173" s="443"/>
      <c r="N173" s="217">
        <f t="shared" si="450"/>
        <v>0.63450392804742384</v>
      </c>
      <c r="O173" s="172">
        <f t="shared" si="451"/>
        <v>18.626163179893023</v>
      </c>
      <c r="P173" s="172">
        <f t="shared" si="452"/>
        <v>2.5484934749407469</v>
      </c>
      <c r="Q173" s="217">
        <f t="shared" si="322"/>
        <v>1.1357416573105503</v>
      </c>
      <c r="R173" s="217">
        <f t="shared" si="453"/>
        <v>2.3282703974866279</v>
      </c>
      <c r="S173" s="217">
        <f t="shared" si="454"/>
        <v>16.399999999999999</v>
      </c>
      <c r="T173" s="217">
        <f t="shared" si="455"/>
        <v>3.6980240822949559</v>
      </c>
      <c r="U173" s="217">
        <f t="shared" si="326"/>
        <v>4.4912441347805929</v>
      </c>
      <c r="V173" s="217">
        <f t="shared" si="327"/>
        <v>2.5871109962926226</v>
      </c>
      <c r="W173" s="197">
        <f t="shared" si="328"/>
        <v>350</v>
      </c>
      <c r="X173" s="443">
        <f t="shared" si="435"/>
        <v>137.39368057636216</v>
      </c>
      <c r="Z173" s="217">
        <f t="shared" si="329"/>
        <v>1.4926890353224371</v>
      </c>
      <c r="AA173" s="173">
        <f t="shared" si="330"/>
        <v>1.0442744912930744</v>
      </c>
      <c r="AB173" s="173">
        <f t="shared" si="456"/>
        <v>0.24313533849280719</v>
      </c>
      <c r="AC173" s="173"/>
      <c r="AD173" s="173">
        <f t="shared" si="332"/>
        <v>0.93279039065896263</v>
      </c>
      <c r="AE173" s="545">
        <f t="shared" si="457"/>
        <v>1013.0893386802711</v>
      </c>
      <c r="AF173" s="528">
        <f t="shared" si="458"/>
        <v>0.21765109115375797</v>
      </c>
      <c r="AH173" s="173">
        <f t="shared" si="459"/>
        <v>2.3494680248941462</v>
      </c>
      <c r="AI173" s="173">
        <f t="shared" si="460"/>
        <v>3.6980240822949559</v>
      </c>
      <c r="AJ173" s="173">
        <f t="shared" si="461"/>
        <v>2.951622777008609</v>
      </c>
      <c r="AL173" s="545">
        <f t="shared" si="462"/>
        <v>630</v>
      </c>
      <c r="AM173" s="460">
        <f t="shared" si="463"/>
        <v>137.39368057636216</v>
      </c>
      <c r="AO173">
        <f t="shared" si="340"/>
        <v>630</v>
      </c>
      <c r="AP173">
        <f t="shared" si="341"/>
        <v>137.39368057636216</v>
      </c>
      <c r="AR173" s="5">
        <f t="shared" si="443"/>
        <v>7.2783551310732157</v>
      </c>
      <c r="AS173" s="5">
        <f t="shared" si="440"/>
        <v>4.4912441347805929</v>
      </c>
      <c r="AT173" s="5">
        <f t="shared" si="441"/>
        <v>2.7871109962926228</v>
      </c>
      <c r="AU173" s="173">
        <f t="shared" si="442"/>
        <v>0.61706856204450489</v>
      </c>
      <c r="AW173" s="5">
        <f t="shared" si="477"/>
        <v>17.25295002994984</v>
      </c>
      <c r="AX173" s="5">
        <f t="shared" si="478"/>
        <v>8.8421368903492912</v>
      </c>
      <c r="AY173" s="5">
        <f t="shared" si="479"/>
        <v>2.428695668065362</v>
      </c>
      <c r="AZ173" s="5"/>
      <c r="BA173" s="173">
        <f t="shared" si="480"/>
        <v>1.6771651057684718</v>
      </c>
      <c r="BB173" s="173">
        <f t="shared" si="481"/>
        <v>1.3212032063251211</v>
      </c>
      <c r="BC173" s="173">
        <f t="shared" si="482"/>
        <v>0.32414024143700959</v>
      </c>
      <c r="BD173" s="173"/>
      <c r="BE173" s="528">
        <f t="shared" si="483"/>
        <v>5.6257655840147386E-2</v>
      </c>
      <c r="BF173" s="528">
        <f t="shared" si="464"/>
        <v>0.25753684386048498</v>
      </c>
      <c r="BG173" s="528">
        <f t="shared" si="465"/>
        <v>3.3938378160644052E-2</v>
      </c>
      <c r="BH173" s="528">
        <f t="shared" si="484"/>
        <v>1.0040838137176034E-2</v>
      </c>
      <c r="BI173">
        <f t="shared" si="485"/>
        <v>4.4462802388648831E-3</v>
      </c>
      <c r="BJ173" s="460">
        <f t="shared" si="436"/>
        <v>38.384658399508936</v>
      </c>
      <c r="BK173">
        <f t="shared" si="466"/>
        <v>0.34361798432576596</v>
      </c>
      <c r="BL173" s="460">
        <f t="shared" si="437"/>
        <v>362.21999623731733</v>
      </c>
      <c r="BM173" s="173">
        <f t="shared" si="467"/>
        <v>0.39138749999999994</v>
      </c>
      <c r="BN173" s="173">
        <f t="shared" si="468"/>
        <v>9.7846874999999986E-2</v>
      </c>
      <c r="BO173" s="528"/>
      <c r="BQ173" s="460">
        <f t="shared" si="486"/>
        <v>489.23437499999994</v>
      </c>
      <c r="BR173" s="528">
        <f t="shared" si="487"/>
        <v>8.4386483760221065E-2</v>
      </c>
      <c r="BS173" s="528">
        <f t="shared" si="488"/>
        <v>5.2367337372113409E-2</v>
      </c>
      <c r="BT173" s="528">
        <f t="shared" si="489"/>
        <v>5.253344805942144E-4</v>
      </c>
      <c r="BU173" s="528">
        <f t="shared" si="490"/>
        <v>0.29094522669398604</v>
      </c>
      <c r="BV173" s="528"/>
      <c r="BW173" s="625">
        <f t="shared" si="469"/>
        <v>9.394555409126466E-3</v>
      </c>
      <c r="BX173" s="460">
        <f t="shared" si="491"/>
        <v>437.61893771604122</v>
      </c>
      <c r="BY173" s="173">
        <f t="shared" si="492"/>
        <v>1.2890733089533584</v>
      </c>
      <c r="BZ173" s="5">
        <f t="shared" si="493"/>
        <v>11.591999999999999</v>
      </c>
      <c r="CA173" s="173">
        <f t="shared" si="494"/>
        <v>0.89992500795276498</v>
      </c>
      <c r="CB173" s="5">
        <f t="shared" si="495"/>
        <v>89.992500795276499</v>
      </c>
      <c r="CC173">
        <f t="shared" si="496"/>
        <v>63</v>
      </c>
      <c r="CE173" s="562">
        <f t="shared" si="470"/>
        <v>-50</v>
      </c>
      <c r="CF173">
        <f t="shared" si="471"/>
        <v>-50</v>
      </c>
      <c r="CG173" s="173">
        <f t="shared" si="370"/>
        <v>0.35771495841706197</v>
      </c>
      <c r="CH173" s="173">
        <f t="shared" si="472"/>
        <v>0.12498995131688433</v>
      </c>
      <c r="CI173" s="170">
        <v>63</v>
      </c>
      <c r="CJ173" s="217">
        <f t="shared" si="438"/>
        <v>0.63</v>
      </c>
      <c r="CK173" s="217">
        <f t="shared" si="372"/>
        <v>0.1575</v>
      </c>
      <c r="CL173" s="217">
        <f t="shared" si="373"/>
        <v>10.331999999999999</v>
      </c>
      <c r="CM173" s="217">
        <f t="shared" si="374"/>
        <v>1.26</v>
      </c>
      <c r="CN173" s="541">
        <f t="shared" si="375"/>
        <v>10</v>
      </c>
      <c r="CO173" s="443">
        <f t="shared" si="473"/>
        <v>17.099999999999998</v>
      </c>
      <c r="CP173" s="443">
        <f t="shared" si="474"/>
        <v>27.099999999999998</v>
      </c>
      <c r="CQ173" s="443"/>
      <c r="CR173" s="217">
        <f t="shared" si="378"/>
        <v>0.62686567164179097</v>
      </c>
      <c r="CS173" s="172">
        <f t="shared" si="379"/>
        <v>18.624269954574949</v>
      </c>
      <c r="CT173" s="172">
        <f t="shared" si="380"/>
        <v>2.5482344375682562</v>
      </c>
      <c r="CU173" s="217">
        <f t="shared" si="381"/>
        <v>1.135626216742375</v>
      </c>
      <c r="CV173" s="217">
        <f t="shared" si="382"/>
        <v>2.3280337443218686</v>
      </c>
      <c r="CW173" s="217">
        <f t="shared" si="383"/>
        <v>16.399999999999999</v>
      </c>
      <c r="CX173" s="217">
        <f t="shared" si="384"/>
        <v>3.6983999999999999</v>
      </c>
      <c r="CY173" s="217">
        <f t="shared" si="385"/>
        <v>4.4380800000000002</v>
      </c>
      <c r="CZ173" s="217">
        <f t="shared" si="386"/>
        <v>2.595368421052632</v>
      </c>
      <c r="DA173" s="197">
        <f t="shared" si="387"/>
        <v>350</v>
      </c>
      <c r="DB173" s="443">
        <f t="shared" si="388"/>
        <v>142.17776830591148</v>
      </c>
      <c r="DD173" s="217">
        <f t="shared" si="389"/>
        <v>1.5023721665788083</v>
      </c>
      <c r="DE173" s="173">
        <f t="shared" si="390"/>
        <v>1.0542962572482866</v>
      </c>
      <c r="DF173" s="173">
        <f t="shared" si="391"/>
        <v>0.24706104135140031</v>
      </c>
      <c r="DG173" s="173"/>
      <c r="DH173" s="173">
        <f t="shared" si="392"/>
        <v>0.93567251461988332</v>
      </c>
      <c r="DI173" s="545">
        <f t="shared" si="393"/>
        <v>1009.9687499999995</v>
      </c>
      <c r="DJ173" s="528">
        <f t="shared" si="394"/>
        <v>0.21832358674463945</v>
      </c>
      <c r="DL173" s="173">
        <f t="shared" si="395"/>
        <v>2.3494680248941462</v>
      </c>
      <c r="DM173" s="173">
        <f t="shared" si="396"/>
        <v>3.6983999999999999</v>
      </c>
      <c r="DN173" s="173">
        <f t="shared" si="397"/>
        <v>2.951901234567901</v>
      </c>
      <c r="DP173" s="545">
        <f t="shared" si="398"/>
        <v>630</v>
      </c>
      <c r="DQ173" s="460">
        <f t="shared" si="399"/>
        <v>142.17776830591148</v>
      </c>
      <c r="DS173">
        <f t="shared" si="400"/>
        <v>630</v>
      </c>
      <c r="DT173">
        <f t="shared" si="401"/>
        <v>142.17776830591148</v>
      </c>
      <c r="DV173" s="5">
        <f t="shared" si="402"/>
        <v>7.0334484210526318</v>
      </c>
      <c r="DW173" s="5">
        <f t="shared" si="403"/>
        <v>4.4380800000000002</v>
      </c>
      <c r="DX173" s="5">
        <f t="shared" si="404"/>
        <v>2.5953684210526315</v>
      </c>
      <c r="DY173" s="173">
        <f t="shared" si="405"/>
        <v>0.63099630996309963</v>
      </c>
      <c r="EA173" s="5">
        <f t="shared" si="406"/>
        <v>17.048721951219516</v>
      </c>
      <c r="EB173" s="5">
        <f t="shared" si="407"/>
        <v>8.7374700000000001</v>
      </c>
      <c r="EC173" s="5">
        <f t="shared" si="408"/>
        <v>2.2346122105263153</v>
      </c>
      <c r="ED173" s="5"/>
      <c r="EE173" s="173">
        <f t="shared" si="409"/>
        <v>1.6961593972300504</v>
      </c>
      <c r="EF173" s="173">
        <f t="shared" si="410"/>
        <v>1.297085509589939</v>
      </c>
      <c r="EG173" s="173">
        <f t="shared" si="411"/>
        <v>0.31822327423225183</v>
      </c>
      <c r="EH173" s="173"/>
      <c r="EI173" s="528">
        <f t="shared" si="412"/>
        <v>5.7539134016236164E-2</v>
      </c>
      <c r="EJ173" s="528">
        <f t="shared" si="413"/>
        <v>0.28499999999999998</v>
      </c>
      <c r="EK173" s="528">
        <f t="shared" si="414"/>
        <v>1.7772221038238938E-2</v>
      </c>
      <c r="EL173" s="528">
        <f t="shared" si="415"/>
        <v>1.0441677482154445E-2</v>
      </c>
      <c r="EM173">
        <f t="shared" si="416"/>
        <v>4.4999999999999997E-3</v>
      </c>
      <c r="EN173" s="460">
        <f t="shared" si="417"/>
        <v>22.272221038238939</v>
      </c>
      <c r="EP173" s="460">
        <f t="shared" si="439"/>
        <v>375.25303253662958</v>
      </c>
      <c r="EQ173" s="173">
        <f t="shared" si="418"/>
        <v>0.44099999999999995</v>
      </c>
      <c r="ER173" s="173">
        <f t="shared" si="475"/>
        <v>6.9890624999999998E-2</v>
      </c>
      <c r="ES173" s="528"/>
      <c r="EU173" s="460">
        <f t="shared" si="497"/>
        <v>510.89062499999994</v>
      </c>
      <c r="EV173" s="528">
        <f t="shared" si="421"/>
        <v>8.6308701024354242E-2</v>
      </c>
      <c r="EW173" s="528">
        <f t="shared" si="422"/>
        <v>5.0472924575645749E-2</v>
      </c>
      <c r="EX173" s="528">
        <f t="shared" si="423"/>
        <v>5.0633026131547483E-4</v>
      </c>
      <c r="EY173" s="528">
        <f t="shared" si="424"/>
        <v>0.31701801185397432</v>
      </c>
      <c r="EZ173" s="528"/>
      <c r="FA173" s="625">
        <f t="shared" si="425"/>
        <v>9.7236531365313648E-3</v>
      </c>
      <c r="FB173" s="460">
        <f t="shared" si="498"/>
        <v>464.02962085182111</v>
      </c>
      <c r="FC173" s="173">
        <f t="shared" si="427"/>
        <v>1.3501732783884508</v>
      </c>
      <c r="FD173" s="5">
        <f t="shared" si="428"/>
        <v>11.591999999999999</v>
      </c>
      <c r="FE173" s="173">
        <f t="shared" si="429"/>
        <v>0.89567646411881663</v>
      </c>
      <c r="FF173" s="5">
        <f t="shared" si="430"/>
        <v>89.567646411881668</v>
      </c>
      <c r="FG173">
        <f t="shared" si="431"/>
        <v>63</v>
      </c>
      <c r="FI173" s="562">
        <f t="shared" si="432"/>
        <v>-50</v>
      </c>
      <c r="FJ173">
        <f t="shared" si="433"/>
        <v>-50</v>
      </c>
    </row>
    <row r="174" spans="5:166">
      <c r="E174" s="170">
        <v>64</v>
      </c>
      <c r="F174" s="217">
        <f t="shared" si="476"/>
        <v>0.64</v>
      </c>
      <c r="G174" s="217">
        <f t="shared" ref="G174:G210" si="499">IF(PLOT_TYPE=1, E174/100*Iout2, min_I*EXP(Q174*rr/100))</f>
        <v>0.16</v>
      </c>
      <c r="H174" s="217">
        <f t="shared" ref="H174:H210" si="500">F174*Vout</f>
        <v>10.495999999999999</v>
      </c>
      <c r="I174" s="217">
        <f t="shared" ref="I174:I210" si="501">Vout2*G174</f>
        <v>1.28</v>
      </c>
      <c r="J174" s="541">
        <f t="shared" ref="J174:J210" si="502">VIN_min-(F174/CG174/Nps+G174/CH174/(Nps/Nsec1sec2))*(Rdcr_pri+RON/1000)</f>
        <v>9.8787278760970914</v>
      </c>
      <c r="K174" s="443">
        <f t="shared" ref="K174:K210" si="503">MAX((S174+Vfwd2+Rdcr_sec*F174/CG174)*Nps,(Vout2+Vfwd22+Rdcr_sec2*G174/CH174)*Nps/Nsec1sec2)</f>
        <v>17.153674020468593</v>
      </c>
      <c r="L174" s="172">
        <f t="shared" ref="L174:L210" si="504">MAX((Vout+Vfwd2+F174/CG174*Rdcr_sec)*Nps+J174, (Vout2+Vfwd22+G174/CH174*Rdcr_sec2)*Nps/Nsec1sec2+J174)</f>
        <v>27.032401896565684</v>
      </c>
      <c r="M174" s="443"/>
      <c r="N174" s="217">
        <f t="shared" ref="N174:N210" si="505">MAX((Vout+Vfwd2+F174/CG174*Rdcr_sec)*Nps/((Vout+Vfwd2+F174/CG174*Rdcr_sec)*Nps+J174), (Vout2+Vfwd22+G174/CH174*Rdcr_sec2)*Nps/Nsec1sec2/((Vout2+Vfwd22+G174/CH174*Rdcr_sec2)*Nps/Nsec1sec2+J174))</f>
        <v>0.63455974375136348</v>
      </c>
      <c r="O174" s="172">
        <f t="shared" ref="O174:O205" si="506">N174*J174*Isw_max*0.5*Efficiency*Pout/(Pout+Pout2)</f>
        <v>18.624229290976125</v>
      </c>
      <c r="P174" s="172">
        <f t="shared" ref="P174:P210" si="507">N174*J174*Isw_max*0.5*Efficiency*(Pout2/Pout_total)</f>
        <v>2.5482288738396841</v>
      </c>
      <c r="Q174" s="217">
        <f t="shared" ref="Q174:Q210" si="508">O174/Vout</f>
        <v>1.1356237372546418</v>
      </c>
      <c r="R174" s="217">
        <f t="shared" ref="R174:R210" si="509">O174/Vout2</f>
        <v>2.3280286613720156</v>
      </c>
      <c r="S174" s="217">
        <f t="shared" ref="S174:S210" si="510">MIN(Vout,O174/F174)</f>
        <v>16.399999999999999</v>
      </c>
      <c r="T174" s="217">
        <f t="shared" ref="T174:T210" si="511">MIN(2*(Vout*F174+Vout2*G174)/(Efficiency*J174*N174), Isw_max)</f>
        <v>3.7571129650576762</v>
      </c>
      <c r="U174" s="217">
        <f t="shared" ref="U174:U210" si="512">L*T174/J174*1000000</f>
        <v>4.5638827333003258</v>
      </c>
      <c r="V174" s="217">
        <f t="shared" ref="V174:V210" si="513">L*T174/K174*1000000</f>
        <v>2.6283206458799491</v>
      </c>
      <c r="W174" s="197">
        <f t="shared" ref="W174:W210" si="514">IF(1/((350000*L)*(1/J174+1/K174))&gt;Isw_min, 350, 0.001/((Isw_min*L)*(1/J174+1/K174)))</f>
        <v>350</v>
      </c>
      <c r="X174" s="443">
        <f t="shared" si="435"/>
        <v>135.27766333059014</v>
      </c>
      <c r="Z174" s="217">
        <f t="shared" ref="Z174:Z210" si="515">1/((W174*1000*L)*(1/J174+1/K174))</f>
        <v>1.492534054677529</v>
      </c>
      <c r="AA174" s="173">
        <f t="shared" ref="AA174:AA210" si="516">L*Z174/K174*1000000</f>
        <v>1.0441150178532472</v>
      </c>
      <c r="AB174" s="173">
        <f t="shared" ref="AB174:AB205" si="517">0.5*AA174*Z174*Nps*W174/1000*(Pout/(Pout+Pout2))</f>
        <v>0.24307296873313131</v>
      </c>
      <c r="AC174" s="173"/>
      <c r="AD174" s="173">
        <f t="shared" ref="AD174:AD210" si="518">L*Isw_min/K174*1000000</f>
        <v>0.93274478580553821</v>
      </c>
      <c r="AE174" s="545">
        <f t="shared" ref="AE174:AE205" si="519">MAX(10, F174/(0.5*AD174/1000000*Isw_min*Nps)/1000*Pout_total/Pout)</f>
        <v>1029.2204412281153</v>
      </c>
      <c r="AF174" s="528">
        <f t="shared" ref="AF174:AF210" si="520">0.5*AD174/1000000*Isw_min*Nps*W174*1000*(Pout/Pout_total)</f>
        <v>0.21764045002129226</v>
      </c>
      <c r="AH174" s="173">
        <f t="shared" ref="AH174:AH210" si="521">SQRT((H174+I174)/(0.5*L*Fsw_DCM))</f>
        <v>2.3680411836830553</v>
      </c>
      <c r="AI174" s="173">
        <f t="shared" ref="AI174:AI205" si="522">MAX(IF(F174&gt;AB174,T174,AH174),Isw_min)</f>
        <v>3.7571129650576762</v>
      </c>
      <c r="AJ174" s="173">
        <f t="shared" ref="AJ174:AJ205" si="523">IF(F174&gt;AF174, (AI174-Isw_min)/1.08*0.8+1.2, AE174*0.2/350+1)</f>
        <v>2.9953923197958092</v>
      </c>
      <c r="AL174" s="545">
        <f t="shared" ref="AL174:AL210" si="524">F174*1000</f>
        <v>640</v>
      </c>
      <c r="AM174" s="460">
        <f t="shared" ref="AM174:AM210" si="525">IF(F174&gt;AF174, X174, AE174)</f>
        <v>135.27766333059014</v>
      </c>
      <c r="AO174">
        <f t="shared" ref="AO174:AO210" si="526">IF(H174&gt;O174, "",AL174)</f>
        <v>640</v>
      </c>
      <c r="AP174">
        <f t="shared" ref="AP174:AP210" si="527">IF(H174&gt;O174, "",AM174)</f>
        <v>135.27766333059014</v>
      </c>
      <c r="AR174" s="5">
        <f t="shared" si="443"/>
        <v>7.392203379180275</v>
      </c>
      <c r="AS174" s="5">
        <f t="shared" si="440"/>
        <v>4.5638827333003258</v>
      </c>
      <c r="AT174" s="5">
        <f t="shared" si="441"/>
        <v>2.8283206458799492</v>
      </c>
      <c r="AU174" s="173">
        <f t="shared" si="442"/>
        <v>0.61739139187569503</v>
      </c>
      <c r="AW174" s="5">
        <f t="shared" si="477"/>
        <v>17.810274081172004</v>
      </c>
      <c r="AX174" s="5">
        <f t="shared" si="478"/>
        <v>9.1277654666006516</v>
      </c>
      <c r="AY174" s="5">
        <f t="shared" si="479"/>
        <v>2.504206839811947</v>
      </c>
      <c r="AZ174" s="5"/>
      <c r="BA174" s="173">
        <f t="shared" si="480"/>
        <v>1.7044093610593116</v>
      </c>
      <c r="BB174" s="173">
        <f t="shared" si="481"/>
        <v>1.3417481162032177</v>
      </c>
      <c r="BC174" s="173">
        <f t="shared" si="482"/>
        <v>0.3291806712636301</v>
      </c>
      <c r="BD174" s="173"/>
      <c r="BE174" s="528">
        <f t="shared" si="483"/>
        <v>5.8100225401332216E-2</v>
      </c>
      <c r="BF174" s="528">
        <f t="shared" ref="BF174:BF210" si="528">0.5*L174*AI174*AM174*1000*Tfall</f>
        <v>0.25761209758586329</v>
      </c>
      <c r="BG174" s="528">
        <f t="shared" ref="BG174:BG210" si="529">Qg*Vdd*AM174*1000*0+Qg*J174*AM174*1000</f>
        <v>3.3409280593929454E-2</v>
      </c>
      <c r="BH174" s="528">
        <f t="shared" si="484"/>
        <v>9.8854254247869641E-3</v>
      </c>
      <c r="BI174">
        <f t="shared" si="485"/>
        <v>4.445427544243691E-3</v>
      </c>
      <c r="BJ174" s="460">
        <f t="shared" si="436"/>
        <v>37.854708138173145</v>
      </c>
      <c r="BK174">
        <f t="shared" ref="BK174:BK210" si="530">(BF174+BG174*0+BH174+BI174*0+BE174*(1+RdsonTC*(Ta-25)))/(1-BE174*RdsonTC*ThetaJA)</f>
        <v>0.34606206230665532</v>
      </c>
      <c r="BL174" s="460">
        <f t="shared" si="437"/>
        <v>363.4524565501556</v>
      </c>
      <c r="BM174" s="173">
        <f t="shared" ref="BM174:BM210" si="531">Vfwd2*F174*(1+Diode_TC/1000*(Ta-25))</f>
        <v>0.39759999999999995</v>
      </c>
      <c r="BN174" s="173">
        <f t="shared" ref="BN174:BN210" si="532">Vfwd2*G174*(1+Diode_TC/1000*(Ta-25))</f>
        <v>9.9399999999999988E-2</v>
      </c>
      <c r="BO174" s="528"/>
      <c r="BQ174" s="460">
        <f t="shared" si="486"/>
        <v>496.99999999999994</v>
      </c>
      <c r="BR174" s="528">
        <f t="shared" si="487"/>
        <v>8.715033810199832E-2</v>
      </c>
      <c r="BS174" s="528">
        <f t="shared" si="488"/>
        <v>5.4008640220046499E-2</v>
      </c>
      <c r="BT174" s="528">
        <f t="shared" si="489"/>
        <v>5.4179957166787052E-4</v>
      </c>
      <c r="BU174" s="528">
        <f t="shared" si="490"/>
        <v>0.29118625429321837</v>
      </c>
      <c r="BV174" s="528"/>
      <c r="BW174" s="625">
        <f t="shared" ref="BW174:BW210" si="533">0.5*Lleak*0.000000001*AI174^2*AM174*1000</f>
        <v>9.5478283727698267E-3</v>
      </c>
      <c r="BX174" s="460">
        <f t="shared" si="491"/>
        <v>442.43486055970089</v>
      </c>
      <c r="BY174" s="173">
        <f t="shared" si="492"/>
        <v>1.3028873171098565</v>
      </c>
      <c r="BZ174" s="5">
        <f t="shared" si="493"/>
        <v>11.775999999999998</v>
      </c>
      <c r="CA174" s="173">
        <f t="shared" si="494"/>
        <v>0.90038240367699984</v>
      </c>
      <c r="CB174" s="5">
        <f t="shared" si="495"/>
        <v>90.038240367699984</v>
      </c>
      <c r="CC174">
        <f t="shared" si="496"/>
        <v>64</v>
      </c>
      <c r="CE174" s="562">
        <f t="shared" ref="CE174:CE210" si="534">IF(ABS(F174-Ioutmax_Vinmin)&lt;Iout/200, AM174, -50)</f>
        <v>-50</v>
      </c>
      <c r="CF174">
        <f t="shared" ref="CF174:CF210" si="535">IF(ABS(F174-Ioutmax_Vinmin)&lt;Iout/200, (O174+P174)*CA174, -50)</f>
        <v>-50</v>
      </c>
      <c r="CG174" s="173">
        <f t="shared" ref="CG174:CG210" si="536">MIN(SQRT(2*DT174*1000*Ls1_*(CL174+CJ174*Vfwd1))/(CW174+Vfwd1), 1-DY174)</f>
        <v>0.35771495841706202</v>
      </c>
      <c r="CH174" s="173">
        <f t="shared" ref="CH174:CH210" si="537">MIN(SQRT(2*DT174*1000*Ls2_*(CM174+CK174*Vfwd22))/(Vout2+Vfwd22), 1-DY174)</f>
        <v>0.12498995131688435</v>
      </c>
      <c r="CI174" s="170">
        <v>64</v>
      </c>
      <c r="CJ174" s="217">
        <f t="shared" si="438"/>
        <v>0.64</v>
      </c>
      <c r="CK174" s="217">
        <f t="shared" ref="CK174:CK210" si="538">IF(PLOT_TYPE=1, CI174/100*Iout2, min_I*EXP(CU174*rr/100))</f>
        <v>0.16</v>
      </c>
      <c r="CL174" s="217">
        <f t="shared" ref="CL174:CL210" si="539">CJ174*Vout</f>
        <v>10.495999999999999</v>
      </c>
      <c r="CM174" s="217">
        <f t="shared" ref="CM174:CM210" si="540">Vout2*CK174</f>
        <v>1.28</v>
      </c>
      <c r="CN174" s="541">
        <f t="shared" ref="CN174:CN212" si="541">VIN_min</f>
        <v>10</v>
      </c>
      <c r="CO174" s="443">
        <f t="shared" ref="CO174:CO210" si="542">(CW174+Vfwd2)*Nps</f>
        <v>17.099999999999998</v>
      </c>
      <c r="CP174" s="443">
        <f t="shared" ref="CP174:CP210" si="543">(Vout+Vfwd2)*Nps+CN174</f>
        <v>27.099999999999998</v>
      </c>
      <c r="CQ174" s="443"/>
      <c r="CR174" s="217">
        <f t="shared" ref="CR174:CR210" si="544">(Vout+Vfwd1)*Nps/((Vout+Vfwd1)*Nps+CN174)</f>
        <v>0.62686567164179097</v>
      </c>
      <c r="CS174" s="172">
        <f t="shared" ref="CS174:CS210" si="545">CR174*CN174*Isw_max*0.5*Efficiency*Pout/(Pout+Pout2)</f>
        <v>18.624269954574949</v>
      </c>
      <c r="CT174" s="172">
        <f t="shared" ref="CT174:CT210" si="546">CR174*CN174*Isw_max*0.5*Efficiency*(Pout2/Pout_total)</f>
        <v>2.5482344375682562</v>
      </c>
      <c r="CU174" s="217">
        <f t="shared" ref="CU174:CU210" si="547">CS174/Vout</f>
        <v>1.135626216742375</v>
      </c>
      <c r="CV174" s="217">
        <f t="shared" ref="CV174:CV210" si="548">CS174/Vout2</f>
        <v>2.3280337443218686</v>
      </c>
      <c r="CW174" s="217">
        <f t="shared" ref="CW174:CW210" si="549">MIN(Vout,CS174/CJ174)</f>
        <v>16.399999999999999</v>
      </c>
      <c r="CX174" s="217">
        <f t="shared" ref="CX174:CX210" si="550">MIN(2*(Vout*CJ174+Vout2*CK174)/(Efficiency*CN174*CR174), Isw_max)</f>
        <v>3.7571047619047615</v>
      </c>
      <c r="CY174" s="217">
        <f t="shared" ref="CY174:CY210" si="551">L*CX174/CN174*1000000</f>
        <v>4.5085257142857138</v>
      </c>
      <c r="CZ174" s="217">
        <f t="shared" ref="CZ174:CZ210" si="552">L*CX174/CO174*1000000</f>
        <v>2.6365647451963241</v>
      </c>
      <c r="DA174" s="197">
        <f t="shared" ref="DA174:DA210" si="553">IF(1/((350000*L)*(1/CN174+1/CO174))&gt;Isw_min, 350, 0.001/((Isw_min*L)*(1/CN174+1/CO174)))</f>
        <v>350</v>
      </c>
      <c r="DB174" s="443">
        <f t="shared" ref="DB174:DB210" si="554">MIN(1/(CY174+CZ174)*1000, 350)</f>
        <v>139.95624067613164</v>
      </c>
      <c r="DD174" s="217">
        <f t="shared" ref="DD174:DD210" si="555">1/((DA174*1000*L)*(1/CN174+1/CO174))</f>
        <v>1.5023721665788083</v>
      </c>
      <c r="DE174" s="173">
        <f t="shared" ref="DE174:DE210" si="556">L*DD174/CO174*1000000</f>
        <v>1.0542962572482866</v>
      </c>
      <c r="DF174" s="173">
        <f t="shared" ref="DF174:DF210" si="557">0.5*DE174*DD174*Nps*DA174/1000*(Pout/(Pout+Pout2))</f>
        <v>0.24706104135140031</v>
      </c>
      <c r="DG174" s="173"/>
      <c r="DH174" s="173">
        <f t="shared" ref="DH174:DH210" si="558">L*Isw_min/CO174*1000000</f>
        <v>0.93567251461988332</v>
      </c>
      <c r="DI174" s="545">
        <f t="shared" ref="DI174:DI210" si="559">MAX(10, CJ174/(0.5*DH174/1000000*Isw_min*Nps)/1000*Pout_total/Pout)</f>
        <v>1025.9999999999995</v>
      </c>
      <c r="DJ174" s="528">
        <f t="shared" ref="DJ174:DJ210" si="560">0.5*DH174/1000000*Isw_min*Nps*DA174*1000*(Pout/Pout_total)</f>
        <v>0.21832358674463945</v>
      </c>
      <c r="DL174" s="173">
        <f t="shared" ref="DL174:DL210" si="561">SQRT((CL174+CM174)/(0.5*L*Fsw_DCM))</f>
        <v>2.3680411836830553</v>
      </c>
      <c r="DM174" s="173">
        <f t="shared" ref="DM174:DM210" si="562">MAX(IF(CJ174&gt;DF174,CX174,DL174),Isw_min)</f>
        <v>3.7571047619047615</v>
      </c>
      <c r="DN174" s="173">
        <f t="shared" ref="DN174:DN210" si="563">IF(CJ174&gt;DJ174, (DM174-Isw_min)/1.08*0.8+1.2, DI174*0.2/350+1)</f>
        <v>2.995386243386243</v>
      </c>
      <c r="DP174" s="545">
        <f t="shared" ref="DP174:DP210" si="564">CJ174*1000</f>
        <v>640</v>
      </c>
      <c r="DQ174" s="460">
        <f t="shared" ref="DQ174:DQ210" si="565">IF(CJ174&gt;DJ174, DB174, DI174)</f>
        <v>139.95624067613164</v>
      </c>
      <c r="DS174">
        <f t="shared" ref="DS174:DS192" si="566">IF(CL174&gt;CS174, "",DP174)</f>
        <v>640</v>
      </c>
      <c r="DT174">
        <f t="shared" ref="DT174:DT193" si="567">IF(CL174&gt;CS174, "",DQ174)</f>
        <v>139.95624067613164</v>
      </c>
      <c r="DV174" s="5">
        <f t="shared" ref="DV174:DV210" si="568">1/DQ174*1000</f>
        <v>7.145090459482037</v>
      </c>
      <c r="DW174" s="5">
        <f t="shared" ref="DW174:DW210" si="569">L*DM174/CN174*1000000</f>
        <v>4.5085257142857138</v>
      </c>
      <c r="DX174" s="5">
        <f t="shared" ref="DX174:DX210" si="570">DV174-DW174</f>
        <v>2.6365647451963232</v>
      </c>
      <c r="DY174" s="173">
        <f t="shared" ref="DY174:DY210" si="571">DW174/DV174</f>
        <v>0.63099630996309963</v>
      </c>
      <c r="EA174" s="5">
        <f t="shared" ref="EA174:EA210" si="572">CJ174*DW174/Vout_ripple*1000</f>
        <v>17.594246689895471</v>
      </c>
      <c r="EB174" s="5">
        <f t="shared" ref="EB174:EB210" si="573">CK174*DW174/Vout_ripple2*1000</f>
        <v>9.0170514285714276</v>
      </c>
      <c r="EC174" s="5">
        <f t="shared" ref="EC174:EC210" si="574">CL174/Efficiency/CN174*DX174/Vinripple1</f>
        <v>2.3061152971317167</v>
      </c>
      <c r="ED174" s="5"/>
      <c r="EE174" s="173">
        <f t="shared" ref="EE174:EE210" si="575">DM174*SQRT(DY174/3)</f>
        <v>1.723082562265448</v>
      </c>
      <c r="EF174" s="173">
        <f t="shared" ref="EF174:EF210" si="576">DM174*Npri_sec1*SQRT((1-DY174)/3)*(Pout/Pout_total)</f>
        <v>1.317674168472319</v>
      </c>
      <c r="EG174" s="173">
        <f t="shared" ref="EG174:EG210" si="577">DM174*Npri_sec2*SQRT((1-DY174)/3)*(Pout2/Pout_total)</f>
        <v>0.32327443731530348</v>
      </c>
      <c r="EH174" s="173"/>
      <c r="EI174" s="528">
        <f t="shared" ref="EI174:EI210" si="578">Rdson*EE174^2</f>
        <v>5.9380270327665227E-2</v>
      </c>
      <c r="EJ174" s="528">
        <f t="shared" ref="EJ174:EJ210" si="579">0.5*CP174*DM174*DQ174*1000*Trise</f>
        <v>0.28500000000000003</v>
      </c>
      <c r="EK174" s="528">
        <f t="shared" ref="EK174:EK210" si="580">Qg*Vdd*DQ174*1000</f>
        <v>1.7494530084516454E-2</v>
      </c>
      <c r="EL174" s="528">
        <f t="shared" ref="EL174:EL210" si="581">0.5*(Coss+Csw)*CP174^2*DQ174*1000</f>
        <v>1.0278526271495782E-2</v>
      </c>
      <c r="EM174">
        <f t="shared" ref="EM174:EM210" si="582">CN174*IQ</f>
        <v>4.4999999999999997E-3</v>
      </c>
      <c r="EN174" s="460">
        <f t="shared" ref="EN174:EN210" si="583">(EK174+EM174)*1000</f>
        <v>21.994530084516455</v>
      </c>
      <c r="EP174" s="460">
        <f t="shared" si="439"/>
        <v>376.65332668367751</v>
      </c>
      <c r="EQ174" s="173">
        <f t="shared" ref="EQ174:EQ210" si="584">Vfwd2*CJ174</f>
        <v>0.44799999999999995</v>
      </c>
      <c r="ER174" s="173">
        <f t="shared" ref="ER174:ER210" si="585">Vfwd22*CK174*(1+Diode_TC/1000*(Ta-25))</f>
        <v>7.0999999999999994E-2</v>
      </c>
      <c r="ES174" s="528"/>
      <c r="EU174" s="460">
        <f t="shared" si="497"/>
        <v>518.99999999999989</v>
      </c>
      <c r="EV174" s="528">
        <f t="shared" ref="EV174:EV210" si="586">Rdcr_pri*EE174^2</f>
        <v>8.9070405491497834E-2</v>
      </c>
      <c r="EW174" s="528">
        <f t="shared" ref="EW174:EW210" si="587">Rdcr_sec*EF174^2</f>
        <v>5.2087956427776513E-2</v>
      </c>
      <c r="EX174" s="528">
        <f t="shared" ref="EX174:EX210" si="588">Rdcr_sec2*EG174^2</f>
        <v>5.2253180910763041E-4</v>
      </c>
      <c r="EY174" s="528">
        <f t="shared" ref="EY174:EY210" si="589">DM174^2.5*DQ174^2.5*k_core</f>
        <v>0.31701801185397394</v>
      </c>
      <c r="EZ174" s="528"/>
      <c r="FA174" s="625">
        <f t="shared" ref="FA174:FA210" si="590">0.5*Lleak*0.000000001*DM174^2*DQ174*1000</f>
        <v>9.8779968371112276E-3</v>
      </c>
      <c r="FB174" s="460">
        <f t="shared" si="498"/>
        <v>468.57690241946716</v>
      </c>
      <c r="FC174" s="173">
        <f t="shared" ref="FC174:FC210" si="591">SUM(EI174:EM174,EQ174:ET174,EV174:FA174)</f>
        <v>1.3642302291031443</v>
      </c>
      <c r="FD174" s="5">
        <f t="shared" ref="FD174:FD210" si="592">MIN(CL174+CM174,CS174+CT174)</f>
        <v>11.775999999999998</v>
      </c>
      <c r="FE174" s="173">
        <f t="shared" ref="FE174:FE210" si="593">FD174/(FD174+FC174)</f>
        <v>0.89617912279180389</v>
      </c>
      <c r="FF174" s="5">
        <f t="shared" ref="FF174:FF210" si="594">FE174*100</f>
        <v>89.617912279180388</v>
      </c>
      <c r="FG174">
        <f t="shared" ref="FG174:FG210" si="595">CJ174/Iout*100</f>
        <v>64</v>
      </c>
      <c r="FI174" s="562">
        <f t="shared" ref="FI174:FI210" si="596">IF(ABS(CJ174-Ioutmax_Vinmin)&lt;Iout/200, DQ174, -50)</f>
        <v>-50</v>
      </c>
      <c r="FJ174">
        <f t="shared" ref="FJ174:FJ210" si="597">IF(ABS(CJ174-Ioutmax_Vinmin)&lt;Iout/200, (CS174+CT174)*FE174, -50)</f>
        <v>-50</v>
      </c>
    </row>
    <row r="175" spans="5:166">
      <c r="E175" s="170">
        <v>65</v>
      </c>
      <c r="F175" s="217">
        <f t="shared" ref="F175:F206" si="598">IF(PLOT_TYPE=1, E175/100*Iout_max, min_I*EXP(O175*rr/100))</f>
        <v>0.65</v>
      </c>
      <c r="G175" s="217">
        <f t="shared" si="499"/>
        <v>0.16250000000000001</v>
      </c>
      <c r="H175" s="217">
        <f t="shared" si="500"/>
        <v>10.66</v>
      </c>
      <c r="I175" s="217">
        <f t="shared" si="501"/>
        <v>1.3</v>
      </c>
      <c r="J175" s="541">
        <f t="shared" si="502"/>
        <v>9.8768329991611079</v>
      </c>
      <c r="K175" s="443">
        <f t="shared" si="503"/>
        <v>17.154512677038415</v>
      </c>
      <c r="L175" s="172">
        <f t="shared" si="504"/>
        <v>27.031345676199521</v>
      </c>
      <c r="M175" s="443"/>
      <c r="N175" s="217">
        <f t="shared" si="505"/>
        <v>0.63461556381717876</v>
      </c>
      <c r="O175" s="172">
        <f t="shared" si="506"/>
        <v>18.622294901602935</v>
      </c>
      <c r="P175" s="172">
        <f t="shared" si="507"/>
        <v>2.5479642042645305</v>
      </c>
      <c r="Q175" s="217">
        <f t="shared" si="508"/>
        <v>1.135505786683106</v>
      </c>
      <c r="R175" s="217">
        <f t="shared" si="509"/>
        <v>2.3277868627003668</v>
      </c>
      <c r="S175" s="217">
        <f t="shared" si="510"/>
        <v>16.399999999999999</v>
      </c>
      <c r="T175" s="217">
        <f t="shared" si="511"/>
        <v>3.8162142229070559</v>
      </c>
      <c r="U175" s="217">
        <f t="shared" si="512"/>
        <v>4.6365642386354251</v>
      </c>
      <c r="V175" s="217">
        <f t="shared" si="513"/>
        <v>2.6695349227950627</v>
      </c>
      <c r="W175" s="197">
        <f t="shared" si="514"/>
        <v>350</v>
      </c>
      <c r="X175" s="443">
        <f t="shared" ref="X175:X210" si="599">MIN(1/(U175+V175+0.2)*1000, 350)</f>
        <v>133.22499190237491</v>
      </c>
      <c r="Z175" s="217">
        <f t="shared" si="515"/>
        <v>1.4923790339263672</v>
      </c>
      <c r="AA175" s="173">
        <f t="shared" si="516"/>
        <v>1.0439555319509179</v>
      </c>
      <c r="AB175" s="173">
        <f t="shared" si="517"/>
        <v>0.24301059725187191</v>
      </c>
      <c r="AC175" s="173"/>
      <c r="AD175" s="173">
        <f t="shared" si="518"/>
        <v>0.93269918541120977</v>
      </c>
      <c r="AE175" s="545">
        <f t="shared" si="519"/>
        <v>1045.3531162570282</v>
      </c>
      <c r="AF175" s="528">
        <f t="shared" si="520"/>
        <v>0.21762980992928233</v>
      </c>
      <c r="AH175" s="173">
        <f t="shared" si="521"/>
        <v>2.3864697976798483</v>
      </c>
      <c r="AI175" s="173">
        <f t="shared" si="522"/>
        <v>3.8162142229070559</v>
      </c>
      <c r="AJ175" s="173">
        <f t="shared" si="523"/>
        <v>3.0391710293138683</v>
      </c>
      <c r="AL175" s="545">
        <f t="shared" si="524"/>
        <v>650</v>
      </c>
      <c r="AM175" s="460">
        <f t="shared" si="525"/>
        <v>133.22499190237491</v>
      </c>
      <c r="AO175">
        <f t="shared" si="526"/>
        <v>650</v>
      </c>
      <c r="AP175">
        <f t="shared" si="527"/>
        <v>133.22499190237491</v>
      </c>
      <c r="AR175" s="5">
        <f t="shared" si="443"/>
        <v>7.5060991614304893</v>
      </c>
      <c r="AS175" s="5">
        <f t="shared" si="440"/>
        <v>4.6365642386354251</v>
      </c>
      <c r="AT175" s="5">
        <f t="shared" si="441"/>
        <v>2.8695349227950642</v>
      </c>
      <c r="AU175" s="173">
        <f t="shared" si="442"/>
        <v>0.61770623314704554</v>
      </c>
      <c r="AW175" s="5">
        <f t="shared" si="477"/>
        <v>18.376626555567238</v>
      </c>
      <c r="AX175" s="5">
        <f t="shared" si="478"/>
        <v>9.4180211097282083</v>
      </c>
      <c r="AY175" s="5">
        <f t="shared" si="479"/>
        <v>2.5808915907553134</v>
      </c>
      <c r="AZ175" s="5"/>
      <c r="BA175" s="173">
        <f t="shared" si="480"/>
        <v>1.7316619342956177</v>
      </c>
      <c r="BB175" s="173">
        <f t="shared" si="481"/>
        <v>1.3622936334301281</v>
      </c>
      <c r="BC175" s="173">
        <f t="shared" si="482"/>
        <v>0.33422125009548337</v>
      </c>
      <c r="BD175" s="173"/>
      <c r="BE175" s="528">
        <f t="shared" si="483"/>
        <v>5.9973061093768799E-2</v>
      </c>
      <c r="BF175" s="528">
        <f t="shared" si="528"/>
        <v>0.25768396044153696</v>
      </c>
      <c r="BG175" s="528">
        <f t="shared" si="529"/>
        <v>3.2896024908358697E-2</v>
      </c>
      <c r="BH175" s="528">
        <f t="shared" si="484"/>
        <v>9.734665547996001E-3</v>
      </c>
      <c r="BI175">
        <f t="shared" si="485"/>
        <v>4.4445748496224988E-3</v>
      </c>
      <c r="BJ175" s="460">
        <f t="shared" ref="BJ175:BJ210" si="600">(BG175+BI175)*1000</f>
        <v>37.340599757981195</v>
      </c>
      <c r="BK175">
        <f t="shared" si="530"/>
        <v>0.34855112748639855</v>
      </c>
      <c r="BL175" s="460">
        <f t="shared" ref="BL175:BL210" si="601">SUM(BE175:BI175)*1000</f>
        <v>364.73228684128298</v>
      </c>
      <c r="BM175" s="173">
        <f t="shared" si="531"/>
        <v>0.40381249999999996</v>
      </c>
      <c r="BN175" s="173">
        <f t="shared" si="532"/>
        <v>0.10095312499999999</v>
      </c>
      <c r="BO175" s="528"/>
      <c r="BQ175" s="460">
        <f t="shared" si="486"/>
        <v>504.765625</v>
      </c>
      <c r="BR175" s="528">
        <f t="shared" si="487"/>
        <v>8.9959591640653203E-2</v>
      </c>
      <c r="BS175" s="528">
        <f t="shared" si="488"/>
        <v>5.5675318310527806E-2</v>
      </c>
      <c r="BT175" s="528">
        <f t="shared" si="489"/>
        <v>5.5851922007693828E-4</v>
      </c>
      <c r="BU175" s="528">
        <f t="shared" si="490"/>
        <v>0.29141783347612504</v>
      </c>
      <c r="BV175" s="528"/>
      <c r="BW175" s="625">
        <f t="shared" si="533"/>
        <v>9.7011048494745986E-3</v>
      </c>
      <c r="BX175" s="460">
        <f t="shared" si="491"/>
        <v>447.31236749685758</v>
      </c>
      <c r="BY175" s="173">
        <f t="shared" si="492"/>
        <v>1.3168102793381407</v>
      </c>
      <c r="BZ175" s="5">
        <f t="shared" si="493"/>
        <v>11.96</v>
      </c>
      <c r="CA175" s="173">
        <f t="shared" si="494"/>
        <v>0.9008187771284637</v>
      </c>
      <c r="CB175" s="5">
        <f t="shared" si="495"/>
        <v>90.081877712846364</v>
      </c>
      <c r="CC175">
        <f t="shared" si="496"/>
        <v>65</v>
      </c>
      <c r="CE175" s="562">
        <f t="shared" si="534"/>
        <v>-50</v>
      </c>
      <c r="CF175">
        <f t="shared" si="535"/>
        <v>-50</v>
      </c>
      <c r="CG175" s="173">
        <f t="shared" si="536"/>
        <v>0.35771495841706197</v>
      </c>
      <c r="CH175" s="173">
        <f t="shared" si="537"/>
        <v>0.1249899513168843</v>
      </c>
      <c r="CI175" s="170">
        <v>65</v>
      </c>
      <c r="CJ175" s="217">
        <f t="shared" ref="CJ175:CJ210" si="602">IF(PLOT_TYPE=1, CI175/100*Iout_max, min_I*EXP(CS175*rr/100))</f>
        <v>0.65</v>
      </c>
      <c r="CK175" s="217">
        <f t="shared" si="538"/>
        <v>0.16250000000000001</v>
      </c>
      <c r="CL175" s="217">
        <f t="shared" si="539"/>
        <v>10.66</v>
      </c>
      <c r="CM175" s="217">
        <f t="shared" si="540"/>
        <v>1.3</v>
      </c>
      <c r="CN175" s="541">
        <f t="shared" si="541"/>
        <v>10</v>
      </c>
      <c r="CO175" s="443">
        <f t="shared" si="542"/>
        <v>17.099999999999998</v>
      </c>
      <c r="CP175" s="443">
        <f t="shared" si="543"/>
        <v>27.099999999999998</v>
      </c>
      <c r="CQ175" s="443"/>
      <c r="CR175" s="217">
        <f t="shared" si="544"/>
        <v>0.62686567164179097</v>
      </c>
      <c r="CS175" s="172">
        <f t="shared" si="545"/>
        <v>18.624269954574949</v>
      </c>
      <c r="CT175" s="172">
        <f t="shared" si="546"/>
        <v>2.5482344375682562</v>
      </c>
      <c r="CU175" s="217">
        <f t="shared" si="547"/>
        <v>1.135626216742375</v>
      </c>
      <c r="CV175" s="217">
        <f t="shared" si="548"/>
        <v>2.3280337443218686</v>
      </c>
      <c r="CW175" s="217">
        <f t="shared" si="549"/>
        <v>16.399999999999999</v>
      </c>
      <c r="CX175" s="217">
        <f t="shared" si="550"/>
        <v>3.8158095238095244</v>
      </c>
      <c r="CY175" s="217">
        <f t="shared" si="551"/>
        <v>4.5789714285714291</v>
      </c>
      <c r="CZ175" s="217">
        <f t="shared" si="552"/>
        <v>2.6777610693400176</v>
      </c>
      <c r="DA175" s="197">
        <f t="shared" si="553"/>
        <v>350</v>
      </c>
      <c r="DB175" s="443">
        <f t="shared" si="554"/>
        <v>137.80306774265264</v>
      </c>
      <c r="DD175" s="217">
        <f t="shared" si="555"/>
        <v>1.5023721665788083</v>
      </c>
      <c r="DE175" s="173">
        <f t="shared" si="556"/>
        <v>1.0542962572482866</v>
      </c>
      <c r="DF175" s="173">
        <f t="shared" si="557"/>
        <v>0.24706104135140031</v>
      </c>
      <c r="DG175" s="173"/>
      <c r="DH175" s="173">
        <f t="shared" si="558"/>
        <v>0.93567251461988332</v>
      </c>
      <c r="DI175" s="545">
        <f t="shared" si="559"/>
        <v>1042.0312499999995</v>
      </c>
      <c r="DJ175" s="528">
        <f t="shared" si="560"/>
        <v>0.21832358674463945</v>
      </c>
      <c r="DL175" s="173">
        <f t="shared" si="561"/>
        <v>2.3864697976798483</v>
      </c>
      <c r="DM175" s="173">
        <f t="shared" si="562"/>
        <v>3.8158095238095244</v>
      </c>
      <c r="DN175" s="173">
        <f t="shared" si="563"/>
        <v>3.0388712522045855</v>
      </c>
      <c r="DP175" s="545">
        <f t="shared" si="564"/>
        <v>650</v>
      </c>
      <c r="DQ175" s="460">
        <f t="shared" si="565"/>
        <v>137.80306774265264</v>
      </c>
      <c r="DS175">
        <f t="shared" si="566"/>
        <v>650</v>
      </c>
      <c r="DT175">
        <f t="shared" si="567"/>
        <v>137.80306774265264</v>
      </c>
      <c r="DV175" s="5">
        <f t="shared" si="568"/>
        <v>7.2567324979114467</v>
      </c>
      <c r="DW175" s="5">
        <f t="shared" si="569"/>
        <v>4.5789714285714291</v>
      </c>
      <c r="DX175" s="5">
        <f t="shared" si="570"/>
        <v>2.6777610693400176</v>
      </c>
      <c r="DY175" s="173">
        <f t="shared" si="571"/>
        <v>0.63099630996309963</v>
      </c>
      <c r="EA175" s="5">
        <f t="shared" si="572"/>
        <v>18.148362369337985</v>
      </c>
      <c r="EB175" s="5">
        <f t="shared" si="573"/>
        <v>9.3010357142857174</v>
      </c>
      <c r="EC175" s="5">
        <f t="shared" si="574"/>
        <v>2.3787444165970486</v>
      </c>
      <c r="ED175" s="5"/>
      <c r="EE175" s="173">
        <f t="shared" si="575"/>
        <v>1.750005727300846</v>
      </c>
      <c r="EF175" s="173">
        <f t="shared" si="576"/>
        <v>1.3382628273546993</v>
      </c>
      <c r="EG175" s="173">
        <f t="shared" si="577"/>
        <v>0.32832560039835518</v>
      </c>
      <c r="EH175" s="173"/>
      <c r="EI175" s="528">
        <f t="shared" si="578"/>
        <v>6.1250400911715255E-2</v>
      </c>
      <c r="EJ175" s="528">
        <f t="shared" si="579"/>
        <v>0.28499999999999998</v>
      </c>
      <c r="EK175" s="528">
        <f t="shared" si="580"/>
        <v>1.7225383467831579E-2</v>
      </c>
      <c r="EL175" s="528">
        <f t="shared" si="581"/>
        <v>1.0120395098088151E-2</v>
      </c>
      <c r="EM175">
        <f t="shared" si="582"/>
        <v>4.4999999999999997E-3</v>
      </c>
      <c r="EN175" s="460">
        <f t="shared" si="583"/>
        <v>21.72538346783158</v>
      </c>
      <c r="EP175" s="460">
        <f t="shared" ref="EP175:EP210" si="603">SUM(EI175:EM175)*1000</f>
        <v>378.09617947763496</v>
      </c>
      <c r="EQ175" s="173">
        <f t="shared" si="584"/>
        <v>0.45499999999999996</v>
      </c>
      <c r="ER175" s="173">
        <f t="shared" si="585"/>
        <v>7.2109375000000003E-2</v>
      </c>
      <c r="ES175" s="528"/>
      <c r="EU175" s="460">
        <f t="shared" si="497"/>
        <v>527.109375</v>
      </c>
      <c r="EV175" s="528">
        <f t="shared" si="586"/>
        <v>9.1875601367572876E-2</v>
      </c>
      <c r="EW175" s="528">
        <f t="shared" si="587"/>
        <v>5.3728421852381802E-2</v>
      </c>
      <c r="EX175" s="528">
        <f t="shared" si="588"/>
        <v>5.38988499384702E-4</v>
      </c>
      <c r="EY175" s="528">
        <f t="shared" si="589"/>
        <v>0.31701801185397371</v>
      </c>
      <c r="EZ175" s="528"/>
      <c r="FA175" s="625">
        <f t="shared" si="590"/>
        <v>1.0032340537691092E-2</v>
      </c>
      <c r="FB175" s="460">
        <f t="shared" si="498"/>
        <v>473.1933641110042</v>
      </c>
      <c r="FC175" s="173">
        <f t="shared" si="591"/>
        <v>1.3783989185886392</v>
      </c>
      <c r="FD175" s="5">
        <f t="shared" si="592"/>
        <v>11.96</v>
      </c>
      <c r="FE175" s="173">
        <f t="shared" si="593"/>
        <v>0.89665934217429377</v>
      </c>
      <c r="FF175" s="5">
        <f t="shared" si="594"/>
        <v>89.665934217429381</v>
      </c>
      <c r="FG175">
        <f t="shared" si="595"/>
        <v>65</v>
      </c>
      <c r="FI175" s="562">
        <f t="shared" si="596"/>
        <v>-50</v>
      </c>
      <c r="FJ175">
        <f t="shared" si="597"/>
        <v>-50</v>
      </c>
    </row>
    <row r="176" spans="5:166">
      <c r="E176" s="170">
        <v>66</v>
      </c>
      <c r="F176" s="217">
        <f t="shared" si="598"/>
        <v>0.66</v>
      </c>
      <c r="G176" s="217">
        <f t="shared" si="499"/>
        <v>0.16500000000000001</v>
      </c>
      <c r="H176" s="217">
        <f t="shared" si="500"/>
        <v>10.824</v>
      </c>
      <c r="I176" s="217">
        <f t="shared" si="501"/>
        <v>1.32</v>
      </c>
      <c r="J176" s="541">
        <f t="shared" si="502"/>
        <v>9.8749381222251245</v>
      </c>
      <c r="K176" s="443">
        <f t="shared" si="503"/>
        <v>17.155351333608237</v>
      </c>
      <c r="L176" s="172">
        <f t="shared" si="504"/>
        <v>27.030289455833362</v>
      </c>
      <c r="M176" s="443"/>
      <c r="N176" s="217">
        <f t="shared" si="505"/>
        <v>0.63467138824538072</v>
      </c>
      <c r="O176" s="172">
        <f t="shared" si="506"/>
        <v>18.620360011714777</v>
      </c>
      <c r="P176" s="172">
        <f t="shared" si="507"/>
        <v>2.5476994662072574</v>
      </c>
      <c r="Q176" s="217">
        <f t="shared" si="508"/>
        <v>1.1353878055923645</v>
      </c>
      <c r="R176" s="217">
        <f t="shared" si="509"/>
        <v>2.3275450014643471</v>
      </c>
      <c r="S176" s="217">
        <f t="shared" si="510"/>
        <v>16.399999999999999</v>
      </c>
      <c r="T176" s="217">
        <f t="shared" si="511"/>
        <v>3.8753278644774531</v>
      </c>
      <c r="U176" s="217">
        <f t="shared" si="512"/>
        <v>4.7092886859781844</v>
      </c>
      <c r="V176" s="217">
        <f t="shared" si="513"/>
        <v>2.7107538323989773</v>
      </c>
      <c r="W176" s="197">
        <f t="shared" si="514"/>
        <v>350</v>
      </c>
      <c r="X176" s="443">
        <f t="shared" si="599"/>
        <v>131.23286354220627</v>
      </c>
      <c r="Z176" s="217">
        <f t="shared" si="515"/>
        <v>1.4922239730642506</v>
      </c>
      <c r="AA176" s="173">
        <f t="shared" si="516"/>
        <v>1.0437960335846264</v>
      </c>
      <c r="AB176" s="173">
        <f t="shared" si="517"/>
        <v>0.2429482240518209</v>
      </c>
      <c r="AC176" s="173"/>
      <c r="AD176" s="173">
        <f t="shared" si="518"/>
        <v>0.93265358947532362</v>
      </c>
      <c r="AE176" s="545">
        <f t="shared" si="519"/>
        <v>1061.4873637670094</v>
      </c>
      <c r="AF176" s="528">
        <f t="shared" si="520"/>
        <v>0.21761917087757554</v>
      </c>
      <c r="AH176" s="173">
        <f t="shared" si="521"/>
        <v>2.404757190000093</v>
      </c>
      <c r="AI176" s="173">
        <f t="shared" si="522"/>
        <v>3.8753278644774531</v>
      </c>
      <c r="AJ176" s="173">
        <f t="shared" si="523"/>
        <v>3.0829589119586069</v>
      </c>
      <c r="AL176" s="545">
        <f t="shared" si="524"/>
        <v>660</v>
      </c>
      <c r="AM176" s="460">
        <f t="shared" si="525"/>
        <v>131.23286354220627</v>
      </c>
      <c r="AO176">
        <f t="shared" si="526"/>
        <v>660</v>
      </c>
      <c r="AP176">
        <f t="shared" si="527"/>
        <v>131.23286354220627</v>
      </c>
      <c r="AR176" s="5">
        <f t="shared" si="443"/>
        <v>7.6200425183771623</v>
      </c>
      <c r="AS176" s="5">
        <f t="shared" si="440"/>
        <v>4.7092886859781844</v>
      </c>
      <c r="AT176" s="5">
        <f t="shared" si="441"/>
        <v>2.9107538323989779</v>
      </c>
      <c r="AU176" s="173">
        <f t="shared" si="442"/>
        <v>0.61801343950783094</v>
      </c>
      <c r="AW176" s="5">
        <f t="shared" si="477"/>
        <v>18.952015443570744</v>
      </c>
      <c r="AX176" s="5">
        <f t="shared" si="478"/>
        <v>9.7129079148300068</v>
      </c>
      <c r="AY176" s="5">
        <f t="shared" si="479"/>
        <v>2.6587507935009445</v>
      </c>
      <c r="AZ176" s="5"/>
      <c r="BA176" s="173">
        <f t="shared" si="480"/>
        <v>1.7589228199959084</v>
      </c>
      <c r="BB176" s="173">
        <f t="shared" si="481"/>
        <v>1.3828397830898922</v>
      </c>
      <c r="BC176" s="173">
        <f t="shared" si="482"/>
        <v>0.33926198408661629</v>
      </c>
      <c r="BD176" s="173"/>
      <c r="BE176" s="528">
        <f t="shared" si="483"/>
        <v>6.1876189734047175E-2</v>
      </c>
      <c r="BF176" s="528">
        <f t="shared" si="528"/>
        <v>0.25775258223737313</v>
      </c>
      <c r="BG176" s="528">
        <f t="shared" si="529"/>
        <v>3.2397910177042508E-2</v>
      </c>
      <c r="BH176" s="528">
        <f t="shared" si="484"/>
        <v>9.5883526411311894E-3</v>
      </c>
      <c r="BI176">
        <f t="shared" si="485"/>
        <v>4.4437221550013058E-3</v>
      </c>
      <c r="BJ176" s="460">
        <f t="shared" si="600"/>
        <v>36.841632332043815</v>
      </c>
      <c r="BK176">
        <f t="shared" si="530"/>
        <v>0.35108527526004968</v>
      </c>
      <c r="BL176" s="460">
        <f t="shared" si="601"/>
        <v>366.05875694459536</v>
      </c>
      <c r="BM176" s="173">
        <f t="shared" si="531"/>
        <v>0.41002499999999997</v>
      </c>
      <c r="BN176" s="173">
        <f t="shared" si="532"/>
        <v>0.10250624999999999</v>
      </c>
      <c r="BO176" s="528"/>
      <c r="BQ176" s="460">
        <f t="shared" si="486"/>
        <v>512.53125</v>
      </c>
      <c r="BR176" s="528">
        <f t="shared" si="487"/>
        <v>9.281428460107076E-2</v>
      </c>
      <c r="BS176" s="528">
        <f t="shared" si="488"/>
        <v>5.7367375970883004E-2</v>
      </c>
      <c r="BT176" s="528">
        <f t="shared" si="489"/>
        <v>5.7549346923193743E-4</v>
      </c>
      <c r="BU176" s="528">
        <f t="shared" si="490"/>
        <v>0.29164037321463293</v>
      </c>
      <c r="BV176" s="528"/>
      <c r="BW176" s="625">
        <f t="shared" si="533"/>
        <v>9.8543846841905747E-3</v>
      </c>
      <c r="BX176" s="460">
        <f t="shared" si="491"/>
        <v>452.25191194000917</v>
      </c>
      <c r="BY176" s="173">
        <f t="shared" si="492"/>
        <v>1.3308419188846043</v>
      </c>
      <c r="BZ176" s="5">
        <f t="shared" si="493"/>
        <v>12.144</v>
      </c>
      <c r="CA176" s="173">
        <f t="shared" si="494"/>
        <v>0.90123506257839903</v>
      </c>
      <c r="CB176" s="5">
        <f t="shared" si="495"/>
        <v>90.123506257839907</v>
      </c>
      <c r="CC176">
        <f t="shared" si="496"/>
        <v>66</v>
      </c>
      <c r="CE176" s="562">
        <f t="shared" si="534"/>
        <v>-50</v>
      </c>
      <c r="CF176">
        <f t="shared" si="535"/>
        <v>-50</v>
      </c>
      <c r="CG176" s="173">
        <f t="shared" si="536"/>
        <v>0.35771495841706202</v>
      </c>
      <c r="CH176" s="173">
        <f t="shared" si="537"/>
        <v>0.12498995131688433</v>
      </c>
      <c r="CI176" s="170">
        <v>66</v>
      </c>
      <c r="CJ176" s="217">
        <f t="shared" si="602"/>
        <v>0.66</v>
      </c>
      <c r="CK176" s="217">
        <f t="shared" si="538"/>
        <v>0.16500000000000001</v>
      </c>
      <c r="CL176" s="217">
        <f t="shared" si="539"/>
        <v>10.824</v>
      </c>
      <c r="CM176" s="217">
        <f t="shared" si="540"/>
        <v>1.32</v>
      </c>
      <c r="CN176" s="541">
        <f t="shared" si="541"/>
        <v>10</v>
      </c>
      <c r="CO176" s="443">
        <f t="shared" si="542"/>
        <v>17.099999999999998</v>
      </c>
      <c r="CP176" s="443">
        <f t="shared" si="543"/>
        <v>27.099999999999998</v>
      </c>
      <c r="CQ176" s="443"/>
      <c r="CR176" s="217">
        <f t="shared" si="544"/>
        <v>0.62686567164179097</v>
      </c>
      <c r="CS176" s="172">
        <f t="shared" si="545"/>
        <v>18.624269954574949</v>
      </c>
      <c r="CT176" s="172">
        <f t="shared" si="546"/>
        <v>2.5482344375682562</v>
      </c>
      <c r="CU176" s="217">
        <f t="shared" si="547"/>
        <v>1.135626216742375</v>
      </c>
      <c r="CV176" s="217">
        <f t="shared" si="548"/>
        <v>2.3280337443218686</v>
      </c>
      <c r="CW176" s="217">
        <f t="shared" si="549"/>
        <v>16.399999999999999</v>
      </c>
      <c r="CX176" s="217">
        <f t="shared" si="550"/>
        <v>3.874514285714286</v>
      </c>
      <c r="CY176" s="217">
        <f t="shared" si="551"/>
        <v>4.6494171428571427</v>
      </c>
      <c r="CZ176" s="217">
        <f t="shared" si="552"/>
        <v>2.7189573934837097</v>
      </c>
      <c r="DA176" s="197">
        <f t="shared" si="553"/>
        <v>350</v>
      </c>
      <c r="DB176" s="443">
        <f t="shared" si="554"/>
        <v>135.71514247382461</v>
      </c>
      <c r="DD176" s="217">
        <f t="shared" si="555"/>
        <v>1.5023721665788083</v>
      </c>
      <c r="DE176" s="173">
        <f t="shared" si="556"/>
        <v>1.0542962572482866</v>
      </c>
      <c r="DF176" s="173">
        <f t="shared" si="557"/>
        <v>0.24706104135140031</v>
      </c>
      <c r="DG176" s="173"/>
      <c r="DH176" s="173">
        <f t="shared" si="558"/>
        <v>0.93567251461988332</v>
      </c>
      <c r="DI176" s="545">
        <f t="shared" si="559"/>
        <v>1058.0624999999995</v>
      </c>
      <c r="DJ176" s="528">
        <f t="shared" si="560"/>
        <v>0.21832358674463945</v>
      </c>
      <c r="DL176" s="173">
        <f t="shared" si="561"/>
        <v>2.404757190000093</v>
      </c>
      <c r="DM176" s="173">
        <f t="shared" si="562"/>
        <v>3.874514285714286</v>
      </c>
      <c r="DN176" s="173">
        <f t="shared" si="563"/>
        <v>3.0823562610229276</v>
      </c>
      <c r="DP176" s="545">
        <f t="shared" si="564"/>
        <v>660</v>
      </c>
      <c r="DQ176" s="460">
        <f t="shared" si="565"/>
        <v>135.71514247382461</v>
      </c>
      <c r="DS176">
        <f t="shared" si="566"/>
        <v>660</v>
      </c>
      <c r="DT176">
        <f t="shared" si="567"/>
        <v>135.71514247382461</v>
      </c>
      <c r="DV176" s="5">
        <f t="shared" si="568"/>
        <v>7.3683745363408519</v>
      </c>
      <c r="DW176" s="5">
        <f t="shared" si="569"/>
        <v>4.6494171428571427</v>
      </c>
      <c r="DX176" s="5">
        <f t="shared" si="570"/>
        <v>2.7189573934837092</v>
      </c>
      <c r="DY176" s="173">
        <f t="shared" si="571"/>
        <v>0.63099630996309963</v>
      </c>
      <c r="EA176" s="5">
        <f t="shared" si="572"/>
        <v>18.711068989547041</v>
      </c>
      <c r="EB176" s="5">
        <f t="shared" si="573"/>
        <v>9.589422857142857</v>
      </c>
      <c r="EC176" s="5">
        <f t="shared" si="574"/>
        <v>2.4524995689223053</v>
      </c>
      <c r="ED176" s="5"/>
      <c r="EE176" s="173">
        <f t="shared" si="575"/>
        <v>1.7769288923362434</v>
      </c>
      <c r="EF176" s="173">
        <f t="shared" si="576"/>
        <v>1.3588514862370791</v>
      </c>
      <c r="EG176" s="173">
        <f t="shared" si="577"/>
        <v>0.33337676348140671</v>
      </c>
      <c r="EH176" s="173"/>
      <c r="EI176" s="528">
        <f t="shared" si="578"/>
        <v>6.3149525768386172E-2</v>
      </c>
      <c r="EJ176" s="528">
        <f t="shared" si="579"/>
        <v>0.28500000000000003</v>
      </c>
      <c r="EK176" s="528">
        <f t="shared" si="580"/>
        <v>1.6964392809228075E-2</v>
      </c>
      <c r="EL176" s="528">
        <f t="shared" si="581"/>
        <v>9.967055778420152E-3</v>
      </c>
      <c r="EM176">
        <f t="shared" si="582"/>
        <v>4.4999999999999997E-3</v>
      </c>
      <c r="EN176" s="460">
        <f t="shared" si="583"/>
        <v>21.464392809228077</v>
      </c>
      <c r="EP176" s="460">
        <f t="shared" si="603"/>
        <v>379.58097435603446</v>
      </c>
      <c r="EQ176" s="173">
        <f t="shared" si="584"/>
        <v>0.46199999999999997</v>
      </c>
      <c r="ER176" s="173">
        <f t="shared" si="585"/>
        <v>7.3218749999999999E-2</v>
      </c>
      <c r="ES176" s="528"/>
      <c r="EU176" s="460">
        <f t="shared" si="497"/>
        <v>535.21875</v>
      </c>
      <c r="EV176" s="528">
        <f t="shared" si="586"/>
        <v>9.4724288652579258E-2</v>
      </c>
      <c r="EW176" s="528">
        <f t="shared" si="587"/>
        <v>5.539432084946156E-2</v>
      </c>
      <c r="EX176" s="528">
        <f t="shared" si="588"/>
        <v>5.5570033214668896E-4</v>
      </c>
      <c r="EY176" s="528">
        <f t="shared" si="589"/>
        <v>0.31701801185397371</v>
      </c>
      <c r="EZ176" s="528"/>
      <c r="FA176" s="625">
        <f t="shared" si="590"/>
        <v>1.0186684238270958E-2</v>
      </c>
      <c r="FB176" s="460">
        <f t="shared" si="498"/>
        <v>477.87900592643217</v>
      </c>
      <c r="FC176" s="173">
        <f t="shared" si="591"/>
        <v>1.3926787302824666</v>
      </c>
      <c r="FD176" s="5">
        <f t="shared" si="592"/>
        <v>12.144</v>
      </c>
      <c r="FE176" s="173">
        <f t="shared" si="593"/>
        <v>0.89711813672825447</v>
      </c>
      <c r="FF176" s="5">
        <f t="shared" si="594"/>
        <v>89.711813672825443</v>
      </c>
      <c r="FG176">
        <f t="shared" si="595"/>
        <v>66</v>
      </c>
      <c r="FI176" s="562">
        <f t="shared" si="596"/>
        <v>-50</v>
      </c>
      <c r="FJ176">
        <f t="shared" si="597"/>
        <v>-50</v>
      </c>
    </row>
    <row r="177" spans="5:166">
      <c r="E177" s="170">
        <v>67</v>
      </c>
      <c r="F177" s="217">
        <f t="shared" si="598"/>
        <v>0.67</v>
      </c>
      <c r="G177" s="217">
        <f t="shared" si="499"/>
        <v>0.16750000000000001</v>
      </c>
      <c r="H177" s="217">
        <f t="shared" si="500"/>
        <v>10.988</v>
      </c>
      <c r="I177" s="217">
        <f t="shared" si="501"/>
        <v>1.34</v>
      </c>
      <c r="J177" s="541">
        <f t="shared" si="502"/>
        <v>9.8730432452891428</v>
      </c>
      <c r="K177" s="443">
        <f t="shared" si="503"/>
        <v>17.15618999017806</v>
      </c>
      <c r="L177" s="172">
        <f t="shared" si="504"/>
        <v>27.029233235467203</v>
      </c>
      <c r="M177" s="443"/>
      <c r="N177" s="217">
        <f t="shared" si="505"/>
        <v>0.63472721703648116</v>
      </c>
      <c r="O177" s="172">
        <f t="shared" si="506"/>
        <v>18.618424621253002</v>
      </c>
      <c r="P177" s="172">
        <f t="shared" si="507"/>
        <v>2.5474346596598401</v>
      </c>
      <c r="Q177" s="217">
        <f t="shared" si="508"/>
        <v>1.1352697939788416</v>
      </c>
      <c r="R177" s="217">
        <f t="shared" si="509"/>
        <v>2.3273030776566253</v>
      </c>
      <c r="S177" s="217">
        <f t="shared" si="510"/>
        <v>16.399999999999999</v>
      </c>
      <c r="T177" s="217">
        <f t="shared" si="511"/>
        <v>3.9344538984095552</v>
      </c>
      <c r="U177" s="217">
        <f t="shared" si="512"/>
        <v>4.7820561105556028</v>
      </c>
      <c r="V177" s="217">
        <f t="shared" si="513"/>
        <v>2.7519773800560858</v>
      </c>
      <c r="W177" s="197">
        <f t="shared" si="514"/>
        <v>350</v>
      </c>
      <c r="X177" s="443">
        <f t="shared" si="599"/>
        <v>129.29863844188105</v>
      </c>
      <c r="Z177" s="217">
        <f t="shared" si="515"/>
        <v>1.4920688720864774</v>
      </c>
      <c r="AA177" s="173">
        <f t="shared" si="516"/>
        <v>1.043636522752911</v>
      </c>
      <c r="AB177" s="173">
        <f t="shared" si="517"/>
        <v>0.24288584913577085</v>
      </c>
      <c r="AC177" s="173"/>
      <c r="AD177" s="173">
        <f t="shared" si="518"/>
        <v>0.9326079979972256</v>
      </c>
      <c r="AE177" s="545">
        <f t="shared" si="519"/>
        <v>1077.6231837580592</v>
      </c>
      <c r="AF177" s="528">
        <f t="shared" si="520"/>
        <v>0.21760853286601931</v>
      </c>
      <c r="AH177" s="173">
        <f t="shared" si="521"/>
        <v>2.422906558346027</v>
      </c>
      <c r="AI177" s="173">
        <f t="shared" si="522"/>
        <v>3.9344538984095552</v>
      </c>
      <c r="AJ177" s="173">
        <f t="shared" si="523"/>
        <v>3.1267559741305346</v>
      </c>
      <c r="AL177" s="545">
        <f t="shared" si="524"/>
        <v>670</v>
      </c>
      <c r="AM177" s="460">
        <f t="shared" si="525"/>
        <v>129.29863844188105</v>
      </c>
      <c r="AO177">
        <f t="shared" si="526"/>
        <v>670</v>
      </c>
      <c r="AP177">
        <f t="shared" si="527"/>
        <v>129.29863844188105</v>
      </c>
      <c r="AR177" s="5">
        <f t="shared" si="443"/>
        <v>7.7340334906116892</v>
      </c>
      <c r="AS177" s="5">
        <f t="shared" si="440"/>
        <v>4.7820561105556028</v>
      </c>
      <c r="AT177" s="5">
        <f t="shared" si="441"/>
        <v>2.9519773800560865</v>
      </c>
      <c r="AU177" s="173">
        <f t="shared" si="442"/>
        <v>0.61831334404751681</v>
      </c>
      <c r="AW177" s="5">
        <f t="shared" si="477"/>
        <v>19.536448744343016</v>
      </c>
      <c r="AX177" s="5">
        <f t="shared" si="478"/>
        <v>10.012429981475794</v>
      </c>
      <c r="AY177" s="5">
        <f t="shared" si="479"/>
        <v>2.7377853216241985</v>
      </c>
      <c r="AZ177" s="5"/>
      <c r="BA177" s="173">
        <f t="shared" si="480"/>
        <v>1.7861920132854621</v>
      </c>
      <c r="BB177" s="173">
        <f t="shared" si="481"/>
        <v>1.4033865889026955</v>
      </c>
      <c r="BC177" s="173">
        <f t="shared" si="482"/>
        <v>0.34430287905647189</v>
      </c>
      <c r="BD177" s="173"/>
      <c r="BE177" s="528">
        <f t="shared" si="483"/>
        <v>6.3809638166495444E-2</v>
      </c>
      <c r="BF177" s="528">
        <f t="shared" si="528"/>
        <v>0.25781810407385697</v>
      </c>
      <c r="BG177" s="528">
        <f t="shared" si="529"/>
        <v>3.1914276222342414E-2</v>
      </c>
      <c r="BH177" s="528">
        <f t="shared" si="484"/>
        <v>9.44629280677582E-3</v>
      </c>
      <c r="BI177">
        <f t="shared" si="485"/>
        <v>4.4428694603801137E-3</v>
      </c>
      <c r="BJ177" s="460">
        <f t="shared" si="600"/>
        <v>36.357145682722525</v>
      </c>
      <c r="BK177">
        <f t="shared" si="530"/>
        <v>0.35366460658553817</v>
      </c>
      <c r="BL177" s="460">
        <f t="shared" si="601"/>
        <v>367.43118072985084</v>
      </c>
      <c r="BM177" s="173">
        <f t="shared" si="531"/>
        <v>0.41623749999999993</v>
      </c>
      <c r="BN177" s="173">
        <f t="shared" si="532"/>
        <v>0.10405937499999998</v>
      </c>
      <c r="BO177" s="528"/>
      <c r="BQ177" s="460">
        <f t="shared" si="486"/>
        <v>520.29687499999989</v>
      </c>
      <c r="BR177" s="528">
        <f t="shared" si="487"/>
        <v>9.5714457249743173E-2</v>
      </c>
      <c r="BS177" s="528">
        <f t="shared" si="488"/>
        <v>5.9084817537358295E-2</v>
      </c>
      <c r="BT177" s="528">
        <f t="shared" si="489"/>
        <v>5.9272236263287756E-4</v>
      </c>
      <c r="BU177" s="528">
        <f t="shared" si="490"/>
        <v>0.29185425920182045</v>
      </c>
      <c r="BV177" s="528"/>
      <c r="BW177" s="625">
        <f t="shared" si="533"/>
        <v>1.0007667730881414E-2</v>
      </c>
      <c r="BX177" s="460">
        <f t="shared" si="491"/>
        <v>457.25392408243619</v>
      </c>
      <c r="BY177" s="173">
        <f t="shared" si="492"/>
        <v>1.3449819798122871</v>
      </c>
      <c r="BZ177" s="5">
        <f t="shared" si="493"/>
        <v>12.327999999999999</v>
      </c>
      <c r="CA177" s="173">
        <f t="shared" si="494"/>
        <v>0.90163213980694856</v>
      </c>
      <c r="CB177" s="5">
        <f t="shared" si="495"/>
        <v>90.163213980694863</v>
      </c>
      <c r="CC177">
        <f t="shared" si="496"/>
        <v>67</v>
      </c>
      <c r="CE177" s="562">
        <f t="shared" si="534"/>
        <v>-50</v>
      </c>
      <c r="CF177">
        <f t="shared" si="535"/>
        <v>-50</v>
      </c>
      <c r="CG177" s="173">
        <f t="shared" si="536"/>
        <v>0.35771495841706197</v>
      </c>
      <c r="CH177" s="173">
        <f t="shared" si="537"/>
        <v>0.1249899513168843</v>
      </c>
      <c r="CI177" s="170">
        <v>67</v>
      </c>
      <c r="CJ177" s="217">
        <f t="shared" si="602"/>
        <v>0.67</v>
      </c>
      <c r="CK177" s="217">
        <f t="shared" si="538"/>
        <v>0.16750000000000001</v>
      </c>
      <c r="CL177" s="217">
        <f t="shared" si="539"/>
        <v>10.988</v>
      </c>
      <c r="CM177" s="217">
        <f t="shared" si="540"/>
        <v>1.34</v>
      </c>
      <c r="CN177" s="541">
        <f t="shared" si="541"/>
        <v>10</v>
      </c>
      <c r="CO177" s="443">
        <f t="shared" si="542"/>
        <v>17.099999999999998</v>
      </c>
      <c r="CP177" s="443">
        <f t="shared" si="543"/>
        <v>27.099999999999998</v>
      </c>
      <c r="CQ177" s="443"/>
      <c r="CR177" s="217">
        <f t="shared" si="544"/>
        <v>0.62686567164179097</v>
      </c>
      <c r="CS177" s="172">
        <f t="shared" si="545"/>
        <v>18.624269954574949</v>
      </c>
      <c r="CT177" s="172">
        <f t="shared" si="546"/>
        <v>2.5482344375682562</v>
      </c>
      <c r="CU177" s="217">
        <f t="shared" si="547"/>
        <v>1.135626216742375</v>
      </c>
      <c r="CV177" s="217">
        <f t="shared" si="548"/>
        <v>2.3280337443218686</v>
      </c>
      <c r="CW177" s="217">
        <f t="shared" si="549"/>
        <v>16.399999999999999</v>
      </c>
      <c r="CX177" s="217">
        <f t="shared" si="550"/>
        <v>3.9332190476190476</v>
      </c>
      <c r="CY177" s="217">
        <f t="shared" si="551"/>
        <v>4.719862857142858</v>
      </c>
      <c r="CZ177" s="217">
        <f t="shared" si="552"/>
        <v>2.7601537176274022</v>
      </c>
      <c r="DA177" s="197">
        <f t="shared" si="553"/>
        <v>350</v>
      </c>
      <c r="DB177" s="443">
        <f t="shared" si="554"/>
        <v>133.68954333242419</v>
      </c>
      <c r="DD177" s="217">
        <f t="shared" si="555"/>
        <v>1.5023721665788083</v>
      </c>
      <c r="DE177" s="173">
        <f t="shared" si="556"/>
        <v>1.0542962572482866</v>
      </c>
      <c r="DF177" s="173">
        <f t="shared" si="557"/>
        <v>0.24706104135140031</v>
      </c>
      <c r="DG177" s="173"/>
      <c r="DH177" s="173">
        <f t="shared" si="558"/>
        <v>0.93567251461988332</v>
      </c>
      <c r="DI177" s="545">
        <f t="shared" si="559"/>
        <v>1074.0937499999995</v>
      </c>
      <c r="DJ177" s="528">
        <f t="shared" si="560"/>
        <v>0.21832358674463945</v>
      </c>
      <c r="DL177" s="173">
        <f t="shared" si="561"/>
        <v>2.422906558346027</v>
      </c>
      <c r="DM177" s="173">
        <f t="shared" si="562"/>
        <v>3.9332190476190476</v>
      </c>
      <c r="DN177" s="173">
        <f t="shared" si="563"/>
        <v>3.1258412698412696</v>
      </c>
      <c r="DP177" s="545">
        <f t="shared" si="564"/>
        <v>670</v>
      </c>
      <c r="DQ177" s="460">
        <f t="shared" si="565"/>
        <v>133.68954333242419</v>
      </c>
      <c r="DS177">
        <f t="shared" si="566"/>
        <v>670</v>
      </c>
      <c r="DT177">
        <f t="shared" si="567"/>
        <v>133.68954333242419</v>
      </c>
      <c r="DV177" s="5">
        <f t="shared" si="568"/>
        <v>7.4800165747702607</v>
      </c>
      <c r="DW177" s="5">
        <f t="shared" si="569"/>
        <v>4.719862857142858</v>
      </c>
      <c r="DX177" s="5">
        <f t="shared" si="570"/>
        <v>2.7601537176274027</v>
      </c>
      <c r="DY177" s="173">
        <f t="shared" si="571"/>
        <v>0.63099630996309963</v>
      </c>
      <c r="EA177" s="5">
        <f t="shared" si="572"/>
        <v>19.282366550522656</v>
      </c>
      <c r="EB177" s="5">
        <f t="shared" si="573"/>
        <v>9.8822128571428589</v>
      </c>
      <c r="EC177" s="5">
        <f t="shared" si="574"/>
        <v>2.5273807541074915</v>
      </c>
      <c r="ED177" s="5"/>
      <c r="EE177" s="173">
        <f t="shared" si="575"/>
        <v>1.803852057371641</v>
      </c>
      <c r="EF177" s="173">
        <f t="shared" si="576"/>
        <v>1.3794401451194589</v>
      </c>
      <c r="EG177" s="173">
        <f t="shared" si="577"/>
        <v>0.3384279265644583</v>
      </c>
      <c r="EH177" s="173"/>
      <c r="EI177" s="528">
        <f t="shared" si="578"/>
        <v>6.5077644897678047E-2</v>
      </c>
      <c r="EJ177" s="528">
        <f t="shared" si="579"/>
        <v>0.28499999999999992</v>
      </c>
      <c r="EK177" s="528">
        <f t="shared" si="580"/>
        <v>1.6711192916553021E-2</v>
      </c>
      <c r="EL177" s="528">
        <f t="shared" si="581"/>
        <v>9.818293751876565E-3</v>
      </c>
      <c r="EM177">
        <f t="shared" si="582"/>
        <v>4.4999999999999997E-3</v>
      </c>
      <c r="EN177" s="460">
        <f t="shared" si="583"/>
        <v>21.211192916553021</v>
      </c>
      <c r="EP177" s="460">
        <f t="shared" si="603"/>
        <v>381.10713156610751</v>
      </c>
      <c r="EQ177" s="173">
        <f t="shared" si="584"/>
        <v>0.46899999999999997</v>
      </c>
      <c r="ER177" s="173">
        <f t="shared" si="585"/>
        <v>7.4328124999999995E-2</v>
      </c>
      <c r="ES177" s="528"/>
      <c r="EU177" s="460">
        <f t="shared" si="497"/>
        <v>543.32812499999989</v>
      </c>
      <c r="EV177" s="528">
        <f t="shared" si="586"/>
        <v>9.761646734651705E-2</v>
      </c>
      <c r="EW177" s="528">
        <f t="shared" si="587"/>
        <v>5.7085653419015815E-2</v>
      </c>
      <c r="EX177" s="528">
        <f t="shared" si="588"/>
        <v>5.7266730739359193E-4</v>
      </c>
      <c r="EY177" s="528">
        <f t="shared" si="589"/>
        <v>0.3170180118539736</v>
      </c>
      <c r="EZ177" s="528"/>
      <c r="FA177" s="625">
        <f t="shared" si="590"/>
        <v>1.0341027938850814E-2</v>
      </c>
      <c r="FB177" s="460">
        <f t="shared" si="498"/>
        <v>482.6338278657509</v>
      </c>
      <c r="FC177" s="173">
        <f t="shared" si="591"/>
        <v>1.4070690844318583</v>
      </c>
      <c r="FD177" s="5">
        <f t="shared" si="592"/>
        <v>12.327999999999999</v>
      </c>
      <c r="FE177" s="173">
        <f t="shared" si="593"/>
        <v>0.8975564610718475</v>
      </c>
      <c r="FF177" s="5">
        <f t="shared" si="594"/>
        <v>89.755646107184745</v>
      </c>
      <c r="FG177">
        <f t="shared" si="595"/>
        <v>67</v>
      </c>
      <c r="FI177" s="562">
        <f t="shared" si="596"/>
        <v>-50</v>
      </c>
      <c r="FJ177">
        <f t="shared" si="597"/>
        <v>-50</v>
      </c>
    </row>
    <row r="178" spans="5:166">
      <c r="E178" s="170">
        <v>68</v>
      </c>
      <c r="F178" s="217">
        <f t="shared" si="598"/>
        <v>0.68</v>
      </c>
      <c r="G178" s="217">
        <f t="shared" si="499"/>
        <v>0.17</v>
      </c>
      <c r="H178" s="217">
        <f t="shared" si="500"/>
        <v>11.151999999999999</v>
      </c>
      <c r="I178" s="217">
        <f t="shared" si="501"/>
        <v>1.36</v>
      </c>
      <c r="J178" s="541">
        <f t="shared" si="502"/>
        <v>9.8711483683531593</v>
      </c>
      <c r="K178" s="443">
        <f t="shared" si="503"/>
        <v>17.157028646747879</v>
      </c>
      <c r="L178" s="172">
        <f t="shared" si="504"/>
        <v>27.028177015101036</v>
      </c>
      <c r="M178" s="443"/>
      <c r="N178" s="217">
        <f t="shared" si="505"/>
        <v>0.63478305019099135</v>
      </c>
      <c r="O178" s="172">
        <f t="shared" si="506"/>
        <v>18.616488730158903</v>
      </c>
      <c r="P178" s="172">
        <f t="shared" si="507"/>
        <v>2.5471697846142463</v>
      </c>
      <c r="Q178" s="217">
        <f t="shared" si="508"/>
        <v>1.1351517518389576</v>
      </c>
      <c r="R178" s="217">
        <f t="shared" si="509"/>
        <v>2.3270610912698628</v>
      </c>
      <c r="S178" s="217">
        <f t="shared" si="510"/>
        <v>16.399999999999999</v>
      </c>
      <c r="T178" s="217">
        <f t="shared" si="511"/>
        <v>3.9935923333503967</v>
      </c>
      <c r="U178" s="217">
        <f t="shared" si="512"/>
        <v>4.8548665476294479</v>
      </c>
      <c r="V178" s="217">
        <f t="shared" si="513"/>
        <v>2.7932055711341723</v>
      </c>
      <c r="W178" s="197">
        <f t="shared" si="514"/>
        <v>350</v>
      </c>
      <c r="X178" s="443">
        <f t="shared" si="599"/>
        <v>127.41982806314212</v>
      </c>
      <c r="Z178" s="217">
        <f t="shared" si="515"/>
        <v>1.4919137309883439</v>
      </c>
      <c r="AA178" s="173">
        <f t="shared" si="516"/>
        <v>1.0434769994543107</v>
      </c>
      <c r="AB178" s="173">
        <f t="shared" si="517"/>
        <v>0.24282347250651498</v>
      </c>
      <c r="AC178" s="173"/>
      <c r="AD178" s="173">
        <f t="shared" si="518"/>
        <v>0.93256241097626247</v>
      </c>
      <c r="AE178" s="545">
        <f t="shared" si="519"/>
        <v>1093.7605762301769</v>
      </c>
      <c r="AF178" s="528">
        <f t="shared" si="520"/>
        <v>0.21759789589446127</v>
      </c>
      <c r="AH178" s="173">
        <f t="shared" si="521"/>
        <v>2.4409209815344775</v>
      </c>
      <c r="AI178" s="173">
        <f t="shared" si="522"/>
        <v>3.9935923333503967</v>
      </c>
      <c r="AJ178" s="173">
        <f t="shared" si="523"/>
        <v>3.1705622222348619</v>
      </c>
      <c r="AL178" s="545">
        <f t="shared" si="524"/>
        <v>680</v>
      </c>
      <c r="AM178" s="460">
        <f t="shared" si="525"/>
        <v>127.41982806314212</v>
      </c>
      <c r="AO178">
        <f t="shared" si="526"/>
        <v>680</v>
      </c>
      <c r="AP178">
        <f t="shared" si="527"/>
        <v>127.41982806314212</v>
      </c>
      <c r="AR178" s="5">
        <f t="shared" si="443"/>
        <v>7.8480721187636195</v>
      </c>
      <c r="AS178" s="5">
        <f t="shared" si="440"/>
        <v>4.8548665476294479</v>
      </c>
      <c r="AT178" s="5">
        <f t="shared" si="441"/>
        <v>2.9932055711341716</v>
      </c>
      <c r="AU178" s="173">
        <f t="shared" si="442"/>
        <v>0.61860626076844472</v>
      </c>
      <c r="AW178" s="5">
        <f t="shared" si="477"/>
        <v>20.129934465780643</v>
      </c>
      <c r="AX178" s="5">
        <f t="shared" si="478"/>
        <v>10.316591413712578</v>
      </c>
      <c r="AY178" s="5">
        <f t="shared" si="479"/>
        <v>2.8179960496714749</v>
      </c>
      <c r="AZ178" s="5"/>
      <c r="BA178" s="173">
        <f t="shared" si="480"/>
        <v>1.8134695098529394</v>
      </c>
      <c r="BB178" s="173">
        <f t="shared" si="481"/>
        <v>1.4239340733213137</v>
      </c>
      <c r="BC178" s="173">
        <f t="shared" si="482"/>
        <v>0.34934394051355039</v>
      </c>
      <c r="BD178" s="173"/>
      <c r="BE178" s="528">
        <f t="shared" si="483"/>
        <v>6.5773433263325215E-2</v>
      </c>
      <c r="BF178" s="528">
        <f t="shared" si="528"/>
        <v>0.25788065896593793</v>
      </c>
      <c r="BG178" s="528">
        <f t="shared" si="529"/>
        <v>3.1444500697033133E-2</v>
      </c>
      <c r="BH178" s="528">
        <f t="shared" si="484"/>
        <v>9.3083032584914873E-3</v>
      </c>
      <c r="BI178">
        <f t="shared" si="485"/>
        <v>4.4420167657589216E-3</v>
      </c>
      <c r="BJ178" s="460">
        <f t="shared" si="600"/>
        <v>35.886517462792057</v>
      </c>
      <c r="BK178">
        <f t="shared" si="530"/>
        <v>0.35628922776990368</v>
      </c>
      <c r="BL178" s="460">
        <f t="shared" si="601"/>
        <v>368.84891295054666</v>
      </c>
      <c r="BM178" s="173">
        <f t="shared" si="531"/>
        <v>0.42244999999999994</v>
      </c>
      <c r="BN178" s="173">
        <f t="shared" si="532"/>
        <v>0.10561249999999998</v>
      </c>
      <c r="BO178" s="528"/>
      <c r="BQ178" s="460">
        <f t="shared" si="486"/>
        <v>528.06249999999989</v>
      </c>
      <c r="BR178" s="528">
        <f t="shared" si="487"/>
        <v>9.8660149894987809E-2</v>
      </c>
      <c r="BS178" s="528">
        <f t="shared" si="488"/>
        <v>6.0827647354962856E-2</v>
      </c>
      <c r="BT178" s="528">
        <f t="shared" si="489"/>
        <v>6.1020594386767516E-4</v>
      </c>
      <c r="BU178" s="528">
        <f t="shared" si="490"/>
        <v>0.29205985548444613</v>
      </c>
      <c r="BV178" s="528"/>
      <c r="BW178" s="625">
        <f t="shared" si="533"/>
        <v>1.0160953851878991E-2</v>
      </c>
      <c r="BX178" s="460">
        <f t="shared" si="491"/>
        <v>462.31881253014348</v>
      </c>
      <c r="BY178" s="173">
        <f t="shared" si="492"/>
        <v>1.3592302254806901</v>
      </c>
      <c r="BZ178" s="5">
        <f t="shared" si="493"/>
        <v>12.511999999999999</v>
      </c>
      <c r="CA178" s="173">
        <f t="shared" si="494"/>
        <v>0.90201083801609327</v>
      </c>
      <c r="CB178" s="5">
        <f t="shared" si="495"/>
        <v>90.201083801609329</v>
      </c>
      <c r="CC178">
        <f t="shared" si="496"/>
        <v>68</v>
      </c>
      <c r="CE178" s="562">
        <f t="shared" si="534"/>
        <v>-50</v>
      </c>
      <c r="CF178">
        <f t="shared" si="535"/>
        <v>-50</v>
      </c>
      <c r="CG178" s="173">
        <f t="shared" si="536"/>
        <v>0.35771495841706197</v>
      </c>
      <c r="CH178" s="173">
        <f t="shared" si="537"/>
        <v>0.1249899513168843</v>
      </c>
      <c r="CI178" s="170">
        <v>68</v>
      </c>
      <c r="CJ178" s="217">
        <f t="shared" si="602"/>
        <v>0.68</v>
      </c>
      <c r="CK178" s="217">
        <f t="shared" si="538"/>
        <v>0.17</v>
      </c>
      <c r="CL178" s="217">
        <f t="shared" si="539"/>
        <v>11.151999999999999</v>
      </c>
      <c r="CM178" s="217">
        <f t="shared" si="540"/>
        <v>1.36</v>
      </c>
      <c r="CN178" s="541">
        <f t="shared" si="541"/>
        <v>10</v>
      </c>
      <c r="CO178" s="443">
        <f t="shared" si="542"/>
        <v>17.099999999999998</v>
      </c>
      <c r="CP178" s="443">
        <f t="shared" si="543"/>
        <v>27.099999999999998</v>
      </c>
      <c r="CQ178" s="443"/>
      <c r="CR178" s="217">
        <f t="shared" si="544"/>
        <v>0.62686567164179097</v>
      </c>
      <c r="CS178" s="172">
        <f t="shared" si="545"/>
        <v>18.624269954574949</v>
      </c>
      <c r="CT178" s="172">
        <f t="shared" si="546"/>
        <v>2.5482344375682562</v>
      </c>
      <c r="CU178" s="217">
        <f t="shared" si="547"/>
        <v>1.135626216742375</v>
      </c>
      <c r="CV178" s="217">
        <f t="shared" si="548"/>
        <v>2.3280337443218686</v>
      </c>
      <c r="CW178" s="217">
        <f t="shared" si="549"/>
        <v>16.399999999999999</v>
      </c>
      <c r="CX178" s="217">
        <f t="shared" si="550"/>
        <v>3.9919238095238097</v>
      </c>
      <c r="CY178" s="217">
        <f t="shared" si="551"/>
        <v>4.7903085714285716</v>
      </c>
      <c r="CZ178" s="217">
        <f t="shared" si="552"/>
        <v>2.8013500417710953</v>
      </c>
      <c r="DA178" s="197">
        <f t="shared" si="553"/>
        <v>350</v>
      </c>
      <c r="DB178" s="443">
        <f t="shared" si="554"/>
        <v>131.72352063635915</v>
      </c>
      <c r="DD178" s="217">
        <f t="shared" si="555"/>
        <v>1.5023721665788083</v>
      </c>
      <c r="DE178" s="173">
        <f t="shared" si="556"/>
        <v>1.0542962572482866</v>
      </c>
      <c r="DF178" s="173">
        <f t="shared" si="557"/>
        <v>0.24706104135140031</v>
      </c>
      <c r="DG178" s="173"/>
      <c r="DH178" s="173">
        <f t="shared" si="558"/>
        <v>0.93567251461988332</v>
      </c>
      <c r="DI178" s="545">
        <f t="shared" si="559"/>
        <v>1090.1249999999995</v>
      </c>
      <c r="DJ178" s="528">
        <f t="shared" si="560"/>
        <v>0.21832358674463945</v>
      </c>
      <c r="DL178" s="173">
        <f t="shared" si="561"/>
        <v>2.4409209815344775</v>
      </c>
      <c r="DM178" s="173">
        <f t="shared" si="562"/>
        <v>3.9919238095238097</v>
      </c>
      <c r="DN178" s="173">
        <f t="shared" si="563"/>
        <v>3.1693262786596117</v>
      </c>
      <c r="DP178" s="545">
        <f t="shared" si="564"/>
        <v>680</v>
      </c>
      <c r="DQ178" s="460">
        <f t="shared" si="565"/>
        <v>131.72352063635915</v>
      </c>
      <c r="DS178">
        <f t="shared" si="566"/>
        <v>680</v>
      </c>
      <c r="DT178">
        <f t="shared" si="567"/>
        <v>131.72352063635915</v>
      </c>
      <c r="DV178" s="5">
        <f t="shared" si="568"/>
        <v>7.5916586131996668</v>
      </c>
      <c r="DW178" s="5">
        <f t="shared" si="569"/>
        <v>4.7903085714285716</v>
      </c>
      <c r="DX178" s="5">
        <f t="shared" si="570"/>
        <v>2.8013500417710953</v>
      </c>
      <c r="DY178" s="173">
        <f t="shared" si="571"/>
        <v>0.63099630996309952</v>
      </c>
      <c r="EA178" s="5">
        <f t="shared" si="572"/>
        <v>19.862255052264814</v>
      </c>
      <c r="EB178" s="5">
        <f t="shared" si="573"/>
        <v>10.179405714285714</v>
      </c>
      <c r="EC178" s="5">
        <f t="shared" si="574"/>
        <v>2.6033879721526039</v>
      </c>
      <c r="ED178" s="5"/>
      <c r="EE178" s="173">
        <f t="shared" si="575"/>
        <v>1.8307752224070384</v>
      </c>
      <c r="EF178" s="173">
        <f t="shared" si="576"/>
        <v>1.4000288040018392</v>
      </c>
      <c r="EG178" s="173">
        <f t="shared" si="577"/>
        <v>0.34347908964751001</v>
      </c>
      <c r="EH178" s="173"/>
      <c r="EI178" s="528">
        <f t="shared" si="578"/>
        <v>6.7034758299590824E-2</v>
      </c>
      <c r="EJ178" s="528">
        <f t="shared" si="579"/>
        <v>0.28499999999999998</v>
      </c>
      <c r="EK178" s="528">
        <f t="shared" si="580"/>
        <v>1.6465440079544893E-2</v>
      </c>
      <c r="EL178" s="528">
        <f t="shared" si="581"/>
        <v>9.6739070790548519E-3</v>
      </c>
      <c r="EM178">
        <f t="shared" si="582"/>
        <v>4.4999999999999997E-3</v>
      </c>
      <c r="EN178" s="460">
        <f t="shared" si="583"/>
        <v>20.965440079544894</v>
      </c>
      <c r="EP178" s="460">
        <f t="shared" si="603"/>
        <v>382.67410545819052</v>
      </c>
      <c r="EQ178" s="173">
        <f t="shared" si="584"/>
        <v>0.47599999999999998</v>
      </c>
      <c r="ER178" s="173">
        <f t="shared" si="585"/>
        <v>7.5437500000000005E-2</v>
      </c>
      <c r="ES178" s="528"/>
      <c r="EU178" s="460">
        <f t="shared" si="497"/>
        <v>551.4375</v>
      </c>
      <c r="EV178" s="528">
        <f t="shared" si="586"/>
        <v>0.10055213744938622</v>
      </c>
      <c r="EW178" s="528">
        <f t="shared" si="587"/>
        <v>5.8802419561044601E-2</v>
      </c>
      <c r="EX178" s="528">
        <f t="shared" si="588"/>
        <v>5.8988942512541113E-4</v>
      </c>
      <c r="EY178" s="528">
        <f t="shared" si="589"/>
        <v>0.31701801185397421</v>
      </c>
      <c r="EZ178" s="528"/>
      <c r="FA178" s="625">
        <f t="shared" si="590"/>
        <v>1.049537163943068E-2</v>
      </c>
      <c r="FB178" s="460">
        <f t="shared" si="498"/>
        <v>487.45782992896113</v>
      </c>
      <c r="FC178" s="173">
        <f t="shared" si="591"/>
        <v>1.421569435387152</v>
      </c>
      <c r="FD178" s="5">
        <f t="shared" si="592"/>
        <v>12.511999999999999</v>
      </c>
      <c r="FE178" s="173">
        <f t="shared" si="593"/>
        <v>0.89797521432112104</v>
      </c>
      <c r="FF178" s="5">
        <f t="shared" si="594"/>
        <v>89.797521432112106</v>
      </c>
      <c r="FG178">
        <f t="shared" si="595"/>
        <v>68</v>
      </c>
      <c r="FI178" s="562">
        <f t="shared" si="596"/>
        <v>-50</v>
      </c>
      <c r="FJ178">
        <f t="shared" si="597"/>
        <v>-50</v>
      </c>
    </row>
    <row r="179" spans="5:166">
      <c r="E179" s="170">
        <v>69</v>
      </c>
      <c r="F179" s="217">
        <f t="shared" si="598"/>
        <v>0.69</v>
      </c>
      <c r="G179" s="217">
        <f t="shared" si="499"/>
        <v>0.17249999999999999</v>
      </c>
      <c r="H179" s="217">
        <f t="shared" si="500"/>
        <v>11.315999999999999</v>
      </c>
      <c r="I179" s="217">
        <f t="shared" si="501"/>
        <v>1.38</v>
      </c>
      <c r="J179" s="541">
        <f t="shared" si="502"/>
        <v>9.8692534914171759</v>
      </c>
      <c r="K179" s="443">
        <f t="shared" si="503"/>
        <v>17.157867303317701</v>
      </c>
      <c r="L179" s="172">
        <f t="shared" si="504"/>
        <v>27.027120794734877</v>
      </c>
      <c r="M179" s="443"/>
      <c r="N179" s="217">
        <f t="shared" si="505"/>
        <v>0.63483888770942287</v>
      </c>
      <c r="O179" s="172">
        <f t="shared" si="506"/>
        <v>18.614552338373795</v>
      </c>
      <c r="P179" s="172">
        <f t="shared" si="507"/>
        <v>2.5469048410624469</v>
      </c>
      <c r="Q179" s="217">
        <f t="shared" si="508"/>
        <v>1.135033679169134</v>
      </c>
      <c r="R179" s="217">
        <f t="shared" si="509"/>
        <v>2.3268190422967243</v>
      </c>
      <c r="S179" s="217">
        <f t="shared" si="510"/>
        <v>16.399999999999999</v>
      </c>
      <c r="T179" s="217">
        <f t="shared" si="511"/>
        <v>4.0527431779533512</v>
      </c>
      <c r="U179" s="217">
        <f t="shared" si="512"/>
        <v>4.9277200324962749</v>
      </c>
      <c r="V179" s="217">
        <f t="shared" si="513"/>
        <v>2.8344384110044025</v>
      </c>
      <c r="W179" s="197">
        <f t="shared" si="514"/>
        <v>350</v>
      </c>
      <c r="X179" s="443">
        <f t="shared" si="599"/>
        <v>125.59408445536226</v>
      </c>
      <c r="Z179" s="217">
        <f t="shared" si="515"/>
        <v>1.4917585497651469</v>
      </c>
      <c r="AA179" s="173">
        <f t="shared" si="516"/>
        <v>1.0433174636873634</v>
      </c>
      <c r="AB179" s="173">
        <f t="shared" si="517"/>
        <v>0.24276109416684777</v>
      </c>
      <c r="AC179" s="173"/>
      <c r="AD179" s="173">
        <f t="shared" si="518"/>
        <v>0.93251682841177996</v>
      </c>
      <c r="AE179" s="545">
        <f t="shared" si="519"/>
        <v>1109.8995411833632</v>
      </c>
      <c r="AF179" s="528">
        <f t="shared" si="520"/>
        <v>0.21758725996274872</v>
      </c>
      <c r="AH179" s="173">
        <f t="shared" si="521"/>
        <v>2.4588034255943039</v>
      </c>
      <c r="AI179" s="173">
        <f t="shared" si="522"/>
        <v>4.0527431779533512</v>
      </c>
      <c r="AJ179" s="173">
        <f t="shared" si="523"/>
        <v>3.2143776626814944</v>
      </c>
      <c r="AL179" s="545">
        <f t="shared" si="524"/>
        <v>690</v>
      </c>
      <c r="AM179" s="460">
        <f t="shared" si="525"/>
        <v>125.59408445536226</v>
      </c>
      <c r="AO179">
        <f t="shared" si="526"/>
        <v>690</v>
      </c>
      <c r="AP179">
        <f t="shared" si="527"/>
        <v>125.59408445536226</v>
      </c>
      <c r="AR179" s="5">
        <f t="shared" si="443"/>
        <v>7.9621584435006794</v>
      </c>
      <c r="AS179" s="5">
        <f t="shared" ref="AS179:AS242" si="604">L*AI179/J179*1000000</f>
        <v>4.9277200324962749</v>
      </c>
      <c r="AT179" s="5">
        <f t="shared" ref="AT179:AT242" si="605">AR179-AS179</f>
        <v>3.0344384110044045</v>
      </c>
      <c r="AU179" s="173">
        <f t="shared" ref="AU179:AU242" si="606">AS179/AR179</f>
        <v>0.6188924859337176</v>
      </c>
      <c r="AW179" s="5">
        <f t="shared" si="477"/>
        <v>20.73248062452701</v>
      </c>
      <c r="AX179" s="5">
        <f t="shared" si="478"/>
        <v>10.625396320070092</v>
      </c>
      <c r="AY179" s="5">
        <f t="shared" si="479"/>
        <v>2.8993838531613791</v>
      </c>
      <c r="AZ179" s="5"/>
      <c r="BA179" s="173">
        <f t="shared" si="480"/>
        <v>1.84075530591068</v>
      </c>
      <c r="BB179" s="173">
        <f t="shared" si="481"/>
        <v>1.4444822576194865</v>
      </c>
      <c r="BC179" s="173">
        <f t="shared" si="482"/>
        <v>0.3543851736770906</v>
      </c>
      <c r="BD179" s="173"/>
      <c r="BE179" s="528">
        <f t="shared" si="483"/>
        <v>6.7767601924766427E-2</v>
      </c>
      <c r="BF179" s="528">
        <f t="shared" si="528"/>
        <v>0.2579403724140113</v>
      </c>
      <c r="BG179" s="528">
        <f t="shared" si="529"/>
        <v>3.0987996412810685E-2</v>
      </c>
      <c r="BH179" s="528">
        <f t="shared" si="484"/>
        <v>9.1742115361878006E-3</v>
      </c>
      <c r="BI179">
        <f t="shared" si="485"/>
        <v>4.4411640711377294E-3</v>
      </c>
      <c r="BJ179" s="460">
        <f t="shared" si="600"/>
        <v>35.429160483948415</v>
      </c>
      <c r="BK179">
        <f t="shared" si="530"/>
        <v>0.3589592502756348</v>
      </c>
      <c r="BL179" s="460">
        <f t="shared" si="601"/>
        <v>370.31134635891397</v>
      </c>
      <c r="BM179" s="173">
        <f t="shared" si="531"/>
        <v>0.42866249999999989</v>
      </c>
      <c r="BN179" s="173">
        <f t="shared" si="532"/>
        <v>0.10716562499999997</v>
      </c>
      <c r="BO179" s="528"/>
      <c r="BQ179" s="460">
        <f t="shared" si="486"/>
        <v>535.82812499999989</v>
      </c>
      <c r="BR179" s="528">
        <f t="shared" si="487"/>
        <v>0.10165140288714963</v>
      </c>
      <c r="BS179" s="528">
        <f t="shared" si="488"/>
        <v>6.2595869777324661E-2</v>
      </c>
      <c r="BT179" s="528">
        <f t="shared" si="489"/>
        <v>6.2794425661070834E-4</v>
      </c>
      <c r="BU179" s="528">
        <f t="shared" si="490"/>
        <v>0.29225750596003497</v>
      </c>
      <c r="BV179" s="528"/>
      <c r="BW179" s="625">
        <f t="shared" si="533"/>
        <v>1.0314242917292448E-2</v>
      </c>
      <c r="BX179" s="460">
        <f t="shared" si="491"/>
        <v>467.44696579841241</v>
      </c>
      <c r="BY179" s="173">
        <f t="shared" si="492"/>
        <v>1.3735864371573259</v>
      </c>
      <c r="BZ179" s="5">
        <f t="shared" si="493"/>
        <v>12.695999999999998</v>
      </c>
      <c r="CA179" s="173">
        <f t="shared" si="494"/>
        <v>0.90237193941040605</v>
      </c>
      <c r="CB179" s="5">
        <f t="shared" si="495"/>
        <v>90.237193941040601</v>
      </c>
      <c r="CC179">
        <f t="shared" si="496"/>
        <v>69</v>
      </c>
      <c r="CE179" s="562">
        <f t="shared" si="534"/>
        <v>-50</v>
      </c>
      <c r="CF179">
        <f t="shared" si="535"/>
        <v>-50</v>
      </c>
      <c r="CG179" s="173">
        <f t="shared" si="536"/>
        <v>0.35771495841706202</v>
      </c>
      <c r="CH179" s="173">
        <f t="shared" si="537"/>
        <v>0.12498995131688433</v>
      </c>
      <c r="CI179" s="170">
        <v>69</v>
      </c>
      <c r="CJ179" s="217">
        <f t="shared" si="602"/>
        <v>0.69</v>
      </c>
      <c r="CK179" s="217">
        <f t="shared" si="538"/>
        <v>0.17249999999999999</v>
      </c>
      <c r="CL179" s="217">
        <f t="shared" si="539"/>
        <v>11.315999999999999</v>
      </c>
      <c r="CM179" s="217">
        <f t="shared" si="540"/>
        <v>1.38</v>
      </c>
      <c r="CN179" s="541">
        <f t="shared" si="541"/>
        <v>10</v>
      </c>
      <c r="CO179" s="443">
        <f t="shared" si="542"/>
        <v>17.099999999999998</v>
      </c>
      <c r="CP179" s="443">
        <f t="shared" si="543"/>
        <v>27.099999999999998</v>
      </c>
      <c r="CQ179" s="443"/>
      <c r="CR179" s="217">
        <f t="shared" si="544"/>
        <v>0.62686567164179097</v>
      </c>
      <c r="CS179" s="172">
        <f t="shared" si="545"/>
        <v>18.624269954574949</v>
      </c>
      <c r="CT179" s="172">
        <f t="shared" si="546"/>
        <v>2.5482344375682562</v>
      </c>
      <c r="CU179" s="217">
        <f t="shared" si="547"/>
        <v>1.135626216742375</v>
      </c>
      <c r="CV179" s="217">
        <f t="shared" si="548"/>
        <v>2.3280337443218686</v>
      </c>
      <c r="CW179" s="217">
        <f t="shared" si="549"/>
        <v>16.399999999999999</v>
      </c>
      <c r="CX179" s="217">
        <f t="shared" si="550"/>
        <v>4.0506285714285708</v>
      </c>
      <c r="CY179" s="217">
        <f t="shared" si="551"/>
        <v>4.8607542857142843</v>
      </c>
      <c r="CZ179" s="217">
        <f t="shared" si="552"/>
        <v>2.8425463659147869</v>
      </c>
      <c r="DA179" s="197">
        <f t="shared" si="553"/>
        <v>350</v>
      </c>
      <c r="DB179" s="443">
        <f t="shared" si="554"/>
        <v>129.81448410539747</v>
      </c>
      <c r="DD179" s="217">
        <f t="shared" si="555"/>
        <v>1.5023721665788083</v>
      </c>
      <c r="DE179" s="173">
        <f t="shared" si="556"/>
        <v>1.0542962572482866</v>
      </c>
      <c r="DF179" s="173">
        <f t="shared" si="557"/>
        <v>0.24706104135140031</v>
      </c>
      <c r="DG179" s="173"/>
      <c r="DH179" s="173">
        <f t="shared" si="558"/>
        <v>0.93567251461988332</v>
      </c>
      <c r="DI179" s="545">
        <f t="shared" si="559"/>
        <v>1106.1562499999995</v>
      </c>
      <c r="DJ179" s="528">
        <f t="shared" si="560"/>
        <v>0.21832358674463945</v>
      </c>
      <c r="DL179" s="173">
        <f t="shared" si="561"/>
        <v>2.4588034255943039</v>
      </c>
      <c r="DM179" s="173">
        <f t="shared" si="562"/>
        <v>4.0506285714285708</v>
      </c>
      <c r="DN179" s="173">
        <f t="shared" si="563"/>
        <v>3.2128112874779537</v>
      </c>
      <c r="DP179" s="545">
        <f t="shared" si="564"/>
        <v>690</v>
      </c>
      <c r="DQ179" s="460">
        <f t="shared" si="565"/>
        <v>129.81448410539747</v>
      </c>
      <c r="DS179">
        <f t="shared" si="566"/>
        <v>690</v>
      </c>
      <c r="DT179">
        <f t="shared" si="567"/>
        <v>129.81448410539747</v>
      </c>
      <c r="DV179" s="5">
        <f t="shared" si="568"/>
        <v>7.7033006516290712</v>
      </c>
      <c r="DW179" s="5">
        <f t="shared" si="569"/>
        <v>4.8607542857142843</v>
      </c>
      <c r="DX179" s="5">
        <f t="shared" si="570"/>
        <v>2.8425463659147869</v>
      </c>
      <c r="DY179" s="173">
        <f t="shared" si="571"/>
        <v>0.63099630996309952</v>
      </c>
      <c r="EA179" s="5">
        <f t="shared" si="572"/>
        <v>20.450734494773517</v>
      </c>
      <c r="EB179" s="5">
        <f t="shared" si="573"/>
        <v>10.481001428571425</v>
      </c>
      <c r="EC179" s="5">
        <f t="shared" si="574"/>
        <v>2.6805212230576436</v>
      </c>
      <c r="ED179" s="5"/>
      <c r="EE179" s="173">
        <f t="shared" si="575"/>
        <v>1.8576983874424358</v>
      </c>
      <c r="EF179" s="173">
        <f t="shared" si="576"/>
        <v>1.420617462884219</v>
      </c>
      <c r="EG179" s="173">
        <f t="shared" si="577"/>
        <v>0.34853025273056149</v>
      </c>
      <c r="EH179" s="173"/>
      <c r="EI179" s="528">
        <f t="shared" si="578"/>
        <v>6.9020865974124532E-2</v>
      </c>
      <c r="EJ179" s="528">
        <f t="shared" si="579"/>
        <v>0.28500000000000003</v>
      </c>
      <c r="EK179" s="528">
        <f t="shared" si="580"/>
        <v>1.6226810513174685E-2</v>
      </c>
      <c r="EL179" s="528">
        <f t="shared" si="581"/>
        <v>9.5337055271844939E-3</v>
      </c>
      <c r="EM179">
        <f t="shared" si="582"/>
        <v>4.4999999999999997E-3</v>
      </c>
      <c r="EN179" s="460">
        <f t="shared" si="583"/>
        <v>20.726810513174684</v>
      </c>
      <c r="EP179" s="460">
        <f t="shared" si="603"/>
        <v>384.28138201448377</v>
      </c>
      <c r="EQ179" s="173">
        <f t="shared" si="584"/>
        <v>0.48299999999999993</v>
      </c>
      <c r="ER179" s="173">
        <f t="shared" si="585"/>
        <v>7.6546874999999986E-2</v>
      </c>
      <c r="ES179" s="528"/>
      <c r="EU179" s="460">
        <f t="shared" si="497"/>
        <v>559.54687499999989</v>
      </c>
      <c r="EV179" s="528">
        <f t="shared" si="586"/>
        <v>0.10353129896118679</v>
      </c>
      <c r="EW179" s="528">
        <f t="shared" si="587"/>
        <v>6.0544619275547856E-2</v>
      </c>
      <c r="EX179" s="528">
        <f t="shared" si="588"/>
        <v>6.0736668534214526E-4</v>
      </c>
      <c r="EY179" s="528">
        <f t="shared" si="589"/>
        <v>0.31701801185397371</v>
      </c>
      <c r="EZ179" s="528"/>
      <c r="FA179" s="625">
        <f t="shared" si="590"/>
        <v>1.0649715340010541E-2</v>
      </c>
      <c r="FB179" s="460">
        <f t="shared" si="498"/>
        <v>492.35101211606104</v>
      </c>
      <c r="FC179" s="173">
        <f t="shared" si="591"/>
        <v>1.4361792691305448</v>
      </c>
      <c r="FD179" s="5">
        <f t="shared" si="592"/>
        <v>12.695999999999998</v>
      </c>
      <c r="FE179" s="173">
        <f t="shared" si="593"/>
        <v>0.89837524405965852</v>
      </c>
      <c r="FF179" s="5">
        <f t="shared" si="594"/>
        <v>89.837524405965851</v>
      </c>
      <c r="FG179">
        <f t="shared" si="595"/>
        <v>69</v>
      </c>
      <c r="FI179" s="562">
        <f t="shared" si="596"/>
        <v>-50</v>
      </c>
      <c r="FJ179">
        <f t="shared" si="597"/>
        <v>-50</v>
      </c>
    </row>
    <row r="180" spans="5:166">
      <c r="E180" s="170">
        <v>70</v>
      </c>
      <c r="F180" s="217">
        <f t="shared" si="598"/>
        <v>0.7</v>
      </c>
      <c r="G180" s="217">
        <f t="shared" si="499"/>
        <v>0.17499999999999999</v>
      </c>
      <c r="H180" s="217">
        <f t="shared" si="500"/>
        <v>11.479999999999999</v>
      </c>
      <c r="I180" s="217">
        <f t="shared" si="501"/>
        <v>1.4</v>
      </c>
      <c r="J180" s="541">
        <f t="shared" si="502"/>
        <v>9.8673586144811942</v>
      </c>
      <c r="K180" s="443">
        <f t="shared" si="503"/>
        <v>17.158705959887524</v>
      </c>
      <c r="L180" s="172">
        <f t="shared" si="504"/>
        <v>27.026064574368718</v>
      </c>
      <c r="M180" s="443"/>
      <c r="N180" s="217">
        <f t="shared" si="505"/>
        <v>0.63489472959228732</v>
      </c>
      <c r="O180" s="172">
        <f t="shared" si="506"/>
        <v>18.612615445838969</v>
      </c>
      <c r="P180" s="172">
        <f t="shared" si="507"/>
        <v>2.5466398289964087</v>
      </c>
      <c r="Q180" s="217">
        <f t="shared" si="508"/>
        <v>1.134915575965791</v>
      </c>
      <c r="R180" s="217">
        <f t="shared" si="509"/>
        <v>2.3265769307298712</v>
      </c>
      <c r="S180" s="217">
        <f t="shared" si="510"/>
        <v>16.399999999999999</v>
      </c>
      <c r="T180" s="217">
        <f t="shared" si="511"/>
        <v>4.1119064408781467</v>
      </c>
      <c r="U180" s="217">
        <f t="shared" si="512"/>
        <v>5.0006166004874757</v>
      </c>
      <c r="V180" s="217">
        <f t="shared" si="513"/>
        <v>2.8756759050413385</v>
      </c>
      <c r="W180" s="197">
        <f t="shared" si="514"/>
        <v>350</v>
      </c>
      <c r="X180" s="443">
        <f t="shared" si="599"/>
        <v>123.81919046585134</v>
      </c>
      <c r="Z180" s="217">
        <f t="shared" si="515"/>
        <v>1.4916033284121819</v>
      </c>
      <c r="AA180" s="173">
        <f t="shared" si="516"/>
        <v>1.0431579154506074</v>
      </c>
      <c r="AB180" s="173">
        <f t="shared" si="517"/>
        <v>0.2426987141195644</v>
      </c>
      <c r="AC180" s="173"/>
      <c r="AD180" s="173">
        <f t="shared" si="518"/>
        <v>0.93247125030312505</v>
      </c>
      <c r="AE180" s="545">
        <f t="shared" si="519"/>
        <v>1126.0400786176183</v>
      </c>
      <c r="AF180" s="528">
        <f t="shared" si="520"/>
        <v>0.2175766250707292</v>
      </c>
      <c r="AH180" s="173">
        <f t="shared" si="521"/>
        <v>2.4765567494675613</v>
      </c>
      <c r="AI180" s="173">
        <f t="shared" si="522"/>
        <v>4.1119064408781467</v>
      </c>
      <c r="AJ180" s="173">
        <f t="shared" si="523"/>
        <v>3.2582023018850466</v>
      </c>
      <c r="AL180" s="545">
        <f t="shared" si="524"/>
        <v>700</v>
      </c>
      <c r="AM180" s="460">
        <f t="shared" si="525"/>
        <v>123.81919046585134</v>
      </c>
      <c r="AO180">
        <f t="shared" si="526"/>
        <v>700</v>
      </c>
      <c r="AP180">
        <f t="shared" si="527"/>
        <v>123.81919046585134</v>
      </c>
      <c r="AR180" s="5">
        <f t="shared" si="443"/>
        <v>8.0762925055288157</v>
      </c>
      <c r="AS180" s="5">
        <f t="shared" si="604"/>
        <v>5.0006166004874757</v>
      </c>
      <c r="AT180" s="5">
        <f t="shared" si="605"/>
        <v>3.07567590504134</v>
      </c>
      <c r="AU180" s="173">
        <f t="shared" si="606"/>
        <v>0.61917229930245665</v>
      </c>
      <c r="AW180" s="5">
        <f t="shared" si="477"/>
        <v>21.34409524598313</v>
      </c>
      <c r="AX180" s="5">
        <f t="shared" si="478"/>
        <v>10.938848813566352</v>
      </c>
      <c r="AY180" s="5">
        <f t="shared" si="479"/>
        <v>2.9819496085858903</v>
      </c>
      <c r="AZ180" s="5"/>
      <c r="BA180" s="173">
        <f t="shared" si="480"/>
        <v>1.8680493981583441</v>
      </c>
      <c r="BB180" s="173">
        <f t="shared" si="481"/>
        <v>1.4650311619730063</v>
      </c>
      <c r="BC180" s="173">
        <f t="shared" si="482"/>
        <v>0.35942658349696421</v>
      </c>
      <c r="BD180" s="173"/>
      <c r="BE180" s="528">
        <f t="shared" si="483"/>
        <v>6.9792171079195039E-2</v>
      </c>
      <c r="BF180" s="528">
        <f t="shared" si="528"/>
        <v>0.25799736292718717</v>
      </c>
      <c r="BG180" s="528">
        <f t="shared" si="529"/>
        <v>3.0544208892032642E-2</v>
      </c>
      <c r="BH180" s="528">
        <f t="shared" si="484"/>
        <v>9.0438547870564344E-3</v>
      </c>
      <c r="BI180">
        <f t="shared" si="485"/>
        <v>4.4403113765165373E-3</v>
      </c>
      <c r="BJ180" s="460">
        <f t="shared" si="600"/>
        <v>34.984520268549183</v>
      </c>
      <c r="BK180">
        <f t="shared" si="530"/>
        <v>0.36167479054518792</v>
      </c>
      <c r="BL180" s="460">
        <f t="shared" si="601"/>
        <v>371.81790906198779</v>
      </c>
      <c r="BM180" s="173">
        <f t="shared" si="531"/>
        <v>0.4348749999999999</v>
      </c>
      <c r="BN180" s="173">
        <f t="shared" si="532"/>
        <v>0.10871874999999998</v>
      </c>
      <c r="BO180" s="528"/>
      <c r="BQ180" s="460">
        <f t="shared" si="486"/>
        <v>543.59374999999989</v>
      </c>
      <c r="BR180" s="528">
        <f t="shared" si="487"/>
        <v>0.10468825661879255</v>
      </c>
      <c r="BS180" s="528">
        <f t="shared" si="488"/>
        <v>6.4389489166559316E-2</v>
      </c>
      <c r="BT180" s="528">
        <f t="shared" si="489"/>
        <v>6.4593734462150101E-4</v>
      </c>
      <c r="BU180" s="528">
        <f t="shared" si="490"/>
        <v>0.29244753575145138</v>
      </c>
      <c r="BV180" s="528"/>
      <c r="BW180" s="625">
        <f t="shared" si="533"/>
        <v>1.046753480446664E-2</v>
      </c>
      <c r="BX180" s="460">
        <f t="shared" si="491"/>
        <v>472.6387536858914</v>
      </c>
      <c r="BY180" s="173">
        <f t="shared" si="492"/>
        <v>1.388050412747879</v>
      </c>
      <c r="BZ180" s="5">
        <f t="shared" si="493"/>
        <v>12.879999999999999</v>
      </c>
      <c r="CA180" s="173">
        <f t="shared" si="494"/>
        <v>0.90271618247804086</v>
      </c>
      <c r="CB180" s="5">
        <f t="shared" si="495"/>
        <v>90.271618247804085</v>
      </c>
      <c r="CC180">
        <f t="shared" si="496"/>
        <v>70</v>
      </c>
      <c r="CE180" s="562">
        <f t="shared" si="534"/>
        <v>-50</v>
      </c>
      <c r="CF180">
        <f t="shared" si="535"/>
        <v>-50</v>
      </c>
      <c r="CG180" s="173">
        <f t="shared" si="536"/>
        <v>0.35771495841706197</v>
      </c>
      <c r="CH180" s="173">
        <f t="shared" si="537"/>
        <v>0.12498995131688433</v>
      </c>
      <c r="CI180" s="170">
        <v>70</v>
      </c>
      <c r="CJ180" s="217">
        <f t="shared" si="602"/>
        <v>0.7</v>
      </c>
      <c r="CK180" s="217">
        <f t="shared" si="538"/>
        <v>0.17499999999999999</v>
      </c>
      <c r="CL180" s="217">
        <f t="shared" si="539"/>
        <v>11.479999999999999</v>
      </c>
      <c r="CM180" s="217">
        <f t="shared" si="540"/>
        <v>1.4</v>
      </c>
      <c r="CN180" s="541">
        <f t="shared" si="541"/>
        <v>10</v>
      </c>
      <c r="CO180" s="443">
        <f t="shared" si="542"/>
        <v>17.099999999999998</v>
      </c>
      <c r="CP180" s="443">
        <f t="shared" si="543"/>
        <v>27.099999999999998</v>
      </c>
      <c r="CQ180" s="443"/>
      <c r="CR180" s="217">
        <f t="shared" si="544"/>
        <v>0.62686567164179097</v>
      </c>
      <c r="CS180" s="172">
        <f t="shared" si="545"/>
        <v>18.624269954574949</v>
      </c>
      <c r="CT180" s="172">
        <f t="shared" si="546"/>
        <v>2.5482344375682562</v>
      </c>
      <c r="CU180" s="217">
        <f t="shared" si="547"/>
        <v>1.135626216742375</v>
      </c>
      <c r="CV180" s="217">
        <f t="shared" si="548"/>
        <v>2.3280337443218686</v>
      </c>
      <c r="CW180" s="217">
        <f t="shared" si="549"/>
        <v>16.399999999999999</v>
      </c>
      <c r="CX180" s="217">
        <f t="shared" si="550"/>
        <v>4.1093333333333337</v>
      </c>
      <c r="CY180" s="217">
        <f t="shared" si="551"/>
        <v>4.9312000000000005</v>
      </c>
      <c r="CZ180" s="217">
        <f t="shared" si="552"/>
        <v>2.8837426900584799</v>
      </c>
      <c r="DA180" s="197">
        <f t="shared" si="553"/>
        <v>350</v>
      </c>
      <c r="DB180" s="443">
        <f t="shared" si="554"/>
        <v>127.95999147532034</v>
      </c>
      <c r="DD180" s="217">
        <f t="shared" si="555"/>
        <v>1.5023721665788083</v>
      </c>
      <c r="DE180" s="173">
        <f t="shared" si="556"/>
        <v>1.0542962572482866</v>
      </c>
      <c r="DF180" s="173">
        <f t="shared" si="557"/>
        <v>0.24706104135140031</v>
      </c>
      <c r="DG180" s="173"/>
      <c r="DH180" s="173">
        <f t="shared" si="558"/>
        <v>0.93567251461988332</v>
      </c>
      <c r="DI180" s="545">
        <f t="shared" si="559"/>
        <v>1122.1874999999995</v>
      </c>
      <c r="DJ180" s="528">
        <f t="shared" si="560"/>
        <v>0.21832358674463945</v>
      </c>
      <c r="DL180" s="173">
        <f t="shared" si="561"/>
        <v>2.4765567494675613</v>
      </c>
      <c r="DM180" s="173">
        <f t="shared" si="562"/>
        <v>4.1093333333333337</v>
      </c>
      <c r="DN180" s="173">
        <f t="shared" si="563"/>
        <v>3.2562962962962967</v>
      </c>
      <c r="DP180" s="545">
        <f t="shared" si="564"/>
        <v>700</v>
      </c>
      <c r="DQ180" s="460">
        <f t="shared" si="565"/>
        <v>127.95999147532034</v>
      </c>
      <c r="DS180">
        <f t="shared" si="566"/>
        <v>700</v>
      </c>
      <c r="DT180">
        <f t="shared" si="567"/>
        <v>127.95999147532034</v>
      </c>
      <c r="DV180" s="5">
        <f t="shared" si="568"/>
        <v>7.8149426900584791</v>
      </c>
      <c r="DW180" s="5">
        <f t="shared" si="569"/>
        <v>4.9312000000000005</v>
      </c>
      <c r="DX180" s="5">
        <f t="shared" si="570"/>
        <v>2.8837426900584786</v>
      </c>
      <c r="DY180" s="173">
        <f t="shared" si="571"/>
        <v>0.63099630996309974</v>
      </c>
      <c r="EA180" s="5">
        <f t="shared" si="572"/>
        <v>21.047804878048787</v>
      </c>
      <c r="EB180" s="5">
        <f t="shared" si="573"/>
        <v>10.787000000000001</v>
      </c>
      <c r="EC180" s="5">
        <f t="shared" si="574"/>
        <v>2.7587805068226103</v>
      </c>
      <c r="ED180" s="5"/>
      <c r="EE180" s="173">
        <f t="shared" si="575"/>
        <v>1.8846215524778342</v>
      </c>
      <c r="EF180" s="173">
        <f t="shared" si="576"/>
        <v>1.4412061217665988</v>
      </c>
      <c r="EG180" s="173">
        <f t="shared" si="577"/>
        <v>0.35358141581361319</v>
      </c>
      <c r="EH180" s="173"/>
      <c r="EI180" s="528">
        <f t="shared" si="578"/>
        <v>7.1035967921279253E-2</v>
      </c>
      <c r="EJ180" s="528">
        <f t="shared" si="579"/>
        <v>0.28500000000000003</v>
      </c>
      <c r="EK180" s="528">
        <f t="shared" si="580"/>
        <v>1.5994998934415042E-2</v>
      </c>
      <c r="EL180" s="528">
        <f t="shared" si="581"/>
        <v>9.3975097339389999E-3</v>
      </c>
      <c r="EM180">
        <f t="shared" si="582"/>
        <v>4.4999999999999997E-3</v>
      </c>
      <c r="EN180" s="460">
        <f t="shared" si="583"/>
        <v>20.494998934415044</v>
      </c>
      <c r="EP180" s="460">
        <f t="shared" si="603"/>
        <v>385.92847658963331</v>
      </c>
      <c r="EQ180" s="173">
        <f t="shared" si="584"/>
        <v>0.48999999999999994</v>
      </c>
      <c r="ER180" s="173">
        <f t="shared" si="585"/>
        <v>7.7656249999999996E-2</v>
      </c>
      <c r="ES180" s="528"/>
      <c r="EU180" s="460">
        <f t="shared" si="497"/>
        <v>567.65625</v>
      </c>
      <c r="EV180" s="528">
        <f t="shared" si="586"/>
        <v>0.10655395188191887</v>
      </c>
      <c r="EW180" s="528">
        <f t="shared" si="587"/>
        <v>6.2312252562525608E-2</v>
      </c>
      <c r="EX180" s="528">
        <f t="shared" si="588"/>
        <v>6.2509908804379627E-4</v>
      </c>
      <c r="EY180" s="528">
        <f t="shared" si="589"/>
        <v>0.3170180118539741</v>
      </c>
      <c r="EZ180" s="528"/>
      <c r="FA180" s="625">
        <f t="shared" si="590"/>
        <v>1.0804059040590407E-2</v>
      </c>
      <c r="FB180" s="460">
        <f t="shared" si="498"/>
        <v>497.31337442705274</v>
      </c>
      <c r="FC180" s="173">
        <f t="shared" si="591"/>
        <v>1.4508981010166861</v>
      </c>
      <c r="FD180" s="5">
        <f t="shared" si="592"/>
        <v>12.879999999999999</v>
      </c>
      <c r="FE180" s="173">
        <f t="shared" si="593"/>
        <v>0.89875734997280077</v>
      </c>
      <c r="FF180" s="5">
        <f t="shared" si="594"/>
        <v>89.875734997280077</v>
      </c>
      <c r="FG180">
        <f t="shared" si="595"/>
        <v>70</v>
      </c>
      <c r="FI180" s="562">
        <f t="shared" si="596"/>
        <v>-50</v>
      </c>
      <c r="FJ180">
        <f t="shared" si="597"/>
        <v>-50</v>
      </c>
    </row>
    <row r="181" spans="5:166">
      <c r="E181" s="170">
        <v>71</v>
      </c>
      <c r="F181" s="217">
        <f t="shared" si="598"/>
        <v>0.71</v>
      </c>
      <c r="G181" s="217">
        <f t="shared" si="499"/>
        <v>0.17749999999999999</v>
      </c>
      <c r="H181" s="217">
        <f t="shared" si="500"/>
        <v>11.643999999999998</v>
      </c>
      <c r="I181" s="217">
        <f t="shared" si="501"/>
        <v>1.42</v>
      </c>
      <c r="J181" s="541">
        <f t="shared" si="502"/>
        <v>9.8654637375452108</v>
      </c>
      <c r="K181" s="443">
        <f t="shared" si="503"/>
        <v>17.159544616457346</v>
      </c>
      <c r="L181" s="172">
        <f t="shared" si="504"/>
        <v>27.025008354002559</v>
      </c>
      <c r="M181" s="443"/>
      <c r="N181" s="217">
        <f t="shared" si="505"/>
        <v>0.63495057584009662</v>
      </c>
      <c r="O181" s="172">
        <f t="shared" si="506"/>
        <v>18.610678052495714</v>
      </c>
      <c r="P181" s="172">
        <f t="shared" si="507"/>
        <v>2.5463747484080992</v>
      </c>
      <c r="Q181" s="217">
        <f t="shared" si="508"/>
        <v>1.1347974422253486</v>
      </c>
      <c r="R181" s="217">
        <f t="shared" si="509"/>
        <v>2.3263347565619643</v>
      </c>
      <c r="S181" s="217">
        <f t="shared" si="510"/>
        <v>16.399999999999999</v>
      </c>
      <c r="T181" s="217">
        <f t="shared" si="511"/>
        <v>4.1710821307908672</v>
      </c>
      <c r="U181" s="217">
        <f t="shared" si="512"/>
        <v>5.0735562869693256</v>
      </c>
      <c r="V181" s="217">
        <f t="shared" si="513"/>
        <v>2.9169180586229357</v>
      </c>
      <c r="W181" s="197">
        <f t="shared" si="514"/>
        <v>350</v>
      </c>
      <c r="X181" s="443">
        <f t="shared" si="599"/>
        <v>122.09305075696309</v>
      </c>
      <c r="Z181" s="217">
        <f t="shared" si="515"/>
        <v>1.4914480669247436</v>
      </c>
      <c r="AA181" s="173">
        <f t="shared" si="516"/>
        <v>1.042998354742581</v>
      </c>
      <c r="AB181" s="173">
        <f t="shared" si="517"/>
        <v>0.24263633236746113</v>
      </c>
      <c r="AC181" s="173"/>
      <c r="AD181" s="173">
        <f t="shared" si="518"/>
        <v>0.93242567664964437</v>
      </c>
      <c r="AE181" s="545">
        <f t="shared" si="519"/>
        <v>1142.1821885329418</v>
      </c>
      <c r="AF181" s="528">
        <f t="shared" si="520"/>
        <v>0.21756599121825038</v>
      </c>
      <c r="AH181" s="173">
        <f t="shared" si="521"/>
        <v>2.4941837103454065</v>
      </c>
      <c r="AI181" s="173">
        <f t="shared" si="522"/>
        <v>4.1710821307908672</v>
      </c>
      <c r="AJ181" s="173">
        <f t="shared" si="523"/>
        <v>3.3020361462648395</v>
      </c>
      <c r="AL181" s="545">
        <f t="shared" si="524"/>
        <v>710</v>
      </c>
      <c r="AM181" s="460">
        <f t="shared" si="525"/>
        <v>122.09305075696309</v>
      </c>
      <c r="AO181">
        <f t="shared" si="526"/>
        <v>710</v>
      </c>
      <c r="AP181">
        <f t="shared" si="527"/>
        <v>122.09305075696309</v>
      </c>
      <c r="AR181" s="5">
        <f t="shared" si="443"/>
        <v>8.1904743455922606</v>
      </c>
      <c r="AS181" s="5">
        <f t="shared" si="604"/>
        <v>5.0735562869693256</v>
      </c>
      <c r="AT181" s="5">
        <f t="shared" si="605"/>
        <v>3.116918058622935</v>
      </c>
      <c r="AU181" s="173">
        <f t="shared" si="606"/>
        <v>0.61944596526325513</v>
      </c>
      <c r="AW181" s="5">
        <f t="shared" si="477"/>
        <v>21.964786364318421</v>
      </c>
      <c r="AX181" s="5">
        <f t="shared" si="478"/>
        <v>11.25695301171319</v>
      </c>
      <c r="AY181" s="5">
        <f t="shared" si="479"/>
        <v>3.0656941934115478</v>
      </c>
      <c r="AZ181" s="5"/>
      <c r="BA181" s="173">
        <f t="shared" si="480"/>
        <v>1.895351783749559</v>
      </c>
      <c r="BB181" s="173">
        <f t="shared" si="481"/>
        <v>1.4855808055342052</v>
      </c>
      <c r="BC181" s="173">
        <f t="shared" si="482"/>
        <v>0.36446817467194992</v>
      </c>
      <c r="BD181" s="173"/>
      <c r="BE181" s="528">
        <f t="shared" si="483"/>
        <v>7.1847167683252708E-2</v>
      </c>
      <c r="BF181" s="528">
        <f t="shared" si="528"/>
        <v>0.25805174250343477</v>
      </c>
      <c r="BG181" s="528">
        <f t="shared" si="529"/>
        <v>3.0112614121227153E-2</v>
      </c>
      <c r="BH181" s="528">
        <f t="shared" si="484"/>
        <v>8.9170791057657083E-3</v>
      </c>
      <c r="BI181">
        <f t="shared" si="485"/>
        <v>4.4394586818953443E-3</v>
      </c>
      <c r="BJ181" s="460">
        <f t="shared" si="600"/>
        <v>34.552072803122492</v>
      </c>
      <c r="BK181">
        <f t="shared" si="530"/>
        <v>0.36443596984197824</v>
      </c>
      <c r="BL181" s="460">
        <f t="shared" si="601"/>
        <v>373.36806209557574</v>
      </c>
      <c r="BM181" s="173">
        <f t="shared" si="531"/>
        <v>0.44108749999999991</v>
      </c>
      <c r="BN181" s="173">
        <f t="shared" si="532"/>
        <v>0.11027187499999998</v>
      </c>
      <c r="BO181" s="528"/>
      <c r="BQ181" s="460">
        <f t="shared" si="486"/>
        <v>551.35937499999989</v>
      </c>
      <c r="BR181" s="528">
        <f t="shared" si="487"/>
        <v>0.10777075152487905</v>
      </c>
      <c r="BS181" s="528">
        <f t="shared" si="488"/>
        <v>6.6208509893149733E-2</v>
      </c>
      <c r="BT181" s="528">
        <f t="shared" si="489"/>
        <v>6.64185251743515E-4</v>
      </c>
      <c r="BU181" s="528">
        <f t="shared" si="490"/>
        <v>0.29263025247049812</v>
      </c>
      <c r="BV181" s="528"/>
      <c r="BW181" s="625">
        <f t="shared" si="533"/>
        <v>1.062082939748517E-2</v>
      </c>
      <c r="BX181" s="460">
        <f t="shared" si="491"/>
        <v>477.89452853775555</v>
      </c>
      <c r="BY181" s="173">
        <f t="shared" si="492"/>
        <v>1.4026219656333314</v>
      </c>
      <c r="BZ181" s="5">
        <f t="shared" si="493"/>
        <v>13.063999999999998</v>
      </c>
      <c r="CA181" s="173">
        <f t="shared" si="494"/>
        <v>0.90304426500081514</v>
      </c>
      <c r="CB181" s="5">
        <f t="shared" si="495"/>
        <v>90.304426500081519</v>
      </c>
      <c r="CC181">
        <f t="shared" si="496"/>
        <v>71</v>
      </c>
      <c r="CE181" s="562">
        <f t="shared" si="534"/>
        <v>-50</v>
      </c>
      <c r="CF181">
        <f t="shared" si="535"/>
        <v>-50</v>
      </c>
      <c r="CG181" s="173">
        <f t="shared" si="536"/>
        <v>0.35771495841706197</v>
      </c>
      <c r="CH181" s="173">
        <f t="shared" si="537"/>
        <v>0.12498995131688433</v>
      </c>
      <c r="CI181" s="170">
        <v>71</v>
      </c>
      <c r="CJ181" s="217">
        <f t="shared" si="602"/>
        <v>0.71</v>
      </c>
      <c r="CK181" s="217">
        <f t="shared" si="538"/>
        <v>0.17749999999999999</v>
      </c>
      <c r="CL181" s="217">
        <f t="shared" si="539"/>
        <v>11.643999999999998</v>
      </c>
      <c r="CM181" s="217">
        <f t="shared" si="540"/>
        <v>1.42</v>
      </c>
      <c r="CN181" s="541">
        <f t="shared" si="541"/>
        <v>10</v>
      </c>
      <c r="CO181" s="443">
        <f t="shared" si="542"/>
        <v>17.099999999999998</v>
      </c>
      <c r="CP181" s="443">
        <f t="shared" si="543"/>
        <v>27.099999999999998</v>
      </c>
      <c r="CQ181" s="443"/>
      <c r="CR181" s="217">
        <f t="shared" si="544"/>
        <v>0.62686567164179097</v>
      </c>
      <c r="CS181" s="172">
        <f t="shared" si="545"/>
        <v>18.624269954574949</v>
      </c>
      <c r="CT181" s="172">
        <f t="shared" si="546"/>
        <v>2.5482344375682562</v>
      </c>
      <c r="CU181" s="217">
        <f t="shared" si="547"/>
        <v>1.135626216742375</v>
      </c>
      <c r="CV181" s="217">
        <f t="shared" si="548"/>
        <v>2.3280337443218686</v>
      </c>
      <c r="CW181" s="217">
        <f t="shared" si="549"/>
        <v>16.399999999999999</v>
      </c>
      <c r="CX181" s="217">
        <f t="shared" si="550"/>
        <v>4.1680380952380949</v>
      </c>
      <c r="CY181" s="217">
        <f t="shared" si="551"/>
        <v>5.0016457142857149</v>
      </c>
      <c r="CZ181" s="217">
        <f t="shared" si="552"/>
        <v>2.9249390142021725</v>
      </c>
      <c r="DA181" s="197">
        <f t="shared" si="553"/>
        <v>350</v>
      </c>
      <c r="DB181" s="443">
        <f t="shared" si="554"/>
        <v>126.15773807425948</v>
      </c>
      <c r="DD181" s="217">
        <f t="shared" si="555"/>
        <v>1.5023721665788083</v>
      </c>
      <c r="DE181" s="173">
        <f t="shared" si="556"/>
        <v>1.0542962572482866</v>
      </c>
      <c r="DF181" s="173">
        <f t="shared" si="557"/>
        <v>0.24706104135140031</v>
      </c>
      <c r="DG181" s="173"/>
      <c r="DH181" s="173">
        <f t="shared" si="558"/>
        <v>0.93567251461988332</v>
      </c>
      <c r="DI181" s="545">
        <f t="shared" si="559"/>
        <v>1138.2187499999995</v>
      </c>
      <c r="DJ181" s="528">
        <f t="shared" si="560"/>
        <v>0.21832358674463945</v>
      </c>
      <c r="DL181" s="173">
        <f t="shared" si="561"/>
        <v>2.4941837103454065</v>
      </c>
      <c r="DM181" s="173">
        <f t="shared" si="562"/>
        <v>4.1680380952380949</v>
      </c>
      <c r="DN181" s="173">
        <f t="shared" si="563"/>
        <v>3.2997813051146379</v>
      </c>
      <c r="DP181" s="545">
        <f t="shared" si="564"/>
        <v>710</v>
      </c>
      <c r="DQ181" s="460">
        <f t="shared" si="565"/>
        <v>126.15773807425948</v>
      </c>
      <c r="DS181">
        <f t="shared" si="566"/>
        <v>710</v>
      </c>
      <c r="DT181">
        <f t="shared" si="567"/>
        <v>126.15773807425948</v>
      </c>
      <c r="DV181" s="5">
        <f t="shared" si="568"/>
        <v>7.926584728487887</v>
      </c>
      <c r="DW181" s="5">
        <f t="shared" si="569"/>
        <v>5.0016457142857149</v>
      </c>
      <c r="DX181" s="5">
        <f t="shared" si="570"/>
        <v>2.9249390142021721</v>
      </c>
      <c r="DY181" s="173">
        <f t="shared" si="571"/>
        <v>0.63099630996309963</v>
      </c>
      <c r="EA181" s="5">
        <f t="shared" si="572"/>
        <v>21.653466202090598</v>
      </c>
      <c r="EB181" s="5">
        <f t="shared" si="573"/>
        <v>11.09740142857143</v>
      </c>
      <c r="EC181" s="5">
        <f t="shared" si="574"/>
        <v>2.8381658234475071</v>
      </c>
      <c r="ED181" s="5"/>
      <c r="EE181" s="173">
        <f t="shared" si="575"/>
        <v>1.9115447175132314</v>
      </c>
      <c r="EF181" s="173">
        <f t="shared" si="576"/>
        <v>1.4617947806489788</v>
      </c>
      <c r="EG181" s="173">
        <f t="shared" si="577"/>
        <v>0.35863257889666478</v>
      </c>
      <c r="EH181" s="173"/>
      <c r="EI181" s="528">
        <f t="shared" si="578"/>
        <v>7.3080064141054793E-2</v>
      </c>
      <c r="EJ181" s="528">
        <f t="shared" si="579"/>
        <v>0.28499999999999998</v>
      </c>
      <c r="EK181" s="528">
        <f t="shared" si="580"/>
        <v>1.5769717259282435E-2</v>
      </c>
      <c r="EL181" s="528">
        <f t="shared" si="581"/>
        <v>9.2651504419116893E-3</v>
      </c>
      <c r="EM181">
        <f t="shared" si="582"/>
        <v>4.4999999999999997E-3</v>
      </c>
      <c r="EN181" s="460">
        <f t="shared" si="583"/>
        <v>20.269717259282434</v>
      </c>
      <c r="EP181" s="460">
        <f t="shared" si="603"/>
        <v>387.61493184224889</v>
      </c>
      <c r="EQ181" s="173">
        <f t="shared" si="584"/>
        <v>0.49699999999999994</v>
      </c>
      <c r="ER181" s="173">
        <f t="shared" si="585"/>
        <v>7.8765624999999992E-2</v>
      </c>
      <c r="ES181" s="528"/>
      <c r="EU181" s="460">
        <f t="shared" si="497"/>
        <v>575.765625</v>
      </c>
      <c r="EV181" s="528">
        <f t="shared" si="586"/>
        <v>0.10962009621158218</v>
      </c>
      <c r="EW181" s="528">
        <f t="shared" si="587"/>
        <v>6.4105319421977891E-2</v>
      </c>
      <c r="EX181" s="528">
        <f t="shared" si="588"/>
        <v>6.4308663323036242E-4</v>
      </c>
      <c r="EY181" s="528">
        <f t="shared" si="589"/>
        <v>0.31701801185397427</v>
      </c>
      <c r="EZ181" s="528"/>
      <c r="FA181" s="625">
        <f t="shared" si="590"/>
        <v>1.0958402741170267E-2</v>
      </c>
      <c r="FB181" s="460">
        <f t="shared" si="498"/>
        <v>502.34491686193496</v>
      </c>
      <c r="FC181" s="173">
        <f t="shared" si="591"/>
        <v>1.4657254737041836</v>
      </c>
      <c r="FD181" s="5">
        <f t="shared" si="592"/>
        <v>13.063999999999998</v>
      </c>
      <c r="FE181" s="173">
        <f t="shared" si="593"/>
        <v>0.89912228717900788</v>
      </c>
      <c r="FF181" s="5">
        <f t="shared" si="594"/>
        <v>89.912228717900788</v>
      </c>
      <c r="FG181">
        <f t="shared" si="595"/>
        <v>71</v>
      </c>
      <c r="FI181" s="562">
        <f t="shared" si="596"/>
        <v>-50</v>
      </c>
      <c r="FJ181">
        <f t="shared" si="597"/>
        <v>-50</v>
      </c>
    </row>
    <row r="182" spans="5:166">
      <c r="E182" s="170">
        <v>72</v>
      </c>
      <c r="F182" s="217">
        <f t="shared" si="598"/>
        <v>0.72</v>
      </c>
      <c r="G182" s="217">
        <f t="shared" si="499"/>
        <v>0.18</v>
      </c>
      <c r="H182" s="217">
        <f t="shared" si="500"/>
        <v>11.807999999999998</v>
      </c>
      <c r="I182" s="217">
        <f t="shared" si="501"/>
        <v>1.44</v>
      </c>
      <c r="J182" s="541">
        <f t="shared" si="502"/>
        <v>9.8635688606092273</v>
      </c>
      <c r="K182" s="443">
        <f t="shared" si="503"/>
        <v>17.160383273027168</v>
      </c>
      <c r="L182" s="172">
        <f t="shared" si="504"/>
        <v>27.023952133636396</v>
      </c>
      <c r="M182" s="443"/>
      <c r="N182" s="217">
        <f t="shared" si="505"/>
        <v>0.63500642645336247</v>
      </c>
      <c r="O182" s="172">
        <f t="shared" si="506"/>
        <v>18.608740158285311</v>
      </c>
      <c r="P182" s="172">
        <f t="shared" si="507"/>
        <v>2.5461095992894842</v>
      </c>
      <c r="Q182" s="217">
        <f t="shared" si="508"/>
        <v>1.1346792779442263</v>
      </c>
      <c r="R182" s="217">
        <f t="shared" si="509"/>
        <v>2.3260925197856639</v>
      </c>
      <c r="S182" s="217">
        <f t="shared" si="510"/>
        <v>16.399999999999999</v>
      </c>
      <c r="T182" s="217">
        <f t="shared" si="511"/>
        <v>4.2302702563639629</v>
      </c>
      <c r="U182" s="217">
        <f t="shared" si="512"/>
        <v>5.146539127343015</v>
      </c>
      <c r="V182" s="217">
        <f t="shared" si="513"/>
        <v>2.9581648771305495</v>
      </c>
      <c r="W182" s="197">
        <f t="shared" si="514"/>
        <v>350</v>
      </c>
      <c r="X182" s="443">
        <f t="shared" si="599"/>
        <v>120.41368355348025</v>
      </c>
      <c r="Z182" s="217">
        <f t="shared" si="515"/>
        <v>1.491292765298126</v>
      </c>
      <c r="AA182" s="173">
        <f t="shared" si="516"/>
        <v>1.0428387815618214</v>
      </c>
      <c r="AB182" s="173">
        <f t="shared" si="517"/>
        <v>0.24257394891333486</v>
      </c>
      <c r="AC182" s="173"/>
      <c r="AD182" s="173">
        <f t="shared" si="518"/>
        <v>0.93238010745068467</v>
      </c>
      <c r="AE182" s="545">
        <f t="shared" si="519"/>
        <v>1158.3258709293334</v>
      </c>
      <c r="AF182" s="528">
        <f t="shared" si="520"/>
        <v>0.2175553584051598</v>
      </c>
      <c r="AH182" s="173">
        <f t="shared" si="521"/>
        <v>2.511686968666961</v>
      </c>
      <c r="AI182" s="173">
        <f t="shared" si="522"/>
        <v>4.2302702563639629</v>
      </c>
      <c r="AJ182" s="173">
        <f t="shared" si="523"/>
        <v>3.3458792022449106</v>
      </c>
      <c r="AL182" s="545">
        <f t="shared" si="524"/>
        <v>720</v>
      </c>
      <c r="AM182" s="460">
        <f t="shared" si="525"/>
        <v>120.41368355348025</v>
      </c>
      <c r="AO182">
        <f t="shared" si="526"/>
        <v>720</v>
      </c>
      <c r="AP182">
        <f t="shared" si="527"/>
        <v>120.41368355348025</v>
      </c>
      <c r="AR182" s="5">
        <f t="shared" si="443"/>
        <v>8.3047040044735638</v>
      </c>
      <c r="AS182" s="5">
        <f t="shared" si="604"/>
        <v>5.146539127343015</v>
      </c>
      <c r="AT182" s="5">
        <f t="shared" si="605"/>
        <v>3.1581648771305488</v>
      </c>
      <c r="AU182" s="173">
        <f t="shared" si="606"/>
        <v>0.61971373387548623</v>
      </c>
      <c r="AW182" s="5">
        <f t="shared" si="477"/>
        <v>22.594562022481533</v>
      </c>
      <c r="AX182" s="5">
        <f t="shared" si="478"/>
        <v>11.579713036521783</v>
      </c>
      <c r="AY182" s="5">
        <f t="shared" si="479"/>
        <v>3.1506184860806203</v>
      </c>
      <c r="AZ182" s="5"/>
      <c r="BA182" s="173">
        <f t="shared" si="480"/>
        <v>1.9226624602612876</v>
      </c>
      <c r="BB182" s="173">
        <f t="shared" si="481"/>
        <v>1.5061312065004682</v>
      </c>
      <c r="BC182" s="173">
        <f t="shared" si="482"/>
        <v>0.36950995166654238</v>
      </c>
      <c r="BD182" s="173"/>
      <c r="BE182" s="528">
        <f t="shared" si="483"/>
        <v>7.3932618721959747E-2</v>
      </c>
      <c r="BF182" s="528">
        <f t="shared" si="528"/>
        <v>0.2581036170706939</v>
      </c>
      <c r="BG182" s="528">
        <f t="shared" si="529"/>
        <v>2.9692716487234032E-2</v>
      </c>
      <c r="BH182" s="528">
        <f t="shared" si="484"/>
        <v>8.7937389282950681E-3</v>
      </c>
      <c r="BI182">
        <f t="shared" si="485"/>
        <v>4.4386059872741522E-3</v>
      </c>
      <c r="BJ182" s="460">
        <f t="shared" si="600"/>
        <v>34.131322474508181</v>
      </c>
      <c r="BK182">
        <f t="shared" si="530"/>
        <v>0.36724291410631643</v>
      </c>
      <c r="BL182" s="460">
        <f t="shared" si="601"/>
        <v>374.96129719545684</v>
      </c>
      <c r="BM182" s="173">
        <f t="shared" si="531"/>
        <v>0.44729999999999998</v>
      </c>
      <c r="BN182" s="173">
        <f t="shared" si="532"/>
        <v>0.11182499999999999</v>
      </c>
      <c r="BO182" s="528"/>
      <c r="BQ182" s="460">
        <f t="shared" si="486"/>
        <v>559.125</v>
      </c>
      <c r="BR182" s="528">
        <f t="shared" si="487"/>
        <v>0.11089892808293962</v>
      </c>
      <c r="BS182" s="528">
        <f t="shared" si="488"/>
        <v>6.8052936335836672E-2</v>
      </c>
      <c r="BT182" s="528">
        <f t="shared" si="489"/>
        <v>6.8268802190305249E-4</v>
      </c>
      <c r="BU182" s="528">
        <f t="shared" si="490"/>
        <v>0.29280594738085214</v>
      </c>
      <c r="BV182" s="528"/>
      <c r="BW182" s="625">
        <f t="shared" si="533"/>
        <v>1.0774126586713915E-2</v>
      </c>
      <c r="BX182" s="460">
        <f t="shared" si="491"/>
        <v>483.21462640824535</v>
      </c>
      <c r="BY182" s="173">
        <f t="shared" si="492"/>
        <v>1.4173009236037022</v>
      </c>
      <c r="BZ182" s="5">
        <f t="shared" si="493"/>
        <v>13.247999999999998</v>
      </c>
      <c r="CA182" s="173">
        <f t="shared" si="494"/>
        <v>0.90335684681910844</v>
      </c>
      <c r="CB182" s="5">
        <f t="shared" si="495"/>
        <v>90.335684681910848</v>
      </c>
      <c r="CC182">
        <f t="shared" si="496"/>
        <v>72</v>
      </c>
      <c r="CE182" s="562">
        <f t="shared" si="534"/>
        <v>-50</v>
      </c>
      <c r="CF182">
        <f t="shared" si="535"/>
        <v>-50</v>
      </c>
      <c r="CG182" s="173">
        <f t="shared" si="536"/>
        <v>0.35771495841706197</v>
      </c>
      <c r="CH182" s="173">
        <f t="shared" si="537"/>
        <v>0.12498995131688433</v>
      </c>
      <c r="CI182" s="170">
        <v>72</v>
      </c>
      <c r="CJ182" s="217">
        <f t="shared" si="602"/>
        <v>0.72</v>
      </c>
      <c r="CK182" s="217">
        <f t="shared" si="538"/>
        <v>0.18</v>
      </c>
      <c r="CL182" s="217">
        <f t="shared" si="539"/>
        <v>11.807999999999998</v>
      </c>
      <c r="CM182" s="217">
        <f t="shared" si="540"/>
        <v>1.44</v>
      </c>
      <c r="CN182" s="541">
        <f t="shared" si="541"/>
        <v>10</v>
      </c>
      <c r="CO182" s="443">
        <f t="shared" si="542"/>
        <v>17.099999999999998</v>
      </c>
      <c r="CP182" s="443">
        <f t="shared" si="543"/>
        <v>27.099999999999998</v>
      </c>
      <c r="CQ182" s="443"/>
      <c r="CR182" s="217">
        <f t="shared" si="544"/>
        <v>0.62686567164179097</v>
      </c>
      <c r="CS182" s="172">
        <f t="shared" si="545"/>
        <v>18.624269954574949</v>
      </c>
      <c r="CT182" s="172">
        <f t="shared" si="546"/>
        <v>2.5482344375682562</v>
      </c>
      <c r="CU182" s="217">
        <f t="shared" si="547"/>
        <v>1.135626216742375</v>
      </c>
      <c r="CV182" s="217">
        <f t="shared" si="548"/>
        <v>2.3280337443218686</v>
      </c>
      <c r="CW182" s="217">
        <f t="shared" si="549"/>
        <v>16.399999999999999</v>
      </c>
      <c r="CX182" s="217">
        <f t="shared" si="550"/>
        <v>4.2267428571428569</v>
      </c>
      <c r="CY182" s="217">
        <f t="shared" si="551"/>
        <v>5.0720914285714285</v>
      </c>
      <c r="CZ182" s="217">
        <f t="shared" si="552"/>
        <v>2.9661353383458651</v>
      </c>
      <c r="DA182" s="197">
        <f t="shared" si="553"/>
        <v>350</v>
      </c>
      <c r="DB182" s="443">
        <f t="shared" si="554"/>
        <v>124.40554726767255</v>
      </c>
      <c r="DD182" s="217">
        <f t="shared" si="555"/>
        <v>1.5023721665788083</v>
      </c>
      <c r="DE182" s="173">
        <f t="shared" si="556"/>
        <v>1.0542962572482866</v>
      </c>
      <c r="DF182" s="173">
        <f t="shared" si="557"/>
        <v>0.24706104135140031</v>
      </c>
      <c r="DG182" s="173"/>
      <c r="DH182" s="173">
        <f t="shared" si="558"/>
        <v>0.93567251461988332</v>
      </c>
      <c r="DI182" s="545">
        <f t="shared" si="559"/>
        <v>1154.2499999999995</v>
      </c>
      <c r="DJ182" s="528">
        <f t="shared" si="560"/>
        <v>0.21832358674463945</v>
      </c>
      <c r="DL182" s="173">
        <f t="shared" si="561"/>
        <v>2.511686968666961</v>
      </c>
      <c r="DM182" s="173">
        <f t="shared" si="562"/>
        <v>4.2267428571428569</v>
      </c>
      <c r="DN182" s="173">
        <f t="shared" si="563"/>
        <v>3.3432663139329799</v>
      </c>
      <c r="DP182" s="545">
        <f t="shared" si="564"/>
        <v>720</v>
      </c>
      <c r="DQ182" s="460">
        <f t="shared" si="565"/>
        <v>124.40554726767255</v>
      </c>
      <c r="DS182">
        <f t="shared" si="566"/>
        <v>720</v>
      </c>
      <c r="DT182">
        <f t="shared" si="567"/>
        <v>124.40554726767255</v>
      </c>
      <c r="DV182" s="5">
        <f t="shared" si="568"/>
        <v>8.0382267669172922</v>
      </c>
      <c r="DW182" s="5">
        <f t="shared" si="569"/>
        <v>5.0720914285714285</v>
      </c>
      <c r="DX182" s="5">
        <f t="shared" si="570"/>
        <v>2.9661353383458637</v>
      </c>
      <c r="DY182" s="173">
        <f t="shared" si="571"/>
        <v>0.63099630996309974</v>
      </c>
      <c r="EA182" s="5">
        <f t="shared" si="572"/>
        <v>22.267718466898959</v>
      </c>
      <c r="EB182" s="5">
        <f t="shared" si="573"/>
        <v>11.412205714285713</v>
      </c>
      <c r="EC182" s="5">
        <f t="shared" si="574"/>
        <v>2.9186771729323291</v>
      </c>
      <c r="ED182" s="5"/>
      <c r="EE182" s="173">
        <f t="shared" si="575"/>
        <v>1.9384678825486292</v>
      </c>
      <c r="EF182" s="173">
        <f t="shared" si="576"/>
        <v>1.4823834395313586</v>
      </c>
      <c r="EG182" s="173">
        <f t="shared" si="577"/>
        <v>0.36368374197971631</v>
      </c>
      <c r="EH182" s="173"/>
      <c r="EI182" s="528">
        <f t="shared" si="578"/>
        <v>7.5153154633451319E-2</v>
      </c>
      <c r="EJ182" s="528">
        <f t="shared" si="579"/>
        <v>0.28499999999999998</v>
      </c>
      <c r="EK182" s="528">
        <f t="shared" si="580"/>
        <v>1.5550693408459068E-2</v>
      </c>
      <c r="EL182" s="528">
        <f t="shared" si="581"/>
        <v>9.1364677968851383E-3</v>
      </c>
      <c r="EM182">
        <f t="shared" si="582"/>
        <v>4.4999999999999997E-3</v>
      </c>
      <c r="EN182" s="460">
        <f t="shared" si="583"/>
        <v>20.050693408459068</v>
      </c>
      <c r="EP182" s="460">
        <f t="shared" si="603"/>
        <v>389.3403158387955</v>
      </c>
      <c r="EQ182" s="173">
        <f t="shared" si="584"/>
        <v>0.504</v>
      </c>
      <c r="ER182" s="173">
        <f t="shared" si="585"/>
        <v>7.9874999999999988E-2</v>
      </c>
      <c r="ES182" s="528"/>
      <c r="EU182" s="460">
        <f t="shared" si="497"/>
        <v>583.875</v>
      </c>
      <c r="EV182" s="528">
        <f t="shared" si="586"/>
        <v>0.11272973195017698</v>
      </c>
      <c r="EW182" s="528">
        <f t="shared" si="587"/>
        <v>6.5923819853904636E-2</v>
      </c>
      <c r="EX182" s="528">
        <f t="shared" si="588"/>
        <v>6.6132932090184437E-4</v>
      </c>
      <c r="EY182" s="528">
        <f t="shared" si="589"/>
        <v>0.31701801185397399</v>
      </c>
      <c r="EZ182" s="528"/>
      <c r="FA182" s="625">
        <f t="shared" si="590"/>
        <v>1.1112746441750131E-2</v>
      </c>
      <c r="FB182" s="460">
        <f t="shared" si="498"/>
        <v>507.44563942070755</v>
      </c>
      <c r="FC182" s="173">
        <f t="shared" si="591"/>
        <v>1.4806609552595034</v>
      </c>
      <c r="FD182" s="5">
        <f t="shared" si="592"/>
        <v>13.247999999999998</v>
      </c>
      <c r="FE182" s="173">
        <f t="shared" si="593"/>
        <v>0.89947076928736214</v>
      </c>
      <c r="FF182" s="5">
        <f t="shared" si="594"/>
        <v>89.947076928736209</v>
      </c>
      <c r="FG182">
        <f t="shared" si="595"/>
        <v>72</v>
      </c>
      <c r="FI182" s="562">
        <f t="shared" si="596"/>
        <v>-50</v>
      </c>
      <c r="FJ182">
        <f t="shared" si="597"/>
        <v>-50</v>
      </c>
    </row>
    <row r="183" spans="5:166">
      <c r="E183" s="170">
        <v>73</v>
      </c>
      <c r="F183" s="217">
        <f t="shared" si="598"/>
        <v>0.73</v>
      </c>
      <c r="G183" s="217">
        <f t="shared" si="499"/>
        <v>0.1825</v>
      </c>
      <c r="H183" s="217">
        <f t="shared" si="500"/>
        <v>11.972</v>
      </c>
      <c r="I183" s="217">
        <f t="shared" si="501"/>
        <v>1.46</v>
      </c>
      <c r="J183" s="541">
        <f t="shared" si="502"/>
        <v>9.8616739836732439</v>
      </c>
      <c r="K183" s="443">
        <f t="shared" si="503"/>
        <v>17.161221929596991</v>
      </c>
      <c r="L183" s="172">
        <f t="shared" si="504"/>
        <v>27.022895913270233</v>
      </c>
      <c r="M183" s="443"/>
      <c r="N183" s="217">
        <f t="shared" si="505"/>
        <v>0.6350622814325968</v>
      </c>
      <c r="O183" s="172">
        <f t="shared" si="506"/>
        <v>18.606801763149033</v>
      </c>
      <c r="P183" s="172">
        <f t="shared" si="507"/>
        <v>2.5458443816325276</v>
      </c>
      <c r="Q183" s="217">
        <f t="shared" si="508"/>
        <v>1.1345610831188435</v>
      </c>
      <c r="R183" s="217">
        <f t="shared" si="509"/>
        <v>2.3258502203936291</v>
      </c>
      <c r="S183" s="217">
        <f t="shared" si="510"/>
        <v>16.399999999999999</v>
      </c>
      <c r="T183" s="217">
        <f t="shared" si="511"/>
        <v>4.2894708262762533</v>
      </c>
      <c r="U183" s="217">
        <f t="shared" si="512"/>
        <v>5.2195651570446975</v>
      </c>
      <c r="V183" s="217">
        <f t="shared" si="513"/>
        <v>2.9994163659489388</v>
      </c>
      <c r="W183" s="197">
        <f t="shared" si="514"/>
        <v>350</v>
      </c>
      <c r="X183" s="443">
        <f t="shared" si="599"/>
        <v>118.77921305193911</v>
      </c>
      <c r="Z183" s="217">
        <f t="shared" si="515"/>
        <v>1.4911374235276227</v>
      </c>
      <c r="AA183" s="173">
        <f t="shared" si="516"/>
        <v>1.0426791959068662</v>
      </c>
      <c r="AB183" s="173">
        <f t="shared" si="517"/>
        <v>0.24251156375998364</v>
      </c>
      <c r="AC183" s="173"/>
      <c r="AD183" s="173">
        <f t="shared" si="518"/>
        <v>0.93233454270559279</v>
      </c>
      <c r="AE183" s="545">
        <f t="shared" si="519"/>
        <v>1174.4711258067939</v>
      </c>
      <c r="AF183" s="528">
        <f t="shared" si="520"/>
        <v>0.217544726631305</v>
      </c>
      <c r="AH183" s="173">
        <f t="shared" si="521"/>
        <v>2.5290690928067732</v>
      </c>
      <c r="AI183" s="173">
        <f t="shared" si="522"/>
        <v>4.2894708262762533</v>
      </c>
      <c r="AJ183" s="173">
        <f t="shared" si="523"/>
        <v>3.3897314762540143</v>
      </c>
      <c r="AL183" s="545">
        <f t="shared" si="524"/>
        <v>730</v>
      </c>
      <c r="AM183" s="460">
        <f t="shared" si="525"/>
        <v>118.77921305193911</v>
      </c>
      <c r="AO183">
        <f t="shared" si="526"/>
        <v>730</v>
      </c>
      <c r="AP183">
        <f t="shared" si="527"/>
        <v>118.77921305193911</v>
      </c>
      <c r="AR183" s="5">
        <f t="shared" si="443"/>
        <v>8.4189815229936364</v>
      </c>
      <c r="AS183" s="5">
        <f t="shared" si="604"/>
        <v>5.2195651570446975</v>
      </c>
      <c r="AT183" s="5">
        <f t="shared" si="605"/>
        <v>3.199416365948939</v>
      </c>
      <c r="AU183" s="173">
        <f t="shared" si="606"/>
        <v>0.6199758418270902</v>
      </c>
      <c r="AW183" s="5">
        <f t="shared" si="477"/>
        <v>23.233430272211155</v>
      </c>
      <c r="AX183" s="5">
        <f t="shared" si="478"/>
        <v>11.907133014508217</v>
      </c>
      <c r="AY183" s="5">
        <f t="shared" si="479"/>
        <v>3.2367233660122783</v>
      </c>
      <c r="AZ183" s="5"/>
      <c r="BA183" s="173">
        <f t="shared" si="480"/>
        <v>1.9499814256656689</v>
      </c>
      <c r="BB183" s="173">
        <f t="shared" si="481"/>
        <v>1.5266823821773079</v>
      </c>
      <c r="BC183" s="173">
        <f t="shared" si="482"/>
        <v>0.37455191872642701</v>
      </c>
      <c r="BD183" s="173"/>
      <c r="BE183" s="528">
        <f t="shared" si="483"/>
        <v>7.6048551208822299E-2</v>
      </c>
      <c r="BF183" s="528">
        <f t="shared" si="528"/>
        <v>0.25815308689260452</v>
      </c>
      <c r="BG183" s="528">
        <f t="shared" si="529"/>
        <v>2.9284046878887231E-2</v>
      </c>
      <c r="BH183" s="528">
        <f t="shared" si="484"/>
        <v>8.6736964743899091E-3</v>
      </c>
      <c r="BI183">
        <f t="shared" si="485"/>
        <v>4.43775329265296E-3</v>
      </c>
      <c r="BJ183" s="460">
        <f t="shared" si="600"/>
        <v>33.721800171540195</v>
      </c>
      <c r="BK183">
        <f t="shared" si="530"/>
        <v>0.37009575382493171</v>
      </c>
      <c r="BL183" s="460">
        <f t="shared" si="601"/>
        <v>376.59713474735696</v>
      </c>
      <c r="BM183" s="173">
        <f t="shared" si="531"/>
        <v>0.45351249999999999</v>
      </c>
      <c r="BN183" s="173">
        <f t="shared" si="532"/>
        <v>0.113378125</v>
      </c>
      <c r="BO183" s="528"/>
      <c r="BQ183" s="460">
        <f t="shared" si="486"/>
        <v>566.890625</v>
      </c>
      <c r="BR183" s="528">
        <f t="shared" si="487"/>
        <v>0.11407282681323344</v>
      </c>
      <c r="BS183" s="528">
        <f t="shared" si="488"/>
        <v>6.9922772881517381E-2</v>
      </c>
      <c r="BT183" s="528">
        <f t="shared" si="489"/>
        <v>7.0144569910823992E-4</v>
      </c>
      <c r="BU183" s="528">
        <f t="shared" si="490"/>
        <v>0.29297489646955943</v>
      </c>
      <c r="BV183" s="528"/>
      <c r="BW183" s="625">
        <f t="shared" si="533"/>
        <v>1.0927426268381057E-2</v>
      </c>
      <c r="BX183" s="460">
        <f t="shared" si="491"/>
        <v>488.59936813179957</v>
      </c>
      <c r="BY183" s="173">
        <f t="shared" si="492"/>
        <v>1.4320871278791567</v>
      </c>
      <c r="BZ183" s="5">
        <f t="shared" si="493"/>
        <v>13.431999999999999</v>
      </c>
      <c r="CA183" s="173">
        <f t="shared" si="494"/>
        <v>0.90365455237455339</v>
      </c>
      <c r="CB183" s="5">
        <f t="shared" si="495"/>
        <v>90.365455237455336</v>
      </c>
      <c r="CC183">
        <f t="shared" si="496"/>
        <v>73</v>
      </c>
      <c r="CE183" s="562">
        <f t="shared" si="534"/>
        <v>-50</v>
      </c>
      <c r="CF183">
        <f t="shared" si="535"/>
        <v>-50</v>
      </c>
      <c r="CG183" s="173">
        <f t="shared" si="536"/>
        <v>0.35771495841706197</v>
      </c>
      <c r="CH183" s="173">
        <f t="shared" si="537"/>
        <v>0.1249899513168843</v>
      </c>
      <c r="CI183" s="170">
        <v>73</v>
      </c>
      <c r="CJ183" s="217">
        <f t="shared" si="602"/>
        <v>0.73</v>
      </c>
      <c r="CK183" s="217">
        <f t="shared" si="538"/>
        <v>0.1825</v>
      </c>
      <c r="CL183" s="217">
        <f t="shared" si="539"/>
        <v>11.972</v>
      </c>
      <c r="CM183" s="217">
        <f t="shared" si="540"/>
        <v>1.46</v>
      </c>
      <c r="CN183" s="541">
        <f t="shared" si="541"/>
        <v>10</v>
      </c>
      <c r="CO183" s="443">
        <f t="shared" si="542"/>
        <v>17.099999999999998</v>
      </c>
      <c r="CP183" s="443">
        <f t="shared" si="543"/>
        <v>27.099999999999998</v>
      </c>
      <c r="CQ183" s="443"/>
      <c r="CR183" s="217">
        <f t="shared" si="544"/>
        <v>0.62686567164179097</v>
      </c>
      <c r="CS183" s="172">
        <f t="shared" si="545"/>
        <v>18.624269954574949</v>
      </c>
      <c r="CT183" s="172">
        <f t="shared" si="546"/>
        <v>2.5482344375682562</v>
      </c>
      <c r="CU183" s="217">
        <f t="shared" si="547"/>
        <v>1.135626216742375</v>
      </c>
      <c r="CV183" s="217">
        <f t="shared" si="548"/>
        <v>2.3280337443218686</v>
      </c>
      <c r="CW183" s="217">
        <f t="shared" si="549"/>
        <v>16.399999999999999</v>
      </c>
      <c r="CX183" s="217">
        <f t="shared" si="550"/>
        <v>4.285447619047619</v>
      </c>
      <c r="CY183" s="217">
        <f t="shared" si="551"/>
        <v>5.1425371428571429</v>
      </c>
      <c r="CZ183" s="217">
        <f t="shared" si="552"/>
        <v>3.0073316624895576</v>
      </c>
      <c r="DA183" s="197">
        <f t="shared" si="553"/>
        <v>350</v>
      </c>
      <c r="DB183" s="443">
        <f t="shared" si="554"/>
        <v>122.70136168866331</v>
      </c>
      <c r="DD183" s="217">
        <f t="shared" si="555"/>
        <v>1.5023721665788083</v>
      </c>
      <c r="DE183" s="173">
        <f t="shared" si="556"/>
        <v>1.0542962572482866</v>
      </c>
      <c r="DF183" s="173">
        <f t="shared" si="557"/>
        <v>0.24706104135140031</v>
      </c>
      <c r="DG183" s="173"/>
      <c r="DH183" s="173">
        <f t="shared" si="558"/>
        <v>0.93567251461988332</v>
      </c>
      <c r="DI183" s="545">
        <f t="shared" si="559"/>
        <v>1170.2812499999995</v>
      </c>
      <c r="DJ183" s="528">
        <f t="shared" si="560"/>
        <v>0.21832358674463945</v>
      </c>
      <c r="DL183" s="173">
        <f t="shared" si="561"/>
        <v>2.5290690928067732</v>
      </c>
      <c r="DM183" s="173">
        <f t="shared" si="562"/>
        <v>4.285447619047619</v>
      </c>
      <c r="DN183" s="173">
        <f t="shared" si="563"/>
        <v>3.3867513227513228</v>
      </c>
      <c r="DP183" s="545">
        <f t="shared" si="564"/>
        <v>730</v>
      </c>
      <c r="DQ183" s="460">
        <f t="shared" si="565"/>
        <v>122.70136168866331</v>
      </c>
      <c r="DS183">
        <f t="shared" si="566"/>
        <v>730</v>
      </c>
      <c r="DT183">
        <f t="shared" si="567"/>
        <v>122.70136168866331</v>
      </c>
      <c r="DV183" s="5">
        <f t="shared" si="568"/>
        <v>8.149868805346701</v>
      </c>
      <c r="DW183" s="5">
        <f t="shared" si="569"/>
        <v>5.1425371428571429</v>
      </c>
      <c r="DX183" s="5">
        <f t="shared" si="570"/>
        <v>3.0073316624895581</v>
      </c>
      <c r="DY183" s="173">
        <f t="shared" si="571"/>
        <v>0.63099630996309952</v>
      </c>
      <c r="EA183" s="5">
        <f t="shared" si="572"/>
        <v>22.890561672473872</v>
      </c>
      <c r="EB183" s="5">
        <f t="shared" si="573"/>
        <v>11.731412857142857</v>
      </c>
      <c r="EC183" s="5">
        <f t="shared" si="574"/>
        <v>3.0003145552770825</v>
      </c>
      <c r="ED183" s="5"/>
      <c r="EE183" s="173">
        <f t="shared" si="575"/>
        <v>1.9653910475840264</v>
      </c>
      <c r="EF183" s="173">
        <f t="shared" si="576"/>
        <v>1.5029720984137391</v>
      </c>
      <c r="EG183" s="173">
        <f t="shared" si="577"/>
        <v>0.36873490506276807</v>
      </c>
      <c r="EH183" s="173"/>
      <c r="EI183" s="528">
        <f t="shared" si="578"/>
        <v>7.7255239398468734E-2</v>
      </c>
      <c r="EJ183" s="528">
        <f t="shared" si="579"/>
        <v>0.28499999999999992</v>
      </c>
      <c r="EK183" s="528">
        <f t="shared" si="580"/>
        <v>1.5337670211082913E-2</v>
      </c>
      <c r="EL183" s="528">
        <f t="shared" si="581"/>
        <v>9.0113107037771215E-3</v>
      </c>
      <c r="EM183">
        <f t="shared" si="582"/>
        <v>4.4999999999999997E-3</v>
      </c>
      <c r="EN183" s="460">
        <f t="shared" si="583"/>
        <v>19.837670211082912</v>
      </c>
      <c r="EP183" s="460">
        <f t="shared" si="603"/>
        <v>391.10422031332871</v>
      </c>
      <c r="EQ183" s="173">
        <f t="shared" si="584"/>
        <v>0.51100000000000001</v>
      </c>
      <c r="ER183" s="173">
        <f t="shared" si="585"/>
        <v>8.0984374999999997E-2</v>
      </c>
      <c r="ES183" s="528"/>
      <c r="EU183" s="460">
        <f t="shared" si="497"/>
        <v>591.984375</v>
      </c>
      <c r="EV183" s="528">
        <f t="shared" si="586"/>
        <v>0.11588285909770309</v>
      </c>
      <c r="EW183" s="528">
        <f t="shared" si="587"/>
        <v>6.7767753858305954E-2</v>
      </c>
      <c r="EX183" s="528">
        <f t="shared" si="588"/>
        <v>6.7982715105824299E-4</v>
      </c>
      <c r="EY183" s="528">
        <f t="shared" si="589"/>
        <v>0.3170180118539736</v>
      </c>
      <c r="EZ183" s="528"/>
      <c r="FA183" s="625">
        <f t="shared" si="590"/>
        <v>1.1267090142329992E-2</v>
      </c>
      <c r="FB183" s="460">
        <f t="shared" si="498"/>
        <v>512.6155421033709</v>
      </c>
      <c r="FC183" s="173">
        <f t="shared" si="591"/>
        <v>1.4957041374166995</v>
      </c>
      <c r="FD183" s="5">
        <f t="shared" si="592"/>
        <v>13.431999999999999</v>
      </c>
      <c r="FE183" s="173">
        <f t="shared" si="593"/>
        <v>0.89980347120709092</v>
      </c>
      <c r="FF183" s="5">
        <f t="shared" si="594"/>
        <v>89.980347120709098</v>
      </c>
      <c r="FG183">
        <f t="shared" si="595"/>
        <v>73</v>
      </c>
      <c r="FI183" s="562">
        <f t="shared" si="596"/>
        <v>-50</v>
      </c>
      <c r="FJ183">
        <f t="shared" si="597"/>
        <v>-50</v>
      </c>
    </row>
    <row r="184" spans="5:166">
      <c r="E184" s="170">
        <v>74</v>
      </c>
      <c r="F184" s="217">
        <f t="shared" si="598"/>
        <v>0.74</v>
      </c>
      <c r="G184" s="217">
        <f t="shared" si="499"/>
        <v>0.185</v>
      </c>
      <c r="H184" s="217">
        <f t="shared" si="500"/>
        <v>12.135999999999999</v>
      </c>
      <c r="I184" s="217">
        <f t="shared" si="501"/>
        <v>1.48</v>
      </c>
      <c r="J184" s="541">
        <f t="shared" si="502"/>
        <v>9.8597791067372622</v>
      </c>
      <c r="K184" s="443">
        <f t="shared" si="503"/>
        <v>17.16206058616681</v>
      </c>
      <c r="L184" s="172">
        <f t="shared" si="504"/>
        <v>27.021839692904074</v>
      </c>
      <c r="M184" s="443"/>
      <c r="N184" s="217">
        <f t="shared" si="505"/>
        <v>0.6351181407783113</v>
      </c>
      <c r="O184" s="172">
        <f t="shared" si="506"/>
        <v>18.604862867028132</v>
      </c>
      <c r="P184" s="172">
        <f t="shared" si="507"/>
        <v>2.5455790954291913</v>
      </c>
      <c r="Q184" s="217">
        <f t="shared" si="508"/>
        <v>1.1344428577456178</v>
      </c>
      <c r="R184" s="217">
        <f t="shared" si="509"/>
        <v>2.3256078583785165</v>
      </c>
      <c r="S184" s="217">
        <f t="shared" si="510"/>
        <v>16.399999999999999</v>
      </c>
      <c r="T184" s="217">
        <f t="shared" si="511"/>
        <v>4.348683849212934</v>
      </c>
      <c r="U184" s="217">
        <f t="shared" si="512"/>
        <v>5.2926344115455226</v>
      </c>
      <c r="V184" s="217">
        <f t="shared" si="513"/>
        <v>3.0406725304662667</v>
      </c>
      <c r="W184" s="197">
        <f t="shared" si="514"/>
        <v>350</v>
      </c>
      <c r="X184" s="443">
        <f t="shared" si="599"/>
        <v>117.18786243076858</v>
      </c>
      <c r="Z184" s="217">
        <f t="shared" si="515"/>
        <v>1.490982041608526</v>
      </c>
      <c r="AA184" s="173">
        <f t="shared" si="516"/>
        <v>1.0425195977762534</v>
      </c>
      <c r="AB184" s="173">
        <f t="shared" si="517"/>
        <v>0.24244917691020645</v>
      </c>
      <c r="AC184" s="173"/>
      <c r="AD184" s="173">
        <f t="shared" si="518"/>
        <v>0.93228898241371627</v>
      </c>
      <c r="AE184" s="545">
        <f t="shared" si="519"/>
        <v>1190.617953165322</v>
      </c>
      <c r="AF184" s="528">
        <f t="shared" si="520"/>
        <v>0.21753409589653383</v>
      </c>
      <c r="AH184" s="173">
        <f t="shared" si="521"/>
        <v>2.546332563474285</v>
      </c>
      <c r="AI184" s="173">
        <f t="shared" si="522"/>
        <v>4.348683849212934</v>
      </c>
      <c r="AJ184" s="173">
        <f t="shared" si="523"/>
        <v>3.43359297472563</v>
      </c>
      <c r="AL184" s="545">
        <f t="shared" si="524"/>
        <v>740</v>
      </c>
      <c r="AM184" s="460">
        <f t="shared" si="525"/>
        <v>117.18786243076858</v>
      </c>
      <c r="AO184">
        <f t="shared" si="526"/>
        <v>740</v>
      </c>
      <c r="AP184">
        <f t="shared" si="527"/>
        <v>117.18786243076858</v>
      </c>
      <c r="AR184" s="5">
        <f t="shared" si="443"/>
        <v>8.5333069420117891</v>
      </c>
      <c r="AS184" s="5">
        <f t="shared" si="604"/>
        <v>5.2926344115455226</v>
      </c>
      <c r="AT184" s="5">
        <f t="shared" si="605"/>
        <v>3.2406725304662665</v>
      </c>
      <c r="AU184" s="173">
        <f t="shared" si="606"/>
        <v>0.62023251331654849</v>
      </c>
      <c r="AW184" s="5">
        <f t="shared" si="477"/>
        <v>23.881399174046873</v>
      </c>
      <c r="AX184" s="5">
        <f t="shared" si="478"/>
        <v>12.23921707669902</v>
      </c>
      <c r="AY184" s="5">
        <f t="shared" si="479"/>
        <v>3.3240097136037705</v>
      </c>
      <c r="AZ184" s="5"/>
      <c r="BA184" s="173">
        <f t="shared" si="480"/>
        <v>1.9773086783040927</v>
      </c>
      <c r="BB184" s="173">
        <f t="shared" si="481"/>
        <v>1.5472343490365192</v>
      </c>
      <c r="BC184" s="173">
        <f t="shared" si="482"/>
        <v>0.37959407989274707</v>
      </c>
      <c r="BD184" s="173"/>
      <c r="BE184" s="528">
        <f t="shared" si="483"/>
        <v>7.8194992185933565E-2</v>
      </c>
      <c r="BF184" s="528">
        <f t="shared" si="528"/>
        <v>0.25820024694212196</v>
      </c>
      <c r="BG184" s="528">
        <f t="shared" si="529"/>
        <v>2.8886160938952313E-2</v>
      </c>
      <c r="BH184" s="528">
        <f t="shared" si="484"/>
        <v>8.5568212341470152E-3</v>
      </c>
      <c r="BI184">
        <f t="shared" si="485"/>
        <v>4.4369005980317679E-3</v>
      </c>
      <c r="BJ184" s="460">
        <f t="shared" si="600"/>
        <v>33.323061536984085</v>
      </c>
      <c r="BK184">
        <f t="shared" si="530"/>
        <v>0.37299462391286198</v>
      </c>
      <c r="BL184" s="460">
        <f t="shared" si="601"/>
        <v>378.27512189918662</v>
      </c>
      <c r="BM184" s="173">
        <f t="shared" si="531"/>
        <v>0.45972499999999999</v>
      </c>
      <c r="BN184" s="173">
        <f t="shared" si="532"/>
        <v>0.11493125</v>
      </c>
      <c r="BO184" s="528"/>
      <c r="BQ184" s="460">
        <f t="shared" si="486"/>
        <v>574.65625</v>
      </c>
      <c r="BR184" s="528">
        <f t="shared" si="487"/>
        <v>0.11729248827890033</v>
      </c>
      <c r="BS184" s="528">
        <f t="shared" si="488"/>
        <v>7.1818023925153851E-2</v>
      </c>
      <c r="BT184" s="528">
        <f t="shared" si="489"/>
        <v>7.2045832744810617E-4</v>
      </c>
      <c r="BU184" s="528">
        <f t="shared" si="490"/>
        <v>0.29313736143537145</v>
      </c>
      <c r="BV184" s="528"/>
      <c r="BW184" s="625">
        <f t="shared" si="533"/>
        <v>1.1080728344190443E-2</v>
      </c>
      <c r="BX184" s="460">
        <f t="shared" si="491"/>
        <v>494.04906031106418</v>
      </c>
      <c r="BY184" s="173">
        <f t="shared" si="492"/>
        <v>1.4469804322102506</v>
      </c>
      <c r="BZ184" s="5">
        <f t="shared" si="493"/>
        <v>13.616</v>
      </c>
      <c r="CA184" s="173">
        <f t="shared" si="494"/>
        <v>0.90393797305106582</v>
      </c>
      <c r="CB184" s="5">
        <f t="shared" si="495"/>
        <v>90.393797305106588</v>
      </c>
      <c r="CC184">
        <f t="shared" si="496"/>
        <v>74</v>
      </c>
      <c r="CE184" s="562">
        <f t="shared" si="534"/>
        <v>-50</v>
      </c>
      <c r="CF184">
        <f t="shared" si="535"/>
        <v>-50</v>
      </c>
      <c r="CG184" s="173">
        <f t="shared" si="536"/>
        <v>0.35771495841706197</v>
      </c>
      <c r="CH184" s="173">
        <f t="shared" si="537"/>
        <v>0.12498995131688433</v>
      </c>
      <c r="CI184" s="170">
        <v>74</v>
      </c>
      <c r="CJ184" s="217">
        <f t="shared" si="602"/>
        <v>0.74</v>
      </c>
      <c r="CK184" s="217">
        <f t="shared" si="538"/>
        <v>0.185</v>
      </c>
      <c r="CL184" s="217">
        <f t="shared" si="539"/>
        <v>12.135999999999999</v>
      </c>
      <c r="CM184" s="217">
        <f t="shared" si="540"/>
        <v>1.48</v>
      </c>
      <c r="CN184" s="541">
        <f t="shared" si="541"/>
        <v>10</v>
      </c>
      <c r="CO184" s="443">
        <f t="shared" si="542"/>
        <v>17.099999999999998</v>
      </c>
      <c r="CP184" s="443">
        <f t="shared" si="543"/>
        <v>27.099999999999998</v>
      </c>
      <c r="CQ184" s="443"/>
      <c r="CR184" s="217">
        <f t="shared" si="544"/>
        <v>0.62686567164179097</v>
      </c>
      <c r="CS184" s="172">
        <f t="shared" si="545"/>
        <v>18.624269954574949</v>
      </c>
      <c r="CT184" s="172">
        <f t="shared" si="546"/>
        <v>2.5482344375682562</v>
      </c>
      <c r="CU184" s="217">
        <f t="shared" si="547"/>
        <v>1.135626216742375</v>
      </c>
      <c r="CV184" s="217">
        <f t="shared" si="548"/>
        <v>2.3280337443218686</v>
      </c>
      <c r="CW184" s="217">
        <f t="shared" si="549"/>
        <v>16.399999999999999</v>
      </c>
      <c r="CX184" s="217">
        <f t="shared" si="550"/>
        <v>4.344152380952381</v>
      </c>
      <c r="CY184" s="217">
        <f t="shared" si="551"/>
        <v>5.2129828571428574</v>
      </c>
      <c r="CZ184" s="217">
        <f t="shared" si="552"/>
        <v>3.0485279866332502</v>
      </c>
      <c r="DA184" s="197">
        <f t="shared" si="553"/>
        <v>350</v>
      </c>
      <c r="DB184" s="443">
        <f t="shared" si="554"/>
        <v>121.04323517935705</v>
      </c>
      <c r="DD184" s="217">
        <f t="shared" si="555"/>
        <v>1.5023721665788083</v>
      </c>
      <c r="DE184" s="173">
        <f t="shared" si="556"/>
        <v>1.0542962572482866</v>
      </c>
      <c r="DF184" s="173">
        <f t="shared" si="557"/>
        <v>0.24706104135140031</v>
      </c>
      <c r="DG184" s="173"/>
      <c r="DH184" s="173">
        <f t="shared" si="558"/>
        <v>0.93567251461988332</v>
      </c>
      <c r="DI184" s="545">
        <f t="shared" si="559"/>
        <v>1186.3124999999995</v>
      </c>
      <c r="DJ184" s="528">
        <f t="shared" si="560"/>
        <v>0.21832358674463945</v>
      </c>
      <c r="DL184" s="173">
        <f t="shared" si="561"/>
        <v>2.546332563474285</v>
      </c>
      <c r="DM184" s="173">
        <f t="shared" si="562"/>
        <v>4.344152380952381</v>
      </c>
      <c r="DN184" s="173">
        <f t="shared" si="563"/>
        <v>3.4302363315696649</v>
      </c>
      <c r="DP184" s="545">
        <f t="shared" si="564"/>
        <v>740</v>
      </c>
      <c r="DQ184" s="460">
        <f t="shared" si="565"/>
        <v>121.04323517935705</v>
      </c>
      <c r="DS184">
        <f t="shared" si="566"/>
        <v>740</v>
      </c>
      <c r="DT184">
        <f t="shared" si="567"/>
        <v>121.04323517935705</v>
      </c>
      <c r="DV184" s="5">
        <f t="shared" si="568"/>
        <v>8.261510843776108</v>
      </c>
      <c r="DW184" s="5">
        <f t="shared" si="569"/>
        <v>5.2129828571428574</v>
      </c>
      <c r="DX184" s="5">
        <f t="shared" si="570"/>
        <v>3.0485279866332506</v>
      </c>
      <c r="DY184" s="173">
        <f t="shared" si="571"/>
        <v>0.63099630996309952</v>
      </c>
      <c r="EA184" s="5">
        <f t="shared" si="572"/>
        <v>23.521995818815334</v>
      </c>
      <c r="EB184" s="5">
        <f t="shared" si="573"/>
        <v>12.055022857142859</v>
      </c>
      <c r="EC184" s="5">
        <f t="shared" si="574"/>
        <v>3.0830779704817606</v>
      </c>
      <c r="ED184" s="5"/>
      <c r="EE184" s="173">
        <f t="shared" si="575"/>
        <v>1.9923142126194242</v>
      </c>
      <c r="EF184" s="173">
        <f t="shared" si="576"/>
        <v>1.5235607572961192</v>
      </c>
      <c r="EG184" s="173">
        <f t="shared" si="577"/>
        <v>0.37378606814581972</v>
      </c>
      <c r="EH184" s="173"/>
      <c r="EI184" s="528">
        <f t="shared" si="578"/>
        <v>7.9386318436107134E-2</v>
      </c>
      <c r="EJ184" s="528">
        <f t="shared" si="579"/>
        <v>0.28499999999999992</v>
      </c>
      <c r="EK184" s="528">
        <f t="shared" si="580"/>
        <v>1.5130404397419632E-2</v>
      </c>
      <c r="EL184" s="528">
        <f t="shared" si="581"/>
        <v>8.8895362348071615E-3</v>
      </c>
      <c r="EM184">
        <f t="shared" si="582"/>
        <v>4.4999999999999997E-3</v>
      </c>
      <c r="EN184" s="460">
        <f t="shared" si="583"/>
        <v>19.630404397419632</v>
      </c>
      <c r="EP184" s="460">
        <f t="shared" si="603"/>
        <v>392.90625906833384</v>
      </c>
      <c r="EQ184" s="173">
        <f t="shared" si="584"/>
        <v>0.51800000000000002</v>
      </c>
      <c r="ER184" s="173">
        <f t="shared" si="585"/>
        <v>8.2093749999999993E-2</v>
      </c>
      <c r="ES184" s="528"/>
      <c r="EU184" s="460">
        <f t="shared" si="497"/>
        <v>600.09375</v>
      </c>
      <c r="EV184" s="528">
        <f t="shared" si="586"/>
        <v>0.11907947765416069</v>
      </c>
      <c r="EW184" s="528">
        <f t="shared" si="587"/>
        <v>6.963712143518172E-2</v>
      </c>
      <c r="EX184" s="528">
        <f t="shared" si="588"/>
        <v>6.9858012369955686E-4</v>
      </c>
      <c r="EY184" s="528">
        <f t="shared" si="589"/>
        <v>0.31701801185397349</v>
      </c>
      <c r="EZ184" s="528"/>
      <c r="FA184" s="625">
        <f t="shared" si="590"/>
        <v>1.1421433842909858E-2</v>
      </c>
      <c r="FB184" s="460">
        <f t="shared" si="498"/>
        <v>517.85462490992529</v>
      </c>
      <c r="FC184" s="173">
        <f t="shared" si="591"/>
        <v>1.5108546339782594</v>
      </c>
      <c r="FD184" s="5">
        <f t="shared" si="592"/>
        <v>13.616</v>
      </c>
      <c r="FE184" s="173">
        <f t="shared" si="593"/>
        <v>0.90012103173223168</v>
      </c>
      <c r="FF184" s="5">
        <f t="shared" si="594"/>
        <v>90.012103173223167</v>
      </c>
      <c r="FG184">
        <f t="shared" si="595"/>
        <v>74</v>
      </c>
      <c r="FI184" s="562">
        <f t="shared" si="596"/>
        <v>-50</v>
      </c>
      <c r="FJ184">
        <f t="shared" si="597"/>
        <v>-50</v>
      </c>
    </row>
    <row r="185" spans="5:166">
      <c r="E185" s="170">
        <v>75</v>
      </c>
      <c r="F185" s="217">
        <f t="shared" si="598"/>
        <v>0.75</v>
      </c>
      <c r="G185" s="217">
        <f t="shared" si="499"/>
        <v>0.1875</v>
      </c>
      <c r="H185" s="217">
        <f t="shared" si="500"/>
        <v>12.299999999999999</v>
      </c>
      <c r="I185" s="217">
        <f t="shared" si="501"/>
        <v>1.5</v>
      </c>
      <c r="J185" s="541">
        <f t="shared" si="502"/>
        <v>9.8578842298012788</v>
      </c>
      <c r="K185" s="443">
        <f t="shared" si="503"/>
        <v>17.162899242736632</v>
      </c>
      <c r="L185" s="172">
        <f t="shared" si="504"/>
        <v>27.020783472537911</v>
      </c>
      <c r="M185" s="443"/>
      <c r="N185" s="217">
        <f t="shared" si="505"/>
        <v>0.63517400449101846</v>
      </c>
      <c r="O185" s="172">
        <f t="shared" si="506"/>
        <v>18.60292346986386</v>
      </c>
      <c r="P185" s="172">
        <f t="shared" si="507"/>
        <v>2.5453137406714381</v>
      </c>
      <c r="Q185" s="217">
        <f t="shared" si="508"/>
        <v>1.1343246018209672</v>
      </c>
      <c r="R185" s="217">
        <f t="shared" si="509"/>
        <v>2.3253654337329825</v>
      </c>
      <c r="S185" s="217">
        <f t="shared" si="510"/>
        <v>16.399999999999999</v>
      </c>
      <c r="T185" s="217">
        <f t="shared" si="511"/>
        <v>4.4079093338655815</v>
      </c>
      <c r="U185" s="217">
        <f t="shared" si="512"/>
        <v>5.3657469263516875</v>
      </c>
      <c r="V185" s="217">
        <f t="shared" si="513"/>
        <v>3.0819333760741037</v>
      </c>
      <c r="W185" s="197">
        <f t="shared" si="514"/>
        <v>350</v>
      </c>
      <c r="X185" s="443">
        <f t="shared" si="599"/>
        <v>115.63794740648386</v>
      </c>
      <c r="Z185" s="217">
        <f t="shared" si="515"/>
        <v>1.4908266195361277</v>
      </c>
      <c r="AA185" s="173">
        <f t="shared" si="516"/>
        <v>1.0423599871685187</v>
      </c>
      <c r="AB185" s="173">
        <f t="shared" si="517"/>
        <v>0.2423867883668028</v>
      </c>
      <c r="AC185" s="173"/>
      <c r="AD185" s="173">
        <f t="shared" si="518"/>
        <v>0.93224342657440173</v>
      </c>
      <c r="AE185" s="545">
        <f t="shared" si="519"/>
        <v>1206.7663530049192</v>
      </c>
      <c r="AF185" s="528">
        <f t="shared" si="520"/>
        <v>0.21752346620069377</v>
      </c>
      <c r="AH185" s="173">
        <f t="shared" si="521"/>
        <v>2.5634797778466227</v>
      </c>
      <c r="AI185" s="173">
        <f t="shared" si="522"/>
        <v>4.4079093338655815</v>
      </c>
      <c r="AJ185" s="173">
        <f t="shared" si="523"/>
        <v>3.4774637040979615</v>
      </c>
      <c r="AL185" s="545">
        <f t="shared" si="524"/>
        <v>750</v>
      </c>
      <c r="AM185" s="460">
        <f t="shared" si="525"/>
        <v>115.63794740648386</v>
      </c>
      <c r="AO185">
        <f t="shared" si="526"/>
        <v>750</v>
      </c>
      <c r="AP185">
        <f t="shared" si="527"/>
        <v>115.63794740648386</v>
      </c>
      <c r="AR185" s="5">
        <f t="shared" si="443"/>
        <v>8.6476803024257904</v>
      </c>
      <c r="AS185" s="5">
        <f t="shared" si="604"/>
        <v>5.3657469263516875</v>
      </c>
      <c r="AT185" s="5">
        <f t="shared" si="605"/>
        <v>3.281933376074103</v>
      </c>
      <c r="AU185" s="173">
        <f t="shared" si="606"/>
        <v>0.62048396086595892</v>
      </c>
      <c r="AW185" s="5">
        <f t="shared" si="477"/>
        <v>24.538476797340042</v>
      </c>
      <c r="AX185" s="5">
        <f t="shared" si="478"/>
        <v>12.575969358636769</v>
      </c>
      <c r="AY185" s="5">
        <f t="shared" si="479"/>
        <v>3.4124784102316124</v>
      </c>
      <c r="AZ185" s="5"/>
      <c r="BA185" s="173">
        <f t="shared" si="480"/>
        <v>2.0046442168633098</v>
      </c>
      <c r="BB185" s="173">
        <f t="shared" si="481"/>
        <v>1.5677871227698372</v>
      </c>
      <c r="BC185" s="173">
        <f t="shared" si="482"/>
        <v>0.38463643901526851</v>
      </c>
      <c r="BD185" s="173"/>
      <c r="BE185" s="528">
        <f t="shared" si="483"/>
        <v>8.0371968724070264E-2</v>
      </c>
      <c r="BF185" s="528">
        <f t="shared" si="528"/>
        <v>0.25824518724594436</v>
      </c>
      <c r="BG185" s="528">
        <f t="shared" si="529"/>
        <v>2.8498637452624171E-2</v>
      </c>
      <c r="BH185" s="528">
        <f t="shared" si="484"/>
        <v>8.4429894947084111E-3</v>
      </c>
      <c r="BI185">
        <f t="shared" si="485"/>
        <v>4.4360479034105749E-3</v>
      </c>
      <c r="BJ185" s="460">
        <f t="shared" si="600"/>
        <v>32.934685356034748</v>
      </c>
      <c r="BK185">
        <f t="shared" si="530"/>
        <v>0.37593966360662373</v>
      </c>
      <c r="BL185" s="460">
        <f t="shared" si="601"/>
        <v>379.99483082075773</v>
      </c>
      <c r="BM185" s="173">
        <f t="shared" si="531"/>
        <v>0.46593749999999989</v>
      </c>
      <c r="BN185" s="173">
        <f t="shared" si="532"/>
        <v>0.11648437499999997</v>
      </c>
      <c r="BO185" s="528"/>
      <c r="BQ185" s="460">
        <f t="shared" si="486"/>
        <v>582.42187499999989</v>
      </c>
      <c r="BR185" s="528">
        <f t="shared" si="487"/>
        <v>0.1205579530861054</v>
      </c>
      <c r="BS185" s="528">
        <f t="shared" si="488"/>
        <v>7.3738693869687733E-2</v>
      </c>
      <c r="BT185" s="528">
        <f t="shared" si="489"/>
        <v>7.3972595109173184E-4</v>
      </c>
      <c r="BU185" s="528">
        <f t="shared" si="490"/>
        <v>0.29329359060136162</v>
      </c>
      <c r="BV185" s="528"/>
      <c r="BW185" s="625">
        <f t="shared" si="533"/>
        <v>1.1234032720965088E-2</v>
      </c>
      <c r="BX185" s="460">
        <f t="shared" si="491"/>
        <v>499.56399622921157</v>
      </c>
      <c r="BY185" s="173">
        <f t="shared" si="492"/>
        <v>1.4619807020499691</v>
      </c>
      <c r="BZ185" s="5">
        <f t="shared" si="493"/>
        <v>13.799999999999999</v>
      </c>
      <c r="CA185" s="173">
        <f t="shared" si="494"/>
        <v>0.90420766933261831</v>
      </c>
      <c r="CB185" s="5">
        <f t="shared" si="495"/>
        <v>90.420766933261831</v>
      </c>
      <c r="CC185">
        <f t="shared" si="496"/>
        <v>75</v>
      </c>
      <c r="CE185" s="562">
        <f t="shared" si="534"/>
        <v>-50</v>
      </c>
      <c r="CF185">
        <f t="shared" si="535"/>
        <v>-50</v>
      </c>
      <c r="CG185" s="173">
        <f t="shared" si="536"/>
        <v>0.35771495841706202</v>
      </c>
      <c r="CH185" s="173">
        <f t="shared" si="537"/>
        <v>0.12498995131688433</v>
      </c>
      <c r="CI185" s="170">
        <v>75</v>
      </c>
      <c r="CJ185" s="217">
        <f t="shared" si="602"/>
        <v>0.75</v>
      </c>
      <c r="CK185" s="217">
        <f t="shared" si="538"/>
        <v>0.1875</v>
      </c>
      <c r="CL185" s="217">
        <f t="shared" si="539"/>
        <v>12.299999999999999</v>
      </c>
      <c r="CM185" s="217">
        <f t="shared" si="540"/>
        <v>1.5</v>
      </c>
      <c r="CN185" s="541">
        <f t="shared" si="541"/>
        <v>10</v>
      </c>
      <c r="CO185" s="443">
        <f t="shared" si="542"/>
        <v>17.099999999999998</v>
      </c>
      <c r="CP185" s="443">
        <f t="shared" si="543"/>
        <v>27.099999999999998</v>
      </c>
      <c r="CQ185" s="443"/>
      <c r="CR185" s="217">
        <f t="shared" si="544"/>
        <v>0.62686567164179097</v>
      </c>
      <c r="CS185" s="172">
        <f t="shared" si="545"/>
        <v>18.624269954574949</v>
      </c>
      <c r="CT185" s="172">
        <f t="shared" si="546"/>
        <v>2.5482344375682562</v>
      </c>
      <c r="CU185" s="217">
        <f t="shared" si="547"/>
        <v>1.135626216742375</v>
      </c>
      <c r="CV185" s="217">
        <f t="shared" si="548"/>
        <v>2.3280337443218686</v>
      </c>
      <c r="CW185" s="217">
        <f t="shared" si="549"/>
        <v>16.399999999999999</v>
      </c>
      <c r="CX185" s="217">
        <f t="shared" si="550"/>
        <v>4.402857142857143</v>
      </c>
      <c r="CY185" s="217">
        <f t="shared" si="551"/>
        <v>5.2834285714285709</v>
      </c>
      <c r="CZ185" s="217">
        <f t="shared" si="552"/>
        <v>3.0897243107769428</v>
      </c>
      <c r="DA185" s="197">
        <f t="shared" si="553"/>
        <v>350</v>
      </c>
      <c r="DB185" s="443">
        <f t="shared" si="554"/>
        <v>119.42932537696565</v>
      </c>
      <c r="DD185" s="217">
        <f t="shared" si="555"/>
        <v>1.5023721665788083</v>
      </c>
      <c r="DE185" s="173">
        <f t="shared" si="556"/>
        <v>1.0542962572482866</v>
      </c>
      <c r="DF185" s="173">
        <f t="shared" si="557"/>
        <v>0.24706104135140031</v>
      </c>
      <c r="DG185" s="173"/>
      <c r="DH185" s="173">
        <f t="shared" si="558"/>
        <v>0.93567251461988332</v>
      </c>
      <c r="DI185" s="545">
        <f t="shared" si="559"/>
        <v>1202.3437499999995</v>
      </c>
      <c r="DJ185" s="528">
        <f t="shared" si="560"/>
        <v>0.21832358674463945</v>
      </c>
      <c r="DL185" s="173">
        <f t="shared" si="561"/>
        <v>2.5634797778466227</v>
      </c>
      <c r="DM185" s="173">
        <f t="shared" si="562"/>
        <v>4.402857142857143</v>
      </c>
      <c r="DN185" s="173">
        <f t="shared" si="563"/>
        <v>3.473721340388007</v>
      </c>
      <c r="DP185" s="545">
        <f t="shared" si="564"/>
        <v>750</v>
      </c>
      <c r="DQ185" s="460">
        <f t="shared" si="565"/>
        <v>119.42932537696565</v>
      </c>
      <c r="DS185">
        <f t="shared" si="566"/>
        <v>750</v>
      </c>
      <c r="DT185">
        <f t="shared" si="567"/>
        <v>119.42932537696565</v>
      </c>
      <c r="DV185" s="5">
        <f t="shared" si="568"/>
        <v>8.3731528822055132</v>
      </c>
      <c r="DW185" s="5">
        <f t="shared" si="569"/>
        <v>5.2834285714285709</v>
      </c>
      <c r="DX185" s="5">
        <f t="shared" si="570"/>
        <v>3.0897243107769423</v>
      </c>
      <c r="DY185" s="173">
        <f t="shared" si="571"/>
        <v>0.63099630996309963</v>
      </c>
      <c r="EA185" s="5">
        <f t="shared" si="572"/>
        <v>24.162020905923345</v>
      </c>
      <c r="EB185" s="5">
        <f t="shared" si="573"/>
        <v>12.383035714285713</v>
      </c>
      <c r="EC185" s="5">
        <f t="shared" si="574"/>
        <v>3.1669674185463652</v>
      </c>
      <c r="ED185" s="5"/>
      <c r="EE185" s="173">
        <f t="shared" si="575"/>
        <v>2.019237377654822</v>
      </c>
      <c r="EF185" s="173">
        <f t="shared" si="576"/>
        <v>1.544149416178499</v>
      </c>
      <c r="EG185" s="173">
        <f t="shared" si="577"/>
        <v>0.37883723122887125</v>
      </c>
      <c r="EH185" s="173"/>
      <c r="EI185" s="528">
        <f t="shared" si="578"/>
        <v>8.1546391746366451E-2</v>
      </c>
      <c r="EJ185" s="528">
        <f t="shared" si="579"/>
        <v>0.28500000000000003</v>
      </c>
      <c r="EK185" s="528">
        <f t="shared" si="580"/>
        <v>1.4928665672120705E-2</v>
      </c>
      <c r="EL185" s="528">
        <f t="shared" si="581"/>
        <v>8.7710090850097334E-3</v>
      </c>
      <c r="EM185">
        <f t="shared" si="582"/>
        <v>4.4999999999999997E-3</v>
      </c>
      <c r="EN185" s="460">
        <f t="shared" si="583"/>
        <v>19.428665672120704</v>
      </c>
      <c r="EP185" s="460">
        <f t="shared" si="603"/>
        <v>394.74606650349693</v>
      </c>
      <c r="EQ185" s="173">
        <f t="shared" si="584"/>
        <v>0.52499999999999991</v>
      </c>
      <c r="ER185" s="173">
        <f t="shared" si="585"/>
        <v>8.3203124999999989E-2</v>
      </c>
      <c r="ES185" s="528"/>
      <c r="EU185" s="460">
        <f t="shared" si="497"/>
        <v>608.203125</v>
      </c>
      <c r="EV185" s="528">
        <f t="shared" si="586"/>
        <v>0.12231958761954966</v>
      </c>
      <c r="EW185" s="528">
        <f t="shared" si="587"/>
        <v>7.1531922584531976E-2</v>
      </c>
      <c r="EX185" s="528">
        <f t="shared" si="588"/>
        <v>7.1758823882578631E-4</v>
      </c>
      <c r="EY185" s="528">
        <f t="shared" si="589"/>
        <v>0.31701801185397344</v>
      </c>
      <c r="EZ185" s="528"/>
      <c r="FA185" s="625">
        <f t="shared" si="590"/>
        <v>1.1575777543489723E-2</v>
      </c>
      <c r="FB185" s="460">
        <f t="shared" si="498"/>
        <v>523.16288784037056</v>
      </c>
      <c r="FC185" s="173">
        <f t="shared" si="591"/>
        <v>1.5261120793438674</v>
      </c>
      <c r="FD185" s="5">
        <f t="shared" si="592"/>
        <v>13.799999999999999</v>
      </c>
      <c r="FE185" s="173">
        <f t="shared" si="593"/>
        <v>0.90042405592213293</v>
      </c>
      <c r="FF185" s="5">
        <f t="shared" si="594"/>
        <v>90.042405592213299</v>
      </c>
      <c r="FG185">
        <f t="shared" si="595"/>
        <v>75</v>
      </c>
      <c r="FI185" s="562">
        <f t="shared" si="596"/>
        <v>-50</v>
      </c>
      <c r="FJ185">
        <f t="shared" si="597"/>
        <v>-50</v>
      </c>
    </row>
    <row r="186" spans="5:166">
      <c r="E186" s="170">
        <v>76</v>
      </c>
      <c r="F186" s="217">
        <f t="shared" si="598"/>
        <v>0.76</v>
      </c>
      <c r="G186" s="217">
        <f t="shared" si="499"/>
        <v>0.19</v>
      </c>
      <c r="H186" s="217">
        <f t="shared" si="500"/>
        <v>12.463999999999999</v>
      </c>
      <c r="I186" s="217">
        <f t="shared" si="501"/>
        <v>1.52</v>
      </c>
      <c r="J186" s="541">
        <f t="shared" si="502"/>
        <v>9.8559893528652953</v>
      </c>
      <c r="K186" s="443">
        <f t="shared" si="503"/>
        <v>17.163737899306454</v>
      </c>
      <c r="L186" s="172">
        <f t="shared" si="504"/>
        <v>27.019727252171748</v>
      </c>
      <c r="M186" s="443"/>
      <c r="N186" s="217">
        <f t="shared" si="505"/>
        <v>0.6352298725712302</v>
      </c>
      <c r="O186" s="172">
        <f t="shared" si="506"/>
        <v>18.60098357159746</v>
      </c>
      <c r="P186" s="172">
        <f t="shared" si="507"/>
        <v>2.5450483173512293</v>
      </c>
      <c r="Q186" s="217">
        <f t="shared" si="508"/>
        <v>1.1342063153413087</v>
      </c>
      <c r="R186" s="217">
        <f t="shared" si="509"/>
        <v>2.3251229464496825</v>
      </c>
      <c r="S186" s="217">
        <f t="shared" si="510"/>
        <v>16.399999999999999</v>
      </c>
      <c r="T186" s="217">
        <f t="shared" si="511"/>
        <v>4.4671472889321642</v>
      </c>
      <c r="U186" s="217">
        <f t="shared" si="512"/>
        <v>5.4389027370044705</v>
      </c>
      <c r="V186" s="217">
        <f t="shared" si="513"/>
        <v>3.1231989081674367</v>
      </c>
      <c r="W186" s="197">
        <f t="shared" si="514"/>
        <v>350</v>
      </c>
      <c r="X186" s="443">
        <f t="shared" si="599"/>
        <v>114.12787028680728</v>
      </c>
      <c r="Z186" s="217">
        <f t="shared" si="515"/>
        <v>1.4906711573057196</v>
      </c>
      <c r="AA186" s="173">
        <f t="shared" si="516"/>
        <v>1.0422003640821997</v>
      </c>
      <c r="AB186" s="173">
        <f t="shared" si="517"/>
        <v>0.24232439813257356</v>
      </c>
      <c r="AC186" s="173"/>
      <c r="AD186" s="173">
        <f t="shared" si="518"/>
        <v>0.93219787518699671</v>
      </c>
      <c r="AE186" s="545">
        <f t="shared" si="519"/>
        <v>1222.9163253255845</v>
      </c>
      <c r="AF186" s="528">
        <f t="shared" si="520"/>
        <v>0.2175128375436326</v>
      </c>
      <c r="AH186" s="173">
        <f t="shared" si="521"/>
        <v>2.5805130534542191</v>
      </c>
      <c r="AI186" s="173">
        <f t="shared" si="522"/>
        <v>4.4671472889321642</v>
      </c>
      <c r="AJ186" s="173">
        <f t="shared" si="523"/>
        <v>3.5213436708139483</v>
      </c>
      <c r="AL186" s="545">
        <f t="shared" si="524"/>
        <v>760</v>
      </c>
      <c r="AM186" s="460">
        <f t="shared" si="525"/>
        <v>114.12787028680728</v>
      </c>
      <c r="AO186">
        <f t="shared" si="526"/>
        <v>760</v>
      </c>
      <c r="AP186">
        <f t="shared" si="527"/>
        <v>114.12787028680728</v>
      </c>
      <c r="AR186" s="5">
        <f t="shared" si="443"/>
        <v>8.7621016451719065</v>
      </c>
      <c r="AS186" s="5">
        <f t="shared" si="604"/>
        <v>5.4389027370044705</v>
      </c>
      <c r="AT186" s="5">
        <f t="shared" si="605"/>
        <v>3.323198908167436</v>
      </c>
      <c r="AU186" s="173">
        <f t="shared" si="606"/>
        <v>0.62073038607140729</v>
      </c>
      <c r="AW186" s="5">
        <f t="shared" si="477"/>
        <v>25.204671220264625</v>
      </c>
      <c r="AX186" s="5">
        <f t="shared" si="478"/>
        <v>12.917394000385617</v>
      </c>
      <c r="AY186" s="5">
        <f t="shared" si="479"/>
        <v>3.502130338252762</v>
      </c>
      <c r="AZ186" s="5"/>
      <c r="BA186" s="173">
        <f t="shared" si="480"/>
        <v>2.0319880403533928</v>
      </c>
      <c r="BB186" s="173">
        <f t="shared" si="481"/>
        <v>1.5883407183385141</v>
      </c>
      <c r="BC186" s="173">
        <f t="shared" si="482"/>
        <v>0.38967899976454218</v>
      </c>
      <c r="BD186" s="173"/>
      <c r="BE186" s="528">
        <f t="shared" si="483"/>
        <v>8.2579507922784429E-2</v>
      </c>
      <c r="BF186" s="528">
        <f t="shared" si="528"/>
        <v>0.25828799320238055</v>
      </c>
      <c r="BG186" s="528">
        <f t="shared" si="529"/>
        <v>2.8121076860299098E-2</v>
      </c>
      <c r="BH186" s="528">
        <f t="shared" si="484"/>
        <v>8.3320839034552105E-3</v>
      </c>
      <c r="BI186">
        <f t="shared" si="485"/>
        <v>4.4351952087893828E-3</v>
      </c>
      <c r="BJ186" s="460">
        <f t="shared" si="600"/>
        <v>32.556272069088479</v>
      </c>
      <c r="BK186">
        <f t="shared" si="530"/>
        <v>0.37893101636768578</v>
      </c>
      <c r="BL186" s="460">
        <f t="shared" si="601"/>
        <v>381.7558570977086</v>
      </c>
      <c r="BM186" s="173">
        <f t="shared" si="531"/>
        <v>0.4721499999999999</v>
      </c>
      <c r="BN186" s="173">
        <f t="shared" si="532"/>
        <v>0.11803749999999998</v>
      </c>
      <c r="BO186" s="528"/>
      <c r="BQ186" s="460">
        <f t="shared" si="486"/>
        <v>590.18749999999989</v>
      </c>
      <c r="BR186" s="528">
        <f t="shared" si="487"/>
        <v>0.12386926188417664</v>
      </c>
      <c r="BS186" s="528">
        <f t="shared" si="488"/>
        <v>7.5684787125963215E-2</v>
      </c>
      <c r="BT186" s="528">
        <f t="shared" si="489"/>
        <v>7.5924861428747041E-4</v>
      </c>
      <c r="BU186" s="528">
        <f t="shared" si="490"/>
        <v>0.29344381975848266</v>
      </c>
      <c r="BV186" s="528"/>
      <c r="BW186" s="625">
        <f t="shared" si="533"/>
        <v>1.1387339310318214E-2</v>
      </c>
      <c r="BX186" s="460">
        <f t="shared" si="491"/>
        <v>505.14445669322816</v>
      </c>
      <c r="BY186" s="173">
        <f t="shared" si="492"/>
        <v>1.4770878137909367</v>
      </c>
      <c r="BZ186" s="5">
        <f t="shared" si="493"/>
        <v>13.983999999999998</v>
      </c>
      <c r="CA186" s="173">
        <f t="shared" si="494"/>
        <v>0.90446417279427083</v>
      </c>
      <c r="CB186" s="5">
        <f t="shared" si="495"/>
        <v>90.446417279427081</v>
      </c>
      <c r="CC186">
        <f t="shared" si="496"/>
        <v>76</v>
      </c>
      <c r="CE186" s="562">
        <f t="shared" si="534"/>
        <v>-50</v>
      </c>
      <c r="CF186">
        <f t="shared" si="535"/>
        <v>-50</v>
      </c>
      <c r="CG186" s="173">
        <f t="shared" si="536"/>
        <v>0.35771495841706197</v>
      </c>
      <c r="CH186" s="173">
        <f t="shared" si="537"/>
        <v>0.12498995131688433</v>
      </c>
      <c r="CI186" s="170">
        <v>76</v>
      </c>
      <c r="CJ186" s="217">
        <f t="shared" si="602"/>
        <v>0.76</v>
      </c>
      <c r="CK186" s="217">
        <f t="shared" si="538"/>
        <v>0.19</v>
      </c>
      <c r="CL186" s="217">
        <f t="shared" si="539"/>
        <v>12.463999999999999</v>
      </c>
      <c r="CM186" s="217">
        <f t="shared" si="540"/>
        <v>1.52</v>
      </c>
      <c r="CN186" s="541">
        <f t="shared" si="541"/>
        <v>10</v>
      </c>
      <c r="CO186" s="443">
        <f t="shared" si="542"/>
        <v>17.099999999999998</v>
      </c>
      <c r="CP186" s="443">
        <f t="shared" si="543"/>
        <v>27.099999999999998</v>
      </c>
      <c r="CQ186" s="443"/>
      <c r="CR186" s="217">
        <f t="shared" si="544"/>
        <v>0.62686567164179097</v>
      </c>
      <c r="CS186" s="172">
        <f t="shared" si="545"/>
        <v>18.624269954574949</v>
      </c>
      <c r="CT186" s="172">
        <f t="shared" si="546"/>
        <v>2.5482344375682562</v>
      </c>
      <c r="CU186" s="217">
        <f t="shared" si="547"/>
        <v>1.135626216742375</v>
      </c>
      <c r="CV186" s="217">
        <f t="shared" si="548"/>
        <v>2.3280337443218686</v>
      </c>
      <c r="CW186" s="217">
        <f t="shared" si="549"/>
        <v>16.399999999999999</v>
      </c>
      <c r="CX186" s="217">
        <f t="shared" si="550"/>
        <v>4.4615619047619042</v>
      </c>
      <c r="CY186" s="217">
        <f t="shared" si="551"/>
        <v>5.3538742857142854</v>
      </c>
      <c r="CZ186" s="217">
        <f t="shared" si="552"/>
        <v>3.1309206349206349</v>
      </c>
      <c r="DA186" s="197">
        <f t="shared" si="553"/>
        <v>350</v>
      </c>
      <c r="DB186" s="443">
        <f t="shared" si="554"/>
        <v>117.85788688516347</v>
      </c>
      <c r="DD186" s="217">
        <f t="shared" si="555"/>
        <v>1.5023721665788083</v>
      </c>
      <c r="DE186" s="173">
        <f t="shared" si="556"/>
        <v>1.0542962572482866</v>
      </c>
      <c r="DF186" s="173">
        <f t="shared" si="557"/>
        <v>0.24706104135140031</v>
      </c>
      <c r="DG186" s="173"/>
      <c r="DH186" s="173">
        <f t="shared" si="558"/>
        <v>0.93567251461988332</v>
      </c>
      <c r="DI186" s="545">
        <f t="shared" si="559"/>
        <v>1218.3749999999995</v>
      </c>
      <c r="DJ186" s="528">
        <f t="shared" si="560"/>
        <v>0.21832358674463945</v>
      </c>
      <c r="DL186" s="173">
        <f t="shared" si="561"/>
        <v>2.5805130534542191</v>
      </c>
      <c r="DM186" s="173">
        <f t="shared" si="562"/>
        <v>4.4615619047619042</v>
      </c>
      <c r="DN186" s="173">
        <f t="shared" si="563"/>
        <v>3.517206349206349</v>
      </c>
      <c r="DP186" s="545">
        <f t="shared" si="564"/>
        <v>760</v>
      </c>
      <c r="DQ186" s="460">
        <f t="shared" si="565"/>
        <v>117.85788688516347</v>
      </c>
      <c r="DS186">
        <f t="shared" si="566"/>
        <v>760</v>
      </c>
      <c r="DT186">
        <f t="shared" si="567"/>
        <v>117.85788688516347</v>
      </c>
      <c r="DV186" s="5">
        <f t="shared" si="568"/>
        <v>8.4847949206349202</v>
      </c>
      <c r="DW186" s="5">
        <f t="shared" si="569"/>
        <v>5.3538742857142854</v>
      </c>
      <c r="DX186" s="5">
        <f t="shared" si="570"/>
        <v>3.1309206349206349</v>
      </c>
      <c r="DY186" s="173">
        <f t="shared" si="571"/>
        <v>0.63099630996309963</v>
      </c>
      <c r="EA186" s="5">
        <f t="shared" si="572"/>
        <v>24.810636933797916</v>
      </c>
      <c r="EB186" s="5">
        <f t="shared" si="573"/>
        <v>12.715451428571427</v>
      </c>
      <c r="EC186" s="5">
        <f t="shared" si="574"/>
        <v>3.2519828994708986</v>
      </c>
      <c r="ED186" s="5"/>
      <c r="EE186" s="173">
        <f t="shared" si="575"/>
        <v>2.0461605426902194</v>
      </c>
      <c r="EF186" s="173">
        <f t="shared" si="576"/>
        <v>1.5647380750608786</v>
      </c>
      <c r="EG186" s="173">
        <f t="shared" si="577"/>
        <v>0.38388839431192284</v>
      </c>
      <c r="EH186" s="173"/>
      <c r="EI186" s="528">
        <f t="shared" si="578"/>
        <v>8.3735459329246656E-2</v>
      </c>
      <c r="EJ186" s="528">
        <f t="shared" si="579"/>
        <v>0.28499999999999998</v>
      </c>
      <c r="EK186" s="528">
        <f t="shared" si="580"/>
        <v>1.4732235860645433E-2</v>
      </c>
      <c r="EL186" s="528">
        <f t="shared" si="581"/>
        <v>8.6556010707332879E-3</v>
      </c>
      <c r="EM186">
        <f t="shared" si="582"/>
        <v>4.4999999999999997E-3</v>
      </c>
      <c r="EN186" s="460">
        <f t="shared" si="583"/>
        <v>19.232235860645435</v>
      </c>
      <c r="EP186" s="460">
        <f t="shared" si="603"/>
        <v>396.6232962606253</v>
      </c>
      <c r="EQ186" s="173">
        <f t="shared" si="584"/>
        <v>0.53199999999999992</v>
      </c>
      <c r="ER186" s="173">
        <f t="shared" si="585"/>
        <v>8.4312499999999999E-2</v>
      </c>
      <c r="ES186" s="528"/>
      <c r="EU186" s="460">
        <f t="shared" si="497"/>
        <v>616.31249999999989</v>
      </c>
      <c r="EV186" s="528">
        <f t="shared" si="586"/>
        <v>0.12560318899386999</v>
      </c>
      <c r="EW186" s="528">
        <f t="shared" si="587"/>
        <v>7.3452157306356708E-2</v>
      </c>
      <c r="EX186" s="528">
        <f t="shared" si="588"/>
        <v>7.3685149643693177E-4</v>
      </c>
      <c r="EY186" s="528">
        <f t="shared" si="589"/>
        <v>0.31701801185397405</v>
      </c>
      <c r="EZ186" s="528"/>
      <c r="FA186" s="625">
        <f t="shared" si="590"/>
        <v>1.1730121244069582E-2</v>
      </c>
      <c r="FB186" s="460">
        <f t="shared" si="498"/>
        <v>528.54033089470727</v>
      </c>
      <c r="FC186" s="173">
        <f t="shared" si="591"/>
        <v>1.5414761271553326</v>
      </c>
      <c r="FD186" s="5">
        <f t="shared" si="592"/>
        <v>13.983999999999998</v>
      </c>
      <c r="FE186" s="173">
        <f t="shared" si="593"/>
        <v>0.90071311729634074</v>
      </c>
      <c r="FF186" s="5">
        <f t="shared" si="594"/>
        <v>90.071311729634076</v>
      </c>
      <c r="FG186">
        <f t="shared" si="595"/>
        <v>76</v>
      </c>
      <c r="FI186" s="562">
        <f t="shared" si="596"/>
        <v>-50</v>
      </c>
      <c r="FJ186">
        <f t="shared" si="597"/>
        <v>-50</v>
      </c>
    </row>
    <row r="187" spans="5:166">
      <c r="E187" s="170">
        <v>77</v>
      </c>
      <c r="F187" s="217">
        <f t="shared" si="598"/>
        <v>0.77</v>
      </c>
      <c r="G187" s="217">
        <f t="shared" si="499"/>
        <v>0.1925</v>
      </c>
      <c r="H187" s="217">
        <f t="shared" si="500"/>
        <v>12.627999999999998</v>
      </c>
      <c r="I187" s="217">
        <f t="shared" si="501"/>
        <v>1.54</v>
      </c>
      <c r="J187" s="541">
        <f t="shared" si="502"/>
        <v>9.8540944759293119</v>
      </c>
      <c r="K187" s="443">
        <f t="shared" si="503"/>
        <v>17.164576555876277</v>
      </c>
      <c r="L187" s="172">
        <f t="shared" si="504"/>
        <v>27.018671031805589</v>
      </c>
      <c r="M187" s="443"/>
      <c r="N187" s="217">
        <f t="shared" si="505"/>
        <v>0.63528574501945856</v>
      </c>
      <c r="O187" s="172">
        <f t="shared" si="506"/>
        <v>18.599043172170163</v>
      </c>
      <c r="P187" s="172">
        <f t="shared" si="507"/>
        <v>2.5447828254605223</v>
      </c>
      <c r="Q187" s="217">
        <f t="shared" si="508"/>
        <v>1.1340879983030587</v>
      </c>
      <c r="R187" s="217">
        <f t="shared" si="509"/>
        <v>2.3248803965212703</v>
      </c>
      <c r="S187" s="217">
        <f t="shared" si="510"/>
        <v>16.399999999999999</v>
      </c>
      <c r="T187" s="217">
        <f t="shared" si="511"/>
        <v>4.5263977231170465</v>
      </c>
      <c r="U187" s="217">
        <f t="shared" si="512"/>
        <v>5.5121018790802792</v>
      </c>
      <c r="V187" s="217">
        <f t="shared" si="513"/>
        <v>3.1644691321446703</v>
      </c>
      <c r="W187" s="197">
        <f t="shared" si="514"/>
        <v>350</v>
      </c>
      <c r="X187" s="443">
        <f t="shared" si="599"/>
        <v>112.65611447657444</v>
      </c>
      <c r="Z187" s="217">
        <f t="shared" si="515"/>
        <v>1.4905156549125913</v>
      </c>
      <c r="AA187" s="173">
        <f t="shared" si="516"/>
        <v>1.0420407285158326</v>
      </c>
      <c r="AB187" s="173">
        <f t="shared" si="517"/>
        <v>0.24226200621032021</v>
      </c>
      <c r="AC187" s="173"/>
      <c r="AD187" s="173">
        <f t="shared" si="518"/>
        <v>0.93215232825084848</v>
      </c>
      <c r="AE187" s="545">
        <f t="shared" si="519"/>
        <v>1239.0678701273184</v>
      </c>
      <c r="AF187" s="528">
        <f t="shared" si="520"/>
        <v>0.21750220992519803</v>
      </c>
      <c r="AH187" s="173">
        <f t="shared" si="521"/>
        <v>2.5974346318370873</v>
      </c>
      <c r="AI187" s="173">
        <f t="shared" si="522"/>
        <v>4.5263977231170465</v>
      </c>
      <c r="AJ187" s="173">
        <f t="shared" si="523"/>
        <v>3.5652328813212684</v>
      </c>
      <c r="AL187" s="545">
        <f t="shared" si="524"/>
        <v>770</v>
      </c>
      <c r="AM187" s="460">
        <f t="shared" si="525"/>
        <v>112.65611447657444</v>
      </c>
      <c r="AO187">
        <f t="shared" si="526"/>
        <v>770</v>
      </c>
      <c r="AP187">
        <f t="shared" si="527"/>
        <v>112.65611447657444</v>
      </c>
      <c r="AR187" s="5">
        <f t="shared" si="443"/>
        <v>8.8765710112249501</v>
      </c>
      <c r="AS187" s="5">
        <f t="shared" si="604"/>
        <v>5.5121018790802792</v>
      </c>
      <c r="AT187" s="5">
        <f t="shared" si="605"/>
        <v>3.3644691321446709</v>
      </c>
      <c r="AU187" s="173">
        <f t="shared" si="606"/>
        <v>0.62097198029620893</v>
      </c>
      <c r="AW187" s="5">
        <f t="shared" si="477"/>
        <v>25.879990529828145</v>
      </c>
      <c r="AX187" s="5">
        <f t="shared" si="478"/>
        <v>13.263495146536922</v>
      </c>
      <c r="AY187" s="5">
        <f t="shared" si="479"/>
        <v>3.5929663810058097</v>
      </c>
      <c r="AZ187" s="5"/>
      <c r="BA187" s="173">
        <f t="shared" si="480"/>
        <v>2.0593401480873816</v>
      </c>
      <c r="BB187" s="173">
        <f t="shared" si="481"/>
        <v>1.6088951500191579</v>
      </c>
      <c r="BC187" s="173">
        <f t="shared" si="482"/>
        <v>0.39472176564315054</v>
      </c>
      <c r="BD187" s="173"/>
      <c r="BE187" s="528">
        <f t="shared" si="483"/>
        <v>8.481763691049117E-2</v>
      </c>
      <c r="BF187" s="528">
        <f t="shared" si="528"/>
        <v>0.25832874587501442</v>
      </c>
      <c r="BG187" s="528">
        <f t="shared" si="529"/>
        <v>2.7753099883581808E-2</v>
      </c>
      <c r="BH187" s="528">
        <f t="shared" si="484"/>
        <v>8.2239930644591418E-3</v>
      </c>
      <c r="BI187">
        <f t="shared" si="485"/>
        <v>4.4343425141681906E-3</v>
      </c>
      <c r="BJ187" s="460">
        <f t="shared" si="600"/>
        <v>32.187442397749997</v>
      </c>
      <c r="BK187">
        <f t="shared" si="530"/>
        <v>0.38196882979536734</v>
      </c>
      <c r="BL187" s="460">
        <f t="shared" si="601"/>
        <v>383.55781824771475</v>
      </c>
      <c r="BM187" s="173">
        <f t="shared" si="531"/>
        <v>0.47836249999999991</v>
      </c>
      <c r="BN187" s="173">
        <f t="shared" si="532"/>
        <v>0.11959062499999998</v>
      </c>
      <c r="BO187" s="528"/>
      <c r="BQ187" s="460">
        <f t="shared" si="486"/>
        <v>597.95312499999989</v>
      </c>
      <c r="BR187" s="528">
        <f t="shared" si="487"/>
        <v>0.12722645536573676</v>
      </c>
      <c r="BS187" s="528">
        <f t="shared" si="488"/>
        <v>7.7656308112655059E-2</v>
      </c>
      <c r="BT187" s="528">
        <f t="shared" si="489"/>
        <v>7.7902636136223131E-4</v>
      </c>
      <c r="BU187" s="528">
        <f t="shared" si="490"/>
        <v>0.29358827294610956</v>
      </c>
      <c r="BV187" s="528"/>
      <c r="BW187" s="625">
        <f t="shared" si="533"/>
        <v>1.1540648028349318E-2</v>
      </c>
      <c r="BX187" s="460">
        <f t="shared" si="491"/>
        <v>510.7907108142129</v>
      </c>
      <c r="BY187" s="173">
        <f t="shared" si="492"/>
        <v>1.4923016540619276</v>
      </c>
      <c r="BZ187" s="5">
        <f t="shared" si="493"/>
        <v>14.167999999999999</v>
      </c>
      <c r="CA187" s="173">
        <f t="shared" si="494"/>
        <v>0.90470798794128859</v>
      </c>
      <c r="CB187" s="5">
        <f t="shared" si="495"/>
        <v>90.470798794128854</v>
      </c>
      <c r="CC187">
        <f t="shared" si="496"/>
        <v>77</v>
      </c>
      <c r="CE187" s="562">
        <f t="shared" si="534"/>
        <v>-50</v>
      </c>
      <c r="CF187">
        <f t="shared" si="535"/>
        <v>-50</v>
      </c>
      <c r="CG187" s="173">
        <f t="shared" si="536"/>
        <v>0.35771495841706186</v>
      </c>
      <c r="CH187" s="173">
        <f t="shared" si="537"/>
        <v>0.1249899513168843</v>
      </c>
      <c r="CI187" s="170">
        <v>77</v>
      </c>
      <c r="CJ187" s="217">
        <f t="shared" si="602"/>
        <v>0.77</v>
      </c>
      <c r="CK187" s="217">
        <f t="shared" si="538"/>
        <v>0.1925</v>
      </c>
      <c r="CL187" s="217">
        <f t="shared" si="539"/>
        <v>12.627999999999998</v>
      </c>
      <c r="CM187" s="217">
        <f t="shared" si="540"/>
        <v>1.54</v>
      </c>
      <c r="CN187" s="541">
        <f t="shared" si="541"/>
        <v>10</v>
      </c>
      <c r="CO187" s="443">
        <f t="shared" si="542"/>
        <v>17.099999999999998</v>
      </c>
      <c r="CP187" s="443">
        <f t="shared" si="543"/>
        <v>27.099999999999998</v>
      </c>
      <c r="CQ187" s="443"/>
      <c r="CR187" s="217">
        <f t="shared" si="544"/>
        <v>0.62686567164179097</v>
      </c>
      <c r="CS187" s="172">
        <f t="shared" si="545"/>
        <v>18.624269954574949</v>
      </c>
      <c r="CT187" s="172">
        <f t="shared" si="546"/>
        <v>2.5482344375682562</v>
      </c>
      <c r="CU187" s="217">
        <f t="shared" si="547"/>
        <v>1.135626216742375</v>
      </c>
      <c r="CV187" s="217">
        <f t="shared" si="548"/>
        <v>2.3280337443218686</v>
      </c>
      <c r="CW187" s="217">
        <f t="shared" si="549"/>
        <v>16.399999999999999</v>
      </c>
      <c r="CX187" s="217">
        <f t="shared" si="550"/>
        <v>4.5202666666666671</v>
      </c>
      <c r="CY187" s="217">
        <f t="shared" si="551"/>
        <v>5.4243200000000016</v>
      </c>
      <c r="CZ187" s="217">
        <f t="shared" si="552"/>
        <v>3.1721169590643288</v>
      </c>
      <c r="DA187" s="197">
        <f t="shared" si="553"/>
        <v>350</v>
      </c>
      <c r="DB187" s="443">
        <f t="shared" si="554"/>
        <v>116.32726497756389</v>
      </c>
      <c r="DD187" s="217">
        <f t="shared" si="555"/>
        <v>1.5023721665788083</v>
      </c>
      <c r="DE187" s="173">
        <f t="shared" si="556"/>
        <v>1.0542962572482866</v>
      </c>
      <c r="DF187" s="173">
        <f t="shared" si="557"/>
        <v>0.24706104135140031</v>
      </c>
      <c r="DG187" s="173"/>
      <c r="DH187" s="173">
        <f t="shared" si="558"/>
        <v>0.93567251461988332</v>
      </c>
      <c r="DI187" s="545">
        <f t="shared" si="559"/>
        <v>1234.4062499999995</v>
      </c>
      <c r="DJ187" s="528">
        <f t="shared" si="560"/>
        <v>0.21832358674463945</v>
      </c>
      <c r="DL187" s="173">
        <f t="shared" si="561"/>
        <v>2.5974346318370873</v>
      </c>
      <c r="DM187" s="173">
        <f t="shared" si="562"/>
        <v>4.5202666666666671</v>
      </c>
      <c r="DN187" s="173">
        <f t="shared" si="563"/>
        <v>3.5606913580246911</v>
      </c>
      <c r="DP187" s="545">
        <f t="shared" si="564"/>
        <v>770</v>
      </c>
      <c r="DQ187" s="460">
        <f t="shared" si="565"/>
        <v>116.32726497756389</v>
      </c>
      <c r="DS187">
        <f t="shared" si="566"/>
        <v>770</v>
      </c>
      <c r="DT187">
        <f t="shared" si="567"/>
        <v>116.32726497756389</v>
      </c>
      <c r="DV187" s="5">
        <f t="shared" si="568"/>
        <v>8.5964369590643326</v>
      </c>
      <c r="DW187" s="5">
        <f t="shared" si="569"/>
        <v>5.4243200000000016</v>
      </c>
      <c r="DX187" s="5">
        <f t="shared" si="570"/>
        <v>3.172116959064331</v>
      </c>
      <c r="DY187" s="173">
        <f t="shared" si="571"/>
        <v>0.63099630996309941</v>
      </c>
      <c r="EA187" s="5">
        <f t="shared" si="572"/>
        <v>25.467843902439036</v>
      </c>
      <c r="EB187" s="5">
        <f t="shared" si="573"/>
        <v>13.052270000000005</v>
      </c>
      <c r="EC187" s="5">
        <f t="shared" si="574"/>
        <v>3.3381244132553638</v>
      </c>
      <c r="ED187" s="5"/>
      <c r="EE187" s="173">
        <f t="shared" si="575"/>
        <v>2.0730837077256172</v>
      </c>
      <c r="EF187" s="173">
        <f t="shared" si="576"/>
        <v>1.5853267339432595</v>
      </c>
      <c r="EG187" s="173">
        <f t="shared" si="577"/>
        <v>0.38893955739497466</v>
      </c>
      <c r="EH187" s="173"/>
      <c r="EI187" s="528">
        <f t="shared" si="578"/>
        <v>8.5953521184747847E-2</v>
      </c>
      <c r="EJ187" s="528">
        <f t="shared" si="579"/>
        <v>0.28499999999999992</v>
      </c>
      <c r="EK187" s="528">
        <f t="shared" si="580"/>
        <v>1.4540908122195486E-2</v>
      </c>
      <c r="EL187" s="528">
        <f t="shared" si="581"/>
        <v>8.5431906672172667E-3</v>
      </c>
      <c r="EM187">
        <f t="shared" si="582"/>
        <v>4.4999999999999997E-3</v>
      </c>
      <c r="EN187" s="460">
        <f t="shared" si="583"/>
        <v>19.040908122195486</v>
      </c>
      <c r="EP187" s="460">
        <f t="shared" si="603"/>
        <v>398.53761997416052</v>
      </c>
      <c r="EQ187" s="173">
        <f t="shared" si="584"/>
        <v>0.53899999999999992</v>
      </c>
      <c r="ER187" s="173">
        <f t="shared" si="585"/>
        <v>8.5421874999999994E-2</v>
      </c>
      <c r="ES187" s="528"/>
      <c r="EU187" s="460">
        <f t="shared" si="497"/>
        <v>624.42187499999989</v>
      </c>
      <c r="EV187" s="528">
        <f t="shared" si="586"/>
        <v>0.12893028177712176</v>
      </c>
      <c r="EW187" s="528">
        <f t="shared" si="587"/>
        <v>7.5397825600656068E-2</v>
      </c>
      <c r="EX187" s="528">
        <f t="shared" si="588"/>
        <v>7.563698965329939E-4</v>
      </c>
      <c r="EY187" s="528">
        <f t="shared" si="589"/>
        <v>0.31701801185397316</v>
      </c>
      <c r="EZ187" s="528"/>
      <c r="FA187" s="625">
        <f t="shared" si="590"/>
        <v>1.1884464944649443E-2</v>
      </c>
      <c r="FB187" s="460">
        <f t="shared" si="498"/>
        <v>533.98695407293337</v>
      </c>
      <c r="FC187" s="173">
        <f t="shared" si="591"/>
        <v>1.5569464490470939</v>
      </c>
      <c r="FD187" s="5">
        <f t="shared" si="592"/>
        <v>14.167999999999999</v>
      </c>
      <c r="FE187" s="173">
        <f t="shared" si="593"/>
        <v>0.90098875986051807</v>
      </c>
      <c r="FF187" s="5">
        <f t="shared" si="594"/>
        <v>90.098875986051809</v>
      </c>
      <c r="FG187">
        <f t="shared" si="595"/>
        <v>77</v>
      </c>
      <c r="FI187" s="562">
        <f t="shared" si="596"/>
        <v>-50</v>
      </c>
      <c r="FJ187">
        <f t="shared" si="597"/>
        <v>-50</v>
      </c>
    </row>
    <row r="188" spans="5:166">
      <c r="E188" s="170">
        <v>78</v>
      </c>
      <c r="F188" s="217">
        <f t="shared" si="598"/>
        <v>0.78</v>
      </c>
      <c r="G188" s="217">
        <f t="shared" si="499"/>
        <v>0.19500000000000001</v>
      </c>
      <c r="H188" s="217">
        <f t="shared" si="500"/>
        <v>12.792</v>
      </c>
      <c r="I188" s="217">
        <f t="shared" si="501"/>
        <v>1.56</v>
      </c>
      <c r="J188" s="541">
        <f t="shared" si="502"/>
        <v>9.8521995989933302</v>
      </c>
      <c r="K188" s="443">
        <f t="shared" si="503"/>
        <v>17.165415212446099</v>
      </c>
      <c r="L188" s="172">
        <f t="shared" si="504"/>
        <v>27.017614811439429</v>
      </c>
      <c r="M188" s="443"/>
      <c r="N188" s="217">
        <f t="shared" si="505"/>
        <v>0.63534162183621601</v>
      </c>
      <c r="O188" s="172">
        <f t="shared" si="506"/>
        <v>18.597102271523198</v>
      </c>
      <c r="P188" s="172">
        <f t="shared" si="507"/>
        <v>2.5445172649912764</v>
      </c>
      <c r="Q188" s="217">
        <f t="shared" si="508"/>
        <v>1.1339696507026342</v>
      </c>
      <c r="R188" s="217">
        <f t="shared" si="509"/>
        <v>2.3246377839403998</v>
      </c>
      <c r="S188" s="217">
        <f t="shared" si="510"/>
        <v>16.399999999999999</v>
      </c>
      <c r="T188" s="217">
        <f t="shared" si="511"/>
        <v>4.5856606451309867</v>
      </c>
      <c r="U188" s="217">
        <f t="shared" si="512"/>
        <v>5.5853443881906779</v>
      </c>
      <c r="V188" s="217">
        <f t="shared" si="513"/>
        <v>3.2057440534076234</v>
      </c>
      <c r="W188" s="197">
        <f t="shared" si="514"/>
        <v>350</v>
      </c>
      <c r="X188" s="443">
        <f t="shared" si="599"/>
        <v>111.22123939671036</v>
      </c>
      <c r="Z188" s="217">
        <f t="shared" si="515"/>
        <v>1.4903601123520331</v>
      </c>
      <c r="AA188" s="173">
        <f t="shared" si="516"/>
        <v>1.0418810804679541</v>
      </c>
      <c r="AB188" s="173">
        <f t="shared" si="517"/>
        <v>0.24219961260284539</v>
      </c>
      <c r="AC188" s="173"/>
      <c r="AD188" s="173">
        <f t="shared" si="518"/>
        <v>0.93210678576530492</v>
      </c>
      <c r="AE188" s="545">
        <f t="shared" si="519"/>
        <v>1255.2209874101206</v>
      </c>
      <c r="AF188" s="528">
        <f t="shared" si="520"/>
        <v>0.21749158334523783</v>
      </c>
      <c r="AH188" s="173">
        <f t="shared" si="521"/>
        <v>2.6142466819880856</v>
      </c>
      <c r="AI188" s="173">
        <f t="shared" si="522"/>
        <v>4.5856606451309867</v>
      </c>
      <c r="AJ188" s="173">
        <f t="shared" si="523"/>
        <v>3.6091313420723354</v>
      </c>
      <c r="AL188" s="545">
        <f t="shared" si="524"/>
        <v>780</v>
      </c>
      <c r="AM188" s="460">
        <f t="shared" si="525"/>
        <v>111.22123939671036</v>
      </c>
      <c r="AO188">
        <f t="shared" si="526"/>
        <v>780</v>
      </c>
      <c r="AP188">
        <f t="shared" si="527"/>
        <v>111.22123939671036</v>
      </c>
      <c r="AR188" s="5">
        <f t="shared" si="443"/>
        <v>8.9910884415983006</v>
      </c>
      <c r="AS188" s="5">
        <f t="shared" si="604"/>
        <v>5.5853443881906779</v>
      </c>
      <c r="AT188" s="5">
        <f t="shared" si="605"/>
        <v>3.4057440534076227</v>
      </c>
      <c r="AU188" s="173">
        <f t="shared" si="606"/>
        <v>0.62120892531202809</v>
      </c>
      <c r="AW188" s="5">
        <f t="shared" si="477"/>
        <v>26.564442821882501</v>
      </c>
      <c r="AX188" s="5">
        <f t="shared" si="478"/>
        <v>13.614276946214778</v>
      </c>
      <c r="AY188" s="5">
        <f t="shared" si="479"/>
        <v>3.6849874228121422</v>
      </c>
      <c r="AZ188" s="5"/>
      <c r="BA188" s="173">
        <f t="shared" si="480"/>
        <v>2.0867005396624618</v>
      </c>
      <c r="BB188" s="173">
        <f t="shared" si="481"/>
        <v>1.629450431446168</v>
      </c>
      <c r="BC188" s="173">
        <f t="shared" si="482"/>
        <v>0.39976473999611861</v>
      </c>
      <c r="BD188" s="173"/>
      <c r="BE188" s="528">
        <f t="shared" si="483"/>
        <v>8.7086382844552196E-2</v>
      </c>
      <c r="BF188" s="528">
        <f t="shared" si="528"/>
        <v>0.25836752226429111</v>
      </c>
      <c r="BG188" s="528">
        <f t="shared" si="529"/>
        <v>2.7394346254595272E-2</v>
      </c>
      <c r="BH188" s="528">
        <f t="shared" si="484"/>
        <v>8.1186111652745731E-3</v>
      </c>
      <c r="BI188">
        <f t="shared" si="485"/>
        <v>4.4334898195469985E-3</v>
      </c>
      <c r="BJ188" s="460">
        <f t="shared" si="600"/>
        <v>31.827836074142272</v>
      </c>
      <c r="BK188">
        <f t="shared" si="530"/>
        <v>0.38505325554837366</v>
      </c>
      <c r="BL188" s="460">
        <f t="shared" si="601"/>
        <v>385.40035234826013</v>
      </c>
      <c r="BM188" s="173">
        <f t="shared" si="531"/>
        <v>0.48457499999999992</v>
      </c>
      <c r="BN188" s="173">
        <f t="shared" si="532"/>
        <v>0.12114374999999998</v>
      </c>
      <c r="BO188" s="528"/>
      <c r="BQ188" s="460">
        <f t="shared" si="486"/>
        <v>605.71874999999989</v>
      </c>
      <c r="BR188" s="528">
        <f t="shared" si="487"/>
        <v>0.13062957426682828</v>
      </c>
      <c r="BS188" s="528">
        <f t="shared" si="488"/>
        <v>7.9653261256203076E-2</v>
      </c>
      <c r="BT188" s="528">
        <f t="shared" si="489"/>
        <v>7.9905923672082162E-4</v>
      </c>
      <c r="BU188" s="528">
        <f t="shared" si="490"/>
        <v>0.29372716317496822</v>
      </c>
      <c r="BV188" s="528"/>
      <c r="BW188" s="625">
        <f t="shared" si="533"/>
        <v>1.169395879536307E-2</v>
      </c>
      <c r="BX188" s="460">
        <f t="shared" si="491"/>
        <v>516.50301673008346</v>
      </c>
      <c r="BY188" s="173">
        <f t="shared" si="492"/>
        <v>1.5076221190783436</v>
      </c>
      <c r="BZ188" s="5">
        <f t="shared" si="493"/>
        <v>14.352</v>
      </c>
      <c r="CA188" s="173">
        <f t="shared" si="494"/>
        <v>0.90493959390969669</v>
      </c>
      <c r="CB188" s="5">
        <f t="shared" si="495"/>
        <v>90.493959390969664</v>
      </c>
      <c r="CC188">
        <f t="shared" si="496"/>
        <v>78</v>
      </c>
      <c r="CE188" s="562">
        <f t="shared" si="534"/>
        <v>-50</v>
      </c>
      <c r="CF188">
        <f t="shared" si="535"/>
        <v>-50</v>
      </c>
      <c r="CG188" s="173">
        <f t="shared" si="536"/>
        <v>0.35771495841706197</v>
      </c>
      <c r="CH188" s="173">
        <f t="shared" si="537"/>
        <v>0.1249899513168843</v>
      </c>
      <c r="CI188" s="170">
        <v>78</v>
      </c>
      <c r="CJ188" s="217">
        <f t="shared" si="602"/>
        <v>0.78</v>
      </c>
      <c r="CK188" s="217">
        <f t="shared" si="538"/>
        <v>0.19500000000000001</v>
      </c>
      <c r="CL188" s="217">
        <f t="shared" si="539"/>
        <v>12.792</v>
      </c>
      <c r="CM188" s="217">
        <f t="shared" si="540"/>
        <v>1.56</v>
      </c>
      <c r="CN188" s="541">
        <f t="shared" si="541"/>
        <v>10</v>
      </c>
      <c r="CO188" s="443">
        <f t="shared" si="542"/>
        <v>17.099999999999998</v>
      </c>
      <c r="CP188" s="443">
        <f t="shared" si="543"/>
        <v>27.099999999999998</v>
      </c>
      <c r="CQ188" s="443"/>
      <c r="CR188" s="217">
        <f t="shared" si="544"/>
        <v>0.62686567164179097</v>
      </c>
      <c r="CS188" s="172">
        <f t="shared" si="545"/>
        <v>18.624269954574949</v>
      </c>
      <c r="CT188" s="172">
        <f t="shared" si="546"/>
        <v>2.5482344375682562</v>
      </c>
      <c r="CU188" s="217">
        <f t="shared" si="547"/>
        <v>1.135626216742375</v>
      </c>
      <c r="CV188" s="217">
        <f t="shared" si="548"/>
        <v>2.3280337443218686</v>
      </c>
      <c r="CW188" s="217">
        <f t="shared" si="549"/>
        <v>16.399999999999999</v>
      </c>
      <c r="CX188" s="217">
        <f t="shared" si="550"/>
        <v>4.5789714285714291</v>
      </c>
      <c r="CY188" s="217">
        <f t="shared" si="551"/>
        <v>5.4947657142857151</v>
      </c>
      <c r="CZ188" s="217">
        <f t="shared" si="552"/>
        <v>3.2133132832080209</v>
      </c>
      <c r="DA188" s="197">
        <f t="shared" si="553"/>
        <v>350</v>
      </c>
      <c r="DB188" s="443">
        <f t="shared" si="554"/>
        <v>114.83588978554386</v>
      </c>
      <c r="DD188" s="217">
        <f t="shared" si="555"/>
        <v>1.5023721665788083</v>
      </c>
      <c r="DE188" s="173">
        <f t="shared" si="556"/>
        <v>1.0542962572482866</v>
      </c>
      <c r="DF188" s="173">
        <f t="shared" si="557"/>
        <v>0.24706104135140031</v>
      </c>
      <c r="DG188" s="173"/>
      <c r="DH188" s="173">
        <f t="shared" si="558"/>
        <v>0.93567251461988332</v>
      </c>
      <c r="DI188" s="545">
        <f t="shared" si="559"/>
        <v>1250.4374999999995</v>
      </c>
      <c r="DJ188" s="528">
        <f t="shared" si="560"/>
        <v>0.21832358674463945</v>
      </c>
      <c r="DL188" s="173">
        <f t="shared" si="561"/>
        <v>2.6142466819880856</v>
      </c>
      <c r="DM188" s="173">
        <f t="shared" si="562"/>
        <v>4.5789714285714291</v>
      </c>
      <c r="DN188" s="173">
        <f t="shared" si="563"/>
        <v>3.604176366843034</v>
      </c>
      <c r="DP188" s="545">
        <f t="shared" si="564"/>
        <v>780</v>
      </c>
      <c r="DQ188" s="460">
        <f t="shared" si="565"/>
        <v>114.83588978554386</v>
      </c>
      <c r="DS188">
        <f t="shared" si="566"/>
        <v>780</v>
      </c>
      <c r="DT188">
        <f t="shared" si="567"/>
        <v>114.83588978554386</v>
      </c>
      <c r="DV188" s="5">
        <f t="shared" si="568"/>
        <v>8.708078997493736</v>
      </c>
      <c r="DW188" s="5">
        <f t="shared" si="569"/>
        <v>5.4947657142857151</v>
      </c>
      <c r="DX188" s="5">
        <f t="shared" si="570"/>
        <v>3.2133132832080209</v>
      </c>
      <c r="DY188" s="173">
        <f t="shared" si="571"/>
        <v>0.63099630996309963</v>
      </c>
      <c r="EA188" s="5">
        <f t="shared" si="572"/>
        <v>26.133641811846697</v>
      </c>
      <c r="EB188" s="5">
        <f t="shared" si="573"/>
        <v>13.39349142857143</v>
      </c>
      <c r="EC188" s="5">
        <f t="shared" si="574"/>
        <v>3.4253919598997493</v>
      </c>
      <c r="ED188" s="5"/>
      <c r="EE188" s="173">
        <f t="shared" si="575"/>
        <v>2.1000068727610151</v>
      </c>
      <c r="EF188" s="173">
        <f t="shared" si="576"/>
        <v>1.6059153928256391</v>
      </c>
      <c r="EG188" s="173">
        <f t="shared" si="577"/>
        <v>0.39399072047802614</v>
      </c>
      <c r="EH188" s="173"/>
      <c r="EI188" s="528">
        <f t="shared" si="578"/>
        <v>8.8200577312869954E-2</v>
      </c>
      <c r="EJ188" s="528">
        <f t="shared" si="579"/>
        <v>0.28499999999999992</v>
      </c>
      <c r="EK188" s="528">
        <f t="shared" si="580"/>
        <v>1.4354486223192981E-2</v>
      </c>
      <c r="EL188" s="528">
        <f t="shared" si="581"/>
        <v>8.4336625817401263E-3</v>
      </c>
      <c r="EM188">
        <f t="shared" si="582"/>
        <v>4.4999999999999997E-3</v>
      </c>
      <c r="EN188" s="460">
        <f t="shared" si="583"/>
        <v>18.854486223192982</v>
      </c>
      <c r="EP188" s="460">
        <f t="shared" si="603"/>
        <v>400.48872611780297</v>
      </c>
      <c r="EQ188" s="173">
        <f t="shared" si="584"/>
        <v>0.54599999999999993</v>
      </c>
      <c r="ER188" s="173">
        <f t="shared" si="585"/>
        <v>8.6531250000000004E-2</v>
      </c>
      <c r="ES188" s="528"/>
      <c r="EU188" s="460">
        <f t="shared" si="497"/>
        <v>632.53125</v>
      </c>
      <c r="EV188" s="528">
        <f t="shared" si="586"/>
        <v>0.13230086596930493</v>
      </c>
      <c r="EW188" s="528">
        <f t="shared" si="587"/>
        <v>7.7368927467429807E-2</v>
      </c>
      <c r="EX188" s="528">
        <f t="shared" si="588"/>
        <v>7.7614343911397063E-4</v>
      </c>
      <c r="EY188" s="528">
        <f t="shared" si="589"/>
        <v>0.31701801185397344</v>
      </c>
      <c r="EZ188" s="528"/>
      <c r="FA188" s="625">
        <f t="shared" si="590"/>
        <v>1.2038808645229311E-2</v>
      </c>
      <c r="FB188" s="460">
        <f t="shared" si="498"/>
        <v>539.50275737505149</v>
      </c>
      <c r="FC188" s="173">
        <f t="shared" si="591"/>
        <v>1.5725227334928544</v>
      </c>
      <c r="FD188" s="5">
        <f t="shared" si="592"/>
        <v>14.352</v>
      </c>
      <c r="FE188" s="173">
        <f t="shared" si="593"/>
        <v>0.9012514999783644</v>
      </c>
      <c r="FF188" s="5">
        <f t="shared" si="594"/>
        <v>90.125149997836445</v>
      </c>
      <c r="FG188">
        <f t="shared" si="595"/>
        <v>78</v>
      </c>
      <c r="FI188" s="562">
        <f t="shared" si="596"/>
        <v>-50</v>
      </c>
      <c r="FJ188">
        <f t="shared" si="597"/>
        <v>-50</v>
      </c>
    </row>
    <row r="189" spans="5:166">
      <c r="E189" s="170">
        <v>79</v>
      </c>
      <c r="F189" s="217">
        <f t="shared" si="598"/>
        <v>0.79</v>
      </c>
      <c r="G189" s="217">
        <f t="shared" si="499"/>
        <v>0.19750000000000001</v>
      </c>
      <c r="H189" s="217">
        <f t="shared" si="500"/>
        <v>12.956</v>
      </c>
      <c r="I189" s="217">
        <f t="shared" si="501"/>
        <v>1.58</v>
      </c>
      <c r="J189" s="541">
        <f t="shared" si="502"/>
        <v>9.8503047220573468</v>
      </c>
      <c r="K189" s="443">
        <f t="shared" si="503"/>
        <v>17.166253869015918</v>
      </c>
      <c r="L189" s="172">
        <f t="shared" si="504"/>
        <v>27.016558591073263</v>
      </c>
      <c r="M189" s="443"/>
      <c r="N189" s="217">
        <f t="shared" si="505"/>
        <v>0.63539750302201492</v>
      </c>
      <c r="O189" s="172">
        <f t="shared" si="506"/>
        <v>18.59516086959777</v>
      </c>
      <c r="P189" s="172">
        <f t="shared" si="507"/>
        <v>2.5442516359354479</v>
      </c>
      <c r="Q189" s="217">
        <f t="shared" si="508"/>
        <v>1.1338512725364496</v>
      </c>
      <c r="R189" s="217">
        <f t="shared" si="509"/>
        <v>2.3243951086997212</v>
      </c>
      <c r="S189" s="217">
        <f t="shared" si="510"/>
        <v>16.399999999999999</v>
      </c>
      <c r="T189" s="217">
        <f t="shared" si="511"/>
        <v>4.6449360636911585</v>
      </c>
      <c r="U189" s="217">
        <f t="shared" si="512"/>
        <v>5.65863029998245</v>
      </c>
      <c r="V189" s="217">
        <f t="shared" si="513"/>
        <v>3.2470236773615442</v>
      </c>
      <c r="W189" s="197">
        <f t="shared" si="514"/>
        <v>350</v>
      </c>
      <c r="X189" s="443">
        <f t="shared" si="599"/>
        <v>109.82187578049034</v>
      </c>
      <c r="Z189" s="217">
        <f t="shared" si="515"/>
        <v>1.4902045296193336</v>
      </c>
      <c r="AA189" s="173">
        <f t="shared" si="516"/>
        <v>1.0417214199371003</v>
      </c>
      <c r="AB189" s="173">
        <f t="shared" si="517"/>
        <v>0.24213721731295243</v>
      </c>
      <c r="AC189" s="173"/>
      <c r="AD189" s="173">
        <f t="shared" si="518"/>
        <v>0.93206124772971377</v>
      </c>
      <c r="AE189" s="545">
        <f t="shared" si="519"/>
        <v>1271.3756771739909</v>
      </c>
      <c r="AF189" s="528">
        <f t="shared" si="520"/>
        <v>0.21748095780359991</v>
      </c>
      <c r="AH189" s="173">
        <f t="shared" si="521"/>
        <v>2.6309513035981418</v>
      </c>
      <c r="AI189" s="173">
        <f t="shared" si="522"/>
        <v>4.6449360636911585</v>
      </c>
      <c r="AJ189" s="173">
        <f t="shared" si="523"/>
        <v>3.653039059524315</v>
      </c>
      <c r="AL189" s="545">
        <f t="shared" si="524"/>
        <v>790</v>
      </c>
      <c r="AM189" s="460">
        <f t="shared" si="525"/>
        <v>109.82187578049034</v>
      </c>
      <c r="AO189">
        <f t="shared" si="526"/>
        <v>790</v>
      </c>
      <c r="AP189">
        <f t="shared" si="527"/>
        <v>109.82187578049034</v>
      </c>
      <c r="AR189" s="5">
        <f t="shared" si="443"/>
        <v>9.1056539773439944</v>
      </c>
      <c r="AS189" s="5">
        <f t="shared" si="604"/>
        <v>5.65863029998245</v>
      </c>
      <c r="AT189" s="5">
        <f t="shared" si="605"/>
        <v>3.4470236773615444</v>
      </c>
      <c r="AU189" s="173">
        <f t="shared" si="606"/>
        <v>0.62144139389239139</v>
      </c>
      <c r="AW189" s="5">
        <f t="shared" si="477"/>
        <v>27.258036201134978</v>
      </c>
      <c r="AX189" s="5">
        <f t="shared" si="478"/>
        <v>13.969743553081674</v>
      </c>
      <c r="AY189" s="5">
        <f t="shared" si="479"/>
        <v>3.7781943489771637</v>
      </c>
      <c r="AZ189" s="5"/>
      <c r="BA189" s="173">
        <f t="shared" si="480"/>
        <v>2.1140692149425546</v>
      </c>
      <c r="BB189" s="173">
        <f t="shared" si="481"/>
        <v>1.6500065756510616</v>
      </c>
      <c r="BC189" s="173">
        <f t="shared" si="482"/>
        <v>0.4048079260205617</v>
      </c>
      <c r="BD189" s="173"/>
      <c r="BE189" s="528">
        <f t="shared" si="483"/>
        <v>8.938577291135659E-2</v>
      </c>
      <c r="BF189" s="528">
        <f t="shared" si="528"/>
        <v>0.25840439555893652</v>
      </c>
      <c r="BG189" s="528">
        <f t="shared" si="529"/>
        <v>2.7044473539643985E-2</v>
      </c>
      <c r="BH189" s="528">
        <f t="shared" si="484"/>
        <v>8.015837631442653E-3</v>
      </c>
      <c r="BI189">
        <f t="shared" si="485"/>
        <v>4.4326371249258055E-3</v>
      </c>
      <c r="BJ189" s="460">
        <f t="shared" si="600"/>
        <v>31.477110664569789</v>
      </c>
      <c r="BK189">
        <f t="shared" si="530"/>
        <v>0.38818444927426049</v>
      </c>
      <c r="BL189" s="460">
        <f t="shared" si="601"/>
        <v>387.28311676630557</v>
      </c>
      <c r="BM189" s="173">
        <f t="shared" si="531"/>
        <v>0.49078749999999993</v>
      </c>
      <c r="BN189" s="173">
        <f t="shared" si="532"/>
        <v>0.12269687499999998</v>
      </c>
      <c r="BO189" s="528"/>
      <c r="BQ189" s="460">
        <f t="shared" si="486"/>
        <v>613.48437499999989</v>
      </c>
      <c r="BR189" s="528">
        <f t="shared" si="487"/>
        <v>0.13407865936703486</v>
      </c>
      <c r="BS189" s="528">
        <f t="shared" si="488"/>
        <v>8.167565099075226E-2</v>
      </c>
      <c r="BT189" s="528">
        <f t="shared" si="489"/>
        <v>8.1934728484534273E-4</v>
      </c>
      <c r="BU189" s="528">
        <f t="shared" si="490"/>
        <v>0.29386069309736335</v>
      </c>
      <c r="BV189" s="528"/>
      <c r="BW189" s="625">
        <f t="shared" si="533"/>
        <v>1.1847271535609131E-2</v>
      </c>
      <c r="BX189" s="460">
        <f t="shared" si="491"/>
        <v>522.28162227560495</v>
      </c>
      <c r="BY189" s="173">
        <f t="shared" si="492"/>
        <v>1.5230491140419105</v>
      </c>
      <c r="BZ189" s="5">
        <f t="shared" si="493"/>
        <v>14.536</v>
      </c>
      <c r="CA189" s="173">
        <f t="shared" si="494"/>
        <v>0.90515944604029075</v>
      </c>
      <c r="CB189" s="5">
        <f t="shared" si="495"/>
        <v>90.515944604029073</v>
      </c>
      <c r="CC189">
        <f t="shared" si="496"/>
        <v>79</v>
      </c>
      <c r="CE189" s="562">
        <f t="shared" si="534"/>
        <v>-50</v>
      </c>
      <c r="CF189">
        <f t="shared" si="535"/>
        <v>-50</v>
      </c>
      <c r="CG189" s="173">
        <f t="shared" si="536"/>
        <v>0.35771495841706197</v>
      </c>
      <c r="CH189" s="173">
        <f t="shared" si="537"/>
        <v>0.1249899513168843</v>
      </c>
      <c r="CI189" s="170">
        <v>79</v>
      </c>
      <c r="CJ189" s="217">
        <f t="shared" si="602"/>
        <v>0.79</v>
      </c>
      <c r="CK189" s="217">
        <f t="shared" si="538"/>
        <v>0.19750000000000001</v>
      </c>
      <c r="CL189" s="217">
        <f t="shared" si="539"/>
        <v>12.956</v>
      </c>
      <c r="CM189" s="217">
        <f t="shared" si="540"/>
        <v>1.58</v>
      </c>
      <c r="CN189" s="541">
        <f t="shared" si="541"/>
        <v>10</v>
      </c>
      <c r="CO189" s="443">
        <f t="shared" si="542"/>
        <v>17.099999999999998</v>
      </c>
      <c r="CP189" s="443">
        <f t="shared" si="543"/>
        <v>27.099999999999998</v>
      </c>
      <c r="CQ189" s="443"/>
      <c r="CR189" s="217">
        <f t="shared" si="544"/>
        <v>0.62686567164179097</v>
      </c>
      <c r="CS189" s="172">
        <f t="shared" si="545"/>
        <v>18.624269954574949</v>
      </c>
      <c r="CT189" s="172">
        <f t="shared" si="546"/>
        <v>2.5482344375682562</v>
      </c>
      <c r="CU189" s="217">
        <f t="shared" si="547"/>
        <v>1.135626216742375</v>
      </c>
      <c r="CV189" s="217">
        <f t="shared" si="548"/>
        <v>2.3280337443218686</v>
      </c>
      <c r="CW189" s="217">
        <f t="shared" si="549"/>
        <v>16.399999999999999</v>
      </c>
      <c r="CX189" s="217">
        <f t="shared" si="550"/>
        <v>4.6376761904761912</v>
      </c>
      <c r="CY189" s="217">
        <f t="shared" si="551"/>
        <v>5.5652114285714296</v>
      </c>
      <c r="CZ189" s="217">
        <f t="shared" si="552"/>
        <v>3.2545096073517135</v>
      </c>
      <c r="DA189" s="197">
        <f t="shared" si="553"/>
        <v>350</v>
      </c>
      <c r="DB189" s="443">
        <f t="shared" si="554"/>
        <v>113.38227092749901</v>
      </c>
      <c r="DD189" s="217">
        <f t="shared" si="555"/>
        <v>1.5023721665788083</v>
      </c>
      <c r="DE189" s="173">
        <f t="shared" si="556"/>
        <v>1.0542962572482866</v>
      </c>
      <c r="DF189" s="173">
        <f t="shared" si="557"/>
        <v>0.24706104135140031</v>
      </c>
      <c r="DG189" s="173"/>
      <c r="DH189" s="173">
        <f t="shared" si="558"/>
        <v>0.93567251461988332</v>
      </c>
      <c r="DI189" s="545">
        <f t="shared" si="559"/>
        <v>1266.4687499999995</v>
      </c>
      <c r="DJ189" s="528">
        <f t="shared" si="560"/>
        <v>0.21832358674463945</v>
      </c>
      <c r="DL189" s="173">
        <f t="shared" si="561"/>
        <v>2.6309513035981418</v>
      </c>
      <c r="DM189" s="173">
        <f t="shared" si="562"/>
        <v>4.6376761904761912</v>
      </c>
      <c r="DN189" s="173">
        <f t="shared" si="563"/>
        <v>3.647661375661376</v>
      </c>
      <c r="DP189" s="545">
        <f t="shared" si="564"/>
        <v>790</v>
      </c>
      <c r="DQ189" s="460">
        <f t="shared" si="565"/>
        <v>113.38227092749901</v>
      </c>
      <c r="DS189">
        <f t="shared" si="566"/>
        <v>790</v>
      </c>
      <c r="DT189">
        <f t="shared" si="567"/>
        <v>113.38227092749901</v>
      </c>
      <c r="DV189" s="5">
        <f t="shared" si="568"/>
        <v>8.819721035923143</v>
      </c>
      <c r="DW189" s="5">
        <f t="shared" si="569"/>
        <v>5.5652114285714296</v>
      </c>
      <c r="DX189" s="5">
        <f t="shared" si="570"/>
        <v>3.2545096073517135</v>
      </c>
      <c r="DY189" s="173">
        <f t="shared" si="571"/>
        <v>0.63099630996309963</v>
      </c>
      <c r="EA189" s="5">
        <f t="shared" si="572"/>
        <v>26.808030662020919</v>
      </c>
      <c r="EB189" s="5">
        <f t="shared" si="573"/>
        <v>13.739115714285719</v>
      </c>
      <c r="EC189" s="5">
        <f t="shared" si="574"/>
        <v>3.5137855394040658</v>
      </c>
      <c r="ED189" s="5"/>
      <c r="EE189" s="173">
        <f t="shared" si="575"/>
        <v>2.1269300377964129</v>
      </c>
      <c r="EF189" s="173">
        <f t="shared" si="576"/>
        <v>1.6265040517080191</v>
      </c>
      <c r="EG189" s="173">
        <f t="shared" si="577"/>
        <v>0.39904188356107784</v>
      </c>
      <c r="EH189" s="173"/>
      <c r="EI189" s="528">
        <f t="shared" si="578"/>
        <v>9.0476627713613006E-2</v>
      </c>
      <c r="EJ189" s="528">
        <f t="shared" si="579"/>
        <v>0.28499999999999998</v>
      </c>
      <c r="EK189" s="528">
        <f t="shared" si="580"/>
        <v>1.4172783865937375E-2</v>
      </c>
      <c r="EL189" s="528">
        <f t="shared" si="581"/>
        <v>8.3269073591864529E-3</v>
      </c>
      <c r="EM189">
        <f t="shared" si="582"/>
        <v>4.4999999999999997E-3</v>
      </c>
      <c r="EN189" s="460">
        <f t="shared" si="583"/>
        <v>18.672783865937376</v>
      </c>
      <c r="EP189" s="460">
        <f t="shared" si="603"/>
        <v>402.47631893873688</v>
      </c>
      <c r="EQ189" s="173">
        <f t="shared" si="584"/>
        <v>0.55299999999999994</v>
      </c>
      <c r="ER189" s="173">
        <f t="shared" si="585"/>
        <v>8.7640625E-2</v>
      </c>
      <c r="ES189" s="528"/>
      <c r="EU189" s="460">
        <f t="shared" si="497"/>
        <v>640.640625</v>
      </c>
      <c r="EV189" s="528">
        <f t="shared" si="586"/>
        <v>0.1357149415704195</v>
      </c>
      <c r="EW189" s="528">
        <f t="shared" si="587"/>
        <v>7.9365462906678078E-2</v>
      </c>
      <c r="EX189" s="528">
        <f t="shared" si="588"/>
        <v>7.9617212417986403E-4</v>
      </c>
      <c r="EY189" s="528">
        <f t="shared" si="589"/>
        <v>0.31701801185397371</v>
      </c>
      <c r="EZ189" s="528"/>
      <c r="FA189" s="625">
        <f t="shared" si="590"/>
        <v>1.2193152345809173E-2</v>
      </c>
      <c r="FB189" s="460">
        <f t="shared" si="498"/>
        <v>545.08774080106036</v>
      </c>
      <c r="FC189" s="173">
        <f t="shared" si="591"/>
        <v>1.588204684739797</v>
      </c>
      <c r="FD189" s="5">
        <f t="shared" si="592"/>
        <v>14.536</v>
      </c>
      <c r="FE189" s="173">
        <f t="shared" si="593"/>
        <v>0.90150182810300716</v>
      </c>
      <c r="FF189" s="5">
        <f t="shared" si="594"/>
        <v>90.15018281030072</v>
      </c>
      <c r="FG189">
        <f t="shared" si="595"/>
        <v>79</v>
      </c>
      <c r="FI189" s="562">
        <f t="shared" si="596"/>
        <v>-50</v>
      </c>
      <c r="FJ189">
        <f t="shared" si="597"/>
        <v>-50</v>
      </c>
    </row>
    <row r="190" spans="5:166">
      <c r="E190" s="170">
        <v>80</v>
      </c>
      <c r="F190" s="217">
        <f t="shared" si="598"/>
        <v>0.8</v>
      </c>
      <c r="G190" s="217">
        <f t="shared" si="499"/>
        <v>0.2</v>
      </c>
      <c r="H190" s="217">
        <f t="shared" si="500"/>
        <v>13.12</v>
      </c>
      <c r="I190" s="217">
        <f t="shared" si="501"/>
        <v>1.6</v>
      </c>
      <c r="J190" s="541">
        <f t="shared" si="502"/>
        <v>9.8484098451213633</v>
      </c>
      <c r="K190" s="443">
        <f t="shared" si="503"/>
        <v>17.167092525585741</v>
      </c>
      <c r="L190" s="172">
        <f t="shared" si="504"/>
        <v>27.015502370707104</v>
      </c>
      <c r="M190" s="443"/>
      <c r="N190" s="217">
        <f t="shared" si="505"/>
        <v>0.63545338857736777</v>
      </c>
      <c r="O190" s="172">
        <f t="shared" si="506"/>
        <v>18.593218966335094</v>
      </c>
      <c r="P190" s="172">
        <f t="shared" si="507"/>
        <v>2.5439859382849925</v>
      </c>
      <c r="Q190" s="217">
        <f t="shared" si="508"/>
        <v>1.1337328638009205</v>
      </c>
      <c r="R190" s="217">
        <f t="shared" si="509"/>
        <v>2.3241523707918867</v>
      </c>
      <c r="S190" s="217">
        <f t="shared" si="510"/>
        <v>16.399999999999999</v>
      </c>
      <c r="T190" s="217">
        <f t="shared" si="511"/>
        <v>4.7042239875211456</v>
      </c>
      <c r="U190" s="217">
        <f t="shared" si="512"/>
        <v>5.73195965013762</v>
      </c>
      <c r="V190" s="217">
        <f t="shared" si="513"/>
        <v>3.2883080094151036</v>
      </c>
      <c r="W190" s="197">
        <f t="shared" si="514"/>
        <v>350</v>
      </c>
      <c r="X190" s="443">
        <f t="shared" si="599"/>
        <v>108.45672131480293</v>
      </c>
      <c r="Z190" s="217">
        <f t="shared" si="515"/>
        <v>1.4900489067097809</v>
      </c>
      <c r="AA190" s="173">
        <f t="shared" si="516"/>
        <v>1.0415617469218066</v>
      </c>
      <c r="AB190" s="173">
        <f t="shared" si="517"/>
        <v>0.24207482034344555</v>
      </c>
      <c r="AC190" s="173"/>
      <c r="AD190" s="173">
        <f t="shared" si="518"/>
        <v>0.93201571414342232</v>
      </c>
      <c r="AE190" s="545">
        <f t="shared" si="519"/>
        <v>1287.5319394189303</v>
      </c>
      <c r="AF190" s="528">
        <f t="shared" si="520"/>
        <v>0.21747033330013191</v>
      </c>
      <c r="AH190" s="173">
        <f t="shared" si="521"/>
        <v>2.6475505301171891</v>
      </c>
      <c r="AI190" s="173">
        <f t="shared" si="522"/>
        <v>4.7042239875211456</v>
      </c>
      <c r="AJ190" s="173">
        <f t="shared" si="523"/>
        <v>3.6969560401391197</v>
      </c>
      <c r="AL190" s="545">
        <f t="shared" si="524"/>
        <v>800</v>
      </c>
      <c r="AM190" s="460">
        <f t="shared" si="525"/>
        <v>108.45672131480293</v>
      </c>
      <c r="AO190">
        <f t="shared" si="526"/>
        <v>800</v>
      </c>
      <c r="AP190">
        <f t="shared" si="527"/>
        <v>108.45672131480293</v>
      </c>
      <c r="AR190" s="5">
        <f t="shared" si="443"/>
        <v>9.2202676595527233</v>
      </c>
      <c r="AS190" s="5">
        <f t="shared" si="604"/>
        <v>5.73195965013762</v>
      </c>
      <c r="AT190" s="5">
        <f t="shared" si="605"/>
        <v>3.4883080094151033</v>
      </c>
      <c r="AU190" s="173">
        <f t="shared" si="606"/>
        <v>0.62166955036267113</v>
      </c>
      <c r="AW190" s="5">
        <f t="shared" si="477"/>
        <v>27.960778781159128</v>
      </c>
      <c r="AX190" s="5">
        <f t="shared" si="478"/>
        <v>14.329899125344051</v>
      </c>
      <c r="AY190" s="5">
        <f t="shared" si="479"/>
        <v>3.8725880457914474</v>
      </c>
      <c r="AZ190" s="5"/>
      <c r="BA190" s="173">
        <f t="shared" si="480"/>
        <v>2.1414461740421804</v>
      </c>
      <c r="BB190" s="173">
        <f t="shared" si="481"/>
        <v>1.6705635950989388</v>
      </c>
      <c r="BC190" s="173">
        <f t="shared" si="482"/>
        <v>0.40985132677463193</v>
      </c>
      <c r="BD190" s="173"/>
      <c r="BE190" s="528">
        <f t="shared" si="483"/>
        <v>9.1715834326397849E-2</v>
      </c>
      <c r="BF190" s="528">
        <f t="shared" si="528"/>
        <v>0.25843943536893704</v>
      </c>
      <c r="BG190" s="528">
        <f t="shared" si="529"/>
        <v>2.6703156049157229E-2</v>
      </c>
      <c r="BH190" s="528">
        <f t="shared" si="484"/>
        <v>7.9155768063362882E-3</v>
      </c>
      <c r="BI190">
        <f t="shared" si="485"/>
        <v>4.4317844303046134E-3</v>
      </c>
      <c r="BJ190" s="460">
        <f t="shared" si="600"/>
        <v>31.134940479461843</v>
      </c>
      <c r="BK190">
        <f t="shared" si="530"/>
        <v>0.39136257054618651</v>
      </c>
      <c r="BL190" s="460">
        <f t="shared" si="601"/>
        <v>389.20578698113309</v>
      </c>
      <c r="BM190" s="173">
        <f t="shared" si="531"/>
        <v>0.49699999999999994</v>
      </c>
      <c r="BN190" s="173">
        <f t="shared" si="532"/>
        <v>0.12424999999999999</v>
      </c>
      <c r="BO190" s="528"/>
      <c r="BQ190" s="460">
        <f t="shared" si="486"/>
        <v>621.25</v>
      </c>
      <c r="BR190" s="528">
        <f t="shared" si="487"/>
        <v>0.13757375148959677</v>
      </c>
      <c r="BS190" s="528">
        <f t="shared" si="488"/>
        <v>8.3723481758096741E-2</v>
      </c>
      <c r="BT190" s="528">
        <f t="shared" si="489"/>
        <v>8.3989055029463065E-4</v>
      </c>
      <c r="BU190" s="528">
        <f t="shared" si="490"/>
        <v>0.29398905562912603</v>
      </c>
      <c r="BV190" s="528"/>
      <c r="BW190" s="625">
        <f t="shared" si="533"/>
        <v>1.2000586177041016E-2</v>
      </c>
      <c r="BX190" s="460">
        <f t="shared" si="491"/>
        <v>528.12676560415514</v>
      </c>
      <c r="BY190" s="173">
        <f t="shared" si="492"/>
        <v>1.5385825525852881</v>
      </c>
      <c r="BZ190" s="5">
        <f t="shared" si="493"/>
        <v>14.719999999999999</v>
      </c>
      <c r="CA190" s="173">
        <f t="shared" si="494"/>
        <v>0.90536797733695185</v>
      </c>
      <c r="CB190" s="5">
        <f t="shared" si="495"/>
        <v>90.536797733695181</v>
      </c>
      <c r="CC190">
        <f t="shared" si="496"/>
        <v>80</v>
      </c>
      <c r="CE190" s="562">
        <f t="shared" si="534"/>
        <v>-50</v>
      </c>
      <c r="CF190">
        <f t="shared" si="535"/>
        <v>-50</v>
      </c>
      <c r="CG190" s="173">
        <f t="shared" si="536"/>
        <v>0.35771495841706197</v>
      </c>
      <c r="CH190" s="173">
        <f t="shared" si="537"/>
        <v>0.12498995131688433</v>
      </c>
      <c r="CI190" s="170">
        <v>80</v>
      </c>
      <c r="CJ190" s="217">
        <f t="shared" si="602"/>
        <v>0.8</v>
      </c>
      <c r="CK190" s="217">
        <f t="shared" si="538"/>
        <v>0.2</v>
      </c>
      <c r="CL190" s="217">
        <f t="shared" si="539"/>
        <v>13.12</v>
      </c>
      <c r="CM190" s="217">
        <f t="shared" si="540"/>
        <v>1.6</v>
      </c>
      <c r="CN190" s="541">
        <f t="shared" si="541"/>
        <v>10</v>
      </c>
      <c r="CO190" s="443">
        <f t="shared" si="542"/>
        <v>17.099999999999998</v>
      </c>
      <c r="CP190" s="443">
        <f t="shared" si="543"/>
        <v>27.099999999999998</v>
      </c>
      <c r="CQ190" s="443"/>
      <c r="CR190" s="217">
        <f t="shared" si="544"/>
        <v>0.62686567164179097</v>
      </c>
      <c r="CS190" s="172">
        <f t="shared" si="545"/>
        <v>18.624269954574949</v>
      </c>
      <c r="CT190" s="172">
        <f t="shared" si="546"/>
        <v>2.5482344375682562</v>
      </c>
      <c r="CU190" s="217">
        <f t="shared" si="547"/>
        <v>1.135626216742375</v>
      </c>
      <c r="CV190" s="217">
        <f t="shared" si="548"/>
        <v>2.3280337443218686</v>
      </c>
      <c r="CW190" s="217">
        <f t="shared" si="549"/>
        <v>16.399999999999999</v>
      </c>
      <c r="CX190" s="217">
        <f t="shared" si="550"/>
        <v>4.6963809523809523</v>
      </c>
      <c r="CY190" s="217">
        <f t="shared" si="551"/>
        <v>5.6356571428571431</v>
      </c>
      <c r="CZ190" s="217">
        <f t="shared" si="552"/>
        <v>3.2957059314954056</v>
      </c>
      <c r="DA190" s="197">
        <f t="shared" si="553"/>
        <v>350</v>
      </c>
      <c r="DB190" s="443">
        <f t="shared" si="554"/>
        <v>111.96499254090529</v>
      </c>
      <c r="DD190" s="217">
        <f t="shared" si="555"/>
        <v>1.5023721665788083</v>
      </c>
      <c r="DE190" s="173">
        <f t="shared" si="556"/>
        <v>1.0542962572482866</v>
      </c>
      <c r="DF190" s="173">
        <f t="shared" si="557"/>
        <v>0.24706104135140031</v>
      </c>
      <c r="DG190" s="173"/>
      <c r="DH190" s="173">
        <f t="shared" si="558"/>
        <v>0.93567251461988332</v>
      </c>
      <c r="DI190" s="545">
        <f t="shared" si="559"/>
        <v>1282.4999999999995</v>
      </c>
      <c r="DJ190" s="528">
        <f t="shared" si="560"/>
        <v>0.21832358674463945</v>
      </c>
      <c r="DL190" s="173">
        <f t="shared" si="561"/>
        <v>2.6475505301171891</v>
      </c>
      <c r="DM190" s="173">
        <f t="shared" si="562"/>
        <v>4.6963809523809523</v>
      </c>
      <c r="DN190" s="173">
        <f t="shared" si="563"/>
        <v>3.6911463844797181</v>
      </c>
      <c r="DP190" s="545">
        <f t="shared" si="564"/>
        <v>800</v>
      </c>
      <c r="DQ190" s="460">
        <f t="shared" si="565"/>
        <v>111.96499254090529</v>
      </c>
      <c r="DS190">
        <f t="shared" si="566"/>
        <v>800</v>
      </c>
      <c r="DT190">
        <f t="shared" si="567"/>
        <v>111.96499254090529</v>
      </c>
      <c r="DV190" s="5">
        <f t="shared" si="568"/>
        <v>8.9313630743525483</v>
      </c>
      <c r="DW190" s="5">
        <f t="shared" si="569"/>
        <v>5.6356571428571431</v>
      </c>
      <c r="DX190" s="5">
        <f t="shared" si="570"/>
        <v>3.2957059314954051</v>
      </c>
      <c r="DY190" s="173">
        <f t="shared" si="571"/>
        <v>0.63099630996309963</v>
      </c>
      <c r="EA190" s="5">
        <f t="shared" si="572"/>
        <v>27.491010452961678</v>
      </c>
      <c r="EB190" s="5">
        <f t="shared" si="573"/>
        <v>14.089142857142859</v>
      </c>
      <c r="EC190" s="5">
        <f t="shared" si="574"/>
        <v>3.6033051517683088</v>
      </c>
      <c r="ED190" s="5"/>
      <c r="EE190" s="173">
        <f t="shared" si="575"/>
        <v>2.1538532028318103</v>
      </c>
      <c r="EF190" s="173">
        <f t="shared" si="576"/>
        <v>1.6470927105903987</v>
      </c>
      <c r="EG190" s="173">
        <f t="shared" si="577"/>
        <v>0.40409304664412932</v>
      </c>
      <c r="EH190" s="173"/>
      <c r="EI190" s="528">
        <f t="shared" si="578"/>
        <v>9.2781672386976946E-2</v>
      </c>
      <c r="EJ190" s="528">
        <f t="shared" si="579"/>
        <v>0.28499999999999998</v>
      </c>
      <c r="EK190" s="528">
        <f t="shared" si="580"/>
        <v>1.3995624067613162E-2</v>
      </c>
      <c r="EL190" s="528">
        <f t="shared" si="581"/>
        <v>8.2228210171966225E-3</v>
      </c>
      <c r="EM190">
        <f t="shared" si="582"/>
        <v>4.4999999999999997E-3</v>
      </c>
      <c r="EN190" s="460">
        <f t="shared" si="583"/>
        <v>18.495624067613161</v>
      </c>
      <c r="EP190" s="460">
        <f t="shared" si="603"/>
        <v>404.50011747178672</v>
      </c>
      <c r="EQ190" s="173">
        <f t="shared" si="584"/>
        <v>0.55999999999999994</v>
      </c>
      <c r="ER190" s="173">
        <f t="shared" si="585"/>
        <v>8.8749999999999996E-2</v>
      </c>
      <c r="ES190" s="528"/>
      <c r="EU190" s="460">
        <f t="shared" si="497"/>
        <v>648.74999999999989</v>
      </c>
      <c r="EV190" s="528">
        <f t="shared" si="586"/>
        <v>0.1391725085804654</v>
      </c>
      <c r="EW190" s="528">
        <f t="shared" si="587"/>
        <v>8.138743191840081E-2</v>
      </c>
      <c r="EX190" s="528">
        <f t="shared" si="588"/>
        <v>8.1645595173067246E-4</v>
      </c>
      <c r="EY190" s="528">
        <f t="shared" si="589"/>
        <v>0.31701801185397344</v>
      </c>
      <c r="EZ190" s="528"/>
      <c r="FA190" s="625">
        <f t="shared" si="590"/>
        <v>1.2347496046389036E-2</v>
      </c>
      <c r="FB190" s="460">
        <f t="shared" si="498"/>
        <v>550.74190435095943</v>
      </c>
      <c r="FC190" s="173">
        <f t="shared" si="591"/>
        <v>1.6039920218227459</v>
      </c>
      <c r="FD190" s="5">
        <f t="shared" si="592"/>
        <v>14.719999999999999</v>
      </c>
      <c r="FE190" s="173">
        <f t="shared" si="593"/>
        <v>0.90174021038000718</v>
      </c>
      <c r="FF190" s="5">
        <f t="shared" si="594"/>
        <v>90.174021038000717</v>
      </c>
      <c r="FG190">
        <f t="shared" si="595"/>
        <v>80</v>
      </c>
      <c r="FI190" s="562">
        <f t="shared" si="596"/>
        <v>-50</v>
      </c>
      <c r="FJ190">
        <f t="shared" si="597"/>
        <v>-50</v>
      </c>
    </row>
    <row r="191" spans="5:166">
      <c r="E191" s="170">
        <v>81</v>
      </c>
      <c r="F191" s="217">
        <f t="shared" si="598"/>
        <v>0.81</v>
      </c>
      <c r="G191" s="217">
        <f t="shared" si="499"/>
        <v>0.20250000000000001</v>
      </c>
      <c r="H191" s="217">
        <f t="shared" si="500"/>
        <v>13.283999999999999</v>
      </c>
      <c r="I191" s="217">
        <f t="shared" si="501"/>
        <v>1.62</v>
      </c>
      <c r="J191" s="541">
        <f t="shared" si="502"/>
        <v>9.8465149681853816</v>
      </c>
      <c r="K191" s="443">
        <f t="shared" si="503"/>
        <v>17.167931182155563</v>
      </c>
      <c r="L191" s="172">
        <f t="shared" si="504"/>
        <v>27.014446150340945</v>
      </c>
      <c r="M191" s="443"/>
      <c r="N191" s="217">
        <f t="shared" si="505"/>
        <v>0.63550927850278693</v>
      </c>
      <c r="O191" s="172">
        <f t="shared" si="506"/>
        <v>18.591276561676359</v>
      </c>
      <c r="P191" s="172">
        <f t="shared" si="507"/>
        <v>2.5437201720318638</v>
      </c>
      <c r="Q191" s="217">
        <f t="shared" si="508"/>
        <v>1.1336144244924611</v>
      </c>
      <c r="R191" s="217">
        <f t="shared" si="509"/>
        <v>2.3239095702095449</v>
      </c>
      <c r="S191" s="217">
        <f t="shared" si="510"/>
        <v>16.399999999999999</v>
      </c>
      <c r="T191" s="217">
        <f t="shared" si="511"/>
        <v>4.7635244253509521</v>
      </c>
      <c r="U191" s="217">
        <f t="shared" si="512"/>
        <v>5.8053324743735084</v>
      </c>
      <c r="V191" s="217">
        <f t="shared" si="513"/>
        <v>3.3295970549804048</v>
      </c>
      <c r="W191" s="197">
        <f t="shared" si="514"/>
        <v>350</v>
      </c>
      <c r="X191" s="443">
        <f t="shared" si="599"/>
        <v>107.12453659724756</v>
      </c>
      <c r="Z191" s="217">
        <f t="shared" si="515"/>
        <v>1.4898932436186627</v>
      </c>
      <c r="AA191" s="173">
        <f t="shared" si="516"/>
        <v>1.041402061420609</v>
      </c>
      <c r="AB191" s="173">
        <f t="shared" si="517"/>
        <v>0.24201242169713014</v>
      </c>
      <c r="AC191" s="173"/>
      <c r="AD191" s="173">
        <f t="shared" si="518"/>
        <v>0.93197018500577911</v>
      </c>
      <c r="AE191" s="545">
        <f t="shared" si="519"/>
        <v>1303.6897741449377</v>
      </c>
      <c r="AF191" s="528">
        <f t="shared" si="520"/>
        <v>0.2174597098346818</v>
      </c>
      <c r="AH191" s="173">
        <f t="shared" si="521"/>
        <v>2.6640463316434375</v>
      </c>
      <c r="AI191" s="173">
        <f t="shared" si="522"/>
        <v>4.7635244253509521</v>
      </c>
      <c r="AJ191" s="173">
        <f t="shared" si="523"/>
        <v>3.7408822903834213</v>
      </c>
      <c r="AL191" s="545">
        <f t="shared" si="524"/>
        <v>810</v>
      </c>
      <c r="AM191" s="460">
        <f t="shared" si="525"/>
        <v>107.12453659724756</v>
      </c>
      <c r="AO191">
        <f t="shared" si="526"/>
        <v>810</v>
      </c>
      <c r="AP191">
        <f t="shared" si="527"/>
        <v>107.12453659724756</v>
      </c>
      <c r="AR191" s="5">
        <f t="shared" si="443"/>
        <v>9.3349295293539125</v>
      </c>
      <c r="AS191" s="5">
        <f t="shared" si="604"/>
        <v>5.8053324743735084</v>
      </c>
      <c r="AT191" s="5">
        <f t="shared" si="605"/>
        <v>3.5295970549804041</v>
      </c>
      <c r="AU191" s="173">
        <f t="shared" si="606"/>
        <v>0.62189355111021449</v>
      </c>
      <c r="AW191" s="5">
        <f t="shared" si="477"/>
        <v>28.672678684405749</v>
      </c>
      <c r="AX191" s="5">
        <f t="shared" si="478"/>
        <v>14.694747825757945</v>
      </c>
      <c r="AY191" s="5">
        <f t="shared" si="479"/>
        <v>3.9681694005319508</v>
      </c>
      <c r="AZ191" s="5"/>
      <c r="BA191" s="173">
        <f t="shared" si="480"/>
        <v>2.1688314173115009</v>
      </c>
      <c r="BB191" s="173">
        <f t="shared" si="481"/>
        <v>1.6911215017223413</v>
      </c>
      <c r="BC191" s="173">
        <f t="shared" si="482"/>
        <v>0.41489494518582537</v>
      </c>
      <c r="BD191" s="173"/>
      <c r="BE191" s="528">
        <f t="shared" si="483"/>
        <v>9.4076594334348271E-2</v>
      </c>
      <c r="BF191" s="528">
        <f t="shared" si="528"/>
        <v>0.25847270794163574</v>
      </c>
      <c r="BG191" s="528">
        <f t="shared" si="529"/>
        <v>2.637008382661802E-2</v>
      </c>
      <c r="BH191" s="528">
        <f t="shared" si="484"/>
        <v>7.8177376542035906E-3</v>
      </c>
      <c r="BI191">
        <f t="shared" si="485"/>
        <v>4.4309317356834212E-3</v>
      </c>
      <c r="BJ191" s="460">
        <f t="shared" si="600"/>
        <v>30.801015562301444</v>
      </c>
      <c r="BK191">
        <f t="shared" si="530"/>
        <v>0.39458778280637558</v>
      </c>
      <c r="BL191" s="460">
        <f t="shared" si="601"/>
        <v>391.16805549248909</v>
      </c>
      <c r="BM191" s="173">
        <f t="shared" si="531"/>
        <v>0.50321249999999995</v>
      </c>
      <c r="BN191" s="173">
        <f t="shared" si="532"/>
        <v>0.12580312499999999</v>
      </c>
      <c r="BO191" s="528"/>
      <c r="BQ191" s="460">
        <f t="shared" si="486"/>
        <v>629.015625</v>
      </c>
      <c r="BR191" s="528">
        <f t="shared" si="487"/>
        <v>0.1411148915015224</v>
      </c>
      <c r="BS191" s="528">
        <f t="shared" si="488"/>
        <v>8.5796758007628801E-2</v>
      </c>
      <c r="BT191" s="528">
        <f t="shared" si="489"/>
        <v>8.6068907770374512E-4</v>
      </c>
      <c r="BU191" s="528">
        <f t="shared" si="490"/>
        <v>0.29411243452729718</v>
      </c>
      <c r="BV191" s="528"/>
      <c r="BW191" s="625">
        <f t="shared" si="533"/>
        <v>1.2153902651092438E-2</v>
      </c>
      <c r="BX191" s="460">
        <f t="shared" si="491"/>
        <v>534.03867576524453</v>
      </c>
      <c r="BY191" s="173">
        <f t="shared" si="492"/>
        <v>1.5542223562577335</v>
      </c>
      <c r="BZ191" s="5">
        <f t="shared" si="493"/>
        <v>14.904</v>
      </c>
      <c r="CA191" s="173">
        <f t="shared" si="494"/>
        <v>0.90556559981906026</v>
      </c>
      <c r="CB191" s="5">
        <f t="shared" si="495"/>
        <v>90.55655998190602</v>
      </c>
      <c r="CC191">
        <f t="shared" si="496"/>
        <v>81</v>
      </c>
      <c r="CE191" s="562">
        <f t="shared" si="534"/>
        <v>-50</v>
      </c>
      <c r="CF191">
        <f t="shared" si="535"/>
        <v>-50</v>
      </c>
      <c r="CG191" s="173">
        <f t="shared" si="536"/>
        <v>0.35771495841706197</v>
      </c>
      <c r="CH191" s="173">
        <f t="shared" si="537"/>
        <v>0.12498995131688433</v>
      </c>
      <c r="CI191" s="170">
        <v>81</v>
      </c>
      <c r="CJ191" s="217">
        <f t="shared" si="602"/>
        <v>0.81</v>
      </c>
      <c r="CK191" s="217">
        <f t="shared" si="538"/>
        <v>0.20250000000000001</v>
      </c>
      <c r="CL191" s="217">
        <f t="shared" si="539"/>
        <v>13.283999999999999</v>
      </c>
      <c r="CM191" s="217">
        <f t="shared" si="540"/>
        <v>1.62</v>
      </c>
      <c r="CN191" s="541">
        <f t="shared" si="541"/>
        <v>10</v>
      </c>
      <c r="CO191" s="443">
        <f t="shared" si="542"/>
        <v>17.099999999999998</v>
      </c>
      <c r="CP191" s="443">
        <f t="shared" si="543"/>
        <v>27.099999999999998</v>
      </c>
      <c r="CQ191" s="443"/>
      <c r="CR191" s="217">
        <f t="shared" si="544"/>
        <v>0.62686567164179097</v>
      </c>
      <c r="CS191" s="172">
        <f t="shared" si="545"/>
        <v>18.624269954574949</v>
      </c>
      <c r="CT191" s="172">
        <f t="shared" si="546"/>
        <v>2.5482344375682562</v>
      </c>
      <c r="CU191" s="217">
        <f t="shared" si="547"/>
        <v>1.135626216742375</v>
      </c>
      <c r="CV191" s="217">
        <f t="shared" si="548"/>
        <v>2.3280337443218686</v>
      </c>
      <c r="CW191" s="217">
        <f t="shared" si="549"/>
        <v>16.399999999999999</v>
      </c>
      <c r="CX191" s="217">
        <f t="shared" si="550"/>
        <v>4.7550857142857144</v>
      </c>
      <c r="CY191" s="217">
        <f t="shared" si="551"/>
        <v>5.7061028571428576</v>
      </c>
      <c r="CZ191" s="217">
        <f t="shared" si="552"/>
        <v>3.3369022556390986</v>
      </c>
      <c r="DA191" s="197">
        <f t="shared" si="553"/>
        <v>350</v>
      </c>
      <c r="DB191" s="443">
        <f t="shared" si="554"/>
        <v>110.58270868237558</v>
      </c>
      <c r="DD191" s="217">
        <f t="shared" si="555"/>
        <v>1.5023721665788083</v>
      </c>
      <c r="DE191" s="173">
        <f t="shared" si="556"/>
        <v>1.0542962572482866</v>
      </c>
      <c r="DF191" s="173">
        <f t="shared" si="557"/>
        <v>0.24706104135140031</v>
      </c>
      <c r="DG191" s="173"/>
      <c r="DH191" s="173">
        <f t="shared" si="558"/>
        <v>0.93567251461988332</v>
      </c>
      <c r="DI191" s="545">
        <f t="shared" si="559"/>
        <v>1298.5312499999995</v>
      </c>
      <c r="DJ191" s="528">
        <f t="shared" si="560"/>
        <v>0.21832358674463945</v>
      </c>
      <c r="DL191" s="173">
        <f t="shared" si="561"/>
        <v>2.6640463316434375</v>
      </c>
      <c r="DM191" s="173">
        <f t="shared" si="562"/>
        <v>4.7550857142857144</v>
      </c>
      <c r="DN191" s="173">
        <f t="shared" si="563"/>
        <v>3.7346313932980602</v>
      </c>
      <c r="DP191" s="545">
        <f t="shared" si="564"/>
        <v>810</v>
      </c>
      <c r="DQ191" s="460">
        <f t="shared" si="565"/>
        <v>110.58270868237558</v>
      </c>
      <c r="DS191">
        <f t="shared" si="566"/>
        <v>810</v>
      </c>
      <c r="DT191">
        <f t="shared" si="567"/>
        <v>110.58270868237558</v>
      </c>
      <c r="DV191" s="5">
        <f t="shared" si="568"/>
        <v>9.0430051127819553</v>
      </c>
      <c r="DW191" s="5">
        <f t="shared" si="569"/>
        <v>5.7061028571428576</v>
      </c>
      <c r="DX191" s="5">
        <f t="shared" si="570"/>
        <v>3.3369022556390977</v>
      </c>
      <c r="DY191" s="173">
        <f t="shared" si="571"/>
        <v>0.63099630996309963</v>
      </c>
      <c r="EA191" s="5">
        <f t="shared" si="572"/>
        <v>28.182581184668997</v>
      </c>
      <c r="EB191" s="5">
        <f t="shared" si="573"/>
        <v>14.443572857142858</v>
      </c>
      <c r="EC191" s="5">
        <f t="shared" si="574"/>
        <v>3.6939507969924801</v>
      </c>
      <c r="ED191" s="5"/>
      <c r="EE191" s="173">
        <f t="shared" si="575"/>
        <v>2.1807763678672076</v>
      </c>
      <c r="EF191" s="173">
        <f t="shared" si="576"/>
        <v>1.6676813694727788</v>
      </c>
      <c r="EG191" s="173">
        <f t="shared" si="577"/>
        <v>0.40914420972718096</v>
      </c>
      <c r="EH191" s="173"/>
      <c r="EI191" s="528">
        <f t="shared" si="578"/>
        <v>9.5115711332961816E-2</v>
      </c>
      <c r="EJ191" s="528">
        <f t="shared" si="579"/>
        <v>0.28499999999999992</v>
      </c>
      <c r="EK191" s="528">
        <f t="shared" si="580"/>
        <v>1.3822838585296947E-2</v>
      </c>
      <c r="EL191" s="528">
        <f t="shared" si="581"/>
        <v>8.1213047083423442E-3</v>
      </c>
      <c r="EM191">
        <f t="shared" si="582"/>
        <v>4.4999999999999997E-3</v>
      </c>
      <c r="EN191" s="460">
        <f t="shared" si="583"/>
        <v>18.322838585296946</v>
      </c>
      <c r="EP191" s="460">
        <f t="shared" si="603"/>
        <v>406.55985462660101</v>
      </c>
      <c r="EQ191" s="173">
        <f t="shared" si="584"/>
        <v>0.56699999999999995</v>
      </c>
      <c r="ER191" s="173">
        <f t="shared" si="585"/>
        <v>8.9859375000000005E-2</v>
      </c>
      <c r="ES191" s="528"/>
      <c r="EU191" s="460">
        <f t="shared" si="497"/>
        <v>656.85937499999989</v>
      </c>
      <c r="EV191" s="528">
        <f t="shared" si="586"/>
        <v>0.14267356699944272</v>
      </c>
      <c r="EW191" s="528">
        <f t="shared" si="587"/>
        <v>8.3434834502598074E-2</v>
      </c>
      <c r="EX191" s="528">
        <f t="shared" si="588"/>
        <v>8.3699492176639724E-4</v>
      </c>
      <c r="EY191" s="528">
        <f t="shared" si="589"/>
        <v>0.31701801185397388</v>
      </c>
      <c r="EZ191" s="528"/>
      <c r="FA191" s="625">
        <f t="shared" si="590"/>
        <v>1.2501839746968897E-2</v>
      </c>
      <c r="FB191" s="460">
        <f t="shared" si="498"/>
        <v>556.46524802475005</v>
      </c>
      <c r="FC191" s="173">
        <f t="shared" si="591"/>
        <v>1.619884477651351</v>
      </c>
      <c r="FD191" s="5">
        <f t="shared" si="592"/>
        <v>14.904</v>
      </c>
      <c r="FE191" s="173">
        <f t="shared" si="593"/>
        <v>0.9019670901329373</v>
      </c>
      <c r="FF191" s="5">
        <f t="shared" si="594"/>
        <v>90.196709013293727</v>
      </c>
      <c r="FG191">
        <f t="shared" si="595"/>
        <v>81</v>
      </c>
      <c r="FI191" s="562">
        <f t="shared" si="596"/>
        <v>-50</v>
      </c>
      <c r="FJ191">
        <f t="shared" si="597"/>
        <v>-50</v>
      </c>
    </row>
    <row r="192" spans="5:166">
      <c r="E192" s="170">
        <v>82</v>
      </c>
      <c r="F192" s="217">
        <f t="shared" si="598"/>
        <v>0.82</v>
      </c>
      <c r="G192" s="217">
        <f t="shared" si="499"/>
        <v>0.20499999999999999</v>
      </c>
      <c r="H192" s="217">
        <f t="shared" si="500"/>
        <v>13.447999999999999</v>
      </c>
      <c r="I192" s="217">
        <f t="shared" si="501"/>
        <v>1.64</v>
      </c>
      <c r="J192" s="541">
        <f t="shared" si="502"/>
        <v>9.8446200912493982</v>
      </c>
      <c r="K192" s="443">
        <f t="shared" si="503"/>
        <v>17.168769838725385</v>
      </c>
      <c r="L192" s="172">
        <f t="shared" si="504"/>
        <v>27.013389929974785</v>
      </c>
      <c r="M192" s="443"/>
      <c r="N192" s="217">
        <f t="shared" si="505"/>
        <v>0.63556517279878511</v>
      </c>
      <c r="O192" s="172">
        <f t="shared" si="506"/>
        <v>18.589333655562751</v>
      </c>
      <c r="P192" s="172">
        <f t="shared" si="507"/>
        <v>2.5434543371680149</v>
      </c>
      <c r="Q192" s="217">
        <f t="shared" si="508"/>
        <v>1.133495954607485</v>
      </c>
      <c r="R192" s="217">
        <f t="shared" si="509"/>
        <v>2.3236667069453438</v>
      </c>
      <c r="S192" s="217">
        <f t="shared" si="510"/>
        <v>16.399999999999999</v>
      </c>
      <c r="T192" s="217">
        <f t="shared" si="511"/>
        <v>4.8228373859170093</v>
      </c>
      <c r="U192" s="217">
        <f t="shared" si="512"/>
        <v>5.878748808442765</v>
      </c>
      <c r="V192" s="217">
        <f t="shared" si="513"/>
        <v>3.3708908194729865</v>
      </c>
      <c r="W192" s="197">
        <f t="shared" si="514"/>
        <v>350</v>
      </c>
      <c r="X192" s="443">
        <f t="shared" si="599"/>
        <v>105.8241413826872</v>
      </c>
      <c r="Z192" s="217">
        <f t="shared" si="515"/>
        <v>1.4897375403412656</v>
      </c>
      <c r="AA192" s="173">
        <f t="shared" si="516"/>
        <v>1.0412423634320425</v>
      </c>
      <c r="AB192" s="173">
        <f t="shared" si="517"/>
        <v>0.24195002137681207</v>
      </c>
      <c r="AC192" s="173"/>
      <c r="AD192" s="173">
        <f t="shared" si="518"/>
        <v>0.93192466031613175</v>
      </c>
      <c r="AE192" s="545">
        <f t="shared" si="519"/>
        <v>1319.8491813520136</v>
      </c>
      <c r="AF192" s="528">
        <f t="shared" si="520"/>
        <v>0.21744908740709742</v>
      </c>
      <c r="AH192" s="173">
        <f t="shared" si="521"/>
        <v>2.6804406176526099</v>
      </c>
      <c r="AI192" s="173">
        <f t="shared" si="522"/>
        <v>4.8228373859170093</v>
      </c>
      <c r="AJ192" s="173">
        <f t="shared" si="523"/>
        <v>3.7848178167286486</v>
      </c>
      <c r="AL192" s="545">
        <f t="shared" si="524"/>
        <v>820</v>
      </c>
      <c r="AM192" s="460">
        <f t="shared" si="525"/>
        <v>105.8241413826872</v>
      </c>
      <c r="AO192">
        <f t="shared" si="526"/>
        <v>820</v>
      </c>
      <c r="AP192">
        <f t="shared" si="527"/>
        <v>105.8241413826872</v>
      </c>
      <c r="AR192" s="5">
        <f t="shared" si="443"/>
        <v>9.4496396279157491</v>
      </c>
      <c r="AS192" s="5">
        <f t="shared" si="604"/>
        <v>5.878748808442765</v>
      </c>
      <c r="AT192" s="5">
        <f t="shared" si="605"/>
        <v>3.570890819472984</v>
      </c>
      <c r="AU192" s="173">
        <f t="shared" si="606"/>
        <v>0.62211354505795113</v>
      </c>
      <c r="AW192" s="5">
        <f t="shared" si="477"/>
        <v>29.393744042213825</v>
      </c>
      <c r="AX192" s="5">
        <f t="shared" si="478"/>
        <v>15.064293821634582</v>
      </c>
      <c r="AY192" s="5">
        <f t="shared" si="479"/>
        <v>4.0649393014631983</v>
      </c>
      <c r="AZ192" s="5"/>
      <c r="BA192" s="173">
        <f t="shared" si="480"/>
        <v>2.196224945322435</v>
      </c>
      <c r="BB192" s="173">
        <f t="shared" si="481"/>
        <v>1.711680306952714</v>
      </c>
      <c r="BC192" s="173">
        <f t="shared" si="482"/>
        <v>0.41993878405870028</v>
      </c>
      <c r="BD192" s="173"/>
      <c r="BE192" s="528">
        <f t="shared" si="483"/>
        <v>9.6468080209130655E-2</v>
      </c>
      <c r="BF192" s="528">
        <f t="shared" si="528"/>
        <v>0.25850427636235912</v>
      </c>
      <c r="BG192" s="528">
        <f t="shared" si="529"/>
        <v>2.6044961709880479E-2</v>
      </c>
      <c r="BH192" s="528">
        <f t="shared" si="484"/>
        <v>7.7222334844721892E-3</v>
      </c>
      <c r="BI192">
        <f t="shared" si="485"/>
        <v>4.4300790410622291E-3</v>
      </c>
      <c r="BJ192" s="460">
        <f t="shared" si="600"/>
        <v>30.475040750942711</v>
      </c>
      <c r="BK192">
        <f t="shared" si="530"/>
        <v>0.39786025331577174</v>
      </c>
      <c r="BL192" s="460">
        <f t="shared" si="601"/>
        <v>393.16963080690471</v>
      </c>
      <c r="BM192" s="173">
        <f t="shared" si="531"/>
        <v>0.50942499999999991</v>
      </c>
      <c r="BN192" s="173">
        <f t="shared" si="532"/>
        <v>0.12735624999999998</v>
      </c>
      <c r="BO192" s="528"/>
      <c r="BQ192" s="460">
        <f t="shared" si="486"/>
        <v>636.78124999999989</v>
      </c>
      <c r="BR192" s="528">
        <f t="shared" si="487"/>
        <v>0.14470212031369598</v>
      </c>
      <c r="BS192" s="528">
        <f t="shared" si="488"/>
        <v>8.7895484196292104E-2</v>
      </c>
      <c r="BT192" s="528">
        <f t="shared" si="489"/>
        <v>8.8174291178349856E-4</v>
      </c>
      <c r="BU192" s="528">
        <f t="shared" si="490"/>
        <v>0.29423100492716692</v>
      </c>
      <c r="BV192" s="528"/>
      <c r="BW192" s="625">
        <f t="shared" si="533"/>
        <v>1.2307220892469673E-2</v>
      </c>
      <c r="BX192" s="460">
        <f t="shared" si="491"/>
        <v>540.01757324140817</v>
      </c>
      <c r="BY192" s="173">
        <f t="shared" si="492"/>
        <v>1.5699684540483128</v>
      </c>
      <c r="BZ192" s="5">
        <f t="shared" si="493"/>
        <v>15.087999999999999</v>
      </c>
      <c r="CA192" s="173">
        <f t="shared" si="494"/>
        <v>0.90575270577686973</v>
      </c>
      <c r="CB192" s="5">
        <f t="shared" si="495"/>
        <v>90.575270577686979</v>
      </c>
      <c r="CC192">
        <f t="shared" si="496"/>
        <v>82</v>
      </c>
      <c r="CE192" s="562">
        <f t="shared" si="534"/>
        <v>-50</v>
      </c>
      <c r="CF192">
        <f t="shared" si="535"/>
        <v>-50</v>
      </c>
      <c r="CG192" s="173">
        <f t="shared" si="536"/>
        <v>0.35771495841706197</v>
      </c>
      <c r="CH192" s="173">
        <f t="shared" si="537"/>
        <v>0.12498995131688433</v>
      </c>
      <c r="CI192" s="170">
        <v>82</v>
      </c>
      <c r="CJ192" s="217">
        <f t="shared" si="602"/>
        <v>0.82</v>
      </c>
      <c r="CK192" s="217">
        <f t="shared" si="538"/>
        <v>0.20499999999999999</v>
      </c>
      <c r="CL192" s="217">
        <f t="shared" si="539"/>
        <v>13.447999999999999</v>
      </c>
      <c r="CM192" s="217">
        <f t="shared" si="540"/>
        <v>1.64</v>
      </c>
      <c r="CN192" s="541">
        <f t="shared" si="541"/>
        <v>10</v>
      </c>
      <c r="CO192" s="443">
        <f t="shared" si="542"/>
        <v>17.099999999999998</v>
      </c>
      <c r="CP192" s="443">
        <f t="shared" si="543"/>
        <v>27.099999999999998</v>
      </c>
      <c r="CQ192" s="443"/>
      <c r="CR192" s="217">
        <f t="shared" si="544"/>
        <v>0.62686567164179097</v>
      </c>
      <c r="CS192" s="172">
        <f t="shared" si="545"/>
        <v>18.624269954574949</v>
      </c>
      <c r="CT192" s="172">
        <f t="shared" si="546"/>
        <v>2.5482344375682562</v>
      </c>
      <c r="CU192" s="217">
        <f t="shared" si="547"/>
        <v>1.135626216742375</v>
      </c>
      <c r="CV192" s="217">
        <f t="shared" si="548"/>
        <v>2.3280337443218686</v>
      </c>
      <c r="CW192" s="217">
        <f t="shared" si="549"/>
        <v>16.399999999999999</v>
      </c>
      <c r="CX192" s="217">
        <f t="shared" si="550"/>
        <v>4.8137904761904764</v>
      </c>
      <c r="CY192" s="217">
        <f t="shared" si="551"/>
        <v>5.776548571428572</v>
      </c>
      <c r="CZ192" s="217">
        <f t="shared" si="552"/>
        <v>3.3780985797827907</v>
      </c>
      <c r="DA192" s="197">
        <f t="shared" si="553"/>
        <v>350</v>
      </c>
      <c r="DB192" s="443">
        <f t="shared" si="554"/>
        <v>109.23413906429784</v>
      </c>
      <c r="DD192" s="217">
        <f t="shared" si="555"/>
        <v>1.5023721665788083</v>
      </c>
      <c r="DE192" s="173">
        <f t="shared" si="556"/>
        <v>1.0542962572482866</v>
      </c>
      <c r="DF192" s="173">
        <f t="shared" si="557"/>
        <v>0.24706104135140031</v>
      </c>
      <c r="DG192" s="173"/>
      <c r="DH192" s="173">
        <f t="shared" si="558"/>
        <v>0.93567251461988332</v>
      </c>
      <c r="DI192" s="545">
        <f t="shared" si="559"/>
        <v>1314.5624999999993</v>
      </c>
      <c r="DJ192" s="528">
        <f t="shared" si="560"/>
        <v>0.21832358674463945</v>
      </c>
      <c r="DL192" s="173">
        <f t="shared" si="561"/>
        <v>2.6804406176526099</v>
      </c>
      <c r="DM192" s="173">
        <f t="shared" si="562"/>
        <v>4.8137904761904764</v>
      </c>
      <c r="DN192" s="173">
        <f t="shared" si="563"/>
        <v>3.7781164021164022</v>
      </c>
      <c r="DP192" s="545">
        <f t="shared" si="564"/>
        <v>820</v>
      </c>
      <c r="DQ192" s="460">
        <f t="shared" si="565"/>
        <v>109.23413906429784</v>
      </c>
      <c r="DS192">
        <f t="shared" si="566"/>
        <v>820</v>
      </c>
      <c r="DT192">
        <f t="shared" si="567"/>
        <v>109.23413906429784</v>
      </c>
      <c r="DV192" s="5">
        <f t="shared" si="568"/>
        <v>9.1546471512113623</v>
      </c>
      <c r="DW192" s="5">
        <f t="shared" si="569"/>
        <v>5.776548571428572</v>
      </c>
      <c r="DX192" s="5">
        <f t="shared" si="570"/>
        <v>3.3780985797827903</v>
      </c>
      <c r="DY192" s="173">
        <f t="shared" si="571"/>
        <v>0.63099630996309963</v>
      </c>
      <c r="EA192" s="5">
        <f t="shared" si="572"/>
        <v>28.882742857142865</v>
      </c>
      <c r="EB192" s="5">
        <f t="shared" si="573"/>
        <v>14.802405714285715</v>
      </c>
      <c r="EC192" s="5">
        <f t="shared" si="574"/>
        <v>3.7857224750765792</v>
      </c>
      <c r="ED192" s="5"/>
      <c r="EE192" s="173">
        <f t="shared" si="575"/>
        <v>2.2076995329026055</v>
      </c>
      <c r="EF192" s="173">
        <f t="shared" si="576"/>
        <v>1.6882700283551588</v>
      </c>
      <c r="EG192" s="173">
        <f t="shared" si="577"/>
        <v>0.41419537281023261</v>
      </c>
      <c r="EH192" s="173"/>
      <c r="EI192" s="528">
        <f t="shared" si="578"/>
        <v>9.7478744551567659E-2</v>
      </c>
      <c r="EJ192" s="528">
        <f t="shared" si="579"/>
        <v>0.28499999999999992</v>
      </c>
      <c r="EK192" s="528">
        <f t="shared" si="580"/>
        <v>1.3654267383037228E-2</v>
      </c>
      <c r="EL192" s="528">
        <f t="shared" si="581"/>
        <v>8.0222644070210951E-3</v>
      </c>
      <c r="EM192">
        <f t="shared" si="582"/>
        <v>4.4999999999999997E-3</v>
      </c>
      <c r="EN192" s="460">
        <f t="shared" si="583"/>
        <v>18.154267383037229</v>
      </c>
      <c r="EP192" s="460">
        <f t="shared" si="603"/>
        <v>408.65527634162589</v>
      </c>
      <c r="EQ192" s="173">
        <f t="shared" si="584"/>
        <v>0.57399999999999995</v>
      </c>
      <c r="ER192" s="173">
        <f t="shared" si="585"/>
        <v>9.0968749999999987E-2</v>
      </c>
      <c r="ES192" s="528"/>
      <c r="EU192" s="460">
        <f t="shared" si="497"/>
        <v>664.96874999999989</v>
      </c>
      <c r="EV192" s="528">
        <f t="shared" si="586"/>
        <v>0.14621811682735147</v>
      </c>
      <c r="EW192" s="528">
        <f t="shared" si="587"/>
        <v>8.5507670659269855E-2</v>
      </c>
      <c r="EX192" s="528">
        <f t="shared" si="588"/>
        <v>8.5778903428703791E-4</v>
      </c>
      <c r="EY192" s="528">
        <f t="shared" si="589"/>
        <v>0.31701801185397371</v>
      </c>
      <c r="EZ192" s="528"/>
      <c r="FA192" s="625">
        <f t="shared" si="590"/>
        <v>1.2656183447548762E-2</v>
      </c>
      <c r="FB192" s="460">
        <f t="shared" si="498"/>
        <v>562.25777182243075</v>
      </c>
      <c r="FC192" s="173">
        <f t="shared" si="591"/>
        <v>1.6358817981640568</v>
      </c>
      <c r="FD192" s="5">
        <f t="shared" si="592"/>
        <v>15.087999999999999</v>
      </c>
      <c r="FE192" s="173">
        <f t="shared" si="593"/>
        <v>0.90218288924144141</v>
      </c>
      <c r="FF192" s="5">
        <f t="shared" si="594"/>
        <v>90.218288924144147</v>
      </c>
      <c r="FG192">
        <f t="shared" si="595"/>
        <v>82</v>
      </c>
      <c r="FI192" s="562">
        <f t="shared" si="596"/>
        <v>-50</v>
      </c>
      <c r="FJ192">
        <f t="shared" si="597"/>
        <v>-50</v>
      </c>
    </row>
    <row r="193" spans="5:166">
      <c r="E193" s="170">
        <v>83</v>
      </c>
      <c r="F193" s="217">
        <f t="shared" si="598"/>
        <v>0.83</v>
      </c>
      <c r="G193" s="217">
        <f t="shared" si="499"/>
        <v>0.20749999999999999</v>
      </c>
      <c r="H193" s="217">
        <f t="shared" si="500"/>
        <v>13.611999999999998</v>
      </c>
      <c r="I193" s="217">
        <f t="shared" si="501"/>
        <v>1.66</v>
      </c>
      <c r="J193" s="541">
        <f t="shared" si="502"/>
        <v>9.8427252143134147</v>
      </c>
      <c r="K193" s="443">
        <f t="shared" si="503"/>
        <v>17.169608495295208</v>
      </c>
      <c r="L193" s="172">
        <f t="shared" si="504"/>
        <v>27.012333709608622</v>
      </c>
      <c r="M193" s="443"/>
      <c r="N193" s="217">
        <f t="shared" si="505"/>
        <v>0.63562107146587499</v>
      </c>
      <c r="O193" s="172">
        <f t="shared" si="506"/>
        <v>18.587390247935446</v>
      </c>
      <c r="P193" s="172">
        <f t="shared" si="507"/>
        <v>2.5431884336853972</v>
      </c>
      <c r="Q193" s="217">
        <f t="shared" si="508"/>
        <v>1.1333774541424053</v>
      </c>
      <c r="R193" s="217">
        <f t="shared" si="509"/>
        <v>2.3234237809919307</v>
      </c>
      <c r="S193" s="217">
        <f t="shared" si="510"/>
        <v>16.399999999999999</v>
      </c>
      <c r="T193" s="217">
        <f t="shared" si="511"/>
        <v>4.8821628779621795</v>
      </c>
      <c r="U193" s="217">
        <f t="shared" si="512"/>
        <v>5.9522086881334166</v>
      </c>
      <c r="V193" s="217">
        <f t="shared" si="513"/>
        <v>3.4121893083118229</v>
      </c>
      <c r="W193" s="197">
        <f t="shared" si="514"/>
        <v>350</v>
      </c>
      <c r="X193" s="443">
        <f t="shared" si="599"/>
        <v>104.55441109536281</v>
      </c>
      <c r="Z193" s="217">
        <f t="shared" si="515"/>
        <v>1.4895817968728757</v>
      </c>
      <c r="AA193" s="173">
        <f t="shared" si="516"/>
        <v>1.0410826529546429</v>
      </c>
      <c r="AB193" s="173">
        <f t="shared" si="517"/>
        <v>0.24188761938529865</v>
      </c>
      <c r="AC193" s="173"/>
      <c r="AD193" s="173">
        <f t="shared" si="518"/>
        <v>0.93187914007382877</v>
      </c>
      <c r="AE193" s="545">
        <f t="shared" si="519"/>
        <v>1336.010161040158</v>
      </c>
      <c r="AF193" s="528">
        <f t="shared" si="520"/>
        <v>0.21743846601722674</v>
      </c>
      <c r="AH193" s="173">
        <f t="shared" si="521"/>
        <v>2.6967352395778401</v>
      </c>
      <c r="AI193" s="173">
        <f t="shared" si="522"/>
        <v>4.8821628779621795</v>
      </c>
      <c r="AJ193" s="173">
        <f t="shared" si="523"/>
        <v>3.828762625650997</v>
      </c>
      <c r="AL193" s="545">
        <f t="shared" si="524"/>
        <v>830</v>
      </c>
      <c r="AM193" s="460">
        <f t="shared" si="525"/>
        <v>104.55441109536281</v>
      </c>
      <c r="AO193">
        <f t="shared" si="526"/>
        <v>830</v>
      </c>
      <c r="AP193">
        <f t="shared" si="527"/>
        <v>104.55441109536281</v>
      </c>
      <c r="AR193" s="5">
        <f t="shared" si="443"/>
        <v>9.5643979964452388</v>
      </c>
      <c r="AS193" s="5">
        <f t="shared" si="604"/>
        <v>5.9522086881334166</v>
      </c>
      <c r="AT193" s="5">
        <f t="shared" si="605"/>
        <v>3.6121893083118222</v>
      </c>
      <c r="AU193" s="173">
        <f t="shared" si="606"/>
        <v>0.62232967410449147</v>
      </c>
      <c r="AW193" s="5">
        <f t="shared" si="477"/>
        <v>30.123982994821567</v>
      </c>
      <c r="AX193" s="5">
        <f t="shared" si="478"/>
        <v>15.43854128484605</v>
      </c>
      <c r="AY193" s="5">
        <f t="shared" si="479"/>
        <v>4.1628986378384774</v>
      </c>
      <c r="AZ193" s="5"/>
      <c r="BA193" s="173">
        <f t="shared" si="480"/>
        <v>2.2236267588557612</v>
      </c>
      <c r="BB193" s="173">
        <f t="shared" si="481"/>
        <v>1.732240021749663</v>
      </c>
      <c r="BC193" s="173">
        <f t="shared" si="482"/>
        <v>0.424982846082055</v>
      </c>
      <c r="BD193" s="173"/>
      <c r="BE193" s="528">
        <f t="shared" si="483"/>
        <v>9.8890319253987558E-2</v>
      </c>
      <c r="BF193" s="528">
        <f t="shared" si="528"/>
        <v>0.25853420074084721</v>
      </c>
      <c r="BG193" s="528">
        <f t="shared" si="529"/>
        <v>2.5727508458900442E-2</v>
      </c>
      <c r="BH193" s="528">
        <f t="shared" si="484"/>
        <v>7.6289816955594095E-3</v>
      </c>
      <c r="BI193">
        <f t="shared" si="485"/>
        <v>4.4292263464410361E-3</v>
      </c>
      <c r="BJ193" s="460">
        <f t="shared" si="600"/>
        <v>30.156734805341479</v>
      </c>
      <c r="BK193">
        <f t="shared" si="530"/>
        <v>0.40118015310940908</v>
      </c>
      <c r="BL193" s="460">
        <f t="shared" si="601"/>
        <v>395.21023649573567</v>
      </c>
      <c r="BM193" s="173">
        <f t="shared" si="531"/>
        <v>0.51563749999999997</v>
      </c>
      <c r="BN193" s="173">
        <f t="shared" si="532"/>
        <v>0.12890937499999999</v>
      </c>
      <c r="BO193" s="528"/>
      <c r="BQ193" s="460">
        <f t="shared" si="486"/>
        <v>644.546875</v>
      </c>
      <c r="BR193" s="528">
        <f t="shared" si="487"/>
        <v>0.14833547888098134</v>
      </c>
      <c r="BS193" s="528">
        <f t="shared" si="488"/>
        <v>9.0019664788538178E-2</v>
      </c>
      <c r="BT193" s="528">
        <f t="shared" si="489"/>
        <v>9.0305209732001836E-4</v>
      </c>
      <c r="BU193" s="528">
        <f t="shared" si="490"/>
        <v>0.29434493384197408</v>
      </c>
      <c r="BV193" s="528"/>
      <c r="BW193" s="625">
        <f t="shared" si="533"/>
        <v>1.2460540838958603E-2</v>
      </c>
      <c r="BX193" s="460">
        <f t="shared" ref="BX193:BX210" si="607">SUM(BR193:BW193)*1000</f>
        <v>546.06367044777221</v>
      </c>
      <c r="BY193" s="173">
        <f t="shared" ref="BY193:BY210" si="608">SUM(BE193:BI193,BM193:BP193,BR193:BW193)</f>
        <v>1.5858207819435082</v>
      </c>
      <c r="BZ193" s="5">
        <f t="shared" ref="BZ193:BZ210" si="609">MIN(H193+I193,O193+P193)</f>
        <v>15.271999999999998</v>
      </c>
      <c r="CA193" s="173">
        <f t="shared" ref="CA193:CA210" si="610">BZ193/(BZ193+BY193)</f>
        <v>0.90592966893786842</v>
      </c>
      <c r="CB193" s="5">
        <f t="shared" ref="CB193:CB210" si="611">CA193*100</f>
        <v>90.592966893786837</v>
      </c>
      <c r="CC193">
        <f t="shared" ref="CC193:CC210" si="612">F193/Iout*100</f>
        <v>83</v>
      </c>
      <c r="CE193" s="562">
        <f t="shared" si="534"/>
        <v>-50</v>
      </c>
      <c r="CF193">
        <f t="shared" si="535"/>
        <v>-50</v>
      </c>
      <c r="CG193" s="173">
        <f t="shared" si="536"/>
        <v>0.35771495841706197</v>
      </c>
      <c r="CH193" s="173">
        <f t="shared" si="537"/>
        <v>0.1249899513168843</v>
      </c>
      <c r="CI193" s="170">
        <v>83</v>
      </c>
      <c r="CJ193" s="217">
        <f t="shared" si="602"/>
        <v>0.83</v>
      </c>
      <c r="CK193" s="217">
        <f t="shared" si="538"/>
        <v>0.20749999999999999</v>
      </c>
      <c r="CL193" s="217">
        <f t="shared" si="539"/>
        <v>13.611999999999998</v>
      </c>
      <c r="CM193" s="217">
        <f t="shared" si="540"/>
        <v>1.66</v>
      </c>
      <c r="CN193" s="541">
        <f t="shared" si="541"/>
        <v>10</v>
      </c>
      <c r="CO193" s="443">
        <f t="shared" si="542"/>
        <v>17.099999999999998</v>
      </c>
      <c r="CP193" s="443">
        <f t="shared" si="543"/>
        <v>27.099999999999998</v>
      </c>
      <c r="CQ193" s="443"/>
      <c r="CR193" s="217">
        <f t="shared" si="544"/>
        <v>0.62686567164179097</v>
      </c>
      <c r="CS193" s="172">
        <f t="shared" si="545"/>
        <v>18.624269954574949</v>
      </c>
      <c r="CT193" s="172">
        <f t="shared" si="546"/>
        <v>2.5482344375682562</v>
      </c>
      <c r="CU193" s="217">
        <f t="shared" si="547"/>
        <v>1.135626216742375</v>
      </c>
      <c r="CV193" s="217">
        <f t="shared" si="548"/>
        <v>2.3280337443218686</v>
      </c>
      <c r="CW193" s="217">
        <f t="shared" si="549"/>
        <v>16.399999999999999</v>
      </c>
      <c r="CX193" s="217">
        <f t="shared" si="550"/>
        <v>4.8724952380952384</v>
      </c>
      <c r="CY193" s="217">
        <f t="shared" si="551"/>
        <v>5.8469942857142865</v>
      </c>
      <c r="CZ193" s="217">
        <f t="shared" si="552"/>
        <v>3.4192949039264837</v>
      </c>
      <c r="DA193" s="197">
        <f t="shared" si="553"/>
        <v>350</v>
      </c>
      <c r="DB193" s="443">
        <f t="shared" si="554"/>
        <v>107.91806509966774</v>
      </c>
      <c r="DD193" s="217">
        <f t="shared" si="555"/>
        <v>1.5023721665788083</v>
      </c>
      <c r="DE193" s="173">
        <f t="shared" si="556"/>
        <v>1.0542962572482866</v>
      </c>
      <c r="DF193" s="173">
        <f t="shared" si="557"/>
        <v>0.24706104135140031</v>
      </c>
      <c r="DG193" s="173"/>
      <c r="DH193" s="173">
        <f t="shared" si="558"/>
        <v>0.93567251461988332</v>
      </c>
      <c r="DI193" s="545">
        <f t="shared" si="559"/>
        <v>1330.5937499999993</v>
      </c>
      <c r="DJ193" s="528">
        <f t="shared" si="560"/>
        <v>0.21832358674463945</v>
      </c>
      <c r="DL193" s="173">
        <f t="shared" si="561"/>
        <v>2.6967352395778401</v>
      </c>
      <c r="DM193" s="173">
        <f t="shared" si="562"/>
        <v>4.8724952380952384</v>
      </c>
      <c r="DN193" s="173">
        <f t="shared" si="563"/>
        <v>3.8216014109347443</v>
      </c>
      <c r="DP193" s="545">
        <f t="shared" si="564"/>
        <v>830</v>
      </c>
      <c r="DQ193" s="460">
        <f t="shared" si="565"/>
        <v>107.91806509966774</v>
      </c>
      <c r="DS193">
        <f>IF(CL193&gt;CS193, "",DP193)</f>
        <v>830</v>
      </c>
      <c r="DT193">
        <f t="shared" si="567"/>
        <v>107.91806509966774</v>
      </c>
      <c r="DV193" s="5">
        <f t="shared" si="568"/>
        <v>9.2662891896407693</v>
      </c>
      <c r="DW193" s="5">
        <f t="shared" si="569"/>
        <v>5.8469942857142865</v>
      </c>
      <c r="DX193" s="5">
        <f t="shared" si="570"/>
        <v>3.4192949039264828</v>
      </c>
      <c r="DY193" s="173">
        <f t="shared" si="571"/>
        <v>0.63099630996309963</v>
      </c>
      <c r="EA193" s="5">
        <f t="shared" si="572"/>
        <v>29.591495470383283</v>
      </c>
      <c r="EB193" s="5">
        <f t="shared" si="573"/>
        <v>15.16564142857143</v>
      </c>
      <c r="EC193" s="5">
        <f t="shared" si="574"/>
        <v>3.8786201860206058</v>
      </c>
      <c r="ED193" s="5"/>
      <c r="EE193" s="173">
        <f t="shared" si="575"/>
        <v>2.2346226979380033</v>
      </c>
      <c r="EF193" s="173">
        <f t="shared" si="576"/>
        <v>1.7088586872375389</v>
      </c>
      <c r="EG193" s="173">
        <f t="shared" si="577"/>
        <v>0.4192465358932842</v>
      </c>
      <c r="EH193" s="173"/>
      <c r="EI193" s="528">
        <f t="shared" si="578"/>
        <v>9.9870772042794403E-2</v>
      </c>
      <c r="EJ193" s="528">
        <f t="shared" si="579"/>
        <v>0.28499999999999998</v>
      </c>
      <c r="EK193" s="528">
        <f t="shared" si="580"/>
        <v>1.3489758137458467E-2</v>
      </c>
      <c r="EL193" s="528">
        <f t="shared" si="581"/>
        <v>7.9256106189846982E-3</v>
      </c>
      <c r="EM193">
        <f t="shared" si="582"/>
        <v>4.4999999999999997E-3</v>
      </c>
      <c r="EN193" s="460">
        <f t="shared" si="583"/>
        <v>17.989758137458466</v>
      </c>
      <c r="EP193" s="460">
        <f t="shared" si="603"/>
        <v>410.78614079923761</v>
      </c>
      <c r="EQ193" s="173">
        <f t="shared" si="584"/>
        <v>0.58099999999999996</v>
      </c>
      <c r="ER193" s="173">
        <f t="shared" si="585"/>
        <v>9.2078124999999997E-2</v>
      </c>
      <c r="ES193" s="528"/>
      <c r="EU193" s="460">
        <f t="shared" si="497"/>
        <v>673.078125</v>
      </c>
      <c r="EV193" s="528">
        <f t="shared" si="586"/>
        <v>0.14980615806419159</v>
      </c>
      <c r="EW193" s="528">
        <f t="shared" si="587"/>
        <v>8.760594038841614E-2</v>
      </c>
      <c r="EX193" s="528">
        <f t="shared" si="588"/>
        <v>8.7883828929259417E-4</v>
      </c>
      <c r="EY193" s="528">
        <f t="shared" si="589"/>
        <v>0.31701801185397371</v>
      </c>
      <c r="EZ193" s="528"/>
      <c r="FA193" s="625">
        <f t="shared" si="590"/>
        <v>1.2810527148128624E-2</v>
      </c>
      <c r="FB193" s="460">
        <f t="shared" ref="FB193:FB210" si="613">SUM(EV193:FA193)*1000</f>
        <v>568.11947574400256</v>
      </c>
      <c r="FC193" s="173">
        <f t="shared" si="591"/>
        <v>1.6519837415432401</v>
      </c>
      <c r="FD193" s="5">
        <f t="shared" si="592"/>
        <v>15.271999999999998</v>
      </c>
      <c r="FE193" s="173">
        <f t="shared" si="593"/>
        <v>0.90238800942072983</v>
      </c>
      <c r="FF193" s="5">
        <f t="shared" si="594"/>
        <v>90.238800942072984</v>
      </c>
      <c r="FG193">
        <f t="shared" si="595"/>
        <v>83</v>
      </c>
      <c r="FI193" s="562">
        <f t="shared" si="596"/>
        <v>-50</v>
      </c>
      <c r="FJ193">
        <f t="shared" si="597"/>
        <v>-50</v>
      </c>
    </row>
    <row r="194" spans="5:166">
      <c r="E194" s="170">
        <v>84</v>
      </c>
      <c r="F194" s="217">
        <f t="shared" si="598"/>
        <v>0.84</v>
      </c>
      <c r="G194" s="217">
        <f t="shared" si="499"/>
        <v>0.21</v>
      </c>
      <c r="H194" s="217">
        <f t="shared" si="500"/>
        <v>13.775999999999998</v>
      </c>
      <c r="I194" s="217">
        <f t="shared" si="501"/>
        <v>1.68</v>
      </c>
      <c r="J194" s="541">
        <f t="shared" si="502"/>
        <v>9.8408303373774313</v>
      </c>
      <c r="K194" s="443">
        <f t="shared" si="503"/>
        <v>17.17044715186503</v>
      </c>
      <c r="L194" s="172">
        <f t="shared" si="504"/>
        <v>27.01127748924246</v>
      </c>
      <c r="M194" s="443"/>
      <c r="N194" s="217">
        <f t="shared" si="505"/>
        <v>0.6356769745045695</v>
      </c>
      <c r="O194" s="172">
        <f t="shared" si="506"/>
        <v>18.585446338735622</v>
      </c>
      <c r="P194" s="172">
        <f t="shared" si="507"/>
        <v>2.5429224615759627</v>
      </c>
      <c r="Q194" s="217">
        <f t="shared" si="508"/>
        <v>1.1332589230936356</v>
      </c>
      <c r="R194" s="217">
        <f t="shared" si="509"/>
        <v>2.3231807923419527</v>
      </c>
      <c r="S194" s="217">
        <f t="shared" si="510"/>
        <v>16.399999999999999</v>
      </c>
      <c r="T194" s="217">
        <f t="shared" si="511"/>
        <v>4.9415009102357619</v>
      </c>
      <c r="U194" s="217">
        <f t="shared" si="512"/>
        <v>6.025712149268899</v>
      </c>
      <c r="V194" s="217">
        <f t="shared" si="513"/>
        <v>3.453492526919328</v>
      </c>
      <c r="W194" s="197">
        <f t="shared" si="514"/>
        <v>350</v>
      </c>
      <c r="X194" s="443">
        <f t="shared" si="599"/>
        <v>103.31427358490478</v>
      </c>
      <c r="Z194" s="217">
        <f t="shared" si="515"/>
        <v>1.4894260132087778</v>
      </c>
      <c r="AA194" s="173">
        <f t="shared" si="516"/>
        <v>1.0409229299869445</v>
      </c>
      <c r="AB194" s="173">
        <f t="shared" si="517"/>
        <v>0.24182521572539759</v>
      </c>
      <c r="AC194" s="173"/>
      <c r="AD194" s="173">
        <f t="shared" si="518"/>
        <v>0.93183362427821836</v>
      </c>
      <c r="AE194" s="545">
        <f t="shared" si="519"/>
        <v>1352.1727132093706</v>
      </c>
      <c r="AF194" s="528">
        <f t="shared" si="520"/>
        <v>0.21742784566491766</v>
      </c>
      <c r="AH194" s="173">
        <f t="shared" si="521"/>
        <v>2.7129319932501068</v>
      </c>
      <c r="AI194" s="173">
        <f t="shared" si="522"/>
        <v>4.9415009102357619</v>
      </c>
      <c r="AJ194" s="173">
        <f t="shared" si="523"/>
        <v>3.8727167236314282</v>
      </c>
      <c r="AL194" s="545">
        <f t="shared" si="524"/>
        <v>840</v>
      </c>
      <c r="AM194" s="460">
        <f t="shared" si="525"/>
        <v>103.31427358490478</v>
      </c>
      <c r="AO194">
        <f t="shared" si="526"/>
        <v>840</v>
      </c>
      <c r="AP194">
        <f t="shared" si="527"/>
        <v>103.31427358490478</v>
      </c>
      <c r="AR194" s="5">
        <f t="shared" si="443"/>
        <v>9.6792046761882258</v>
      </c>
      <c r="AS194" s="5">
        <f t="shared" si="604"/>
        <v>6.025712149268899</v>
      </c>
      <c r="AT194" s="5">
        <f t="shared" si="605"/>
        <v>3.6534925269193268</v>
      </c>
      <c r="AU194" s="173">
        <f t="shared" si="606"/>
        <v>0.62254207353345159</v>
      </c>
      <c r="AW194" s="5">
        <f t="shared" si="477"/>
        <v>30.86340369137729</v>
      </c>
      <c r="AX194" s="5">
        <f t="shared" si="478"/>
        <v>15.817494391830857</v>
      </c>
      <c r="AY194" s="5">
        <f t="shared" si="479"/>
        <v>4.2620482999010196</v>
      </c>
      <c r="AZ194" s="5"/>
      <c r="BA194" s="173">
        <f t="shared" si="480"/>
        <v>2.2510368588891243</v>
      </c>
      <c r="BB194" s="173">
        <f t="shared" si="481"/>
        <v>1.7528006566281875</v>
      </c>
      <c r="BC194" s="173">
        <f t="shared" si="482"/>
        <v>0.43002713383560981</v>
      </c>
      <c r="BD194" s="173"/>
      <c r="BE194" s="528">
        <f t="shared" si="483"/>
        <v>0.1013433388015483</v>
      </c>
      <c r="BF194" s="528">
        <f t="shared" si="528"/>
        <v>0.25856253838464921</v>
      </c>
      <c r="BG194" s="528">
        <f t="shared" si="529"/>
        <v>2.5417455944461067E-2</v>
      </c>
      <c r="BH194" s="528">
        <f t="shared" si="484"/>
        <v>7.5379035365970215E-3</v>
      </c>
      <c r="BI194">
        <f t="shared" si="485"/>
        <v>4.428373651819844E-3</v>
      </c>
      <c r="BJ194" s="460">
        <f t="shared" si="600"/>
        <v>29.845829596280911</v>
      </c>
      <c r="BK194">
        <f t="shared" si="530"/>
        <v>0.40454765695707734</v>
      </c>
      <c r="BL194" s="460">
        <f t="shared" si="601"/>
        <v>397.28961031907539</v>
      </c>
      <c r="BM194" s="173">
        <f t="shared" si="531"/>
        <v>0.52184999999999993</v>
      </c>
      <c r="BN194" s="173">
        <f t="shared" si="532"/>
        <v>0.13046249999999998</v>
      </c>
      <c r="BO194" s="528"/>
      <c r="BQ194" s="460">
        <f t="shared" si="486"/>
        <v>652.31249999999989</v>
      </c>
      <c r="BR194" s="528">
        <f t="shared" si="487"/>
        <v>0.15201500820232244</v>
      </c>
      <c r="BS194" s="528">
        <f t="shared" si="488"/>
        <v>9.2169304256286153E-2</v>
      </c>
      <c r="BT194" s="528">
        <f t="shared" si="489"/>
        <v>9.2461667917434736E-4</v>
      </c>
      <c r="BU194" s="528">
        <f t="shared" si="490"/>
        <v>0.29445438062826296</v>
      </c>
      <c r="BV194" s="528"/>
      <c r="BW194" s="625">
        <f t="shared" si="533"/>
        <v>1.2613862431245281E-2</v>
      </c>
      <c r="BX194" s="460">
        <f t="shared" si="607"/>
        <v>552.17717219729127</v>
      </c>
      <c r="BY194" s="173">
        <f t="shared" si="608"/>
        <v>1.6017792825163664</v>
      </c>
      <c r="BZ194" s="5">
        <f t="shared" si="609"/>
        <v>15.455999999999998</v>
      </c>
      <c r="CA194" s="173">
        <f t="shared" si="610"/>
        <v>0.90609684555139391</v>
      </c>
      <c r="CB194" s="5">
        <f t="shared" si="611"/>
        <v>90.609684555139395</v>
      </c>
      <c r="CC194">
        <f t="shared" si="612"/>
        <v>84</v>
      </c>
      <c r="CE194" s="562">
        <f t="shared" si="534"/>
        <v>-50</v>
      </c>
      <c r="CF194">
        <f t="shared" si="535"/>
        <v>-50</v>
      </c>
      <c r="CG194" s="173">
        <f t="shared" si="536"/>
        <v>0.35771495841706197</v>
      </c>
      <c r="CH194" s="173">
        <f t="shared" si="537"/>
        <v>0.12498995131688433</v>
      </c>
      <c r="CI194" s="170">
        <v>84</v>
      </c>
      <c r="CJ194" s="217">
        <f t="shared" si="602"/>
        <v>0.84</v>
      </c>
      <c r="CK194" s="217">
        <f t="shared" si="538"/>
        <v>0.21</v>
      </c>
      <c r="CL194" s="217">
        <f t="shared" si="539"/>
        <v>13.775999999999998</v>
      </c>
      <c r="CM194" s="217">
        <f t="shared" si="540"/>
        <v>1.68</v>
      </c>
      <c r="CN194" s="541">
        <f t="shared" si="541"/>
        <v>10</v>
      </c>
      <c r="CO194" s="443">
        <f t="shared" si="542"/>
        <v>17.099999999999998</v>
      </c>
      <c r="CP194" s="443">
        <f t="shared" si="543"/>
        <v>27.099999999999998</v>
      </c>
      <c r="CQ194" s="443"/>
      <c r="CR194" s="217">
        <f t="shared" si="544"/>
        <v>0.62686567164179097</v>
      </c>
      <c r="CS194" s="172">
        <f t="shared" si="545"/>
        <v>18.624269954574949</v>
      </c>
      <c r="CT194" s="172">
        <f t="shared" si="546"/>
        <v>2.5482344375682562</v>
      </c>
      <c r="CU194" s="217">
        <f t="shared" si="547"/>
        <v>1.135626216742375</v>
      </c>
      <c r="CV194" s="217">
        <f t="shared" si="548"/>
        <v>2.3280337443218686</v>
      </c>
      <c r="CW194" s="217">
        <f t="shared" si="549"/>
        <v>16.399999999999999</v>
      </c>
      <c r="CX194" s="217">
        <f t="shared" si="550"/>
        <v>4.9311999999999996</v>
      </c>
      <c r="CY194" s="217">
        <f t="shared" si="551"/>
        <v>5.91744</v>
      </c>
      <c r="CZ194" s="217">
        <f t="shared" si="552"/>
        <v>3.4604912280701754</v>
      </c>
      <c r="DA194" s="197">
        <f t="shared" si="553"/>
        <v>350</v>
      </c>
      <c r="DB194" s="443">
        <f t="shared" si="554"/>
        <v>106.63332622943362</v>
      </c>
      <c r="DD194" s="217">
        <f t="shared" si="555"/>
        <v>1.5023721665788083</v>
      </c>
      <c r="DE194" s="173">
        <f t="shared" si="556"/>
        <v>1.0542962572482866</v>
      </c>
      <c r="DF194" s="173">
        <f t="shared" si="557"/>
        <v>0.24706104135140031</v>
      </c>
      <c r="DG194" s="173"/>
      <c r="DH194" s="173">
        <f t="shared" si="558"/>
        <v>0.93567251461988332</v>
      </c>
      <c r="DI194" s="545">
        <f t="shared" si="559"/>
        <v>1346.6249999999995</v>
      </c>
      <c r="DJ194" s="528">
        <f t="shared" si="560"/>
        <v>0.21832358674463945</v>
      </c>
      <c r="DL194" s="173">
        <f t="shared" si="561"/>
        <v>2.7129319932501068</v>
      </c>
      <c r="DM194" s="173">
        <f t="shared" si="562"/>
        <v>4.9311999999999996</v>
      </c>
      <c r="DN194" s="173">
        <f t="shared" si="563"/>
        <v>3.8650864197530863</v>
      </c>
      <c r="DP194" s="545">
        <f t="shared" si="564"/>
        <v>840</v>
      </c>
      <c r="DQ194" s="460">
        <f t="shared" si="565"/>
        <v>106.63332622943362</v>
      </c>
      <c r="DS194">
        <f t="shared" ref="DS194:DS210" si="614">IF(CL194&gt;CS194, "",DP194)</f>
        <v>840</v>
      </c>
      <c r="DT194">
        <f t="shared" ref="DT194:DT210" si="615">IF(CL194&gt;CS194, "",DQ194)</f>
        <v>106.63332622943362</v>
      </c>
      <c r="DV194" s="5">
        <f t="shared" si="568"/>
        <v>9.3779312280701745</v>
      </c>
      <c r="DW194" s="5">
        <f t="shared" si="569"/>
        <v>5.91744</v>
      </c>
      <c r="DX194" s="5">
        <f t="shared" si="570"/>
        <v>3.4604912280701745</v>
      </c>
      <c r="DY194" s="173">
        <f t="shared" si="571"/>
        <v>0.63099630996309974</v>
      </c>
      <c r="EA194" s="5">
        <f t="shared" si="572"/>
        <v>30.308839024390249</v>
      </c>
      <c r="EB194" s="5">
        <f t="shared" si="573"/>
        <v>15.53328</v>
      </c>
      <c r="EC194" s="5">
        <f t="shared" si="574"/>
        <v>3.9726439298245593</v>
      </c>
      <c r="ED194" s="5"/>
      <c r="EE194" s="173">
        <f t="shared" si="575"/>
        <v>2.2615458629734007</v>
      </c>
      <c r="EF194" s="173">
        <f t="shared" si="576"/>
        <v>1.7294473461199182</v>
      </c>
      <c r="EG194" s="173">
        <f t="shared" si="577"/>
        <v>0.42429769897633568</v>
      </c>
      <c r="EH194" s="173"/>
      <c r="EI194" s="528">
        <f t="shared" si="578"/>
        <v>0.10229179380664206</v>
      </c>
      <c r="EJ194" s="528">
        <f t="shared" si="579"/>
        <v>0.28500000000000003</v>
      </c>
      <c r="EK194" s="528">
        <f t="shared" si="580"/>
        <v>1.3329165778679201E-2</v>
      </c>
      <c r="EL194" s="528">
        <f t="shared" si="581"/>
        <v>7.8312581116158336E-3</v>
      </c>
      <c r="EM194">
        <f t="shared" si="582"/>
        <v>4.4999999999999997E-3</v>
      </c>
      <c r="EN194" s="460">
        <f t="shared" si="583"/>
        <v>17.829165778679201</v>
      </c>
      <c r="EP194" s="460">
        <f t="shared" si="603"/>
        <v>412.95221769693711</v>
      </c>
      <c r="EQ194" s="173">
        <f t="shared" si="584"/>
        <v>0.58799999999999997</v>
      </c>
      <c r="ER194" s="173">
        <f t="shared" si="585"/>
        <v>9.3187499999999993E-2</v>
      </c>
      <c r="ES194" s="528"/>
      <c r="EU194" s="460">
        <f t="shared" si="497"/>
        <v>681.1875</v>
      </c>
      <c r="EV194" s="528">
        <f t="shared" si="586"/>
        <v>0.15343769070996308</v>
      </c>
      <c r="EW194" s="528">
        <f t="shared" si="587"/>
        <v>8.9729643690036845E-2</v>
      </c>
      <c r="EX194" s="528">
        <f t="shared" si="588"/>
        <v>9.001426867830659E-4</v>
      </c>
      <c r="EY194" s="528">
        <f t="shared" si="589"/>
        <v>0.31701801185397332</v>
      </c>
      <c r="EZ194" s="528"/>
      <c r="FA194" s="625">
        <f t="shared" si="590"/>
        <v>1.2964870848708487E-2</v>
      </c>
      <c r="FB194" s="460">
        <f t="shared" si="613"/>
        <v>574.05035978946489</v>
      </c>
      <c r="FC194" s="173">
        <f t="shared" si="591"/>
        <v>1.6681900774864018</v>
      </c>
      <c r="FD194" s="5">
        <f t="shared" si="592"/>
        <v>15.455999999999998</v>
      </c>
      <c r="FE194" s="173">
        <f t="shared" si="593"/>
        <v>0.90258283341063739</v>
      </c>
      <c r="FF194" s="5">
        <f t="shared" si="594"/>
        <v>90.258283341063745</v>
      </c>
      <c r="FG194">
        <f t="shared" si="595"/>
        <v>84</v>
      </c>
      <c r="FI194" s="562">
        <f t="shared" si="596"/>
        <v>-50</v>
      </c>
      <c r="FJ194">
        <f t="shared" si="597"/>
        <v>-50</v>
      </c>
    </row>
    <row r="195" spans="5:166">
      <c r="E195" s="170">
        <v>85</v>
      </c>
      <c r="F195" s="217">
        <f t="shared" si="598"/>
        <v>0.85</v>
      </c>
      <c r="G195" s="217">
        <f t="shared" si="499"/>
        <v>0.21249999999999999</v>
      </c>
      <c r="H195" s="217">
        <f t="shared" si="500"/>
        <v>13.939999999999998</v>
      </c>
      <c r="I195" s="217">
        <f t="shared" si="501"/>
        <v>1.7</v>
      </c>
      <c r="J195" s="541">
        <f t="shared" si="502"/>
        <v>9.8389354604414496</v>
      </c>
      <c r="K195" s="443">
        <f t="shared" si="503"/>
        <v>17.171285808434849</v>
      </c>
      <c r="L195" s="172">
        <f t="shared" si="504"/>
        <v>27.0102212688763</v>
      </c>
      <c r="M195" s="443"/>
      <c r="N195" s="217">
        <f t="shared" si="505"/>
        <v>0.63573288191538102</v>
      </c>
      <c r="O195" s="172">
        <f t="shared" si="506"/>
        <v>18.583501927904425</v>
      </c>
      <c r="P195" s="172">
        <f t="shared" si="507"/>
        <v>2.5426564208316584</v>
      </c>
      <c r="Q195" s="217">
        <f t="shared" si="508"/>
        <v>1.133140361457587</v>
      </c>
      <c r="R195" s="217">
        <f t="shared" si="509"/>
        <v>2.3229377409880532</v>
      </c>
      <c r="S195" s="217">
        <f t="shared" si="510"/>
        <v>16.399999999999999</v>
      </c>
      <c r="T195" s="217">
        <f t="shared" si="511"/>
        <v>5.000851491493508</v>
      </c>
      <c r="U195" s="217">
        <f t="shared" si="512"/>
        <v>6.0992592277081155</v>
      </c>
      <c r="V195" s="217">
        <f t="shared" si="513"/>
        <v>3.4948004807213673</v>
      </c>
      <c r="W195" s="197">
        <f t="shared" si="514"/>
        <v>350</v>
      </c>
      <c r="X195" s="443">
        <f t="shared" si="599"/>
        <v>102.10270610657264</v>
      </c>
      <c r="Z195" s="217">
        <f t="shared" si="515"/>
        <v>1.4892701893442568</v>
      </c>
      <c r="AA195" s="173">
        <f t="shared" si="516"/>
        <v>1.0407631945274827</v>
      </c>
      <c r="AB195" s="173">
        <f t="shared" si="517"/>
        <v>0.24176281039991801</v>
      </c>
      <c r="AC195" s="173"/>
      <c r="AD195" s="173">
        <f t="shared" si="518"/>
        <v>0.93178811292864927</v>
      </c>
      <c r="AE195" s="545">
        <f t="shared" si="519"/>
        <v>1368.3368378596517</v>
      </c>
      <c r="AF195" s="528">
        <f t="shared" si="520"/>
        <v>0.21741722635001814</v>
      </c>
      <c r="AH195" s="173">
        <f t="shared" si="521"/>
        <v>2.7290326212083</v>
      </c>
      <c r="AI195" s="173">
        <f t="shared" si="522"/>
        <v>5.000851491493508</v>
      </c>
      <c r="AJ195" s="173">
        <f t="shared" si="523"/>
        <v>3.9166801171556846</v>
      </c>
      <c r="AL195" s="545">
        <f t="shared" si="524"/>
        <v>850</v>
      </c>
      <c r="AM195" s="460">
        <f t="shared" si="525"/>
        <v>102.10270610657264</v>
      </c>
      <c r="AO195">
        <f t="shared" si="526"/>
        <v>850</v>
      </c>
      <c r="AP195">
        <f t="shared" si="527"/>
        <v>102.10270610657264</v>
      </c>
      <c r="AR195" s="5">
        <f t="shared" si="443"/>
        <v>9.7940597084294829</v>
      </c>
      <c r="AS195" s="5">
        <f t="shared" si="604"/>
        <v>6.0992592277081155</v>
      </c>
      <c r="AT195" s="5">
        <f t="shared" si="605"/>
        <v>3.6948004807213675</v>
      </c>
      <c r="AU195" s="173">
        <f t="shared" si="606"/>
        <v>0.6227508723944829</v>
      </c>
      <c r="AW195" s="5">
        <f t="shared" si="477"/>
        <v>31.612014289950604</v>
      </c>
      <c r="AX195" s="5">
        <f t="shared" si="478"/>
        <v>16.201157323599684</v>
      </c>
      <c r="AY195" s="5">
        <f t="shared" si="479"/>
        <v>4.3623891788852225</v>
      </c>
      <c r="AZ195" s="5"/>
      <c r="BA195" s="173">
        <f t="shared" si="480"/>
        <v>2.2784552465858794</v>
      </c>
      <c r="BB195" s="173">
        <f t="shared" si="481"/>
        <v>1.773362221684061</v>
      </c>
      <c r="BC195" s="173">
        <f t="shared" si="482"/>
        <v>0.43507164979623303</v>
      </c>
      <c r="BD195" s="173"/>
      <c r="BE195" s="528">
        <f t="shared" si="483"/>
        <v>0.10382716621389441</v>
      </c>
      <c r="BF195" s="528">
        <f t="shared" si="528"/>
        <v>0.25858934396053179</v>
      </c>
      <c r="BG195" s="528">
        <f t="shared" si="529"/>
        <v>2.5114548392974733E-2</v>
      </c>
      <c r="BH195" s="528">
        <f t="shared" si="484"/>
        <v>7.4489238856258137E-3</v>
      </c>
      <c r="BI195">
        <f t="shared" si="485"/>
        <v>4.4275209571986518E-3</v>
      </c>
      <c r="BJ195" s="460">
        <f t="shared" si="600"/>
        <v>29.542069350173385</v>
      </c>
      <c r="BK195">
        <f t="shared" si="530"/>
        <v>0.40796294332888916</v>
      </c>
      <c r="BL195" s="460">
        <f t="shared" si="601"/>
        <v>399.40750341022539</v>
      </c>
      <c r="BM195" s="173">
        <f t="shared" si="531"/>
        <v>0.52806249999999999</v>
      </c>
      <c r="BN195" s="173">
        <f t="shared" si="532"/>
        <v>0.132015625</v>
      </c>
      <c r="BO195" s="528"/>
      <c r="BQ195" s="460">
        <f t="shared" si="486"/>
        <v>660.078125</v>
      </c>
      <c r="BR195" s="528">
        <f t="shared" si="487"/>
        <v>0.15574074932084161</v>
      </c>
      <c r="BS195" s="528">
        <f t="shared" si="488"/>
        <v>9.4344407078886847E-2</v>
      </c>
      <c r="BT195" s="528">
        <f t="shared" si="489"/>
        <v>9.4643670228208019E-4</v>
      </c>
      <c r="BU195" s="528">
        <f t="shared" si="490"/>
        <v>0.29455949741960552</v>
      </c>
      <c r="BV195" s="528"/>
      <c r="BW195" s="625">
        <f t="shared" si="533"/>
        <v>1.2767185612748862E-2</v>
      </c>
      <c r="BX195" s="460">
        <f t="shared" si="607"/>
        <v>558.35827613436481</v>
      </c>
      <c r="BY195" s="173">
        <f t="shared" si="608"/>
        <v>1.6178439045445903</v>
      </c>
      <c r="BZ195" s="5">
        <f t="shared" si="609"/>
        <v>15.639999999999997</v>
      </c>
      <c r="CA195" s="173">
        <f t="shared" si="610"/>
        <v>0.90625457539811471</v>
      </c>
      <c r="CB195" s="5">
        <f t="shared" si="611"/>
        <v>90.625457539811478</v>
      </c>
      <c r="CC195">
        <f t="shared" si="612"/>
        <v>85</v>
      </c>
      <c r="CE195" s="562">
        <f t="shared" si="534"/>
        <v>-50</v>
      </c>
      <c r="CF195">
        <f t="shared" si="535"/>
        <v>-50</v>
      </c>
      <c r="CG195" s="173">
        <f t="shared" si="536"/>
        <v>0.35771495841706197</v>
      </c>
      <c r="CH195" s="173">
        <f t="shared" si="537"/>
        <v>0.1249899513168843</v>
      </c>
      <c r="CI195" s="170">
        <v>85</v>
      </c>
      <c r="CJ195" s="217">
        <f t="shared" si="602"/>
        <v>0.85</v>
      </c>
      <c r="CK195" s="217">
        <f t="shared" si="538"/>
        <v>0.21249999999999999</v>
      </c>
      <c r="CL195" s="217">
        <f t="shared" si="539"/>
        <v>13.939999999999998</v>
      </c>
      <c r="CM195" s="217">
        <f t="shared" si="540"/>
        <v>1.7</v>
      </c>
      <c r="CN195" s="541">
        <f t="shared" si="541"/>
        <v>10</v>
      </c>
      <c r="CO195" s="443">
        <f t="shared" si="542"/>
        <v>17.099999999999998</v>
      </c>
      <c r="CP195" s="443">
        <f t="shared" si="543"/>
        <v>27.099999999999998</v>
      </c>
      <c r="CQ195" s="443"/>
      <c r="CR195" s="217">
        <f t="shared" si="544"/>
        <v>0.62686567164179097</v>
      </c>
      <c r="CS195" s="172">
        <f t="shared" si="545"/>
        <v>18.624269954574949</v>
      </c>
      <c r="CT195" s="172">
        <f t="shared" si="546"/>
        <v>2.5482344375682562</v>
      </c>
      <c r="CU195" s="217">
        <f t="shared" si="547"/>
        <v>1.135626216742375</v>
      </c>
      <c r="CV195" s="217">
        <f t="shared" si="548"/>
        <v>2.3280337443218686</v>
      </c>
      <c r="CW195" s="217">
        <f t="shared" si="549"/>
        <v>16.399999999999999</v>
      </c>
      <c r="CX195" s="217">
        <f t="shared" si="550"/>
        <v>4.9899047619047616</v>
      </c>
      <c r="CY195" s="217">
        <f t="shared" si="551"/>
        <v>5.9878857142857145</v>
      </c>
      <c r="CZ195" s="217">
        <f t="shared" si="552"/>
        <v>3.5016875522138688</v>
      </c>
      <c r="DA195" s="197">
        <f t="shared" si="553"/>
        <v>350</v>
      </c>
      <c r="DB195" s="443">
        <f t="shared" si="554"/>
        <v>105.37881650908733</v>
      </c>
      <c r="DD195" s="217">
        <f t="shared" si="555"/>
        <v>1.5023721665788083</v>
      </c>
      <c r="DE195" s="173">
        <f t="shared" si="556"/>
        <v>1.0542962572482866</v>
      </c>
      <c r="DF195" s="173">
        <f t="shared" si="557"/>
        <v>0.24706104135140031</v>
      </c>
      <c r="DG195" s="173"/>
      <c r="DH195" s="173">
        <f t="shared" si="558"/>
        <v>0.93567251461988332</v>
      </c>
      <c r="DI195" s="545">
        <f t="shared" si="559"/>
        <v>1362.6562499999995</v>
      </c>
      <c r="DJ195" s="528">
        <f t="shared" si="560"/>
        <v>0.21832358674463945</v>
      </c>
      <c r="DL195" s="173">
        <f t="shared" si="561"/>
        <v>2.7290326212083</v>
      </c>
      <c r="DM195" s="173">
        <f t="shared" si="562"/>
        <v>4.9899047619047616</v>
      </c>
      <c r="DN195" s="173">
        <f t="shared" si="563"/>
        <v>3.9085714285714284</v>
      </c>
      <c r="DP195" s="545">
        <f t="shared" si="564"/>
        <v>850</v>
      </c>
      <c r="DQ195" s="460">
        <f t="shared" si="565"/>
        <v>105.37881650908733</v>
      </c>
      <c r="DS195">
        <f t="shared" si="614"/>
        <v>850</v>
      </c>
      <c r="DT195">
        <f t="shared" si="615"/>
        <v>105.37881650908733</v>
      </c>
      <c r="DV195" s="5">
        <f t="shared" si="568"/>
        <v>9.4895732664995815</v>
      </c>
      <c r="DW195" s="5">
        <f t="shared" si="569"/>
        <v>5.9878857142857145</v>
      </c>
      <c r="DX195" s="5">
        <f t="shared" si="570"/>
        <v>3.5016875522138671</v>
      </c>
      <c r="DY195" s="173">
        <f t="shared" si="571"/>
        <v>0.63099630996309974</v>
      </c>
      <c r="EA195" s="5">
        <f t="shared" si="572"/>
        <v>31.034773519163767</v>
      </c>
      <c r="EB195" s="5">
        <f t="shared" si="573"/>
        <v>15.905321428571428</v>
      </c>
      <c r="EC195" s="5">
        <f t="shared" si="574"/>
        <v>4.0677937064884411</v>
      </c>
      <c r="ED195" s="5"/>
      <c r="EE195" s="173">
        <f t="shared" si="575"/>
        <v>2.2884690280087985</v>
      </c>
      <c r="EF195" s="173">
        <f t="shared" si="576"/>
        <v>1.7500360050022983</v>
      </c>
      <c r="EG195" s="173">
        <f t="shared" si="577"/>
        <v>0.42934886205938733</v>
      </c>
      <c r="EH195" s="173"/>
      <c r="EI195" s="528">
        <f t="shared" si="578"/>
        <v>0.10474180984311071</v>
      </c>
      <c r="EJ195" s="528">
        <f t="shared" si="579"/>
        <v>0.28499999999999998</v>
      </c>
      <c r="EK195" s="528">
        <f t="shared" si="580"/>
        <v>1.3172352063635914E-2</v>
      </c>
      <c r="EL195" s="528">
        <f t="shared" si="581"/>
        <v>7.7391256632438812E-3</v>
      </c>
      <c r="EM195">
        <f t="shared" si="582"/>
        <v>4.4999999999999997E-3</v>
      </c>
      <c r="EN195" s="460">
        <f t="shared" si="583"/>
        <v>17.672352063635916</v>
      </c>
      <c r="EP195" s="460">
        <f t="shared" si="603"/>
        <v>415.15328756999048</v>
      </c>
      <c r="EQ195" s="173">
        <f t="shared" si="584"/>
        <v>0.59499999999999997</v>
      </c>
      <c r="ER195" s="173">
        <f t="shared" si="585"/>
        <v>9.4296874999999988E-2</v>
      </c>
      <c r="ES195" s="528"/>
      <c r="EU195" s="460">
        <f t="shared" si="497"/>
        <v>689.29687499999989</v>
      </c>
      <c r="EV195" s="528">
        <f t="shared" si="586"/>
        <v>0.15711271476466604</v>
      </c>
      <c r="EW195" s="528">
        <f t="shared" si="587"/>
        <v>9.1878780564132123E-2</v>
      </c>
      <c r="EX195" s="528">
        <f t="shared" si="588"/>
        <v>9.2170222675845407E-4</v>
      </c>
      <c r="EY195" s="528">
        <f t="shared" si="589"/>
        <v>0.31701801185397371</v>
      </c>
      <c r="EZ195" s="528"/>
      <c r="FA195" s="625">
        <f t="shared" si="590"/>
        <v>1.3119214549288348E-2</v>
      </c>
      <c r="FB195" s="460">
        <f t="shared" si="613"/>
        <v>580.05042395881867</v>
      </c>
      <c r="FC195" s="173">
        <f t="shared" si="591"/>
        <v>1.6845005865288092</v>
      </c>
      <c r="FD195" s="5">
        <f t="shared" si="592"/>
        <v>15.639999999999997</v>
      </c>
      <c r="FE195" s="173">
        <f t="shared" si="593"/>
        <v>0.90276772608160238</v>
      </c>
      <c r="FF195" s="5">
        <f t="shared" si="594"/>
        <v>90.276772608160243</v>
      </c>
      <c r="FG195">
        <f t="shared" si="595"/>
        <v>85</v>
      </c>
      <c r="FI195" s="562">
        <f t="shared" si="596"/>
        <v>-50</v>
      </c>
      <c r="FJ195">
        <f t="shared" si="597"/>
        <v>-50</v>
      </c>
    </row>
    <row r="196" spans="5:166">
      <c r="E196" s="170">
        <v>86</v>
      </c>
      <c r="F196" s="217">
        <f t="shared" si="598"/>
        <v>0.86</v>
      </c>
      <c r="G196" s="217">
        <f t="shared" si="499"/>
        <v>0.215</v>
      </c>
      <c r="H196" s="217">
        <f t="shared" si="500"/>
        <v>14.103999999999999</v>
      </c>
      <c r="I196" s="217">
        <f t="shared" si="501"/>
        <v>1.72</v>
      </c>
      <c r="J196" s="541">
        <f t="shared" si="502"/>
        <v>9.8370405835054662</v>
      </c>
      <c r="K196" s="443">
        <f t="shared" si="503"/>
        <v>17.172124465004671</v>
      </c>
      <c r="L196" s="172">
        <f t="shared" si="504"/>
        <v>27.009165048510138</v>
      </c>
      <c r="M196" s="443"/>
      <c r="N196" s="217">
        <f t="shared" si="505"/>
        <v>0.63578879369882291</v>
      </c>
      <c r="O196" s="172">
        <f t="shared" si="506"/>
        <v>18.581557015383009</v>
      </c>
      <c r="P196" s="172">
        <f t="shared" si="507"/>
        <v>2.5423903114444335</v>
      </c>
      <c r="Q196" s="217">
        <f t="shared" si="508"/>
        <v>1.1330217692306714</v>
      </c>
      <c r="R196" s="217">
        <f t="shared" si="509"/>
        <v>2.3226946269228761</v>
      </c>
      <c r="S196" s="217">
        <f t="shared" si="510"/>
        <v>16.399999999999999</v>
      </c>
      <c r="T196" s="217">
        <f t="shared" si="511"/>
        <v>5.0602146304976134</v>
      </c>
      <c r="U196" s="217">
        <f t="shared" si="512"/>
        <v>6.1728499593454611</v>
      </c>
      <c r="V196" s="217">
        <f t="shared" si="513"/>
        <v>3.536113175147245</v>
      </c>
      <c r="W196" s="197">
        <f t="shared" si="514"/>
        <v>350</v>
      </c>
      <c r="X196" s="443">
        <f t="shared" si="599"/>
        <v>100.91873250784838</v>
      </c>
      <c r="Z196" s="217">
        <f t="shared" si="515"/>
        <v>1.4891143252745964</v>
      </c>
      <c r="AA196" s="173">
        <f t="shared" si="516"/>
        <v>1.0406034465747915</v>
      </c>
      <c r="AB196" s="173">
        <f t="shared" si="517"/>
        <v>0.2417004034116694</v>
      </c>
      <c r="AC196" s="173"/>
      <c r="AD196" s="173">
        <f t="shared" si="518"/>
        <v>0.93174260602446957</v>
      </c>
      <c r="AE196" s="545">
        <f t="shared" si="519"/>
        <v>1384.5025349910011</v>
      </c>
      <c r="AF196" s="528">
        <f t="shared" si="520"/>
        <v>0.21740660807237627</v>
      </c>
      <c r="AH196" s="173">
        <f t="shared" si="521"/>
        <v>2.7450388148873404</v>
      </c>
      <c r="AI196" s="173">
        <f t="shared" si="522"/>
        <v>5.0602146304976134</v>
      </c>
      <c r="AJ196" s="173">
        <f t="shared" si="523"/>
        <v>3.9606528127142813</v>
      </c>
      <c r="AL196" s="545">
        <f t="shared" si="524"/>
        <v>860</v>
      </c>
      <c r="AM196" s="460">
        <f t="shared" si="525"/>
        <v>100.91873250784838</v>
      </c>
      <c r="AO196">
        <f t="shared" si="526"/>
        <v>860</v>
      </c>
      <c r="AP196">
        <f t="shared" si="527"/>
        <v>100.91873250784838</v>
      </c>
      <c r="AR196" s="5">
        <f t="shared" si="443"/>
        <v>9.9089631344927049</v>
      </c>
      <c r="AS196" s="5">
        <f t="shared" si="604"/>
        <v>6.1728499593454611</v>
      </c>
      <c r="AT196" s="5">
        <f t="shared" si="605"/>
        <v>3.7361131751472438</v>
      </c>
      <c r="AU196" s="173">
        <f t="shared" si="606"/>
        <v>0.62295619385826728</v>
      </c>
      <c r="AW196" s="5">
        <f t="shared" si="477"/>
        <v>32.369822957543278</v>
      </c>
      <c r="AX196" s="5">
        <f t="shared" si="478"/>
        <v>16.589534265740927</v>
      </c>
      <c r="AY196" s="5">
        <f t="shared" si="479"/>
        <v>4.4639221670178166</v>
      </c>
      <c r="AZ196" s="5"/>
      <c r="BA196" s="173">
        <f t="shared" si="480"/>
        <v>2.3058819232846917</v>
      </c>
      <c r="BB196" s="173">
        <f t="shared" si="481"/>
        <v>1.7939247266174776</v>
      </c>
      <c r="BC196" s="173">
        <f t="shared" si="482"/>
        <v>0.44011639634374261</v>
      </c>
      <c r="BD196" s="173"/>
      <c r="BE196" s="528">
        <f t="shared" si="483"/>
        <v>0.10634182888262217</v>
      </c>
      <c r="BF196" s="528">
        <f t="shared" si="528"/>
        <v>0.25861466964485941</v>
      </c>
      <c r="BG196" s="528">
        <f t="shared" si="529"/>
        <v>2.481854168289092E-2</v>
      </c>
      <c r="BH196" s="528">
        <f t="shared" si="484"/>
        <v>7.3619710429471555E-3</v>
      </c>
      <c r="BI196">
        <f t="shared" si="485"/>
        <v>4.4266682625774597E-3</v>
      </c>
      <c r="BJ196" s="460">
        <f t="shared" si="600"/>
        <v>29.245209945468378</v>
      </c>
      <c r="BK196">
        <f t="shared" si="530"/>
        <v>0.41142619436540323</v>
      </c>
      <c r="BL196" s="460">
        <f t="shared" si="601"/>
        <v>401.56367951589715</v>
      </c>
      <c r="BM196" s="173">
        <f t="shared" si="531"/>
        <v>0.53427499999999994</v>
      </c>
      <c r="BN196" s="173">
        <f t="shared" si="532"/>
        <v>0.13356874999999999</v>
      </c>
      <c r="BO196" s="528"/>
      <c r="BQ196" s="460">
        <f t="shared" si="486"/>
        <v>667.84375</v>
      </c>
      <c r="BR196" s="528">
        <f t="shared" si="487"/>
        <v>0.15951274332393325</v>
      </c>
      <c r="BS196" s="528">
        <f t="shared" si="488"/>
        <v>9.6544977743087748E-2</v>
      </c>
      <c r="BT196" s="528">
        <f t="shared" si="489"/>
        <v>9.6851221165301167E-4</v>
      </c>
      <c r="BU196" s="528">
        <f t="shared" si="490"/>
        <v>0.29466042953118488</v>
      </c>
      <c r="BV196" s="528"/>
      <c r="BW196" s="625">
        <f t="shared" si="533"/>
        <v>1.292051032946597E-2</v>
      </c>
      <c r="BX196" s="460">
        <f t="shared" si="607"/>
        <v>564.6071731393248</v>
      </c>
      <c r="BY196" s="173">
        <f t="shared" si="608"/>
        <v>1.6340146026552218</v>
      </c>
      <c r="BZ196" s="5">
        <f t="shared" si="609"/>
        <v>15.824</v>
      </c>
      <c r="CA196" s="173">
        <f t="shared" si="610"/>
        <v>0.90640318273037179</v>
      </c>
      <c r="CB196" s="5">
        <f t="shared" si="611"/>
        <v>90.640318273037181</v>
      </c>
      <c r="CC196">
        <f t="shared" si="612"/>
        <v>86</v>
      </c>
      <c r="CE196" s="562">
        <f t="shared" si="534"/>
        <v>-50</v>
      </c>
      <c r="CF196">
        <f t="shared" si="535"/>
        <v>-50</v>
      </c>
      <c r="CG196" s="173">
        <f t="shared" si="536"/>
        <v>0.35771495841706197</v>
      </c>
      <c r="CH196" s="173">
        <f t="shared" si="537"/>
        <v>0.1249899513168843</v>
      </c>
      <c r="CI196" s="170">
        <v>86</v>
      </c>
      <c r="CJ196" s="217">
        <f t="shared" si="602"/>
        <v>0.86</v>
      </c>
      <c r="CK196" s="217">
        <f t="shared" si="538"/>
        <v>0.215</v>
      </c>
      <c r="CL196" s="217">
        <f t="shared" si="539"/>
        <v>14.103999999999999</v>
      </c>
      <c r="CM196" s="217">
        <f t="shared" si="540"/>
        <v>1.72</v>
      </c>
      <c r="CN196" s="541">
        <f t="shared" si="541"/>
        <v>10</v>
      </c>
      <c r="CO196" s="443">
        <f t="shared" si="542"/>
        <v>17.099999999999998</v>
      </c>
      <c r="CP196" s="443">
        <f t="shared" si="543"/>
        <v>27.099999999999998</v>
      </c>
      <c r="CQ196" s="443"/>
      <c r="CR196" s="217">
        <f t="shared" si="544"/>
        <v>0.62686567164179097</v>
      </c>
      <c r="CS196" s="172">
        <f t="shared" si="545"/>
        <v>18.624269954574949</v>
      </c>
      <c r="CT196" s="172">
        <f t="shared" si="546"/>
        <v>2.5482344375682562</v>
      </c>
      <c r="CU196" s="217">
        <f t="shared" si="547"/>
        <v>1.135626216742375</v>
      </c>
      <c r="CV196" s="217">
        <f t="shared" si="548"/>
        <v>2.3280337443218686</v>
      </c>
      <c r="CW196" s="217">
        <f t="shared" si="549"/>
        <v>16.399999999999999</v>
      </c>
      <c r="CX196" s="217">
        <f t="shared" si="550"/>
        <v>5.0486095238095245</v>
      </c>
      <c r="CY196" s="217">
        <f t="shared" si="551"/>
        <v>6.0583314285714298</v>
      </c>
      <c r="CZ196" s="217">
        <f t="shared" si="552"/>
        <v>3.5428838763575614</v>
      </c>
      <c r="DA196" s="197">
        <f t="shared" si="553"/>
        <v>350</v>
      </c>
      <c r="DB196" s="443">
        <f t="shared" si="554"/>
        <v>104.15348143340024</v>
      </c>
      <c r="DD196" s="217">
        <f t="shared" si="555"/>
        <v>1.5023721665788083</v>
      </c>
      <c r="DE196" s="173">
        <f t="shared" si="556"/>
        <v>1.0542962572482866</v>
      </c>
      <c r="DF196" s="173">
        <f t="shared" si="557"/>
        <v>0.24706104135140031</v>
      </c>
      <c r="DG196" s="173"/>
      <c r="DH196" s="173">
        <f t="shared" si="558"/>
        <v>0.93567251461988332</v>
      </c>
      <c r="DI196" s="545">
        <f t="shared" si="559"/>
        <v>1378.6874999999995</v>
      </c>
      <c r="DJ196" s="528">
        <f t="shared" si="560"/>
        <v>0.21832358674463945</v>
      </c>
      <c r="DL196" s="173">
        <f t="shared" si="561"/>
        <v>2.7450388148873404</v>
      </c>
      <c r="DM196" s="173">
        <f t="shared" si="562"/>
        <v>5.0486095238095245</v>
      </c>
      <c r="DN196" s="173">
        <f t="shared" si="563"/>
        <v>3.9520564373897713</v>
      </c>
      <c r="DP196" s="545">
        <f t="shared" si="564"/>
        <v>860</v>
      </c>
      <c r="DQ196" s="460">
        <f t="shared" si="565"/>
        <v>104.15348143340024</v>
      </c>
      <c r="DS196">
        <f t="shared" si="614"/>
        <v>860</v>
      </c>
      <c r="DT196">
        <f t="shared" si="615"/>
        <v>104.15348143340024</v>
      </c>
      <c r="DV196" s="5">
        <f t="shared" si="568"/>
        <v>9.6012153049289921</v>
      </c>
      <c r="DW196" s="5">
        <f t="shared" si="569"/>
        <v>6.0583314285714298</v>
      </c>
      <c r="DX196" s="5">
        <f t="shared" si="570"/>
        <v>3.5428838763575623</v>
      </c>
      <c r="DY196" s="173">
        <f t="shared" si="571"/>
        <v>0.63099630996309952</v>
      </c>
      <c r="EA196" s="5">
        <f t="shared" si="572"/>
        <v>31.769298954703846</v>
      </c>
      <c r="EB196" s="5">
        <f t="shared" si="573"/>
        <v>16.281765714285719</v>
      </c>
      <c r="EC196" s="5">
        <f t="shared" si="574"/>
        <v>4.1640695160122538</v>
      </c>
      <c r="ED196" s="5"/>
      <c r="EE196" s="173">
        <f t="shared" si="575"/>
        <v>2.3153921930441959</v>
      </c>
      <c r="EF196" s="173">
        <f t="shared" si="576"/>
        <v>1.7706246638846792</v>
      </c>
      <c r="EG196" s="173">
        <f t="shared" si="577"/>
        <v>0.43440002514243914</v>
      </c>
      <c r="EH196" s="173"/>
      <c r="EI196" s="528">
        <f t="shared" si="578"/>
        <v>0.10722082015220022</v>
      </c>
      <c r="EJ196" s="528">
        <f t="shared" si="579"/>
        <v>0.28499999999999998</v>
      </c>
      <c r="EK196" s="528">
        <f t="shared" si="580"/>
        <v>1.301918517917503E-2</v>
      </c>
      <c r="EL196" s="528">
        <f t="shared" si="581"/>
        <v>7.6491358299503459E-3</v>
      </c>
      <c r="EM196">
        <f t="shared" si="582"/>
        <v>4.4999999999999997E-3</v>
      </c>
      <c r="EN196" s="460">
        <f t="shared" si="583"/>
        <v>17.519185179175029</v>
      </c>
      <c r="EP196" s="460">
        <f t="shared" si="603"/>
        <v>417.3891411613256</v>
      </c>
      <c r="EQ196" s="173">
        <f t="shared" si="584"/>
        <v>0.60199999999999998</v>
      </c>
      <c r="ER196" s="173">
        <f t="shared" si="585"/>
        <v>9.5406249999999998E-2</v>
      </c>
      <c r="ES196" s="528"/>
      <c r="EU196" s="460">
        <f t="shared" si="497"/>
        <v>697.40625</v>
      </c>
      <c r="EV196" s="528">
        <f t="shared" si="586"/>
        <v>0.16083123022830031</v>
      </c>
      <c r="EW196" s="528">
        <f t="shared" si="587"/>
        <v>9.4053351010701988E-2</v>
      </c>
      <c r="EX196" s="528">
        <f t="shared" si="588"/>
        <v>9.4351690921875881E-4</v>
      </c>
      <c r="EY196" s="528">
        <f t="shared" si="589"/>
        <v>0.31701801185397405</v>
      </c>
      <c r="EZ196" s="528"/>
      <c r="FA196" s="625">
        <f t="shared" si="590"/>
        <v>1.3273558249868212E-2</v>
      </c>
      <c r="FB196" s="460">
        <f t="shared" si="613"/>
        <v>586.11966825206332</v>
      </c>
      <c r="FC196" s="173">
        <f t="shared" si="591"/>
        <v>1.7009150594133888</v>
      </c>
      <c r="FD196" s="5">
        <f t="shared" si="592"/>
        <v>15.824</v>
      </c>
      <c r="FE196" s="173">
        <f t="shared" si="593"/>
        <v>0.90294303546425736</v>
      </c>
      <c r="FF196" s="5">
        <f t="shared" si="594"/>
        <v>90.294303546425738</v>
      </c>
      <c r="FG196">
        <f t="shared" si="595"/>
        <v>86</v>
      </c>
      <c r="FI196" s="562">
        <f t="shared" si="596"/>
        <v>-50</v>
      </c>
      <c r="FJ196">
        <f t="shared" si="597"/>
        <v>-50</v>
      </c>
    </row>
    <row r="197" spans="5:166">
      <c r="E197" s="170">
        <v>87</v>
      </c>
      <c r="F197" s="217">
        <f t="shared" si="598"/>
        <v>0.87</v>
      </c>
      <c r="G197" s="217">
        <f t="shared" si="499"/>
        <v>0.2175</v>
      </c>
      <c r="H197" s="217">
        <f t="shared" si="500"/>
        <v>14.267999999999999</v>
      </c>
      <c r="I197" s="217">
        <f t="shared" si="501"/>
        <v>1.74</v>
      </c>
      <c r="J197" s="541">
        <f t="shared" si="502"/>
        <v>9.8351457065694827</v>
      </c>
      <c r="K197" s="443">
        <f t="shared" si="503"/>
        <v>17.172963121574494</v>
      </c>
      <c r="L197" s="172">
        <f t="shared" si="504"/>
        <v>27.008108828143975</v>
      </c>
      <c r="M197" s="443"/>
      <c r="N197" s="217">
        <f t="shared" si="505"/>
        <v>0.6358447098554082</v>
      </c>
      <c r="O197" s="172">
        <f t="shared" si="506"/>
        <v>18.579611601112518</v>
      </c>
      <c r="P197" s="172">
        <f t="shared" si="507"/>
        <v>2.5421241334062343</v>
      </c>
      <c r="Q197" s="217">
        <f t="shared" si="508"/>
        <v>1.1329031464093</v>
      </c>
      <c r="R197" s="217">
        <f t="shared" si="509"/>
        <v>2.3224514501390647</v>
      </c>
      <c r="S197" s="217">
        <f t="shared" si="510"/>
        <v>16.399999999999999</v>
      </c>
      <c r="T197" s="217">
        <f t="shared" si="511"/>
        <v>5.1195903360167305</v>
      </c>
      <c r="U197" s="217">
        <f t="shared" si="512"/>
        <v>6.2464843801108705</v>
      </c>
      <c r="V197" s="217">
        <f t="shared" si="513"/>
        <v>3.5774306156297224</v>
      </c>
      <c r="W197" s="197">
        <f t="shared" si="514"/>
        <v>350</v>
      </c>
      <c r="X197" s="443">
        <f t="shared" si="599"/>
        <v>99.761420605115319</v>
      </c>
      <c r="Z197" s="217">
        <f t="shared" si="515"/>
        <v>1.4889584209950797</v>
      </c>
      <c r="AA197" s="173">
        <f t="shared" si="516"/>
        <v>1.0404436861274051</v>
      </c>
      <c r="AB197" s="173">
        <f t="shared" si="517"/>
        <v>0.24163799476346259</v>
      </c>
      <c r="AC197" s="173"/>
      <c r="AD197" s="173">
        <f t="shared" si="518"/>
        <v>0.93169710356502822</v>
      </c>
      <c r="AE197" s="545">
        <f t="shared" si="519"/>
        <v>1400.6698046034194</v>
      </c>
      <c r="AF197" s="528">
        <f t="shared" si="520"/>
        <v>0.21739599083183994</v>
      </c>
      <c r="AH197" s="173">
        <f t="shared" si="521"/>
        <v>2.7609522166921221</v>
      </c>
      <c r="AI197" s="173">
        <f t="shared" si="522"/>
        <v>5.1195903360167305</v>
      </c>
      <c r="AJ197" s="173">
        <f t="shared" si="523"/>
        <v>4.0046348168025165</v>
      </c>
      <c r="AL197" s="545">
        <f t="shared" si="524"/>
        <v>870</v>
      </c>
      <c r="AM197" s="460">
        <f t="shared" si="525"/>
        <v>99.761420605115319</v>
      </c>
      <c r="AO197">
        <f t="shared" si="526"/>
        <v>870</v>
      </c>
      <c r="AP197">
        <f t="shared" si="527"/>
        <v>99.761420605115319</v>
      </c>
      <c r="AR197" s="5">
        <f t="shared" si="443"/>
        <v>10.023914995740592</v>
      </c>
      <c r="AS197" s="5">
        <f t="shared" si="604"/>
        <v>6.2464843801108705</v>
      </c>
      <c r="AT197" s="5">
        <f t="shared" si="605"/>
        <v>3.7774306156297213</v>
      </c>
      <c r="AU197" s="173">
        <f t="shared" si="606"/>
        <v>0.62315815554752363</v>
      </c>
      <c r="AW197" s="5">
        <f t="shared" si="477"/>
        <v>33.136837870100358</v>
      </c>
      <c r="AX197" s="5">
        <f t="shared" si="478"/>
        <v>16.982629408426426</v>
      </c>
      <c r="AY197" s="5">
        <f t="shared" si="479"/>
        <v>4.5666481575190963</v>
      </c>
      <c r="AZ197" s="5"/>
      <c r="BA197" s="173">
        <f t="shared" si="480"/>
        <v>2.333316890489848</v>
      </c>
      <c r="BB197" s="173">
        <f t="shared" si="481"/>
        <v>1.8144881807551367</v>
      </c>
      <c r="BC197" s="173">
        <f t="shared" si="482"/>
        <v>0.4451613757663247</v>
      </c>
      <c r="BD197" s="173"/>
      <c r="BE197" s="528">
        <f t="shared" si="483"/>
        <v>0.10888735422890428</v>
      </c>
      <c r="BF197" s="528">
        <f t="shared" si="528"/>
        <v>0.25863856526381257</v>
      </c>
      <c r="BG197" s="528">
        <f t="shared" si="529"/>
        <v>2.4529202688641807E-2</v>
      </c>
      <c r="BH197" s="528">
        <f t="shared" si="484"/>
        <v>7.2769765384365749E-3</v>
      </c>
      <c r="BI197">
        <f t="shared" si="485"/>
        <v>4.4258155679562667E-3</v>
      </c>
      <c r="BJ197" s="460">
        <f t="shared" si="600"/>
        <v>28.955018256598073</v>
      </c>
      <c r="BK197">
        <f t="shared" si="530"/>
        <v>0.4149375958519817</v>
      </c>
      <c r="BL197" s="460">
        <f t="shared" si="601"/>
        <v>403.75791428775148</v>
      </c>
      <c r="BM197" s="173">
        <f t="shared" si="531"/>
        <v>0.54048750000000001</v>
      </c>
      <c r="BN197" s="173">
        <f t="shared" si="532"/>
        <v>0.135121875</v>
      </c>
      <c r="BO197" s="528"/>
      <c r="BQ197" s="460">
        <f t="shared" si="486"/>
        <v>675.60937500000011</v>
      </c>
      <c r="BR197" s="528">
        <f t="shared" si="487"/>
        <v>0.16333103134335641</v>
      </c>
      <c r="BS197" s="528">
        <f t="shared" si="488"/>
        <v>9.8771020743002563E-2</v>
      </c>
      <c r="BT197" s="528">
        <f t="shared" si="489"/>
        <v>9.9084325237083467E-4</v>
      </c>
      <c r="BU197" s="528">
        <f t="shared" si="490"/>
        <v>0.29475731583748854</v>
      </c>
      <c r="BV197" s="528"/>
      <c r="BW197" s="625">
        <f t="shared" si="533"/>
        <v>1.3073836529825553E-2</v>
      </c>
      <c r="BX197" s="460">
        <f t="shared" si="607"/>
        <v>570.92404770604378</v>
      </c>
      <c r="BY197" s="173">
        <f t="shared" si="608"/>
        <v>1.6502913369937955</v>
      </c>
      <c r="BZ197" s="5">
        <f t="shared" si="609"/>
        <v>16.007999999999999</v>
      </c>
      <c r="CA197" s="173">
        <f t="shared" si="610"/>
        <v>0.90654297714884424</v>
      </c>
      <c r="CB197" s="5">
        <f t="shared" si="611"/>
        <v>90.654297714884422</v>
      </c>
      <c r="CC197">
        <f t="shared" si="612"/>
        <v>87</v>
      </c>
      <c r="CE197" s="562">
        <f t="shared" si="534"/>
        <v>-50</v>
      </c>
      <c r="CF197">
        <f t="shared" si="535"/>
        <v>-50</v>
      </c>
      <c r="CG197" s="173">
        <f t="shared" si="536"/>
        <v>0.35771495841706202</v>
      </c>
      <c r="CH197" s="173">
        <f t="shared" si="537"/>
        <v>0.12498995131688433</v>
      </c>
      <c r="CI197" s="170">
        <v>87</v>
      </c>
      <c r="CJ197" s="217">
        <f t="shared" si="602"/>
        <v>0.87</v>
      </c>
      <c r="CK197" s="217">
        <f t="shared" si="538"/>
        <v>0.2175</v>
      </c>
      <c r="CL197" s="217">
        <f t="shared" si="539"/>
        <v>14.267999999999999</v>
      </c>
      <c r="CM197" s="217">
        <f t="shared" si="540"/>
        <v>1.74</v>
      </c>
      <c r="CN197" s="541">
        <f t="shared" si="541"/>
        <v>10</v>
      </c>
      <c r="CO197" s="443">
        <f t="shared" si="542"/>
        <v>17.099999999999998</v>
      </c>
      <c r="CP197" s="443">
        <f t="shared" si="543"/>
        <v>27.099999999999998</v>
      </c>
      <c r="CQ197" s="443"/>
      <c r="CR197" s="217">
        <f t="shared" si="544"/>
        <v>0.62686567164179097</v>
      </c>
      <c r="CS197" s="172">
        <f t="shared" si="545"/>
        <v>18.624269954574949</v>
      </c>
      <c r="CT197" s="172">
        <f t="shared" si="546"/>
        <v>2.5482344375682562</v>
      </c>
      <c r="CU197" s="217">
        <f t="shared" si="547"/>
        <v>1.135626216742375</v>
      </c>
      <c r="CV197" s="217">
        <f t="shared" si="548"/>
        <v>2.3280337443218686</v>
      </c>
      <c r="CW197" s="217">
        <f t="shared" si="549"/>
        <v>16.399999999999999</v>
      </c>
      <c r="CX197" s="217">
        <f t="shared" si="550"/>
        <v>5.1073142857142857</v>
      </c>
      <c r="CY197" s="217">
        <f t="shared" si="551"/>
        <v>6.1287771428571425</v>
      </c>
      <c r="CZ197" s="217">
        <f t="shared" si="552"/>
        <v>3.5840802005012531</v>
      </c>
      <c r="DA197" s="197">
        <f t="shared" si="553"/>
        <v>350</v>
      </c>
      <c r="DB197" s="443">
        <f t="shared" si="554"/>
        <v>102.95631498014281</v>
      </c>
      <c r="DD197" s="217">
        <f t="shared" si="555"/>
        <v>1.5023721665788083</v>
      </c>
      <c r="DE197" s="173">
        <f t="shared" si="556"/>
        <v>1.0542962572482866</v>
      </c>
      <c r="DF197" s="173">
        <f t="shared" si="557"/>
        <v>0.24706104135140031</v>
      </c>
      <c r="DG197" s="173"/>
      <c r="DH197" s="173">
        <f t="shared" si="558"/>
        <v>0.93567251461988332</v>
      </c>
      <c r="DI197" s="545">
        <f t="shared" si="559"/>
        <v>1394.7187499999995</v>
      </c>
      <c r="DJ197" s="528">
        <f t="shared" si="560"/>
        <v>0.21832358674463945</v>
      </c>
      <c r="DL197" s="173">
        <f t="shared" si="561"/>
        <v>2.7609522166921221</v>
      </c>
      <c r="DM197" s="173">
        <f t="shared" si="562"/>
        <v>5.1073142857142857</v>
      </c>
      <c r="DN197" s="173">
        <f t="shared" si="563"/>
        <v>3.9955414462081125</v>
      </c>
      <c r="DP197" s="545">
        <f t="shared" si="564"/>
        <v>870</v>
      </c>
      <c r="DQ197" s="460">
        <f t="shared" si="565"/>
        <v>102.95631498014281</v>
      </c>
      <c r="DS197">
        <f t="shared" si="614"/>
        <v>870</v>
      </c>
      <c r="DT197">
        <f t="shared" si="615"/>
        <v>102.95631498014281</v>
      </c>
      <c r="DV197" s="5">
        <f t="shared" si="568"/>
        <v>9.7128573433583956</v>
      </c>
      <c r="DW197" s="5">
        <f t="shared" si="569"/>
        <v>6.1287771428571425</v>
      </c>
      <c r="DX197" s="5">
        <f t="shared" si="570"/>
        <v>3.5840802005012531</v>
      </c>
      <c r="DY197" s="173">
        <f t="shared" si="571"/>
        <v>0.63099630996309963</v>
      </c>
      <c r="EA197" s="5">
        <f t="shared" si="572"/>
        <v>32.512415331010459</v>
      </c>
      <c r="EB197" s="5">
        <f t="shared" si="573"/>
        <v>16.662612857142857</v>
      </c>
      <c r="EC197" s="5">
        <f t="shared" si="574"/>
        <v>4.2614713583959887</v>
      </c>
      <c r="ED197" s="5"/>
      <c r="EE197" s="173">
        <f t="shared" si="575"/>
        <v>2.3423153580795937</v>
      </c>
      <c r="EF197" s="173">
        <f t="shared" si="576"/>
        <v>1.7912133227670586</v>
      </c>
      <c r="EG197" s="173">
        <f t="shared" si="577"/>
        <v>0.43945118822549067</v>
      </c>
      <c r="EH197" s="173"/>
      <c r="EI197" s="528">
        <f t="shared" si="578"/>
        <v>0.10972882473391071</v>
      </c>
      <c r="EJ197" s="528">
        <f t="shared" si="579"/>
        <v>0.28500000000000003</v>
      </c>
      <c r="EK197" s="528">
        <f t="shared" si="580"/>
        <v>1.2869539372517851E-2</v>
      </c>
      <c r="EL197" s="528">
        <f t="shared" si="581"/>
        <v>7.5612147284566666E-3</v>
      </c>
      <c r="EM197">
        <f t="shared" si="582"/>
        <v>4.4999999999999997E-3</v>
      </c>
      <c r="EN197" s="460">
        <f t="shared" si="583"/>
        <v>17.369539372517849</v>
      </c>
      <c r="EP197" s="460">
        <f t="shared" si="603"/>
        <v>419.65957883488522</v>
      </c>
      <c r="EQ197" s="173">
        <f t="shared" si="584"/>
        <v>0.60899999999999999</v>
      </c>
      <c r="ER197" s="173">
        <f t="shared" si="585"/>
        <v>9.6515624999999994E-2</v>
      </c>
      <c r="ES197" s="528"/>
      <c r="EU197" s="460">
        <f t="shared" si="497"/>
        <v>705.515625</v>
      </c>
      <c r="EV197" s="528">
        <f t="shared" si="586"/>
        <v>0.16459323710086604</v>
      </c>
      <c r="EW197" s="528">
        <f t="shared" si="587"/>
        <v>9.625335502974619E-2</v>
      </c>
      <c r="EX197" s="528">
        <f t="shared" si="588"/>
        <v>9.6558673416397814E-4</v>
      </c>
      <c r="EY197" s="528">
        <f t="shared" si="589"/>
        <v>0.31701801185397399</v>
      </c>
      <c r="EZ197" s="528"/>
      <c r="FA197" s="625">
        <f t="shared" si="590"/>
        <v>1.3427901950448077E-2</v>
      </c>
      <c r="FB197" s="460">
        <f t="shared" si="613"/>
        <v>592.25809266919828</v>
      </c>
      <c r="FC197" s="173">
        <f t="shared" si="591"/>
        <v>1.7174332965040835</v>
      </c>
      <c r="FD197" s="5">
        <f t="shared" si="592"/>
        <v>16.007999999999999</v>
      </c>
      <c r="FE197" s="173">
        <f t="shared" si="593"/>
        <v>0.90310909370871029</v>
      </c>
      <c r="FF197" s="5">
        <f t="shared" si="594"/>
        <v>90.31090937087103</v>
      </c>
      <c r="FG197">
        <f t="shared" si="595"/>
        <v>87</v>
      </c>
      <c r="FI197" s="562">
        <f t="shared" si="596"/>
        <v>-50</v>
      </c>
      <c r="FJ197">
        <f t="shared" si="597"/>
        <v>-50</v>
      </c>
    </row>
    <row r="198" spans="5:166">
      <c r="E198" s="170">
        <v>88</v>
      </c>
      <c r="F198" s="217">
        <f t="shared" si="598"/>
        <v>0.88</v>
      </c>
      <c r="G198" s="217">
        <f t="shared" si="499"/>
        <v>0.22</v>
      </c>
      <c r="H198" s="217">
        <f t="shared" si="500"/>
        <v>14.431999999999999</v>
      </c>
      <c r="I198" s="217">
        <f t="shared" si="501"/>
        <v>1.76</v>
      </c>
      <c r="J198" s="541">
        <f t="shared" si="502"/>
        <v>9.8332508296335011</v>
      </c>
      <c r="K198" s="443">
        <f t="shared" si="503"/>
        <v>17.173801778144316</v>
      </c>
      <c r="L198" s="172">
        <f t="shared" si="504"/>
        <v>27.007052607777815</v>
      </c>
      <c r="M198" s="443"/>
      <c r="N198" s="217">
        <f t="shared" si="505"/>
        <v>0.6359006303856497</v>
      </c>
      <c r="O198" s="172">
        <f t="shared" si="506"/>
        <v>18.577665685034091</v>
      </c>
      <c r="P198" s="172">
        <f t="shared" si="507"/>
        <v>2.5418578867090074</v>
      </c>
      <c r="Q198" s="217">
        <f t="shared" si="508"/>
        <v>1.1327844929898838</v>
      </c>
      <c r="R198" s="217">
        <f t="shared" si="509"/>
        <v>2.3222082106292614</v>
      </c>
      <c r="S198" s="217">
        <f t="shared" si="510"/>
        <v>16.399999999999999</v>
      </c>
      <c r="T198" s="217">
        <f t="shared" si="511"/>
        <v>5.1789786168259813</v>
      </c>
      <c r="U198" s="217">
        <f t="shared" si="512"/>
        <v>6.3201625259698693</v>
      </c>
      <c r="V198" s="217">
        <f t="shared" si="513"/>
        <v>3.6187528076050168</v>
      </c>
      <c r="W198" s="197">
        <f t="shared" si="514"/>
        <v>350</v>
      </c>
      <c r="X198" s="443">
        <f t="shared" si="599"/>
        <v>98.629879735607716</v>
      </c>
      <c r="Z198" s="217">
        <f t="shared" si="515"/>
        <v>1.4888024765009893</v>
      </c>
      <c r="AA198" s="173">
        <f t="shared" si="516"/>
        <v>1.0402839131838582</v>
      </c>
      <c r="AB198" s="173">
        <f t="shared" si="517"/>
        <v>0.24157558445810923</v>
      </c>
      <c r="AC198" s="173"/>
      <c r="AD198" s="173">
        <f t="shared" si="518"/>
        <v>0.93165160554967419</v>
      </c>
      <c r="AE198" s="545">
        <f t="shared" si="519"/>
        <v>1416.8386466969057</v>
      </c>
      <c r="AF198" s="528">
        <f t="shared" si="520"/>
        <v>0.21738537462825736</v>
      </c>
      <c r="AH198" s="173">
        <f t="shared" si="521"/>
        <v>2.7767744219644834</v>
      </c>
      <c r="AI198" s="173">
        <f t="shared" si="522"/>
        <v>5.1789786168259813</v>
      </c>
      <c r="AJ198" s="173">
        <f t="shared" si="523"/>
        <v>4.0486261359204798</v>
      </c>
      <c r="AL198" s="545">
        <f t="shared" si="524"/>
        <v>880</v>
      </c>
      <c r="AM198" s="460">
        <f t="shared" si="525"/>
        <v>98.629879735607716</v>
      </c>
      <c r="AO198">
        <f t="shared" si="526"/>
        <v>880</v>
      </c>
      <c r="AP198">
        <f t="shared" si="527"/>
        <v>98.629879735607716</v>
      </c>
      <c r="AR198" s="5">
        <f t="shared" ref="AR198:AR262" si="616">1/AM198*1000</f>
        <v>10.138915333574886</v>
      </c>
      <c r="AS198" s="5">
        <f t="shared" si="604"/>
        <v>6.3201625259698693</v>
      </c>
      <c r="AT198" s="5">
        <f t="shared" si="605"/>
        <v>3.8187528076050166</v>
      </c>
      <c r="AU198" s="173">
        <f t="shared" si="606"/>
        <v>0.62335686984590288</v>
      </c>
      <c r="AW198" s="5">
        <f t="shared" si="477"/>
        <v>33.913067212521256</v>
      </c>
      <c r="AX198" s="5">
        <f t="shared" si="478"/>
        <v>17.380446946417141</v>
      </c>
      <c r="AY198" s="5">
        <f t="shared" si="479"/>
        <v>4.6705680446041002</v>
      </c>
      <c r="AZ198" s="5"/>
      <c r="BA198" s="173">
        <f t="shared" si="480"/>
        <v>2.3607601498622235</v>
      </c>
      <c r="BB198" s="173">
        <f t="shared" si="481"/>
        <v>1.8350525930708572</v>
      </c>
      <c r="BC198" s="173">
        <f t="shared" si="482"/>
        <v>0.45020659026559046</v>
      </c>
      <c r="BD198" s="173"/>
      <c r="BE198" s="528">
        <f t="shared" si="483"/>
        <v>0.11146376970355017</v>
      </c>
      <c r="BF198" s="528">
        <f t="shared" si="528"/>
        <v>0.25866107842424008</v>
      </c>
      <c r="BG198" s="528">
        <f t="shared" si="529"/>
        <v>2.4246308668420428E-2</v>
      </c>
      <c r="BH198" s="528">
        <f t="shared" si="484"/>
        <v>7.1938749517312097E-3</v>
      </c>
      <c r="BI198">
        <f t="shared" si="485"/>
        <v>4.4249628733350754E-3</v>
      </c>
      <c r="BJ198" s="460">
        <f t="shared" si="600"/>
        <v>28.671271541755502</v>
      </c>
      <c r="BK198">
        <f t="shared" si="530"/>
        <v>0.41849733719709692</v>
      </c>
      <c r="BL198" s="460">
        <f t="shared" si="601"/>
        <v>405.98999462127694</v>
      </c>
      <c r="BM198" s="173">
        <f t="shared" si="531"/>
        <v>0.54669999999999996</v>
      </c>
      <c r="BN198" s="173">
        <f t="shared" si="532"/>
        <v>0.13667499999999999</v>
      </c>
      <c r="BO198" s="528"/>
      <c r="BQ198" s="460">
        <f t="shared" si="486"/>
        <v>683.375</v>
      </c>
      <c r="BR198" s="528">
        <f t="shared" si="487"/>
        <v>0.16719565455532523</v>
      </c>
      <c r="BS198" s="528">
        <f t="shared" si="488"/>
        <v>0.10102254058008231</v>
      </c>
      <c r="BT198" s="528">
        <f t="shared" si="489"/>
        <v>1.0134298695928462E-3</v>
      </c>
      <c r="BU198" s="528">
        <f t="shared" si="490"/>
        <v>0.29485028912517725</v>
      </c>
      <c r="BV198" s="528"/>
      <c r="BW198" s="625">
        <f t="shared" si="533"/>
        <v>1.3227164164553504E-2</v>
      </c>
      <c r="BX198" s="460">
        <f t="shared" si="607"/>
        <v>577.30907829473108</v>
      </c>
      <c r="BY198" s="173">
        <f t="shared" si="608"/>
        <v>1.6666740729160081</v>
      </c>
      <c r="BZ198" s="5">
        <f t="shared" si="609"/>
        <v>16.192</v>
      </c>
      <c r="CA198" s="173">
        <f t="shared" si="610"/>
        <v>0.90667425442050908</v>
      </c>
      <c r="CB198" s="5">
        <f t="shared" si="611"/>
        <v>90.667425442050913</v>
      </c>
      <c r="CC198">
        <f t="shared" si="612"/>
        <v>88</v>
      </c>
      <c r="CE198" s="562">
        <f t="shared" si="534"/>
        <v>-50</v>
      </c>
      <c r="CF198">
        <f t="shared" si="535"/>
        <v>-50</v>
      </c>
      <c r="CG198" s="173">
        <f t="shared" si="536"/>
        <v>0.35771495841706202</v>
      </c>
      <c r="CH198" s="173">
        <f t="shared" si="537"/>
        <v>0.12498995131688433</v>
      </c>
      <c r="CI198" s="170">
        <v>88</v>
      </c>
      <c r="CJ198" s="217">
        <f t="shared" si="602"/>
        <v>0.88</v>
      </c>
      <c r="CK198" s="217">
        <f t="shared" si="538"/>
        <v>0.22</v>
      </c>
      <c r="CL198" s="217">
        <f t="shared" si="539"/>
        <v>14.431999999999999</v>
      </c>
      <c r="CM198" s="217">
        <f t="shared" si="540"/>
        <v>1.76</v>
      </c>
      <c r="CN198" s="541">
        <f t="shared" si="541"/>
        <v>10</v>
      </c>
      <c r="CO198" s="443">
        <f t="shared" si="542"/>
        <v>17.099999999999998</v>
      </c>
      <c r="CP198" s="443">
        <f t="shared" si="543"/>
        <v>27.099999999999998</v>
      </c>
      <c r="CQ198" s="443"/>
      <c r="CR198" s="217">
        <f t="shared" si="544"/>
        <v>0.62686567164179097</v>
      </c>
      <c r="CS198" s="172">
        <f t="shared" si="545"/>
        <v>18.624269954574949</v>
      </c>
      <c r="CT198" s="172">
        <f t="shared" si="546"/>
        <v>2.5482344375682562</v>
      </c>
      <c r="CU198" s="217">
        <f t="shared" si="547"/>
        <v>1.135626216742375</v>
      </c>
      <c r="CV198" s="217">
        <f t="shared" si="548"/>
        <v>2.3280337443218686</v>
      </c>
      <c r="CW198" s="217">
        <f t="shared" si="549"/>
        <v>16.399999999999999</v>
      </c>
      <c r="CX198" s="217">
        <f t="shared" si="550"/>
        <v>5.1660190476190477</v>
      </c>
      <c r="CY198" s="217">
        <f t="shared" si="551"/>
        <v>6.1992228571428569</v>
      </c>
      <c r="CZ198" s="217">
        <f t="shared" si="552"/>
        <v>3.6252765246449465</v>
      </c>
      <c r="DA198" s="197">
        <f t="shared" si="553"/>
        <v>350</v>
      </c>
      <c r="DB198" s="443">
        <f t="shared" si="554"/>
        <v>101.78635685536845</v>
      </c>
      <c r="DD198" s="217">
        <f t="shared" si="555"/>
        <v>1.5023721665788083</v>
      </c>
      <c r="DE198" s="173">
        <f t="shared" si="556"/>
        <v>1.0542962572482866</v>
      </c>
      <c r="DF198" s="173">
        <f t="shared" si="557"/>
        <v>0.24706104135140031</v>
      </c>
      <c r="DG198" s="173"/>
      <c r="DH198" s="173">
        <f t="shared" si="558"/>
        <v>0.93567251461988332</v>
      </c>
      <c r="DI198" s="545">
        <f t="shared" si="559"/>
        <v>1410.7499999999995</v>
      </c>
      <c r="DJ198" s="528">
        <f t="shared" si="560"/>
        <v>0.21832358674463945</v>
      </c>
      <c r="DL198" s="173">
        <f t="shared" si="561"/>
        <v>2.7767744219644834</v>
      </c>
      <c r="DM198" s="173">
        <f t="shared" si="562"/>
        <v>5.1660190476190477</v>
      </c>
      <c r="DN198" s="173">
        <f t="shared" si="563"/>
        <v>4.0390264550264545</v>
      </c>
      <c r="DP198" s="545">
        <f t="shared" si="564"/>
        <v>880</v>
      </c>
      <c r="DQ198" s="460">
        <f t="shared" si="565"/>
        <v>101.78635685536845</v>
      </c>
      <c r="DS198">
        <f t="shared" si="614"/>
        <v>880</v>
      </c>
      <c r="DT198">
        <f t="shared" si="615"/>
        <v>101.78635685536845</v>
      </c>
      <c r="DV198" s="5">
        <f t="shared" si="568"/>
        <v>9.8244993817878008</v>
      </c>
      <c r="DW198" s="5">
        <f t="shared" si="569"/>
        <v>6.1992228571428569</v>
      </c>
      <c r="DX198" s="5">
        <f t="shared" si="570"/>
        <v>3.6252765246449439</v>
      </c>
      <c r="DY198" s="173">
        <f t="shared" si="571"/>
        <v>0.63099630996309974</v>
      </c>
      <c r="EA198" s="5">
        <f t="shared" si="572"/>
        <v>33.264122648083628</v>
      </c>
      <c r="EB198" s="5">
        <f t="shared" si="573"/>
        <v>17.047862857142857</v>
      </c>
      <c r="EC198" s="5">
        <f t="shared" si="574"/>
        <v>4.3599992336396509</v>
      </c>
      <c r="ED198" s="5"/>
      <c r="EE198" s="173">
        <f t="shared" si="575"/>
        <v>2.3692385231149915</v>
      </c>
      <c r="EF198" s="173">
        <f t="shared" si="576"/>
        <v>1.8118019816494384</v>
      </c>
      <c r="EG198" s="173">
        <f t="shared" si="577"/>
        <v>0.44450235130854221</v>
      </c>
      <c r="EH198" s="173"/>
      <c r="EI198" s="528">
        <f t="shared" si="578"/>
        <v>0.11226582358824212</v>
      </c>
      <c r="EJ198" s="528">
        <f t="shared" si="579"/>
        <v>0.28499999999999998</v>
      </c>
      <c r="EK198" s="528">
        <f t="shared" si="580"/>
        <v>1.2723294606921056E-2</v>
      </c>
      <c r="EL198" s="528">
        <f t="shared" si="581"/>
        <v>7.4752918338151127E-3</v>
      </c>
      <c r="EM198">
        <f t="shared" si="582"/>
        <v>4.4999999999999997E-3</v>
      </c>
      <c r="EN198" s="460">
        <f t="shared" si="583"/>
        <v>17.223294606921055</v>
      </c>
      <c r="EP198" s="460">
        <f t="shared" si="603"/>
        <v>421.96441002897825</v>
      </c>
      <c r="EQ198" s="173">
        <f t="shared" si="584"/>
        <v>0.61599999999999999</v>
      </c>
      <c r="ER198" s="173">
        <f t="shared" si="585"/>
        <v>9.762499999999999E-2</v>
      </c>
      <c r="ES198" s="528"/>
      <c r="EU198" s="460">
        <f t="shared" si="497"/>
        <v>713.625</v>
      </c>
      <c r="EV198" s="528">
        <f t="shared" si="586"/>
        <v>0.16839873538236316</v>
      </c>
      <c r="EW198" s="528">
        <f t="shared" si="587"/>
        <v>9.8478792621264952E-2</v>
      </c>
      <c r="EX198" s="528">
        <f t="shared" si="588"/>
        <v>9.8791170159411349E-4</v>
      </c>
      <c r="EY198" s="528">
        <f t="shared" si="589"/>
        <v>0.31701801185397399</v>
      </c>
      <c r="EZ198" s="528"/>
      <c r="FA198" s="625">
        <f t="shared" si="590"/>
        <v>1.358224565102794E-2</v>
      </c>
      <c r="FB198" s="460">
        <f t="shared" si="613"/>
        <v>598.46569721022422</v>
      </c>
      <c r="FC198" s="173">
        <f t="shared" si="591"/>
        <v>1.7340551072392025</v>
      </c>
      <c r="FD198" s="5">
        <f t="shared" si="592"/>
        <v>16.192</v>
      </c>
      <c r="FE198" s="173">
        <f t="shared" si="593"/>
        <v>0.9032662179790506</v>
      </c>
      <c r="FF198" s="5">
        <f t="shared" si="594"/>
        <v>90.326621797905062</v>
      </c>
      <c r="FG198">
        <f t="shared" si="595"/>
        <v>88</v>
      </c>
      <c r="FI198" s="562">
        <f t="shared" si="596"/>
        <v>-50</v>
      </c>
      <c r="FJ198">
        <f t="shared" si="597"/>
        <v>-50</v>
      </c>
    </row>
    <row r="199" spans="5:166">
      <c r="E199" s="170">
        <v>89</v>
      </c>
      <c r="F199" s="217">
        <f t="shared" si="598"/>
        <v>0.89</v>
      </c>
      <c r="G199" s="217">
        <f t="shared" si="499"/>
        <v>0.2225</v>
      </c>
      <c r="H199" s="217">
        <f t="shared" si="500"/>
        <v>14.595999999999998</v>
      </c>
      <c r="I199" s="217">
        <f t="shared" si="501"/>
        <v>1.78</v>
      </c>
      <c r="J199" s="541">
        <f t="shared" si="502"/>
        <v>9.8313559526975176</v>
      </c>
      <c r="K199" s="443">
        <f t="shared" si="503"/>
        <v>17.174640434714139</v>
      </c>
      <c r="L199" s="172">
        <f t="shared" si="504"/>
        <v>27.005996387411656</v>
      </c>
      <c r="M199" s="443"/>
      <c r="N199" s="217">
        <f t="shared" si="505"/>
        <v>0.63595655529006068</v>
      </c>
      <c r="O199" s="172">
        <f t="shared" si="506"/>
        <v>18.575719267088825</v>
      </c>
      <c r="P199" s="172">
        <f t="shared" si="507"/>
        <v>2.5415915713446937</v>
      </c>
      <c r="Q199" s="217">
        <f t="shared" si="508"/>
        <v>1.1326658089688308</v>
      </c>
      <c r="R199" s="217">
        <f t="shared" si="509"/>
        <v>2.3219649083861031</v>
      </c>
      <c r="S199" s="217">
        <f t="shared" si="510"/>
        <v>16.399999999999999</v>
      </c>
      <c r="T199" s="217">
        <f t="shared" si="511"/>
        <v>5.2383794817069553</v>
      </c>
      <c r="U199" s="217">
        <f t="shared" si="512"/>
        <v>6.3938844329236044</v>
      </c>
      <c r="V199" s="217">
        <f t="shared" si="513"/>
        <v>3.6600797565128032</v>
      </c>
      <c r="W199" s="197">
        <f t="shared" si="514"/>
        <v>350</v>
      </c>
      <c r="X199" s="443">
        <f t="shared" si="599"/>
        <v>97.523258471118524</v>
      </c>
      <c r="Z199" s="217">
        <f t="shared" si="515"/>
        <v>1.4886464917876061</v>
      </c>
      <c r="AA199" s="173">
        <f t="shared" si="516"/>
        <v>1.040124127742684</v>
      </c>
      <c r="AB199" s="173">
        <f t="shared" si="517"/>
        <v>0.24151317249842166</v>
      </c>
      <c r="AC199" s="173"/>
      <c r="AD199" s="173">
        <f t="shared" si="518"/>
        <v>0.93160611197775645</v>
      </c>
      <c r="AE199" s="545">
        <f t="shared" si="519"/>
        <v>1433.0090612714605</v>
      </c>
      <c r="AF199" s="528">
        <f t="shared" si="520"/>
        <v>0.2173747594614765</v>
      </c>
      <c r="AH199" s="173">
        <f t="shared" si="521"/>
        <v>2.7925069808498666</v>
      </c>
      <c r="AI199" s="173">
        <f t="shared" si="522"/>
        <v>5.2383794817069553</v>
      </c>
      <c r="AJ199" s="173">
        <f t="shared" si="523"/>
        <v>4.0926267765730531</v>
      </c>
      <c r="AL199" s="545">
        <f t="shared" si="524"/>
        <v>890</v>
      </c>
      <c r="AM199" s="460">
        <f t="shared" si="525"/>
        <v>97.523258471118524</v>
      </c>
      <c r="AO199">
        <f t="shared" si="526"/>
        <v>890</v>
      </c>
      <c r="AP199">
        <f t="shared" si="527"/>
        <v>97.523258471118524</v>
      </c>
      <c r="AR199" s="5">
        <f t="shared" si="616"/>
        <v>10.253964189436406</v>
      </c>
      <c r="AS199" s="5">
        <f t="shared" si="604"/>
        <v>6.3938844329236044</v>
      </c>
      <c r="AT199" s="5">
        <f t="shared" si="605"/>
        <v>3.8600797565128016</v>
      </c>
      <c r="AU199" s="173">
        <f t="shared" si="606"/>
        <v>0.62355244418646982</v>
      </c>
      <c r="AW199" s="5">
        <f t="shared" si="477"/>
        <v>34.698519178670786</v>
      </c>
      <c r="AX199" s="5">
        <f t="shared" si="478"/>
        <v>17.782991079068776</v>
      </c>
      <c r="AY199" s="5">
        <f t="shared" si="479"/>
        <v>4.7756827234838219</v>
      </c>
      <c r="AZ199" s="5"/>
      <c r="BA199" s="173">
        <f t="shared" si="480"/>
        <v>2.3882117032108336</v>
      </c>
      <c r="BB199" s="173">
        <f t="shared" si="481"/>
        <v>1.8556179722048449</v>
      </c>
      <c r="BC199" s="173">
        <f t="shared" si="482"/>
        <v>0.45525204196130331</v>
      </c>
      <c r="BD199" s="173"/>
      <c r="BE199" s="528">
        <f t="shared" si="483"/>
        <v>0.11407110278706382</v>
      </c>
      <c r="BF199" s="528">
        <f t="shared" si="528"/>
        <v>0.2586822546358622</v>
      </c>
      <c r="BG199" s="528">
        <f t="shared" si="529"/>
        <v>2.3969646692412239E-2</v>
      </c>
      <c r="BH199" s="528">
        <f t="shared" si="484"/>
        <v>7.1126037442985996E-3</v>
      </c>
      <c r="BI199">
        <f t="shared" si="485"/>
        <v>4.4241101787138824E-3</v>
      </c>
      <c r="BJ199" s="460">
        <f t="shared" si="600"/>
        <v>28.393756871126122</v>
      </c>
      <c r="BK199">
        <f t="shared" si="530"/>
        <v>0.42210561141431729</v>
      </c>
      <c r="BL199" s="460">
        <f t="shared" si="601"/>
        <v>408.25971803835074</v>
      </c>
      <c r="BM199" s="173">
        <f t="shared" si="531"/>
        <v>0.55291249999999992</v>
      </c>
      <c r="BN199" s="173">
        <f t="shared" si="532"/>
        <v>0.13822812499999998</v>
      </c>
      <c r="BO199" s="528"/>
      <c r="BQ199" s="460">
        <f t="shared" si="486"/>
        <v>691.14062499999989</v>
      </c>
      <c r="BR199" s="528">
        <f t="shared" si="487"/>
        <v>0.17110665418059573</v>
      </c>
      <c r="BS199" s="528">
        <f t="shared" si="488"/>
        <v>0.10329954176308861</v>
      </c>
      <c r="BT199" s="528">
        <f t="shared" si="489"/>
        <v>1.0362721085496814E-3</v>
      </c>
      <c r="BU199" s="528">
        <f t="shared" si="490"/>
        <v>0.29493947642300433</v>
      </c>
      <c r="BV199" s="528"/>
      <c r="BW199" s="625">
        <f t="shared" si="533"/>
        <v>1.3380493186546161E-2</v>
      </c>
      <c r="BX199" s="460">
        <f t="shared" si="607"/>
        <v>583.76243766178447</v>
      </c>
      <c r="BY199" s="173">
        <f t="shared" si="608"/>
        <v>1.6831627807001353</v>
      </c>
      <c r="BZ199" s="5">
        <f t="shared" si="609"/>
        <v>16.375999999999998</v>
      </c>
      <c r="CA199" s="173">
        <f t="shared" si="610"/>
        <v>0.90679729724243163</v>
      </c>
      <c r="CB199" s="5">
        <f t="shared" si="611"/>
        <v>90.67972972424316</v>
      </c>
      <c r="CC199">
        <f t="shared" si="612"/>
        <v>89</v>
      </c>
      <c r="CE199" s="562">
        <f t="shared" si="534"/>
        <v>-50</v>
      </c>
      <c r="CF199">
        <f t="shared" si="535"/>
        <v>-50</v>
      </c>
      <c r="CG199" s="173">
        <f t="shared" si="536"/>
        <v>0.35771495841706197</v>
      </c>
      <c r="CH199" s="173">
        <f t="shared" si="537"/>
        <v>0.12498995131688433</v>
      </c>
      <c r="CI199" s="170">
        <v>89</v>
      </c>
      <c r="CJ199" s="217">
        <f t="shared" si="602"/>
        <v>0.89</v>
      </c>
      <c r="CK199" s="217">
        <f t="shared" si="538"/>
        <v>0.2225</v>
      </c>
      <c r="CL199" s="217">
        <f t="shared" si="539"/>
        <v>14.595999999999998</v>
      </c>
      <c r="CM199" s="217">
        <f t="shared" si="540"/>
        <v>1.78</v>
      </c>
      <c r="CN199" s="541">
        <f t="shared" si="541"/>
        <v>10</v>
      </c>
      <c r="CO199" s="443">
        <f t="shared" si="542"/>
        <v>17.099999999999998</v>
      </c>
      <c r="CP199" s="443">
        <f t="shared" si="543"/>
        <v>27.099999999999998</v>
      </c>
      <c r="CQ199" s="443"/>
      <c r="CR199" s="217">
        <f t="shared" si="544"/>
        <v>0.62686567164179097</v>
      </c>
      <c r="CS199" s="172">
        <f t="shared" si="545"/>
        <v>18.624269954574949</v>
      </c>
      <c r="CT199" s="172">
        <f t="shared" si="546"/>
        <v>2.5482344375682562</v>
      </c>
      <c r="CU199" s="217">
        <f t="shared" si="547"/>
        <v>1.135626216742375</v>
      </c>
      <c r="CV199" s="217">
        <f t="shared" si="548"/>
        <v>2.3280337443218686</v>
      </c>
      <c r="CW199" s="217">
        <f t="shared" si="549"/>
        <v>16.399999999999999</v>
      </c>
      <c r="CX199" s="217">
        <f t="shared" si="550"/>
        <v>5.2247238095238089</v>
      </c>
      <c r="CY199" s="217">
        <f t="shared" si="551"/>
        <v>6.2696685714285714</v>
      </c>
      <c r="CZ199" s="217">
        <f t="shared" si="552"/>
        <v>3.6664728487886387</v>
      </c>
      <c r="DA199" s="197">
        <f t="shared" si="553"/>
        <v>350</v>
      </c>
      <c r="DB199" s="443">
        <f t="shared" si="554"/>
        <v>100.64268992440925</v>
      </c>
      <c r="DD199" s="217">
        <f t="shared" si="555"/>
        <v>1.5023721665788083</v>
      </c>
      <c r="DE199" s="173">
        <f t="shared" si="556"/>
        <v>1.0542962572482866</v>
      </c>
      <c r="DF199" s="173">
        <f t="shared" si="557"/>
        <v>0.24706104135140031</v>
      </c>
      <c r="DG199" s="173"/>
      <c r="DH199" s="173">
        <f t="shared" si="558"/>
        <v>0.93567251461988332</v>
      </c>
      <c r="DI199" s="545">
        <f t="shared" si="559"/>
        <v>1426.7812499999995</v>
      </c>
      <c r="DJ199" s="528">
        <f t="shared" si="560"/>
        <v>0.21832358674463945</v>
      </c>
      <c r="DL199" s="173">
        <f t="shared" si="561"/>
        <v>2.7925069808498666</v>
      </c>
      <c r="DM199" s="173">
        <f t="shared" si="562"/>
        <v>5.2247238095238089</v>
      </c>
      <c r="DN199" s="173">
        <f t="shared" si="563"/>
        <v>4.0825114638447966</v>
      </c>
      <c r="DP199" s="545">
        <f t="shared" si="564"/>
        <v>890</v>
      </c>
      <c r="DQ199" s="460">
        <f t="shared" si="565"/>
        <v>100.64268992440925</v>
      </c>
      <c r="DS199">
        <f t="shared" si="614"/>
        <v>890</v>
      </c>
      <c r="DT199">
        <f t="shared" si="615"/>
        <v>100.64268992440925</v>
      </c>
      <c r="DV199" s="5">
        <f t="shared" si="568"/>
        <v>9.9361414202172096</v>
      </c>
      <c r="DW199" s="5">
        <f t="shared" si="569"/>
        <v>6.2696685714285714</v>
      </c>
      <c r="DX199" s="5">
        <f t="shared" si="570"/>
        <v>3.6664728487886382</v>
      </c>
      <c r="DY199" s="173">
        <f t="shared" si="571"/>
        <v>0.63099630996309963</v>
      </c>
      <c r="EA199" s="5">
        <f t="shared" si="572"/>
        <v>34.02442090592335</v>
      </c>
      <c r="EB199" s="5">
        <f t="shared" si="573"/>
        <v>17.437515714285716</v>
      </c>
      <c r="EC199" s="5">
        <f t="shared" si="574"/>
        <v>4.4596531417432459</v>
      </c>
      <c r="ED199" s="5"/>
      <c r="EE199" s="173">
        <f t="shared" si="575"/>
        <v>2.3961616881503884</v>
      </c>
      <c r="EF199" s="173">
        <f t="shared" si="576"/>
        <v>1.8323906405318184</v>
      </c>
      <c r="EG199" s="173">
        <f t="shared" si="577"/>
        <v>0.44955351439159386</v>
      </c>
      <c r="EH199" s="173"/>
      <c r="EI199" s="528">
        <f t="shared" si="578"/>
        <v>0.11483181671519439</v>
      </c>
      <c r="EJ199" s="528">
        <f t="shared" si="579"/>
        <v>0.28499999999999998</v>
      </c>
      <c r="EK199" s="528">
        <f t="shared" si="580"/>
        <v>1.2580336240551156E-2</v>
      </c>
      <c r="EL199" s="528">
        <f t="shared" si="581"/>
        <v>7.3912997907385394E-3</v>
      </c>
      <c r="EM199">
        <f t="shared" si="582"/>
        <v>4.4999999999999997E-3</v>
      </c>
      <c r="EN199" s="460">
        <f t="shared" si="583"/>
        <v>17.080336240551159</v>
      </c>
      <c r="EP199" s="460">
        <f t="shared" si="603"/>
        <v>424.30345274648408</v>
      </c>
      <c r="EQ199" s="173">
        <f t="shared" si="584"/>
        <v>0.623</v>
      </c>
      <c r="ER199" s="173">
        <f t="shared" si="585"/>
        <v>9.8734374999999999E-2</v>
      </c>
      <c r="ES199" s="528"/>
      <c r="EU199" s="460">
        <f t="shared" si="497"/>
        <v>721.734375</v>
      </c>
      <c r="EV199" s="528">
        <f t="shared" si="586"/>
        <v>0.17224772507279157</v>
      </c>
      <c r="EW199" s="528">
        <f t="shared" si="587"/>
        <v>0.10072966378525823</v>
      </c>
      <c r="EX199" s="528">
        <f t="shared" si="588"/>
        <v>1.0104918115091649E-3</v>
      </c>
      <c r="EY199" s="528">
        <f t="shared" si="589"/>
        <v>0.31701801185397349</v>
      </c>
      <c r="EZ199" s="528"/>
      <c r="FA199" s="625">
        <f t="shared" si="590"/>
        <v>1.3736589351607799E-2</v>
      </c>
      <c r="FB199" s="460">
        <f t="shared" si="613"/>
        <v>604.74248187514024</v>
      </c>
      <c r="FC199" s="173">
        <f t="shared" si="591"/>
        <v>1.7507803096216246</v>
      </c>
      <c r="FD199" s="5">
        <f t="shared" si="592"/>
        <v>16.375999999999998</v>
      </c>
      <c r="FE199" s="173">
        <f t="shared" si="593"/>
        <v>0.90341471128812001</v>
      </c>
      <c r="FF199" s="5">
        <f t="shared" si="594"/>
        <v>90.341471128812003</v>
      </c>
      <c r="FG199">
        <f t="shared" si="595"/>
        <v>89</v>
      </c>
      <c r="FI199" s="562">
        <f t="shared" si="596"/>
        <v>-50</v>
      </c>
      <c r="FJ199">
        <f t="shared" si="597"/>
        <v>-50</v>
      </c>
    </row>
    <row r="200" spans="5:166">
      <c r="E200" s="170">
        <v>90</v>
      </c>
      <c r="F200" s="217">
        <f t="shared" si="598"/>
        <v>0.9</v>
      </c>
      <c r="G200" s="217">
        <f t="shared" si="499"/>
        <v>0.22500000000000001</v>
      </c>
      <c r="H200" s="217">
        <f t="shared" si="500"/>
        <v>14.76</v>
      </c>
      <c r="I200" s="217">
        <f t="shared" si="501"/>
        <v>1.8</v>
      </c>
      <c r="J200" s="541">
        <f t="shared" si="502"/>
        <v>9.8294610757615342</v>
      </c>
      <c r="K200" s="443">
        <f t="shared" si="503"/>
        <v>17.175479091283961</v>
      </c>
      <c r="L200" s="172">
        <f t="shared" si="504"/>
        <v>27.004940167045497</v>
      </c>
      <c r="M200" s="443"/>
      <c r="N200" s="217">
        <f t="shared" si="505"/>
        <v>0.63601248456915438</v>
      </c>
      <c r="O200" s="172">
        <f t="shared" si="506"/>
        <v>18.573772347217851</v>
      </c>
      <c r="P200" s="172">
        <f t="shared" si="507"/>
        <v>2.5413251873052385</v>
      </c>
      <c r="Q200" s="217">
        <f t="shared" si="508"/>
        <v>1.132547094342552</v>
      </c>
      <c r="R200" s="217">
        <f t="shared" si="509"/>
        <v>2.3217215434022314</v>
      </c>
      <c r="S200" s="217">
        <f t="shared" si="510"/>
        <v>16.399999999999999</v>
      </c>
      <c r="T200" s="217">
        <f t="shared" si="511"/>
        <v>5.2977929394477181</v>
      </c>
      <c r="U200" s="217">
        <f t="shared" si="512"/>
        <v>6.4676501370088877</v>
      </c>
      <c r="V200" s="217">
        <f t="shared" si="513"/>
        <v>3.701411467796218</v>
      </c>
      <c r="W200" s="197">
        <f t="shared" si="514"/>
        <v>350</v>
      </c>
      <c r="X200" s="443">
        <f t="shared" si="599"/>
        <v>96.440742481131764</v>
      </c>
      <c r="Z200" s="217">
        <f t="shared" si="515"/>
        <v>1.4884904668502112</v>
      </c>
      <c r="AA200" s="173">
        <f t="shared" si="516"/>
        <v>1.0399643298024159</v>
      </c>
      <c r="AB200" s="173">
        <f t="shared" si="517"/>
        <v>0.24145075888721321</v>
      </c>
      <c r="AC200" s="173"/>
      <c r="AD200" s="173">
        <f t="shared" si="518"/>
        <v>0.93156062284862384</v>
      </c>
      <c r="AE200" s="545">
        <f t="shared" si="519"/>
        <v>1449.1810483270838</v>
      </c>
      <c r="AF200" s="528">
        <f t="shared" si="520"/>
        <v>0.21736414533134563</v>
      </c>
      <c r="AH200" s="173">
        <f t="shared" si="521"/>
        <v>2.8081514000698546</v>
      </c>
      <c r="AI200" s="173">
        <f t="shared" si="522"/>
        <v>5.2977929394477181</v>
      </c>
      <c r="AJ200" s="173">
        <f t="shared" si="523"/>
        <v>4.1366367452699144</v>
      </c>
      <c r="AL200" s="545">
        <f t="shared" si="524"/>
        <v>900</v>
      </c>
      <c r="AM200" s="460">
        <f t="shared" si="525"/>
        <v>96.440742481131764</v>
      </c>
      <c r="AO200">
        <f t="shared" si="526"/>
        <v>900</v>
      </c>
      <c r="AP200">
        <f t="shared" si="527"/>
        <v>96.440742481131764</v>
      </c>
      <c r="AR200" s="5">
        <f t="shared" si="616"/>
        <v>10.369061604805106</v>
      </c>
      <c r="AS200" s="5">
        <f t="shared" si="604"/>
        <v>6.4676501370088877</v>
      </c>
      <c r="AT200" s="5">
        <f t="shared" si="605"/>
        <v>3.9014114677962182</v>
      </c>
      <c r="AU200" s="173">
        <f t="shared" si="606"/>
        <v>0.62374498132133072</v>
      </c>
      <c r="AW200" s="5">
        <f t="shared" si="477"/>
        <v>35.493201971390242</v>
      </c>
      <c r="AX200" s="5">
        <f t="shared" si="478"/>
        <v>18.190266010337499</v>
      </c>
      <c r="AY200" s="5">
        <f t="shared" si="479"/>
        <v>4.8819930903664188</v>
      </c>
      <c r="AZ200" s="5"/>
      <c r="BA200" s="173">
        <f t="shared" si="480"/>
        <v>2.4156715524849508</v>
      </c>
      <c r="BB200" s="173">
        <f t="shared" si="481"/>
        <v>1.8761843264817144</v>
      </c>
      <c r="BC200" s="173">
        <f t="shared" si="482"/>
        <v>0.46029773289580078</v>
      </c>
      <c r="BD200" s="173"/>
      <c r="BE200" s="528">
        <f t="shared" si="483"/>
        <v>0.11670938098970104</v>
      </c>
      <c r="BF200" s="528">
        <f t="shared" si="528"/>
        <v>0.25870213742548948</v>
      </c>
      <c r="BG200" s="528">
        <f t="shared" si="529"/>
        <v>2.3699013108395662E-2</v>
      </c>
      <c r="BH200" s="528">
        <f t="shared" si="484"/>
        <v>7.0331031024809358E-3</v>
      </c>
      <c r="BI200">
        <f t="shared" si="485"/>
        <v>4.4232574840926903E-3</v>
      </c>
      <c r="BJ200" s="460">
        <f t="shared" si="600"/>
        <v>28.122270592488352</v>
      </c>
      <c r="BK200">
        <f t="shared" si="530"/>
        <v>0.42576261510773944</v>
      </c>
      <c r="BL200" s="460">
        <f t="shared" si="601"/>
        <v>410.56689211015981</v>
      </c>
      <c r="BM200" s="173">
        <f t="shared" si="531"/>
        <v>0.55912499999999998</v>
      </c>
      <c r="BN200" s="173">
        <f t="shared" si="532"/>
        <v>0.13978125</v>
      </c>
      <c r="BO200" s="528"/>
      <c r="BQ200" s="460">
        <f t="shared" si="486"/>
        <v>698.90625</v>
      </c>
      <c r="BR200" s="528">
        <f t="shared" si="487"/>
        <v>0.17506407148455155</v>
      </c>
      <c r="BS200" s="528">
        <f t="shared" si="488"/>
        <v>0.10560202880806932</v>
      </c>
      <c r="BT200" s="528">
        <f t="shared" si="489"/>
        <v>1.0593700145450698E-3</v>
      </c>
      <c r="BU200" s="528">
        <f t="shared" si="490"/>
        <v>0.29502499931052828</v>
      </c>
      <c r="BV200" s="528"/>
      <c r="BW200" s="625">
        <f t="shared" si="533"/>
        <v>1.3533823550752078E-2</v>
      </c>
      <c r="BX200" s="460">
        <f t="shared" si="607"/>
        <v>590.2842931684462</v>
      </c>
      <c r="BY200" s="173">
        <f t="shared" si="608"/>
        <v>1.699757435278606</v>
      </c>
      <c r="BZ200" s="5">
        <f t="shared" si="609"/>
        <v>16.559999999999999</v>
      </c>
      <c r="CA200" s="173">
        <f t="shared" si="610"/>
        <v>0.90691237595552043</v>
      </c>
      <c r="CB200" s="5">
        <f t="shared" si="611"/>
        <v>90.691237595552039</v>
      </c>
      <c r="CC200">
        <f t="shared" si="612"/>
        <v>90</v>
      </c>
      <c r="CE200" s="562">
        <f t="shared" si="534"/>
        <v>-50</v>
      </c>
      <c r="CF200">
        <f t="shared" si="535"/>
        <v>-50</v>
      </c>
      <c r="CG200" s="173">
        <f t="shared" si="536"/>
        <v>0.35771495841706197</v>
      </c>
      <c r="CH200" s="173">
        <f t="shared" si="537"/>
        <v>0.12498995131688433</v>
      </c>
      <c r="CI200" s="170">
        <v>90</v>
      </c>
      <c r="CJ200" s="217">
        <f t="shared" si="602"/>
        <v>0.9</v>
      </c>
      <c r="CK200" s="217">
        <f t="shared" si="538"/>
        <v>0.22500000000000001</v>
      </c>
      <c r="CL200" s="217">
        <f t="shared" si="539"/>
        <v>14.76</v>
      </c>
      <c r="CM200" s="217">
        <f t="shared" si="540"/>
        <v>1.8</v>
      </c>
      <c r="CN200" s="541">
        <f t="shared" si="541"/>
        <v>10</v>
      </c>
      <c r="CO200" s="443">
        <f t="shared" si="542"/>
        <v>17.099999999999998</v>
      </c>
      <c r="CP200" s="443">
        <f t="shared" si="543"/>
        <v>27.099999999999998</v>
      </c>
      <c r="CQ200" s="443"/>
      <c r="CR200" s="217">
        <f t="shared" si="544"/>
        <v>0.62686567164179097</v>
      </c>
      <c r="CS200" s="172">
        <f t="shared" si="545"/>
        <v>18.624269954574949</v>
      </c>
      <c r="CT200" s="172">
        <f t="shared" si="546"/>
        <v>2.5482344375682562</v>
      </c>
      <c r="CU200" s="217">
        <f t="shared" si="547"/>
        <v>1.135626216742375</v>
      </c>
      <c r="CV200" s="217">
        <f t="shared" si="548"/>
        <v>2.3280337443218686</v>
      </c>
      <c r="CW200" s="217">
        <f t="shared" si="549"/>
        <v>16.399999999999999</v>
      </c>
      <c r="CX200" s="217">
        <f t="shared" si="550"/>
        <v>5.2834285714285718</v>
      </c>
      <c r="CY200" s="217">
        <f t="shared" si="551"/>
        <v>6.3401142857142867</v>
      </c>
      <c r="CZ200" s="217">
        <f t="shared" si="552"/>
        <v>3.7076691729323312</v>
      </c>
      <c r="DA200" s="197">
        <f t="shared" si="553"/>
        <v>350</v>
      </c>
      <c r="DB200" s="443">
        <f t="shared" si="554"/>
        <v>99.524437814138011</v>
      </c>
      <c r="DD200" s="217">
        <f t="shared" si="555"/>
        <v>1.5023721665788083</v>
      </c>
      <c r="DE200" s="173">
        <f t="shared" si="556"/>
        <v>1.0542962572482866</v>
      </c>
      <c r="DF200" s="173">
        <f t="shared" si="557"/>
        <v>0.24706104135140031</v>
      </c>
      <c r="DG200" s="173"/>
      <c r="DH200" s="173">
        <f t="shared" si="558"/>
        <v>0.93567251461988332</v>
      </c>
      <c r="DI200" s="545">
        <f t="shared" si="559"/>
        <v>1442.8124999999995</v>
      </c>
      <c r="DJ200" s="528">
        <f t="shared" si="560"/>
        <v>0.21832358674463945</v>
      </c>
      <c r="DL200" s="173">
        <f t="shared" si="561"/>
        <v>2.8081514000698546</v>
      </c>
      <c r="DM200" s="173">
        <f t="shared" si="562"/>
        <v>5.2834285714285718</v>
      </c>
      <c r="DN200" s="173">
        <f t="shared" si="563"/>
        <v>4.1259964726631395</v>
      </c>
      <c r="DP200" s="545">
        <f t="shared" si="564"/>
        <v>900</v>
      </c>
      <c r="DQ200" s="460">
        <f t="shared" si="565"/>
        <v>99.524437814138011</v>
      </c>
      <c r="DS200">
        <f t="shared" si="614"/>
        <v>900</v>
      </c>
      <c r="DT200">
        <f t="shared" si="615"/>
        <v>99.524437814138011</v>
      </c>
      <c r="DV200" s="5">
        <f t="shared" si="568"/>
        <v>10.04778345864662</v>
      </c>
      <c r="DW200" s="5">
        <f t="shared" si="569"/>
        <v>6.3401142857142867</v>
      </c>
      <c r="DX200" s="5">
        <f t="shared" si="570"/>
        <v>3.7076691729323334</v>
      </c>
      <c r="DY200" s="173">
        <f t="shared" si="571"/>
        <v>0.63099630996309952</v>
      </c>
      <c r="EA200" s="5">
        <f t="shared" si="572"/>
        <v>34.793310104529631</v>
      </c>
      <c r="EB200" s="5">
        <f t="shared" si="573"/>
        <v>17.831571428571433</v>
      </c>
      <c r="EC200" s="5">
        <f t="shared" si="574"/>
        <v>4.5604330827067701</v>
      </c>
      <c r="ED200" s="5"/>
      <c r="EE200" s="173">
        <f t="shared" si="575"/>
        <v>2.4230848531857863</v>
      </c>
      <c r="EF200" s="173">
        <f t="shared" si="576"/>
        <v>1.8529792994141991</v>
      </c>
      <c r="EG200" s="173">
        <f t="shared" si="577"/>
        <v>0.45460467747464567</v>
      </c>
      <c r="EH200" s="173"/>
      <c r="EI200" s="528">
        <f t="shared" si="578"/>
        <v>0.11742680411476768</v>
      </c>
      <c r="EJ200" s="528">
        <f t="shared" si="579"/>
        <v>0.28499999999999992</v>
      </c>
      <c r="EK200" s="528">
        <f t="shared" si="580"/>
        <v>1.244055472676725E-2</v>
      </c>
      <c r="EL200" s="528">
        <f t="shared" si="581"/>
        <v>7.3091742375081085E-3</v>
      </c>
      <c r="EM200">
        <f t="shared" si="582"/>
        <v>4.4999999999999997E-3</v>
      </c>
      <c r="EN200" s="460">
        <f t="shared" si="583"/>
        <v>16.94055472676725</v>
      </c>
      <c r="EP200" s="460">
        <f t="shared" si="603"/>
        <v>426.67653307904294</v>
      </c>
      <c r="EQ200" s="173">
        <f t="shared" si="584"/>
        <v>0.63</v>
      </c>
      <c r="ER200" s="173">
        <f t="shared" si="585"/>
        <v>9.9843749999999995E-2</v>
      </c>
      <c r="ES200" s="528"/>
      <c r="EU200" s="460">
        <f t="shared" si="497"/>
        <v>729.84375</v>
      </c>
      <c r="EV200" s="528">
        <f t="shared" si="586"/>
        <v>0.17614020617215151</v>
      </c>
      <c r="EW200" s="528">
        <f t="shared" si="587"/>
        <v>0.10300596852172608</v>
      </c>
      <c r="EX200" s="528">
        <f t="shared" si="588"/>
        <v>1.0333270639091331E-3</v>
      </c>
      <c r="EY200" s="528">
        <f t="shared" si="589"/>
        <v>0.31701801185397377</v>
      </c>
      <c r="EZ200" s="528"/>
      <c r="FA200" s="625">
        <f t="shared" si="590"/>
        <v>1.3890933052187663E-2</v>
      </c>
      <c r="FB200" s="460">
        <f t="shared" si="613"/>
        <v>611.08844666394816</v>
      </c>
      <c r="FC200" s="173">
        <f t="shared" si="591"/>
        <v>1.7676087297429914</v>
      </c>
      <c r="FD200" s="5">
        <f t="shared" si="592"/>
        <v>16.559999999999999</v>
      </c>
      <c r="FE200" s="173">
        <f t="shared" si="593"/>
        <v>0.90355486327714829</v>
      </c>
      <c r="FF200" s="5">
        <f t="shared" si="594"/>
        <v>90.355486327714829</v>
      </c>
      <c r="FG200">
        <f t="shared" si="595"/>
        <v>90</v>
      </c>
      <c r="FI200" s="562">
        <f t="shared" si="596"/>
        <v>-50</v>
      </c>
      <c r="FJ200">
        <f t="shared" si="597"/>
        <v>-50</v>
      </c>
    </row>
    <row r="201" spans="5:166">
      <c r="E201" s="170">
        <v>91</v>
      </c>
      <c r="F201" s="217">
        <f t="shared" si="598"/>
        <v>0.91</v>
      </c>
      <c r="G201" s="217">
        <f t="shared" si="499"/>
        <v>0.22750000000000001</v>
      </c>
      <c r="H201" s="217">
        <f t="shared" si="500"/>
        <v>14.923999999999999</v>
      </c>
      <c r="I201" s="217">
        <f t="shared" si="501"/>
        <v>1.82</v>
      </c>
      <c r="J201" s="541">
        <f t="shared" si="502"/>
        <v>9.8275661988255507</v>
      </c>
      <c r="K201" s="443">
        <f t="shared" si="503"/>
        <v>17.17631774785378</v>
      </c>
      <c r="L201" s="172">
        <f t="shared" si="504"/>
        <v>27.003883946679331</v>
      </c>
      <c r="M201" s="443"/>
      <c r="N201" s="217">
        <f t="shared" si="505"/>
        <v>0.63606841822344418</v>
      </c>
      <c r="O201" s="172">
        <f t="shared" si="506"/>
        <v>18.571824925362272</v>
      </c>
      <c r="P201" s="172">
        <f t="shared" si="507"/>
        <v>2.5410587345825832</v>
      </c>
      <c r="Q201" s="217">
        <f t="shared" si="508"/>
        <v>1.1324283491074556</v>
      </c>
      <c r="R201" s="217">
        <f t="shared" si="509"/>
        <v>2.3214781156702839</v>
      </c>
      <c r="S201" s="217">
        <f t="shared" si="510"/>
        <v>16.399999999999999</v>
      </c>
      <c r="T201" s="217">
        <f t="shared" si="511"/>
        <v>5.3572189988428169</v>
      </c>
      <c r="U201" s="217">
        <f t="shared" si="512"/>
        <v>6.5414596742982427</v>
      </c>
      <c r="V201" s="217">
        <f t="shared" si="513"/>
        <v>3.7427479469018654</v>
      </c>
      <c r="W201" s="197">
        <f t="shared" si="514"/>
        <v>350</v>
      </c>
      <c r="X201" s="443">
        <f t="shared" si="599"/>
        <v>95.381552534108607</v>
      </c>
      <c r="Z201" s="217">
        <f t="shared" si="515"/>
        <v>1.4883344016840843</v>
      </c>
      <c r="AA201" s="173">
        <f t="shared" si="516"/>
        <v>1.0398045193615879</v>
      </c>
      <c r="AB201" s="173">
        <f t="shared" si="517"/>
        <v>0.24138834362729839</v>
      </c>
      <c r="AC201" s="173"/>
      <c r="AD201" s="173">
        <f t="shared" si="518"/>
        <v>0.93151513816162601</v>
      </c>
      <c r="AE201" s="545">
        <f t="shared" si="519"/>
        <v>1465.3546078637753</v>
      </c>
      <c r="AF201" s="528">
        <f t="shared" si="520"/>
        <v>0.21735353223771278</v>
      </c>
      <c r="AH201" s="173">
        <f t="shared" si="521"/>
        <v>2.8237091446063158</v>
      </c>
      <c r="AI201" s="173">
        <f t="shared" si="522"/>
        <v>5.3572189988428169</v>
      </c>
      <c r="AJ201" s="173">
        <f t="shared" si="523"/>
        <v>4.1806560485255435</v>
      </c>
      <c r="AL201" s="545">
        <f t="shared" si="524"/>
        <v>910</v>
      </c>
      <c r="AM201" s="460">
        <f t="shared" si="525"/>
        <v>95.381552534108607</v>
      </c>
      <c r="AO201">
        <f t="shared" si="526"/>
        <v>910</v>
      </c>
      <c r="AP201">
        <f t="shared" si="527"/>
        <v>95.381552534108607</v>
      </c>
      <c r="AR201" s="5">
        <f t="shared" si="616"/>
        <v>10.48420762120011</v>
      </c>
      <c r="AS201" s="5">
        <f t="shared" si="604"/>
        <v>6.5414596742982427</v>
      </c>
      <c r="AT201" s="5">
        <f t="shared" si="605"/>
        <v>3.9427479469018669</v>
      </c>
      <c r="AU201" s="173">
        <f t="shared" si="606"/>
        <v>0.62393457957383081</v>
      </c>
      <c r="AW201" s="5">
        <f t="shared" si="477"/>
        <v>36.297123802508551</v>
      </c>
      <c r="AX201" s="5">
        <f t="shared" si="478"/>
        <v>18.602275948785628</v>
      </c>
      <c r="AY201" s="5">
        <f t="shared" si="479"/>
        <v>4.9895000424584062</v>
      </c>
      <c r="AZ201" s="5"/>
      <c r="BA201" s="173">
        <f t="shared" si="480"/>
        <v>2.4431396997667312</v>
      </c>
      <c r="BB201" s="173">
        <f t="shared" si="481"/>
        <v>1.8967516639273587</v>
      </c>
      <c r="BC201" s="173">
        <f t="shared" si="482"/>
        <v>0.4653436650381324</v>
      </c>
      <c r="BD201" s="173"/>
      <c r="BE201" s="528">
        <f t="shared" si="483"/>
        <v>0.11937863185152546</v>
      </c>
      <c r="BF201" s="528">
        <f t="shared" si="528"/>
        <v>0.25872076844385561</v>
      </c>
      <c r="BG201" s="528">
        <f t="shared" si="529"/>
        <v>2.3434213041892731E-2</v>
      </c>
      <c r="BH201" s="528">
        <f t="shared" si="484"/>
        <v>6.9553157906868538E-3</v>
      </c>
      <c r="BI201">
        <f t="shared" si="485"/>
        <v>4.4224047894714973E-3</v>
      </c>
      <c r="BJ201" s="460">
        <f t="shared" si="600"/>
        <v>27.856617831364229</v>
      </c>
      <c r="BK201">
        <f t="shared" si="530"/>
        <v>0.42946854846064564</v>
      </c>
      <c r="BL201" s="460">
        <f t="shared" si="601"/>
        <v>412.91133391743216</v>
      </c>
      <c r="BM201" s="173">
        <f t="shared" si="531"/>
        <v>0.56533749999999994</v>
      </c>
      <c r="BN201" s="173">
        <f t="shared" si="532"/>
        <v>0.14133437499999998</v>
      </c>
      <c r="BO201" s="528"/>
      <c r="BQ201" s="460">
        <f t="shared" si="486"/>
        <v>706.671875</v>
      </c>
      <c r="BR201" s="528">
        <f t="shared" si="487"/>
        <v>0.17906794777728818</v>
      </c>
      <c r="BS201" s="528">
        <f t="shared" si="488"/>
        <v>0.10793000623833612</v>
      </c>
      <c r="BT201" s="528">
        <f t="shared" si="489"/>
        <v>1.0827236329556079E-3</v>
      </c>
      <c r="BU201" s="528">
        <f t="shared" si="490"/>
        <v>0.29510697420715803</v>
      </c>
      <c r="BV201" s="528"/>
      <c r="BW201" s="625">
        <f t="shared" si="533"/>
        <v>1.3687155214061478E-2</v>
      </c>
      <c r="BX201" s="460">
        <f t="shared" si="607"/>
        <v>596.87480706979943</v>
      </c>
      <c r="BY201" s="173">
        <f t="shared" si="608"/>
        <v>1.7164580159872316</v>
      </c>
      <c r="BZ201" s="5">
        <f t="shared" si="609"/>
        <v>16.744</v>
      </c>
      <c r="CA201" s="173">
        <f t="shared" si="610"/>
        <v>0.90701974921203277</v>
      </c>
      <c r="CB201" s="5">
        <f t="shared" si="611"/>
        <v>90.701974921203274</v>
      </c>
      <c r="CC201">
        <f t="shared" si="612"/>
        <v>91</v>
      </c>
      <c r="CE201" s="562">
        <f t="shared" si="534"/>
        <v>-50</v>
      </c>
      <c r="CF201">
        <f t="shared" si="535"/>
        <v>-50</v>
      </c>
      <c r="CG201" s="173">
        <f t="shared" si="536"/>
        <v>0.35771495841706197</v>
      </c>
      <c r="CH201" s="173">
        <f t="shared" si="537"/>
        <v>0.1249899513168843</v>
      </c>
      <c r="CI201" s="170">
        <v>91</v>
      </c>
      <c r="CJ201" s="217">
        <f t="shared" si="602"/>
        <v>0.91</v>
      </c>
      <c r="CK201" s="217">
        <f t="shared" si="538"/>
        <v>0.22750000000000001</v>
      </c>
      <c r="CL201" s="217">
        <f t="shared" si="539"/>
        <v>14.923999999999999</v>
      </c>
      <c r="CM201" s="217">
        <f t="shared" si="540"/>
        <v>1.82</v>
      </c>
      <c r="CN201" s="541">
        <f t="shared" si="541"/>
        <v>10</v>
      </c>
      <c r="CO201" s="443">
        <f t="shared" si="542"/>
        <v>17.099999999999998</v>
      </c>
      <c r="CP201" s="443">
        <f t="shared" si="543"/>
        <v>27.099999999999998</v>
      </c>
      <c r="CQ201" s="443"/>
      <c r="CR201" s="217">
        <f t="shared" si="544"/>
        <v>0.62686567164179097</v>
      </c>
      <c r="CS201" s="172">
        <f t="shared" si="545"/>
        <v>18.624269954574949</v>
      </c>
      <c r="CT201" s="172">
        <f t="shared" si="546"/>
        <v>2.5482344375682562</v>
      </c>
      <c r="CU201" s="217">
        <f t="shared" si="547"/>
        <v>1.135626216742375</v>
      </c>
      <c r="CV201" s="217">
        <f t="shared" si="548"/>
        <v>2.3280337443218686</v>
      </c>
      <c r="CW201" s="217">
        <f t="shared" si="549"/>
        <v>16.399999999999999</v>
      </c>
      <c r="CX201" s="217">
        <f t="shared" si="550"/>
        <v>5.3421333333333338</v>
      </c>
      <c r="CY201" s="217">
        <f t="shared" si="551"/>
        <v>6.4105600000000011</v>
      </c>
      <c r="CZ201" s="217">
        <f t="shared" si="552"/>
        <v>3.7488654970760247</v>
      </c>
      <c r="DA201" s="197">
        <f t="shared" si="553"/>
        <v>350</v>
      </c>
      <c r="DB201" s="443">
        <f t="shared" si="554"/>
        <v>98.430762673323315</v>
      </c>
      <c r="DD201" s="217">
        <f t="shared" si="555"/>
        <v>1.5023721665788083</v>
      </c>
      <c r="DE201" s="173">
        <f t="shared" si="556"/>
        <v>1.0542962572482866</v>
      </c>
      <c r="DF201" s="173">
        <f t="shared" si="557"/>
        <v>0.24706104135140031</v>
      </c>
      <c r="DG201" s="173"/>
      <c r="DH201" s="173">
        <f t="shared" si="558"/>
        <v>0.93567251461988332</v>
      </c>
      <c r="DI201" s="545">
        <f t="shared" si="559"/>
        <v>1458.8437499999995</v>
      </c>
      <c r="DJ201" s="528">
        <f t="shared" si="560"/>
        <v>0.21832358674463945</v>
      </c>
      <c r="DL201" s="173">
        <f t="shared" si="561"/>
        <v>2.8237091446063158</v>
      </c>
      <c r="DM201" s="173">
        <f t="shared" si="562"/>
        <v>5.3421333333333338</v>
      </c>
      <c r="DN201" s="173">
        <f t="shared" si="563"/>
        <v>4.1694814814814825</v>
      </c>
      <c r="DP201" s="545">
        <f t="shared" si="564"/>
        <v>910</v>
      </c>
      <c r="DQ201" s="460">
        <f t="shared" si="565"/>
        <v>98.430762673323315</v>
      </c>
      <c r="DS201">
        <f t="shared" si="614"/>
        <v>910</v>
      </c>
      <c r="DT201">
        <f t="shared" si="615"/>
        <v>98.430762673323315</v>
      </c>
      <c r="DV201" s="5">
        <f t="shared" si="568"/>
        <v>10.159425497076025</v>
      </c>
      <c r="DW201" s="5">
        <f t="shared" si="569"/>
        <v>6.4105600000000011</v>
      </c>
      <c r="DX201" s="5">
        <f t="shared" si="570"/>
        <v>3.7488654970760242</v>
      </c>
      <c r="DY201" s="173">
        <f t="shared" si="571"/>
        <v>0.63099630996309963</v>
      </c>
      <c r="EA201" s="5">
        <f t="shared" si="572"/>
        <v>35.570790243902451</v>
      </c>
      <c r="EB201" s="5">
        <f t="shared" si="573"/>
        <v>18.230030000000003</v>
      </c>
      <c r="EC201" s="5">
        <f t="shared" si="574"/>
        <v>4.6623390565302145</v>
      </c>
      <c r="ED201" s="5"/>
      <c r="EE201" s="173">
        <f t="shared" si="575"/>
        <v>2.4500080182211841</v>
      </c>
      <c r="EF201" s="173">
        <f t="shared" si="576"/>
        <v>1.8735679582965787</v>
      </c>
      <c r="EG201" s="173">
        <f t="shared" si="577"/>
        <v>0.45965584055769715</v>
      </c>
      <c r="EH201" s="173"/>
      <c r="EI201" s="528">
        <f t="shared" si="578"/>
        <v>0.12005078578696188</v>
      </c>
      <c r="EJ201" s="528">
        <f t="shared" si="579"/>
        <v>0.28499999999999998</v>
      </c>
      <c r="EK201" s="528">
        <f t="shared" si="580"/>
        <v>1.2303845334165413E-2</v>
      </c>
      <c r="EL201" s="528">
        <f t="shared" si="581"/>
        <v>7.2288536414915365E-3</v>
      </c>
      <c r="EM201">
        <f t="shared" si="582"/>
        <v>4.4999999999999997E-3</v>
      </c>
      <c r="EN201" s="460">
        <f t="shared" si="583"/>
        <v>16.803845334165413</v>
      </c>
      <c r="EP201" s="460">
        <f t="shared" si="603"/>
        <v>429.08348476261881</v>
      </c>
      <c r="EQ201" s="173">
        <f t="shared" si="584"/>
        <v>0.63700000000000001</v>
      </c>
      <c r="ER201" s="173">
        <f t="shared" si="585"/>
        <v>0.100953125</v>
      </c>
      <c r="ES201" s="528"/>
      <c r="EU201" s="460">
        <f t="shared" si="497"/>
        <v>737.953125</v>
      </c>
      <c r="EV201" s="528">
        <f t="shared" si="586"/>
        <v>0.18007617868044279</v>
      </c>
      <c r="EW201" s="528">
        <f t="shared" si="587"/>
        <v>0.10530770683066831</v>
      </c>
      <c r="EX201" s="528">
        <f t="shared" si="588"/>
        <v>1.0564174587940154E-3</v>
      </c>
      <c r="EY201" s="528">
        <f t="shared" si="589"/>
        <v>0.31701801185397371</v>
      </c>
      <c r="EZ201" s="528"/>
      <c r="FA201" s="625">
        <f t="shared" si="590"/>
        <v>1.4045276752767526E-2</v>
      </c>
      <c r="FB201" s="460">
        <f t="shared" si="613"/>
        <v>617.50359157664639</v>
      </c>
      <c r="FC201" s="173">
        <f t="shared" si="591"/>
        <v>1.7845402013392648</v>
      </c>
      <c r="FD201" s="5">
        <f t="shared" si="592"/>
        <v>16.744</v>
      </c>
      <c r="FE201" s="173">
        <f t="shared" si="593"/>
        <v>0.90368695094445295</v>
      </c>
      <c r="FF201" s="5">
        <f t="shared" si="594"/>
        <v>90.3686950944453</v>
      </c>
      <c r="FG201">
        <f t="shared" si="595"/>
        <v>91</v>
      </c>
      <c r="FI201" s="562">
        <f t="shared" si="596"/>
        <v>-50</v>
      </c>
      <c r="FJ201">
        <f t="shared" si="597"/>
        <v>-50</v>
      </c>
    </row>
    <row r="202" spans="5:166">
      <c r="E202" s="170">
        <v>92</v>
      </c>
      <c r="F202" s="217">
        <f t="shared" si="598"/>
        <v>0.92</v>
      </c>
      <c r="G202" s="217">
        <f t="shared" si="499"/>
        <v>0.23</v>
      </c>
      <c r="H202" s="217">
        <f t="shared" si="500"/>
        <v>15.087999999999999</v>
      </c>
      <c r="I202" s="217">
        <f t="shared" si="501"/>
        <v>1.84</v>
      </c>
      <c r="J202" s="541">
        <f t="shared" si="502"/>
        <v>9.825671321889569</v>
      </c>
      <c r="K202" s="443">
        <f t="shared" si="503"/>
        <v>17.177156404423602</v>
      </c>
      <c r="L202" s="172">
        <f t="shared" si="504"/>
        <v>27.002827726313171</v>
      </c>
      <c r="M202" s="443"/>
      <c r="N202" s="217">
        <f t="shared" si="505"/>
        <v>0.63612435625344355</v>
      </c>
      <c r="O202" s="172">
        <f t="shared" si="506"/>
        <v>18.569877001463176</v>
      </c>
      <c r="P202" s="172">
        <f t="shared" si="507"/>
        <v>2.5407922131686682</v>
      </c>
      <c r="Q202" s="217">
        <f t="shared" si="508"/>
        <v>1.13230957325995</v>
      </c>
      <c r="R202" s="217">
        <f t="shared" si="509"/>
        <v>2.321234625182897</v>
      </c>
      <c r="S202" s="217">
        <f t="shared" si="510"/>
        <v>16.399999999999999</v>
      </c>
      <c r="T202" s="217">
        <f t="shared" si="511"/>
        <v>5.416657668693289</v>
      </c>
      <c r="U202" s="217">
        <f t="shared" si="512"/>
        <v>6.6153130808999405</v>
      </c>
      <c r="V202" s="217">
        <f t="shared" si="513"/>
        <v>3.7840891992798165</v>
      </c>
      <c r="W202" s="197">
        <f t="shared" si="514"/>
        <v>350</v>
      </c>
      <c r="X202" s="443">
        <f t="shared" si="599"/>
        <v>94.344942626617708</v>
      </c>
      <c r="Z202" s="217">
        <f t="shared" si="515"/>
        <v>1.4881782962845054</v>
      </c>
      <c r="AA202" s="173">
        <f t="shared" si="516"/>
        <v>1.0396446964187325</v>
      </c>
      <c r="AB202" s="173">
        <f t="shared" si="517"/>
        <v>0.24132592672149228</v>
      </c>
      <c r="AC202" s="173"/>
      <c r="AD202" s="173">
        <f t="shared" si="518"/>
        <v>0.9314696579161118</v>
      </c>
      <c r="AE202" s="545">
        <f t="shared" si="519"/>
        <v>1481.5297398815355</v>
      </c>
      <c r="AF202" s="528">
        <f t="shared" si="520"/>
        <v>0.21734292018042611</v>
      </c>
      <c r="AH202" s="173">
        <f t="shared" si="521"/>
        <v>2.8391816393024913</v>
      </c>
      <c r="AI202" s="173">
        <f t="shared" si="522"/>
        <v>5.416657668693289</v>
      </c>
      <c r="AJ202" s="173">
        <f t="shared" si="523"/>
        <v>4.2246846928592268</v>
      </c>
      <c r="AL202" s="545">
        <f t="shared" si="524"/>
        <v>920</v>
      </c>
      <c r="AM202" s="460">
        <f t="shared" si="525"/>
        <v>94.344942626617708</v>
      </c>
      <c r="AO202">
        <f t="shared" si="526"/>
        <v>920</v>
      </c>
      <c r="AP202">
        <f t="shared" si="527"/>
        <v>94.344942626617708</v>
      </c>
      <c r="AR202" s="5">
        <f t="shared" si="616"/>
        <v>10.599402280179754</v>
      </c>
      <c r="AS202" s="5">
        <f t="shared" si="604"/>
        <v>6.6153130808999405</v>
      </c>
      <c r="AT202" s="5">
        <f t="shared" si="605"/>
        <v>3.984089199279814</v>
      </c>
      <c r="AU202" s="173">
        <f t="shared" si="606"/>
        <v>0.62412133307461859</v>
      </c>
      <c r="AW202" s="5">
        <f t="shared" si="477"/>
        <v>37.11029289285333</v>
      </c>
      <c r="AX202" s="5">
        <f t="shared" si="478"/>
        <v>19.019025107587328</v>
      </c>
      <c r="AY202" s="5">
        <f t="shared" si="479"/>
        <v>5.098204477965866</v>
      </c>
      <c r="AZ202" s="5"/>
      <c r="BA202" s="173">
        <f t="shared" si="480"/>
        <v>2.470616147264312</v>
      </c>
      <c r="BB202" s="173">
        <f t="shared" si="481"/>
        <v>1.9173199922847477</v>
      </c>
      <c r="BC202" s="173">
        <f t="shared" si="482"/>
        <v>0.47038984028793662</v>
      </c>
      <c r="BD202" s="173"/>
      <c r="BE202" s="528">
        <f t="shared" si="483"/>
        <v>0.12207888294246307</v>
      </c>
      <c r="BF202" s="528">
        <f t="shared" si="528"/>
        <v>0.25873818756561784</v>
      </c>
      <c r="BG202" s="528">
        <f t="shared" si="529"/>
        <v>2.3175059928291858E-2</v>
      </c>
      <c r="BH202" s="528">
        <f t="shared" si="484"/>
        <v>6.8791870139735985E-3</v>
      </c>
      <c r="BI202">
        <f t="shared" si="485"/>
        <v>4.421552094850306E-3</v>
      </c>
      <c r="BJ202" s="460">
        <f t="shared" si="600"/>
        <v>27.596612023142164</v>
      </c>
      <c r="BK202">
        <f t="shared" si="530"/>
        <v>0.43322361522718789</v>
      </c>
      <c r="BL202" s="460">
        <f t="shared" si="601"/>
        <v>415.2928695451966</v>
      </c>
      <c r="BM202" s="173">
        <f t="shared" si="531"/>
        <v>0.57155</v>
      </c>
      <c r="BN202" s="173">
        <f t="shared" si="532"/>
        <v>0.1428875</v>
      </c>
      <c r="BO202" s="528"/>
      <c r="BQ202" s="460">
        <f t="shared" si="486"/>
        <v>714.43750000000011</v>
      </c>
      <c r="BR202" s="528">
        <f t="shared" si="487"/>
        <v>0.18311832441369458</v>
      </c>
      <c r="BS202" s="528">
        <f t="shared" si="488"/>
        <v>0.11028347858444355</v>
      </c>
      <c r="BT202" s="528">
        <f t="shared" si="489"/>
        <v>1.1063330092305527E-3</v>
      </c>
      <c r="BU202" s="528">
        <f t="shared" si="490"/>
        <v>0.29518551264301585</v>
      </c>
      <c r="BV202" s="528"/>
      <c r="BW202" s="625">
        <f t="shared" si="533"/>
        <v>1.3840488135202769E-2</v>
      </c>
      <c r="BX202" s="460">
        <f t="shared" si="607"/>
        <v>603.53413678558729</v>
      </c>
      <c r="BY202" s="173">
        <f t="shared" si="608"/>
        <v>1.7332645063307837</v>
      </c>
      <c r="BZ202" s="5">
        <f t="shared" si="609"/>
        <v>16.928000000000001</v>
      </c>
      <c r="CA202" s="173">
        <f t="shared" si="610"/>
        <v>0.90711966460028592</v>
      </c>
      <c r="CB202" s="5">
        <f t="shared" si="611"/>
        <v>90.711966460028592</v>
      </c>
      <c r="CC202">
        <f t="shared" si="612"/>
        <v>92</v>
      </c>
      <c r="CE202" s="562">
        <f t="shared" si="534"/>
        <v>-50</v>
      </c>
      <c r="CF202">
        <f t="shared" si="535"/>
        <v>-50</v>
      </c>
      <c r="CG202" s="173">
        <f t="shared" si="536"/>
        <v>0.35771495841706197</v>
      </c>
      <c r="CH202" s="173">
        <f t="shared" si="537"/>
        <v>0.12498995131688433</v>
      </c>
      <c r="CI202" s="170">
        <v>92</v>
      </c>
      <c r="CJ202" s="217">
        <f t="shared" si="602"/>
        <v>0.92</v>
      </c>
      <c r="CK202" s="217">
        <f t="shared" si="538"/>
        <v>0.23</v>
      </c>
      <c r="CL202" s="217">
        <f t="shared" si="539"/>
        <v>15.087999999999999</v>
      </c>
      <c r="CM202" s="217">
        <f t="shared" si="540"/>
        <v>1.84</v>
      </c>
      <c r="CN202" s="541">
        <f t="shared" si="541"/>
        <v>10</v>
      </c>
      <c r="CO202" s="443">
        <f t="shared" si="542"/>
        <v>17.099999999999998</v>
      </c>
      <c r="CP202" s="443">
        <f t="shared" si="543"/>
        <v>27.099999999999998</v>
      </c>
      <c r="CQ202" s="443"/>
      <c r="CR202" s="217">
        <f t="shared" si="544"/>
        <v>0.62686567164179097</v>
      </c>
      <c r="CS202" s="172">
        <f t="shared" si="545"/>
        <v>18.624269954574949</v>
      </c>
      <c r="CT202" s="172">
        <f t="shared" si="546"/>
        <v>2.5482344375682562</v>
      </c>
      <c r="CU202" s="217">
        <f t="shared" si="547"/>
        <v>1.135626216742375</v>
      </c>
      <c r="CV202" s="217">
        <f t="shared" si="548"/>
        <v>2.3280337443218686</v>
      </c>
      <c r="CW202" s="217">
        <f t="shared" si="549"/>
        <v>16.399999999999999</v>
      </c>
      <c r="CX202" s="217">
        <f t="shared" si="550"/>
        <v>5.4008380952380959</v>
      </c>
      <c r="CY202" s="217">
        <f t="shared" si="551"/>
        <v>6.4810057142857147</v>
      </c>
      <c r="CZ202" s="217">
        <f t="shared" si="552"/>
        <v>3.7900618212197168</v>
      </c>
      <c r="DA202" s="197">
        <f t="shared" si="553"/>
        <v>350</v>
      </c>
      <c r="DB202" s="443">
        <f t="shared" si="554"/>
        <v>97.360863079048073</v>
      </c>
      <c r="DD202" s="217">
        <f t="shared" si="555"/>
        <v>1.5023721665788083</v>
      </c>
      <c r="DE202" s="173">
        <f t="shared" si="556"/>
        <v>1.0542962572482866</v>
      </c>
      <c r="DF202" s="173">
        <f t="shared" si="557"/>
        <v>0.24706104135140031</v>
      </c>
      <c r="DG202" s="173"/>
      <c r="DH202" s="173">
        <f t="shared" si="558"/>
        <v>0.93567251461988332</v>
      </c>
      <c r="DI202" s="545">
        <f t="shared" si="559"/>
        <v>1474.8749999999995</v>
      </c>
      <c r="DJ202" s="528">
        <f t="shared" si="560"/>
        <v>0.21832358674463945</v>
      </c>
      <c r="DL202" s="173">
        <f t="shared" si="561"/>
        <v>2.8391816393024913</v>
      </c>
      <c r="DM202" s="173">
        <f t="shared" si="562"/>
        <v>5.4008380952380959</v>
      </c>
      <c r="DN202" s="173">
        <f t="shared" si="563"/>
        <v>4.2129664902998245</v>
      </c>
      <c r="DP202" s="545">
        <f t="shared" si="564"/>
        <v>920</v>
      </c>
      <c r="DQ202" s="460">
        <f t="shared" si="565"/>
        <v>97.360863079048073</v>
      </c>
      <c r="DS202">
        <f t="shared" si="614"/>
        <v>920</v>
      </c>
      <c r="DT202">
        <f t="shared" si="615"/>
        <v>97.360863079048073</v>
      </c>
      <c r="DV202" s="5">
        <f t="shared" si="568"/>
        <v>10.271067535505432</v>
      </c>
      <c r="DW202" s="5">
        <f t="shared" si="569"/>
        <v>6.4810057142857147</v>
      </c>
      <c r="DX202" s="5">
        <f t="shared" si="570"/>
        <v>3.7900618212197177</v>
      </c>
      <c r="DY202" s="173">
        <f t="shared" si="571"/>
        <v>0.63099630996309952</v>
      </c>
      <c r="EA202" s="5">
        <f t="shared" si="572"/>
        <v>36.356861324041816</v>
      </c>
      <c r="EB202" s="5">
        <f t="shared" si="573"/>
        <v>18.63289142857143</v>
      </c>
      <c r="EC202" s="5">
        <f t="shared" si="574"/>
        <v>4.7653710632135908</v>
      </c>
      <c r="ED202" s="5"/>
      <c r="EE202" s="173">
        <f t="shared" si="575"/>
        <v>2.4769311832565815</v>
      </c>
      <c r="EF202" s="173">
        <f t="shared" si="576"/>
        <v>1.8941566171789592</v>
      </c>
      <c r="EG202" s="173">
        <f t="shared" si="577"/>
        <v>0.46470700364074885</v>
      </c>
      <c r="EH202" s="173"/>
      <c r="EI202" s="528">
        <f t="shared" si="578"/>
        <v>0.12270376173177697</v>
      </c>
      <c r="EJ202" s="528">
        <f t="shared" si="579"/>
        <v>0.28500000000000003</v>
      </c>
      <c r="EK202" s="528">
        <f t="shared" si="580"/>
        <v>1.2170107884881008E-2</v>
      </c>
      <c r="EL202" s="528">
        <f t="shared" si="581"/>
        <v>7.1502791453883687E-3</v>
      </c>
      <c r="EM202">
        <f t="shared" si="582"/>
        <v>4.4999999999999997E-3</v>
      </c>
      <c r="EN202" s="460">
        <f t="shared" si="583"/>
        <v>16.670107884881009</v>
      </c>
      <c r="EP202" s="460">
        <f t="shared" si="603"/>
        <v>431.52414876204637</v>
      </c>
      <c r="EQ202" s="173">
        <f t="shared" si="584"/>
        <v>0.64400000000000002</v>
      </c>
      <c r="ER202" s="173">
        <f t="shared" si="585"/>
        <v>0.1020625</v>
      </c>
      <c r="ES202" s="528"/>
      <c r="EU202" s="460">
        <f t="shared" si="497"/>
        <v>746.06250000000011</v>
      </c>
      <c r="EV202" s="528">
        <f t="shared" si="586"/>
        <v>0.18405564259766544</v>
      </c>
      <c r="EW202" s="528">
        <f t="shared" si="587"/>
        <v>0.10763487871208514</v>
      </c>
      <c r="EX202" s="528">
        <f t="shared" si="588"/>
        <v>1.0797629961638148E-3</v>
      </c>
      <c r="EY202" s="528">
        <f t="shared" si="589"/>
        <v>0.31701801185397432</v>
      </c>
      <c r="EZ202" s="528"/>
      <c r="FA202" s="625">
        <f t="shared" si="590"/>
        <v>1.4199620453347394E-2</v>
      </c>
      <c r="FB202" s="460">
        <f t="shared" si="613"/>
        <v>623.98791661323617</v>
      </c>
      <c r="FC202" s="173">
        <f t="shared" si="591"/>
        <v>1.8015745653752824</v>
      </c>
      <c r="FD202" s="5">
        <f t="shared" si="592"/>
        <v>16.928000000000001</v>
      </c>
      <c r="FE202" s="173">
        <f t="shared" si="593"/>
        <v>0.90381123932703777</v>
      </c>
      <c r="FF202" s="5">
        <f t="shared" si="594"/>
        <v>90.381123932703773</v>
      </c>
      <c r="FG202">
        <f t="shared" si="595"/>
        <v>92</v>
      </c>
      <c r="FI202" s="562">
        <f t="shared" si="596"/>
        <v>-50</v>
      </c>
      <c r="FJ202">
        <f t="shared" si="597"/>
        <v>-50</v>
      </c>
    </row>
    <row r="203" spans="5:166">
      <c r="E203" s="170">
        <v>93</v>
      </c>
      <c r="F203" s="217">
        <f t="shared" si="598"/>
        <v>0.93</v>
      </c>
      <c r="G203" s="217">
        <f t="shared" si="499"/>
        <v>0.23250000000000001</v>
      </c>
      <c r="H203" s="217">
        <f t="shared" si="500"/>
        <v>15.251999999999999</v>
      </c>
      <c r="I203" s="217">
        <f t="shared" si="501"/>
        <v>1.86</v>
      </c>
      <c r="J203" s="541">
        <f t="shared" si="502"/>
        <v>9.8237764449535856</v>
      </c>
      <c r="K203" s="443">
        <f t="shared" si="503"/>
        <v>17.177995060993425</v>
      </c>
      <c r="L203" s="172">
        <f t="shared" si="504"/>
        <v>27.001771505947012</v>
      </c>
      <c r="M203" s="443"/>
      <c r="N203" s="217">
        <f t="shared" si="505"/>
        <v>0.63618029865966585</v>
      </c>
      <c r="O203" s="172">
        <f t="shared" si="506"/>
        <v>18.567928575461657</v>
      </c>
      <c r="P203" s="172">
        <f t="shared" si="507"/>
        <v>2.5405256230554323</v>
      </c>
      <c r="Q203" s="217">
        <f t="shared" si="508"/>
        <v>1.1321907667964426</v>
      </c>
      <c r="R203" s="217">
        <f t="shared" si="509"/>
        <v>2.3209910719327072</v>
      </c>
      <c r="S203" s="217">
        <f t="shared" si="510"/>
        <v>16.399999999999999</v>
      </c>
      <c r="T203" s="217">
        <f t="shared" si="511"/>
        <v>5.4761089578066686</v>
      </c>
      <c r="U203" s="217">
        <f t="shared" si="512"/>
        <v>6.689210392958052</v>
      </c>
      <c r="V203" s="217">
        <f t="shared" si="513"/>
        <v>3.8254352303836177</v>
      </c>
      <c r="W203" s="197">
        <f t="shared" si="514"/>
        <v>350</v>
      </c>
      <c r="X203" s="443">
        <f t="shared" si="599"/>
        <v>93.330198230869854</v>
      </c>
      <c r="Z203" s="217">
        <f t="shared" si="515"/>
        <v>1.488022150646753</v>
      </c>
      <c r="AA203" s="173">
        <f t="shared" si="516"/>
        <v>1.039484860972383</v>
      </c>
      <c r="AB203" s="173">
        <f t="shared" si="517"/>
        <v>0.24126350817261125</v>
      </c>
      <c r="AC203" s="173"/>
      <c r="AD203" s="173">
        <f t="shared" si="518"/>
        <v>0.93142418211143108</v>
      </c>
      <c r="AE203" s="545">
        <f t="shared" si="519"/>
        <v>1497.706444380364</v>
      </c>
      <c r="AF203" s="528">
        <f t="shared" si="520"/>
        <v>0.21733230915933394</v>
      </c>
      <c r="AH203" s="173">
        <f t="shared" si="521"/>
        <v>2.8545702703859694</v>
      </c>
      <c r="AI203" s="173">
        <f t="shared" si="522"/>
        <v>5.4761089578066686</v>
      </c>
      <c r="AJ203" s="173">
        <f t="shared" si="523"/>
        <v>4.2687226847950637</v>
      </c>
      <c r="AL203" s="545">
        <f t="shared" si="524"/>
        <v>930</v>
      </c>
      <c r="AM203" s="460">
        <f t="shared" si="525"/>
        <v>93.330198230869854</v>
      </c>
      <c r="AO203">
        <f t="shared" si="526"/>
        <v>930</v>
      </c>
      <c r="AP203">
        <f t="shared" si="527"/>
        <v>93.330198230869854</v>
      </c>
      <c r="AR203" s="5">
        <f t="shared" si="616"/>
        <v>10.714645623341669</v>
      </c>
      <c r="AS203" s="5">
        <f t="shared" si="604"/>
        <v>6.689210392958052</v>
      </c>
      <c r="AT203" s="5">
        <f t="shared" si="605"/>
        <v>4.0254352303836169</v>
      </c>
      <c r="AU203" s="173">
        <f t="shared" si="606"/>
        <v>0.62430533198276983</v>
      </c>
      <c r="AW203" s="5">
        <f t="shared" si="477"/>
        <v>37.932717472262134</v>
      </c>
      <c r="AX203" s="5">
        <f t="shared" si="478"/>
        <v>19.44051770453434</v>
      </c>
      <c r="AY203" s="5">
        <f t="shared" si="479"/>
        <v>5.2081072960956911</v>
      </c>
      <c r="AZ203" s="5"/>
      <c r="BA203" s="173">
        <f t="shared" si="480"/>
        <v>2.4981008973053505</v>
      </c>
      <c r="BB203" s="173">
        <f t="shared" si="481"/>
        <v>1.9378893190287421</v>
      </c>
      <c r="BC203" s="173">
        <f t="shared" si="482"/>
        <v>0.47543626047907445</v>
      </c>
      <c r="BD203" s="173"/>
      <c r="BE203" s="528">
        <f t="shared" si="483"/>
        <v>0.12481016186235595</v>
      </c>
      <c r="BF203" s="528">
        <f t="shared" si="528"/>
        <v>0.25875443298302736</v>
      </c>
      <c r="BG203" s="528">
        <f t="shared" si="529"/>
        <v>2.2921375074581699E-2</v>
      </c>
      <c r="BH203" s="528">
        <f t="shared" si="484"/>
        <v>6.8046642893260954E-3</v>
      </c>
      <c r="BI203">
        <f t="shared" si="485"/>
        <v>4.420699400229113E-3</v>
      </c>
      <c r="BJ203" s="460">
        <f t="shared" si="600"/>
        <v>27.342074474810815</v>
      </c>
      <c r="BK203">
        <f t="shared" si="530"/>
        <v>0.43702802272691738</v>
      </c>
      <c r="BL203" s="460">
        <f t="shared" si="601"/>
        <v>417.71133360952018</v>
      </c>
      <c r="BM203" s="173">
        <f t="shared" si="531"/>
        <v>0.57776249999999996</v>
      </c>
      <c r="BN203" s="173">
        <f t="shared" si="532"/>
        <v>0.14444062499999999</v>
      </c>
      <c r="BO203" s="528"/>
      <c r="BQ203" s="460">
        <f t="shared" si="486"/>
        <v>722.203125</v>
      </c>
      <c r="BR203" s="528">
        <f t="shared" si="487"/>
        <v>0.18721524279353391</v>
      </c>
      <c r="BS203" s="528">
        <f t="shared" si="488"/>
        <v>0.11266245038417044</v>
      </c>
      <c r="BT203" s="528">
        <f t="shared" si="489"/>
        <v>1.1301981888916317E-3</v>
      </c>
      <c r="BU203" s="528">
        <f t="shared" si="490"/>
        <v>0.29526072151290422</v>
      </c>
      <c r="BV203" s="528"/>
      <c r="BW203" s="625">
        <f t="shared" si="533"/>
        <v>1.3993822274645559E-2</v>
      </c>
      <c r="BX203" s="460">
        <f t="shared" si="607"/>
        <v>610.26243515414581</v>
      </c>
      <c r="BY203" s="173">
        <f t="shared" si="608"/>
        <v>1.7501768937636659</v>
      </c>
      <c r="BZ203" s="5">
        <f t="shared" si="609"/>
        <v>17.111999999999998</v>
      </c>
      <c r="CA203" s="173">
        <f t="shared" si="610"/>
        <v>0.90721235922973875</v>
      </c>
      <c r="CB203" s="5">
        <f t="shared" si="611"/>
        <v>90.721235922973875</v>
      </c>
      <c r="CC203">
        <f t="shared" si="612"/>
        <v>93</v>
      </c>
      <c r="CE203" s="562">
        <f t="shared" si="534"/>
        <v>-50</v>
      </c>
      <c r="CF203">
        <f t="shared" si="535"/>
        <v>-50</v>
      </c>
      <c r="CG203" s="173">
        <f t="shared" si="536"/>
        <v>0.35771495841706197</v>
      </c>
      <c r="CH203" s="173">
        <f t="shared" si="537"/>
        <v>0.12498995131688433</v>
      </c>
      <c r="CI203" s="170">
        <v>93</v>
      </c>
      <c r="CJ203" s="217">
        <f t="shared" si="602"/>
        <v>0.93</v>
      </c>
      <c r="CK203" s="217">
        <f t="shared" si="538"/>
        <v>0.23250000000000001</v>
      </c>
      <c r="CL203" s="217">
        <f t="shared" si="539"/>
        <v>15.251999999999999</v>
      </c>
      <c r="CM203" s="217">
        <f t="shared" si="540"/>
        <v>1.86</v>
      </c>
      <c r="CN203" s="541">
        <f t="shared" si="541"/>
        <v>10</v>
      </c>
      <c r="CO203" s="443">
        <f t="shared" si="542"/>
        <v>17.099999999999998</v>
      </c>
      <c r="CP203" s="443">
        <f t="shared" si="543"/>
        <v>27.099999999999998</v>
      </c>
      <c r="CQ203" s="443"/>
      <c r="CR203" s="217">
        <f t="shared" si="544"/>
        <v>0.62686567164179097</v>
      </c>
      <c r="CS203" s="172">
        <f t="shared" si="545"/>
        <v>18.624269954574949</v>
      </c>
      <c r="CT203" s="172">
        <f t="shared" si="546"/>
        <v>2.5482344375682562</v>
      </c>
      <c r="CU203" s="217">
        <f t="shared" si="547"/>
        <v>1.135626216742375</v>
      </c>
      <c r="CV203" s="217">
        <f t="shared" si="548"/>
        <v>2.3280337443218686</v>
      </c>
      <c r="CW203" s="217">
        <f t="shared" si="549"/>
        <v>16.399999999999999</v>
      </c>
      <c r="CX203" s="217">
        <f t="shared" si="550"/>
        <v>5.459542857142857</v>
      </c>
      <c r="CY203" s="217">
        <f t="shared" si="551"/>
        <v>6.5514514285714283</v>
      </c>
      <c r="CZ203" s="217">
        <f t="shared" si="552"/>
        <v>3.8312581453634085</v>
      </c>
      <c r="DA203" s="197">
        <f t="shared" si="553"/>
        <v>350</v>
      </c>
      <c r="DB203" s="443">
        <f t="shared" si="554"/>
        <v>96.313972078198105</v>
      </c>
      <c r="DD203" s="217">
        <f t="shared" si="555"/>
        <v>1.5023721665788083</v>
      </c>
      <c r="DE203" s="173">
        <f t="shared" si="556"/>
        <v>1.0542962572482866</v>
      </c>
      <c r="DF203" s="173">
        <f t="shared" si="557"/>
        <v>0.24706104135140031</v>
      </c>
      <c r="DG203" s="173"/>
      <c r="DH203" s="173">
        <f t="shared" si="558"/>
        <v>0.93567251461988332</v>
      </c>
      <c r="DI203" s="545">
        <f t="shared" si="559"/>
        <v>1490.9062499999995</v>
      </c>
      <c r="DJ203" s="528">
        <f t="shared" si="560"/>
        <v>0.21832358674463945</v>
      </c>
      <c r="DL203" s="173">
        <f t="shared" si="561"/>
        <v>2.8545702703859694</v>
      </c>
      <c r="DM203" s="173">
        <f t="shared" si="562"/>
        <v>5.459542857142857</v>
      </c>
      <c r="DN203" s="173">
        <f t="shared" si="563"/>
        <v>4.2564514991181648</v>
      </c>
      <c r="DP203" s="545">
        <f t="shared" si="564"/>
        <v>930</v>
      </c>
      <c r="DQ203" s="460">
        <f t="shared" si="565"/>
        <v>96.313972078198105</v>
      </c>
      <c r="DS203">
        <f t="shared" si="614"/>
        <v>930</v>
      </c>
      <c r="DT203">
        <f t="shared" si="615"/>
        <v>96.313972078198105</v>
      </c>
      <c r="DV203" s="5">
        <f t="shared" si="568"/>
        <v>10.382709573934836</v>
      </c>
      <c r="DW203" s="5">
        <f t="shared" si="569"/>
        <v>6.5514514285714283</v>
      </c>
      <c r="DX203" s="5">
        <f t="shared" si="570"/>
        <v>3.8312581453634076</v>
      </c>
      <c r="DY203" s="173">
        <f t="shared" si="571"/>
        <v>0.63099630996309963</v>
      </c>
      <c r="EA203" s="5">
        <f t="shared" si="572"/>
        <v>37.151523344947741</v>
      </c>
      <c r="EB203" s="5">
        <f t="shared" si="573"/>
        <v>19.040155714285714</v>
      </c>
      <c r="EC203" s="5">
        <f t="shared" si="574"/>
        <v>4.8695291027568901</v>
      </c>
      <c r="ED203" s="5"/>
      <c r="EE203" s="173">
        <f t="shared" si="575"/>
        <v>2.5038543482919793</v>
      </c>
      <c r="EF203" s="173">
        <f t="shared" si="576"/>
        <v>1.9147452760613386</v>
      </c>
      <c r="EG203" s="173">
        <f t="shared" si="577"/>
        <v>0.46975816672380039</v>
      </c>
      <c r="EH203" s="173"/>
      <c r="EI203" s="528">
        <f t="shared" si="578"/>
        <v>0.12538573194921304</v>
      </c>
      <c r="EJ203" s="528">
        <f t="shared" si="579"/>
        <v>0.28499999999999998</v>
      </c>
      <c r="EK203" s="528">
        <f t="shared" si="580"/>
        <v>1.2039246509774762E-2</v>
      </c>
      <c r="EL203" s="528">
        <f t="shared" si="581"/>
        <v>7.073394423394946E-3</v>
      </c>
      <c r="EM203">
        <f t="shared" si="582"/>
        <v>4.4999999999999997E-3</v>
      </c>
      <c r="EN203" s="460">
        <f t="shared" si="583"/>
        <v>16.53924650977476</v>
      </c>
      <c r="EP203" s="460">
        <f t="shared" si="603"/>
        <v>433.99837288238274</v>
      </c>
      <c r="EQ203" s="173">
        <f t="shared" si="584"/>
        <v>0.65100000000000002</v>
      </c>
      <c r="ER203" s="173">
        <f t="shared" si="585"/>
        <v>0.103171875</v>
      </c>
      <c r="ES203" s="528"/>
      <c r="EU203" s="460">
        <f t="shared" si="497"/>
        <v>754.171875</v>
      </c>
      <c r="EV203" s="528">
        <f t="shared" si="586"/>
        <v>0.18807859792381956</v>
      </c>
      <c r="EW203" s="528">
        <f t="shared" si="587"/>
        <v>0.10998748416597635</v>
      </c>
      <c r="EX203" s="528">
        <f t="shared" si="588"/>
        <v>1.1033636760185291E-3</v>
      </c>
      <c r="EY203" s="528">
        <f t="shared" si="589"/>
        <v>0.31701801185397399</v>
      </c>
      <c r="EZ203" s="528"/>
      <c r="FA203" s="625">
        <f t="shared" si="590"/>
        <v>1.4353964153927253E-2</v>
      </c>
      <c r="FB203" s="460">
        <f t="shared" si="613"/>
        <v>630.54142177371568</v>
      </c>
      <c r="FC203" s="173">
        <f t="shared" si="591"/>
        <v>1.8187116696560983</v>
      </c>
      <c r="FD203" s="5">
        <f t="shared" si="592"/>
        <v>17.111999999999998</v>
      </c>
      <c r="FE203" s="173">
        <f t="shared" si="593"/>
        <v>0.90392798213860603</v>
      </c>
      <c r="FF203" s="5">
        <f t="shared" si="594"/>
        <v>90.392798213860601</v>
      </c>
      <c r="FG203">
        <f t="shared" si="595"/>
        <v>93</v>
      </c>
      <c r="FI203" s="562">
        <f t="shared" si="596"/>
        <v>-50</v>
      </c>
      <c r="FJ203">
        <f t="shared" si="597"/>
        <v>-50</v>
      </c>
    </row>
    <row r="204" spans="5:166">
      <c r="E204" s="170">
        <v>94</v>
      </c>
      <c r="F204" s="217">
        <f t="shared" si="598"/>
        <v>0.94</v>
      </c>
      <c r="G204" s="217">
        <f t="shared" si="499"/>
        <v>0.23499999999999999</v>
      </c>
      <c r="H204" s="217">
        <f t="shared" si="500"/>
        <v>15.415999999999999</v>
      </c>
      <c r="I204" s="217">
        <f t="shared" si="501"/>
        <v>1.88</v>
      </c>
      <c r="J204" s="541">
        <f t="shared" si="502"/>
        <v>9.8218815680176021</v>
      </c>
      <c r="K204" s="443">
        <f t="shared" si="503"/>
        <v>17.178833717563247</v>
      </c>
      <c r="L204" s="172">
        <f t="shared" si="504"/>
        <v>27.000715285580849</v>
      </c>
      <c r="M204" s="443"/>
      <c r="N204" s="217">
        <f t="shared" si="505"/>
        <v>0.6362362454426248</v>
      </c>
      <c r="O204" s="172">
        <f t="shared" si="506"/>
        <v>18.565979647298786</v>
      </c>
      <c r="P204" s="172">
        <f t="shared" si="507"/>
        <v>2.5402589642348135</v>
      </c>
      <c r="Q204" s="217">
        <f t="shared" si="508"/>
        <v>1.1320719297133406</v>
      </c>
      <c r="R204" s="217">
        <f t="shared" si="509"/>
        <v>2.3207474559123482</v>
      </c>
      <c r="S204" s="217">
        <f t="shared" si="510"/>
        <v>16.399999999999999</v>
      </c>
      <c r="T204" s="217">
        <f t="shared" si="511"/>
        <v>5.5355728749969897</v>
      </c>
      <c r="U204" s="217">
        <f t="shared" si="512"/>
        <v>6.7631516466524788</v>
      </c>
      <c r="V204" s="217">
        <f t="shared" si="513"/>
        <v>3.8667860456702918</v>
      </c>
      <c r="W204" s="197">
        <f t="shared" si="514"/>
        <v>350</v>
      </c>
      <c r="X204" s="443">
        <f t="shared" si="599"/>
        <v>92.336634652006325</v>
      </c>
      <c r="Z204" s="217">
        <f t="shared" si="515"/>
        <v>1.4878659647661046</v>
      </c>
      <c r="AA204" s="173">
        <f t="shared" si="516"/>
        <v>1.0393250130210723</v>
      </c>
      <c r="AB204" s="173">
        <f t="shared" si="517"/>
        <v>0.24120108798347215</v>
      </c>
      <c r="AC204" s="173"/>
      <c r="AD204" s="173">
        <f t="shared" si="518"/>
        <v>0.93137871074693324</v>
      </c>
      <c r="AE204" s="545">
        <f t="shared" si="519"/>
        <v>1513.8847213602605</v>
      </c>
      <c r="AF204" s="528">
        <f t="shared" si="520"/>
        <v>0.21732169917428446</v>
      </c>
      <c r="AH204" s="173">
        <f t="shared" si="521"/>
        <v>2.8698763869181678</v>
      </c>
      <c r="AI204" s="173">
        <f t="shared" si="522"/>
        <v>5.5355728749969897</v>
      </c>
      <c r="AJ204" s="173">
        <f t="shared" si="523"/>
        <v>4.3127700308619676</v>
      </c>
      <c r="AL204" s="545">
        <f t="shared" si="524"/>
        <v>940</v>
      </c>
      <c r="AM204" s="460">
        <f t="shared" si="525"/>
        <v>92.336634652006325</v>
      </c>
      <c r="AO204">
        <f t="shared" si="526"/>
        <v>940</v>
      </c>
      <c r="AP204">
        <f t="shared" si="527"/>
        <v>92.336634652006325</v>
      </c>
      <c r="AR204" s="5">
        <f t="shared" si="616"/>
        <v>10.829937692322769</v>
      </c>
      <c r="AS204" s="5">
        <f t="shared" si="604"/>
        <v>6.7631516466524788</v>
      </c>
      <c r="AT204" s="5">
        <f t="shared" si="605"/>
        <v>4.0667860456702902</v>
      </c>
      <c r="AU204" s="173">
        <f t="shared" si="606"/>
        <v>0.62448666269306485</v>
      </c>
      <c r="AW204" s="5">
        <f t="shared" si="477"/>
        <v>38.764405779593481</v>
      </c>
      <c r="AX204" s="5">
        <f t="shared" si="478"/>
        <v>19.866757962041657</v>
      </c>
      <c r="AY204" s="5">
        <f t="shared" si="479"/>
        <v>5.3192093970567429</v>
      </c>
      <c r="AZ204" s="5"/>
      <c r="BA204" s="173">
        <f t="shared" si="480"/>
        <v>2.5255939523309654</v>
      </c>
      <c r="BB204" s="173">
        <f t="shared" si="481"/>
        <v>1.9584596513799819</v>
      </c>
      <c r="BC204" s="173">
        <f t="shared" si="482"/>
        <v>0.48048292738303705</v>
      </c>
      <c r="BD204" s="173"/>
      <c r="BE204" s="528">
        <f t="shared" si="483"/>
        <v>0.12757249624101494</v>
      </c>
      <c r="BF204" s="528">
        <f t="shared" si="528"/>
        <v>0.25876954129373431</v>
      </c>
      <c r="BG204" s="528">
        <f t="shared" si="529"/>
        <v>2.2672987248532908E-2</v>
      </c>
      <c r="BH204" s="528">
        <f t="shared" si="484"/>
        <v>6.731697324997607E-3</v>
      </c>
      <c r="BI204">
        <f t="shared" si="485"/>
        <v>4.4198467056079209E-3</v>
      </c>
      <c r="BJ204" s="460">
        <f t="shared" si="600"/>
        <v>27.092833954140829</v>
      </c>
      <c r="BK204">
        <f t="shared" si="530"/>
        <v>0.4408819818419944</v>
      </c>
      <c r="BL204" s="460">
        <f t="shared" si="601"/>
        <v>420.16656881388769</v>
      </c>
      <c r="BM204" s="173">
        <f t="shared" si="531"/>
        <v>0.58397499999999991</v>
      </c>
      <c r="BN204" s="173">
        <f t="shared" si="532"/>
        <v>0.14599374999999998</v>
      </c>
      <c r="BO204" s="528"/>
      <c r="BQ204" s="460">
        <f t="shared" si="486"/>
        <v>729.96874999999989</v>
      </c>
      <c r="BR204" s="528">
        <f t="shared" si="487"/>
        <v>0.19135874436152239</v>
      </c>
      <c r="BS204" s="528">
        <f t="shared" si="488"/>
        <v>0.115066926182502</v>
      </c>
      <c r="BT204" s="528">
        <f t="shared" si="489"/>
        <v>1.1543192175328643E-3</v>
      </c>
      <c r="BU204" s="528">
        <f t="shared" si="490"/>
        <v>0.29533270331461636</v>
      </c>
      <c r="BV204" s="528"/>
      <c r="BW204" s="625">
        <f t="shared" si="533"/>
        <v>1.4147157594509817E-2</v>
      </c>
      <c r="BX204" s="460">
        <f t="shared" si="607"/>
        <v>617.05985067068332</v>
      </c>
      <c r="BY204" s="173">
        <f t="shared" si="608"/>
        <v>1.7671951694845709</v>
      </c>
      <c r="BZ204" s="5">
        <f t="shared" si="609"/>
        <v>17.295999999999999</v>
      </c>
      <c r="CA204" s="173">
        <f t="shared" si="610"/>
        <v>0.90729806027934867</v>
      </c>
      <c r="CB204" s="5">
        <f t="shared" si="611"/>
        <v>90.72980602793487</v>
      </c>
      <c r="CC204">
        <f t="shared" si="612"/>
        <v>94</v>
      </c>
      <c r="CE204" s="562">
        <f t="shared" si="534"/>
        <v>-50</v>
      </c>
      <c r="CF204">
        <f t="shared" si="535"/>
        <v>-50</v>
      </c>
      <c r="CG204" s="173">
        <f t="shared" si="536"/>
        <v>0.35771495841706197</v>
      </c>
      <c r="CH204" s="173">
        <f t="shared" si="537"/>
        <v>0.1249899513168843</v>
      </c>
      <c r="CI204" s="170">
        <v>94</v>
      </c>
      <c r="CJ204" s="217">
        <f t="shared" si="602"/>
        <v>0.94</v>
      </c>
      <c r="CK204" s="217">
        <f t="shared" si="538"/>
        <v>0.23499999999999999</v>
      </c>
      <c r="CL204" s="217">
        <f t="shared" si="539"/>
        <v>15.415999999999999</v>
      </c>
      <c r="CM204" s="217">
        <f t="shared" si="540"/>
        <v>1.88</v>
      </c>
      <c r="CN204" s="541">
        <f t="shared" si="541"/>
        <v>10</v>
      </c>
      <c r="CO204" s="443">
        <f t="shared" si="542"/>
        <v>17.099999999999998</v>
      </c>
      <c r="CP204" s="443">
        <f t="shared" si="543"/>
        <v>27.099999999999998</v>
      </c>
      <c r="CQ204" s="443"/>
      <c r="CR204" s="217">
        <f t="shared" si="544"/>
        <v>0.62686567164179097</v>
      </c>
      <c r="CS204" s="172">
        <f t="shared" si="545"/>
        <v>18.624269954574949</v>
      </c>
      <c r="CT204" s="172">
        <f t="shared" si="546"/>
        <v>2.5482344375682562</v>
      </c>
      <c r="CU204" s="217">
        <f t="shared" si="547"/>
        <v>1.135626216742375</v>
      </c>
      <c r="CV204" s="217">
        <f t="shared" si="548"/>
        <v>2.3280337443218686</v>
      </c>
      <c r="CW204" s="217">
        <f t="shared" si="549"/>
        <v>16.399999999999999</v>
      </c>
      <c r="CX204" s="217">
        <f t="shared" si="550"/>
        <v>5.5182476190476191</v>
      </c>
      <c r="CY204" s="217">
        <f t="shared" si="551"/>
        <v>6.6218971428571436</v>
      </c>
      <c r="CZ204" s="217">
        <f t="shared" si="552"/>
        <v>3.8724544695071024</v>
      </c>
      <c r="DA204" s="197">
        <f t="shared" si="553"/>
        <v>350</v>
      </c>
      <c r="DB204" s="443">
        <f t="shared" si="554"/>
        <v>95.289355353961938</v>
      </c>
      <c r="DD204" s="217">
        <f t="shared" si="555"/>
        <v>1.5023721665788083</v>
      </c>
      <c r="DE204" s="173">
        <f t="shared" si="556"/>
        <v>1.0542962572482866</v>
      </c>
      <c r="DF204" s="173">
        <f t="shared" si="557"/>
        <v>0.24706104135140031</v>
      </c>
      <c r="DG204" s="173"/>
      <c r="DH204" s="173">
        <f t="shared" si="558"/>
        <v>0.93567251461988332</v>
      </c>
      <c r="DI204" s="545">
        <f t="shared" si="559"/>
        <v>1506.9374999999993</v>
      </c>
      <c r="DJ204" s="528">
        <f t="shared" si="560"/>
        <v>0.21832358674463945</v>
      </c>
      <c r="DL204" s="173">
        <f t="shared" si="561"/>
        <v>2.8698763869181678</v>
      </c>
      <c r="DM204" s="173">
        <f t="shared" si="562"/>
        <v>5.5182476190476191</v>
      </c>
      <c r="DN204" s="173">
        <f t="shared" si="563"/>
        <v>4.2999365079365077</v>
      </c>
      <c r="DP204" s="545">
        <f t="shared" si="564"/>
        <v>940</v>
      </c>
      <c r="DQ204" s="460">
        <f t="shared" si="565"/>
        <v>95.289355353961938</v>
      </c>
      <c r="DS204">
        <f t="shared" si="614"/>
        <v>940</v>
      </c>
      <c r="DT204">
        <f t="shared" si="615"/>
        <v>95.289355353961938</v>
      </c>
      <c r="DV204" s="5">
        <f t="shared" si="568"/>
        <v>10.494351612364245</v>
      </c>
      <c r="DW204" s="5">
        <f t="shared" si="569"/>
        <v>6.6218971428571436</v>
      </c>
      <c r="DX204" s="5">
        <f t="shared" si="570"/>
        <v>3.872454469507101</v>
      </c>
      <c r="DY204" s="173">
        <f t="shared" si="571"/>
        <v>0.63099630996309963</v>
      </c>
      <c r="EA204" s="5">
        <f t="shared" si="572"/>
        <v>37.954776306620218</v>
      </c>
      <c r="EB204" s="5">
        <f t="shared" si="573"/>
        <v>19.451822857142858</v>
      </c>
      <c r="EC204" s="5">
        <f t="shared" si="574"/>
        <v>4.9748131751601212</v>
      </c>
      <c r="ED204" s="5"/>
      <c r="EE204" s="173">
        <f t="shared" si="575"/>
        <v>2.5307775133273771</v>
      </c>
      <c r="EF204" s="173">
        <f t="shared" si="576"/>
        <v>1.9353339349437186</v>
      </c>
      <c r="EG204" s="173">
        <f t="shared" si="577"/>
        <v>0.47480932980685192</v>
      </c>
      <c r="EH204" s="173"/>
      <c r="EI204" s="528">
        <f t="shared" si="578"/>
        <v>0.12809669643927005</v>
      </c>
      <c r="EJ204" s="528">
        <f t="shared" si="579"/>
        <v>0.28499999999999992</v>
      </c>
      <c r="EK204" s="528">
        <f t="shared" si="580"/>
        <v>1.1911169419245242E-2</v>
      </c>
      <c r="EL204" s="528">
        <f t="shared" si="581"/>
        <v>6.9981455465503179E-3</v>
      </c>
      <c r="EM204">
        <f t="shared" si="582"/>
        <v>4.4999999999999997E-3</v>
      </c>
      <c r="EN204" s="460">
        <f t="shared" si="583"/>
        <v>16.411169419245244</v>
      </c>
      <c r="EP204" s="460">
        <f t="shared" si="603"/>
        <v>436.50601140506552</v>
      </c>
      <c r="EQ204" s="173">
        <f t="shared" si="584"/>
        <v>0.65799999999999992</v>
      </c>
      <c r="ER204" s="173">
        <f t="shared" si="585"/>
        <v>0.10428124999999999</v>
      </c>
      <c r="ES204" s="528"/>
      <c r="EU204" s="460">
        <f t="shared" si="497"/>
        <v>762.28124999999989</v>
      </c>
      <c r="EV204" s="528">
        <f t="shared" si="586"/>
        <v>0.19214504465890508</v>
      </c>
      <c r="EW204" s="528">
        <f t="shared" si="587"/>
        <v>0.11236552319234214</v>
      </c>
      <c r="EX204" s="528">
        <f t="shared" si="588"/>
        <v>1.1272194983581595E-3</v>
      </c>
      <c r="EY204" s="528">
        <f t="shared" si="589"/>
        <v>0.31701801185397344</v>
      </c>
      <c r="EZ204" s="528"/>
      <c r="FA204" s="625">
        <f t="shared" si="590"/>
        <v>1.4508307854507114E-2</v>
      </c>
      <c r="FB204" s="460">
        <f t="shared" si="613"/>
        <v>637.16410705808596</v>
      </c>
      <c r="FC204" s="173">
        <f t="shared" si="591"/>
        <v>1.8359513684631514</v>
      </c>
      <c r="FD204" s="5">
        <f t="shared" si="592"/>
        <v>17.295999999999999</v>
      </c>
      <c r="FE204" s="173">
        <f t="shared" si="593"/>
        <v>0.9040374223671972</v>
      </c>
      <c r="FF204" s="5">
        <f t="shared" si="594"/>
        <v>90.403742236719722</v>
      </c>
      <c r="FG204">
        <f t="shared" si="595"/>
        <v>94</v>
      </c>
      <c r="FI204" s="562">
        <f t="shared" si="596"/>
        <v>-50</v>
      </c>
      <c r="FJ204">
        <f t="shared" si="597"/>
        <v>-50</v>
      </c>
    </row>
    <row r="205" spans="5:166">
      <c r="E205" s="170">
        <v>95</v>
      </c>
      <c r="F205" s="217">
        <f t="shared" si="598"/>
        <v>0.95</v>
      </c>
      <c r="G205" s="217">
        <f t="shared" si="499"/>
        <v>0.23749999999999999</v>
      </c>
      <c r="H205" s="217">
        <f t="shared" si="500"/>
        <v>15.579999999999998</v>
      </c>
      <c r="I205" s="217">
        <f t="shared" si="501"/>
        <v>1.9</v>
      </c>
      <c r="J205" s="541">
        <f t="shared" si="502"/>
        <v>9.8199866910816205</v>
      </c>
      <c r="K205" s="443">
        <f t="shared" si="503"/>
        <v>17.179672374133069</v>
      </c>
      <c r="L205" s="172">
        <f t="shared" si="504"/>
        <v>26.99965906521469</v>
      </c>
      <c r="M205" s="443"/>
      <c r="N205" s="217">
        <f t="shared" si="505"/>
        <v>0.63629219660283376</v>
      </c>
      <c r="O205" s="172">
        <f t="shared" si="506"/>
        <v>18.564030216915626</v>
      </c>
      <c r="P205" s="172">
        <f t="shared" si="507"/>
        <v>2.5399922366987471</v>
      </c>
      <c r="Q205" s="217">
        <f t="shared" si="508"/>
        <v>1.1319530620070504</v>
      </c>
      <c r="R205" s="217">
        <f t="shared" si="509"/>
        <v>2.3205037771144532</v>
      </c>
      <c r="S205" s="217">
        <f t="shared" si="510"/>
        <v>16.399999999999999</v>
      </c>
      <c r="T205" s="217">
        <f t="shared" si="511"/>
        <v>5.5950494290847947</v>
      </c>
      <c r="U205" s="217">
        <f t="shared" si="512"/>
        <v>6.8371368781990025</v>
      </c>
      <c r="V205" s="217">
        <f t="shared" si="513"/>
        <v>3.9081416506003439</v>
      </c>
      <c r="W205" s="197">
        <f t="shared" si="514"/>
        <v>350</v>
      </c>
      <c r="X205" s="443">
        <f t="shared" si="599"/>
        <v>91.363595487203753</v>
      </c>
      <c r="Z205" s="217">
        <f t="shared" si="515"/>
        <v>1.4877097386378375</v>
      </c>
      <c r="AA205" s="173">
        <f t="shared" si="516"/>
        <v>1.0391651525633319</v>
      </c>
      <c r="AB205" s="173">
        <f t="shared" si="517"/>
        <v>0.24113866615689283</v>
      </c>
      <c r="AC205" s="173"/>
      <c r="AD205" s="173">
        <f t="shared" si="518"/>
        <v>0.93133324382196803</v>
      </c>
      <c r="AE205" s="545">
        <f t="shared" si="519"/>
        <v>1530.0645708212262</v>
      </c>
      <c r="AF205" s="528">
        <f t="shared" si="520"/>
        <v>0.2173110902251259</v>
      </c>
      <c r="AH205" s="173">
        <f t="shared" si="521"/>
        <v>2.8851013021745913</v>
      </c>
      <c r="AI205" s="173">
        <f t="shared" si="522"/>
        <v>5.5950494290847947</v>
      </c>
      <c r="AJ205" s="173">
        <f t="shared" si="523"/>
        <v>4.3568267375936758</v>
      </c>
      <c r="AL205" s="545">
        <f t="shared" si="524"/>
        <v>950</v>
      </c>
      <c r="AM205" s="460">
        <f t="shared" si="525"/>
        <v>91.363595487203753</v>
      </c>
      <c r="AO205">
        <f t="shared" si="526"/>
        <v>950</v>
      </c>
      <c r="AP205">
        <f t="shared" si="527"/>
        <v>91.363595487203753</v>
      </c>
      <c r="AR205" s="5">
        <f t="shared" si="616"/>
        <v>10.945278528799346</v>
      </c>
      <c r="AS205" s="5">
        <f t="shared" si="604"/>
        <v>6.8371368781990025</v>
      </c>
      <c r="AT205" s="5">
        <f t="shared" si="605"/>
        <v>4.1081416506003432</v>
      </c>
      <c r="AU205" s="173">
        <f t="shared" si="606"/>
        <v>0.6246654080304167</v>
      </c>
      <c r="AW205" s="5">
        <f t="shared" si="477"/>
        <v>39.605366062738128</v>
      </c>
      <c r="AX205" s="5">
        <f t="shared" si="478"/>
        <v>20.297750107153288</v>
      </c>
      <c r="AY205" s="5">
        <f t="shared" si="479"/>
        <v>5.4315116820611093</v>
      </c>
      <c r="AZ205" s="5"/>
      <c r="BA205" s="173">
        <f t="shared" si="480"/>
        <v>2.5530953148900584</v>
      </c>
      <c r="BB205" s="173">
        <f t="shared" si="481"/>
        <v>1.9790309963179276</v>
      </c>
      <c r="BC205" s="173">
        <f t="shared" si="482"/>
        <v>0.48552984271214572</v>
      </c>
      <c r="BD205" s="173"/>
      <c r="BE205" s="528">
        <f t="shared" si="483"/>
        <v>0.13036591373827133</v>
      </c>
      <c r="BF205" s="528">
        <f t="shared" si="528"/>
        <v>0.25878354758315036</v>
      </c>
      <c r="BG205" s="528">
        <f t="shared" si="529"/>
        <v>2.2429732293342643E-2</v>
      </c>
      <c r="BH205" s="528">
        <f t="shared" si="484"/>
        <v>6.660237907328944E-3</v>
      </c>
      <c r="BI205">
        <f t="shared" si="485"/>
        <v>4.4189940109867288E-3</v>
      </c>
      <c r="BJ205" s="460">
        <f t="shared" si="600"/>
        <v>26.848726304329372</v>
      </c>
      <c r="BK205">
        <f t="shared" si="530"/>
        <v>0.4447857070169291</v>
      </c>
      <c r="BL205" s="460">
        <f t="shared" si="601"/>
        <v>422.65842553308005</v>
      </c>
      <c r="BM205" s="173">
        <f t="shared" si="531"/>
        <v>0.59018749999999986</v>
      </c>
      <c r="BN205" s="173">
        <f t="shared" si="532"/>
        <v>0.14754687499999997</v>
      </c>
      <c r="BO205" s="528"/>
      <c r="BQ205" s="460">
        <f t="shared" si="486"/>
        <v>737.73437499999989</v>
      </c>
      <c r="BR205" s="528">
        <f t="shared" si="487"/>
        <v>0.19554887060740697</v>
      </c>
      <c r="BS205" s="528">
        <f t="shared" si="488"/>
        <v>0.11749691053161387</v>
      </c>
      <c r="BT205" s="528">
        <f t="shared" si="489"/>
        <v>1.1786961408204049E-3</v>
      </c>
      <c r="BU205" s="528">
        <f t="shared" si="490"/>
        <v>0.29540155637269416</v>
      </c>
      <c r="BV205" s="528"/>
      <c r="BW205" s="625">
        <f t="shared" si="533"/>
        <v>1.4300494058480611E-2</v>
      </c>
      <c r="BX205" s="460">
        <f t="shared" si="607"/>
        <v>623.92652771101609</v>
      </c>
      <c r="BY205" s="173">
        <f t="shared" si="608"/>
        <v>1.7843193282440959</v>
      </c>
      <c r="BZ205" s="5">
        <f t="shared" si="609"/>
        <v>17.479999999999997</v>
      </c>
      <c r="CA205" s="173">
        <f t="shared" si="610"/>
        <v>0.90737698551186063</v>
      </c>
      <c r="CB205" s="5">
        <f t="shared" si="611"/>
        <v>90.737698551186057</v>
      </c>
      <c r="CC205">
        <f t="shared" si="612"/>
        <v>95</v>
      </c>
      <c r="CE205" s="562">
        <f t="shared" si="534"/>
        <v>-50</v>
      </c>
      <c r="CF205">
        <f t="shared" si="535"/>
        <v>-50</v>
      </c>
      <c r="CG205" s="173">
        <f t="shared" si="536"/>
        <v>0.35771495841706208</v>
      </c>
      <c r="CH205" s="173">
        <f t="shared" si="537"/>
        <v>0.12498995131688433</v>
      </c>
      <c r="CI205" s="170">
        <v>95</v>
      </c>
      <c r="CJ205" s="217">
        <f t="shared" si="602"/>
        <v>0.95</v>
      </c>
      <c r="CK205" s="217">
        <f t="shared" si="538"/>
        <v>0.23749999999999999</v>
      </c>
      <c r="CL205" s="217">
        <f t="shared" si="539"/>
        <v>15.579999999999998</v>
      </c>
      <c r="CM205" s="217">
        <f t="shared" si="540"/>
        <v>1.9</v>
      </c>
      <c r="CN205" s="541">
        <f t="shared" si="541"/>
        <v>10</v>
      </c>
      <c r="CO205" s="443">
        <f t="shared" si="542"/>
        <v>17.099999999999998</v>
      </c>
      <c r="CP205" s="443">
        <f t="shared" si="543"/>
        <v>27.099999999999998</v>
      </c>
      <c r="CQ205" s="443"/>
      <c r="CR205" s="217">
        <f t="shared" si="544"/>
        <v>0.62686567164179097</v>
      </c>
      <c r="CS205" s="172">
        <f t="shared" si="545"/>
        <v>18.624269954574949</v>
      </c>
      <c r="CT205" s="172">
        <f t="shared" si="546"/>
        <v>2.5482344375682562</v>
      </c>
      <c r="CU205" s="217">
        <f t="shared" si="547"/>
        <v>1.135626216742375</v>
      </c>
      <c r="CV205" s="217">
        <f t="shared" si="548"/>
        <v>2.3280337443218686</v>
      </c>
      <c r="CW205" s="217">
        <f t="shared" si="549"/>
        <v>16.399999999999999</v>
      </c>
      <c r="CX205" s="217">
        <f t="shared" si="550"/>
        <v>5.5769523809523802</v>
      </c>
      <c r="CY205" s="217">
        <f t="shared" si="551"/>
        <v>6.6923428571428554</v>
      </c>
      <c r="CZ205" s="217">
        <f t="shared" si="552"/>
        <v>3.9136507936507932</v>
      </c>
      <c r="DA205" s="197">
        <f t="shared" si="553"/>
        <v>350</v>
      </c>
      <c r="DB205" s="443">
        <f t="shared" si="554"/>
        <v>94.286309508130799</v>
      </c>
      <c r="DD205" s="217">
        <f t="shared" si="555"/>
        <v>1.5023721665788083</v>
      </c>
      <c r="DE205" s="173">
        <f t="shared" si="556"/>
        <v>1.0542962572482866</v>
      </c>
      <c r="DF205" s="173">
        <f t="shared" si="557"/>
        <v>0.24706104135140031</v>
      </c>
      <c r="DG205" s="173"/>
      <c r="DH205" s="173">
        <f t="shared" si="558"/>
        <v>0.93567251461988332</v>
      </c>
      <c r="DI205" s="545">
        <f t="shared" si="559"/>
        <v>1522.9687499999993</v>
      </c>
      <c r="DJ205" s="528">
        <f t="shared" si="560"/>
        <v>0.21832358674463945</v>
      </c>
      <c r="DL205" s="173">
        <f t="shared" si="561"/>
        <v>2.8851013021745913</v>
      </c>
      <c r="DM205" s="173">
        <f t="shared" si="562"/>
        <v>5.5769523809523802</v>
      </c>
      <c r="DN205" s="173">
        <f t="shared" si="563"/>
        <v>4.3434215167548498</v>
      </c>
      <c r="DP205" s="545">
        <f t="shared" si="564"/>
        <v>950</v>
      </c>
      <c r="DQ205" s="460">
        <f t="shared" si="565"/>
        <v>94.286309508130799</v>
      </c>
      <c r="DS205">
        <f t="shared" si="614"/>
        <v>950</v>
      </c>
      <c r="DT205">
        <f t="shared" si="615"/>
        <v>94.286309508130799</v>
      </c>
      <c r="DV205" s="5">
        <f t="shared" si="568"/>
        <v>10.605993650793648</v>
      </c>
      <c r="DW205" s="5">
        <f t="shared" si="569"/>
        <v>6.6923428571428554</v>
      </c>
      <c r="DX205" s="5">
        <f t="shared" si="570"/>
        <v>3.9136507936507927</v>
      </c>
      <c r="DY205" s="173">
        <f t="shared" si="571"/>
        <v>0.63099630996309963</v>
      </c>
      <c r="EA205" s="5">
        <f t="shared" si="572"/>
        <v>38.766620209059226</v>
      </c>
      <c r="EB205" s="5">
        <f t="shared" si="573"/>
        <v>19.867892857142852</v>
      </c>
      <c r="EC205" s="5">
        <f t="shared" si="574"/>
        <v>5.081223280423278</v>
      </c>
      <c r="ED205" s="5"/>
      <c r="EE205" s="173">
        <f t="shared" si="575"/>
        <v>2.557700678362774</v>
      </c>
      <c r="EF205" s="173">
        <f t="shared" si="576"/>
        <v>1.9559225938260982</v>
      </c>
      <c r="EG205" s="173">
        <f t="shared" si="577"/>
        <v>0.47986049288990357</v>
      </c>
      <c r="EH205" s="173"/>
      <c r="EI205" s="528">
        <f t="shared" si="578"/>
        <v>0.1308366552019479</v>
      </c>
      <c r="EJ205" s="528">
        <f t="shared" si="579"/>
        <v>0.28500000000000003</v>
      </c>
      <c r="EK205" s="528">
        <f t="shared" si="580"/>
        <v>1.1785788688516348E-2</v>
      </c>
      <c r="EL205" s="528">
        <f t="shared" si="581"/>
        <v>6.9244808565866334E-3</v>
      </c>
      <c r="EM205">
        <f t="shared" si="582"/>
        <v>4.4999999999999997E-3</v>
      </c>
      <c r="EN205" s="460">
        <f t="shared" si="583"/>
        <v>16.285788688516348</v>
      </c>
      <c r="EP205" s="460">
        <f t="shared" si="603"/>
        <v>439.04692474705092</v>
      </c>
      <c r="EQ205" s="173">
        <f t="shared" si="584"/>
        <v>0.66499999999999992</v>
      </c>
      <c r="ER205" s="173">
        <f t="shared" si="585"/>
        <v>0.10539062499999999</v>
      </c>
      <c r="ES205" s="528"/>
      <c r="EU205" s="460">
        <f t="shared" si="497"/>
        <v>770.39062499999989</v>
      </c>
      <c r="EV205" s="528">
        <f t="shared" si="586"/>
        <v>0.19625498280292181</v>
      </c>
      <c r="EW205" s="528">
        <f t="shared" si="587"/>
        <v>0.11476899579118235</v>
      </c>
      <c r="EX205" s="528">
        <f t="shared" si="588"/>
        <v>1.1513304631827061E-3</v>
      </c>
      <c r="EY205" s="528">
        <f t="shared" si="589"/>
        <v>0.31701801185397399</v>
      </c>
      <c r="EZ205" s="528"/>
      <c r="FA205" s="625">
        <f t="shared" si="590"/>
        <v>1.4662651555086979E-2</v>
      </c>
      <c r="FB205" s="460">
        <f t="shared" si="613"/>
        <v>643.85597246634779</v>
      </c>
      <c r="FC205" s="173">
        <f t="shared" si="591"/>
        <v>1.8532935222133988</v>
      </c>
      <c r="FD205" s="5">
        <f t="shared" si="592"/>
        <v>17.479999999999997</v>
      </c>
      <c r="FE205" s="173">
        <f t="shared" si="593"/>
        <v>0.9041397928353998</v>
      </c>
      <c r="FF205" s="5">
        <f t="shared" si="594"/>
        <v>90.413979283539987</v>
      </c>
      <c r="FG205">
        <f t="shared" si="595"/>
        <v>95</v>
      </c>
      <c r="FI205" s="562">
        <f t="shared" si="596"/>
        <v>-50</v>
      </c>
      <c r="FJ205">
        <f t="shared" si="597"/>
        <v>-50</v>
      </c>
    </row>
    <row r="206" spans="5:166">
      <c r="E206" s="170">
        <v>96</v>
      </c>
      <c r="F206" s="217">
        <f t="shared" si="598"/>
        <v>0.96</v>
      </c>
      <c r="G206" s="217">
        <f t="shared" si="499"/>
        <v>0.24</v>
      </c>
      <c r="H206" s="217">
        <f t="shared" si="500"/>
        <v>15.743999999999998</v>
      </c>
      <c r="I206" s="217">
        <f t="shared" si="501"/>
        <v>1.92</v>
      </c>
      <c r="J206" s="541">
        <f t="shared" si="502"/>
        <v>9.818091814145637</v>
      </c>
      <c r="K206" s="443">
        <f t="shared" si="503"/>
        <v>17.180511030702892</v>
      </c>
      <c r="L206" s="172">
        <f t="shared" si="504"/>
        <v>26.998602844848527</v>
      </c>
      <c r="M206" s="443"/>
      <c r="N206" s="217">
        <f t="shared" si="505"/>
        <v>0.63634815214080687</v>
      </c>
      <c r="O206" s="172">
        <f>N206*J206*Isw_max*0.5*Efficiency*Pout/(Pout+Pout2)</f>
        <v>18.562080284253238</v>
      </c>
      <c r="P206" s="172">
        <f t="shared" si="507"/>
        <v>2.5397254404391703</v>
      </c>
      <c r="Q206" s="217">
        <f t="shared" si="508"/>
        <v>1.1318341636739779</v>
      </c>
      <c r="R206" s="217">
        <f t="shared" si="509"/>
        <v>2.3202600355316547</v>
      </c>
      <c r="S206" s="217">
        <f t="shared" si="510"/>
        <v>16.399999999999999</v>
      </c>
      <c r="T206" s="217">
        <f t="shared" si="511"/>
        <v>5.6545386288971429</v>
      </c>
      <c r="U206" s="217">
        <f t="shared" si="512"/>
        <v>6.9111661238493278</v>
      </c>
      <c r="V206" s="217">
        <f t="shared" si="513"/>
        <v>3.9495020506377596</v>
      </c>
      <c r="W206" s="197">
        <f t="shared" si="514"/>
        <v>350</v>
      </c>
      <c r="X206" s="443">
        <f t="shared" si="599"/>
        <v>90.410451179308851</v>
      </c>
      <c r="Z206" s="217">
        <f t="shared" si="515"/>
        <v>1.4875534722572279</v>
      </c>
      <c r="AA206" s="173">
        <f t="shared" si="516"/>
        <v>1.0390052795976945</v>
      </c>
      <c r="AB206" s="173">
        <f>0.5*AA206*Z206*Nps*W206/1000*(Pout/(Pout+Pout2))</f>
        <v>0.24107624269569231</v>
      </c>
      <c r="AC206" s="173"/>
      <c r="AD206" s="173">
        <f t="shared" si="518"/>
        <v>0.93128778133588541</v>
      </c>
      <c r="AE206" s="545">
        <f>MAX(10, F206/(0.5*AD206/1000000*Isw_min*Nps)/1000*Pout_total/Pout)</f>
        <v>1546.2459927632597</v>
      </c>
      <c r="AF206" s="528">
        <f t="shared" si="520"/>
        <v>0.21730048231170662</v>
      </c>
      <c r="AH206" s="173">
        <f t="shared" si="521"/>
        <v>2.9002462949598899</v>
      </c>
      <c r="AI206" s="173">
        <f>MAX(IF(F206&gt;AB206,T206,AH206),Isw_min)</f>
        <v>5.6545386288971429</v>
      </c>
      <c r="AJ206" s="173">
        <f>IF(F206&gt;AF206, (AI206-Isw_min)/1.08*0.8+1.2, AE206*0.2/350+1)</f>
        <v>4.400892811528748</v>
      </c>
      <c r="AL206" s="545">
        <f t="shared" si="524"/>
        <v>960</v>
      </c>
      <c r="AM206" s="460">
        <f t="shared" si="525"/>
        <v>90.410451179308851</v>
      </c>
      <c r="AO206">
        <f t="shared" si="526"/>
        <v>960</v>
      </c>
      <c r="AP206">
        <f t="shared" si="527"/>
        <v>90.410451179308851</v>
      </c>
      <c r="AR206" s="5">
        <f t="shared" si="616"/>
        <v>11.060668174487088</v>
      </c>
      <c r="AS206" s="5">
        <f t="shared" si="604"/>
        <v>6.9111661238493278</v>
      </c>
      <c r="AT206" s="5">
        <f t="shared" si="605"/>
        <v>4.1495020506377598</v>
      </c>
      <c r="AU206" s="173">
        <f t="shared" si="606"/>
        <v>0.6248416474323728</v>
      </c>
      <c r="AW206" s="5">
        <f t="shared" si="477"/>
        <v>40.45560657863021</v>
      </c>
      <c r="AX206" s="5">
        <f t="shared" si="478"/>
        <v>20.733498371547984</v>
      </c>
      <c r="AY206" s="5">
        <f t="shared" si="479"/>
        <v>5.5450150533252929</v>
      </c>
      <c r="AZ206" s="5"/>
      <c r="BA206" s="173">
        <f t="shared" si="480"/>
        <v>2.5806049876339876</v>
      </c>
      <c r="BB206" s="173">
        <f t="shared" si="481"/>
        <v>1.9996033605931074</v>
      </c>
      <c r="BC206" s="173">
        <f t="shared" si="482"/>
        <v>0.49057700812255561</v>
      </c>
      <c r="BD206" s="173"/>
      <c r="BE206" s="528">
        <f t="shared" si="483"/>
        <v>0.13319044204402827</v>
      </c>
      <c r="BF206" s="528">
        <f t="shared" si="528"/>
        <v>0.2587964855017581</v>
      </c>
      <c r="BG206" s="528">
        <f t="shared" si="529"/>
        <v>2.2191452765919648E-2</v>
      </c>
      <c r="BH206" s="528">
        <f t="shared" si="484"/>
        <v>6.5902397945110155E-3</v>
      </c>
      <c r="BI206">
        <f t="shared" si="485"/>
        <v>4.4181413163655366E-3</v>
      </c>
      <c r="BJ206" s="460">
        <f t="shared" si="600"/>
        <v>26.609594082285184</v>
      </c>
      <c r="BK206">
        <f t="shared" si="530"/>
        <v>0.44873941626071306</v>
      </c>
      <c r="BL206" s="460">
        <f t="shared" si="601"/>
        <v>425.18676142258255</v>
      </c>
      <c r="BM206" s="173">
        <f t="shared" si="531"/>
        <v>0.59639999999999993</v>
      </c>
      <c r="BN206" s="173">
        <f t="shared" si="532"/>
        <v>0.14909999999999998</v>
      </c>
      <c r="BO206" s="528"/>
      <c r="BQ206" s="460">
        <f t="shared" si="486"/>
        <v>745.49999999999989</v>
      </c>
      <c r="BR206" s="528">
        <f t="shared" si="487"/>
        <v>0.1997856630660424</v>
      </c>
      <c r="BS206" s="528">
        <f t="shared" si="488"/>
        <v>0.11995240799085746</v>
      </c>
      <c r="BT206" s="528">
        <f t="shared" si="489"/>
        <v>1.2033290044923901E-3</v>
      </c>
      <c r="BU206" s="528">
        <f t="shared" si="490"/>
        <v>0.29546737504866166</v>
      </c>
      <c r="BV206" s="528"/>
      <c r="BW206" s="625">
        <f t="shared" si="533"/>
        <v>1.4453831631728113E-2</v>
      </c>
      <c r="BX206" s="460">
        <f t="shared" si="607"/>
        <v>630.86260674178209</v>
      </c>
      <c r="BY206" s="173">
        <f t="shared" si="608"/>
        <v>1.8015493681643644</v>
      </c>
      <c r="BZ206" s="5">
        <f t="shared" si="609"/>
        <v>17.663999999999998</v>
      </c>
      <c r="CA206" s="173">
        <f t="shared" si="610"/>
        <v>0.90744934375647412</v>
      </c>
      <c r="CB206" s="5">
        <f t="shared" si="611"/>
        <v>90.744934375647418</v>
      </c>
      <c r="CC206">
        <f t="shared" si="612"/>
        <v>96</v>
      </c>
      <c r="CE206" s="562">
        <f t="shared" si="534"/>
        <v>-50</v>
      </c>
      <c r="CF206">
        <f t="shared" si="535"/>
        <v>-50</v>
      </c>
      <c r="CG206" s="173">
        <f t="shared" si="536"/>
        <v>0.35771495841706197</v>
      </c>
      <c r="CH206" s="173">
        <f t="shared" si="537"/>
        <v>0.12498995131688433</v>
      </c>
      <c r="CI206" s="170">
        <v>96</v>
      </c>
      <c r="CJ206" s="217">
        <f t="shared" si="602"/>
        <v>0.96</v>
      </c>
      <c r="CK206" s="217">
        <f t="shared" si="538"/>
        <v>0.24</v>
      </c>
      <c r="CL206" s="217">
        <f t="shared" si="539"/>
        <v>15.743999999999998</v>
      </c>
      <c r="CM206" s="217">
        <f t="shared" si="540"/>
        <v>1.92</v>
      </c>
      <c r="CN206" s="541">
        <f t="shared" si="541"/>
        <v>10</v>
      </c>
      <c r="CO206" s="443">
        <f t="shared" si="542"/>
        <v>17.099999999999998</v>
      </c>
      <c r="CP206" s="443">
        <f t="shared" si="543"/>
        <v>27.099999999999998</v>
      </c>
      <c r="CQ206" s="443"/>
      <c r="CR206" s="217">
        <f t="shared" si="544"/>
        <v>0.62686567164179097</v>
      </c>
      <c r="CS206" s="172">
        <f t="shared" si="545"/>
        <v>18.624269954574949</v>
      </c>
      <c r="CT206" s="172">
        <f t="shared" si="546"/>
        <v>2.5482344375682562</v>
      </c>
      <c r="CU206" s="217">
        <f t="shared" si="547"/>
        <v>1.135626216742375</v>
      </c>
      <c r="CV206" s="217">
        <f t="shared" si="548"/>
        <v>2.3280337443218686</v>
      </c>
      <c r="CW206" s="217">
        <f t="shared" si="549"/>
        <v>16.399999999999999</v>
      </c>
      <c r="CX206" s="217">
        <f t="shared" si="550"/>
        <v>5.6356571428571423</v>
      </c>
      <c r="CY206" s="217">
        <f t="shared" si="551"/>
        <v>6.7627885714285707</v>
      </c>
      <c r="CZ206" s="217">
        <f t="shared" si="552"/>
        <v>3.9548471177944866</v>
      </c>
      <c r="DA206" s="197">
        <f t="shared" si="553"/>
        <v>350</v>
      </c>
      <c r="DB206" s="443">
        <f t="shared" si="554"/>
        <v>93.304160450754424</v>
      </c>
      <c r="DD206" s="217">
        <f t="shared" si="555"/>
        <v>1.5023721665788083</v>
      </c>
      <c r="DE206" s="173">
        <f t="shared" si="556"/>
        <v>1.0542962572482866</v>
      </c>
      <c r="DF206" s="173">
        <f t="shared" si="557"/>
        <v>0.24706104135140031</v>
      </c>
      <c r="DG206" s="173"/>
      <c r="DH206" s="173">
        <f t="shared" si="558"/>
        <v>0.93567251461988332</v>
      </c>
      <c r="DI206" s="545">
        <f t="shared" si="559"/>
        <v>1538.9999999999993</v>
      </c>
      <c r="DJ206" s="528">
        <f t="shared" si="560"/>
        <v>0.21832358674463945</v>
      </c>
      <c r="DL206" s="173">
        <f t="shared" si="561"/>
        <v>2.9002462949598899</v>
      </c>
      <c r="DM206" s="173">
        <f t="shared" si="562"/>
        <v>5.6356571428571423</v>
      </c>
      <c r="DN206" s="173">
        <f t="shared" si="563"/>
        <v>4.3869065255731918</v>
      </c>
      <c r="DP206" s="545">
        <f t="shared" si="564"/>
        <v>960</v>
      </c>
      <c r="DQ206" s="460">
        <f t="shared" si="565"/>
        <v>93.304160450754424</v>
      </c>
      <c r="DS206">
        <f t="shared" si="614"/>
        <v>960</v>
      </c>
      <c r="DT206">
        <f t="shared" si="615"/>
        <v>93.304160450754424</v>
      </c>
      <c r="DV206" s="5">
        <f t="shared" si="568"/>
        <v>10.717635689223057</v>
      </c>
      <c r="DW206" s="5">
        <f t="shared" si="569"/>
        <v>6.7627885714285707</v>
      </c>
      <c r="DX206" s="5">
        <f t="shared" si="570"/>
        <v>3.9548471177944862</v>
      </c>
      <c r="DY206" s="173">
        <f t="shared" si="571"/>
        <v>0.63099630996309963</v>
      </c>
      <c r="EA206" s="5">
        <f t="shared" si="572"/>
        <v>39.587055052264809</v>
      </c>
      <c r="EB206" s="5">
        <f t="shared" si="573"/>
        <v>20.28836571428571</v>
      </c>
      <c r="EC206" s="5">
        <f t="shared" si="574"/>
        <v>5.1887594185463648</v>
      </c>
      <c r="ED206" s="5"/>
      <c r="EE206" s="173">
        <f t="shared" si="575"/>
        <v>2.5846238433981719</v>
      </c>
      <c r="EF206" s="173">
        <f t="shared" si="576"/>
        <v>1.9765112527084783</v>
      </c>
      <c r="EG206" s="173">
        <f t="shared" si="577"/>
        <v>0.48491165597295516</v>
      </c>
      <c r="EH206" s="173"/>
      <c r="EI206" s="528">
        <f t="shared" si="578"/>
        <v>0.13360560823724676</v>
      </c>
      <c r="EJ206" s="528">
        <f t="shared" si="579"/>
        <v>0.28500000000000003</v>
      </c>
      <c r="EK206" s="528">
        <f t="shared" si="580"/>
        <v>1.1663020056344302E-2</v>
      </c>
      <c r="EL206" s="528">
        <f t="shared" si="581"/>
        <v>6.8523508476638541E-3</v>
      </c>
      <c r="EM206">
        <f t="shared" si="582"/>
        <v>4.4999999999999997E-3</v>
      </c>
      <c r="EN206" s="460">
        <f t="shared" si="583"/>
        <v>16.163020056344301</v>
      </c>
      <c r="EP206" s="460">
        <f t="shared" si="603"/>
        <v>441.62097914125491</v>
      </c>
      <c r="EQ206" s="173">
        <f t="shared" si="584"/>
        <v>0.67199999999999993</v>
      </c>
      <c r="ER206" s="173">
        <f t="shared" si="585"/>
        <v>0.1065</v>
      </c>
      <c r="ES206" s="528"/>
      <c r="EU206" s="460">
        <f t="shared" si="497"/>
        <v>778.5</v>
      </c>
      <c r="EV206" s="528">
        <f t="shared" si="586"/>
        <v>0.20040841235587012</v>
      </c>
      <c r="EW206" s="528">
        <f t="shared" si="587"/>
        <v>0.11719790196249713</v>
      </c>
      <c r="EX206" s="528">
        <f t="shared" si="588"/>
        <v>1.175696570492168E-3</v>
      </c>
      <c r="EY206" s="528">
        <f t="shared" si="589"/>
        <v>0.31701801185397432</v>
      </c>
      <c r="EZ206" s="528"/>
      <c r="FA206" s="625">
        <f t="shared" si="590"/>
        <v>1.4816995255666843E-2</v>
      </c>
      <c r="FB206" s="460">
        <f t="shared" si="613"/>
        <v>650.61701799850061</v>
      </c>
      <c r="FC206" s="173">
        <f t="shared" si="591"/>
        <v>1.8707379971397553</v>
      </c>
      <c r="FD206" s="5">
        <f t="shared" si="592"/>
        <v>17.663999999999998</v>
      </c>
      <c r="FE206" s="173">
        <f t="shared" si="593"/>
        <v>0.90423531672584156</v>
      </c>
      <c r="FF206" s="5">
        <f t="shared" si="594"/>
        <v>90.423531672584161</v>
      </c>
      <c r="FG206">
        <f t="shared" si="595"/>
        <v>96</v>
      </c>
      <c r="FI206" s="562">
        <f t="shared" si="596"/>
        <v>-50</v>
      </c>
      <c r="FJ206">
        <f t="shared" si="597"/>
        <v>-50</v>
      </c>
    </row>
    <row r="207" spans="5:166">
      <c r="E207" s="170">
        <v>97</v>
      </c>
      <c r="F207" s="217">
        <f>IF(PLOT_TYPE=1, E207/100*Iout_max, min_I*EXP(O207*rr/100))</f>
        <v>0.97</v>
      </c>
      <c r="G207" s="217">
        <f t="shared" si="499"/>
        <v>0.24249999999999999</v>
      </c>
      <c r="H207" s="217">
        <f t="shared" si="500"/>
        <v>15.907999999999998</v>
      </c>
      <c r="I207" s="217">
        <f t="shared" si="501"/>
        <v>1.94</v>
      </c>
      <c r="J207" s="541">
        <f t="shared" si="502"/>
        <v>9.8161969372096536</v>
      </c>
      <c r="K207" s="443">
        <f t="shared" si="503"/>
        <v>17.181349687272711</v>
      </c>
      <c r="L207" s="172">
        <f t="shared" si="504"/>
        <v>26.997546624482364</v>
      </c>
      <c r="M207" s="443"/>
      <c r="N207" s="217">
        <f t="shared" si="505"/>
        <v>0.6364041120570576</v>
      </c>
      <c r="O207" s="172">
        <f>N207*J207*Isw_max*0.5*Efficiency*Pout/(Pout+Pout2)</f>
        <v>18.560129849252668</v>
      </c>
      <c r="P207" s="172">
        <f t="shared" si="507"/>
        <v>2.5394585754480157</v>
      </c>
      <c r="Q207" s="217">
        <f t="shared" si="508"/>
        <v>1.1317152347105286</v>
      </c>
      <c r="R207" s="217">
        <f t="shared" si="509"/>
        <v>2.3200162311565835</v>
      </c>
      <c r="S207" s="217">
        <f t="shared" si="510"/>
        <v>16.399999999999999</v>
      </c>
      <c r="T207" s="217">
        <f t="shared" si="511"/>
        <v>5.7140404832676106</v>
      </c>
      <c r="U207" s="217">
        <f t="shared" si="512"/>
        <v>6.9852394198911192</v>
      </c>
      <c r="V207" s="217">
        <f t="shared" si="513"/>
        <v>3.9908672512500147</v>
      </c>
      <c r="W207" s="197">
        <f t="shared" si="514"/>
        <v>350</v>
      </c>
      <c r="X207" s="443">
        <f t="shared" si="599"/>
        <v>89.476597658305579</v>
      </c>
      <c r="Z207" s="217">
        <f t="shared" si="515"/>
        <v>1.4873971656195515</v>
      </c>
      <c r="AA207" s="173">
        <f t="shared" si="516"/>
        <v>1.0388453941226925</v>
      </c>
      <c r="AB207" s="173">
        <f>0.5*AA207*Z207*Nps*W207/1000*(Pout/(Pout+Pout2))</f>
        <v>0.24101381760269033</v>
      </c>
      <c r="AC207" s="173"/>
      <c r="AD207" s="173">
        <f t="shared" si="518"/>
        <v>0.93124232328803558</v>
      </c>
      <c r="AE207" s="545">
        <f>MAX(10, F207/(0.5*AD207/1000000*Isw_min*Nps)/1000*Pout_total/Pout)</f>
        <v>1562.4289871863618</v>
      </c>
      <c r="AF207" s="528">
        <f t="shared" si="520"/>
        <v>0.21728987543387498</v>
      </c>
      <c r="AH207" s="173">
        <f t="shared" si="521"/>
        <v>2.915312610861418</v>
      </c>
      <c r="AI207" s="173">
        <f>MAX(IF(F207&gt;AB207,T207,AH207),Isw_min)</f>
        <v>5.7140404832676106</v>
      </c>
      <c r="AJ207" s="173">
        <f>IF(F207&gt;AF207, (AI207-Isw_min)/1.08*0.8+1.2, AE207*0.2/350+1)</f>
        <v>4.4449682592105759</v>
      </c>
      <c r="AL207" s="545">
        <f t="shared" si="524"/>
        <v>970</v>
      </c>
      <c r="AM207" s="460">
        <f t="shared" si="525"/>
        <v>89.476597658305579</v>
      </c>
      <c r="AO207">
        <f t="shared" si="526"/>
        <v>970</v>
      </c>
      <c r="AP207">
        <f t="shared" si="527"/>
        <v>89.476597658305579</v>
      </c>
      <c r="AR207" s="5">
        <f t="shared" si="616"/>
        <v>11.176106671141133</v>
      </c>
      <c r="AS207" s="5">
        <f t="shared" si="604"/>
        <v>6.9852394198911192</v>
      </c>
      <c r="AT207" s="5">
        <f t="shared" si="605"/>
        <v>4.1908672512500136</v>
      </c>
      <c r="AU207" s="173">
        <f t="shared" si="606"/>
        <v>0.62501545712053352</v>
      </c>
      <c r="AW207" s="5">
        <f t="shared" si="477"/>
        <v>41.315135593258461</v>
      </c>
      <c r="AX207" s="5">
        <f t="shared" si="478"/>
        <v>21.174006991544957</v>
      </c>
      <c r="AY207" s="5">
        <f t="shared" si="479"/>
        <v>5.6597204140714377</v>
      </c>
      <c r="AZ207" s="5"/>
      <c r="BA207" s="173">
        <f t="shared" si="480"/>
        <v>2.6081229733115561</v>
      </c>
      <c r="BB207" s="173">
        <f t="shared" si="481"/>
        <v>2.0201767507386257</v>
      </c>
      <c r="BC207" s="173">
        <f t="shared" si="482"/>
        <v>0.49562442521708022</v>
      </c>
      <c r="BD207" s="173"/>
      <c r="BE207" s="528">
        <f t="shared" si="483"/>
        <v>0.13604610887831023</v>
      </c>
      <c r="BF207" s="528">
        <f t="shared" si="528"/>
        <v>0.2588083873377266</v>
      </c>
      <c r="BG207" s="528">
        <f t="shared" si="529"/>
        <v>2.1957997597134991E-2</v>
      </c>
      <c r="BH207" s="528">
        <f t="shared" si="484"/>
        <v>6.5216586167987809E-3</v>
      </c>
      <c r="BI207">
        <f t="shared" si="485"/>
        <v>4.4172886217443436E-3</v>
      </c>
      <c r="BJ207" s="460">
        <f t="shared" si="600"/>
        <v>26.375286218879335</v>
      </c>
      <c r="BK207">
        <f t="shared" si="530"/>
        <v>0.45274333115121695</v>
      </c>
      <c r="BL207" s="460">
        <f t="shared" si="601"/>
        <v>427.75144105171495</v>
      </c>
      <c r="BM207" s="173">
        <f t="shared" si="531"/>
        <v>0.60261249999999988</v>
      </c>
      <c r="BN207" s="173">
        <f t="shared" si="532"/>
        <v>0.15065312499999997</v>
      </c>
      <c r="BO207" s="528"/>
      <c r="BQ207" s="460">
        <f t="shared" si="486"/>
        <v>753.26562499999977</v>
      </c>
      <c r="BR207" s="528">
        <f t="shared" si="487"/>
        <v>0.20406916331746536</v>
      </c>
      <c r="BS207" s="528">
        <f t="shared" si="488"/>
        <v>0.12243342312674615</v>
      </c>
      <c r="BT207" s="528">
        <f t="shared" si="489"/>
        <v>1.2282178543588057E-3</v>
      </c>
      <c r="BU207" s="528">
        <f t="shared" si="490"/>
        <v>0.29553024993867893</v>
      </c>
      <c r="BV207" s="528"/>
      <c r="BW207" s="625">
        <f t="shared" si="533"/>
        <v>1.4607170280832426E-2</v>
      </c>
      <c r="BX207" s="460">
        <f t="shared" si="607"/>
        <v>637.86822451808166</v>
      </c>
      <c r="BY207" s="173">
        <f t="shared" si="608"/>
        <v>1.8188852905697965</v>
      </c>
      <c r="BZ207" s="5">
        <f t="shared" si="609"/>
        <v>17.847999999999999</v>
      </c>
      <c r="CA207" s="173">
        <f t="shared" si="610"/>
        <v>0.90751533536213047</v>
      </c>
      <c r="CB207" s="5">
        <f t="shared" si="611"/>
        <v>90.751533536213046</v>
      </c>
      <c r="CC207">
        <f t="shared" si="612"/>
        <v>97</v>
      </c>
      <c r="CE207" s="562">
        <f t="shared" si="534"/>
        <v>-50</v>
      </c>
      <c r="CF207">
        <f t="shared" si="535"/>
        <v>-50</v>
      </c>
      <c r="CG207" s="173">
        <f t="shared" si="536"/>
        <v>0.35771495841706197</v>
      </c>
      <c r="CH207" s="173">
        <f t="shared" si="537"/>
        <v>0.1249899513168843</v>
      </c>
      <c r="CI207" s="170">
        <v>97</v>
      </c>
      <c r="CJ207" s="217">
        <f t="shared" si="602"/>
        <v>0.97</v>
      </c>
      <c r="CK207" s="217">
        <f t="shared" si="538"/>
        <v>0.24249999999999999</v>
      </c>
      <c r="CL207" s="217">
        <f t="shared" si="539"/>
        <v>15.907999999999998</v>
      </c>
      <c r="CM207" s="217">
        <f t="shared" si="540"/>
        <v>1.94</v>
      </c>
      <c r="CN207" s="541">
        <f t="shared" si="541"/>
        <v>10</v>
      </c>
      <c r="CO207" s="443">
        <f t="shared" si="542"/>
        <v>17.099999999999998</v>
      </c>
      <c r="CP207" s="443">
        <f t="shared" si="543"/>
        <v>27.099999999999998</v>
      </c>
      <c r="CQ207" s="443"/>
      <c r="CR207" s="217">
        <f t="shared" si="544"/>
        <v>0.62686567164179097</v>
      </c>
      <c r="CS207" s="172">
        <f t="shared" si="545"/>
        <v>18.624269954574949</v>
      </c>
      <c r="CT207" s="172">
        <f t="shared" si="546"/>
        <v>2.5482344375682562</v>
      </c>
      <c r="CU207" s="217">
        <f t="shared" si="547"/>
        <v>1.135626216742375</v>
      </c>
      <c r="CV207" s="217">
        <f t="shared" si="548"/>
        <v>2.3280337443218686</v>
      </c>
      <c r="CW207" s="217">
        <f t="shared" si="549"/>
        <v>16.399999999999999</v>
      </c>
      <c r="CX207" s="217">
        <f t="shared" si="550"/>
        <v>5.6943619047619052</v>
      </c>
      <c r="CY207" s="217">
        <f t="shared" si="551"/>
        <v>6.833234285714286</v>
      </c>
      <c r="CZ207" s="217">
        <f t="shared" si="552"/>
        <v>3.9960434419381796</v>
      </c>
      <c r="DA207" s="197">
        <f t="shared" si="553"/>
        <v>350</v>
      </c>
      <c r="DB207" s="443">
        <f t="shared" si="554"/>
        <v>92.342261889406416</v>
      </c>
      <c r="DD207" s="217">
        <f t="shared" si="555"/>
        <v>1.5023721665788083</v>
      </c>
      <c r="DE207" s="173">
        <f t="shared" si="556"/>
        <v>1.0542962572482866</v>
      </c>
      <c r="DF207" s="173">
        <f t="shared" si="557"/>
        <v>0.24706104135140031</v>
      </c>
      <c r="DG207" s="173"/>
      <c r="DH207" s="173">
        <f t="shared" si="558"/>
        <v>0.93567251461988332</v>
      </c>
      <c r="DI207" s="545">
        <f t="shared" si="559"/>
        <v>1555.0312499999993</v>
      </c>
      <c r="DJ207" s="528">
        <f t="shared" si="560"/>
        <v>0.21832358674463945</v>
      </c>
      <c r="DL207" s="173">
        <f t="shared" si="561"/>
        <v>2.915312610861418</v>
      </c>
      <c r="DM207" s="173">
        <f t="shared" si="562"/>
        <v>5.6943619047619052</v>
      </c>
      <c r="DN207" s="173">
        <f t="shared" si="563"/>
        <v>4.4303915343915348</v>
      </c>
      <c r="DP207" s="545">
        <f t="shared" si="564"/>
        <v>970</v>
      </c>
      <c r="DQ207" s="460">
        <f t="shared" si="565"/>
        <v>92.342261889406416</v>
      </c>
      <c r="DS207">
        <f t="shared" si="614"/>
        <v>970</v>
      </c>
      <c r="DT207">
        <f t="shared" si="615"/>
        <v>92.342261889406416</v>
      </c>
      <c r="DV207" s="5">
        <f t="shared" si="568"/>
        <v>10.829277727652466</v>
      </c>
      <c r="DW207" s="5">
        <f t="shared" si="569"/>
        <v>6.833234285714286</v>
      </c>
      <c r="DX207" s="5">
        <f t="shared" si="570"/>
        <v>3.9960434419381796</v>
      </c>
      <c r="DY207" s="173">
        <f t="shared" si="571"/>
        <v>0.63099630996309963</v>
      </c>
      <c r="EA207" s="5">
        <f t="shared" si="572"/>
        <v>40.416080836236944</v>
      </c>
      <c r="EB207" s="5">
        <f t="shared" si="573"/>
        <v>20.713241428571429</v>
      </c>
      <c r="EC207" s="5">
        <f t="shared" si="574"/>
        <v>5.2974215895293781</v>
      </c>
      <c r="ED207" s="5"/>
      <c r="EE207" s="173">
        <f t="shared" si="575"/>
        <v>2.6115470084335701</v>
      </c>
      <c r="EF207" s="173">
        <f t="shared" si="576"/>
        <v>1.9970999115908588</v>
      </c>
      <c r="EG207" s="173">
        <f t="shared" si="577"/>
        <v>0.48996281905600692</v>
      </c>
      <c r="EH207" s="173"/>
      <c r="EI207" s="528">
        <f t="shared" si="578"/>
        <v>0.13640355554516659</v>
      </c>
      <c r="EJ207" s="528">
        <f t="shared" si="579"/>
        <v>0.28499999999999998</v>
      </c>
      <c r="EK207" s="528">
        <f t="shared" si="580"/>
        <v>1.1542782736175801E-2</v>
      </c>
      <c r="EL207" s="528">
        <f t="shared" si="581"/>
        <v>6.7817080554198952E-3</v>
      </c>
      <c r="EM207">
        <f t="shared" si="582"/>
        <v>4.4999999999999997E-3</v>
      </c>
      <c r="EN207" s="460">
        <f t="shared" si="583"/>
        <v>16.042782736175798</v>
      </c>
      <c r="EP207" s="460">
        <f t="shared" si="603"/>
        <v>444.22804633676225</v>
      </c>
      <c r="EQ207" s="173">
        <f t="shared" si="584"/>
        <v>0.67899999999999994</v>
      </c>
      <c r="ER207" s="173">
        <f t="shared" si="585"/>
        <v>0.10760937499999999</v>
      </c>
      <c r="ES207" s="528"/>
      <c r="EU207" s="460">
        <f t="shared" si="497"/>
        <v>786.609375</v>
      </c>
      <c r="EV207" s="528">
        <f t="shared" si="586"/>
        <v>0.20460533331774988</v>
      </c>
      <c r="EW207" s="528">
        <f t="shared" si="587"/>
        <v>0.11965224170628647</v>
      </c>
      <c r="EX207" s="528">
        <f t="shared" si="588"/>
        <v>1.200317820286547E-3</v>
      </c>
      <c r="EY207" s="528">
        <f t="shared" si="589"/>
        <v>0.31701801185397432</v>
      </c>
      <c r="EZ207" s="528"/>
      <c r="FA207" s="625">
        <f t="shared" si="590"/>
        <v>1.4971338956246708E-2</v>
      </c>
      <c r="FB207" s="460">
        <f t="shared" si="613"/>
        <v>657.44724365454397</v>
      </c>
      <c r="FC207" s="173">
        <f t="shared" si="591"/>
        <v>1.8882846649913059</v>
      </c>
      <c r="FD207" s="5">
        <f t="shared" si="592"/>
        <v>17.847999999999999</v>
      </c>
      <c r="FE207" s="173">
        <f t="shared" si="593"/>
        <v>0.90432420807444114</v>
      </c>
      <c r="FF207" s="5">
        <f t="shared" si="594"/>
        <v>90.432420807444117</v>
      </c>
      <c r="FG207">
        <f t="shared" si="595"/>
        <v>97</v>
      </c>
      <c r="FI207" s="562">
        <f t="shared" si="596"/>
        <v>-50</v>
      </c>
      <c r="FJ207">
        <f t="shared" si="597"/>
        <v>-50</v>
      </c>
    </row>
    <row r="208" spans="5:166">
      <c r="E208" s="170">
        <v>98</v>
      </c>
      <c r="F208" s="217">
        <f>IF(PLOT_TYPE=1, E208/100*Iout_max, min_I*EXP(O208*rr/100))</f>
        <v>0.98</v>
      </c>
      <c r="G208" s="217">
        <f t="shared" si="499"/>
        <v>0.245</v>
      </c>
      <c r="H208" s="217">
        <f t="shared" si="500"/>
        <v>16.071999999999999</v>
      </c>
      <c r="I208" s="217">
        <f t="shared" si="501"/>
        <v>1.96</v>
      </c>
      <c r="J208" s="541">
        <f t="shared" si="502"/>
        <v>9.8143020602736701</v>
      </c>
      <c r="K208" s="443">
        <f t="shared" si="503"/>
        <v>17.182188343842533</v>
      </c>
      <c r="L208" s="172">
        <f t="shared" si="504"/>
        <v>26.996490404116201</v>
      </c>
      <c r="M208" s="443"/>
      <c r="N208" s="217">
        <f t="shared" si="505"/>
        <v>0.6364600763521</v>
      </c>
      <c r="O208" s="172">
        <f>N208*J208*Isw_max*0.5*Efficiency*Pout/(Pout+Pout2)</f>
        <v>18.558178911854959</v>
      </c>
      <c r="P208" s="172">
        <f t="shared" si="507"/>
        <v>2.5391916417172165</v>
      </c>
      <c r="Q208" s="217">
        <f t="shared" si="508"/>
        <v>1.1315962751131075</v>
      </c>
      <c r="R208" s="217">
        <f t="shared" si="509"/>
        <v>2.3197723639818699</v>
      </c>
      <c r="S208" s="217">
        <f t="shared" si="510"/>
        <v>16.399999999999999</v>
      </c>
      <c r="T208" s="217">
        <f t="shared" si="511"/>
        <v>5.7735550010363035</v>
      </c>
      <c r="U208" s="217">
        <f t="shared" si="512"/>
        <v>7.0593568026480442</v>
      </c>
      <c r="V208" s="217">
        <f t="shared" si="513"/>
        <v>4.0322372579080721</v>
      </c>
      <c r="W208" s="197">
        <f t="shared" si="514"/>
        <v>350</v>
      </c>
      <c r="X208" s="443">
        <f t="shared" si="599"/>
        <v>88.56145506445435</v>
      </c>
      <c r="Z208" s="217">
        <f t="shared" si="515"/>
        <v>1.4872408187200838</v>
      </c>
      <c r="AA208" s="173">
        <f t="shared" si="516"/>
        <v>1.0386854961368572</v>
      </c>
      <c r="AB208" s="173">
        <f>0.5*AA208*Z208*Nps*W208/1000*(Pout/(Pout+Pout2))</f>
        <v>0.24095139088070788</v>
      </c>
      <c r="AC208" s="173"/>
      <c r="AD208" s="173">
        <f t="shared" si="518"/>
        <v>0.93119686967776816</v>
      </c>
      <c r="AE208" s="545">
        <f>MAX(10, F208/(0.5*AD208/1000000*Isw_min*Nps)/1000*Pout_total/Pout)</f>
        <v>1578.6135540905323</v>
      </c>
      <c r="AF208" s="528">
        <f t="shared" si="520"/>
        <v>0.21727926959147925</v>
      </c>
      <c r="AH208" s="173">
        <f t="shared" si="521"/>
        <v>2.9303014634447879</v>
      </c>
      <c r="AI208" s="173">
        <f>MAX(IF(F208&gt;AB208,T208,AH208),Isw_min)</f>
        <v>5.7735550010363035</v>
      </c>
      <c r="AJ208" s="173">
        <f>IF(F208&gt;AF208, (AI208-Isw_min)/1.08*0.8+1.2, AE208*0.2/350+1)</f>
        <v>4.4890530871873855</v>
      </c>
      <c r="AL208" s="545">
        <f t="shared" si="524"/>
        <v>980</v>
      </c>
      <c r="AM208" s="460">
        <f t="shared" si="525"/>
        <v>88.56145506445435</v>
      </c>
      <c r="AO208">
        <f t="shared" si="526"/>
        <v>980</v>
      </c>
      <c r="AP208">
        <f t="shared" si="527"/>
        <v>88.56145506445435</v>
      </c>
      <c r="AR208" s="5">
        <f t="shared" si="616"/>
        <v>11.291594060556115</v>
      </c>
      <c r="AS208" s="5">
        <f t="shared" si="604"/>
        <v>7.0593568026480442</v>
      </c>
      <c r="AT208" s="5">
        <f t="shared" si="605"/>
        <v>4.2322372579080705</v>
      </c>
      <c r="AU208" s="173">
        <f t="shared" si="606"/>
        <v>0.62518691026166495</v>
      </c>
      <c r="AW208" s="5">
        <f t="shared" si="477"/>
        <v>42.183961381677342</v>
      </c>
      <c r="AX208" s="5">
        <f t="shared" si="478"/>
        <v>21.619280208109636</v>
      </c>
      <c r="AY208" s="5">
        <f t="shared" si="479"/>
        <v>5.7756286685285492</v>
      </c>
      <c r="AZ208" s="5"/>
      <c r="BA208" s="173">
        <f t="shared" si="480"/>
        <v>2.6356492747643152</v>
      </c>
      <c r="BB208" s="173">
        <f t="shared" si="481"/>
        <v>2.040751173080992</v>
      </c>
      <c r="BC208" s="173">
        <f t="shared" si="482"/>
        <v>0.5006720955478472</v>
      </c>
      <c r="BD208" s="173"/>
      <c r="BE208" s="528">
        <f t="shared" si="483"/>
        <v>0.13893294199131323</v>
      </c>
      <c r="BF208" s="528">
        <f t="shared" si="528"/>
        <v>0.25881928408516025</v>
      </c>
      <c r="BG208" s="528">
        <f t="shared" si="529"/>
        <v>2.1729221772497708E-2</v>
      </c>
      <c r="BH208" s="528">
        <f t="shared" si="484"/>
        <v>6.4544517827241485E-3</v>
      </c>
      <c r="BI208">
        <f t="shared" si="485"/>
        <v>4.4164359271231515E-3</v>
      </c>
      <c r="BJ208" s="460">
        <f t="shared" si="600"/>
        <v>26.145657699620859</v>
      </c>
      <c r="BK208">
        <f t="shared" si="530"/>
        <v>0.45679767684174083</v>
      </c>
      <c r="BL208" s="460">
        <f t="shared" si="601"/>
        <v>430.35233555881848</v>
      </c>
      <c r="BM208" s="173">
        <f t="shared" si="531"/>
        <v>0.60882499999999995</v>
      </c>
      <c r="BN208" s="173">
        <f t="shared" si="532"/>
        <v>0.15220624999999999</v>
      </c>
      <c r="BO208" s="528"/>
      <c r="BQ208" s="460">
        <f t="shared" si="486"/>
        <v>761.03124999999989</v>
      </c>
      <c r="BR208" s="528">
        <f t="shared" si="487"/>
        <v>0.20839941298696982</v>
      </c>
      <c r="BS208" s="528">
        <f t="shared" si="488"/>
        <v>0.12493996051294334</v>
      </c>
      <c r="BT208" s="528">
        <f t="shared" si="489"/>
        <v>1.253362736301363E-3</v>
      </c>
      <c r="BU208" s="528">
        <f t="shared" si="490"/>
        <v>0.29559026805948274</v>
      </c>
      <c r="BV208" s="528"/>
      <c r="BW208" s="625">
        <f t="shared" si="533"/>
        <v>1.4760509973712961E-2</v>
      </c>
      <c r="BX208" s="460">
        <f t="shared" si="607"/>
        <v>644.94351426941023</v>
      </c>
      <c r="BY208" s="173">
        <f t="shared" si="608"/>
        <v>1.8363270998282286</v>
      </c>
      <c r="BZ208" s="5">
        <f t="shared" si="609"/>
        <v>18.032</v>
      </c>
      <c r="CA208" s="173">
        <f t="shared" si="610"/>
        <v>0.90757515262348865</v>
      </c>
      <c r="CB208" s="5">
        <f t="shared" si="611"/>
        <v>90.757515262348861</v>
      </c>
      <c r="CC208">
        <f t="shared" si="612"/>
        <v>98</v>
      </c>
      <c r="CE208" s="562">
        <f t="shared" si="534"/>
        <v>-50</v>
      </c>
      <c r="CF208">
        <f t="shared" si="535"/>
        <v>-50</v>
      </c>
      <c r="CG208" s="173">
        <f t="shared" si="536"/>
        <v>0.35771495841706197</v>
      </c>
      <c r="CH208" s="173">
        <f t="shared" si="537"/>
        <v>0.12498995131688433</v>
      </c>
      <c r="CI208" s="170">
        <v>98</v>
      </c>
      <c r="CJ208" s="217">
        <f t="shared" si="602"/>
        <v>0.98</v>
      </c>
      <c r="CK208" s="217">
        <f t="shared" si="538"/>
        <v>0.245</v>
      </c>
      <c r="CL208" s="217">
        <f t="shared" si="539"/>
        <v>16.071999999999999</v>
      </c>
      <c r="CM208" s="217">
        <f t="shared" si="540"/>
        <v>1.96</v>
      </c>
      <c r="CN208" s="541">
        <f t="shared" si="541"/>
        <v>10</v>
      </c>
      <c r="CO208" s="443">
        <f t="shared" si="542"/>
        <v>17.099999999999998</v>
      </c>
      <c r="CP208" s="443">
        <f t="shared" si="543"/>
        <v>27.099999999999998</v>
      </c>
      <c r="CQ208" s="443"/>
      <c r="CR208" s="217">
        <f t="shared" si="544"/>
        <v>0.62686567164179097</v>
      </c>
      <c r="CS208" s="172">
        <f t="shared" si="545"/>
        <v>18.624269954574949</v>
      </c>
      <c r="CT208" s="172">
        <f t="shared" si="546"/>
        <v>2.5482344375682562</v>
      </c>
      <c r="CU208" s="217">
        <f t="shared" si="547"/>
        <v>1.135626216742375</v>
      </c>
      <c r="CV208" s="217">
        <f t="shared" si="548"/>
        <v>2.3280337443218686</v>
      </c>
      <c r="CW208" s="217">
        <f t="shared" si="549"/>
        <v>16.399999999999999</v>
      </c>
      <c r="CX208" s="217">
        <f t="shared" si="550"/>
        <v>5.7530666666666672</v>
      </c>
      <c r="CY208" s="217">
        <f t="shared" si="551"/>
        <v>6.9036800000000005</v>
      </c>
      <c r="CZ208" s="217">
        <f t="shared" si="552"/>
        <v>4.0372397660818722</v>
      </c>
      <c r="DA208" s="197">
        <f t="shared" si="553"/>
        <v>350</v>
      </c>
      <c r="DB208" s="443">
        <f t="shared" si="554"/>
        <v>91.399993910943081</v>
      </c>
      <c r="DD208" s="217">
        <f t="shared" si="555"/>
        <v>1.5023721665788083</v>
      </c>
      <c r="DE208" s="173">
        <f t="shared" si="556"/>
        <v>1.0542962572482866</v>
      </c>
      <c r="DF208" s="173">
        <f t="shared" si="557"/>
        <v>0.24706104135140031</v>
      </c>
      <c r="DG208" s="173"/>
      <c r="DH208" s="173">
        <f t="shared" si="558"/>
        <v>0.93567251461988332</v>
      </c>
      <c r="DI208" s="545">
        <f t="shared" si="559"/>
        <v>1571.0624999999993</v>
      </c>
      <c r="DJ208" s="528">
        <f t="shared" si="560"/>
        <v>0.21832358674463945</v>
      </c>
      <c r="DL208" s="173">
        <f t="shared" si="561"/>
        <v>2.9303014634447879</v>
      </c>
      <c r="DM208" s="173">
        <f t="shared" si="562"/>
        <v>5.7530666666666672</v>
      </c>
      <c r="DN208" s="173">
        <f t="shared" si="563"/>
        <v>4.4738765432098768</v>
      </c>
      <c r="DP208" s="545">
        <f t="shared" si="564"/>
        <v>980</v>
      </c>
      <c r="DQ208" s="460">
        <f t="shared" si="565"/>
        <v>91.399993910943081</v>
      </c>
      <c r="DS208">
        <f t="shared" si="614"/>
        <v>980</v>
      </c>
      <c r="DT208">
        <f t="shared" si="615"/>
        <v>91.399993910943081</v>
      </c>
      <c r="DV208" s="5">
        <f t="shared" si="568"/>
        <v>10.940919766081874</v>
      </c>
      <c r="DW208" s="5">
        <f t="shared" si="569"/>
        <v>6.9036800000000005</v>
      </c>
      <c r="DX208" s="5">
        <f t="shared" si="570"/>
        <v>4.037239766081874</v>
      </c>
      <c r="DY208" s="173">
        <f t="shared" si="571"/>
        <v>0.63099630996309952</v>
      </c>
      <c r="EA208" s="5">
        <f t="shared" si="572"/>
        <v>41.253697560975617</v>
      </c>
      <c r="EB208" s="5">
        <f t="shared" si="573"/>
        <v>21.142520000000001</v>
      </c>
      <c r="EC208" s="5">
        <f t="shared" si="574"/>
        <v>5.4072097933723224</v>
      </c>
      <c r="ED208" s="5"/>
      <c r="EE208" s="173">
        <f t="shared" si="575"/>
        <v>2.6384701734689675</v>
      </c>
      <c r="EF208" s="173">
        <f t="shared" si="576"/>
        <v>2.017688570473239</v>
      </c>
      <c r="EG208" s="173">
        <f t="shared" si="577"/>
        <v>0.49501398213905856</v>
      </c>
      <c r="EH208" s="173"/>
      <c r="EI208" s="528">
        <f t="shared" si="578"/>
        <v>0.13923049712570726</v>
      </c>
      <c r="EJ208" s="528">
        <f t="shared" si="579"/>
        <v>0.28499999999999998</v>
      </c>
      <c r="EK208" s="528">
        <f t="shared" si="580"/>
        <v>1.1424999238867884E-2</v>
      </c>
      <c r="EL208" s="528">
        <f t="shared" si="581"/>
        <v>6.7125069528135694E-3</v>
      </c>
      <c r="EM208">
        <f t="shared" si="582"/>
        <v>4.4999999999999997E-3</v>
      </c>
      <c r="EN208" s="460">
        <f t="shared" si="583"/>
        <v>15.924999238867883</v>
      </c>
      <c r="EP208" s="460">
        <f t="shared" si="603"/>
        <v>446.86800331738868</v>
      </c>
      <c r="EQ208" s="173">
        <f t="shared" si="584"/>
        <v>0.68599999999999994</v>
      </c>
      <c r="ER208" s="173">
        <f t="shared" si="585"/>
        <v>0.10871874999999999</v>
      </c>
      <c r="ES208" s="528"/>
      <c r="EU208" s="460">
        <f t="shared" si="497"/>
        <v>794.71874999999989</v>
      </c>
      <c r="EV208" s="528">
        <f t="shared" si="586"/>
        <v>0.2088457456885609</v>
      </c>
      <c r="EW208" s="528">
        <f t="shared" si="587"/>
        <v>0.12213201502255028</v>
      </c>
      <c r="EX208" s="528">
        <f t="shared" si="588"/>
        <v>1.225194212565841E-3</v>
      </c>
      <c r="EY208" s="528">
        <f t="shared" si="589"/>
        <v>0.31701801185397377</v>
      </c>
      <c r="EZ208" s="528"/>
      <c r="FA208" s="625">
        <f t="shared" si="590"/>
        <v>1.512568265682657E-2</v>
      </c>
      <c r="FB208" s="460">
        <f t="shared" si="613"/>
        <v>664.34664943447729</v>
      </c>
      <c r="FC208" s="173">
        <f t="shared" si="591"/>
        <v>1.905933402751866</v>
      </c>
      <c r="FD208" s="5">
        <f t="shared" si="592"/>
        <v>18.032</v>
      </c>
      <c r="FE208" s="173">
        <f t="shared" si="593"/>
        <v>0.90440667223370264</v>
      </c>
      <c r="FF208" s="5">
        <f t="shared" si="594"/>
        <v>90.440667223370269</v>
      </c>
      <c r="FG208">
        <f t="shared" si="595"/>
        <v>98</v>
      </c>
      <c r="FI208" s="562">
        <f t="shared" si="596"/>
        <v>-50</v>
      </c>
      <c r="FJ208">
        <f t="shared" si="597"/>
        <v>-50</v>
      </c>
    </row>
    <row r="209" spans="1:169">
      <c r="E209" s="170">
        <v>99</v>
      </c>
      <c r="F209" s="217">
        <f>IF(PLOT_TYPE=1, E209/100*Iout_max, min_I*EXP(O209*rr/100))</f>
        <v>0.99</v>
      </c>
      <c r="G209" s="217">
        <f t="shared" si="499"/>
        <v>0.2475</v>
      </c>
      <c r="H209" s="217">
        <f t="shared" si="500"/>
        <v>16.235999999999997</v>
      </c>
      <c r="I209" s="217">
        <f t="shared" si="501"/>
        <v>1.98</v>
      </c>
      <c r="J209" s="541">
        <f t="shared" si="502"/>
        <v>9.8124071833376885</v>
      </c>
      <c r="K209" s="443">
        <f t="shared" si="503"/>
        <v>17.183027000412356</v>
      </c>
      <c r="L209" s="172">
        <f t="shared" si="504"/>
        <v>26.995434183750042</v>
      </c>
      <c r="M209" s="443"/>
      <c r="N209" s="217">
        <f t="shared" si="505"/>
        <v>0.63651604502644799</v>
      </c>
      <c r="O209" s="172">
        <f>N209*J209*Isw_max*0.5*Efficiency*Pout/(Pout+Pout2)</f>
        <v>18.556227472001144</v>
      </c>
      <c r="P209" s="172">
        <f t="shared" si="507"/>
        <v>2.5389246392387048</v>
      </c>
      <c r="Q209" s="217">
        <f t="shared" si="508"/>
        <v>1.1314772848781187</v>
      </c>
      <c r="R209" s="217">
        <f t="shared" si="509"/>
        <v>2.319528434000143</v>
      </c>
      <c r="S209" s="217">
        <f t="shared" si="510"/>
        <v>16.399999999999999</v>
      </c>
      <c r="T209" s="217">
        <f t="shared" si="511"/>
        <v>5.8330821910498578</v>
      </c>
      <c r="U209" s="217">
        <f t="shared" si="512"/>
        <v>7.133518308479819</v>
      </c>
      <c r="V209" s="217">
        <f t="shared" si="513"/>
        <v>4.0736120760863912</v>
      </c>
      <c r="W209" s="197">
        <f t="shared" si="514"/>
        <v>350</v>
      </c>
      <c r="X209" s="443">
        <f t="shared" si="599"/>
        <v>87.664466547432042</v>
      </c>
      <c r="Z209" s="217">
        <f t="shared" si="515"/>
        <v>1.4870844315540985</v>
      </c>
      <c r="AA209" s="173">
        <f t="shared" si="516"/>
        <v>1.0385255856387203</v>
      </c>
      <c r="AB209" s="173">
        <f>0.5*AA209*Z209*Nps*W209/1000*(Pout/(Pout+Pout2))</f>
        <v>0.24088896253256623</v>
      </c>
      <c r="AC209" s="173"/>
      <c r="AD209" s="173">
        <f t="shared" si="518"/>
        <v>0.93115142050443367</v>
      </c>
      <c r="AE209" s="545">
        <f>MAX(10, F209/(0.5*AD209/1000000*Isw_min*Nps)/1000*Pout_total/Pout)</f>
        <v>1594.7996934757712</v>
      </c>
      <c r="AF209" s="528">
        <f t="shared" si="520"/>
        <v>0.21726866478436788</v>
      </c>
      <c r="AH209" s="173">
        <f t="shared" si="521"/>
        <v>2.9452140353946628</v>
      </c>
      <c r="AI209" s="173">
        <f>MAX(IF(F209&gt;AB209,T209,AH209),Isw_min)</f>
        <v>5.8330821910498578</v>
      </c>
      <c r="AJ209" s="173">
        <f>IF(F209&gt;AF209, (AI209-Isw_min)/1.08*0.8+1.2, AE209*0.2/350+1)</f>
        <v>4.5331473020122397</v>
      </c>
      <c r="AL209" s="545">
        <f t="shared" si="524"/>
        <v>990</v>
      </c>
      <c r="AM209" s="460">
        <f t="shared" si="525"/>
        <v>87.664466547432042</v>
      </c>
      <c r="AO209">
        <f t="shared" si="526"/>
        <v>990</v>
      </c>
      <c r="AP209">
        <f t="shared" si="527"/>
        <v>87.664466547432042</v>
      </c>
      <c r="AR209" s="5">
        <f t="shared" si="616"/>
        <v>11.407130384566209</v>
      </c>
      <c r="AS209" s="5">
        <f t="shared" si="604"/>
        <v>7.133518308479819</v>
      </c>
      <c r="AT209" s="5">
        <f t="shared" si="605"/>
        <v>4.2736120760863896</v>
      </c>
      <c r="AU209" s="173">
        <f t="shared" si="606"/>
        <v>0.62535607711922314</v>
      </c>
      <c r="AW209" s="5">
        <f t="shared" si="477"/>
        <v>43.062092228018429</v>
      </c>
      <c r="AX209" s="5">
        <f t="shared" si="478"/>
        <v>22.069322266859441</v>
      </c>
      <c r="AY209" s="5">
        <f t="shared" si="479"/>
        <v>5.8927407219337082</v>
      </c>
      <c r="AZ209" s="5"/>
      <c r="BA209" s="173">
        <f t="shared" si="480"/>
        <v>2.6631838949221374</v>
      </c>
      <c r="BB209" s="173">
        <f t="shared" si="481"/>
        <v>2.0613266337503031</v>
      </c>
      <c r="BC209" s="173">
        <f t="shared" si="482"/>
        <v>0.50572002061879739</v>
      </c>
      <c r="BD209" s="173"/>
      <c r="BE209" s="528">
        <f t="shared" si="483"/>
        <v>0.14185096916345294</v>
      </c>
      <c r="BF209" s="528">
        <f t="shared" si="528"/>
        <v>0.25882920550828636</v>
      </c>
      <c r="BG209" s="528">
        <f t="shared" si="529"/>
        <v>2.1504986031837214E-2</v>
      </c>
      <c r="BH209" s="528">
        <f t="shared" si="484"/>
        <v>6.3885783908911933E-3</v>
      </c>
      <c r="BI209">
        <f t="shared" si="485"/>
        <v>4.4155832325019594E-3</v>
      </c>
      <c r="BJ209" s="460">
        <f t="shared" si="600"/>
        <v>25.920569264339171</v>
      </c>
      <c r="BK209">
        <f t="shared" si="530"/>
        <v>0.46090268206960905</v>
      </c>
      <c r="BL209" s="460">
        <f t="shared" si="601"/>
        <v>432.98932232696967</v>
      </c>
      <c r="BM209" s="173">
        <f t="shared" si="531"/>
        <v>0.6150374999999999</v>
      </c>
      <c r="BN209" s="173">
        <f t="shared" si="532"/>
        <v>0.15375937499999998</v>
      </c>
      <c r="BO209" s="528"/>
      <c r="BQ209" s="460">
        <f t="shared" si="486"/>
        <v>768.79687499999977</v>
      </c>
      <c r="BR209" s="528">
        <f t="shared" si="487"/>
        <v>0.21277645374517939</v>
      </c>
      <c r="BS209" s="528">
        <f t="shared" si="488"/>
        <v>0.12747202473025068</v>
      </c>
      <c r="BT209" s="528">
        <f t="shared" si="489"/>
        <v>1.2787636962733843E-3</v>
      </c>
      <c r="BU209" s="528">
        <f t="shared" si="490"/>
        <v>0.29564751302342551</v>
      </c>
      <c r="BV209" s="528"/>
      <c r="BW209" s="625">
        <f t="shared" si="533"/>
        <v>1.4913850679561996E-2</v>
      </c>
      <c r="BX209" s="460">
        <f t="shared" si="607"/>
        <v>652.08860587469098</v>
      </c>
      <c r="BY209" s="173">
        <f t="shared" si="608"/>
        <v>1.8538748032016605</v>
      </c>
      <c r="BZ209" s="5">
        <f t="shared" si="609"/>
        <v>18.215999999999998</v>
      </c>
      <c r="CA209" s="173">
        <f t="shared" si="610"/>
        <v>0.90762898018148475</v>
      </c>
      <c r="CB209" s="5">
        <f t="shared" si="611"/>
        <v>90.762898018148476</v>
      </c>
      <c r="CC209">
        <f t="shared" si="612"/>
        <v>99</v>
      </c>
      <c r="CE209" s="562">
        <f t="shared" si="534"/>
        <v>-50</v>
      </c>
      <c r="CF209">
        <f t="shared" si="535"/>
        <v>-50</v>
      </c>
      <c r="CG209" s="173">
        <f t="shared" si="536"/>
        <v>0.35771495841706197</v>
      </c>
      <c r="CH209" s="173">
        <f t="shared" si="537"/>
        <v>0.1249899513168843</v>
      </c>
      <c r="CI209" s="170">
        <v>99</v>
      </c>
      <c r="CJ209" s="217">
        <f t="shared" si="602"/>
        <v>0.99</v>
      </c>
      <c r="CK209" s="217">
        <f t="shared" si="538"/>
        <v>0.2475</v>
      </c>
      <c r="CL209" s="217">
        <f t="shared" si="539"/>
        <v>16.235999999999997</v>
      </c>
      <c r="CM209" s="217">
        <f t="shared" si="540"/>
        <v>1.98</v>
      </c>
      <c r="CN209" s="541">
        <f t="shared" si="541"/>
        <v>10</v>
      </c>
      <c r="CO209" s="443">
        <f t="shared" si="542"/>
        <v>17.099999999999998</v>
      </c>
      <c r="CP209" s="443">
        <f t="shared" si="543"/>
        <v>27.099999999999998</v>
      </c>
      <c r="CQ209" s="443"/>
      <c r="CR209" s="217">
        <f t="shared" si="544"/>
        <v>0.62686567164179097</v>
      </c>
      <c r="CS209" s="172">
        <f t="shared" si="545"/>
        <v>18.624269954574949</v>
      </c>
      <c r="CT209" s="172">
        <f t="shared" si="546"/>
        <v>2.5482344375682562</v>
      </c>
      <c r="CU209" s="217">
        <f t="shared" si="547"/>
        <v>1.135626216742375</v>
      </c>
      <c r="CV209" s="217">
        <f t="shared" si="548"/>
        <v>2.3280337443218686</v>
      </c>
      <c r="CW209" s="217">
        <f t="shared" si="549"/>
        <v>16.399999999999999</v>
      </c>
      <c r="CX209" s="217">
        <f t="shared" si="550"/>
        <v>5.8117714285714284</v>
      </c>
      <c r="CY209" s="217">
        <f t="shared" si="551"/>
        <v>6.9741257142857149</v>
      </c>
      <c r="CZ209" s="217">
        <f t="shared" si="552"/>
        <v>4.0784360902255647</v>
      </c>
      <c r="DA209" s="197">
        <f t="shared" si="553"/>
        <v>350</v>
      </c>
      <c r="DB209" s="443">
        <f t="shared" si="554"/>
        <v>90.476761649216385</v>
      </c>
      <c r="DD209" s="217">
        <f t="shared" si="555"/>
        <v>1.5023721665788083</v>
      </c>
      <c r="DE209" s="173">
        <f t="shared" si="556"/>
        <v>1.0542962572482866</v>
      </c>
      <c r="DF209" s="173">
        <f t="shared" si="557"/>
        <v>0.24706104135140031</v>
      </c>
      <c r="DG209" s="173"/>
      <c r="DH209" s="173">
        <f t="shared" si="558"/>
        <v>0.93567251461988332</v>
      </c>
      <c r="DI209" s="545">
        <f t="shared" si="559"/>
        <v>1587.0937499999993</v>
      </c>
      <c r="DJ209" s="528">
        <f t="shared" si="560"/>
        <v>0.21832358674463945</v>
      </c>
      <c r="DL209" s="173">
        <f t="shared" si="561"/>
        <v>2.9452140353946628</v>
      </c>
      <c r="DM209" s="173">
        <f t="shared" si="562"/>
        <v>5.8117714285714284</v>
      </c>
      <c r="DN209" s="173">
        <f t="shared" si="563"/>
        <v>4.5173615520282189</v>
      </c>
      <c r="DP209" s="545">
        <f t="shared" si="564"/>
        <v>990</v>
      </c>
      <c r="DQ209" s="460">
        <f t="shared" si="565"/>
        <v>90.476761649216385</v>
      </c>
      <c r="DS209">
        <f t="shared" si="614"/>
        <v>990</v>
      </c>
      <c r="DT209">
        <f t="shared" si="615"/>
        <v>90.476761649216385</v>
      </c>
      <c r="DV209" s="5">
        <f t="shared" si="568"/>
        <v>11.05256180451128</v>
      </c>
      <c r="DW209" s="5">
        <f t="shared" si="569"/>
        <v>6.9741257142857149</v>
      </c>
      <c r="DX209" s="5">
        <f t="shared" si="570"/>
        <v>4.0784360902255647</v>
      </c>
      <c r="DY209" s="173">
        <f t="shared" si="571"/>
        <v>0.63099630996309963</v>
      </c>
      <c r="EA209" s="5">
        <f t="shared" si="572"/>
        <v>42.09990522648085</v>
      </c>
      <c r="EB209" s="5">
        <f t="shared" si="573"/>
        <v>21.57620142857143</v>
      </c>
      <c r="EC209" s="5">
        <f t="shared" si="574"/>
        <v>5.518124030075187</v>
      </c>
      <c r="ED209" s="5"/>
      <c r="EE209" s="173">
        <f t="shared" si="575"/>
        <v>2.6653933385043649</v>
      </c>
      <c r="EF209" s="173">
        <f t="shared" si="576"/>
        <v>2.0382772293556184</v>
      </c>
      <c r="EG209" s="173">
        <f t="shared" si="577"/>
        <v>0.50006514522210999</v>
      </c>
      <c r="EH209" s="173"/>
      <c r="EI209" s="528">
        <f t="shared" si="578"/>
        <v>0.14208643297886889</v>
      </c>
      <c r="EJ209" s="528">
        <f t="shared" si="579"/>
        <v>0.28499999999999992</v>
      </c>
      <c r="EK209" s="528">
        <f t="shared" si="580"/>
        <v>1.1309595206152049E-2</v>
      </c>
      <c r="EL209" s="528">
        <f t="shared" si="581"/>
        <v>6.6447038522800999E-3</v>
      </c>
      <c r="EM209">
        <f t="shared" si="582"/>
        <v>4.4999999999999997E-3</v>
      </c>
      <c r="EN209" s="460">
        <f t="shared" si="583"/>
        <v>15.80959520615205</v>
      </c>
      <c r="EP209" s="460">
        <f t="shared" si="603"/>
        <v>449.54073203730098</v>
      </c>
      <c r="EQ209" s="173">
        <f t="shared" si="584"/>
        <v>0.69299999999999995</v>
      </c>
      <c r="ER209" s="173">
        <f t="shared" si="585"/>
        <v>0.109828125</v>
      </c>
      <c r="ES209" s="528"/>
      <c r="EU209" s="460">
        <f t="shared" si="497"/>
        <v>802.828125</v>
      </c>
      <c r="EV209" s="528">
        <f t="shared" si="586"/>
        <v>0.21312964946830329</v>
      </c>
      <c r="EW209" s="528">
        <f t="shared" si="587"/>
        <v>0.1246372219112885</v>
      </c>
      <c r="EX209" s="528">
        <f t="shared" si="588"/>
        <v>1.2503257473300497E-3</v>
      </c>
      <c r="EY209" s="528">
        <f t="shared" si="589"/>
        <v>0.31701801185397371</v>
      </c>
      <c r="EZ209" s="528"/>
      <c r="FA209" s="625">
        <f t="shared" si="590"/>
        <v>1.5280026357406426E-2</v>
      </c>
      <c r="FB209" s="460">
        <f t="shared" si="613"/>
        <v>671.31523533830193</v>
      </c>
      <c r="FC209" s="173">
        <f t="shared" si="591"/>
        <v>1.9236840923756027</v>
      </c>
      <c r="FD209" s="5">
        <f t="shared" si="592"/>
        <v>18.215999999999998</v>
      </c>
      <c r="FE209" s="173">
        <f t="shared" si="593"/>
        <v>0.90448290630815498</v>
      </c>
      <c r="FF209" s="5">
        <f t="shared" si="594"/>
        <v>90.448290630815492</v>
      </c>
      <c r="FG209">
        <f t="shared" si="595"/>
        <v>99</v>
      </c>
      <c r="FI209" s="562">
        <f t="shared" si="596"/>
        <v>-50</v>
      </c>
      <c r="FJ209">
        <f t="shared" si="597"/>
        <v>-50</v>
      </c>
    </row>
    <row r="210" spans="1:169">
      <c r="A210" t="s">
        <v>862</v>
      </c>
      <c r="E210" s="170">
        <v>100</v>
      </c>
      <c r="F210" s="217">
        <f>IF(PLOT_TYPE=1, E210/100*Iout_max, min_I*EXP(O210*rr/100))</f>
        <v>1</v>
      </c>
      <c r="G210" s="217">
        <f t="shared" si="499"/>
        <v>0.25</v>
      </c>
      <c r="H210" s="217">
        <f t="shared" si="500"/>
        <v>16.399999999999999</v>
      </c>
      <c r="I210" s="217">
        <f t="shared" si="501"/>
        <v>2</v>
      </c>
      <c r="J210" s="541">
        <f t="shared" si="502"/>
        <v>9.810512306401705</v>
      </c>
      <c r="K210" s="443">
        <f t="shared" si="503"/>
        <v>17.183865656982178</v>
      </c>
      <c r="L210" s="172">
        <f t="shared" si="504"/>
        <v>26.994377963383883</v>
      </c>
      <c r="M210" s="443"/>
      <c r="N210" s="217">
        <f t="shared" si="505"/>
        <v>0.6365720180806157</v>
      </c>
      <c r="O210" s="172">
        <f>N210*J210*Isw_max*0.5*Efficiency*Pout/(Pout+Pout2)</f>
        <v>18.554275529632232</v>
      </c>
      <c r="P210" s="172">
        <f t="shared" si="507"/>
        <v>2.5386575680044103</v>
      </c>
      <c r="Q210" s="217">
        <f t="shared" si="508"/>
        <v>1.1313582640019655</v>
      </c>
      <c r="R210" s="217">
        <f t="shared" si="509"/>
        <v>2.319284441204029</v>
      </c>
      <c r="S210" s="217">
        <f t="shared" si="510"/>
        <v>16.399999999999999</v>
      </c>
      <c r="T210" s="217">
        <f t="shared" si="511"/>
        <v>5.8926220621614558</v>
      </c>
      <c r="U210" s="217">
        <f t="shared" si="512"/>
        <v>7.2077239737822616</v>
      </c>
      <c r="V210" s="217">
        <f t="shared" si="513"/>
        <v>4.1149917112629346</v>
      </c>
      <c r="W210" s="197">
        <f t="shared" si="514"/>
        <v>350</v>
      </c>
      <c r="X210" s="443">
        <f t="shared" si="599"/>
        <v>86.785097136246634</v>
      </c>
      <c r="Z210" s="217">
        <f t="shared" si="515"/>
        <v>1.4869280041168684</v>
      </c>
      <c r="AA210" s="173">
        <f t="shared" si="516"/>
        <v>1.0383656626268123</v>
      </c>
      <c r="AB210" s="173">
        <f>0.5*AA210*Z210*Nps*W210/1000*(Pout/(Pout+Pout2))</f>
        <v>0.24082653256108769</v>
      </c>
      <c r="AC210" s="173"/>
      <c r="AD210" s="173">
        <f t="shared" si="518"/>
        <v>0.93110597576738241</v>
      </c>
      <c r="AE210" s="545">
        <f>MAX(10, F210/(0.5*AD210/1000000*Isw_min*Nps)/1000*Pout_total/Pout)</f>
        <v>1610.9874053420788</v>
      </c>
      <c r="AF210" s="528">
        <f t="shared" si="520"/>
        <v>0.21725806101238926</v>
      </c>
      <c r="AH210" s="173">
        <f t="shared" si="521"/>
        <v>2.9600514796038193</v>
      </c>
      <c r="AI210" s="173">
        <f>MAX(IF(F210&gt;AB210,T210,AH210),Isw_min)</f>
        <v>5.8926220621614558</v>
      </c>
      <c r="AJ210" s="173">
        <f>IF(F210&gt;AF210, (AI210-Isw_min)/1.08*0.8+1.2, AE210*0.2/350+1)</f>
        <v>4.5772509102430536</v>
      </c>
      <c r="AL210" s="545">
        <f t="shared" si="524"/>
        <v>1000</v>
      </c>
      <c r="AM210" s="460">
        <f t="shared" si="525"/>
        <v>86.785097136246634</v>
      </c>
      <c r="AO210">
        <f t="shared" si="526"/>
        <v>1000</v>
      </c>
      <c r="AP210">
        <f t="shared" si="527"/>
        <v>86.785097136246634</v>
      </c>
      <c r="AR210" s="5">
        <f t="shared" si="616"/>
        <v>11.522715685045195</v>
      </c>
      <c r="AS210" s="5">
        <f t="shared" si="604"/>
        <v>7.2077239737822616</v>
      </c>
      <c r="AT210" s="5">
        <f t="shared" si="605"/>
        <v>4.3149917112629339</v>
      </c>
      <c r="AU210" s="173">
        <f t="shared" si="606"/>
        <v>0.62552302519594716</v>
      </c>
      <c r="AW210" s="5">
        <f t="shared" si="477"/>
        <v>43.949536425501606</v>
      </c>
      <c r="AX210" s="5">
        <f t="shared" si="478"/>
        <v>22.524137418069568</v>
      </c>
      <c r="AY210" s="5">
        <f t="shared" si="479"/>
        <v>6.0110574805333119</v>
      </c>
      <c r="AZ210" s="5"/>
      <c r="BA210" s="173">
        <f>AI210*SQRT(AU210/3)</f>
        <v>2.6907268367990635</v>
      </c>
      <c r="BB210" s="173">
        <f t="shared" si="481"/>
        <v>2.0819031386898419</v>
      </c>
      <c r="BC210" s="173">
        <f t="shared" si="482"/>
        <v>0.51076820188803862</v>
      </c>
      <c r="BD210" s="173"/>
      <c r="BE210" s="528">
        <f t="shared" si="483"/>
        <v>0.14480021820541389</v>
      </c>
      <c r="BF210" s="528">
        <f t="shared" si="528"/>
        <v>0.25883818020185911</v>
      </c>
      <c r="BG210" s="528">
        <f t="shared" si="529"/>
        <v>2.1285156586685373E-2</v>
      </c>
      <c r="BH210" s="528">
        <f t="shared" si="484"/>
        <v>6.3239991469699044E-3</v>
      </c>
      <c r="BI210">
        <f t="shared" si="485"/>
        <v>4.4147305378807672E-3</v>
      </c>
      <c r="BJ210" s="460">
        <f t="shared" si="600"/>
        <v>25.699887124566139</v>
      </c>
      <c r="BK210">
        <f t="shared" si="530"/>
        <v>0.46505857916671844</v>
      </c>
      <c r="BL210" s="460">
        <f t="shared" si="601"/>
        <v>435.6622846788091</v>
      </c>
      <c r="BM210" s="173">
        <f t="shared" si="531"/>
        <v>0.62124999999999997</v>
      </c>
      <c r="BN210" s="173">
        <f t="shared" si="532"/>
        <v>0.15531249999999999</v>
      </c>
      <c r="BO210" s="528"/>
      <c r="BQ210" s="460">
        <f t="shared" si="486"/>
        <v>776.56249999999989</v>
      </c>
      <c r="BR210" s="528">
        <f t="shared" si="487"/>
        <v>0.21720032730812081</v>
      </c>
      <c r="BS210" s="528">
        <f t="shared" si="488"/>
        <v>0.13002962036659846</v>
      </c>
      <c r="BT210" s="528">
        <f t="shared" si="489"/>
        <v>1.3044207802997011E-3</v>
      </c>
      <c r="BU210" s="528">
        <f t="shared" si="490"/>
        <v>0.29570206520333325</v>
      </c>
      <c r="BV210" s="528"/>
      <c r="BW210" s="625">
        <f t="shared" si="533"/>
        <v>1.5067192368782177E-2</v>
      </c>
      <c r="BX210" s="460">
        <f t="shared" si="607"/>
        <v>659.30362602713433</v>
      </c>
      <c r="BY210" s="173">
        <f t="shared" si="608"/>
        <v>1.8715284107059436</v>
      </c>
      <c r="BZ210" s="5">
        <f t="shared" si="609"/>
        <v>18.399999999999999</v>
      </c>
      <c r="CA210" s="173">
        <f t="shared" si="610"/>
        <v>0.9076769954002315</v>
      </c>
      <c r="CB210" s="5">
        <f t="shared" si="611"/>
        <v>90.767699540023145</v>
      </c>
      <c r="CC210">
        <f t="shared" si="612"/>
        <v>100</v>
      </c>
      <c r="CE210" s="562">
        <f t="shared" si="534"/>
        <v>-50</v>
      </c>
      <c r="CF210">
        <f t="shared" si="535"/>
        <v>-50</v>
      </c>
      <c r="CG210" s="173">
        <f t="shared" si="536"/>
        <v>0.35771495841706197</v>
      </c>
      <c r="CH210" s="173">
        <f t="shared" si="537"/>
        <v>0.12498995131688433</v>
      </c>
      <c r="CI210" s="170">
        <v>100</v>
      </c>
      <c r="CJ210" s="217">
        <f t="shared" si="602"/>
        <v>1</v>
      </c>
      <c r="CK210" s="217">
        <f t="shared" si="538"/>
        <v>0.25</v>
      </c>
      <c r="CL210" s="217">
        <f t="shared" si="539"/>
        <v>16.399999999999999</v>
      </c>
      <c r="CM210" s="217">
        <f t="shared" si="540"/>
        <v>2</v>
      </c>
      <c r="CN210" s="541">
        <f t="shared" si="541"/>
        <v>10</v>
      </c>
      <c r="CO210" s="443">
        <f t="shared" si="542"/>
        <v>17.099999999999998</v>
      </c>
      <c r="CP210" s="443">
        <f t="shared" si="543"/>
        <v>27.099999999999998</v>
      </c>
      <c r="CQ210" s="443"/>
      <c r="CR210" s="217">
        <f t="shared" si="544"/>
        <v>0.62686567164179097</v>
      </c>
      <c r="CS210" s="172">
        <f t="shared" si="545"/>
        <v>18.624269954574949</v>
      </c>
      <c r="CT210" s="172">
        <f t="shared" si="546"/>
        <v>2.5482344375682562</v>
      </c>
      <c r="CU210" s="217">
        <f t="shared" si="547"/>
        <v>1.135626216742375</v>
      </c>
      <c r="CV210" s="217">
        <f t="shared" si="548"/>
        <v>2.3280337443218686</v>
      </c>
      <c r="CW210" s="217">
        <f t="shared" si="549"/>
        <v>16.399999999999999</v>
      </c>
      <c r="CX210" s="217">
        <f t="shared" si="550"/>
        <v>5.8704761904761904</v>
      </c>
      <c r="CY210" s="217">
        <f t="shared" si="551"/>
        <v>7.0445714285714285</v>
      </c>
      <c r="CZ210" s="217">
        <f t="shared" si="552"/>
        <v>4.1196324143692564</v>
      </c>
      <c r="DA210" s="197">
        <f t="shared" si="553"/>
        <v>350</v>
      </c>
      <c r="DB210" s="443">
        <f t="shared" si="554"/>
        <v>89.571994032724234</v>
      </c>
      <c r="DD210" s="217">
        <f t="shared" si="555"/>
        <v>1.5023721665788083</v>
      </c>
      <c r="DE210" s="173">
        <f t="shared" si="556"/>
        <v>1.0542962572482866</v>
      </c>
      <c r="DF210" s="173">
        <f t="shared" si="557"/>
        <v>0.24706104135140031</v>
      </c>
      <c r="DG210" s="173"/>
      <c r="DH210" s="173">
        <f t="shared" si="558"/>
        <v>0.93567251461988332</v>
      </c>
      <c r="DI210" s="545">
        <f t="shared" si="559"/>
        <v>1603.1249999999993</v>
      </c>
      <c r="DJ210" s="528">
        <f t="shared" si="560"/>
        <v>0.21832358674463945</v>
      </c>
      <c r="DL210" s="173">
        <f t="shared" si="561"/>
        <v>2.9600514796038193</v>
      </c>
      <c r="DM210" s="173">
        <f t="shared" si="562"/>
        <v>5.8704761904761904</v>
      </c>
      <c r="DN210" s="173">
        <f t="shared" si="563"/>
        <v>4.5608465608465609</v>
      </c>
      <c r="DP210" s="545">
        <f t="shared" si="564"/>
        <v>1000</v>
      </c>
      <c r="DQ210" s="460">
        <f t="shared" si="565"/>
        <v>89.571994032724234</v>
      </c>
      <c r="DS210">
        <f t="shared" si="614"/>
        <v>1000</v>
      </c>
      <c r="DT210">
        <f t="shared" si="615"/>
        <v>89.571994032724234</v>
      </c>
      <c r="DV210" s="5">
        <f t="shared" si="568"/>
        <v>11.164203842940685</v>
      </c>
      <c r="DW210" s="5">
        <f t="shared" si="569"/>
        <v>7.0445714285714285</v>
      </c>
      <c r="DX210" s="5">
        <f t="shared" si="570"/>
        <v>4.1196324143692564</v>
      </c>
      <c r="DY210" s="173">
        <f t="shared" si="571"/>
        <v>0.63099630996309963</v>
      </c>
      <c r="EA210" s="5">
        <f t="shared" si="572"/>
        <v>42.954703832752621</v>
      </c>
      <c r="EB210" s="5">
        <f t="shared" si="573"/>
        <v>22.014285714285716</v>
      </c>
      <c r="EC210" s="5">
        <f t="shared" si="574"/>
        <v>5.6301642996379826</v>
      </c>
      <c r="ED210" s="5"/>
      <c r="EE210" s="173">
        <f t="shared" si="575"/>
        <v>2.6923165035397627</v>
      </c>
      <c r="EF210" s="173">
        <f t="shared" si="576"/>
        <v>2.0588658882379987</v>
      </c>
      <c r="EG210" s="173">
        <f t="shared" si="577"/>
        <v>0.50511630830516163</v>
      </c>
      <c r="EH210" s="173"/>
      <c r="EI210" s="528">
        <f t="shared" si="578"/>
        <v>0.14497136310465147</v>
      </c>
      <c r="EJ210" s="528">
        <f t="shared" si="579"/>
        <v>0.28499999999999998</v>
      </c>
      <c r="EK210" s="528">
        <f t="shared" si="580"/>
        <v>1.1196499254090529E-2</v>
      </c>
      <c r="EL210" s="528">
        <f t="shared" si="581"/>
        <v>6.5782568137572996E-3</v>
      </c>
      <c r="EM210">
        <f t="shared" si="582"/>
        <v>4.4999999999999997E-3</v>
      </c>
      <c r="EN210" s="460">
        <f t="shared" si="583"/>
        <v>15.696499254090529</v>
      </c>
      <c r="EP210" s="460">
        <f t="shared" si="603"/>
        <v>452.24611917249928</v>
      </c>
      <c r="EQ210" s="173">
        <f t="shared" si="584"/>
        <v>0.7</v>
      </c>
      <c r="ER210" s="173">
        <f t="shared" si="585"/>
        <v>0.11093749999999999</v>
      </c>
      <c r="ES210" s="528"/>
      <c r="EU210" s="460">
        <f t="shared" si="497"/>
        <v>810.9375</v>
      </c>
      <c r="EV210" s="528">
        <f t="shared" si="586"/>
        <v>0.21745704465697718</v>
      </c>
      <c r="EW210" s="528">
        <f t="shared" si="587"/>
        <v>0.1271678623725013</v>
      </c>
      <c r="EX210" s="528">
        <f t="shared" si="588"/>
        <v>1.2757124245791754E-3</v>
      </c>
      <c r="EY210" s="528">
        <f t="shared" si="589"/>
        <v>0.31701801185397349</v>
      </c>
      <c r="EZ210" s="528"/>
      <c r="FA210" s="625">
        <f t="shared" si="590"/>
        <v>1.5434370057986294E-2</v>
      </c>
      <c r="FB210" s="460">
        <f t="shared" si="613"/>
        <v>678.35300136601734</v>
      </c>
      <c r="FC210" s="173">
        <f t="shared" si="591"/>
        <v>1.9415366205385165</v>
      </c>
      <c r="FD210" s="5">
        <f t="shared" si="592"/>
        <v>18.399999999999999</v>
      </c>
      <c r="FE210" s="173">
        <f t="shared" si="593"/>
        <v>0.90455309956386576</v>
      </c>
      <c r="FF210" s="5">
        <f t="shared" si="594"/>
        <v>90.455309956386571</v>
      </c>
      <c r="FG210">
        <f t="shared" si="595"/>
        <v>100</v>
      </c>
      <c r="FI210" s="562">
        <f t="shared" si="596"/>
        <v>-50</v>
      </c>
      <c r="FJ210">
        <f t="shared" si="597"/>
        <v>-50</v>
      </c>
    </row>
    <row r="211" spans="1:169" ht="13">
      <c r="E211" s="170"/>
      <c r="F211" s="217"/>
      <c r="G211" s="217"/>
      <c r="H211" s="217"/>
      <c r="I211" s="217"/>
      <c r="J211" s="541"/>
      <c r="K211" s="443"/>
      <c r="L211" s="172"/>
      <c r="M211" s="443"/>
      <c r="N211" s="217"/>
      <c r="O211" s="172"/>
      <c r="P211" s="172"/>
      <c r="Q211" s="217"/>
      <c r="R211" s="217"/>
      <c r="S211" s="217"/>
      <c r="T211" s="217"/>
      <c r="U211" s="217"/>
      <c r="V211" s="217"/>
      <c r="W211" s="197"/>
      <c r="X211" s="443"/>
      <c r="Z211" s="217"/>
      <c r="AA211" s="173"/>
      <c r="AB211" s="173"/>
      <c r="AC211" s="173"/>
      <c r="AD211" s="173"/>
      <c r="AE211" s="545"/>
      <c r="AF211" s="528"/>
      <c r="AH211" s="173"/>
      <c r="AI211" s="173"/>
      <c r="AJ211" s="173"/>
      <c r="AL211" s="545"/>
      <c r="AM211" s="460"/>
      <c r="AR211" s="5"/>
      <c r="AS211" s="5"/>
      <c r="AT211" s="5"/>
      <c r="AU211" s="173"/>
      <c r="CE211" s="562"/>
      <c r="CF211" s="539">
        <f>MAX(CF110:CF210)</f>
        <v>-50</v>
      </c>
      <c r="CG211" s="173"/>
      <c r="CH211" s="173"/>
      <c r="CI211" s="170"/>
      <c r="CJ211" s="217"/>
      <c r="CK211" s="217"/>
      <c r="CL211" s="217"/>
      <c r="CM211" s="217"/>
      <c r="CN211" s="541"/>
      <c r="CO211" s="443"/>
      <c r="CP211" s="443"/>
      <c r="CQ211" s="443"/>
      <c r="CR211" s="217"/>
      <c r="CS211" s="172"/>
      <c r="CT211" s="172"/>
      <c r="CU211" s="217"/>
      <c r="CV211" s="217"/>
      <c r="CW211" s="217"/>
      <c r="CX211" s="217"/>
      <c r="CY211" s="217"/>
      <c r="CZ211" s="217"/>
      <c r="DA211" s="197"/>
      <c r="DB211" s="443"/>
      <c r="DD211" s="217"/>
      <c r="DE211" s="173"/>
      <c r="DF211" s="173"/>
      <c r="DG211" s="173"/>
      <c r="DH211" s="173"/>
      <c r="DI211" s="545"/>
      <c r="DJ211" s="528"/>
      <c r="DL211" s="173"/>
      <c r="DM211" s="173"/>
      <c r="DN211" s="173"/>
      <c r="DP211" s="545"/>
      <c r="DQ211" s="460"/>
      <c r="DV211" s="5"/>
      <c r="DW211" s="5"/>
      <c r="DX211" s="5"/>
      <c r="DY211" s="173"/>
      <c r="FI211" s="562"/>
      <c r="FJ211" s="539">
        <f>MAX(FJ110:FJ210)</f>
        <v>-50</v>
      </c>
    </row>
    <row r="212" spans="1:169">
      <c r="A212" t="s">
        <v>862</v>
      </c>
      <c r="E212" s="170">
        <v>101</v>
      </c>
      <c r="F212" s="217">
        <f>'Calculations - Dual'!Ioutmax_Vinmin+0*H210/(H210+I210)</f>
        <v>1.1428158242180102</v>
      </c>
      <c r="G212" s="217">
        <f>'Calculations - Dual'!Ioutmax_Vinmin/Nsec1sec2*(1-H210/(H210+I210))</f>
        <v>0.24989962396583093</v>
      </c>
      <c r="H212" s="217">
        <f>F212*Vout</f>
        <v>18.742179517175366</v>
      </c>
      <c r="I212" s="217">
        <f>Vout2*G212</f>
        <v>1.9991969917266474</v>
      </c>
      <c r="J212" s="541">
        <f>VIN_min-(F212/CG212/Nps+G212/CH212/(Nps/Nsec1sec2))*(Rdcr_pri+RON/1000)</f>
        <v>9.7905700276050371</v>
      </c>
      <c r="K212" s="443">
        <f>MAX((S212+Vfwd2+Rdcr_sec*F212/CG212)*Nps,(Vout2+Vfwd22+Rdcr_sec2*G212/CH212)*Nps/Nsec1sec2)</f>
        <v>17.120111186467824</v>
      </c>
      <c r="L212" s="172">
        <f>MAX((Vout+Vfwd2+F212/CG212*Rdcr_sec)*Nps+J212, (Vout2+Vfwd22+G212/CH212*Rdcr_sec2)*Nps/Nsec1sec2+J212)</f>
        <v>26.986413027512711</v>
      </c>
      <c r="M212" s="443"/>
      <c r="N212" s="217">
        <f>MAX((Vout+Vfwd2+F212/CG212*Rdcr_sec)*Nps/((Vout+Vfwd2+F212/CG212*Rdcr_sec)*Nps+J212), (Vout2+Vfwd22+G212/CH212*Rdcr_sec2)*Nps/Nsec1sec2/((Vout2+Vfwd22+G212/CH212*Rdcr_sec2)*Nps/Nsec1sec2+J212))</f>
        <v>0.63720372849761364</v>
      </c>
      <c r="O212" s="172">
        <f>N212*J212*Isw_max*0.5*Efficiency*Pout/(Pout+Pout2)</f>
        <v>18.534934547390108</v>
      </c>
      <c r="P212" s="172">
        <f>N212*J212*Isw_max*0.5*Efficiency*(Pout2/Pout_total)</f>
        <v>2.5360112706125673</v>
      </c>
      <c r="Q212" s="217">
        <f>O212/Vout</f>
        <v>1.13017893581647</v>
      </c>
      <c r="R212" s="217">
        <f>O212/Vout2</f>
        <v>2.3168668184237635</v>
      </c>
      <c r="S212" s="217">
        <f>MIN(Vout,O212/F212)</f>
        <v>16.218654095092646</v>
      </c>
      <c r="T212" s="217">
        <f>MIN(2*(Vout*F212+Vout2*G212)/(Efficiency*J212*N212), Isw_max)</f>
        <v>6.6493820142768749</v>
      </c>
      <c r="U212" s="217">
        <f>L*T212/J212*1000000</f>
        <v>8.1499426434153506</v>
      </c>
      <c r="V212" s="217">
        <f>L*T212/K212*1000000</f>
        <v>4.6607515162864486</v>
      </c>
      <c r="W212" s="197">
        <f>IF(1/((350000*L)*(1/J212+1/K212))&gt;Isw_min, 350, 0.001/((Isw_min*L)*(1/J212+1/K212)))</f>
        <v>350</v>
      </c>
      <c r="X212" s="443">
        <f>MIN(1/(U212+V212+0.2)*1000, 350)</f>
        <v>76.85984988389886</v>
      </c>
      <c r="Z212" s="217">
        <f>1/((W212*1000*L)*(1/J212+1/K212))</f>
        <v>1.4829980397367934</v>
      </c>
      <c r="AA212" s="173">
        <f>L*Z212/K212*1000000</f>
        <v>1.0394778563650873</v>
      </c>
      <c r="AB212" s="173">
        <f>0.5*AA212*Z212*Nps*W212/1000*(Pout/(Pout+Pout2))</f>
        <v>0.24044729342302099</v>
      </c>
      <c r="AC212" s="173"/>
      <c r="AD212" s="173">
        <f>L*Isw_min/K212*1000000</f>
        <v>0.93457336963131488</v>
      </c>
      <c r="AE212" s="545">
        <f>MAX(10, F212/(0.5*AD212/1000000*Isw_min*Nps)/1000*Pout_total/Pout)</f>
        <v>1834.2313102750497</v>
      </c>
      <c r="AF212" s="528">
        <f>0.5*AD212/1000000*Isw_min*Nps*W212*1000*(Pout/Pout_total)</f>
        <v>0.21806711958064018</v>
      </c>
      <c r="AH212" s="173">
        <f>SQRT((H212+I212)/(0.5*L*Fsw_DCM))</f>
        <v>3.1427449716163744</v>
      </c>
      <c r="AI212" s="173">
        <f>MAX(IF(F212&gt;AB212,T212,AH212),Isw_min)</f>
        <v>6.6493820142768749</v>
      </c>
      <c r="AJ212" s="173">
        <f>IF(F212&gt;AF212, (AI212-Isw_min)/1.08*0.8+1.2, AE212*0.2/350+1)</f>
        <v>5.1378138377359575</v>
      </c>
      <c r="AL212" s="545">
        <f>F212*1000</f>
        <v>1142.8158242180102</v>
      </c>
      <c r="AM212" s="460">
        <f>IF(F212&gt;AF212, X212, AE212)</f>
        <v>76.85984988389886</v>
      </c>
      <c r="AO212" t="str">
        <f>IF(H212&gt;O212, "",AL212)</f>
        <v/>
      </c>
      <c r="AP212" t="str">
        <f>IF(H212&gt;O212, "",AM212)</f>
        <v/>
      </c>
      <c r="AR212" s="5">
        <f>1/AM212*1000</f>
        <v>13.010694159701799</v>
      </c>
      <c r="AS212" s="5">
        <f>L*AI212/J212*1000000</f>
        <v>8.1499426434153506</v>
      </c>
      <c r="AT212" s="5">
        <f>AR212-AS212</f>
        <v>4.8607515162864487</v>
      </c>
      <c r="AU212" s="173">
        <f>AS212/AR212</f>
        <v>0.62640336813528974</v>
      </c>
      <c r="AW212" s="5">
        <f>F212*AS212/Vout_ripple*1000</f>
        <v>56.791972069294047</v>
      </c>
      <c r="AX212" s="5">
        <f>G212*AS212/Vout_ripple2*1000</f>
        <v>25.458345024157328</v>
      </c>
      <c r="AY212" s="5">
        <f>H212/Efficiency/J212*AT212/Vinripple1</f>
        <v>7.7541516351753605</v>
      </c>
      <c r="AZ212" s="5"/>
      <c r="BA212" s="173">
        <f>AI212*SQRT(AU212/3)</f>
        <v>3.0384192516114488</v>
      </c>
      <c r="BB212" s="173">
        <f>AI212*Npri_sec1*SQRT((1-AU212)/3)*(Pout/Pout_total)</f>
        <v>2.3465085074140521</v>
      </c>
      <c r="BC212" s="173">
        <f>AI212*Npri_sec2*SQRT((1-AU212)/3)*(Pout2/Pout_total)</f>
        <v>0.57568573137417911</v>
      </c>
      <c r="BD212" s="173"/>
      <c r="BE212" s="528">
        <f>Rdson*BA212^2</f>
        <v>0.18463983097126155</v>
      </c>
      <c r="BF212" s="528">
        <f>0.5*L212*AI212*AM212*1000*Tfall</f>
        <v>0.25859924422419744</v>
      </c>
      <c r="BG212" s="528">
        <f>Qg*Vdd*AM212*1000*0+Qg*J212*AM212*1000</f>
        <v>1.8812543564988068E-2</v>
      </c>
      <c r="BH212" s="528">
        <f>0.5*(Coss+Csw)*L212^2*AM212*1000</f>
        <v>5.5974452950187503E-3</v>
      </c>
      <c r="BI212">
        <f>J212*IQ</f>
        <v>4.4057565124222663E-3</v>
      </c>
      <c r="BJ212" s="460">
        <f>(BG212+BI212)*1000</f>
        <v>23.218300077410333</v>
      </c>
      <c r="BK212">
        <f>(BF212+BG212*0+BH212+BI212*0+BE212*(1+RdsonTC*(Ta-25)))/(1-BE212*RdsonTC*ThetaJA)</f>
        <v>0.52157080722772919</v>
      </c>
      <c r="BL212" s="460">
        <f>SUM(BE212:BI212)*1000</f>
        <v>472.0548205678881</v>
      </c>
      <c r="BM212" s="173">
        <f>Vfwd2*F212*(1+Diode_TC/1000*(Ta-25))</f>
        <v>0.7099743307954387</v>
      </c>
      <c r="BN212" s="173">
        <f>Vfwd2*G212*(1+Diode_TC/1000*(Ta-25))</f>
        <v>0.15525014138877244</v>
      </c>
      <c r="BO212" s="528"/>
      <c r="BQ212" s="460">
        <f>SUM(BM212:BP212)*1000</f>
        <v>865.22447218421121</v>
      </c>
      <c r="BR212" s="528">
        <f>Rdcr_pri*BA212^2</f>
        <v>0.27695974645689231</v>
      </c>
      <c r="BS212" s="528">
        <f>Rdcr_sec*BB212^2</f>
        <v>0.16518306526099566</v>
      </c>
      <c r="BT212" s="528">
        <f>Rdcr_sec2*BC212^2</f>
        <v>1.6570703065391177E-3</v>
      </c>
      <c r="BU212" s="528">
        <f>AI212^2.5*AM212^2.5*k_core</f>
        <v>0.29523785746164172</v>
      </c>
      <c r="BV212" s="528"/>
      <c r="BW212" s="625">
        <f>0.5*Lleak*0.000000001*AI212^2*AM212*1000</f>
        <v>1.6991515067940912E-2</v>
      </c>
      <c r="BX212" s="460">
        <f>SUM(BR212:BW212)*1000</f>
        <v>756.02925455400975</v>
      </c>
      <c r="BY212" s="173">
        <f>SUM(BE212:BI212,BM212:BP212,BR212:BW212)</f>
        <v>2.0933085473061084</v>
      </c>
      <c r="BZ212" s="5">
        <f>MIN(H212+I212,O212+P212)</f>
        <v>20.741376508902015</v>
      </c>
      <c r="CA212" s="173">
        <f>BZ212/(BZ212+BY212)</f>
        <v>0.9083276803619853</v>
      </c>
      <c r="CB212" s="5">
        <f>CA212*100</f>
        <v>90.83276803619853</v>
      </c>
      <c r="CC212">
        <f>F212/Iout*100</f>
        <v>114.28158242180102</v>
      </c>
      <c r="CE212" s="562">
        <f>IF(ABS(F212-Ioutmax_Vinmin)&lt;Iout/200, AM212, -50)</f>
        <v>76.85984988389886</v>
      </c>
      <c r="CF212">
        <f>IF(ABS(F212-Ioutmax_Vinmin)&lt;Iout/200, (O212+P212)*CA212, -50)</f>
        <v>19.139323337899448</v>
      </c>
      <c r="CG212" s="173">
        <f>MIN(SQRT(2*DT212*1000*Ls1_*(CL212+CJ212*Vfwd1))/(CW212+Vfwd1), 1-DY212)</f>
        <v>0.35771495841706197</v>
      </c>
      <c r="CH212" s="173">
        <f>MIN(SQRT(2*DT212*1000*Ls2_*(CM212+CK212*Vfwd22))/(Vout2+Vfwd22), 1-DY212)</f>
        <v>0.12498995131688433</v>
      </c>
      <c r="CI212" s="170">
        <v>100</v>
      </c>
      <c r="CJ212" s="217">
        <f>IF(PLOT_TYPE=1, CI212/100*Iout_max, min_I*EXP(CS212*rr/100))</f>
        <v>1</v>
      </c>
      <c r="CK212" s="217">
        <f>IF(PLOT_TYPE=1, CI212/100*Iout2, min_I*EXP(CU212*rr/100))</f>
        <v>0.25</v>
      </c>
      <c r="CL212" s="217">
        <f>CJ212*Vout</f>
        <v>16.399999999999999</v>
      </c>
      <c r="CM212" s="217">
        <f>Vout2*CK212</f>
        <v>2</v>
      </c>
      <c r="CN212" s="541">
        <f t="shared" si="541"/>
        <v>10</v>
      </c>
      <c r="CO212" s="443">
        <f>(CW212+Vfwd2)*Nps</f>
        <v>17.099999999999998</v>
      </c>
      <c r="CP212" s="443">
        <f>(Vout+Vfwd2)*Nps+CN212</f>
        <v>27.099999999999998</v>
      </c>
      <c r="CQ212" s="443"/>
      <c r="CR212" s="217">
        <f>(Vout+Vfwd1)*Nps/((Vout+Vfwd1)*Nps+CN212)</f>
        <v>0.62686567164179097</v>
      </c>
      <c r="CS212" s="172">
        <f>CR212*CN212*Isw_max*0.5*Efficiency*Pout/(Pout+Pout2)</f>
        <v>18.624269954574949</v>
      </c>
      <c r="CT212" s="172">
        <f>CR212*CN212*Isw_max*0.5*Efficiency*(Pout2/Pout_total)</f>
        <v>2.5482344375682562</v>
      </c>
      <c r="CU212" s="217">
        <f>CS212/Vout</f>
        <v>1.135626216742375</v>
      </c>
      <c r="CV212" s="217">
        <f>CS212/Vout2</f>
        <v>2.3280337443218686</v>
      </c>
      <c r="CW212" s="217">
        <f>MIN(Vout,CS212/CJ212)</f>
        <v>16.399999999999999</v>
      </c>
      <c r="CX212" s="217">
        <f>MIN(2*(Vout*CJ212+Vout2*CK212)/(Efficiency*CN212*CR212), Isw_max)</f>
        <v>5.8704761904761904</v>
      </c>
      <c r="CY212" s="217">
        <f>L*CX212/CN212*1000000</f>
        <v>7.0445714285714285</v>
      </c>
      <c r="CZ212" s="217">
        <f>L*CX212/CO212*1000000</f>
        <v>4.1196324143692564</v>
      </c>
      <c r="DA212" s="197">
        <f>IF(1/((350000*L)*(1/CN212+1/CO212))&gt;Isw_min, 350, 0.001/((Isw_min*L)*(1/CN212+1/CO212)))</f>
        <v>350</v>
      </c>
      <c r="DB212" s="443">
        <f>MIN(1/(CY212+CZ212)*1000, 350)</f>
        <v>89.571994032724234</v>
      </c>
      <c r="DD212" s="217">
        <f>1/((DA212*1000*L)*(1/CN212+1/CO212))</f>
        <v>1.5023721665788083</v>
      </c>
      <c r="DE212" s="173">
        <f>L*DD212/CO212*1000000</f>
        <v>1.0542962572482866</v>
      </c>
      <c r="DF212" s="173">
        <f>0.5*DE212*DD212*Nps*DA212/1000*(Pout/(Pout+Pout2))</f>
        <v>0.24706104135140031</v>
      </c>
      <c r="DG212" s="173"/>
      <c r="DH212" s="173">
        <f>L*Isw_min/CO212*1000000</f>
        <v>0.93567251461988332</v>
      </c>
      <c r="DI212" s="545">
        <f>MAX(10, CJ212/(0.5*DH212/1000000*Isw_min*Nps)/1000*Pout_total/Pout)</f>
        <v>1603.1249999999993</v>
      </c>
      <c r="DJ212" s="528">
        <f>0.5*DH212/1000000*Isw_min*Nps*DA212*1000*(Pout/Pout_total)</f>
        <v>0.21832358674463945</v>
      </c>
      <c r="DL212" s="173">
        <f>SQRT((CL212+CM212)/(0.5*L*Fsw_DCM))</f>
        <v>2.9600514796038193</v>
      </c>
      <c r="DM212" s="173">
        <f>MAX(IF(CJ212&gt;DF212,CX212,DL212),Isw_min)</f>
        <v>5.8704761904761904</v>
      </c>
      <c r="DN212" s="173">
        <f>IF(CJ212&gt;DJ212, (DM212-Isw_min)/1.08*0.8+1.2, DI212*0.2/350+1)</f>
        <v>4.5608465608465609</v>
      </c>
      <c r="DP212" s="545">
        <f>CJ212*1000</f>
        <v>1000</v>
      </c>
      <c r="DQ212" s="460">
        <f>IF(CJ212&gt;DJ212, DB212, DI212)</f>
        <v>89.571994032724234</v>
      </c>
      <c r="DS212">
        <f>IF(CL212&gt;CS212, "",DP212)</f>
        <v>1000</v>
      </c>
      <c r="DT212">
        <f>IF(CL212&gt;CS212, "",DQ212)</f>
        <v>89.571994032724234</v>
      </c>
      <c r="DV212" s="5">
        <f>1/DQ212*1000</f>
        <v>11.164203842940685</v>
      </c>
      <c r="DW212" s="5">
        <f>L*DM212/CN212*1000000</f>
        <v>7.0445714285714285</v>
      </c>
      <c r="DX212" s="5">
        <f>DV212-DW212</f>
        <v>4.1196324143692564</v>
      </c>
      <c r="DY212" s="173">
        <f>DW212/DV212</f>
        <v>0.63099630996309963</v>
      </c>
      <c r="EA212" s="5">
        <f>CJ212*DW212/Vout_ripple*1000</f>
        <v>42.954703832752621</v>
      </c>
      <c r="EB212" s="5">
        <f>CK212*DW212/Vout_ripple2*1000</f>
        <v>22.014285714285716</v>
      </c>
      <c r="EC212" s="5">
        <f>CL212/Efficiency/CN212*DX212/Vinripple1</f>
        <v>5.6301642996379826</v>
      </c>
      <c r="ED212" s="5"/>
      <c r="EE212" s="173">
        <f>DM212*SQRT(DY212/3)</f>
        <v>2.6923165035397627</v>
      </c>
      <c r="EF212" s="173">
        <f>DM212*Npri_sec1*SQRT((1-DY212)/3)*(Pout/Pout_total)</f>
        <v>2.0588658882379987</v>
      </c>
      <c r="EG212" s="173">
        <f>DM212*Npri_sec2*SQRT((1-DY212)/3)*(Pout2/Pout_total)</f>
        <v>0.50511630830516163</v>
      </c>
      <c r="EH212" s="173"/>
      <c r="EI212" s="528">
        <f>Rdson*EE212^2</f>
        <v>0.14497136310465147</v>
      </c>
      <c r="EJ212" s="528">
        <f>0.5*CP212*DM212*DQ212*1000*Trise</f>
        <v>0.28499999999999998</v>
      </c>
      <c r="EK212" s="528">
        <f>Qg*Vdd*DQ212*1000</f>
        <v>1.1196499254090529E-2</v>
      </c>
      <c r="EL212" s="528">
        <f>0.5*(Coss+Csw)*CP212^2*DQ212*1000</f>
        <v>6.5782568137572996E-3</v>
      </c>
      <c r="EM212">
        <f>CN212*IQ</f>
        <v>4.4999999999999997E-3</v>
      </c>
      <c r="EN212" s="460">
        <f>(EK212+EM212)*1000</f>
        <v>15.696499254090529</v>
      </c>
      <c r="EP212" s="460">
        <f>SUM(EI212:EM212)*1000</f>
        <v>452.24611917249928</v>
      </c>
      <c r="EQ212" s="173">
        <f>Vfwd2*CJ212</f>
        <v>0.7</v>
      </c>
      <c r="ER212" s="173">
        <f>Vfwd22*CK212*(1+Diode_TC/1000*(Ta-25))</f>
        <v>0.11093749999999999</v>
      </c>
      <c r="ES212" s="528"/>
      <c r="EU212" s="460">
        <f>SUM(EQ212:ET212)*1000</f>
        <v>810.9375</v>
      </c>
      <c r="EV212" s="528">
        <f>Rdcr_pri*EE212^2</f>
        <v>0.21745704465697718</v>
      </c>
      <c r="EW212" s="528">
        <f>Rdcr_sec*EF212^2</f>
        <v>0.1271678623725013</v>
      </c>
      <c r="EX212" s="528">
        <f>Rdcr_sec2*EG212^2</f>
        <v>1.2757124245791754E-3</v>
      </c>
      <c r="EY212" s="528">
        <f>DM212^2.5*DQ212^2.5*k_core</f>
        <v>0.31701801185397349</v>
      </c>
      <c r="EZ212" s="528"/>
      <c r="FA212" s="625">
        <f>0.5*Lleak*0.000000001*DM212^2*DQ212*1000</f>
        <v>1.5434370057986294E-2</v>
      </c>
      <c r="FB212" s="460">
        <f>SUM(EV212:FA212)*1000</f>
        <v>678.35300136601734</v>
      </c>
      <c r="FC212" s="173">
        <f>SUM(EI212:EM212,EQ212:ET212,EV212:FA212)</f>
        <v>1.9415366205385165</v>
      </c>
      <c r="FD212" s="5">
        <f>MIN(CL212+CM212,CS212+CT212)</f>
        <v>18.399999999999999</v>
      </c>
      <c r="FE212" s="173">
        <f>FD212/(FD212+FC212)</f>
        <v>0.90455309956386576</v>
      </c>
      <c r="FF212" s="5">
        <f>FE212*100</f>
        <v>90.455309956386571</v>
      </c>
      <c r="FG212">
        <f>CJ212/Iout*100</f>
        <v>100</v>
      </c>
      <c r="FI212" s="562">
        <f>IF(ABS(CJ212-Ioutmax_Vinmin)&lt;Iout/200, DQ212, -50)</f>
        <v>-50</v>
      </c>
      <c r="FJ212">
        <f>IF(ABS(CJ212-Ioutmax_Vinmin)&lt;Iout/200, (CS212+CT212)*FE212, -50)</f>
        <v>-50</v>
      </c>
    </row>
    <row r="213" spans="1:169">
      <c r="G213" s="217"/>
      <c r="H213" s="217"/>
      <c r="I213" s="217"/>
      <c r="J213" s="541"/>
      <c r="K213" s="443"/>
      <c r="L213" s="172"/>
      <c r="M213" s="443"/>
      <c r="N213" s="217"/>
      <c r="O213" s="172"/>
      <c r="P213" s="172"/>
      <c r="Q213" s="217"/>
      <c r="R213" s="217"/>
      <c r="S213" s="217"/>
      <c r="T213" s="217"/>
      <c r="U213" s="217"/>
      <c r="V213" s="217"/>
      <c r="W213" s="197"/>
      <c r="X213" s="443"/>
      <c r="Z213" s="217"/>
      <c r="AA213" s="173"/>
      <c r="AB213" s="173"/>
      <c r="AC213" s="173"/>
      <c r="AD213" s="173"/>
      <c r="AE213" s="545"/>
      <c r="AF213" s="528"/>
      <c r="AH213" s="173"/>
      <c r="AI213" s="173"/>
      <c r="AJ213" s="173"/>
      <c r="AL213" s="545"/>
      <c r="AM213" s="460"/>
      <c r="AR213" s="5"/>
      <c r="AS213" s="5"/>
      <c r="AT213" s="5"/>
      <c r="AU213" s="173"/>
      <c r="CE213" s="562"/>
      <c r="CG213" s="173"/>
      <c r="CH213" s="173"/>
      <c r="CK213" s="217"/>
      <c r="CL213" s="217"/>
      <c r="CM213" s="217"/>
      <c r="CN213" s="541"/>
      <c r="CO213" s="443"/>
      <c r="CP213" s="443"/>
      <c r="CQ213" s="443"/>
      <c r="CR213" s="217"/>
      <c r="CS213" s="172"/>
      <c r="CT213" s="172"/>
      <c r="CU213" s="217"/>
      <c r="CV213" s="217"/>
      <c r="CW213" s="217"/>
      <c r="CX213" s="217"/>
      <c r="CY213" s="217"/>
      <c r="CZ213" s="217"/>
      <c r="DA213" s="197"/>
      <c r="DB213" s="443"/>
      <c r="DD213" s="217"/>
      <c r="DE213" s="173"/>
      <c r="DF213" s="173"/>
      <c r="DG213" s="173"/>
      <c r="DH213" s="173"/>
      <c r="DI213" s="545"/>
      <c r="DJ213" s="528"/>
      <c r="DL213" s="173"/>
      <c r="DM213" s="173"/>
      <c r="DN213" s="173"/>
      <c r="DP213" s="545"/>
      <c r="DQ213" s="460"/>
      <c r="DV213" s="5"/>
      <c r="DW213" s="5"/>
      <c r="DX213" s="5"/>
      <c r="DY213" s="173"/>
      <c r="FI213" s="562"/>
    </row>
    <row r="214" spans="1:169" ht="13">
      <c r="E214" s="445" t="s">
        <v>435</v>
      </c>
      <c r="G214" s="217"/>
      <c r="H214" s="217"/>
      <c r="I214" s="217"/>
      <c r="J214" s="541"/>
      <c r="K214" s="443"/>
      <c r="L214" s="172"/>
      <c r="M214" s="443"/>
      <c r="N214" s="217"/>
      <c r="O214" s="172"/>
      <c r="P214" s="172"/>
      <c r="Q214" s="217"/>
      <c r="R214" s="217"/>
      <c r="S214" s="217"/>
      <c r="T214" s="217"/>
      <c r="U214" s="217"/>
      <c r="V214" s="217"/>
      <c r="W214" s="197"/>
      <c r="X214" s="443"/>
      <c r="Z214" s="217"/>
      <c r="AA214" s="173"/>
      <c r="AB214" s="173"/>
      <c r="AC214" s="173"/>
      <c r="AD214" s="173"/>
      <c r="AE214" s="545"/>
      <c r="AF214" s="528"/>
      <c r="AH214" s="173"/>
      <c r="AI214" s="173"/>
      <c r="AJ214" s="173"/>
      <c r="AL214" s="545"/>
      <c r="AM214" s="460"/>
      <c r="AR214" s="5"/>
      <c r="AS214" s="5"/>
      <c r="AT214" s="5"/>
      <c r="AU214" s="173"/>
      <c r="CE214" s="562"/>
      <c r="CG214" s="173"/>
      <c r="CH214" s="173"/>
      <c r="CI214" s="445" t="s">
        <v>435</v>
      </c>
      <c r="CK214" s="217"/>
      <c r="CL214" s="217"/>
      <c r="CM214" s="217"/>
      <c r="CN214" s="541"/>
      <c r="CO214" s="443"/>
      <c r="CP214" s="443"/>
      <c r="CQ214" s="443"/>
      <c r="CR214" s="217"/>
      <c r="CS214" s="172"/>
      <c r="CT214" s="172"/>
      <c r="CU214" s="217"/>
      <c r="CV214" s="217"/>
      <c r="CW214" s="217"/>
      <c r="CX214" s="217"/>
      <c r="CY214" s="217"/>
      <c r="CZ214" s="217"/>
      <c r="DA214" s="197"/>
      <c r="DB214" s="443"/>
      <c r="DD214" s="217"/>
      <c r="DE214" s="173"/>
      <c r="DF214" s="173"/>
      <c r="DG214" s="173"/>
      <c r="DH214" s="173"/>
      <c r="DI214" s="545"/>
      <c r="DJ214" s="528"/>
      <c r="DL214" s="173"/>
      <c r="DM214" s="173"/>
      <c r="DN214" s="173"/>
      <c r="DP214" s="545"/>
      <c r="DQ214" s="460"/>
      <c r="DV214" s="5"/>
      <c r="DW214" s="5"/>
      <c r="DX214" s="5"/>
      <c r="DY214" s="173"/>
      <c r="FI214" s="562"/>
    </row>
    <row r="215" spans="1:169" ht="45" customHeight="1" thickBot="1">
      <c r="E215" s="241" t="s">
        <v>25</v>
      </c>
      <c r="F215" s="602" t="s">
        <v>580</v>
      </c>
      <c r="G215" s="444" t="s">
        <v>579</v>
      </c>
      <c r="H215" s="603" t="s">
        <v>581</v>
      </c>
      <c r="I215" s="604" t="s">
        <v>582</v>
      </c>
      <c r="J215" s="242" t="s">
        <v>412</v>
      </c>
      <c r="K215" s="243" t="s">
        <v>586</v>
      </c>
      <c r="L215" s="605" t="s">
        <v>413</v>
      </c>
      <c r="M215" s="606"/>
      <c r="N215" s="244" t="s">
        <v>48</v>
      </c>
      <c r="O215" s="606" t="s">
        <v>590</v>
      </c>
      <c r="P215" s="606" t="s">
        <v>606</v>
      </c>
      <c r="Q215" s="606" t="s">
        <v>583</v>
      </c>
      <c r="R215" s="606" t="s">
        <v>584</v>
      </c>
      <c r="S215" s="606" t="s">
        <v>585</v>
      </c>
      <c r="T215" s="606" t="s">
        <v>414</v>
      </c>
      <c r="U215" s="606" t="s">
        <v>466</v>
      </c>
      <c r="V215" s="606" t="s">
        <v>465</v>
      </c>
      <c r="W215" s="607" t="s">
        <v>420</v>
      </c>
      <c r="X215" s="608" t="s">
        <v>425</v>
      </c>
      <c r="Z215" s="245" t="s">
        <v>417</v>
      </c>
      <c r="AA215" s="245" t="s">
        <v>464</v>
      </c>
      <c r="AB215" s="245" t="s">
        <v>587</v>
      </c>
      <c r="AC215" s="544"/>
      <c r="AD215" s="245" t="s">
        <v>463</v>
      </c>
      <c r="AE215" s="607" t="s">
        <v>426</v>
      </c>
      <c r="AF215" s="245" t="s">
        <v>588</v>
      </c>
      <c r="AG215" s="544"/>
      <c r="AH215" s="245" t="s">
        <v>429</v>
      </c>
      <c r="AI215" s="547" t="s">
        <v>430</v>
      </c>
      <c r="AJ215" s="547" t="s">
        <v>431</v>
      </c>
      <c r="AL215" s="543" t="s">
        <v>275</v>
      </c>
      <c r="AM215" s="543" t="s">
        <v>432</v>
      </c>
      <c r="AO215" s="245" t="s">
        <v>275</v>
      </c>
      <c r="AP215" s="245" t="s">
        <v>432</v>
      </c>
      <c r="AQ215" s="548"/>
      <c r="AR215" s="245" t="s">
        <v>467</v>
      </c>
      <c r="AS215" s="245" t="s">
        <v>461</v>
      </c>
      <c r="AT215" s="245" t="s">
        <v>462</v>
      </c>
      <c r="AU215" s="245" t="s">
        <v>48</v>
      </c>
      <c r="AV215" s="544"/>
      <c r="AW215" s="245" t="s">
        <v>591</v>
      </c>
      <c r="AX215" s="245" t="s">
        <v>592</v>
      </c>
      <c r="AY215" s="245" t="s">
        <v>514</v>
      </c>
      <c r="AZ215" s="544"/>
      <c r="BA215" s="557" t="s">
        <v>456</v>
      </c>
      <c r="BB215" s="245" t="s">
        <v>599</v>
      </c>
      <c r="BC215" s="245" t="s">
        <v>598</v>
      </c>
      <c r="BD215" s="544"/>
      <c r="BE215" s="557" t="s">
        <v>474</v>
      </c>
      <c r="BF215" s="245" t="s">
        <v>475</v>
      </c>
      <c r="BG215" s="245" t="s">
        <v>473</v>
      </c>
      <c r="BH215" s="245" t="s">
        <v>469</v>
      </c>
      <c r="BI215" s="245" t="s">
        <v>478</v>
      </c>
      <c r="BJ215" s="245" t="s">
        <v>491</v>
      </c>
      <c r="BK215" s="245" t="s">
        <v>776</v>
      </c>
      <c r="BL215" s="245" t="s">
        <v>778</v>
      </c>
      <c r="BM215" s="557" t="s">
        <v>601</v>
      </c>
      <c r="BN215" s="245" t="s">
        <v>600</v>
      </c>
      <c r="BO215" s="245" t="s">
        <v>477</v>
      </c>
      <c r="BP215" s="245" t="s">
        <v>483</v>
      </c>
      <c r="BQ215" s="245" t="s">
        <v>487</v>
      </c>
      <c r="BR215" s="557" t="s">
        <v>458</v>
      </c>
      <c r="BS215" s="245" t="s">
        <v>603</v>
      </c>
      <c r="BT215" s="245" t="s">
        <v>602</v>
      </c>
      <c r="BU215" s="245" t="s">
        <v>468</v>
      </c>
      <c r="BV215" s="245" t="s">
        <v>673</v>
      </c>
      <c r="BW215" s="245" t="s">
        <v>484</v>
      </c>
      <c r="BX215" s="245" t="s">
        <v>667</v>
      </c>
      <c r="BY215" s="557" t="s">
        <v>482</v>
      </c>
      <c r="BZ215" s="245" t="s">
        <v>223</v>
      </c>
      <c r="CA215" s="245" t="s">
        <v>47</v>
      </c>
      <c r="CB215" s="245" t="s">
        <v>485</v>
      </c>
      <c r="CC215" s="245" t="s">
        <v>604</v>
      </c>
      <c r="CE215" s="569" t="s">
        <v>497</v>
      </c>
      <c r="CG215" s="782" t="s">
        <v>829</v>
      </c>
      <c r="CH215" s="783" t="s">
        <v>830</v>
      </c>
      <c r="CI215" s="241" t="s">
        <v>25</v>
      </c>
      <c r="CJ215" s="602" t="s">
        <v>580</v>
      </c>
      <c r="CK215" s="444" t="s">
        <v>579</v>
      </c>
      <c r="CL215" s="603" t="s">
        <v>581</v>
      </c>
      <c r="CM215" s="604" t="s">
        <v>582</v>
      </c>
      <c r="CN215" s="242" t="s">
        <v>412</v>
      </c>
      <c r="CO215" s="243" t="s">
        <v>586</v>
      </c>
      <c r="CP215" s="605" t="s">
        <v>413</v>
      </c>
      <c r="CQ215" s="606"/>
      <c r="CR215" s="244" t="s">
        <v>48</v>
      </c>
      <c r="CS215" s="606" t="s">
        <v>590</v>
      </c>
      <c r="CT215" s="606" t="s">
        <v>606</v>
      </c>
      <c r="CU215" s="606" t="s">
        <v>583</v>
      </c>
      <c r="CV215" s="606" t="s">
        <v>584</v>
      </c>
      <c r="CW215" s="606" t="s">
        <v>585</v>
      </c>
      <c r="CX215" s="606" t="s">
        <v>414</v>
      </c>
      <c r="CY215" s="606" t="s">
        <v>466</v>
      </c>
      <c r="CZ215" s="606" t="s">
        <v>465</v>
      </c>
      <c r="DA215" s="607" t="s">
        <v>420</v>
      </c>
      <c r="DB215" s="608" t="s">
        <v>425</v>
      </c>
      <c r="DD215" s="245" t="s">
        <v>417</v>
      </c>
      <c r="DE215" s="245" t="s">
        <v>464</v>
      </c>
      <c r="DF215" s="245" t="s">
        <v>587</v>
      </c>
      <c r="DG215" s="544"/>
      <c r="DH215" s="245" t="s">
        <v>463</v>
      </c>
      <c r="DI215" s="607" t="s">
        <v>426</v>
      </c>
      <c r="DJ215" s="245" t="s">
        <v>588</v>
      </c>
      <c r="DK215" s="544"/>
      <c r="DL215" s="245" t="s">
        <v>429</v>
      </c>
      <c r="DM215" s="547" t="s">
        <v>430</v>
      </c>
      <c r="DN215" s="547" t="s">
        <v>431</v>
      </c>
      <c r="DP215" s="543" t="s">
        <v>275</v>
      </c>
      <c r="DQ215" s="543" t="s">
        <v>432</v>
      </c>
      <c r="DS215" s="245" t="s">
        <v>275</v>
      </c>
      <c r="DT215" s="245" t="s">
        <v>432</v>
      </c>
      <c r="DU215" s="548"/>
      <c r="DV215" s="245" t="s">
        <v>467</v>
      </c>
      <c r="DW215" s="245" t="s">
        <v>461</v>
      </c>
      <c r="DX215" s="245" t="s">
        <v>462</v>
      </c>
      <c r="DY215" s="245" t="s">
        <v>48</v>
      </c>
      <c r="DZ215" s="544"/>
      <c r="EA215" s="245" t="s">
        <v>591</v>
      </c>
      <c r="EB215" s="245" t="s">
        <v>592</v>
      </c>
      <c r="EC215" s="245" t="s">
        <v>514</v>
      </c>
      <c r="ED215" s="544"/>
      <c r="EE215" s="557" t="s">
        <v>456</v>
      </c>
      <c r="EF215" s="245" t="s">
        <v>599</v>
      </c>
      <c r="EG215" s="245" t="s">
        <v>598</v>
      </c>
      <c r="EH215" s="544"/>
      <c r="EI215" s="557" t="s">
        <v>474</v>
      </c>
      <c r="EJ215" s="245" t="s">
        <v>475</v>
      </c>
      <c r="EK215" s="245" t="s">
        <v>473</v>
      </c>
      <c r="EL215" s="245" t="s">
        <v>469</v>
      </c>
      <c r="EM215" s="245" t="s">
        <v>478</v>
      </c>
      <c r="EN215" s="245" t="s">
        <v>491</v>
      </c>
      <c r="EO215" s="245" t="s">
        <v>776</v>
      </c>
      <c r="EP215" s="245" t="s">
        <v>778</v>
      </c>
      <c r="EQ215" s="557" t="s">
        <v>601</v>
      </c>
      <c r="ER215" s="245" t="s">
        <v>600</v>
      </c>
      <c r="ES215" s="245" t="s">
        <v>477</v>
      </c>
      <c r="ET215" s="245" t="s">
        <v>483</v>
      </c>
      <c r="EU215" s="245" t="s">
        <v>487</v>
      </c>
      <c r="EV215" s="557" t="s">
        <v>458</v>
      </c>
      <c r="EW215" s="245" t="s">
        <v>603</v>
      </c>
      <c r="EX215" s="245" t="s">
        <v>602</v>
      </c>
      <c r="EY215" s="245" t="s">
        <v>468</v>
      </c>
      <c r="EZ215" s="245" t="s">
        <v>673</v>
      </c>
      <c r="FA215" s="245" t="s">
        <v>484</v>
      </c>
      <c r="FB215" s="245" t="s">
        <v>486</v>
      </c>
      <c r="FC215" s="557" t="s">
        <v>482</v>
      </c>
      <c r="FD215" s="245" t="s">
        <v>223</v>
      </c>
      <c r="FE215" s="245" t="s">
        <v>47</v>
      </c>
      <c r="FF215" s="245" t="s">
        <v>485</v>
      </c>
      <c r="FG215" s="245" t="s">
        <v>604</v>
      </c>
      <c r="FI215" s="569" t="s">
        <v>497</v>
      </c>
      <c r="FL215" s="782" t="s">
        <v>876</v>
      </c>
      <c r="FM215" s="782" t="s">
        <v>875</v>
      </c>
    </row>
    <row r="216" spans="1:169">
      <c r="E216" s="170">
        <v>0.1</v>
      </c>
      <c r="F216" s="217">
        <v>1.0000000000000001E-9</v>
      </c>
      <c r="G216" s="217">
        <f t="shared" ref="G216:G247" si="617">IF(PLOT_TYPE=1, E216/100*Iout2, min_I*EXP(Q216*rr/100))</f>
        <v>2.5000000000000001E-4</v>
      </c>
      <c r="H216" s="217">
        <f t="shared" ref="H216:H247" si="618">F216*Vout</f>
        <v>1.6399999999999998E-8</v>
      </c>
      <c r="I216" s="217">
        <f t="shared" ref="I216:I247" si="619">Vout2*G216</f>
        <v>2E-3</v>
      </c>
      <c r="J216" s="541">
        <f t="shared" ref="J216:J247" si="620">VIN_max-(F216/CG216/Nps+G216/CH216/(Nps/Nsec1sec2))*(Rdcr_pri+RON/1000)</f>
        <v>35.995422575031505</v>
      </c>
      <c r="K216" s="443">
        <f t="shared" ref="K216:K247" si="621">MAX((S216+Vfwd2+Rdcr_sec*F216/CG216)*Nps,(Vout2+Vfwd22+Rdcr_sec2*G216/CH216)*Nps/Nsec1sec2)</f>
        <v>17.101847284348789</v>
      </c>
      <c r="L216" s="172">
        <f t="shared" ref="L216:L247" si="622">MAX((Vout+Vfwd2+F216/CG216*Rdcr_sec)*Nps+J216, (Vout2+Vfwd22+G216/CH216*Rdcr_sec2)*Nps/Nsec1sec2+J216)</f>
        <v>53.09726985938029</v>
      </c>
      <c r="M216" s="443"/>
      <c r="N216" s="217">
        <f t="shared" ref="N216:N247" si="623">MAX((Vout+Vfwd2+F216/CG216*Rdcr_sec)*Nps/((Vout+Vfwd2+F216/CG216*Rdcr_sec)*Nps+J216), (Vout2+Vfwd22+G216/CH216*Rdcr_sec2)*Nps/Nsec1sec2/((Vout2+Vfwd22+G216/CH216*Rdcr_sec2)*Nps/Nsec1sec2+J216))</f>
        <v>0.32208524712551745</v>
      </c>
      <c r="O216" s="172">
        <f t="shared" ref="O216:O247" si="624">N216*J216*Isw_max*0.5*Efficiency*Pout/(Pout+Pout2)</f>
        <v>34.444737506820616</v>
      </c>
      <c r="P216" s="172">
        <f t="shared" ref="P216:P247" si="625">N216*J216*Isw_max*0.5*Efficiency*(Pout2/Pout_total)</f>
        <v>4.7128433233603468</v>
      </c>
      <c r="Q216" s="217">
        <f t="shared" ref="Q216:Q279" si="626">O216/Vout</f>
        <v>2.1002888723671109</v>
      </c>
      <c r="R216" s="217">
        <f t="shared" ref="R216:R247" si="627">O216/Vout2</f>
        <v>4.305592188352577</v>
      </c>
      <c r="S216" s="217">
        <f t="shared" ref="S216:S247" si="628">MIN(Vout,O216/F216)</f>
        <v>16.399999999999999</v>
      </c>
      <c r="T216" s="217">
        <f t="shared" ref="T216:T247" si="629">MIN(2*(Vout*F216+Vout2*G216)/(Efficiency*J216*N216), Isw_max)</f>
        <v>3.4502093151200813E-4</v>
      </c>
      <c r="U216" s="217">
        <f t="shared" ref="U216:U279" si="630">L*T216/J216*1000000</f>
        <v>1.1502160224717055E-4</v>
      </c>
      <c r="V216" s="217">
        <f t="shared" ref="V216:V279" si="631">L*T216/K216*1000000</f>
        <v>2.420937989507811E-4</v>
      </c>
      <c r="W216" s="197">
        <f t="shared" ref="W216:W279" si="632">IF(1/((350000*L)*(1/J216+1/K216))&gt;Isw_min, 350, 0.001/((Isw_min*L)*(1/J216+1/K216)))</f>
        <v>350</v>
      </c>
      <c r="X216" s="443">
        <f>MIN(1/(U216+V216+0.2)*1000, 350)</f>
        <v>350</v>
      </c>
      <c r="Z216" s="217">
        <f t="shared" ref="Z216:Z279" si="633">1/((W216*1000*L)*(1/J216+1/K216))</f>
        <v>2.7603796608253455</v>
      </c>
      <c r="AA216" s="173">
        <f t="shared" ref="AA216:AA279" si="634">L*Z216/K216*1000000</f>
        <v>1.936899293927093</v>
      </c>
      <c r="AB216" s="173">
        <f t="shared" ref="AB216:AB247" si="635">0.5*AA216*Z216*Nps*W216/1000*(Pout/(Pout+Pout2))</f>
        <v>0.83394984695581142</v>
      </c>
      <c r="AC216" s="173"/>
      <c r="AD216" s="173">
        <f t="shared" ref="AD216:AD279" si="636">L*Isw_min/K216*1000000</f>
        <v>0.93557144640408685</v>
      </c>
      <c r="AE216" s="545">
        <f t="shared" ref="AE216:AE247" si="637">MAX(10, F216/(0.5*AD216/1000000*Isw_min*Nps)/1000*Pout_total/Pout)</f>
        <v>10</v>
      </c>
      <c r="AF216" s="528">
        <f t="shared" ref="AF216:AF247" si="638">0.5*AD216/1000000*Isw_min*Nps*W216*1000*(Pout/Pout_total)</f>
        <v>0.21830000416095363</v>
      </c>
      <c r="AH216" s="173">
        <f t="shared" ref="AH216:AH247" si="639">SQRT((H216+I216)/(0.5*L*Fsw_DCM))</f>
        <v>3.0860796520905967E-2</v>
      </c>
      <c r="AI216" s="173">
        <f t="shared" ref="AI216:AI247" si="640">MAX(IF(F216&gt;AB216,T216,AH216),Isw_min)</f>
        <v>1.3333333333333335</v>
      </c>
      <c r="AJ216" s="173">
        <f t="shared" ref="AJ216:AJ247" si="641">IF(F216&gt;AF216, (AI216-Isw_min)/1.08*0.8+1.2, AE216*0.2/350+1)</f>
        <v>1.0057142857142858</v>
      </c>
      <c r="AL216" s="545">
        <f t="shared" ref="AL216:AL247" si="642">F216*1000</f>
        <v>1.0000000000000002E-6</v>
      </c>
      <c r="AM216" s="460">
        <f t="shared" ref="AM216:AM247" si="643">IF(F216&gt;AF216, X216, AE216)</f>
        <v>10</v>
      </c>
      <c r="AO216">
        <f t="shared" ref="AO216:AO279" si="644">IF(H216&gt;O216, "",AL216)</f>
        <v>1.0000000000000002E-6</v>
      </c>
      <c r="AP216">
        <f t="shared" ref="AP216:AP279" si="645">IF(H216&gt;O216, "",AM216)</f>
        <v>10</v>
      </c>
      <c r="AR216" s="5">
        <f t="shared" si="616"/>
        <v>100</v>
      </c>
      <c r="AS216" s="5">
        <f t="shared" si="604"/>
        <v>0.4445009630501886</v>
      </c>
      <c r="AT216" s="5">
        <f t="shared" si="605"/>
        <v>99.555499036949811</v>
      </c>
      <c r="AU216" s="173">
        <f t="shared" si="606"/>
        <v>4.4450096305018857E-3</v>
      </c>
      <c r="BA216" s="173">
        <f>AI216*SQRT(AU216/3)</f>
        <v>5.1323286927457738E-2</v>
      </c>
      <c r="BB216" s="173">
        <f>AI216*Npri_sec1*SQRT((1-AU216)/3)*(Pout/Pout_total)</f>
        <v>0.76808756845268278</v>
      </c>
      <c r="BC216" s="173">
        <f>AI216*Npri_sec2*SQRT((1-AU216)/3)*(Pout2/Pout_total)</f>
        <v>0.18844042210245157</v>
      </c>
      <c r="BD216" s="173"/>
      <c r="BE216" s="528">
        <f>Rdson*BA216^2</f>
        <v>5.2681595620763091E-5</v>
      </c>
      <c r="BF216" s="528">
        <f t="shared" ref="BF216:BF247" si="646">0.5*L216*AI216*AM216*1000*Tfall</f>
        <v>1.3274317464845073E-2</v>
      </c>
      <c r="BG216" s="528">
        <f t="shared" ref="BG216:BG247" si="647">Qg*Vdd*AM216*1000*0+Qg*J216*AM216*1000</f>
        <v>8.9988556437578752E-3</v>
      </c>
      <c r="BH216" s="528">
        <f>0.5*(Coss+Csw)*L216^2*AM216*1000</f>
        <v>2.8193200665198545E-3</v>
      </c>
      <c r="BI216">
        <f>J216*IQ</f>
        <v>1.6197940158764176E-2</v>
      </c>
      <c r="BJ216" s="460">
        <f>(BG216+BI216)*1000</f>
        <v>25.19679580252205</v>
      </c>
      <c r="BK216">
        <f t="shared" ref="BK216:BK247" si="648">(BF216+BG216*0+BH216+BI216*0+BE216*(1+RdsonTC*(Ta-25)))/(1-BE216*RdsonTC*ThetaJA)</f>
        <v>1.6160745444231583E-2</v>
      </c>
      <c r="BL216" s="460">
        <f>SUM(BE216:BI216)*1000</f>
        <v>41.343114929507749</v>
      </c>
      <c r="BM216" s="173">
        <f t="shared" ref="BM216:BM247" si="649">Vfwd2*F216*(1+Diode_TC/1000*(Ta-25))</f>
        <v>6.212499999999999E-10</v>
      </c>
      <c r="BN216" s="173">
        <f t="shared" ref="BN216:BN247" si="650">Vfwd22*G216*(1+Diode_TC/1000*(Ta-25))</f>
        <v>1.1093749999999999E-4</v>
      </c>
      <c r="BQ216" s="460">
        <f>SUM(BM216:BP216)*1000</f>
        <v>0.11093812124999999</v>
      </c>
      <c r="BR216" s="528">
        <f>Rdcr_pri*BA216^2</f>
        <v>7.9022393431144627E-5</v>
      </c>
      <c r="BS216" s="528">
        <f>Rdcr_sec*BB216^2</f>
        <v>1.7698755384346638E-2</v>
      </c>
      <c r="BT216" s="528">
        <f>Rdcr_sec2*BC216^2</f>
        <v>1.7754896341075059E-4</v>
      </c>
      <c r="BU216" s="528">
        <f>AI216^2.5*AM216^2.5*k_core</f>
        <v>3.2457633037343212E-5</v>
      </c>
      <c r="BV216" s="528"/>
      <c r="BW216" s="625">
        <f>0.5*Lleak*0.000000001*AI216^2*AM216*1000</f>
        <v>8.8888888888888907E-5</v>
      </c>
      <c r="BX216" s="460">
        <f>SUM(BR216:BW216)*1000</f>
        <v>18.076673263114763</v>
      </c>
      <c r="BY216" s="173">
        <f>SUM(BE216:BI216,BM216:BP216,BR216:BW216)</f>
        <v>5.9530726313872517E-2</v>
      </c>
      <c r="BZ216" s="5">
        <f>MIN(H216+I216,O216+P216)</f>
        <v>2.0000164E-3</v>
      </c>
      <c r="CA216" s="173">
        <f>BZ216/(BZ216+BY216)</f>
        <v>3.2504343549051344E-2</v>
      </c>
      <c r="CB216" s="5">
        <f>CA216*100</f>
        <v>3.2504343549051344</v>
      </c>
      <c r="CC216">
        <f>F216/Iout*100</f>
        <v>1.0000000000000001E-7</v>
      </c>
      <c r="CE216" s="562">
        <f t="shared" ref="CE216:CE247" si="651">IF(ABS(F216-Ioutmax_Vinmax)&lt;Iout/200, AM216, -50)</f>
        <v>-50</v>
      </c>
      <c r="CG216" s="173">
        <f t="shared" ref="CG216:CG247" si="652">MIN(SQRT(2*DT216*1000*Ls1_*CL216)/CW216, 1-DY216)</f>
        <v>3.8254602783800291E-6</v>
      </c>
      <c r="CH216" s="173">
        <f t="shared" ref="CH216:CH247" si="653">MIN(SQRT(2*DT216*1000*Ls2_*CM216)/Vout2, 1-DY216)</f>
        <v>1.3612987540333079E-3</v>
      </c>
      <c r="CI216" s="170">
        <v>0.1</v>
      </c>
      <c r="CJ216" s="217">
        <v>1.0000000000000001E-9</v>
      </c>
      <c r="CK216" s="217">
        <f t="shared" ref="CK216:CK279" si="654">IF(PLOT_TYPE=1, CI216/100*Iout2, min_I*EXP(CU216*rr/100))</f>
        <v>2.5000000000000001E-4</v>
      </c>
      <c r="CL216" s="217">
        <f t="shared" ref="CL216:CL279" si="655">CJ216*Vout</f>
        <v>1.6399999999999998E-8</v>
      </c>
      <c r="CM216" s="217">
        <f t="shared" ref="CM216:CM279" si="656">Vout2*CK216</f>
        <v>2E-3</v>
      </c>
      <c r="CN216" s="541">
        <f t="shared" ref="CN216:CN279" si="657">VIN_max</f>
        <v>36</v>
      </c>
      <c r="CO216" s="443">
        <f t="shared" ref="CO216:CO247" si="658">(CW216+Vfwd2)*Nps</f>
        <v>17.099999999999998</v>
      </c>
      <c r="CP216" s="443">
        <f t="shared" ref="CP216:CP247" si="659">(Vout+Vfwd2)*Nps+CN216</f>
        <v>53.099999999999994</v>
      </c>
      <c r="CQ216" s="443"/>
      <c r="CR216" s="217">
        <f t="shared" ref="CR216:CR279" si="660">(Vout+Vfwd1)*Nps/((Vout+Vfwd1)*Nps+CN216)</f>
        <v>0.31818181818181812</v>
      </c>
      <c r="CS216" s="172">
        <f t="shared" ref="CS216:CS279" si="661">CR216*CN216*Isw_max*0.5*Efficiency*Pout/(Pout+Pout2)</f>
        <v>34.031620553359687</v>
      </c>
      <c r="CT216" s="172">
        <f t="shared" ref="CT216:CT279" si="662">CR216*CN216*Isw_max*0.5*Efficiency*(Pout2/Pout_total)</f>
        <v>4.6563192904656319</v>
      </c>
      <c r="CU216" s="217">
        <f t="shared" ref="CU216:CU279" si="663">CS216/Vout</f>
        <v>2.0750988142292495</v>
      </c>
      <c r="CV216" s="217">
        <f t="shared" ref="CV216:CV279" si="664">CS216/Vout2</f>
        <v>4.2539525691699609</v>
      </c>
      <c r="CW216" s="217">
        <f t="shared" ref="CW216:CW279" si="665">MIN(Vout,CS216/CJ216)</f>
        <v>16.399999999999999</v>
      </c>
      <c r="CX216" s="217">
        <f t="shared" ref="CX216:CX279" si="666">MIN(2*(Vout*CJ216+Vout2*CK216)/(Efficiency*CN216*CR216), Isw_max)</f>
        <v>3.4920921269841271E-4</v>
      </c>
      <c r="CY216" s="217">
        <f t="shared" ref="CY216:CY279" si="667">L*CX216/CN216*1000000</f>
        <v>1.1640307089947092E-4</v>
      </c>
      <c r="CZ216" s="217">
        <f t="shared" ref="CZ216:CZ279" si="668">L*CX216/CO216*1000000</f>
        <v>2.4505909663046508E-4</v>
      </c>
      <c r="DA216" s="197">
        <f t="shared" ref="DA216:DA279" si="669">IF(1/((350000*L)*(1/CN216+1/CO216))&gt;Isw_min, 350, 0.001/((Isw_min*L)*(1/CN216+1/CO216)))</f>
        <v>350</v>
      </c>
      <c r="DB216" s="443">
        <f t="shared" ref="DB216:DB279" si="670">MIN(1/(CY216+CZ216)*1000, 350)</f>
        <v>350</v>
      </c>
      <c r="DD216" s="217">
        <f t="shared" ref="DD216:DD279" si="671">1/((DA216*1000*L)*(1/CN216+1/CO216))</f>
        <v>2.7602905569007259</v>
      </c>
      <c r="DE216" s="173">
        <f t="shared" ref="DE216:DE279" si="672">L*DD216/CO216*1000000</f>
        <v>1.937046004842615</v>
      </c>
      <c r="DF216" s="173">
        <f t="shared" ref="DF216:DF279" si="673">0.5*DE216*DD216*Nps*DA216/1000*(Pout/(Pout+Pout2))</f>
        <v>0.83398609309454497</v>
      </c>
      <c r="DG216" s="173"/>
      <c r="DH216" s="173">
        <f t="shared" ref="DH216:DH279" si="674">L*Isw_min/CO216*1000000</f>
        <v>0.93567251461988332</v>
      </c>
      <c r="DI216" s="545">
        <f t="shared" ref="DI216:DI279" si="675">MAX(10, CJ216/(0.5*DH216/1000000*Isw_min*Nps)/1000*Pout_total/Pout)</f>
        <v>10</v>
      </c>
      <c r="DJ216" s="528">
        <f t="shared" ref="DJ216:DJ279" si="676">0.5*DH216/1000000*Isw_min*Nps*DA216*1000*(Pout/Pout_total)</f>
        <v>0.21832358674463945</v>
      </c>
      <c r="DL216" s="173">
        <f t="shared" ref="DL216:DL279" si="677">SQRT((CL216+CM216)/(0.5*L*Fsw_DCM))</f>
        <v>3.0860796520905967E-2</v>
      </c>
      <c r="DM216" s="173">
        <f t="shared" ref="DM216:DM279" si="678">MAX(IF(CJ216&gt;DF216,CX216,DL216),Isw_min)</f>
        <v>1.3333333333333335</v>
      </c>
      <c r="DN216" s="173">
        <f t="shared" ref="DN216:DN279" si="679">IF(CJ216&gt;DJ216, (DM216-Isw_min)/1.08*0.8+1.2, DI216*0.2/350+1)</f>
        <v>1.0057142857142858</v>
      </c>
      <c r="DP216" s="545">
        <f t="shared" ref="DP216:DP279" si="680">CJ216*1000</f>
        <v>1.0000000000000002E-6</v>
      </c>
      <c r="DQ216" s="460">
        <f t="shared" ref="DQ216:DQ279" si="681">IF(CJ216&gt;DJ216, DB216, DI216)</f>
        <v>10</v>
      </c>
      <c r="DS216">
        <f t="shared" ref="DS216:DS279" si="682">IF(CL216&gt;CS216, "",DP216)</f>
        <v>1.0000000000000002E-6</v>
      </c>
      <c r="DT216">
        <f t="shared" ref="DT216:DT279" si="683">IF(CL216&gt;CS216, "",DQ216)</f>
        <v>10</v>
      </c>
      <c r="DV216" s="5">
        <f t="shared" ref="DV216:DV280" si="684">1/DQ216*1000</f>
        <v>100</v>
      </c>
      <c r="DW216" s="5">
        <f t="shared" ref="DW216:DW279" si="685">L*DM216/CN216*1000000</f>
        <v>0.44444444444444453</v>
      </c>
      <c r="DX216" s="5">
        <f t="shared" ref="DX216:DX279" si="686">DV216-DW216</f>
        <v>99.555555555555557</v>
      </c>
      <c r="DY216" s="173">
        <f t="shared" ref="DY216:DY279" si="687">DW216/DV216</f>
        <v>4.4444444444444453E-3</v>
      </c>
      <c r="EA216" s="5">
        <f>CJ216*DW216/Vout_ripple*1000</f>
        <v>2.7100271002710041E-9</v>
      </c>
      <c r="EB216" s="5">
        <f>CK216*DW216/Vout_ripple2*1000</f>
        <v>1.3888888888888892E-3</v>
      </c>
      <c r="EC216" s="5">
        <f>CL216/Efficiency/CN216*DX216/Vinripple1</f>
        <v>3.7794238683127563E-8</v>
      </c>
      <c r="ED216" s="5"/>
      <c r="EE216" s="173">
        <f>DM216*SQRT(DY216/3)</f>
        <v>5.1320023927966744E-2</v>
      </c>
      <c r="EF216" s="173">
        <f>DM216*Npri_sec1*SQRT((1-DY216)/3)*(Pout/Pout_total)</f>
        <v>0.76808778647796871</v>
      </c>
      <c r="EG216" s="173">
        <f>DM216*Npri_sec2*SQRT((1-DY216)/3)*(Pout2/Pout_total)</f>
        <v>0.18844047559215585</v>
      </c>
      <c r="EH216" s="173"/>
      <c r="EI216" s="528">
        <f>Rdson*EE216^2</f>
        <v>5.2674897119341587E-5</v>
      </c>
      <c r="EJ216" s="528">
        <f>0.5*CP216*DM216*DQ216*1000*Trise</f>
        <v>1.4160000000000001E-2</v>
      </c>
      <c r="EK216" s="528">
        <f>Qg*Vdd*DQ216*1000</f>
        <v>1.2499999999999998E-3</v>
      </c>
      <c r="EL216" s="528">
        <f>0.5*(Coss+Csw)*CP216^2*DQ216*1000</f>
        <v>2.8196099999999993E-3</v>
      </c>
      <c r="EM216">
        <f>CN216*IQ</f>
        <v>1.6199999999999999E-2</v>
      </c>
      <c r="EN216" s="460">
        <f>(EK216+EM216)*1000</f>
        <v>17.45</v>
      </c>
      <c r="EP216" s="460">
        <f>SUM(EI216:EM216)*1000</f>
        <v>34.482284897119342</v>
      </c>
      <c r="EQ216" s="173">
        <f>Vfwd2*CJ216</f>
        <v>6.9999999999999996E-10</v>
      </c>
      <c r="ER216" s="173">
        <f t="shared" ref="ER216:ER247" si="688">Vfwd22*CK216*(1+Diode_TC/1000*(Ta-25))</f>
        <v>1.1093749999999999E-4</v>
      </c>
      <c r="ES216" s="528"/>
      <c r="EU216" s="460">
        <f>SUM(EQ216:ET216)*1000</f>
        <v>0.11093819999999999</v>
      </c>
      <c r="EV216" s="528">
        <f>Rdcr_pri*EE216^2</f>
        <v>7.9012345679012374E-5</v>
      </c>
      <c r="EW216" s="528">
        <f>Rdcr_sec*EF216^2</f>
        <v>1.7698765432098768E-2</v>
      </c>
      <c r="EX216" s="528">
        <f>Rdcr_sec2*EG216^2</f>
        <v>1.7754906420698943E-4</v>
      </c>
      <c r="EY216" s="528">
        <f>DM216^2.5*DQ216^2.5*k_core</f>
        <v>3.2457633037343212E-5</v>
      </c>
      <c r="EZ216" s="528"/>
      <c r="FA216" s="625">
        <f>0.5*Lleak*0.000000001*DM216^2*DQ216*1000</f>
        <v>8.8888888888888907E-5</v>
      </c>
      <c r="FB216" s="460">
        <f>SUM(EV216:FA216)*1000</f>
        <v>18.076673363911002</v>
      </c>
      <c r="FC216" s="173">
        <f>SUM(EI216:EM216,EQ216:ET216,EV216:FA216)</f>
        <v>5.2669896461030333E-2</v>
      </c>
      <c r="FD216" s="5">
        <f>MIN(CL216+CM216,CS216+CT216)</f>
        <v>2.0000164E-3</v>
      </c>
      <c r="FE216" s="173">
        <f>FD216/(FD216+FC216)</f>
        <v>3.6583493467128726E-2</v>
      </c>
      <c r="FF216" s="5">
        <f>FE216*100</f>
        <v>3.6583493467128725</v>
      </c>
      <c r="FG216">
        <f>CJ216/Iout*100</f>
        <v>1.0000000000000001E-7</v>
      </c>
      <c r="FI216" s="562">
        <f t="shared" ref="FI216:FI279" si="689">IF(ABS(CJ216-Ioutmax_Vinmax)&lt;Iout/200, DQ216, -50)</f>
        <v>-50</v>
      </c>
    </row>
    <row r="217" spans="1:169">
      <c r="E217" s="170">
        <v>1</v>
      </c>
      <c r="F217" s="217">
        <f t="shared" ref="F217:F248" si="690">IF(PLOT_TYPE=1, E217/100*Iout_max, min_I*EXP(O217*rr/100))</f>
        <v>0.01</v>
      </c>
      <c r="G217" s="217">
        <f t="shared" si="617"/>
        <v>2.5000000000000001E-3</v>
      </c>
      <c r="H217" s="217">
        <f t="shared" si="618"/>
        <v>0.16399999999999998</v>
      </c>
      <c r="I217" s="217">
        <f t="shared" si="619"/>
        <v>0.02</v>
      </c>
      <c r="J217" s="541">
        <f t="shared" si="620"/>
        <v>35.955956297288054</v>
      </c>
      <c r="K217" s="443">
        <f t="shared" si="621"/>
        <v>17.119586365946599</v>
      </c>
      <c r="L217" s="172">
        <f t="shared" si="622"/>
        <v>53.075542663234657</v>
      </c>
      <c r="M217" s="443"/>
      <c r="N217" s="217">
        <f t="shared" si="623"/>
        <v>0.32255132038066392</v>
      </c>
      <c r="O217" s="172">
        <f t="shared" si="624"/>
        <v>34.456760025277397</v>
      </c>
      <c r="P217" s="172">
        <f t="shared" si="625"/>
        <v>4.7144882842437852</v>
      </c>
      <c r="Q217" s="217">
        <f t="shared" si="626"/>
        <v>2.1010219527608172</v>
      </c>
      <c r="R217" s="217">
        <f t="shared" si="627"/>
        <v>4.3070950031596746</v>
      </c>
      <c r="S217" s="217">
        <f t="shared" si="628"/>
        <v>16.399999999999999</v>
      </c>
      <c r="T217" s="217">
        <f t="shared" si="629"/>
        <v>3.1730590239223491E-2</v>
      </c>
      <c r="U217" s="217">
        <f t="shared" si="630"/>
        <v>1.058981938131349E-2</v>
      </c>
      <c r="V217" s="217">
        <f t="shared" si="631"/>
        <v>2.2241605301170371E-2</v>
      </c>
      <c r="W217" s="197">
        <f t="shared" si="632"/>
        <v>350</v>
      </c>
      <c r="X217" s="443">
        <f t="shared" ref="X217:X280" si="691">MIN(1/(U217+V217+0.2)*1000, 350)</f>
        <v>350</v>
      </c>
      <c r="Z217" s="217">
        <f t="shared" si="633"/>
        <v>2.7613431379142166</v>
      </c>
      <c r="AA217" s="173">
        <f t="shared" si="634"/>
        <v>1.9355676560552457</v>
      </c>
      <c r="AB217" s="173">
        <f t="shared" si="635"/>
        <v>0.83366737796730317</v>
      </c>
      <c r="AC217" s="173"/>
      <c r="AD217" s="173">
        <f t="shared" si="636"/>
        <v>0.93460202004800652</v>
      </c>
      <c r="AE217" s="545">
        <f t="shared" si="637"/>
        <v>16.049612218074934</v>
      </c>
      <c r="AF217" s="528">
        <f t="shared" si="638"/>
        <v>0.21807380467786819</v>
      </c>
      <c r="AH217" s="173">
        <f t="shared" si="639"/>
        <v>0.29600514796038191</v>
      </c>
      <c r="AI217" s="173">
        <f t="shared" si="640"/>
        <v>1.3333333333333335</v>
      </c>
      <c r="AJ217" s="173">
        <f t="shared" si="641"/>
        <v>1.0091712069817571</v>
      </c>
      <c r="AL217" s="545">
        <f t="shared" si="642"/>
        <v>10</v>
      </c>
      <c r="AM217" s="460">
        <f t="shared" si="643"/>
        <v>16.049612218074934</v>
      </c>
      <c r="AO217">
        <f t="shared" si="644"/>
        <v>10</v>
      </c>
      <c r="AP217">
        <f t="shared" si="645"/>
        <v>16.049612218074934</v>
      </c>
      <c r="AR217" s="5">
        <f t="shared" si="616"/>
        <v>62.306801336533766</v>
      </c>
      <c r="AS217" s="5">
        <f t="shared" si="604"/>
        <v>0.4449888599182325</v>
      </c>
      <c r="AT217" s="5">
        <f t="shared" si="605"/>
        <v>61.861812476615533</v>
      </c>
      <c r="AU217" s="173">
        <f t="shared" si="606"/>
        <v>7.1418986430508997E-3</v>
      </c>
      <c r="BA217" s="173">
        <f t="shared" ref="BA217:BA280" si="692">AI217*SQRT(AU217/3)</f>
        <v>6.5055639516640312E-2</v>
      </c>
      <c r="BB217" s="173">
        <f t="shared" ref="BB217:BB280" si="693">AI217*Npri_sec1*SQRT((1-AU217)/3)*(Pout/Pout_total)</f>
        <v>0.76704651512126276</v>
      </c>
      <c r="BC217" s="173">
        <f t="shared" ref="BC217:BC280" si="694">AI217*Npri_sec2*SQRT((1-AU217)/3)*(Pout2/Pout_total)</f>
        <v>0.1881850130354891</v>
      </c>
      <c r="BD217" s="173"/>
      <c r="BE217" s="528">
        <f t="shared" ref="BE217:BE280" si="695">Rdson*BA217^2</f>
        <v>8.4644724658381056E-5</v>
      </c>
      <c r="BF217" s="528">
        <f t="shared" si="646"/>
        <v>2.1296046950220214E-2</v>
      </c>
      <c r="BG217" s="528">
        <f t="shared" si="647"/>
        <v>1.4426978887538069E-2</v>
      </c>
      <c r="BH217" s="528">
        <f t="shared" ref="BH217:BH280" si="696">0.5*(Coss+Csw)*L217^2*AM217*1000</f>
        <v>4.5211969938586446E-3</v>
      </c>
      <c r="BI217">
        <f t="shared" ref="BI217:BI280" si="697">J217*IQ</f>
        <v>1.6180180333779624E-2</v>
      </c>
      <c r="BJ217" s="460">
        <f t="shared" ref="BJ217:BJ280" si="698">(BG217+BI217)*1000</f>
        <v>30.607159221317694</v>
      </c>
      <c r="BK217">
        <f t="shared" si="648"/>
        <v>2.5925264142589388E-2</v>
      </c>
      <c r="BL217" s="460">
        <f t="shared" ref="BL217:BL280" si="699">SUM(BE217:BI217)*1000</f>
        <v>56.50904789005493</v>
      </c>
      <c r="BM217" s="173">
        <f t="shared" si="649"/>
        <v>6.2124999999999993E-3</v>
      </c>
      <c r="BN217" s="173">
        <f t="shared" si="650"/>
        <v>1.1093749999999999E-3</v>
      </c>
      <c r="BQ217" s="460">
        <f t="shared" ref="BQ217:BQ280" si="700">SUM(BM217:BP217)*1000</f>
        <v>7.3218749999999995</v>
      </c>
      <c r="BR217" s="528">
        <f t="shared" ref="BR217:BR280" si="701">Rdcr_pri*BA217^2</f>
        <v>1.2696708698757157E-4</v>
      </c>
      <c r="BS217" s="528">
        <f t="shared" ref="BS217:BS280" si="702">Rdcr_sec*BB217^2</f>
        <v>1.7650810690790206E-2</v>
      </c>
      <c r="BT217" s="528">
        <f t="shared" ref="BT217:BT280" si="703">Rdcr_sec2*BC217^2</f>
        <v>1.7706799565583601E-4</v>
      </c>
      <c r="BU217" s="528">
        <f t="shared" ref="BU217:BU280" si="704">AI217^2.5*AM217^2.5*k_core</f>
        <v>1.0592005681848131E-4</v>
      </c>
      <c r="BV217" s="528"/>
      <c r="BW217" s="625">
        <f t="shared" ref="BW217:BW280" si="705">0.5*Lleak*0.000000001*AI217^2*AM217*1000</f>
        <v>1.4266321971622166E-4</v>
      </c>
      <c r="BX217" s="460">
        <f t="shared" ref="BX217:BX280" si="706">SUM(BR217:BW217)*1000</f>
        <v>18.203429049968317</v>
      </c>
      <c r="BY217" s="173">
        <f t="shared" ref="BY217:BY280" si="707">SUM(BE217:BI217,BM217:BP217,BR217:BW217)</f>
        <v>8.2034351940023245E-2</v>
      </c>
      <c r="BZ217" s="5">
        <f t="shared" ref="BZ217:BZ280" si="708">MIN(H217+I217,O217+P217)</f>
        <v>0.18399999999999997</v>
      </c>
      <c r="CA217" s="173">
        <f t="shared" ref="CA217:CA280" si="709">BZ217/(BZ217+BY217)</f>
        <v>0.69164000309810481</v>
      </c>
      <c r="CB217" s="5">
        <f t="shared" ref="CB217:CB280" si="710">CA217*100</f>
        <v>69.164000309810476</v>
      </c>
      <c r="CC217">
        <f t="shared" ref="CC217:CC280" si="711">F217/Iout*100</f>
        <v>1</v>
      </c>
      <c r="CE217" s="562">
        <f t="shared" si="651"/>
        <v>-50</v>
      </c>
      <c r="CG217" s="173">
        <f t="shared" si="652"/>
        <v>1.5316777028362896E-2</v>
      </c>
      <c r="CH217" s="173">
        <f t="shared" si="653"/>
        <v>5.4505099954523812E-3</v>
      </c>
      <c r="CI217" s="170">
        <v>1</v>
      </c>
      <c r="CJ217" s="217">
        <f t="shared" ref="CJ217:CJ280" si="712">IF(PLOT_TYPE=1, CI217/100*Iout_max, min_I*EXP(CS217*rr/100))</f>
        <v>0.01</v>
      </c>
      <c r="CK217" s="217">
        <f t="shared" si="654"/>
        <v>2.5000000000000001E-3</v>
      </c>
      <c r="CL217" s="217">
        <f t="shared" si="655"/>
        <v>0.16399999999999998</v>
      </c>
      <c r="CM217" s="217">
        <f t="shared" si="656"/>
        <v>0.02</v>
      </c>
      <c r="CN217" s="541">
        <f t="shared" si="657"/>
        <v>36</v>
      </c>
      <c r="CO217" s="443">
        <f t="shared" si="658"/>
        <v>17.099999999999998</v>
      </c>
      <c r="CP217" s="443">
        <f t="shared" si="659"/>
        <v>53.099999999999994</v>
      </c>
      <c r="CQ217" s="443"/>
      <c r="CR217" s="217">
        <f t="shared" si="660"/>
        <v>0.31818181818181812</v>
      </c>
      <c r="CS217" s="172">
        <f t="shared" si="661"/>
        <v>34.031620553359687</v>
      </c>
      <c r="CT217" s="172">
        <f t="shared" si="662"/>
        <v>4.6563192904656319</v>
      </c>
      <c r="CU217" s="217">
        <f t="shared" si="663"/>
        <v>2.0750988142292495</v>
      </c>
      <c r="CV217" s="217">
        <f t="shared" si="664"/>
        <v>4.2539525691699609</v>
      </c>
      <c r="CW217" s="217">
        <f t="shared" si="665"/>
        <v>16.399999999999999</v>
      </c>
      <c r="CX217" s="217">
        <f t="shared" si="666"/>
        <v>3.2126984126984122E-2</v>
      </c>
      <c r="CY217" s="217">
        <f t="shared" si="667"/>
        <v>1.0708994708994708E-2</v>
      </c>
      <c r="CZ217" s="217">
        <f t="shared" si="668"/>
        <v>2.2545252018936229E-2</v>
      </c>
      <c r="DA217" s="197">
        <f t="shared" si="669"/>
        <v>350</v>
      </c>
      <c r="DB217" s="443">
        <f t="shared" si="670"/>
        <v>350</v>
      </c>
      <c r="DD217" s="217">
        <f t="shared" si="671"/>
        <v>2.7602905569007259</v>
      </c>
      <c r="DE217" s="173">
        <f t="shared" si="672"/>
        <v>1.937046004842615</v>
      </c>
      <c r="DF217" s="173">
        <f t="shared" si="673"/>
        <v>0.83398609309454497</v>
      </c>
      <c r="DG217" s="173"/>
      <c r="DH217" s="173">
        <f t="shared" si="674"/>
        <v>0.93567251461988332</v>
      </c>
      <c r="DI217" s="545">
        <f t="shared" si="675"/>
        <v>16.031249999999993</v>
      </c>
      <c r="DJ217" s="528">
        <f t="shared" si="676"/>
        <v>0.21832358674463945</v>
      </c>
      <c r="DL217" s="173">
        <f t="shared" si="677"/>
        <v>0.29600514796038191</v>
      </c>
      <c r="DM217" s="173">
        <f t="shared" si="678"/>
        <v>1.3333333333333335</v>
      </c>
      <c r="DN217" s="173">
        <f t="shared" si="679"/>
        <v>1.0091607142857142</v>
      </c>
      <c r="DP217" s="545">
        <f t="shared" si="680"/>
        <v>10</v>
      </c>
      <c r="DQ217" s="460">
        <f t="shared" si="681"/>
        <v>16.031249999999993</v>
      </c>
      <c r="DS217">
        <f t="shared" si="682"/>
        <v>10</v>
      </c>
      <c r="DT217">
        <f t="shared" si="683"/>
        <v>16.031249999999993</v>
      </c>
      <c r="DV217" s="5">
        <f t="shared" si="684"/>
        <v>62.378167641325561</v>
      </c>
      <c r="DW217" s="5">
        <f t="shared" si="685"/>
        <v>0.44444444444444453</v>
      </c>
      <c r="DX217" s="5">
        <f t="shared" si="686"/>
        <v>61.933723196881118</v>
      </c>
      <c r="DY217" s="173">
        <f t="shared" si="687"/>
        <v>7.1249999999999985E-3</v>
      </c>
      <c r="EA217" s="5">
        <f t="shared" ref="EA217:EA280" si="713">CJ217*DW217/Vout_ripple*1000</f>
        <v>2.7100271002710036E-2</v>
      </c>
      <c r="EB217" s="5">
        <f t="shared" ref="EB217:EB280" si="714">CK217*DW217/Vout_ripple2*1000</f>
        <v>1.3888888888888892E-2</v>
      </c>
      <c r="EC217" s="5">
        <f t="shared" ref="EC217:EC280" si="715">CL217/Efficiency/CN217*DX217/Vinripple1</f>
        <v>0.23511876398815973</v>
      </c>
      <c r="ED217" s="5"/>
      <c r="EE217" s="173">
        <f t="shared" ref="EE217:EE280" si="716">DM217*SQRT(DY217/3)</f>
        <v>6.4978628965393095E-2</v>
      </c>
      <c r="EF217" s="173">
        <f t="shared" ref="EF217:EF280" si="717">DM217*Npri_sec1*SQRT((1-DY217)/3)*(Pout/Pout_total)</f>
        <v>0.76705304273587915</v>
      </c>
      <c r="EG217" s="173">
        <f t="shared" ref="EG217:EG280" si="718">DM217*Npri_sec2*SQRT((1-DY217)/3)*(Pout2/Pout_total)</f>
        <v>0.18818661450191582</v>
      </c>
      <c r="EH217" s="173"/>
      <c r="EI217" s="528">
        <f t="shared" ref="EI217:EI280" si="719">Rdson*EE217^2</f>
        <v>8.4444444444444457E-5</v>
      </c>
      <c r="EJ217" s="528">
        <f t="shared" ref="EJ217:EJ280" si="720">0.5*CP217*DM217*DQ217*1000*Trise</f>
        <v>2.2700249999999988E-2</v>
      </c>
      <c r="EK217" s="528">
        <f t="shared" ref="EK217:EK280" si="721">Qg*Vdd*DQ217*1000</f>
        <v>2.0039062499999992E-3</v>
      </c>
      <c r="EL217" s="528">
        <f t="shared" ref="EL217:EL280" si="722">0.5*(Coss+Csw)*CP217^2*DQ217*1000</f>
        <v>4.5201872812499965E-3</v>
      </c>
      <c r="EM217">
        <f t="shared" ref="EM217:EM280" si="723">CN217*IQ</f>
        <v>1.6199999999999999E-2</v>
      </c>
      <c r="EN217" s="460">
        <f t="shared" ref="EN217:EN280" si="724">(EK217+EM217)*1000</f>
        <v>18.203906249999999</v>
      </c>
      <c r="EP217" s="460">
        <f t="shared" ref="EP217:EP280" si="725">SUM(EI217:EM217)*1000</f>
        <v>45.508787975694432</v>
      </c>
      <c r="EQ217" s="173">
        <f t="shared" ref="EQ217:EQ280" si="726">Vfwd2*CJ217</f>
        <v>6.9999999999999993E-3</v>
      </c>
      <c r="ER217" s="173">
        <f t="shared" si="688"/>
        <v>1.1093749999999999E-3</v>
      </c>
      <c r="ES217" s="528"/>
      <c r="EU217" s="460">
        <f t="shared" ref="EU217:EU280" si="727">SUM(EQ217:ET217)*1000</f>
        <v>8.1093749999999982</v>
      </c>
      <c r="EV217" s="528">
        <f t="shared" ref="EV217:EV280" si="728">Rdcr_pri*EE217^2</f>
        <v>1.2666666666666666E-4</v>
      </c>
      <c r="EW217" s="528">
        <f t="shared" ref="EW217:EW280" si="729">Rdcr_sec*EF217^2</f>
        <v>1.7651111111111114E-2</v>
      </c>
      <c r="EX217" s="528">
        <f t="shared" ref="EX217:EX280" si="730">Rdcr_sec2*EG217^2</f>
        <v>1.7707100938846337E-4</v>
      </c>
      <c r="EY217" s="528">
        <f t="shared" ref="EY217:EY280" si="731">DM217^2.5*DQ217^2.5*k_core</f>
        <v>1.0561736124657163E-4</v>
      </c>
      <c r="EZ217" s="528"/>
      <c r="FA217" s="625">
        <f t="shared" ref="FA217:FA280" si="732">0.5*Lleak*0.000000001*DM217^2*DQ217*1000</f>
        <v>1.4249999999999997E-4</v>
      </c>
      <c r="FB217" s="460">
        <f t="shared" ref="FB217:FB280" si="733">SUM(EV217:FA217)*1000</f>
        <v>18.202966148412816</v>
      </c>
      <c r="FC217" s="173">
        <f t="shared" ref="FC217:FC280" si="734">SUM(EI217:EM217,EQ217:ET217,EV217:FA217)</f>
        <v>7.182112912410725E-2</v>
      </c>
      <c r="FD217" s="5">
        <f t="shared" ref="FD217:FD280" si="735">MIN(CL217+CM217,CS217+CT217)</f>
        <v>0.18399999999999997</v>
      </c>
      <c r="FE217" s="173">
        <f t="shared" ref="FE217:FE280" si="736">FD217/(FD217+FC217)</f>
        <v>0.71925255208585814</v>
      </c>
      <c r="FF217" s="5">
        <f t="shared" ref="FF217:FF280" si="737">FE217*100</f>
        <v>71.92525520858581</v>
      </c>
      <c r="FG217">
        <f t="shared" ref="FG217:FG280" si="738">CJ217/Iout*100</f>
        <v>1</v>
      </c>
      <c r="FI217" s="562">
        <f t="shared" si="689"/>
        <v>-50</v>
      </c>
    </row>
    <row r="218" spans="1:169">
      <c r="E218" s="170">
        <v>2</v>
      </c>
      <c r="F218" s="217">
        <f t="shared" si="690"/>
        <v>0.02</v>
      </c>
      <c r="G218" s="217">
        <f t="shared" si="617"/>
        <v>5.0000000000000001E-3</v>
      </c>
      <c r="H218" s="217">
        <f t="shared" si="618"/>
        <v>0.32799999999999996</v>
      </c>
      <c r="I218" s="217">
        <f t="shared" si="619"/>
        <v>0.04</v>
      </c>
      <c r="J218" s="541">
        <f t="shared" si="620"/>
        <v>35.955956297288054</v>
      </c>
      <c r="K218" s="443">
        <f t="shared" si="621"/>
        <v>17.119586365946599</v>
      </c>
      <c r="L218" s="172">
        <f t="shared" si="622"/>
        <v>53.075542663234657</v>
      </c>
      <c r="M218" s="443"/>
      <c r="N218" s="217">
        <f t="shared" si="623"/>
        <v>0.32255132038066392</v>
      </c>
      <c r="O218" s="172">
        <f t="shared" si="624"/>
        <v>34.456760025277397</v>
      </c>
      <c r="P218" s="172">
        <f t="shared" si="625"/>
        <v>4.7144882842437852</v>
      </c>
      <c r="Q218" s="217">
        <f t="shared" si="626"/>
        <v>2.1010219527608172</v>
      </c>
      <c r="R218" s="217">
        <f t="shared" si="627"/>
        <v>4.3070950031596746</v>
      </c>
      <c r="S218" s="217">
        <f t="shared" si="628"/>
        <v>16.399999999999999</v>
      </c>
      <c r="T218" s="217">
        <f t="shared" si="629"/>
        <v>6.3461180478446982E-2</v>
      </c>
      <c r="U218" s="217">
        <f t="shared" si="630"/>
        <v>2.117963876262698E-2</v>
      </c>
      <c r="V218" s="217">
        <f t="shared" si="631"/>
        <v>4.4483210602340742E-2</v>
      </c>
      <c r="W218" s="197">
        <f t="shared" si="632"/>
        <v>350</v>
      </c>
      <c r="X218" s="443">
        <f t="shared" si="691"/>
        <v>350</v>
      </c>
      <c r="Z218" s="217">
        <f t="shared" si="633"/>
        <v>2.7613431379142166</v>
      </c>
      <c r="AA218" s="173">
        <f t="shared" si="634"/>
        <v>1.9355676560552457</v>
      </c>
      <c r="AB218" s="173">
        <f t="shared" si="635"/>
        <v>0.83366737796730317</v>
      </c>
      <c r="AC218" s="173"/>
      <c r="AD218" s="173">
        <f t="shared" si="636"/>
        <v>0.93460202004800652</v>
      </c>
      <c r="AE218" s="545">
        <f t="shared" si="637"/>
        <v>32.099224436149868</v>
      </c>
      <c r="AF218" s="528">
        <f t="shared" si="638"/>
        <v>0.21807380467786819</v>
      </c>
      <c r="AH218" s="173">
        <f t="shared" si="639"/>
        <v>0.41861449477782681</v>
      </c>
      <c r="AI218" s="173">
        <f t="shared" si="640"/>
        <v>1.3333333333333335</v>
      </c>
      <c r="AJ218" s="173">
        <f t="shared" si="641"/>
        <v>1.0183424139635142</v>
      </c>
      <c r="AL218" s="545">
        <f t="shared" si="642"/>
        <v>20</v>
      </c>
      <c r="AM218" s="460">
        <f t="shared" si="643"/>
        <v>32.099224436149868</v>
      </c>
      <c r="AO218">
        <f t="shared" si="644"/>
        <v>20</v>
      </c>
      <c r="AP218">
        <f t="shared" si="645"/>
        <v>32.099224436149868</v>
      </c>
      <c r="AR218" s="5">
        <f t="shared" si="616"/>
        <v>31.153400668266883</v>
      </c>
      <c r="AS218" s="5">
        <f t="shared" si="604"/>
        <v>0.4449888599182325</v>
      </c>
      <c r="AT218" s="5">
        <f t="shared" si="605"/>
        <v>30.70841180834865</v>
      </c>
      <c r="AU218" s="173">
        <f t="shared" si="606"/>
        <v>1.4283797286101799E-2</v>
      </c>
      <c r="BA218" s="173">
        <f t="shared" si="692"/>
        <v>9.2002567713287783E-2</v>
      </c>
      <c r="BB218" s="173">
        <f t="shared" si="693"/>
        <v>0.76428274880881264</v>
      </c>
      <c r="BC218" s="173">
        <f t="shared" si="694"/>
        <v>0.18750695845955087</v>
      </c>
      <c r="BD218" s="173"/>
      <c r="BE218" s="528">
        <f t="shared" si="695"/>
        <v>1.6928944931676206E-4</v>
      </c>
      <c r="BF218" s="528">
        <f t="shared" si="646"/>
        <v>4.2592093900440428E-2</v>
      </c>
      <c r="BG218" s="528">
        <f t="shared" si="647"/>
        <v>2.8853957775076138E-2</v>
      </c>
      <c r="BH218" s="528">
        <f t="shared" si="696"/>
        <v>9.0423939877172892E-3</v>
      </c>
      <c r="BI218">
        <f t="shared" si="697"/>
        <v>1.6180180333779624E-2</v>
      </c>
      <c r="BJ218" s="460">
        <f t="shared" si="698"/>
        <v>45.034138108855757</v>
      </c>
      <c r="BK218">
        <f t="shared" si="648"/>
        <v>5.1851571123513809E-2</v>
      </c>
      <c r="BL218" s="460">
        <f t="shared" si="699"/>
        <v>96.837915446330243</v>
      </c>
      <c r="BM218" s="173">
        <f t="shared" si="649"/>
        <v>1.2424999999999999E-2</v>
      </c>
      <c r="BN218" s="173">
        <f t="shared" si="650"/>
        <v>2.2187499999999998E-3</v>
      </c>
      <c r="BQ218" s="460">
        <f t="shared" si="700"/>
        <v>14.643749999999999</v>
      </c>
      <c r="BR218" s="528">
        <f t="shared" si="701"/>
        <v>2.5393417397514309E-4</v>
      </c>
      <c r="BS218" s="528">
        <f t="shared" si="702"/>
        <v>1.7523843603802637E-2</v>
      </c>
      <c r="BT218" s="528">
        <f t="shared" si="703"/>
        <v>1.757942973537587E-4</v>
      </c>
      <c r="BU218" s="528">
        <f t="shared" si="704"/>
        <v>5.9917432352010009E-4</v>
      </c>
      <c r="BV218" s="528"/>
      <c r="BW218" s="625">
        <f t="shared" si="705"/>
        <v>2.8532643943244331E-4</v>
      </c>
      <c r="BX218" s="460">
        <f t="shared" si="706"/>
        <v>18.838072838084084</v>
      </c>
      <c r="BY218" s="173">
        <f t="shared" si="707"/>
        <v>0.13031973828441432</v>
      </c>
      <c r="BZ218" s="5">
        <f t="shared" si="708"/>
        <v>0.36799999999999994</v>
      </c>
      <c r="CA218" s="173">
        <f t="shared" si="709"/>
        <v>0.73848168500595346</v>
      </c>
      <c r="CB218" s="5">
        <f t="shared" si="710"/>
        <v>73.848168500595349</v>
      </c>
      <c r="CC218">
        <f t="shared" si="711"/>
        <v>2</v>
      </c>
      <c r="CE218" s="562">
        <f t="shared" si="651"/>
        <v>-50</v>
      </c>
      <c r="CG218" s="173">
        <f t="shared" si="652"/>
        <v>3.0633554056725791E-2</v>
      </c>
      <c r="CH218" s="173">
        <f t="shared" si="653"/>
        <v>1.0901019990904762E-2</v>
      </c>
      <c r="CI218" s="170">
        <v>2</v>
      </c>
      <c r="CJ218" s="217">
        <f t="shared" si="712"/>
        <v>0.02</v>
      </c>
      <c r="CK218" s="217">
        <f t="shared" si="654"/>
        <v>5.0000000000000001E-3</v>
      </c>
      <c r="CL218" s="217">
        <f t="shared" si="655"/>
        <v>0.32799999999999996</v>
      </c>
      <c r="CM218" s="217">
        <f t="shared" si="656"/>
        <v>0.04</v>
      </c>
      <c r="CN218" s="541">
        <f t="shared" si="657"/>
        <v>36</v>
      </c>
      <c r="CO218" s="443">
        <f t="shared" si="658"/>
        <v>17.099999999999998</v>
      </c>
      <c r="CP218" s="443">
        <f t="shared" si="659"/>
        <v>53.099999999999994</v>
      </c>
      <c r="CQ218" s="443"/>
      <c r="CR218" s="217">
        <f t="shared" si="660"/>
        <v>0.31818181818181812</v>
      </c>
      <c r="CS218" s="172">
        <f t="shared" si="661"/>
        <v>34.031620553359687</v>
      </c>
      <c r="CT218" s="172">
        <f t="shared" si="662"/>
        <v>4.6563192904656319</v>
      </c>
      <c r="CU218" s="217">
        <f t="shared" si="663"/>
        <v>2.0750988142292495</v>
      </c>
      <c r="CV218" s="217">
        <f t="shared" si="664"/>
        <v>4.2539525691699609</v>
      </c>
      <c r="CW218" s="217">
        <f t="shared" si="665"/>
        <v>16.399999999999999</v>
      </c>
      <c r="CX218" s="217">
        <f t="shared" si="666"/>
        <v>6.4253968253968244E-2</v>
      </c>
      <c r="CY218" s="217">
        <f t="shared" si="667"/>
        <v>2.1417989417989416E-2</v>
      </c>
      <c r="CZ218" s="217">
        <f t="shared" si="668"/>
        <v>4.5090504037872459E-2</v>
      </c>
      <c r="DA218" s="197">
        <f t="shared" si="669"/>
        <v>350</v>
      </c>
      <c r="DB218" s="443">
        <f t="shared" si="670"/>
        <v>350</v>
      </c>
      <c r="DD218" s="217">
        <f t="shared" si="671"/>
        <v>2.7602905569007259</v>
      </c>
      <c r="DE218" s="173">
        <f t="shared" si="672"/>
        <v>1.937046004842615</v>
      </c>
      <c r="DF218" s="173">
        <f t="shared" si="673"/>
        <v>0.83398609309454497</v>
      </c>
      <c r="DG218" s="173"/>
      <c r="DH218" s="173">
        <f t="shared" si="674"/>
        <v>0.93567251461988332</v>
      </c>
      <c r="DI218" s="545">
        <f t="shared" si="675"/>
        <v>32.062499999999986</v>
      </c>
      <c r="DJ218" s="528">
        <f t="shared" si="676"/>
        <v>0.21832358674463945</v>
      </c>
      <c r="DL218" s="173">
        <f t="shared" si="677"/>
        <v>0.41861449477782681</v>
      </c>
      <c r="DM218" s="173">
        <f t="shared" si="678"/>
        <v>1.3333333333333335</v>
      </c>
      <c r="DN218" s="173">
        <f t="shared" si="679"/>
        <v>1.0183214285714286</v>
      </c>
      <c r="DP218" s="545">
        <f t="shared" si="680"/>
        <v>20</v>
      </c>
      <c r="DQ218" s="460">
        <f t="shared" si="681"/>
        <v>32.062499999999986</v>
      </c>
      <c r="DS218">
        <f t="shared" si="682"/>
        <v>20</v>
      </c>
      <c r="DT218">
        <f t="shared" si="683"/>
        <v>32.062499999999986</v>
      </c>
      <c r="DV218" s="5">
        <f t="shared" si="684"/>
        <v>31.189083820662781</v>
      </c>
      <c r="DW218" s="5">
        <f t="shared" si="685"/>
        <v>0.44444444444444453</v>
      </c>
      <c r="DX218" s="5">
        <f t="shared" si="686"/>
        <v>30.744639376218338</v>
      </c>
      <c r="DY218" s="173">
        <f t="shared" si="687"/>
        <v>1.4249999999999997E-2</v>
      </c>
      <c r="EA218" s="5">
        <f t="shared" si="713"/>
        <v>5.4200542005420072E-2</v>
      </c>
      <c r="EB218" s="5">
        <f t="shared" si="714"/>
        <v>2.7777777777777783E-2</v>
      </c>
      <c r="EC218" s="5">
        <f t="shared" si="715"/>
        <v>0.23343152118980581</v>
      </c>
      <c r="ED218" s="5"/>
      <c r="EE218" s="173">
        <f t="shared" si="716"/>
        <v>9.1893658347268134E-2</v>
      </c>
      <c r="EF218" s="173">
        <f t="shared" si="717"/>
        <v>0.7642958511912441</v>
      </c>
      <c r="EG218" s="173">
        <f t="shared" si="718"/>
        <v>0.18751017296083605</v>
      </c>
      <c r="EH218" s="173"/>
      <c r="EI218" s="528">
        <f t="shared" si="719"/>
        <v>1.6888888888888883E-4</v>
      </c>
      <c r="EJ218" s="528">
        <f t="shared" si="720"/>
        <v>4.5400499999999976E-2</v>
      </c>
      <c r="EK218" s="528">
        <f t="shared" si="721"/>
        <v>4.0078124999999984E-3</v>
      </c>
      <c r="EL218" s="528">
        <f t="shared" si="722"/>
        <v>9.0403745624999931E-3</v>
      </c>
      <c r="EM218">
        <f t="shared" si="723"/>
        <v>1.6199999999999999E-2</v>
      </c>
      <c r="EN218" s="460">
        <f t="shared" si="724"/>
        <v>20.207812499999999</v>
      </c>
      <c r="EP218" s="460">
        <f t="shared" si="725"/>
        <v>74.817575951388861</v>
      </c>
      <c r="EQ218" s="173">
        <f t="shared" si="726"/>
        <v>1.3999999999999999E-2</v>
      </c>
      <c r="ER218" s="173">
        <f t="shared" si="688"/>
        <v>2.2187499999999998E-3</v>
      </c>
      <c r="ES218" s="528"/>
      <c r="EU218" s="460">
        <f t="shared" si="727"/>
        <v>16.218749999999996</v>
      </c>
      <c r="EV218" s="528">
        <f t="shared" si="728"/>
        <v>2.5333333333333328E-4</v>
      </c>
      <c r="EW218" s="528">
        <f t="shared" si="729"/>
        <v>1.752444444444445E-2</v>
      </c>
      <c r="EX218" s="528">
        <f t="shared" si="730"/>
        <v>1.7580032481901328E-4</v>
      </c>
      <c r="EY218" s="528">
        <f t="shared" si="731"/>
        <v>5.9746201878784118E-4</v>
      </c>
      <c r="EZ218" s="528"/>
      <c r="FA218" s="625">
        <f t="shared" si="732"/>
        <v>2.8499999999999993E-4</v>
      </c>
      <c r="FB218" s="460">
        <f t="shared" si="733"/>
        <v>18.836040121384642</v>
      </c>
      <c r="FC218" s="173">
        <f t="shared" si="734"/>
        <v>0.10987236607277348</v>
      </c>
      <c r="FD218" s="5">
        <f t="shared" si="735"/>
        <v>0.36799999999999994</v>
      </c>
      <c r="FE218" s="173">
        <f t="shared" si="736"/>
        <v>0.77008010114558201</v>
      </c>
      <c r="FF218" s="5">
        <f t="shared" si="737"/>
        <v>77.008010114558203</v>
      </c>
      <c r="FG218">
        <f t="shared" si="738"/>
        <v>2</v>
      </c>
      <c r="FI218" s="562">
        <f t="shared" si="689"/>
        <v>-50</v>
      </c>
    </row>
    <row r="219" spans="1:169">
      <c r="E219" s="170">
        <v>3</v>
      </c>
      <c r="F219" s="217">
        <f t="shared" si="690"/>
        <v>0.03</v>
      </c>
      <c r="G219" s="217">
        <f t="shared" si="617"/>
        <v>7.4999999999999997E-3</v>
      </c>
      <c r="H219" s="217">
        <f t="shared" si="618"/>
        <v>0.49199999999999994</v>
      </c>
      <c r="I219" s="217">
        <f t="shared" si="619"/>
        <v>0.06</v>
      </c>
      <c r="J219" s="541">
        <f t="shared" si="620"/>
        <v>35.955956297288054</v>
      </c>
      <c r="K219" s="443">
        <f t="shared" si="621"/>
        <v>17.119586365946599</v>
      </c>
      <c r="L219" s="172">
        <f t="shared" si="622"/>
        <v>53.075542663234657</v>
      </c>
      <c r="M219" s="443"/>
      <c r="N219" s="217">
        <f t="shared" si="623"/>
        <v>0.32255132038066392</v>
      </c>
      <c r="O219" s="172">
        <f t="shared" si="624"/>
        <v>34.456760025277397</v>
      </c>
      <c r="P219" s="172">
        <f t="shared" si="625"/>
        <v>4.7144882842437852</v>
      </c>
      <c r="Q219" s="217">
        <f t="shared" si="626"/>
        <v>2.1010219527608172</v>
      </c>
      <c r="R219" s="217">
        <f t="shared" si="627"/>
        <v>4.3070950031596746</v>
      </c>
      <c r="S219" s="217">
        <f t="shared" si="628"/>
        <v>16.399999999999999</v>
      </c>
      <c r="T219" s="217">
        <f t="shared" si="629"/>
        <v>9.5191770717670487E-2</v>
      </c>
      <c r="U219" s="217">
        <f t="shared" si="630"/>
        <v>3.1769458143940478E-2</v>
      </c>
      <c r="V219" s="217">
        <f t="shared" si="631"/>
        <v>6.672481590351112E-2</v>
      </c>
      <c r="W219" s="197">
        <f t="shared" si="632"/>
        <v>350</v>
      </c>
      <c r="X219" s="443">
        <f t="shared" si="691"/>
        <v>350</v>
      </c>
      <c r="Z219" s="217">
        <f t="shared" si="633"/>
        <v>2.7613431379142166</v>
      </c>
      <c r="AA219" s="173">
        <f t="shared" si="634"/>
        <v>1.9355676560552457</v>
      </c>
      <c r="AB219" s="173">
        <f t="shared" si="635"/>
        <v>0.83366737796730317</v>
      </c>
      <c r="AC219" s="173"/>
      <c r="AD219" s="173">
        <f t="shared" si="636"/>
        <v>0.93460202004800652</v>
      </c>
      <c r="AE219" s="545">
        <f t="shared" si="637"/>
        <v>48.148836654224795</v>
      </c>
      <c r="AF219" s="528">
        <f t="shared" si="638"/>
        <v>0.21807380467786819</v>
      </c>
      <c r="AH219" s="173">
        <f t="shared" si="639"/>
        <v>0.51269595556932457</v>
      </c>
      <c r="AI219" s="173">
        <f t="shared" si="640"/>
        <v>1.3333333333333335</v>
      </c>
      <c r="AJ219" s="173">
        <f t="shared" si="641"/>
        <v>1.0275136209452713</v>
      </c>
      <c r="AL219" s="545">
        <f t="shared" si="642"/>
        <v>30</v>
      </c>
      <c r="AM219" s="460">
        <f t="shared" si="643"/>
        <v>48.148836654224795</v>
      </c>
      <c r="AO219">
        <f t="shared" si="644"/>
        <v>30</v>
      </c>
      <c r="AP219">
        <f t="shared" si="645"/>
        <v>48.148836654224795</v>
      </c>
      <c r="AR219" s="5">
        <f t="shared" si="616"/>
        <v>20.768933778844591</v>
      </c>
      <c r="AS219" s="5">
        <f t="shared" si="604"/>
        <v>0.4449888599182325</v>
      </c>
      <c r="AT219" s="5">
        <f t="shared" si="605"/>
        <v>20.323944918926358</v>
      </c>
      <c r="AU219" s="173">
        <f t="shared" si="606"/>
        <v>2.1425695929152697E-2</v>
      </c>
      <c r="BA219" s="173">
        <f t="shared" si="692"/>
        <v>0.11267967296170661</v>
      </c>
      <c r="BB219" s="173">
        <f t="shared" si="693"/>
        <v>0.76150895194596069</v>
      </c>
      <c r="BC219" s="173">
        <f t="shared" si="694"/>
        <v>0.18682644301687126</v>
      </c>
      <c r="BD219" s="173"/>
      <c r="BE219" s="528">
        <f t="shared" si="695"/>
        <v>2.5393417397514314E-4</v>
      </c>
      <c r="BF219" s="528">
        <f t="shared" si="646"/>
        <v>6.3888140850660621E-2</v>
      </c>
      <c r="BG219" s="528">
        <f t="shared" si="647"/>
        <v>4.3280936662614199E-2</v>
      </c>
      <c r="BH219" s="528">
        <f t="shared" si="696"/>
        <v>1.3563590981575932E-2</v>
      </c>
      <c r="BI219">
        <f t="shared" si="697"/>
        <v>1.6180180333779624E-2</v>
      </c>
      <c r="BJ219" s="460">
        <f t="shared" si="698"/>
        <v>59.46111699639382</v>
      </c>
      <c r="BK219">
        <f t="shared" si="648"/>
        <v>7.777892100569643E-2</v>
      </c>
      <c r="BL219" s="460">
        <f t="shared" si="699"/>
        <v>137.16678300260551</v>
      </c>
      <c r="BM219" s="173">
        <f t="shared" si="649"/>
        <v>1.8637499999999998E-2</v>
      </c>
      <c r="BN219" s="173">
        <f t="shared" si="650"/>
        <v>3.3281249999999999E-3</v>
      </c>
      <c r="BQ219" s="460">
        <f t="shared" si="700"/>
        <v>21.965624999999999</v>
      </c>
      <c r="BR219" s="528">
        <f t="shared" si="701"/>
        <v>3.8090126096271466E-4</v>
      </c>
      <c r="BS219" s="528">
        <f t="shared" si="702"/>
        <v>1.7396876516815065E-2</v>
      </c>
      <c r="BT219" s="528">
        <f t="shared" si="703"/>
        <v>1.7452059905168123E-4</v>
      </c>
      <c r="BU219" s="528">
        <f t="shared" si="704"/>
        <v>1.6511302795517268E-3</v>
      </c>
      <c r="BV219" s="528"/>
      <c r="BW219" s="625">
        <f t="shared" si="705"/>
        <v>4.2798965914866489E-4</v>
      </c>
      <c r="BX219" s="460">
        <f t="shared" si="706"/>
        <v>20.031418315529855</v>
      </c>
      <c r="BY219" s="173">
        <f t="shared" si="707"/>
        <v>0.17916382631813535</v>
      </c>
      <c r="BZ219" s="5">
        <f t="shared" si="708"/>
        <v>0.55199999999999994</v>
      </c>
      <c r="CA219" s="173">
        <f t="shared" si="709"/>
        <v>0.75496076273311186</v>
      </c>
      <c r="CB219" s="5">
        <f t="shared" si="710"/>
        <v>75.496076273311189</v>
      </c>
      <c r="CC219">
        <f t="shared" si="711"/>
        <v>3</v>
      </c>
      <c r="CE219" s="562">
        <f t="shared" si="651"/>
        <v>-50</v>
      </c>
      <c r="CG219" s="173">
        <f t="shared" si="652"/>
        <v>4.595033108508869E-2</v>
      </c>
      <c r="CH219" s="173">
        <f t="shared" si="653"/>
        <v>1.6351529986357142E-2</v>
      </c>
      <c r="CI219" s="170">
        <v>3</v>
      </c>
      <c r="CJ219" s="217">
        <f t="shared" si="712"/>
        <v>0.03</v>
      </c>
      <c r="CK219" s="217">
        <f t="shared" si="654"/>
        <v>7.4999999999999997E-3</v>
      </c>
      <c r="CL219" s="217">
        <f t="shared" si="655"/>
        <v>0.49199999999999994</v>
      </c>
      <c r="CM219" s="217">
        <f t="shared" si="656"/>
        <v>0.06</v>
      </c>
      <c r="CN219" s="541">
        <f t="shared" si="657"/>
        <v>36</v>
      </c>
      <c r="CO219" s="443">
        <f t="shared" si="658"/>
        <v>17.099999999999998</v>
      </c>
      <c r="CP219" s="443">
        <f t="shared" si="659"/>
        <v>53.099999999999994</v>
      </c>
      <c r="CQ219" s="443"/>
      <c r="CR219" s="217">
        <f t="shared" si="660"/>
        <v>0.31818181818181812</v>
      </c>
      <c r="CS219" s="172">
        <f t="shared" si="661"/>
        <v>34.031620553359687</v>
      </c>
      <c r="CT219" s="172">
        <f t="shared" si="662"/>
        <v>4.6563192904656319</v>
      </c>
      <c r="CU219" s="217">
        <f t="shared" si="663"/>
        <v>2.0750988142292495</v>
      </c>
      <c r="CV219" s="217">
        <f t="shared" si="664"/>
        <v>4.2539525691699609</v>
      </c>
      <c r="CW219" s="217">
        <f t="shared" si="665"/>
        <v>16.399999999999999</v>
      </c>
      <c r="CX219" s="217">
        <f t="shared" si="666"/>
        <v>9.6380952380952387E-2</v>
      </c>
      <c r="CY219" s="217">
        <f t="shared" si="667"/>
        <v>3.2126984126984129E-2</v>
      </c>
      <c r="CZ219" s="217">
        <f t="shared" si="668"/>
        <v>6.7635756056808716E-2</v>
      </c>
      <c r="DA219" s="197">
        <f t="shared" si="669"/>
        <v>350</v>
      </c>
      <c r="DB219" s="443">
        <f t="shared" si="670"/>
        <v>350</v>
      </c>
      <c r="DD219" s="217">
        <f t="shared" si="671"/>
        <v>2.7602905569007259</v>
      </c>
      <c r="DE219" s="173">
        <f t="shared" si="672"/>
        <v>1.937046004842615</v>
      </c>
      <c r="DF219" s="173">
        <f t="shared" si="673"/>
        <v>0.83398609309454497</v>
      </c>
      <c r="DG219" s="173"/>
      <c r="DH219" s="173">
        <f t="shared" si="674"/>
        <v>0.93567251461988332</v>
      </c>
      <c r="DI219" s="545">
        <f t="shared" si="675"/>
        <v>48.093749999999979</v>
      </c>
      <c r="DJ219" s="528">
        <f t="shared" si="676"/>
        <v>0.21832358674463945</v>
      </c>
      <c r="DL219" s="173">
        <f t="shared" si="677"/>
        <v>0.51269595556932457</v>
      </c>
      <c r="DM219" s="173">
        <f t="shared" si="678"/>
        <v>1.3333333333333335</v>
      </c>
      <c r="DN219" s="173">
        <f t="shared" si="679"/>
        <v>1.0274821428571428</v>
      </c>
      <c r="DP219" s="545">
        <f t="shared" si="680"/>
        <v>30</v>
      </c>
      <c r="DQ219" s="460">
        <f t="shared" si="681"/>
        <v>48.093749999999979</v>
      </c>
      <c r="DS219">
        <f t="shared" si="682"/>
        <v>30</v>
      </c>
      <c r="DT219">
        <f t="shared" si="683"/>
        <v>48.093749999999979</v>
      </c>
      <c r="DV219" s="5">
        <f t="shared" si="684"/>
        <v>20.792722547108522</v>
      </c>
      <c r="DW219" s="5">
        <f t="shared" si="685"/>
        <v>0.44444444444444453</v>
      </c>
      <c r="DX219" s="5">
        <f t="shared" si="686"/>
        <v>20.348278102664079</v>
      </c>
      <c r="DY219" s="173">
        <f t="shared" si="687"/>
        <v>2.1374999999999995E-2</v>
      </c>
      <c r="EA219" s="5">
        <f t="shared" si="713"/>
        <v>8.1300813008130107E-2</v>
      </c>
      <c r="EB219" s="5">
        <f t="shared" si="714"/>
        <v>4.1666666666666671E-2</v>
      </c>
      <c r="EC219" s="5">
        <f t="shared" si="715"/>
        <v>0.23174427839145195</v>
      </c>
      <c r="ED219" s="5"/>
      <c r="EE219" s="173">
        <f t="shared" si="716"/>
        <v>0.11254628677422754</v>
      </c>
      <c r="EF219" s="173">
        <f t="shared" si="717"/>
        <v>0.76152867702137528</v>
      </c>
      <c r="EG219" s="173">
        <f t="shared" si="718"/>
        <v>0.18683128231083954</v>
      </c>
      <c r="EH219" s="173"/>
      <c r="EI219" s="528">
        <f t="shared" si="719"/>
        <v>2.5333333333333328E-4</v>
      </c>
      <c r="EJ219" s="528">
        <f t="shared" si="720"/>
        <v>6.8100749999999974E-2</v>
      </c>
      <c r="EK219" s="528">
        <f t="shared" si="721"/>
        <v>6.0117187499999971E-3</v>
      </c>
      <c r="EL219" s="528">
        <f t="shared" si="722"/>
        <v>1.3560561843749992E-2</v>
      </c>
      <c r="EM219">
        <f t="shared" si="723"/>
        <v>1.6199999999999999E-2</v>
      </c>
      <c r="EN219" s="460">
        <f t="shared" si="724"/>
        <v>22.211718749999999</v>
      </c>
      <c r="EP219" s="460">
        <f t="shared" si="725"/>
        <v>104.12636392708328</v>
      </c>
      <c r="EQ219" s="173">
        <f t="shared" si="726"/>
        <v>2.0999999999999998E-2</v>
      </c>
      <c r="ER219" s="173">
        <f t="shared" si="688"/>
        <v>3.3281249999999999E-3</v>
      </c>
      <c r="ES219" s="528"/>
      <c r="EU219" s="460">
        <f t="shared" si="727"/>
        <v>24.328125</v>
      </c>
      <c r="EV219" s="528">
        <f t="shared" si="728"/>
        <v>3.7999999999999991E-4</v>
      </c>
      <c r="EW219" s="528">
        <f t="shared" si="729"/>
        <v>1.7397777777777783E-2</v>
      </c>
      <c r="EX219" s="528">
        <f t="shared" si="730"/>
        <v>1.7452964024956312E-4</v>
      </c>
      <c r="EY219" s="528">
        <f t="shared" si="731"/>
        <v>1.6464117225637662E-3</v>
      </c>
      <c r="EZ219" s="528"/>
      <c r="FA219" s="625">
        <f t="shared" si="732"/>
        <v>4.2749999999999987E-4</v>
      </c>
      <c r="FB219" s="460">
        <f t="shared" si="733"/>
        <v>20.026219140591113</v>
      </c>
      <c r="FC219" s="173">
        <f t="shared" si="734"/>
        <v>0.14848070806767436</v>
      </c>
      <c r="FD219" s="5">
        <f t="shared" si="735"/>
        <v>0.55199999999999994</v>
      </c>
      <c r="FE219" s="173">
        <f t="shared" si="736"/>
        <v>0.78803026784667785</v>
      </c>
      <c r="FF219" s="5">
        <f t="shared" si="737"/>
        <v>78.803026784667779</v>
      </c>
      <c r="FG219">
        <f t="shared" si="738"/>
        <v>3</v>
      </c>
      <c r="FI219" s="562">
        <f t="shared" si="689"/>
        <v>-50</v>
      </c>
    </row>
    <row r="220" spans="1:169">
      <c r="E220" s="170">
        <v>4</v>
      </c>
      <c r="F220" s="217">
        <f t="shared" si="690"/>
        <v>0.04</v>
      </c>
      <c r="G220" s="217">
        <f t="shared" si="617"/>
        <v>0.01</v>
      </c>
      <c r="H220" s="217">
        <f t="shared" si="618"/>
        <v>0.65599999999999992</v>
      </c>
      <c r="I220" s="217">
        <f t="shared" si="619"/>
        <v>0.08</v>
      </c>
      <c r="J220" s="541">
        <f t="shared" si="620"/>
        <v>35.955956297288054</v>
      </c>
      <c r="K220" s="443">
        <f t="shared" si="621"/>
        <v>17.119586365946599</v>
      </c>
      <c r="L220" s="172">
        <f t="shared" si="622"/>
        <v>53.075542663234657</v>
      </c>
      <c r="M220" s="443"/>
      <c r="N220" s="217">
        <f t="shared" si="623"/>
        <v>0.32255132038066392</v>
      </c>
      <c r="O220" s="172">
        <f t="shared" si="624"/>
        <v>34.456760025277397</v>
      </c>
      <c r="P220" s="172">
        <f t="shared" si="625"/>
        <v>4.7144882842437852</v>
      </c>
      <c r="Q220" s="217">
        <f t="shared" si="626"/>
        <v>2.1010219527608172</v>
      </c>
      <c r="R220" s="217">
        <f t="shared" si="627"/>
        <v>4.3070950031596746</v>
      </c>
      <c r="S220" s="217">
        <f t="shared" si="628"/>
        <v>16.399999999999999</v>
      </c>
      <c r="T220" s="217">
        <f t="shared" si="629"/>
        <v>0.12692236095689396</v>
      </c>
      <c r="U220" s="217">
        <f t="shared" si="630"/>
        <v>4.2359277525253959E-2</v>
      </c>
      <c r="V220" s="217">
        <f t="shared" si="631"/>
        <v>8.8966421204681484E-2</v>
      </c>
      <c r="W220" s="197">
        <f t="shared" si="632"/>
        <v>350</v>
      </c>
      <c r="X220" s="443">
        <f t="shared" si="691"/>
        <v>350</v>
      </c>
      <c r="Z220" s="217">
        <f t="shared" si="633"/>
        <v>2.7613431379142166</v>
      </c>
      <c r="AA220" s="173">
        <f t="shared" si="634"/>
        <v>1.9355676560552457</v>
      </c>
      <c r="AB220" s="173">
        <f t="shared" si="635"/>
        <v>0.83366737796730317</v>
      </c>
      <c r="AC220" s="173"/>
      <c r="AD220" s="173">
        <f t="shared" si="636"/>
        <v>0.93460202004800652</v>
      </c>
      <c r="AE220" s="545">
        <f t="shared" si="637"/>
        <v>64.198448872299736</v>
      </c>
      <c r="AF220" s="528">
        <f t="shared" si="638"/>
        <v>0.21807380467786819</v>
      </c>
      <c r="AH220" s="173">
        <f t="shared" si="639"/>
        <v>0.59201029592076382</v>
      </c>
      <c r="AI220" s="173">
        <f t="shared" si="640"/>
        <v>1.3333333333333335</v>
      </c>
      <c r="AJ220" s="173">
        <f t="shared" si="641"/>
        <v>1.0366848279270284</v>
      </c>
      <c r="AL220" s="545">
        <f t="shared" si="642"/>
        <v>40</v>
      </c>
      <c r="AM220" s="460">
        <f t="shared" si="643"/>
        <v>64.198448872299736</v>
      </c>
      <c r="AO220">
        <f t="shared" si="644"/>
        <v>40</v>
      </c>
      <c r="AP220">
        <f t="shared" si="645"/>
        <v>64.198448872299736</v>
      </c>
      <c r="AR220" s="5">
        <f t="shared" si="616"/>
        <v>15.576700334133442</v>
      </c>
      <c r="AS220" s="5">
        <f t="shared" si="604"/>
        <v>0.4449888599182325</v>
      </c>
      <c r="AT220" s="5">
        <f t="shared" si="605"/>
        <v>15.131711474215209</v>
      </c>
      <c r="AU220" s="173">
        <f t="shared" si="606"/>
        <v>2.8567594572203599E-2</v>
      </c>
      <c r="BA220" s="173">
        <f t="shared" si="692"/>
        <v>0.13011127903328062</v>
      </c>
      <c r="BB220" s="173">
        <f t="shared" si="693"/>
        <v>0.7587250145216754</v>
      </c>
      <c r="BC220" s="173">
        <f t="shared" si="694"/>
        <v>0.18614343971765637</v>
      </c>
      <c r="BD220" s="173"/>
      <c r="BE220" s="528">
        <f t="shared" si="695"/>
        <v>3.3857889863352422E-4</v>
      </c>
      <c r="BF220" s="528">
        <f t="shared" si="646"/>
        <v>8.5184187800880856E-2</v>
      </c>
      <c r="BG220" s="528">
        <f t="shared" si="647"/>
        <v>5.7707915550152276E-2</v>
      </c>
      <c r="BH220" s="528">
        <f t="shared" si="696"/>
        <v>1.8084787975434578E-2</v>
      </c>
      <c r="BI220">
        <f t="shared" si="697"/>
        <v>1.6180180333779624E-2</v>
      </c>
      <c r="BJ220" s="460">
        <f t="shared" si="698"/>
        <v>73.888095883931896</v>
      </c>
      <c r="BK220">
        <f t="shared" si="648"/>
        <v>0.10370731385206559</v>
      </c>
      <c r="BL220" s="460">
        <f t="shared" si="699"/>
        <v>177.49565055888087</v>
      </c>
      <c r="BM220" s="173">
        <f t="shared" si="649"/>
        <v>2.4849999999999997E-2</v>
      </c>
      <c r="BN220" s="173">
        <f t="shared" si="650"/>
        <v>4.4374999999999996E-3</v>
      </c>
      <c r="BQ220" s="460">
        <f t="shared" si="700"/>
        <v>29.287499999999998</v>
      </c>
      <c r="BR220" s="528">
        <f t="shared" si="701"/>
        <v>5.0786834795028628E-4</v>
      </c>
      <c r="BS220" s="528">
        <f t="shared" si="702"/>
        <v>1.7269909429827496E-2</v>
      </c>
      <c r="BT220" s="528">
        <f t="shared" si="703"/>
        <v>1.7324690074960387E-4</v>
      </c>
      <c r="BU220" s="528">
        <f t="shared" si="704"/>
        <v>3.3894418181913974E-3</v>
      </c>
      <c r="BV220" s="528"/>
      <c r="BW220" s="625">
        <f t="shared" si="705"/>
        <v>5.7065287886488663E-4</v>
      </c>
      <c r="BX220" s="460">
        <f t="shared" si="706"/>
        <v>21.911119375583667</v>
      </c>
      <c r="BY220" s="173">
        <f t="shared" si="707"/>
        <v>0.22869426993446454</v>
      </c>
      <c r="BZ220" s="5">
        <f t="shared" si="708"/>
        <v>0.73599999999999988</v>
      </c>
      <c r="CA220" s="173">
        <f t="shared" si="709"/>
        <v>0.76293601292977453</v>
      </c>
      <c r="CB220" s="5">
        <f t="shared" si="710"/>
        <v>76.293601292977456</v>
      </c>
      <c r="CC220">
        <f t="shared" si="711"/>
        <v>4</v>
      </c>
      <c r="CE220" s="562">
        <f t="shared" si="651"/>
        <v>-50</v>
      </c>
      <c r="CG220" s="173">
        <f t="shared" si="652"/>
        <v>6.1267108113451582E-2</v>
      </c>
      <c r="CH220" s="173">
        <f t="shared" si="653"/>
        <v>2.1802039981809525E-2</v>
      </c>
      <c r="CI220" s="170">
        <v>4</v>
      </c>
      <c r="CJ220" s="217">
        <f t="shared" si="712"/>
        <v>0.04</v>
      </c>
      <c r="CK220" s="217">
        <f t="shared" si="654"/>
        <v>0.01</v>
      </c>
      <c r="CL220" s="217">
        <f t="shared" si="655"/>
        <v>0.65599999999999992</v>
      </c>
      <c r="CM220" s="217">
        <f t="shared" si="656"/>
        <v>0.08</v>
      </c>
      <c r="CN220" s="541">
        <f t="shared" si="657"/>
        <v>36</v>
      </c>
      <c r="CO220" s="443">
        <f t="shared" si="658"/>
        <v>17.099999999999998</v>
      </c>
      <c r="CP220" s="443">
        <f t="shared" si="659"/>
        <v>53.099999999999994</v>
      </c>
      <c r="CQ220" s="443"/>
      <c r="CR220" s="217">
        <f t="shared" si="660"/>
        <v>0.31818181818181812</v>
      </c>
      <c r="CS220" s="172">
        <f t="shared" si="661"/>
        <v>34.031620553359687</v>
      </c>
      <c r="CT220" s="172">
        <f t="shared" si="662"/>
        <v>4.6563192904656319</v>
      </c>
      <c r="CU220" s="217">
        <f t="shared" si="663"/>
        <v>2.0750988142292495</v>
      </c>
      <c r="CV220" s="217">
        <f t="shared" si="664"/>
        <v>4.2539525691699609</v>
      </c>
      <c r="CW220" s="217">
        <f t="shared" si="665"/>
        <v>16.399999999999999</v>
      </c>
      <c r="CX220" s="217">
        <f t="shared" si="666"/>
        <v>0.12850793650793649</v>
      </c>
      <c r="CY220" s="217">
        <f t="shared" si="667"/>
        <v>4.2835978835978832E-2</v>
      </c>
      <c r="CZ220" s="217">
        <f t="shared" si="668"/>
        <v>9.0181008075744917E-2</v>
      </c>
      <c r="DA220" s="197">
        <f t="shared" si="669"/>
        <v>350</v>
      </c>
      <c r="DB220" s="443">
        <f t="shared" si="670"/>
        <v>350</v>
      </c>
      <c r="DD220" s="217">
        <f t="shared" si="671"/>
        <v>2.7602905569007259</v>
      </c>
      <c r="DE220" s="173">
        <f t="shared" si="672"/>
        <v>1.937046004842615</v>
      </c>
      <c r="DF220" s="173">
        <f t="shared" si="673"/>
        <v>0.83398609309454497</v>
      </c>
      <c r="DG220" s="173"/>
      <c r="DH220" s="173">
        <f t="shared" si="674"/>
        <v>0.93567251461988332</v>
      </c>
      <c r="DI220" s="545">
        <f t="shared" si="675"/>
        <v>64.124999999999972</v>
      </c>
      <c r="DJ220" s="528">
        <f t="shared" si="676"/>
        <v>0.21832358674463945</v>
      </c>
      <c r="DL220" s="173">
        <f t="shared" si="677"/>
        <v>0.59201029592076382</v>
      </c>
      <c r="DM220" s="173">
        <f t="shared" si="678"/>
        <v>1.3333333333333335</v>
      </c>
      <c r="DN220" s="173">
        <f t="shared" si="679"/>
        <v>1.0366428571428572</v>
      </c>
      <c r="DP220" s="545">
        <f t="shared" si="680"/>
        <v>40</v>
      </c>
      <c r="DQ220" s="460">
        <f t="shared" si="681"/>
        <v>64.124999999999972</v>
      </c>
      <c r="DS220">
        <f t="shared" si="682"/>
        <v>40</v>
      </c>
      <c r="DT220">
        <f t="shared" si="683"/>
        <v>64.124999999999972</v>
      </c>
      <c r="DV220" s="5">
        <f t="shared" si="684"/>
        <v>15.59454191033139</v>
      </c>
      <c r="DW220" s="5">
        <f t="shared" si="685"/>
        <v>0.44444444444444453</v>
      </c>
      <c r="DX220" s="5">
        <f t="shared" si="686"/>
        <v>15.150097465886946</v>
      </c>
      <c r="DY220" s="173">
        <f t="shared" si="687"/>
        <v>2.8499999999999994E-2</v>
      </c>
      <c r="EA220" s="5">
        <f t="shared" si="713"/>
        <v>0.10840108401084014</v>
      </c>
      <c r="EB220" s="5">
        <f t="shared" si="714"/>
        <v>5.5555555555555566E-2</v>
      </c>
      <c r="EC220" s="5">
        <f t="shared" si="715"/>
        <v>0.23005703559309801</v>
      </c>
      <c r="ED220" s="5"/>
      <c r="EE220" s="173">
        <f t="shared" si="716"/>
        <v>0.12995725793078619</v>
      </c>
      <c r="EF220" s="173">
        <f t="shared" si="717"/>
        <v>0.75875141100607102</v>
      </c>
      <c r="EG220" s="173">
        <f t="shared" si="718"/>
        <v>0.18614991575615228</v>
      </c>
      <c r="EH220" s="173"/>
      <c r="EI220" s="528">
        <f t="shared" si="719"/>
        <v>3.3777777777777783E-4</v>
      </c>
      <c r="EJ220" s="528">
        <f t="shared" si="720"/>
        <v>9.0800999999999951E-2</v>
      </c>
      <c r="EK220" s="528">
        <f t="shared" si="721"/>
        <v>8.0156249999999967E-3</v>
      </c>
      <c r="EL220" s="528">
        <f t="shared" si="722"/>
        <v>1.8080749124999986E-2</v>
      </c>
      <c r="EM220">
        <f t="shared" si="723"/>
        <v>1.6199999999999999E-2</v>
      </c>
      <c r="EN220" s="460">
        <f t="shared" si="724"/>
        <v>24.215624999999999</v>
      </c>
      <c r="EP220" s="460">
        <f t="shared" si="725"/>
        <v>133.4351519027777</v>
      </c>
      <c r="EQ220" s="173">
        <f t="shared" si="726"/>
        <v>2.7999999999999997E-2</v>
      </c>
      <c r="ER220" s="173">
        <f t="shared" si="688"/>
        <v>4.4374999999999996E-3</v>
      </c>
      <c r="ES220" s="528"/>
      <c r="EU220" s="460">
        <f t="shared" si="727"/>
        <v>32.437499999999993</v>
      </c>
      <c r="EV220" s="528">
        <f t="shared" si="728"/>
        <v>5.0666666666666666E-4</v>
      </c>
      <c r="EW220" s="528">
        <f t="shared" si="729"/>
        <v>1.7271111111111112E-2</v>
      </c>
      <c r="EX220" s="528">
        <f t="shared" si="730"/>
        <v>1.7325895568011295E-4</v>
      </c>
      <c r="EY220" s="528">
        <f t="shared" si="731"/>
        <v>3.3797555598902938E-3</v>
      </c>
      <c r="EZ220" s="528"/>
      <c r="FA220" s="625">
        <f t="shared" si="732"/>
        <v>5.6999999999999987E-4</v>
      </c>
      <c r="FB220" s="460">
        <f t="shared" si="733"/>
        <v>21.900792293348189</v>
      </c>
      <c r="FC220" s="173">
        <f t="shared" si="734"/>
        <v>0.18777344419612588</v>
      </c>
      <c r="FD220" s="5">
        <f t="shared" si="735"/>
        <v>0.73599999999999988</v>
      </c>
      <c r="FE220" s="173">
        <f t="shared" si="736"/>
        <v>0.79673214750232657</v>
      </c>
      <c r="FF220" s="5">
        <f t="shared" si="737"/>
        <v>79.67321475023266</v>
      </c>
      <c r="FG220">
        <f t="shared" si="738"/>
        <v>4</v>
      </c>
      <c r="FI220" s="562">
        <f t="shared" si="689"/>
        <v>-50</v>
      </c>
    </row>
    <row r="221" spans="1:169">
      <c r="E221" s="170">
        <v>5</v>
      </c>
      <c r="F221" s="217">
        <f t="shared" si="690"/>
        <v>0.05</v>
      </c>
      <c r="G221" s="217">
        <f t="shared" si="617"/>
        <v>1.2500000000000001E-2</v>
      </c>
      <c r="H221" s="217">
        <f t="shared" si="618"/>
        <v>0.82</v>
      </c>
      <c r="I221" s="217">
        <f t="shared" si="619"/>
        <v>0.1</v>
      </c>
      <c r="J221" s="541">
        <f t="shared" si="620"/>
        <v>35.955956297288054</v>
      </c>
      <c r="K221" s="443">
        <f t="shared" si="621"/>
        <v>17.119586365946599</v>
      </c>
      <c r="L221" s="172">
        <f t="shared" si="622"/>
        <v>53.075542663234657</v>
      </c>
      <c r="M221" s="443"/>
      <c r="N221" s="217">
        <f t="shared" si="623"/>
        <v>0.32255132038066392</v>
      </c>
      <c r="O221" s="172">
        <f t="shared" si="624"/>
        <v>34.456760025277397</v>
      </c>
      <c r="P221" s="172">
        <f t="shared" si="625"/>
        <v>4.7144882842437852</v>
      </c>
      <c r="Q221" s="217">
        <f t="shared" si="626"/>
        <v>2.1010219527608172</v>
      </c>
      <c r="R221" s="217">
        <f t="shared" si="627"/>
        <v>4.3070950031596746</v>
      </c>
      <c r="S221" s="217">
        <f t="shared" si="628"/>
        <v>16.399999999999999</v>
      </c>
      <c r="T221" s="217">
        <f t="shared" si="629"/>
        <v>0.15865295119611747</v>
      </c>
      <c r="U221" s="217">
        <f t="shared" si="630"/>
        <v>5.2949096906567461E-2</v>
      </c>
      <c r="V221" s="217">
        <f t="shared" si="631"/>
        <v>0.11120802650585188</v>
      </c>
      <c r="W221" s="197">
        <f t="shared" si="632"/>
        <v>350</v>
      </c>
      <c r="X221" s="443">
        <f t="shared" si="691"/>
        <v>350</v>
      </c>
      <c r="Z221" s="217">
        <f t="shared" si="633"/>
        <v>2.7613431379142166</v>
      </c>
      <c r="AA221" s="173">
        <f t="shared" si="634"/>
        <v>1.9355676560552457</v>
      </c>
      <c r="AB221" s="173">
        <f t="shared" si="635"/>
        <v>0.83366737796730317</v>
      </c>
      <c r="AC221" s="173"/>
      <c r="AD221" s="173">
        <f t="shared" si="636"/>
        <v>0.93460202004800652</v>
      </c>
      <c r="AE221" s="545">
        <f t="shared" si="637"/>
        <v>80.248061090374676</v>
      </c>
      <c r="AF221" s="528">
        <f t="shared" si="638"/>
        <v>0.21807380467786819</v>
      </c>
      <c r="AH221" s="173">
        <f t="shared" si="639"/>
        <v>0.66188763252929728</v>
      </c>
      <c r="AI221" s="173">
        <f t="shared" si="640"/>
        <v>1.3333333333333335</v>
      </c>
      <c r="AJ221" s="173">
        <f t="shared" si="641"/>
        <v>1.0458560349087855</v>
      </c>
      <c r="AL221" s="545">
        <f t="shared" si="642"/>
        <v>50</v>
      </c>
      <c r="AM221" s="460">
        <f t="shared" si="643"/>
        <v>80.248061090374676</v>
      </c>
      <c r="AO221">
        <f t="shared" si="644"/>
        <v>50</v>
      </c>
      <c r="AP221">
        <f t="shared" si="645"/>
        <v>80.248061090374676</v>
      </c>
      <c r="AR221" s="5">
        <f t="shared" si="616"/>
        <v>12.461360267306752</v>
      </c>
      <c r="AS221" s="5">
        <f t="shared" si="604"/>
        <v>0.4449888599182325</v>
      </c>
      <c r="AT221" s="5">
        <f t="shared" si="605"/>
        <v>12.016371407388519</v>
      </c>
      <c r="AU221" s="173">
        <f t="shared" si="606"/>
        <v>3.5709493215254504E-2</v>
      </c>
      <c r="BA221" s="173">
        <f t="shared" si="692"/>
        <v>0.14546883227892932</v>
      </c>
      <c r="BB221" s="173">
        <f t="shared" si="693"/>
        <v>0.75593082449917159</v>
      </c>
      <c r="BC221" s="173">
        <f t="shared" si="694"/>
        <v>0.18545792107511958</v>
      </c>
      <c r="BD221" s="173"/>
      <c r="BE221" s="528">
        <f t="shared" si="695"/>
        <v>4.2322362329190542E-4</v>
      </c>
      <c r="BF221" s="528">
        <f t="shared" si="646"/>
        <v>0.10648023475110108</v>
      </c>
      <c r="BG221" s="528">
        <f t="shared" si="647"/>
        <v>7.2134894437690347E-2</v>
      </c>
      <c r="BH221" s="528">
        <f t="shared" si="696"/>
        <v>2.2605984969293225E-2</v>
      </c>
      <c r="BI221">
        <f t="shared" si="697"/>
        <v>1.6180180333779624E-2</v>
      </c>
      <c r="BJ221" s="460">
        <f t="shared" si="698"/>
        <v>88.315074771469966</v>
      </c>
      <c r="BK221">
        <f t="shared" si="648"/>
        <v>0.12963674972555453</v>
      </c>
      <c r="BL221" s="460">
        <f t="shared" si="699"/>
        <v>217.8245181151562</v>
      </c>
      <c r="BM221" s="173">
        <f t="shared" si="649"/>
        <v>3.1062499999999996E-2</v>
      </c>
      <c r="BN221" s="173">
        <f t="shared" si="650"/>
        <v>5.5468749999999997E-3</v>
      </c>
      <c r="BQ221" s="460">
        <f t="shared" si="700"/>
        <v>36.609375</v>
      </c>
      <c r="BR221" s="528">
        <f t="shared" si="701"/>
        <v>6.3483543493785802E-4</v>
      </c>
      <c r="BS221" s="528">
        <f t="shared" si="702"/>
        <v>1.7142942342839921E-2</v>
      </c>
      <c r="BT221" s="528">
        <f t="shared" si="703"/>
        <v>1.719732024475264E-4</v>
      </c>
      <c r="BU221" s="528">
        <f t="shared" si="704"/>
        <v>5.9211111806691079E-3</v>
      </c>
      <c r="BV221" s="528"/>
      <c r="BW221" s="625">
        <f t="shared" si="705"/>
        <v>7.1331609858110831E-4</v>
      </c>
      <c r="BX221" s="460">
        <f t="shared" si="706"/>
        <v>24.584178259475518</v>
      </c>
      <c r="BY221" s="173">
        <f t="shared" si="707"/>
        <v>0.27901807137463175</v>
      </c>
      <c r="BZ221" s="5">
        <f t="shared" si="708"/>
        <v>0.91999999999999993</v>
      </c>
      <c r="CA221" s="173">
        <f t="shared" si="709"/>
        <v>0.76729452371410267</v>
      </c>
      <c r="CB221" s="5">
        <f t="shared" si="710"/>
        <v>76.729452371410261</v>
      </c>
      <c r="CC221">
        <f t="shared" si="711"/>
        <v>5</v>
      </c>
      <c r="CE221" s="562">
        <f t="shared" si="651"/>
        <v>-50</v>
      </c>
      <c r="CG221" s="173">
        <f t="shared" si="652"/>
        <v>7.6583885141814481E-2</v>
      </c>
      <c r="CH221" s="173">
        <f t="shared" si="653"/>
        <v>2.7252549977261908E-2</v>
      </c>
      <c r="CI221" s="170">
        <v>5</v>
      </c>
      <c r="CJ221" s="217">
        <f t="shared" si="712"/>
        <v>0.05</v>
      </c>
      <c r="CK221" s="217">
        <f t="shared" si="654"/>
        <v>1.2500000000000001E-2</v>
      </c>
      <c r="CL221" s="217">
        <f t="shared" si="655"/>
        <v>0.82</v>
      </c>
      <c r="CM221" s="217">
        <f t="shared" si="656"/>
        <v>0.1</v>
      </c>
      <c r="CN221" s="541">
        <f t="shared" si="657"/>
        <v>36</v>
      </c>
      <c r="CO221" s="443">
        <f t="shared" si="658"/>
        <v>17.099999999999998</v>
      </c>
      <c r="CP221" s="443">
        <f t="shared" si="659"/>
        <v>53.099999999999994</v>
      </c>
      <c r="CQ221" s="443"/>
      <c r="CR221" s="217">
        <f t="shared" si="660"/>
        <v>0.31818181818181812</v>
      </c>
      <c r="CS221" s="172">
        <f t="shared" si="661"/>
        <v>34.031620553359687</v>
      </c>
      <c r="CT221" s="172">
        <f t="shared" si="662"/>
        <v>4.6563192904656319</v>
      </c>
      <c r="CU221" s="217">
        <f t="shared" si="663"/>
        <v>2.0750988142292495</v>
      </c>
      <c r="CV221" s="217">
        <f t="shared" si="664"/>
        <v>4.2539525691699609</v>
      </c>
      <c r="CW221" s="217">
        <f t="shared" si="665"/>
        <v>16.399999999999999</v>
      </c>
      <c r="CX221" s="217">
        <f t="shared" si="666"/>
        <v>0.16063492063492063</v>
      </c>
      <c r="CY221" s="217">
        <f t="shared" si="667"/>
        <v>5.3544973544973548E-2</v>
      </c>
      <c r="CZ221" s="217">
        <f t="shared" si="668"/>
        <v>0.11272626009468117</v>
      </c>
      <c r="DA221" s="197">
        <f t="shared" si="669"/>
        <v>350</v>
      </c>
      <c r="DB221" s="443">
        <f t="shared" si="670"/>
        <v>350</v>
      </c>
      <c r="DD221" s="217">
        <f t="shared" si="671"/>
        <v>2.7602905569007259</v>
      </c>
      <c r="DE221" s="173">
        <f t="shared" si="672"/>
        <v>1.937046004842615</v>
      </c>
      <c r="DF221" s="173">
        <f t="shared" si="673"/>
        <v>0.83398609309454497</v>
      </c>
      <c r="DG221" s="173"/>
      <c r="DH221" s="173">
        <f t="shared" si="674"/>
        <v>0.93567251461988332</v>
      </c>
      <c r="DI221" s="545">
        <f t="shared" si="675"/>
        <v>80.156249999999972</v>
      </c>
      <c r="DJ221" s="528">
        <f t="shared" si="676"/>
        <v>0.21832358674463945</v>
      </c>
      <c r="DL221" s="173">
        <f t="shared" si="677"/>
        <v>0.66188763252929728</v>
      </c>
      <c r="DM221" s="173">
        <f t="shared" si="678"/>
        <v>1.3333333333333335</v>
      </c>
      <c r="DN221" s="173">
        <f t="shared" si="679"/>
        <v>1.0458035714285714</v>
      </c>
      <c r="DP221" s="545">
        <f t="shared" si="680"/>
        <v>50</v>
      </c>
      <c r="DQ221" s="460">
        <f t="shared" si="681"/>
        <v>80.156249999999972</v>
      </c>
      <c r="DS221">
        <f t="shared" si="682"/>
        <v>50</v>
      </c>
      <c r="DT221">
        <f t="shared" si="683"/>
        <v>80.156249999999972</v>
      </c>
      <c r="DV221" s="5">
        <f t="shared" si="684"/>
        <v>12.475633528265112</v>
      </c>
      <c r="DW221" s="5">
        <f t="shared" si="685"/>
        <v>0.44444444444444453</v>
      </c>
      <c r="DX221" s="5">
        <f t="shared" si="686"/>
        <v>12.031189083820667</v>
      </c>
      <c r="DY221" s="173">
        <f t="shared" si="687"/>
        <v>3.5624999999999997E-2</v>
      </c>
      <c r="EA221" s="5">
        <f t="shared" si="713"/>
        <v>0.13550135501355018</v>
      </c>
      <c r="EB221" s="5">
        <f t="shared" si="714"/>
        <v>6.9444444444444461E-2</v>
      </c>
      <c r="EC221" s="5">
        <f t="shared" si="715"/>
        <v>0.22836979279474409</v>
      </c>
      <c r="ED221" s="5"/>
      <c r="EE221" s="173">
        <f t="shared" si="716"/>
        <v>0.1452966314513558</v>
      </c>
      <c r="EF221" s="173">
        <f t="shared" si="717"/>
        <v>0.75596394191884675</v>
      </c>
      <c r="EG221" s="173">
        <f t="shared" si="718"/>
        <v>0.18546604600878447</v>
      </c>
      <c r="EH221" s="173"/>
      <c r="EI221" s="528">
        <f t="shared" si="719"/>
        <v>4.2222222222222232E-4</v>
      </c>
      <c r="EJ221" s="528">
        <f t="shared" si="720"/>
        <v>0.11350124999999997</v>
      </c>
      <c r="EK221" s="528">
        <f t="shared" si="721"/>
        <v>1.0019531249999996E-2</v>
      </c>
      <c r="EL221" s="528">
        <f t="shared" si="722"/>
        <v>2.2600936406249987E-2</v>
      </c>
      <c r="EM221">
        <f t="shared" si="723"/>
        <v>1.6199999999999999E-2</v>
      </c>
      <c r="EN221" s="460">
        <f t="shared" si="724"/>
        <v>26.219531249999996</v>
      </c>
      <c r="EP221" s="460">
        <f t="shared" si="725"/>
        <v>162.74393987847216</v>
      </c>
      <c r="EQ221" s="173">
        <f t="shared" si="726"/>
        <v>3.4999999999999996E-2</v>
      </c>
      <c r="ER221" s="173">
        <f t="shared" si="688"/>
        <v>5.5468749999999997E-3</v>
      </c>
      <c r="ES221" s="528"/>
      <c r="EU221" s="460">
        <f t="shared" si="727"/>
        <v>40.546874999999993</v>
      </c>
      <c r="EV221" s="528">
        <f t="shared" si="728"/>
        <v>6.333333333333334E-4</v>
      </c>
      <c r="EW221" s="528">
        <f t="shared" si="729"/>
        <v>1.7144444444444445E-2</v>
      </c>
      <c r="EX221" s="528">
        <f t="shared" si="730"/>
        <v>1.7198827111066279E-4</v>
      </c>
      <c r="EY221" s="528">
        <f t="shared" si="731"/>
        <v>5.9041899837871522E-3</v>
      </c>
      <c r="EZ221" s="528"/>
      <c r="FA221" s="625">
        <f t="shared" si="732"/>
        <v>7.1249999999999981E-4</v>
      </c>
      <c r="FB221" s="460">
        <f t="shared" si="733"/>
        <v>24.566456032675596</v>
      </c>
      <c r="FC221" s="173">
        <f t="shared" si="734"/>
        <v>0.22785727091114777</v>
      </c>
      <c r="FD221" s="5">
        <f t="shared" si="735"/>
        <v>0.91999999999999993</v>
      </c>
      <c r="FE221" s="173">
        <f t="shared" si="736"/>
        <v>0.8014933766719281</v>
      </c>
      <c r="FF221" s="5">
        <f t="shared" si="737"/>
        <v>80.14933766719281</v>
      </c>
      <c r="FG221">
        <f t="shared" si="738"/>
        <v>5</v>
      </c>
      <c r="FI221" s="562">
        <f t="shared" si="689"/>
        <v>-50</v>
      </c>
    </row>
    <row r="222" spans="1:169">
      <c r="E222" s="170">
        <v>6</v>
      </c>
      <c r="F222" s="217">
        <f t="shared" si="690"/>
        <v>0.06</v>
      </c>
      <c r="G222" s="217">
        <f t="shared" si="617"/>
        <v>1.4999999999999999E-2</v>
      </c>
      <c r="H222" s="217">
        <f t="shared" si="618"/>
        <v>0.98399999999999987</v>
      </c>
      <c r="I222" s="217">
        <f t="shared" si="619"/>
        <v>0.12</v>
      </c>
      <c r="J222" s="541">
        <f t="shared" si="620"/>
        <v>35.955956297288054</v>
      </c>
      <c r="K222" s="443">
        <f t="shared" si="621"/>
        <v>17.119586365946599</v>
      </c>
      <c r="L222" s="172">
        <f t="shared" si="622"/>
        <v>53.075542663234657</v>
      </c>
      <c r="M222" s="443"/>
      <c r="N222" s="217">
        <f t="shared" si="623"/>
        <v>0.32255132038066392</v>
      </c>
      <c r="O222" s="172">
        <f t="shared" si="624"/>
        <v>34.456760025277397</v>
      </c>
      <c r="P222" s="172">
        <f t="shared" si="625"/>
        <v>4.7144882842437852</v>
      </c>
      <c r="Q222" s="217">
        <f t="shared" si="626"/>
        <v>2.1010219527608172</v>
      </c>
      <c r="R222" s="217">
        <f t="shared" si="627"/>
        <v>4.3070950031596746</v>
      </c>
      <c r="S222" s="217">
        <f t="shared" si="628"/>
        <v>16.399999999999999</v>
      </c>
      <c r="T222" s="217">
        <f t="shared" si="629"/>
        <v>0.19038354143534097</v>
      </c>
      <c r="U222" s="217">
        <f t="shared" si="630"/>
        <v>6.3538916287880956E-2</v>
      </c>
      <c r="V222" s="217">
        <f t="shared" si="631"/>
        <v>0.13344963180702224</v>
      </c>
      <c r="W222" s="197">
        <f t="shared" si="632"/>
        <v>350</v>
      </c>
      <c r="X222" s="443">
        <f t="shared" si="691"/>
        <v>350</v>
      </c>
      <c r="Z222" s="217">
        <f t="shared" si="633"/>
        <v>2.7613431379142166</v>
      </c>
      <c r="AA222" s="173">
        <f t="shared" si="634"/>
        <v>1.9355676560552457</v>
      </c>
      <c r="AB222" s="173">
        <f t="shared" si="635"/>
        <v>0.83366737796730317</v>
      </c>
      <c r="AC222" s="173"/>
      <c r="AD222" s="173">
        <f t="shared" si="636"/>
        <v>0.93460202004800652</v>
      </c>
      <c r="AE222" s="545">
        <f t="shared" si="637"/>
        <v>96.297673308449589</v>
      </c>
      <c r="AF222" s="528">
        <f t="shared" si="638"/>
        <v>0.21807380467786819</v>
      </c>
      <c r="AH222" s="173">
        <f t="shared" si="639"/>
        <v>0.72506157373997249</v>
      </c>
      <c r="AI222" s="173">
        <f t="shared" si="640"/>
        <v>1.3333333333333335</v>
      </c>
      <c r="AJ222" s="173">
        <f t="shared" si="641"/>
        <v>1.0550272418905426</v>
      </c>
      <c r="AL222" s="545">
        <f t="shared" si="642"/>
        <v>60</v>
      </c>
      <c r="AM222" s="460">
        <f t="shared" si="643"/>
        <v>96.297673308449589</v>
      </c>
      <c r="AO222">
        <f t="shared" si="644"/>
        <v>60</v>
      </c>
      <c r="AP222">
        <f t="shared" si="645"/>
        <v>96.297673308449589</v>
      </c>
      <c r="AR222" s="5">
        <f t="shared" si="616"/>
        <v>10.384466889422296</v>
      </c>
      <c r="AS222" s="5">
        <f t="shared" si="604"/>
        <v>0.4449888599182325</v>
      </c>
      <c r="AT222" s="5">
        <f t="shared" si="605"/>
        <v>9.9394780295040626</v>
      </c>
      <c r="AU222" s="173">
        <f t="shared" si="606"/>
        <v>4.2851391858305395E-2</v>
      </c>
      <c r="BA222" s="173">
        <f t="shared" si="692"/>
        <v>0.15935312170621044</v>
      </c>
      <c r="BB222" s="173">
        <f t="shared" si="693"/>
        <v>0.75312626776330027</v>
      </c>
      <c r="BC222" s="173">
        <f t="shared" si="694"/>
        <v>0.18476985909257437</v>
      </c>
      <c r="BD222" s="173"/>
      <c r="BE222" s="528">
        <f t="shared" si="695"/>
        <v>5.0786834795028628E-4</v>
      </c>
      <c r="BF222" s="528">
        <f t="shared" si="646"/>
        <v>0.12777628170132124</v>
      </c>
      <c r="BG222" s="528">
        <f t="shared" si="647"/>
        <v>8.6561873325228397E-2</v>
      </c>
      <c r="BH222" s="528">
        <f t="shared" si="696"/>
        <v>2.7127181963151864E-2</v>
      </c>
      <c r="BI222">
        <f t="shared" si="697"/>
        <v>1.6180180333779624E-2</v>
      </c>
      <c r="BJ222" s="460">
        <f t="shared" si="698"/>
        <v>102.74205365900801</v>
      </c>
      <c r="BK222">
        <f t="shared" si="648"/>
        <v>0.15556722868910164</v>
      </c>
      <c r="BL222" s="460">
        <f t="shared" si="699"/>
        <v>258.15338567143141</v>
      </c>
      <c r="BM222" s="173">
        <f t="shared" si="649"/>
        <v>3.7274999999999996E-2</v>
      </c>
      <c r="BN222" s="173">
        <f t="shared" si="650"/>
        <v>6.6562499999999998E-3</v>
      </c>
      <c r="BQ222" s="460">
        <f t="shared" si="700"/>
        <v>43.931249999999999</v>
      </c>
      <c r="BR222" s="528">
        <f t="shared" si="701"/>
        <v>7.6180252192542942E-4</v>
      </c>
      <c r="BS222" s="528">
        <f t="shared" si="702"/>
        <v>1.7015975255852345E-2</v>
      </c>
      <c r="BT222" s="528">
        <f t="shared" si="703"/>
        <v>1.7069950414544895E-4</v>
      </c>
      <c r="BU222" s="528">
        <f t="shared" si="704"/>
        <v>9.3402033383477214E-3</v>
      </c>
      <c r="BV222" s="528"/>
      <c r="BW222" s="625">
        <f t="shared" si="705"/>
        <v>8.5597931829732978E-4</v>
      </c>
      <c r="BX222" s="460">
        <f t="shared" si="706"/>
        <v>28.144659938568271</v>
      </c>
      <c r="BY222" s="173">
        <f t="shared" si="707"/>
        <v>0.3302292956099997</v>
      </c>
      <c r="BZ222" s="5">
        <f t="shared" si="708"/>
        <v>1.1039999999999999</v>
      </c>
      <c r="CA222" s="173">
        <f t="shared" si="709"/>
        <v>0.76975139427092221</v>
      </c>
      <c r="CB222" s="5">
        <f t="shared" si="710"/>
        <v>76.975139427092216</v>
      </c>
      <c r="CC222">
        <f t="shared" si="711"/>
        <v>6</v>
      </c>
      <c r="CE222" s="562">
        <f t="shared" si="651"/>
        <v>-50</v>
      </c>
      <c r="CG222" s="173">
        <f t="shared" si="652"/>
        <v>9.190066217017738E-2</v>
      </c>
      <c r="CH222" s="173">
        <f t="shared" si="653"/>
        <v>3.2703059972714284E-2</v>
      </c>
      <c r="CI222" s="170">
        <v>6</v>
      </c>
      <c r="CJ222" s="217">
        <f t="shared" si="712"/>
        <v>0.06</v>
      </c>
      <c r="CK222" s="217">
        <f t="shared" si="654"/>
        <v>1.4999999999999999E-2</v>
      </c>
      <c r="CL222" s="217">
        <f t="shared" si="655"/>
        <v>0.98399999999999987</v>
      </c>
      <c r="CM222" s="217">
        <f t="shared" si="656"/>
        <v>0.12</v>
      </c>
      <c r="CN222" s="541">
        <f t="shared" si="657"/>
        <v>36</v>
      </c>
      <c r="CO222" s="443">
        <f t="shared" si="658"/>
        <v>17.099999999999998</v>
      </c>
      <c r="CP222" s="443">
        <f t="shared" si="659"/>
        <v>53.099999999999994</v>
      </c>
      <c r="CQ222" s="443"/>
      <c r="CR222" s="217">
        <f t="shared" si="660"/>
        <v>0.31818181818181812</v>
      </c>
      <c r="CS222" s="172">
        <f t="shared" si="661"/>
        <v>34.031620553359687</v>
      </c>
      <c r="CT222" s="172">
        <f t="shared" si="662"/>
        <v>4.6563192904656319</v>
      </c>
      <c r="CU222" s="217">
        <f t="shared" si="663"/>
        <v>2.0750988142292495</v>
      </c>
      <c r="CV222" s="217">
        <f t="shared" si="664"/>
        <v>4.2539525691699609</v>
      </c>
      <c r="CW222" s="217">
        <f t="shared" si="665"/>
        <v>16.399999999999999</v>
      </c>
      <c r="CX222" s="217">
        <f t="shared" si="666"/>
        <v>0.19276190476190477</v>
      </c>
      <c r="CY222" s="217">
        <f t="shared" si="667"/>
        <v>6.4253968253968258E-2</v>
      </c>
      <c r="CZ222" s="217">
        <f t="shared" si="668"/>
        <v>0.13527151211361743</v>
      </c>
      <c r="DA222" s="197">
        <f t="shared" si="669"/>
        <v>350</v>
      </c>
      <c r="DB222" s="443">
        <f t="shared" si="670"/>
        <v>350</v>
      </c>
      <c r="DD222" s="217">
        <f t="shared" si="671"/>
        <v>2.7602905569007259</v>
      </c>
      <c r="DE222" s="173">
        <f t="shared" si="672"/>
        <v>1.937046004842615</v>
      </c>
      <c r="DF222" s="173">
        <f t="shared" si="673"/>
        <v>0.83398609309454497</v>
      </c>
      <c r="DG222" s="173"/>
      <c r="DH222" s="173">
        <f t="shared" si="674"/>
        <v>0.93567251461988332</v>
      </c>
      <c r="DI222" s="545">
        <f t="shared" si="675"/>
        <v>96.187499999999957</v>
      </c>
      <c r="DJ222" s="528">
        <f t="shared" si="676"/>
        <v>0.21832358674463945</v>
      </c>
      <c r="DL222" s="173">
        <f t="shared" si="677"/>
        <v>0.72506157373997249</v>
      </c>
      <c r="DM222" s="173">
        <f t="shared" si="678"/>
        <v>1.3333333333333335</v>
      </c>
      <c r="DN222" s="173">
        <f t="shared" si="679"/>
        <v>1.0549642857142858</v>
      </c>
      <c r="DP222" s="545">
        <f t="shared" si="680"/>
        <v>60</v>
      </c>
      <c r="DQ222" s="460">
        <f t="shared" si="681"/>
        <v>96.187499999999957</v>
      </c>
      <c r="DS222">
        <f t="shared" si="682"/>
        <v>60</v>
      </c>
      <c r="DT222">
        <f t="shared" si="683"/>
        <v>96.187499999999957</v>
      </c>
      <c r="DV222" s="5">
        <f t="shared" si="684"/>
        <v>10.396361273554261</v>
      </c>
      <c r="DW222" s="5">
        <f t="shared" si="685"/>
        <v>0.44444444444444453</v>
      </c>
      <c r="DX222" s="5">
        <f t="shared" si="686"/>
        <v>9.9519168291098161</v>
      </c>
      <c r="DY222" s="173">
        <f t="shared" si="687"/>
        <v>4.2749999999999989E-2</v>
      </c>
      <c r="EA222" s="5">
        <f t="shared" si="713"/>
        <v>0.16260162601626021</v>
      </c>
      <c r="EB222" s="5">
        <f t="shared" si="714"/>
        <v>8.3333333333333343E-2</v>
      </c>
      <c r="EC222" s="5">
        <f t="shared" si="715"/>
        <v>0.2266825499963902</v>
      </c>
      <c r="ED222" s="5"/>
      <c r="EE222" s="173">
        <f t="shared" si="716"/>
        <v>0.1591644851508443</v>
      </c>
      <c r="EF222" s="173">
        <f t="shared" si="717"/>
        <v>0.75316615647495699</v>
      </c>
      <c r="EG222" s="173">
        <f t="shared" si="718"/>
        <v>0.18477964527577853</v>
      </c>
      <c r="EH222" s="173"/>
      <c r="EI222" s="528">
        <f t="shared" si="719"/>
        <v>5.0666666666666677E-4</v>
      </c>
      <c r="EJ222" s="528">
        <f t="shared" si="720"/>
        <v>0.13620149999999995</v>
      </c>
      <c r="EK222" s="528">
        <f t="shared" si="721"/>
        <v>1.2023437499999994E-2</v>
      </c>
      <c r="EL222" s="528">
        <f t="shared" si="722"/>
        <v>2.7121123687499984E-2</v>
      </c>
      <c r="EM222">
        <f t="shared" si="723"/>
        <v>1.6199999999999999E-2</v>
      </c>
      <c r="EN222" s="460">
        <f t="shared" si="724"/>
        <v>28.223437499999992</v>
      </c>
      <c r="EP222" s="460">
        <f t="shared" si="725"/>
        <v>192.05272785416656</v>
      </c>
      <c r="EQ222" s="173">
        <f t="shared" si="726"/>
        <v>4.1999999999999996E-2</v>
      </c>
      <c r="ER222" s="173">
        <f t="shared" si="688"/>
        <v>6.6562499999999998E-3</v>
      </c>
      <c r="ES222" s="528"/>
      <c r="EU222" s="460">
        <f t="shared" si="727"/>
        <v>48.65625</v>
      </c>
      <c r="EV222" s="528">
        <f t="shared" si="728"/>
        <v>7.6000000000000004E-4</v>
      </c>
      <c r="EW222" s="528">
        <f t="shared" si="729"/>
        <v>1.7017777777777781E-2</v>
      </c>
      <c r="EX222" s="528">
        <f t="shared" si="730"/>
        <v>1.7071758654121271E-4</v>
      </c>
      <c r="EY222" s="528">
        <f t="shared" si="731"/>
        <v>9.3135111491989032E-3</v>
      </c>
      <c r="EZ222" s="528"/>
      <c r="FA222" s="625">
        <f t="shared" si="732"/>
        <v>8.5499999999999975E-4</v>
      </c>
      <c r="FB222" s="460">
        <f t="shared" si="733"/>
        <v>28.117006513517893</v>
      </c>
      <c r="FC222" s="173">
        <f t="shared" si="734"/>
        <v>0.26882598436768446</v>
      </c>
      <c r="FD222" s="5">
        <f t="shared" si="735"/>
        <v>1.1039999999999999</v>
      </c>
      <c r="FE222" s="173">
        <f t="shared" si="736"/>
        <v>0.80418058266029668</v>
      </c>
      <c r="FF222" s="5">
        <f t="shared" si="737"/>
        <v>80.418058266029675</v>
      </c>
      <c r="FG222">
        <f t="shared" si="738"/>
        <v>6</v>
      </c>
      <c r="FI222" s="562">
        <f t="shared" si="689"/>
        <v>-50</v>
      </c>
    </row>
    <row r="223" spans="1:169">
      <c r="E223" s="170">
        <v>7</v>
      </c>
      <c r="F223" s="217">
        <f t="shared" si="690"/>
        <v>7.0000000000000007E-2</v>
      </c>
      <c r="G223" s="217">
        <f t="shared" si="617"/>
        <v>1.7500000000000002E-2</v>
      </c>
      <c r="H223" s="217">
        <f t="shared" si="618"/>
        <v>1.1479999999999999</v>
      </c>
      <c r="I223" s="217">
        <f t="shared" si="619"/>
        <v>0.14000000000000001</v>
      </c>
      <c r="J223" s="541">
        <f t="shared" si="620"/>
        <v>35.955956297288054</v>
      </c>
      <c r="K223" s="443">
        <f t="shared" si="621"/>
        <v>17.119586365946599</v>
      </c>
      <c r="L223" s="172">
        <f t="shared" si="622"/>
        <v>53.075542663234657</v>
      </c>
      <c r="M223" s="443"/>
      <c r="N223" s="217">
        <f t="shared" si="623"/>
        <v>0.32255132038066392</v>
      </c>
      <c r="O223" s="172">
        <f t="shared" si="624"/>
        <v>34.456760025277397</v>
      </c>
      <c r="P223" s="172">
        <f t="shared" si="625"/>
        <v>4.7144882842437852</v>
      </c>
      <c r="Q223" s="217">
        <f t="shared" si="626"/>
        <v>2.1010219527608172</v>
      </c>
      <c r="R223" s="217">
        <f t="shared" si="627"/>
        <v>4.3070950031596746</v>
      </c>
      <c r="S223" s="217">
        <f t="shared" si="628"/>
        <v>16.399999999999999</v>
      </c>
      <c r="T223" s="217">
        <f t="shared" si="629"/>
        <v>0.22211413167456445</v>
      </c>
      <c r="U223" s="217">
        <f t="shared" si="630"/>
        <v>7.4128735669194437E-2</v>
      </c>
      <c r="V223" s="217">
        <f t="shared" si="631"/>
        <v>0.1556912371081926</v>
      </c>
      <c r="W223" s="197">
        <f t="shared" si="632"/>
        <v>350</v>
      </c>
      <c r="X223" s="443">
        <f t="shared" si="691"/>
        <v>350</v>
      </c>
      <c r="Z223" s="217">
        <f t="shared" si="633"/>
        <v>2.7613431379142166</v>
      </c>
      <c r="AA223" s="173">
        <f t="shared" si="634"/>
        <v>1.9355676560552457</v>
      </c>
      <c r="AB223" s="173">
        <f t="shared" si="635"/>
        <v>0.83366737796730317</v>
      </c>
      <c r="AC223" s="173"/>
      <c r="AD223" s="173">
        <f t="shared" si="636"/>
        <v>0.93460202004800652</v>
      </c>
      <c r="AE223" s="545">
        <f t="shared" si="637"/>
        <v>112.34728552652454</v>
      </c>
      <c r="AF223" s="528">
        <f t="shared" si="638"/>
        <v>0.21807380467786819</v>
      </c>
      <c r="AH223" s="173">
        <f t="shared" si="639"/>
        <v>0.78315600829804866</v>
      </c>
      <c r="AI223" s="173">
        <f t="shared" si="640"/>
        <v>1.3333333333333335</v>
      </c>
      <c r="AJ223" s="173">
        <f t="shared" si="641"/>
        <v>1.0641984488722998</v>
      </c>
      <c r="AL223" s="545">
        <f t="shared" si="642"/>
        <v>70</v>
      </c>
      <c r="AM223" s="460">
        <f t="shared" si="643"/>
        <v>112.34728552652454</v>
      </c>
      <c r="AO223">
        <f t="shared" si="644"/>
        <v>70</v>
      </c>
      <c r="AP223">
        <f t="shared" si="645"/>
        <v>112.34728552652454</v>
      </c>
      <c r="AR223" s="5">
        <f t="shared" si="616"/>
        <v>8.9009716195048227</v>
      </c>
      <c r="AS223" s="5">
        <f t="shared" si="604"/>
        <v>0.4449888599182325</v>
      </c>
      <c r="AT223" s="5">
        <f t="shared" si="605"/>
        <v>8.4559827595865897</v>
      </c>
      <c r="AU223" s="173">
        <f t="shared" si="606"/>
        <v>4.9993290501356306E-2</v>
      </c>
      <c r="BA223" s="173">
        <f t="shared" si="692"/>
        <v>0.17212104354329652</v>
      </c>
      <c r="BB223" s="173">
        <f t="shared" si="693"/>
        <v>0.7503112280661669</v>
      </c>
      <c r="BC223" s="173">
        <f t="shared" si="694"/>
        <v>0.18407922525009257</v>
      </c>
      <c r="BD223" s="173"/>
      <c r="BE223" s="528">
        <f t="shared" si="695"/>
        <v>5.9251307260866758E-4</v>
      </c>
      <c r="BF223" s="528">
        <f t="shared" si="646"/>
        <v>0.14907232865154149</v>
      </c>
      <c r="BG223" s="528">
        <f t="shared" si="647"/>
        <v>0.10098885221276648</v>
      </c>
      <c r="BH223" s="528">
        <f t="shared" si="696"/>
        <v>3.164837895701051E-2</v>
      </c>
      <c r="BI223">
        <f t="shared" si="697"/>
        <v>1.6180180333779624E-2</v>
      </c>
      <c r="BJ223" s="460">
        <f t="shared" si="698"/>
        <v>117.16903254654609</v>
      </c>
      <c r="BK223">
        <f t="shared" si="648"/>
        <v>0.18149875080565045</v>
      </c>
      <c r="BL223" s="460">
        <f t="shared" si="699"/>
        <v>298.48225322770674</v>
      </c>
      <c r="BM223" s="173">
        <f t="shared" si="649"/>
        <v>4.3487499999999998E-2</v>
      </c>
      <c r="BN223" s="173">
        <f t="shared" si="650"/>
        <v>7.765625E-3</v>
      </c>
      <c r="BQ223" s="460">
        <f t="shared" si="700"/>
        <v>51.253124999999997</v>
      </c>
      <c r="BR223" s="528">
        <f t="shared" si="701"/>
        <v>8.8876960891300127E-4</v>
      </c>
      <c r="BS223" s="528">
        <f t="shared" si="702"/>
        <v>1.6889008168864787E-2</v>
      </c>
      <c r="BT223" s="528">
        <f t="shared" si="703"/>
        <v>1.6942580584337162E-4</v>
      </c>
      <c r="BU223" s="528">
        <f t="shared" si="704"/>
        <v>1.3731668330581105E-2</v>
      </c>
      <c r="BV223" s="528"/>
      <c r="BW223" s="625">
        <f t="shared" si="705"/>
        <v>9.9864253801355178E-4</v>
      </c>
      <c r="BX223" s="460">
        <f t="shared" si="706"/>
        <v>32.677514452215817</v>
      </c>
      <c r="BY223" s="173">
        <f t="shared" si="707"/>
        <v>0.38241289267992257</v>
      </c>
      <c r="BZ223" s="5">
        <f t="shared" si="708"/>
        <v>1.2879999999999998</v>
      </c>
      <c r="CA223" s="173">
        <f t="shared" si="709"/>
        <v>0.77106684559504357</v>
      </c>
      <c r="CB223" s="5">
        <f t="shared" si="710"/>
        <v>77.106684559504359</v>
      </c>
      <c r="CC223">
        <f t="shared" si="711"/>
        <v>7.0000000000000009</v>
      </c>
      <c r="CE223" s="562">
        <f t="shared" si="651"/>
        <v>-50</v>
      </c>
      <c r="CG223" s="173">
        <f t="shared" si="652"/>
        <v>0.10721743919854028</v>
      </c>
      <c r="CH223" s="173">
        <f t="shared" si="653"/>
        <v>3.8153569968166677E-2</v>
      </c>
      <c r="CI223" s="170">
        <v>7</v>
      </c>
      <c r="CJ223" s="217">
        <f t="shared" si="712"/>
        <v>7.0000000000000007E-2</v>
      </c>
      <c r="CK223" s="217">
        <f t="shared" si="654"/>
        <v>1.7500000000000002E-2</v>
      </c>
      <c r="CL223" s="217">
        <f t="shared" si="655"/>
        <v>1.1479999999999999</v>
      </c>
      <c r="CM223" s="217">
        <f t="shared" si="656"/>
        <v>0.14000000000000001</v>
      </c>
      <c r="CN223" s="541">
        <f t="shared" si="657"/>
        <v>36</v>
      </c>
      <c r="CO223" s="443">
        <f t="shared" si="658"/>
        <v>17.099999999999998</v>
      </c>
      <c r="CP223" s="443">
        <f t="shared" si="659"/>
        <v>53.099999999999994</v>
      </c>
      <c r="CQ223" s="443"/>
      <c r="CR223" s="217">
        <f t="shared" si="660"/>
        <v>0.31818181818181812</v>
      </c>
      <c r="CS223" s="172">
        <f t="shared" si="661"/>
        <v>34.031620553359687</v>
      </c>
      <c r="CT223" s="172">
        <f t="shared" si="662"/>
        <v>4.6563192904656319</v>
      </c>
      <c r="CU223" s="217">
        <f t="shared" si="663"/>
        <v>2.0750988142292495</v>
      </c>
      <c r="CV223" s="217">
        <f t="shared" si="664"/>
        <v>4.2539525691699609</v>
      </c>
      <c r="CW223" s="217">
        <f t="shared" si="665"/>
        <v>16.399999999999999</v>
      </c>
      <c r="CX223" s="217">
        <f t="shared" si="666"/>
        <v>0.22488888888888889</v>
      </c>
      <c r="CY223" s="217">
        <f t="shared" si="667"/>
        <v>7.4962962962962967E-2</v>
      </c>
      <c r="CZ223" s="217">
        <f t="shared" si="668"/>
        <v>0.15781676413255363</v>
      </c>
      <c r="DA223" s="197">
        <f t="shared" si="669"/>
        <v>350</v>
      </c>
      <c r="DB223" s="443">
        <f t="shared" si="670"/>
        <v>350</v>
      </c>
      <c r="DD223" s="217">
        <f t="shared" si="671"/>
        <v>2.7602905569007259</v>
      </c>
      <c r="DE223" s="173">
        <f t="shared" si="672"/>
        <v>1.937046004842615</v>
      </c>
      <c r="DF223" s="173">
        <f t="shared" si="673"/>
        <v>0.83398609309454497</v>
      </c>
      <c r="DG223" s="173"/>
      <c r="DH223" s="173">
        <f t="shared" si="674"/>
        <v>0.93567251461988332</v>
      </c>
      <c r="DI223" s="545">
        <f t="shared" si="675"/>
        <v>112.21874999999997</v>
      </c>
      <c r="DJ223" s="528">
        <f t="shared" si="676"/>
        <v>0.21832358674463945</v>
      </c>
      <c r="DL223" s="173">
        <f t="shared" si="677"/>
        <v>0.78315600829804866</v>
      </c>
      <c r="DM223" s="173">
        <f t="shared" si="678"/>
        <v>1.3333333333333335</v>
      </c>
      <c r="DN223" s="173">
        <f t="shared" si="679"/>
        <v>1.064125</v>
      </c>
      <c r="DP223" s="545">
        <f t="shared" si="680"/>
        <v>70</v>
      </c>
      <c r="DQ223" s="460">
        <f t="shared" si="681"/>
        <v>112.21874999999997</v>
      </c>
      <c r="DS223">
        <f t="shared" si="682"/>
        <v>70</v>
      </c>
      <c r="DT223">
        <f t="shared" si="683"/>
        <v>112.21874999999997</v>
      </c>
      <c r="DV223" s="5">
        <f t="shared" si="684"/>
        <v>8.9111668059036511</v>
      </c>
      <c r="DW223" s="5">
        <f t="shared" si="685"/>
        <v>0.44444444444444453</v>
      </c>
      <c r="DX223" s="5">
        <f t="shared" si="686"/>
        <v>8.4667223614592064</v>
      </c>
      <c r="DY223" s="173">
        <f t="shared" si="687"/>
        <v>4.9874999999999996E-2</v>
      </c>
      <c r="EA223" s="5">
        <f t="shared" si="713"/>
        <v>0.18970189701897028</v>
      </c>
      <c r="EB223" s="5">
        <f t="shared" si="714"/>
        <v>9.7222222222222252E-2</v>
      </c>
      <c r="EC223" s="5">
        <f t="shared" si="715"/>
        <v>0.22499530719803623</v>
      </c>
      <c r="ED223" s="5"/>
      <c r="EE223" s="173">
        <f t="shared" si="716"/>
        <v>0.17191729277636839</v>
      </c>
      <c r="EF223" s="173">
        <f t="shared" si="717"/>
        <v>0.7503579392776738</v>
      </c>
      <c r="EG223" s="173">
        <f t="shared" si="718"/>
        <v>0.18409068524602901</v>
      </c>
      <c r="EH223" s="173"/>
      <c r="EI223" s="528">
        <f t="shared" si="719"/>
        <v>5.9111111111111126E-4</v>
      </c>
      <c r="EJ223" s="528">
        <f t="shared" si="720"/>
        <v>0.15890174999999995</v>
      </c>
      <c r="EK223" s="528">
        <f t="shared" si="721"/>
        <v>1.4027343749999997E-2</v>
      </c>
      <c r="EL223" s="528">
        <f t="shared" si="722"/>
        <v>3.1641310968749989E-2</v>
      </c>
      <c r="EM223">
        <f t="shared" si="723"/>
        <v>1.6199999999999999E-2</v>
      </c>
      <c r="EN223" s="460">
        <f t="shared" si="724"/>
        <v>30.227343749999996</v>
      </c>
      <c r="EP223" s="460">
        <f t="shared" si="725"/>
        <v>221.36151582986102</v>
      </c>
      <c r="EQ223" s="173">
        <f t="shared" si="726"/>
        <v>4.9000000000000002E-2</v>
      </c>
      <c r="ER223" s="173">
        <f t="shared" si="688"/>
        <v>7.765625E-3</v>
      </c>
      <c r="ES223" s="528"/>
      <c r="EU223" s="460">
        <f t="shared" si="727"/>
        <v>56.765625</v>
      </c>
      <c r="EV223" s="528">
        <f t="shared" si="728"/>
        <v>8.866666666666669E-4</v>
      </c>
      <c r="EW223" s="528">
        <f t="shared" si="729"/>
        <v>1.6891111111111117E-2</v>
      </c>
      <c r="EX223" s="528">
        <f t="shared" si="730"/>
        <v>1.694469019717626E-4</v>
      </c>
      <c r="EY223" s="528">
        <f t="shared" si="731"/>
        <v>1.3692426327475686E-2</v>
      </c>
      <c r="EZ223" s="528"/>
      <c r="FA223" s="625">
        <f t="shared" si="732"/>
        <v>9.9749999999999991E-4</v>
      </c>
      <c r="FB223" s="460">
        <f t="shared" si="733"/>
        <v>32.637151007225228</v>
      </c>
      <c r="FC223" s="173">
        <f t="shared" si="734"/>
        <v>0.3107642918370862</v>
      </c>
      <c r="FD223" s="5">
        <f t="shared" si="735"/>
        <v>1.2879999999999998</v>
      </c>
      <c r="FE223" s="173">
        <f t="shared" si="736"/>
        <v>0.80562219620254494</v>
      </c>
      <c r="FF223" s="5">
        <f t="shared" si="737"/>
        <v>80.562219620254496</v>
      </c>
      <c r="FG223">
        <f t="shared" si="738"/>
        <v>7.0000000000000009</v>
      </c>
      <c r="FI223" s="562">
        <f t="shared" si="689"/>
        <v>-50</v>
      </c>
    </row>
    <row r="224" spans="1:169">
      <c r="E224" s="170">
        <v>8</v>
      </c>
      <c r="F224" s="217">
        <f t="shared" si="690"/>
        <v>0.08</v>
      </c>
      <c r="G224" s="217">
        <f t="shared" si="617"/>
        <v>0.02</v>
      </c>
      <c r="H224" s="217">
        <f t="shared" si="618"/>
        <v>1.3119999999999998</v>
      </c>
      <c r="I224" s="217">
        <f t="shared" si="619"/>
        <v>0.16</v>
      </c>
      <c r="J224" s="541">
        <f t="shared" si="620"/>
        <v>35.955956297288054</v>
      </c>
      <c r="K224" s="443">
        <f t="shared" si="621"/>
        <v>17.119586365946599</v>
      </c>
      <c r="L224" s="172">
        <f t="shared" si="622"/>
        <v>53.075542663234657</v>
      </c>
      <c r="M224" s="443"/>
      <c r="N224" s="217">
        <f t="shared" si="623"/>
        <v>0.32255132038066392</v>
      </c>
      <c r="O224" s="172">
        <f t="shared" si="624"/>
        <v>34.456760025277397</v>
      </c>
      <c r="P224" s="172">
        <f t="shared" si="625"/>
        <v>4.7144882842437852</v>
      </c>
      <c r="Q224" s="217">
        <f t="shared" si="626"/>
        <v>2.1010219527608172</v>
      </c>
      <c r="R224" s="217">
        <f t="shared" si="627"/>
        <v>4.3070950031596746</v>
      </c>
      <c r="S224" s="217">
        <f t="shared" si="628"/>
        <v>16.399999999999999</v>
      </c>
      <c r="T224" s="217">
        <f t="shared" si="629"/>
        <v>0.25384472191378793</v>
      </c>
      <c r="U224" s="217">
        <f t="shared" si="630"/>
        <v>8.4718555050507918E-2</v>
      </c>
      <c r="V224" s="217">
        <f t="shared" si="631"/>
        <v>0.17793284240936297</v>
      </c>
      <c r="W224" s="197">
        <f t="shared" si="632"/>
        <v>350</v>
      </c>
      <c r="X224" s="443">
        <f t="shared" si="691"/>
        <v>350</v>
      </c>
      <c r="Z224" s="217">
        <f t="shared" si="633"/>
        <v>2.7613431379142166</v>
      </c>
      <c r="AA224" s="173">
        <f t="shared" si="634"/>
        <v>1.9355676560552457</v>
      </c>
      <c r="AB224" s="173">
        <f t="shared" si="635"/>
        <v>0.83366737796730317</v>
      </c>
      <c r="AC224" s="173"/>
      <c r="AD224" s="173">
        <f t="shared" si="636"/>
        <v>0.93460202004800652</v>
      </c>
      <c r="AE224" s="545">
        <f t="shared" si="637"/>
        <v>128.39689774459947</v>
      </c>
      <c r="AF224" s="528">
        <f t="shared" si="638"/>
        <v>0.21807380467786819</v>
      </c>
      <c r="AH224" s="173">
        <f t="shared" si="639"/>
        <v>0.83722898955565361</v>
      </c>
      <c r="AI224" s="173">
        <f t="shared" si="640"/>
        <v>1.3333333333333335</v>
      </c>
      <c r="AJ224" s="173">
        <f t="shared" si="641"/>
        <v>1.0733696558540569</v>
      </c>
      <c r="AL224" s="545">
        <f t="shared" si="642"/>
        <v>80</v>
      </c>
      <c r="AM224" s="460">
        <f t="shared" si="643"/>
        <v>128.39689774459947</v>
      </c>
      <c r="AO224">
        <f t="shared" si="644"/>
        <v>80</v>
      </c>
      <c r="AP224">
        <f t="shared" si="645"/>
        <v>128.39689774459947</v>
      </c>
      <c r="AR224" s="5">
        <f t="shared" si="616"/>
        <v>7.7883501670667208</v>
      </c>
      <c r="AS224" s="5">
        <f t="shared" si="604"/>
        <v>0.4449888599182325</v>
      </c>
      <c r="AT224" s="5">
        <f t="shared" si="605"/>
        <v>7.3433613071484887</v>
      </c>
      <c r="AU224" s="173">
        <f t="shared" si="606"/>
        <v>5.7135189144407197E-2</v>
      </c>
      <c r="BA224" s="173">
        <f t="shared" si="692"/>
        <v>0.18400513542657557</v>
      </c>
      <c r="BB224" s="173">
        <f t="shared" si="693"/>
        <v>0.74748558697090639</v>
      </c>
      <c r="BC224" s="173">
        <f t="shared" si="694"/>
        <v>0.18338599049071014</v>
      </c>
      <c r="BD224" s="173"/>
      <c r="BE224" s="528">
        <f t="shared" si="695"/>
        <v>6.7715779726704823E-4</v>
      </c>
      <c r="BF224" s="528">
        <f t="shared" si="646"/>
        <v>0.17036837560176171</v>
      </c>
      <c r="BG224" s="528">
        <f t="shared" si="647"/>
        <v>0.11541583110030455</v>
      </c>
      <c r="BH224" s="528">
        <f t="shared" si="696"/>
        <v>3.6169575950869157E-2</v>
      </c>
      <c r="BI224">
        <f t="shared" si="697"/>
        <v>1.6180180333779624E-2</v>
      </c>
      <c r="BJ224" s="460">
        <f t="shared" si="698"/>
        <v>131.59601143408418</v>
      </c>
      <c r="BK224">
        <f t="shared" si="648"/>
        <v>0.20743131613814941</v>
      </c>
      <c r="BL224" s="460">
        <f t="shared" si="699"/>
        <v>338.81112078398206</v>
      </c>
      <c r="BM224" s="173">
        <f t="shared" si="649"/>
        <v>4.9699999999999994E-2</v>
      </c>
      <c r="BN224" s="173">
        <f t="shared" si="650"/>
        <v>8.8749999999999992E-3</v>
      </c>
      <c r="BQ224" s="460">
        <f t="shared" si="700"/>
        <v>58.574999999999996</v>
      </c>
      <c r="BR224" s="528">
        <f t="shared" si="701"/>
        <v>1.0157366959005723E-3</v>
      </c>
      <c r="BS224" s="528">
        <f t="shared" si="702"/>
        <v>1.6762041081877212E-2</v>
      </c>
      <c r="BT224" s="528">
        <f t="shared" si="703"/>
        <v>1.6815210754129417E-4</v>
      </c>
      <c r="BU224" s="528">
        <f t="shared" si="704"/>
        <v>1.917357835264321E-2</v>
      </c>
      <c r="BV224" s="528"/>
      <c r="BW224" s="625">
        <f t="shared" si="705"/>
        <v>1.1413057577297733E-3</v>
      </c>
      <c r="BX224" s="460">
        <f t="shared" si="706"/>
        <v>38.260813995692054</v>
      </c>
      <c r="BY224" s="173">
        <f t="shared" si="707"/>
        <v>0.43564693477967414</v>
      </c>
      <c r="BZ224" s="5">
        <f t="shared" si="708"/>
        <v>1.4719999999999998</v>
      </c>
      <c r="CA224" s="173">
        <f t="shared" si="709"/>
        <v>0.77163125584871939</v>
      </c>
      <c r="CB224" s="5">
        <f t="shared" si="710"/>
        <v>77.163125584871935</v>
      </c>
      <c r="CC224">
        <f t="shared" si="711"/>
        <v>8</v>
      </c>
      <c r="CE224" s="562">
        <f t="shared" si="651"/>
        <v>-50</v>
      </c>
      <c r="CG224" s="173">
        <f t="shared" si="652"/>
        <v>0.12253421622690316</v>
      </c>
      <c r="CH224" s="173">
        <f t="shared" si="653"/>
        <v>4.360407996361905E-2</v>
      </c>
      <c r="CI224" s="170">
        <v>8</v>
      </c>
      <c r="CJ224" s="217">
        <f t="shared" si="712"/>
        <v>0.08</v>
      </c>
      <c r="CK224" s="217">
        <f t="shared" si="654"/>
        <v>0.02</v>
      </c>
      <c r="CL224" s="217">
        <f t="shared" si="655"/>
        <v>1.3119999999999998</v>
      </c>
      <c r="CM224" s="217">
        <f t="shared" si="656"/>
        <v>0.16</v>
      </c>
      <c r="CN224" s="541">
        <f t="shared" si="657"/>
        <v>36</v>
      </c>
      <c r="CO224" s="443">
        <f t="shared" si="658"/>
        <v>17.099999999999998</v>
      </c>
      <c r="CP224" s="443">
        <f t="shared" si="659"/>
        <v>53.099999999999994</v>
      </c>
      <c r="CQ224" s="443"/>
      <c r="CR224" s="217">
        <f t="shared" si="660"/>
        <v>0.31818181818181812</v>
      </c>
      <c r="CS224" s="172">
        <f t="shared" si="661"/>
        <v>34.031620553359687</v>
      </c>
      <c r="CT224" s="172">
        <f t="shared" si="662"/>
        <v>4.6563192904656319</v>
      </c>
      <c r="CU224" s="217">
        <f t="shared" si="663"/>
        <v>2.0750988142292495</v>
      </c>
      <c r="CV224" s="217">
        <f t="shared" si="664"/>
        <v>4.2539525691699609</v>
      </c>
      <c r="CW224" s="217">
        <f t="shared" si="665"/>
        <v>16.399999999999999</v>
      </c>
      <c r="CX224" s="217">
        <f t="shared" si="666"/>
        <v>0.25701587301587298</v>
      </c>
      <c r="CY224" s="217">
        <f t="shared" si="667"/>
        <v>8.5671957671957663E-2</v>
      </c>
      <c r="CZ224" s="217">
        <f t="shared" si="668"/>
        <v>0.18036201615148983</v>
      </c>
      <c r="DA224" s="197">
        <f t="shared" si="669"/>
        <v>350</v>
      </c>
      <c r="DB224" s="443">
        <f t="shared" si="670"/>
        <v>350</v>
      </c>
      <c r="DD224" s="217">
        <f t="shared" si="671"/>
        <v>2.7602905569007259</v>
      </c>
      <c r="DE224" s="173">
        <f t="shared" si="672"/>
        <v>1.937046004842615</v>
      </c>
      <c r="DF224" s="173">
        <f t="shared" si="673"/>
        <v>0.83398609309454497</v>
      </c>
      <c r="DG224" s="173"/>
      <c r="DH224" s="173">
        <f t="shared" si="674"/>
        <v>0.93567251461988332</v>
      </c>
      <c r="DI224" s="545">
        <f t="shared" si="675"/>
        <v>128.24999999999994</v>
      </c>
      <c r="DJ224" s="528">
        <f t="shared" si="676"/>
        <v>0.21832358674463945</v>
      </c>
      <c r="DL224" s="173">
        <f t="shared" si="677"/>
        <v>0.83722898955565361</v>
      </c>
      <c r="DM224" s="173">
        <f t="shared" si="678"/>
        <v>1.3333333333333335</v>
      </c>
      <c r="DN224" s="173">
        <f t="shared" si="679"/>
        <v>1.0732857142857142</v>
      </c>
      <c r="DP224" s="545">
        <f t="shared" si="680"/>
        <v>80</v>
      </c>
      <c r="DQ224" s="460">
        <f t="shared" si="681"/>
        <v>128.24999999999994</v>
      </c>
      <c r="DS224">
        <f t="shared" si="682"/>
        <v>80</v>
      </c>
      <c r="DT224">
        <f t="shared" si="683"/>
        <v>128.24999999999994</v>
      </c>
      <c r="DV224" s="5">
        <f t="shared" si="684"/>
        <v>7.7972709551656951</v>
      </c>
      <c r="DW224" s="5">
        <f t="shared" si="685"/>
        <v>0.44444444444444453</v>
      </c>
      <c r="DX224" s="5">
        <f t="shared" si="686"/>
        <v>7.3528265107212505</v>
      </c>
      <c r="DY224" s="173">
        <f t="shared" si="687"/>
        <v>5.6999999999999988E-2</v>
      </c>
      <c r="EA224" s="5">
        <f t="shared" si="713"/>
        <v>0.21680216802168029</v>
      </c>
      <c r="EB224" s="5">
        <f t="shared" si="714"/>
        <v>0.11111111111111113</v>
      </c>
      <c r="EC224" s="5">
        <f t="shared" si="715"/>
        <v>0.22330806439968234</v>
      </c>
      <c r="ED224" s="5"/>
      <c r="EE224" s="173">
        <f t="shared" si="716"/>
        <v>0.18378731669453627</v>
      </c>
      <c r="EF224" s="173">
        <f t="shared" si="717"/>
        <v>0.74753917276274895</v>
      </c>
      <c r="EG224" s="173">
        <f t="shared" si="718"/>
        <v>0.1833991370766572</v>
      </c>
      <c r="EH224" s="173"/>
      <c r="EI224" s="528">
        <f t="shared" si="719"/>
        <v>6.7555555555555533E-4</v>
      </c>
      <c r="EJ224" s="528">
        <f t="shared" si="720"/>
        <v>0.1816019999999999</v>
      </c>
      <c r="EK224" s="528">
        <f t="shared" si="721"/>
        <v>1.6031249999999993E-2</v>
      </c>
      <c r="EL224" s="528">
        <f t="shared" si="722"/>
        <v>3.6161498249999972E-2</v>
      </c>
      <c r="EM224">
        <f t="shared" si="723"/>
        <v>1.6199999999999999E-2</v>
      </c>
      <c r="EN224" s="460">
        <f t="shared" si="724"/>
        <v>32.231249999999989</v>
      </c>
      <c r="EP224" s="460">
        <f t="shared" si="725"/>
        <v>250.67030380555545</v>
      </c>
      <c r="EQ224" s="173">
        <f t="shared" si="726"/>
        <v>5.5999999999999994E-2</v>
      </c>
      <c r="ER224" s="173">
        <f t="shared" si="688"/>
        <v>8.8749999999999992E-3</v>
      </c>
      <c r="ES224" s="528"/>
      <c r="EU224" s="460">
        <f t="shared" si="727"/>
        <v>64.874999999999986</v>
      </c>
      <c r="EV224" s="528">
        <f t="shared" si="728"/>
        <v>1.0133333333333331E-3</v>
      </c>
      <c r="EW224" s="528">
        <f t="shared" si="729"/>
        <v>1.676444444444445E-2</v>
      </c>
      <c r="EX224" s="528">
        <f t="shared" si="730"/>
        <v>1.6817621740231249E-4</v>
      </c>
      <c r="EY224" s="528">
        <f t="shared" si="731"/>
        <v>1.9118784601210893E-2</v>
      </c>
      <c r="EZ224" s="528"/>
      <c r="FA224" s="625">
        <f t="shared" si="732"/>
        <v>1.1399999999999997E-3</v>
      </c>
      <c r="FB224" s="460">
        <f t="shared" si="733"/>
        <v>38.204738596390996</v>
      </c>
      <c r="FC224" s="173">
        <f t="shared" si="734"/>
        <v>0.35375004240194646</v>
      </c>
      <c r="FD224" s="5">
        <f t="shared" si="735"/>
        <v>1.4719999999999998</v>
      </c>
      <c r="FE224" s="173">
        <f t="shared" si="736"/>
        <v>0.80624399058670981</v>
      </c>
      <c r="FF224" s="5">
        <f t="shared" si="737"/>
        <v>80.624399058670974</v>
      </c>
      <c r="FG224">
        <f t="shared" si="738"/>
        <v>8</v>
      </c>
      <c r="FI224" s="562">
        <f t="shared" si="689"/>
        <v>-50</v>
      </c>
    </row>
    <row r="225" spans="5:165">
      <c r="E225" s="170">
        <v>9</v>
      </c>
      <c r="F225" s="217">
        <f t="shared" si="690"/>
        <v>0.09</v>
      </c>
      <c r="G225" s="217">
        <f t="shared" si="617"/>
        <v>2.2499999999999999E-2</v>
      </c>
      <c r="H225" s="217">
        <f t="shared" si="618"/>
        <v>1.4759999999999998</v>
      </c>
      <c r="I225" s="217">
        <f t="shared" si="619"/>
        <v>0.18</v>
      </c>
      <c r="J225" s="541">
        <f t="shared" si="620"/>
        <v>35.955956297288054</v>
      </c>
      <c r="K225" s="443">
        <f t="shared" si="621"/>
        <v>17.119586365946599</v>
      </c>
      <c r="L225" s="172">
        <f t="shared" si="622"/>
        <v>53.075542663234657</v>
      </c>
      <c r="M225" s="443"/>
      <c r="N225" s="217">
        <f t="shared" si="623"/>
        <v>0.32255132038066392</v>
      </c>
      <c r="O225" s="172">
        <f t="shared" si="624"/>
        <v>34.456760025277397</v>
      </c>
      <c r="P225" s="172">
        <f t="shared" si="625"/>
        <v>4.7144882842437852</v>
      </c>
      <c r="Q225" s="217">
        <f t="shared" si="626"/>
        <v>2.1010219527608172</v>
      </c>
      <c r="R225" s="217">
        <f t="shared" si="627"/>
        <v>4.3070950031596746</v>
      </c>
      <c r="S225" s="217">
        <f t="shared" si="628"/>
        <v>16.399999999999999</v>
      </c>
      <c r="T225" s="217">
        <f t="shared" si="629"/>
        <v>0.28557531215301141</v>
      </c>
      <c r="U225" s="217">
        <f t="shared" si="630"/>
        <v>9.5308374431821413E-2</v>
      </c>
      <c r="V225" s="217">
        <f t="shared" si="631"/>
        <v>0.20017444771053333</v>
      </c>
      <c r="W225" s="197">
        <f t="shared" si="632"/>
        <v>350</v>
      </c>
      <c r="X225" s="443">
        <f t="shared" si="691"/>
        <v>350</v>
      </c>
      <c r="Z225" s="217">
        <f t="shared" si="633"/>
        <v>2.7613431379142166</v>
      </c>
      <c r="AA225" s="173">
        <f t="shared" si="634"/>
        <v>1.9355676560552457</v>
      </c>
      <c r="AB225" s="173">
        <f t="shared" si="635"/>
        <v>0.83366737796730317</v>
      </c>
      <c r="AC225" s="173"/>
      <c r="AD225" s="173">
        <f t="shared" si="636"/>
        <v>0.93460202004800652</v>
      </c>
      <c r="AE225" s="545">
        <f t="shared" si="637"/>
        <v>144.44650996267441</v>
      </c>
      <c r="AF225" s="528">
        <f t="shared" si="638"/>
        <v>0.21807380467786819</v>
      </c>
      <c r="AH225" s="173">
        <f t="shared" si="639"/>
        <v>0.88801544388114573</v>
      </c>
      <c r="AI225" s="173">
        <f t="shared" si="640"/>
        <v>1.3333333333333335</v>
      </c>
      <c r="AJ225" s="173">
        <f t="shared" si="641"/>
        <v>1.082540862835814</v>
      </c>
      <c r="AL225" s="545">
        <f t="shared" si="642"/>
        <v>90</v>
      </c>
      <c r="AM225" s="460">
        <f t="shared" si="643"/>
        <v>144.44650996267441</v>
      </c>
      <c r="AO225">
        <f t="shared" si="644"/>
        <v>90</v>
      </c>
      <c r="AP225">
        <f t="shared" si="645"/>
        <v>144.44650996267441</v>
      </c>
      <c r="AR225" s="5">
        <f t="shared" si="616"/>
        <v>6.9229779262815292</v>
      </c>
      <c r="AS225" s="5">
        <f t="shared" si="604"/>
        <v>0.4449888599182325</v>
      </c>
      <c r="AT225" s="5">
        <f t="shared" si="605"/>
        <v>6.4779890663632971</v>
      </c>
      <c r="AU225" s="173">
        <f t="shared" si="606"/>
        <v>6.4277087787458109E-2</v>
      </c>
      <c r="BA225" s="173">
        <f t="shared" si="692"/>
        <v>0.19516691854992094</v>
      </c>
      <c r="BB225" s="173">
        <f t="shared" si="693"/>
        <v>0.74464922379353982</v>
      </c>
      <c r="BC225" s="173">
        <f t="shared" si="694"/>
        <v>0.18269012520616254</v>
      </c>
      <c r="BD225" s="173"/>
      <c r="BE225" s="528">
        <f t="shared" si="695"/>
        <v>7.6180252192542942E-4</v>
      </c>
      <c r="BF225" s="528">
        <f t="shared" si="646"/>
        <v>0.19166442255198193</v>
      </c>
      <c r="BG225" s="528">
        <f t="shared" si="647"/>
        <v>0.12984280998784262</v>
      </c>
      <c r="BH225" s="528">
        <f t="shared" si="696"/>
        <v>4.069077294472781E-2</v>
      </c>
      <c r="BI225">
        <f t="shared" si="697"/>
        <v>1.6180180333779624E-2</v>
      </c>
      <c r="BJ225" s="460">
        <f t="shared" si="698"/>
        <v>146.02299032162225</v>
      </c>
      <c r="BK225">
        <f t="shared" si="648"/>
        <v>0.23336492474955212</v>
      </c>
      <c r="BL225" s="460">
        <f t="shared" si="699"/>
        <v>379.13998834025739</v>
      </c>
      <c r="BM225" s="173">
        <f t="shared" si="649"/>
        <v>5.5912499999999997E-2</v>
      </c>
      <c r="BN225" s="173">
        <f t="shared" si="650"/>
        <v>9.9843749999999985E-3</v>
      </c>
      <c r="BQ225" s="460">
        <f t="shared" si="700"/>
        <v>65.896874999999994</v>
      </c>
      <c r="BR225" s="528">
        <f t="shared" si="701"/>
        <v>1.1427037828881442E-3</v>
      </c>
      <c r="BS225" s="528">
        <f t="shared" si="702"/>
        <v>1.6635073994889643E-2</v>
      </c>
      <c r="BT225" s="528">
        <f t="shared" si="703"/>
        <v>1.6687840923921676E-4</v>
      </c>
      <c r="BU225" s="528">
        <f t="shared" si="704"/>
        <v>2.5738573806890978E-2</v>
      </c>
      <c r="BV225" s="528"/>
      <c r="BW225" s="625">
        <f t="shared" si="705"/>
        <v>1.2839689774459949E-3</v>
      </c>
      <c r="BX225" s="460">
        <f t="shared" si="706"/>
        <v>44.96719897135398</v>
      </c>
      <c r="BY225" s="173">
        <f t="shared" si="707"/>
        <v>0.49000406231161137</v>
      </c>
      <c r="BZ225" s="5">
        <f t="shared" si="708"/>
        <v>1.6559999999999997</v>
      </c>
      <c r="CA225" s="173">
        <f t="shared" si="709"/>
        <v>0.77166675920277905</v>
      </c>
      <c r="CB225" s="5">
        <f t="shared" si="710"/>
        <v>77.16667592027791</v>
      </c>
      <c r="CC225">
        <f t="shared" si="711"/>
        <v>9</v>
      </c>
      <c r="CE225" s="562">
        <f t="shared" si="651"/>
        <v>-50</v>
      </c>
      <c r="CG225" s="173">
        <f t="shared" si="652"/>
        <v>0.13785099325526606</v>
      </c>
      <c r="CH225" s="173">
        <f t="shared" si="653"/>
        <v>4.9054589959071436E-2</v>
      </c>
      <c r="CI225" s="170">
        <v>9</v>
      </c>
      <c r="CJ225" s="217">
        <f t="shared" si="712"/>
        <v>0.09</v>
      </c>
      <c r="CK225" s="217">
        <f t="shared" si="654"/>
        <v>2.2499999999999999E-2</v>
      </c>
      <c r="CL225" s="217">
        <f t="shared" si="655"/>
        <v>1.4759999999999998</v>
      </c>
      <c r="CM225" s="217">
        <f t="shared" si="656"/>
        <v>0.18</v>
      </c>
      <c r="CN225" s="541">
        <f t="shared" si="657"/>
        <v>36</v>
      </c>
      <c r="CO225" s="443">
        <f t="shared" si="658"/>
        <v>17.099999999999998</v>
      </c>
      <c r="CP225" s="443">
        <f t="shared" si="659"/>
        <v>53.099999999999994</v>
      </c>
      <c r="CQ225" s="443"/>
      <c r="CR225" s="217">
        <f t="shared" si="660"/>
        <v>0.31818181818181812</v>
      </c>
      <c r="CS225" s="172">
        <f t="shared" si="661"/>
        <v>34.031620553359687</v>
      </c>
      <c r="CT225" s="172">
        <f t="shared" si="662"/>
        <v>4.6563192904656319</v>
      </c>
      <c r="CU225" s="217">
        <f t="shared" si="663"/>
        <v>2.0750988142292495</v>
      </c>
      <c r="CV225" s="217">
        <f t="shared" si="664"/>
        <v>4.2539525691699609</v>
      </c>
      <c r="CW225" s="217">
        <f t="shared" si="665"/>
        <v>16.399999999999999</v>
      </c>
      <c r="CX225" s="217">
        <f t="shared" si="666"/>
        <v>0.28914285714285715</v>
      </c>
      <c r="CY225" s="217">
        <f t="shared" si="667"/>
        <v>9.6380952380952387E-2</v>
      </c>
      <c r="CZ225" s="217">
        <f t="shared" si="668"/>
        <v>0.20290726817042609</v>
      </c>
      <c r="DA225" s="197">
        <f t="shared" si="669"/>
        <v>350</v>
      </c>
      <c r="DB225" s="443">
        <f t="shared" si="670"/>
        <v>350</v>
      </c>
      <c r="DD225" s="217">
        <f t="shared" si="671"/>
        <v>2.7602905569007259</v>
      </c>
      <c r="DE225" s="173">
        <f t="shared" si="672"/>
        <v>1.937046004842615</v>
      </c>
      <c r="DF225" s="173">
        <f t="shared" si="673"/>
        <v>0.83398609309454497</v>
      </c>
      <c r="DG225" s="173"/>
      <c r="DH225" s="173">
        <f t="shared" si="674"/>
        <v>0.93567251461988332</v>
      </c>
      <c r="DI225" s="545">
        <f t="shared" si="675"/>
        <v>144.28124999999994</v>
      </c>
      <c r="DJ225" s="528">
        <f t="shared" si="676"/>
        <v>0.21832358674463945</v>
      </c>
      <c r="DL225" s="173">
        <f t="shared" si="677"/>
        <v>0.88801544388114573</v>
      </c>
      <c r="DM225" s="173">
        <f t="shared" si="678"/>
        <v>1.3333333333333335</v>
      </c>
      <c r="DN225" s="173">
        <f t="shared" si="679"/>
        <v>1.0824464285714286</v>
      </c>
      <c r="DP225" s="545">
        <f t="shared" si="680"/>
        <v>90</v>
      </c>
      <c r="DQ225" s="460">
        <f t="shared" si="681"/>
        <v>144.28124999999994</v>
      </c>
      <c r="DS225">
        <f t="shared" si="682"/>
        <v>90</v>
      </c>
      <c r="DT225">
        <f t="shared" si="683"/>
        <v>144.28124999999994</v>
      </c>
      <c r="DV225" s="5">
        <f t="shared" si="684"/>
        <v>6.9309075157028399</v>
      </c>
      <c r="DW225" s="5">
        <f t="shared" si="685"/>
        <v>0.44444444444444453</v>
      </c>
      <c r="DX225" s="5">
        <f t="shared" si="686"/>
        <v>6.4864630712583953</v>
      </c>
      <c r="DY225" s="173">
        <f t="shared" si="687"/>
        <v>6.4124999999999988E-2</v>
      </c>
      <c r="EA225" s="5">
        <f t="shared" si="713"/>
        <v>0.24390243902439032</v>
      </c>
      <c r="EB225" s="5">
        <f t="shared" si="714"/>
        <v>0.12500000000000003</v>
      </c>
      <c r="EC225" s="5">
        <f t="shared" si="715"/>
        <v>0.22162082160132843</v>
      </c>
      <c r="ED225" s="5"/>
      <c r="EE225" s="173">
        <f t="shared" si="716"/>
        <v>0.19493588689617927</v>
      </c>
      <c r="EF225" s="173">
        <f t="shared" si="717"/>
        <v>0.74470973714098343</v>
      </c>
      <c r="EG225" s="173">
        <f t="shared" si="718"/>
        <v>0.1827049713789213</v>
      </c>
      <c r="EH225" s="173"/>
      <c r="EI225" s="528">
        <f t="shared" si="719"/>
        <v>7.6000000000000004E-4</v>
      </c>
      <c r="EJ225" s="528">
        <f t="shared" si="720"/>
        <v>0.20430224999999994</v>
      </c>
      <c r="EK225" s="528">
        <f t="shared" si="721"/>
        <v>1.8035156249999993E-2</v>
      </c>
      <c r="EL225" s="528">
        <f t="shared" si="722"/>
        <v>4.0681685531249977E-2</v>
      </c>
      <c r="EM225">
        <f t="shared" si="723"/>
        <v>1.6199999999999999E-2</v>
      </c>
      <c r="EN225" s="460">
        <f t="shared" si="724"/>
        <v>34.235156249999996</v>
      </c>
      <c r="EP225" s="460">
        <f t="shared" si="725"/>
        <v>279.97909178124991</v>
      </c>
      <c r="EQ225" s="173">
        <f t="shared" si="726"/>
        <v>6.3E-2</v>
      </c>
      <c r="ER225" s="173">
        <f t="shared" si="688"/>
        <v>9.9843749999999985E-3</v>
      </c>
      <c r="ES225" s="528"/>
      <c r="EU225" s="460">
        <f t="shared" si="727"/>
        <v>72.984375</v>
      </c>
      <c r="EV225" s="528">
        <f t="shared" si="728"/>
        <v>1.14E-3</v>
      </c>
      <c r="EW225" s="528">
        <f t="shared" si="729"/>
        <v>1.6637777777777779E-2</v>
      </c>
      <c r="EX225" s="528">
        <f t="shared" si="730"/>
        <v>1.6690553283286229E-4</v>
      </c>
      <c r="EY225" s="528">
        <f t="shared" si="731"/>
        <v>2.5665018782916969E-2</v>
      </c>
      <c r="EZ225" s="528"/>
      <c r="FA225" s="625">
        <f t="shared" si="732"/>
        <v>1.2824999999999996E-3</v>
      </c>
      <c r="FB225" s="460">
        <f t="shared" si="733"/>
        <v>44.892202093527608</v>
      </c>
      <c r="FC225" s="173">
        <f t="shared" si="734"/>
        <v>0.39785566887477758</v>
      </c>
      <c r="FD225" s="5">
        <f t="shared" si="735"/>
        <v>1.6559999999999997</v>
      </c>
      <c r="FE225" s="173">
        <f t="shared" si="736"/>
        <v>0.80628839947027708</v>
      </c>
      <c r="FF225" s="5">
        <f t="shared" si="737"/>
        <v>80.628839947027714</v>
      </c>
      <c r="FG225">
        <f t="shared" si="738"/>
        <v>9</v>
      </c>
      <c r="FI225" s="562">
        <f t="shared" si="689"/>
        <v>-50</v>
      </c>
    </row>
    <row r="226" spans="5:165">
      <c r="E226" s="170">
        <v>10</v>
      </c>
      <c r="F226" s="217">
        <f t="shared" si="690"/>
        <v>0.1</v>
      </c>
      <c r="G226" s="217">
        <f t="shared" si="617"/>
        <v>2.5000000000000001E-2</v>
      </c>
      <c r="H226" s="217">
        <f t="shared" si="618"/>
        <v>1.64</v>
      </c>
      <c r="I226" s="217">
        <f t="shared" si="619"/>
        <v>0.2</v>
      </c>
      <c r="J226" s="541">
        <f t="shared" si="620"/>
        <v>35.955956297288054</v>
      </c>
      <c r="K226" s="443">
        <f t="shared" si="621"/>
        <v>17.119586365946599</v>
      </c>
      <c r="L226" s="172">
        <f t="shared" si="622"/>
        <v>53.075542663234657</v>
      </c>
      <c r="M226" s="443"/>
      <c r="N226" s="217">
        <f t="shared" si="623"/>
        <v>0.32255132038066392</v>
      </c>
      <c r="O226" s="172">
        <f t="shared" si="624"/>
        <v>34.456760025277397</v>
      </c>
      <c r="P226" s="172">
        <f t="shared" si="625"/>
        <v>4.7144882842437852</v>
      </c>
      <c r="Q226" s="217">
        <f t="shared" si="626"/>
        <v>2.1010219527608172</v>
      </c>
      <c r="R226" s="217">
        <f t="shared" si="627"/>
        <v>4.3070950031596746</v>
      </c>
      <c r="S226" s="217">
        <f t="shared" si="628"/>
        <v>16.399999999999999</v>
      </c>
      <c r="T226" s="217">
        <f t="shared" si="629"/>
        <v>0.31730590239223494</v>
      </c>
      <c r="U226" s="217">
        <f t="shared" si="630"/>
        <v>0.10589819381313492</v>
      </c>
      <c r="V226" s="217">
        <f t="shared" si="631"/>
        <v>0.22241605301170375</v>
      </c>
      <c r="W226" s="197">
        <f t="shared" si="632"/>
        <v>350</v>
      </c>
      <c r="X226" s="443">
        <f t="shared" si="691"/>
        <v>350</v>
      </c>
      <c r="Z226" s="217">
        <f t="shared" si="633"/>
        <v>2.7613431379142166</v>
      </c>
      <c r="AA226" s="173">
        <f t="shared" si="634"/>
        <v>1.9355676560552457</v>
      </c>
      <c r="AB226" s="173">
        <f t="shared" si="635"/>
        <v>0.83366737796730317</v>
      </c>
      <c r="AC226" s="173"/>
      <c r="AD226" s="173">
        <f t="shared" si="636"/>
        <v>0.93460202004800652</v>
      </c>
      <c r="AE226" s="545">
        <f t="shared" si="637"/>
        <v>160.49612218074935</v>
      </c>
      <c r="AF226" s="528">
        <f t="shared" si="638"/>
        <v>0.21807380467786819</v>
      </c>
      <c r="AH226" s="173">
        <f t="shared" si="639"/>
        <v>0.93605046668995151</v>
      </c>
      <c r="AI226" s="173">
        <f t="shared" si="640"/>
        <v>1.3333333333333335</v>
      </c>
      <c r="AJ226" s="173">
        <f t="shared" si="641"/>
        <v>1.0917120698175711</v>
      </c>
      <c r="AL226" s="545">
        <f t="shared" si="642"/>
        <v>100</v>
      </c>
      <c r="AM226" s="460">
        <f t="shared" si="643"/>
        <v>160.49612218074935</v>
      </c>
      <c r="AO226">
        <f t="shared" si="644"/>
        <v>100</v>
      </c>
      <c r="AP226">
        <f t="shared" si="645"/>
        <v>160.49612218074935</v>
      </c>
      <c r="AR226" s="5">
        <f t="shared" si="616"/>
        <v>6.2306801336533759</v>
      </c>
      <c r="AS226" s="5">
        <f t="shared" si="604"/>
        <v>0.4449888599182325</v>
      </c>
      <c r="AT226" s="5">
        <f t="shared" si="605"/>
        <v>5.7856912737351438</v>
      </c>
      <c r="AU226" s="173">
        <f t="shared" si="606"/>
        <v>7.1418986430509007E-2</v>
      </c>
      <c r="BA226" s="173">
        <f t="shared" si="692"/>
        <v>0.20572399551143888</v>
      </c>
      <c r="BB226" s="173">
        <f t="shared" si="693"/>
        <v>0.7418020155428281</v>
      </c>
      <c r="BC226" s="173">
        <f t="shared" si="694"/>
        <v>0.18199159922212854</v>
      </c>
      <c r="BD226" s="173"/>
      <c r="BE226" s="528">
        <f t="shared" si="695"/>
        <v>8.4644724658381051E-4</v>
      </c>
      <c r="BF226" s="528">
        <f t="shared" si="646"/>
        <v>0.21296046950220215</v>
      </c>
      <c r="BG226" s="528">
        <f t="shared" si="647"/>
        <v>0.14426978887538069</v>
      </c>
      <c r="BH226" s="528">
        <f t="shared" si="696"/>
        <v>4.5211969938586449E-2</v>
      </c>
      <c r="BI226">
        <f t="shared" si="697"/>
        <v>1.6180180333779624E-2</v>
      </c>
      <c r="BJ226" s="460">
        <f t="shared" si="698"/>
        <v>160.44996920916032</v>
      </c>
      <c r="BK226">
        <f t="shared" si="648"/>
        <v>0.25929957670281717</v>
      </c>
      <c r="BL226" s="460">
        <f t="shared" si="699"/>
        <v>419.46885589653272</v>
      </c>
      <c r="BM226" s="173">
        <f t="shared" si="649"/>
        <v>6.2124999999999993E-2</v>
      </c>
      <c r="BN226" s="173">
        <f t="shared" si="650"/>
        <v>1.1093749999999999E-2</v>
      </c>
      <c r="BQ226" s="460">
        <f t="shared" si="700"/>
        <v>73.21875</v>
      </c>
      <c r="BR226" s="528">
        <f t="shared" si="701"/>
        <v>1.2696708698757156E-3</v>
      </c>
      <c r="BS226" s="528">
        <f t="shared" si="702"/>
        <v>1.6508106907902064E-2</v>
      </c>
      <c r="BT226" s="528">
        <f t="shared" si="703"/>
        <v>1.6560471093713929E-4</v>
      </c>
      <c r="BU226" s="528">
        <f t="shared" si="704"/>
        <v>3.3494862944084866E-2</v>
      </c>
      <c r="BV226" s="528"/>
      <c r="BW226" s="625">
        <f t="shared" si="705"/>
        <v>1.4266321971622166E-3</v>
      </c>
      <c r="BX226" s="460">
        <f t="shared" si="706"/>
        <v>52.864877629962002</v>
      </c>
      <c r="BY226" s="173">
        <f t="shared" si="707"/>
        <v>0.54555248352649477</v>
      </c>
      <c r="BZ226" s="5">
        <f t="shared" si="708"/>
        <v>1.8399999999999999</v>
      </c>
      <c r="CA226" s="173">
        <f t="shared" si="709"/>
        <v>0.77130979624475926</v>
      </c>
      <c r="CB226" s="5">
        <f t="shared" si="710"/>
        <v>77.130979624475927</v>
      </c>
      <c r="CC226">
        <f t="shared" si="711"/>
        <v>10</v>
      </c>
      <c r="CE226" s="562">
        <f t="shared" si="651"/>
        <v>-50</v>
      </c>
      <c r="CG226" s="173">
        <f t="shared" si="652"/>
        <v>0.15316777028362896</v>
      </c>
      <c r="CH226" s="173">
        <f t="shared" si="653"/>
        <v>5.4505099954523815E-2</v>
      </c>
      <c r="CI226" s="170">
        <v>10</v>
      </c>
      <c r="CJ226" s="217">
        <f t="shared" si="712"/>
        <v>0.1</v>
      </c>
      <c r="CK226" s="217">
        <f t="shared" si="654"/>
        <v>2.5000000000000001E-2</v>
      </c>
      <c r="CL226" s="217">
        <f t="shared" si="655"/>
        <v>1.64</v>
      </c>
      <c r="CM226" s="217">
        <f t="shared" si="656"/>
        <v>0.2</v>
      </c>
      <c r="CN226" s="541">
        <f t="shared" si="657"/>
        <v>36</v>
      </c>
      <c r="CO226" s="443">
        <f t="shared" si="658"/>
        <v>17.099999999999998</v>
      </c>
      <c r="CP226" s="443">
        <f t="shared" si="659"/>
        <v>53.099999999999994</v>
      </c>
      <c r="CQ226" s="443"/>
      <c r="CR226" s="217">
        <f t="shared" si="660"/>
        <v>0.31818181818181812</v>
      </c>
      <c r="CS226" s="172">
        <f t="shared" si="661"/>
        <v>34.031620553359687</v>
      </c>
      <c r="CT226" s="172">
        <f t="shared" si="662"/>
        <v>4.6563192904656319</v>
      </c>
      <c r="CU226" s="217">
        <f t="shared" si="663"/>
        <v>2.0750988142292495</v>
      </c>
      <c r="CV226" s="217">
        <f t="shared" si="664"/>
        <v>4.2539525691699609</v>
      </c>
      <c r="CW226" s="217">
        <f t="shared" si="665"/>
        <v>16.399999999999999</v>
      </c>
      <c r="CX226" s="217">
        <f t="shared" si="666"/>
        <v>0.32126984126984126</v>
      </c>
      <c r="CY226" s="217">
        <f t="shared" si="667"/>
        <v>0.1070899470899471</v>
      </c>
      <c r="CZ226" s="217">
        <f t="shared" si="668"/>
        <v>0.22545252018936235</v>
      </c>
      <c r="DA226" s="197">
        <f t="shared" si="669"/>
        <v>350</v>
      </c>
      <c r="DB226" s="443">
        <f t="shared" si="670"/>
        <v>350</v>
      </c>
      <c r="DD226" s="217">
        <f t="shared" si="671"/>
        <v>2.7602905569007259</v>
      </c>
      <c r="DE226" s="173">
        <f t="shared" si="672"/>
        <v>1.937046004842615</v>
      </c>
      <c r="DF226" s="173">
        <f t="shared" si="673"/>
        <v>0.83398609309454497</v>
      </c>
      <c r="DG226" s="173"/>
      <c r="DH226" s="173">
        <f t="shared" si="674"/>
        <v>0.93567251461988332</v>
      </c>
      <c r="DI226" s="545">
        <f t="shared" si="675"/>
        <v>160.31249999999994</v>
      </c>
      <c r="DJ226" s="528">
        <f t="shared" si="676"/>
        <v>0.21832358674463945</v>
      </c>
      <c r="DL226" s="173">
        <f t="shared" si="677"/>
        <v>0.93605046668995151</v>
      </c>
      <c r="DM226" s="173">
        <f t="shared" si="678"/>
        <v>1.3333333333333335</v>
      </c>
      <c r="DN226" s="173">
        <f t="shared" si="679"/>
        <v>1.0916071428571428</v>
      </c>
      <c r="DP226" s="545">
        <f t="shared" si="680"/>
        <v>100</v>
      </c>
      <c r="DQ226" s="460">
        <f t="shared" si="681"/>
        <v>160.31249999999994</v>
      </c>
      <c r="DS226">
        <f t="shared" si="682"/>
        <v>100</v>
      </c>
      <c r="DT226">
        <f t="shared" si="683"/>
        <v>160.31249999999994</v>
      </c>
      <c r="DV226" s="5">
        <f t="shared" si="684"/>
        <v>6.2378167641325559</v>
      </c>
      <c r="DW226" s="5">
        <f t="shared" si="685"/>
        <v>0.44444444444444453</v>
      </c>
      <c r="DX226" s="5">
        <f t="shared" si="686"/>
        <v>5.7933723196881113</v>
      </c>
      <c r="DY226" s="173">
        <f t="shared" si="687"/>
        <v>7.1249999999999994E-2</v>
      </c>
      <c r="EA226" s="5">
        <f t="shared" si="713"/>
        <v>0.27100271002710036</v>
      </c>
      <c r="EB226" s="5">
        <f t="shared" si="714"/>
        <v>0.13888888888888892</v>
      </c>
      <c r="EC226" s="5">
        <f t="shared" si="715"/>
        <v>0.21993357880297451</v>
      </c>
      <c r="ED226" s="5"/>
      <c r="EE226" s="173">
        <f t="shared" si="716"/>
        <v>0.20548046676563256</v>
      </c>
      <c r="EF226" s="173">
        <f t="shared" si="717"/>
        <v>0.74186951033882675</v>
      </c>
      <c r="EG226" s="173">
        <f t="shared" si="718"/>
        <v>0.18200815820364327</v>
      </c>
      <c r="EH226" s="173"/>
      <c r="EI226" s="528">
        <f t="shared" si="719"/>
        <v>8.4444444444444454E-4</v>
      </c>
      <c r="EJ226" s="528">
        <f t="shared" si="720"/>
        <v>0.22700249999999994</v>
      </c>
      <c r="EK226" s="528">
        <f t="shared" si="721"/>
        <v>2.0039062499999993E-2</v>
      </c>
      <c r="EL226" s="528">
        <f t="shared" si="722"/>
        <v>4.5201872812499974E-2</v>
      </c>
      <c r="EM226">
        <f t="shared" si="723"/>
        <v>1.6199999999999999E-2</v>
      </c>
      <c r="EN226" s="460">
        <f t="shared" si="724"/>
        <v>36.239062499999989</v>
      </c>
      <c r="EP226" s="460">
        <f t="shared" si="725"/>
        <v>309.28787975694433</v>
      </c>
      <c r="EQ226" s="173">
        <f t="shared" si="726"/>
        <v>6.9999999999999993E-2</v>
      </c>
      <c r="ER226" s="173">
        <f t="shared" si="688"/>
        <v>1.1093749999999999E-2</v>
      </c>
      <c r="ES226" s="528"/>
      <c r="EU226" s="460">
        <f t="shared" si="727"/>
        <v>81.093749999999986</v>
      </c>
      <c r="EV226" s="528">
        <f t="shared" si="728"/>
        <v>1.2666666666666666E-3</v>
      </c>
      <c r="EW226" s="528">
        <f t="shared" si="729"/>
        <v>1.6511111111111119E-2</v>
      </c>
      <c r="EX226" s="528">
        <f t="shared" si="730"/>
        <v>1.6563484826341218E-4</v>
      </c>
      <c r="EY226" s="528">
        <f t="shared" si="731"/>
        <v>3.3399142199596735E-2</v>
      </c>
      <c r="EZ226" s="528"/>
      <c r="FA226" s="625">
        <f t="shared" si="732"/>
        <v>1.4249999999999996E-3</v>
      </c>
      <c r="FB226" s="460">
        <f t="shared" si="733"/>
        <v>52.767554825637937</v>
      </c>
      <c r="FC226" s="173">
        <f t="shared" si="734"/>
        <v>0.44314918458258235</v>
      </c>
      <c r="FD226" s="5">
        <f t="shared" si="735"/>
        <v>1.8399999999999999</v>
      </c>
      <c r="FE226" s="173">
        <f t="shared" si="736"/>
        <v>0.80590441151413361</v>
      </c>
      <c r="FF226" s="5">
        <f t="shared" si="737"/>
        <v>80.590441151413359</v>
      </c>
      <c r="FG226">
        <f t="shared" si="738"/>
        <v>10</v>
      </c>
      <c r="FI226" s="562">
        <f t="shared" si="689"/>
        <v>-50</v>
      </c>
    </row>
    <row r="227" spans="5:165">
      <c r="E227" s="170">
        <v>11</v>
      </c>
      <c r="F227" s="217">
        <f t="shared" si="690"/>
        <v>0.11</v>
      </c>
      <c r="G227" s="217">
        <f t="shared" si="617"/>
        <v>2.75E-2</v>
      </c>
      <c r="H227" s="217">
        <f t="shared" si="618"/>
        <v>1.8039999999999998</v>
      </c>
      <c r="I227" s="217">
        <f t="shared" si="619"/>
        <v>0.22</v>
      </c>
      <c r="J227" s="541">
        <f t="shared" si="620"/>
        <v>35.955956297288054</v>
      </c>
      <c r="K227" s="443">
        <f t="shared" si="621"/>
        <v>17.119586365946599</v>
      </c>
      <c r="L227" s="172">
        <f t="shared" si="622"/>
        <v>53.075542663234657</v>
      </c>
      <c r="M227" s="443"/>
      <c r="N227" s="217">
        <f t="shared" si="623"/>
        <v>0.32255132038066392</v>
      </c>
      <c r="O227" s="172">
        <f t="shared" si="624"/>
        <v>34.456760025277397</v>
      </c>
      <c r="P227" s="172">
        <f t="shared" si="625"/>
        <v>4.7144882842437852</v>
      </c>
      <c r="Q227" s="217">
        <f t="shared" si="626"/>
        <v>2.1010219527608172</v>
      </c>
      <c r="R227" s="217">
        <f t="shared" si="627"/>
        <v>4.3070950031596746</v>
      </c>
      <c r="S227" s="217">
        <f t="shared" si="628"/>
        <v>16.399999999999999</v>
      </c>
      <c r="T227" s="217">
        <f t="shared" si="629"/>
        <v>0.34903649263145847</v>
      </c>
      <c r="U227" s="217">
        <f t="shared" si="630"/>
        <v>0.11648801319444842</v>
      </c>
      <c r="V227" s="217">
        <f t="shared" si="631"/>
        <v>0.24465765831287412</v>
      </c>
      <c r="W227" s="197">
        <f t="shared" si="632"/>
        <v>350</v>
      </c>
      <c r="X227" s="443">
        <f t="shared" si="691"/>
        <v>350</v>
      </c>
      <c r="Z227" s="217">
        <f t="shared" si="633"/>
        <v>2.7613431379142166</v>
      </c>
      <c r="AA227" s="173">
        <f t="shared" si="634"/>
        <v>1.9355676560552457</v>
      </c>
      <c r="AB227" s="173">
        <f t="shared" si="635"/>
        <v>0.83366737796730317</v>
      </c>
      <c r="AC227" s="173"/>
      <c r="AD227" s="173">
        <f t="shared" si="636"/>
        <v>0.93460202004800652</v>
      </c>
      <c r="AE227" s="545">
        <f t="shared" si="637"/>
        <v>176.54573439882424</v>
      </c>
      <c r="AF227" s="528">
        <f t="shared" si="638"/>
        <v>0.21807380467786819</v>
      </c>
      <c r="AH227" s="173">
        <f t="shared" si="639"/>
        <v>0.98173801179822096</v>
      </c>
      <c r="AI227" s="173">
        <f t="shared" si="640"/>
        <v>1.3333333333333335</v>
      </c>
      <c r="AJ227" s="173">
        <f t="shared" si="641"/>
        <v>1.1008832767993282</v>
      </c>
      <c r="AL227" s="545">
        <f t="shared" si="642"/>
        <v>110</v>
      </c>
      <c r="AM227" s="460">
        <f t="shared" si="643"/>
        <v>176.54573439882424</v>
      </c>
      <c r="AO227">
        <f t="shared" si="644"/>
        <v>110</v>
      </c>
      <c r="AP227">
        <f t="shared" si="645"/>
        <v>176.54573439882424</v>
      </c>
      <c r="AR227" s="5">
        <f t="shared" si="616"/>
        <v>5.6642546669576168</v>
      </c>
      <c r="AS227" s="5">
        <f t="shared" si="604"/>
        <v>0.4449888599182325</v>
      </c>
      <c r="AT227" s="5">
        <f t="shared" si="605"/>
        <v>5.2192658070393847</v>
      </c>
      <c r="AU227" s="173">
        <f t="shared" si="606"/>
        <v>7.8560885073559877E-2</v>
      </c>
      <c r="BA227" s="173">
        <f t="shared" si="692"/>
        <v>0.21576514677331363</v>
      </c>
      <c r="BB227" s="173">
        <f t="shared" si="693"/>
        <v>0.7389438368580411</v>
      </c>
      <c r="BC227" s="173">
        <f t="shared" si="694"/>
        <v>0.1812903817829627</v>
      </c>
      <c r="BD227" s="173"/>
      <c r="BE227" s="528">
        <f t="shared" si="695"/>
        <v>9.3109197124219137E-4</v>
      </c>
      <c r="BF227" s="528">
        <f t="shared" si="646"/>
        <v>0.23425651645242229</v>
      </c>
      <c r="BG227" s="528">
        <f t="shared" si="647"/>
        <v>0.15869676776291872</v>
      </c>
      <c r="BH227" s="528">
        <f t="shared" si="696"/>
        <v>4.9733166932445082E-2</v>
      </c>
      <c r="BI227">
        <f t="shared" si="697"/>
        <v>1.6180180333779624E-2</v>
      </c>
      <c r="BJ227" s="460">
        <f t="shared" si="698"/>
        <v>174.87694809669836</v>
      </c>
      <c r="BK227">
        <f t="shared" si="648"/>
        <v>0.28523527206090826</v>
      </c>
      <c r="BL227" s="460">
        <f t="shared" si="699"/>
        <v>459.79772345280787</v>
      </c>
      <c r="BM227" s="173">
        <f t="shared" si="649"/>
        <v>6.8337499999999995E-2</v>
      </c>
      <c r="BN227" s="173">
        <f t="shared" si="650"/>
        <v>1.2203124999999999E-2</v>
      </c>
      <c r="BQ227" s="460">
        <f t="shared" si="700"/>
        <v>80.540624999999991</v>
      </c>
      <c r="BR227" s="528">
        <f t="shared" si="701"/>
        <v>1.396637956863287E-3</v>
      </c>
      <c r="BS227" s="528">
        <f t="shared" si="702"/>
        <v>1.6381139820914496E-2</v>
      </c>
      <c r="BT227" s="528">
        <f t="shared" si="703"/>
        <v>1.6433101263506187E-4</v>
      </c>
      <c r="BU227" s="528">
        <f t="shared" si="704"/>
        <v>4.2506947435043324E-2</v>
      </c>
      <c r="BV227" s="528"/>
      <c r="BW227" s="625">
        <f t="shared" si="705"/>
        <v>1.5692954168784379E-3</v>
      </c>
      <c r="BX227" s="460">
        <f t="shared" si="706"/>
        <v>62.018351642334608</v>
      </c>
      <c r="BY227" s="173">
        <f t="shared" si="707"/>
        <v>0.60235670009514242</v>
      </c>
      <c r="BZ227" s="5">
        <f t="shared" si="708"/>
        <v>2.024</v>
      </c>
      <c r="CA227" s="173">
        <f t="shared" si="709"/>
        <v>0.77064931809402692</v>
      </c>
      <c r="CB227" s="5">
        <f t="shared" si="710"/>
        <v>77.064931809402694</v>
      </c>
      <c r="CC227">
        <f t="shared" si="711"/>
        <v>11</v>
      </c>
      <c r="CE227" s="562">
        <f t="shared" si="651"/>
        <v>-50</v>
      </c>
      <c r="CG227" s="173">
        <f t="shared" si="652"/>
        <v>0.16848454731199186</v>
      </c>
      <c r="CH227" s="173">
        <f t="shared" si="653"/>
        <v>5.9955609949976195E-2</v>
      </c>
      <c r="CI227" s="170">
        <v>11</v>
      </c>
      <c r="CJ227" s="217">
        <f t="shared" si="712"/>
        <v>0.11</v>
      </c>
      <c r="CK227" s="217">
        <f t="shared" si="654"/>
        <v>2.75E-2</v>
      </c>
      <c r="CL227" s="217">
        <f t="shared" si="655"/>
        <v>1.8039999999999998</v>
      </c>
      <c r="CM227" s="217">
        <f t="shared" si="656"/>
        <v>0.22</v>
      </c>
      <c r="CN227" s="541">
        <f t="shared" si="657"/>
        <v>36</v>
      </c>
      <c r="CO227" s="443">
        <f t="shared" si="658"/>
        <v>17.099999999999998</v>
      </c>
      <c r="CP227" s="443">
        <f t="shared" si="659"/>
        <v>53.099999999999994</v>
      </c>
      <c r="CQ227" s="443"/>
      <c r="CR227" s="217">
        <f t="shared" si="660"/>
        <v>0.31818181818181812</v>
      </c>
      <c r="CS227" s="172">
        <f t="shared" si="661"/>
        <v>34.031620553359687</v>
      </c>
      <c r="CT227" s="172">
        <f t="shared" si="662"/>
        <v>4.6563192904656319</v>
      </c>
      <c r="CU227" s="217">
        <f t="shared" si="663"/>
        <v>2.0750988142292495</v>
      </c>
      <c r="CV227" s="217">
        <f t="shared" si="664"/>
        <v>4.2539525691699609</v>
      </c>
      <c r="CW227" s="217">
        <f t="shared" si="665"/>
        <v>16.399999999999999</v>
      </c>
      <c r="CX227" s="217">
        <f t="shared" si="666"/>
        <v>0.35339682539682543</v>
      </c>
      <c r="CY227" s="217">
        <f t="shared" si="667"/>
        <v>0.11779894179894181</v>
      </c>
      <c r="CZ227" s="217">
        <f t="shared" si="668"/>
        <v>0.24799777220829861</v>
      </c>
      <c r="DA227" s="197">
        <f t="shared" si="669"/>
        <v>350</v>
      </c>
      <c r="DB227" s="443">
        <f t="shared" si="670"/>
        <v>350</v>
      </c>
      <c r="DD227" s="217">
        <f t="shared" si="671"/>
        <v>2.7602905569007259</v>
      </c>
      <c r="DE227" s="173">
        <f t="shared" si="672"/>
        <v>1.937046004842615</v>
      </c>
      <c r="DF227" s="173">
        <f t="shared" si="673"/>
        <v>0.83398609309454497</v>
      </c>
      <c r="DG227" s="173"/>
      <c r="DH227" s="173">
        <f t="shared" si="674"/>
        <v>0.93567251461988332</v>
      </c>
      <c r="DI227" s="545">
        <f t="shared" si="675"/>
        <v>176.34374999999994</v>
      </c>
      <c r="DJ227" s="528">
        <f t="shared" si="676"/>
        <v>0.21832358674463945</v>
      </c>
      <c r="DL227" s="173">
        <f t="shared" si="677"/>
        <v>0.98173801179822096</v>
      </c>
      <c r="DM227" s="173">
        <f t="shared" si="678"/>
        <v>1.3333333333333335</v>
      </c>
      <c r="DN227" s="173">
        <f t="shared" si="679"/>
        <v>1.1007678571428572</v>
      </c>
      <c r="DP227" s="545">
        <f t="shared" si="680"/>
        <v>110</v>
      </c>
      <c r="DQ227" s="460">
        <f t="shared" si="681"/>
        <v>176.34374999999994</v>
      </c>
      <c r="DS227">
        <f t="shared" si="682"/>
        <v>110</v>
      </c>
      <c r="DT227">
        <f t="shared" si="683"/>
        <v>176.34374999999994</v>
      </c>
      <c r="DV227" s="5">
        <f t="shared" si="684"/>
        <v>5.6707425128477773</v>
      </c>
      <c r="DW227" s="5">
        <f t="shared" si="685"/>
        <v>0.44444444444444453</v>
      </c>
      <c r="DX227" s="5">
        <f t="shared" si="686"/>
        <v>5.2262980684033327</v>
      </c>
      <c r="DY227" s="173">
        <f t="shared" si="687"/>
        <v>7.8375E-2</v>
      </c>
      <c r="EA227" s="5">
        <f t="shared" si="713"/>
        <v>0.29810298102981042</v>
      </c>
      <c r="EB227" s="5">
        <f t="shared" si="714"/>
        <v>0.15277777777777779</v>
      </c>
      <c r="EC227" s="5">
        <f t="shared" si="715"/>
        <v>0.21824633600462062</v>
      </c>
      <c r="ED227" s="5"/>
      <c r="EE227" s="173">
        <f t="shared" si="716"/>
        <v>0.21550973166992821</v>
      </c>
      <c r="EF227" s="173">
        <f t="shared" si="717"/>
        <v>0.73901836793691955</v>
      </c>
      <c r="EG227" s="173">
        <f t="shared" si="718"/>
        <v>0.18130866702613091</v>
      </c>
      <c r="EH227" s="173"/>
      <c r="EI227" s="528">
        <f t="shared" si="719"/>
        <v>9.2888888888888914E-4</v>
      </c>
      <c r="EJ227" s="528">
        <f t="shared" si="720"/>
        <v>0.24970274999999989</v>
      </c>
      <c r="EK227" s="528">
        <f t="shared" si="721"/>
        <v>2.2042968749999992E-2</v>
      </c>
      <c r="EL227" s="528">
        <f t="shared" si="722"/>
        <v>4.9722060093749972E-2</v>
      </c>
      <c r="EM227">
        <f t="shared" si="723"/>
        <v>1.6199999999999999E-2</v>
      </c>
      <c r="EN227" s="460">
        <f t="shared" si="724"/>
        <v>38.242968749999996</v>
      </c>
      <c r="EP227" s="460">
        <f t="shared" si="725"/>
        <v>338.59666773263876</v>
      </c>
      <c r="EQ227" s="173">
        <f t="shared" si="726"/>
        <v>7.6999999999999999E-2</v>
      </c>
      <c r="ER227" s="173">
        <f t="shared" si="688"/>
        <v>1.2203124999999999E-2</v>
      </c>
      <c r="ES227" s="528"/>
      <c r="EU227" s="460">
        <f t="shared" si="727"/>
        <v>89.203125</v>
      </c>
      <c r="EV227" s="528">
        <f t="shared" si="728"/>
        <v>1.3933333333333337E-3</v>
      </c>
      <c r="EW227" s="528">
        <f t="shared" si="729"/>
        <v>1.6384444444444445E-2</v>
      </c>
      <c r="EX227" s="528">
        <f t="shared" si="730"/>
        <v>1.6436416369396205E-4</v>
      </c>
      <c r="EY227" s="528">
        <f t="shared" si="731"/>
        <v>4.2385472190878494E-2</v>
      </c>
      <c r="EZ227" s="528"/>
      <c r="FA227" s="625">
        <f t="shared" si="732"/>
        <v>1.5674999999999999E-3</v>
      </c>
      <c r="FB227" s="460">
        <f t="shared" si="733"/>
        <v>61.89511413235023</v>
      </c>
      <c r="FC227" s="173">
        <f t="shared" si="734"/>
        <v>0.48969490686498901</v>
      </c>
      <c r="FD227" s="5">
        <f t="shared" si="735"/>
        <v>2.024</v>
      </c>
      <c r="FE227" s="173">
        <f t="shared" si="736"/>
        <v>0.80518920353953261</v>
      </c>
      <c r="FF227" s="5">
        <f t="shared" si="737"/>
        <v>80.518920353953263</v>
      </c>
      <c r="FG227">
        <f t="shared" si="738"/>
        <v>11</v>
      </c>
      <c r="FI227" s="562">
        <f t="shared" si="689"/>
        <v>-50</v>
      </c>
    </row>
    <row r="228" spans="5:165">
      <c r="E228" s="170">
        <v>12</v>
      </c>
      <c r="F228" s="217">
        <f t="shared" si="690"/>
        <v>0.12</v>
      </c>
      <c r="G228" s="217">
        <f t="shared" si="617"/>
        <v>0.03</v>
      </c>
      <c r="H228" s="217">
        <f t="shared" si="618"/>
        <v>1.9679999999999997</v>
      </c>
      <c r="I228" s="217">
        <f t="shared" si="619"/>
        <v>0.24</v>
      </c>
      <c r="J228" s="541">
        <f t="shared" si="620"/>
        <v>35.955956297288054</v>
      </c>
      <c r="K228" s="443">
        <f t="shared" si="621"/>
        <v>17.119586365946599</v>
      </c>
      <c r="L228" s="172">
        <f t="shared" si="622"/>
        <v>53.075542663234657</v>
      </c>
      <c r="M228" s="443"/>
      <c r="N228" s="217">
        <f t="shared" si="623"/>
        <v>0.32255132038066392</v>
      </c>
      <c r="O228" s="172">
        <f t="shared" si="624"/>
        <v>34.456760025277397</v>
      </c>
      <c r="P228" s="172">
        <f t="shared" si="625"/>
        <v>4.7144882842437852</v>
      </c>
      <c r="Q228" s="217">
        <f t="shared" si="626"/>
        <v>2.1010219527608172</v>
      </c>
      <c r="R228" s="217">
        <f t="shared" si="627"/>
        <v>4.3070950031596746</v>
      </c>
      <c r="S228" s="217">
        <f t="shared" si="628"/>
        <v>16.399999999999999</v>
      </c>
      <c r="T228" s="217">
        <f t="shared" si="629"/>
        <v>0.38076708287068195</v>
      </c>
      <c r="U228" s="217">
        <f t="shared" si="630"/>
        <v>0.12707783257576191</v>
      </c>
      <c r="V228" s="217">
        <f t="shared" si="631"/>
        <v>0.26689926361404448</v>
      </c>
      <c r="W228" s="197">
        <f t="shared" si="632"/>
        <v>350</v>
      </c>
      <c r="X228" s="443">
        <f t="shared" si="691"/>
        <v>350</v>
      </c>
      <c r="Z228" s="217">
        <f t="shared" si="633"/>
        <v>2.7613431379142166</v>
      </c>
      <c r="AA228" s="173">
        <f t="shared" si="634"/>
        <v>1.9355676560552457</v>
      </c>
      <c r="AB228" s="173">
        <f t="shared" si="635"/>
        <v>0.83366737796730317</v>
      </c>
      <c r="AC228" s="173"/>
      <c r="AD228" s="173">
        <f t="shared" si="636"/>
        <v>0.93460202004800652</v>
      </c>
      <c r="AE228" s="545">
        <f t="shared" si="637"/>
        <v>192.59534661689918</v>
      </c>
      <c r="AF228" s="528">
        <f t="shared" si="638"/>
        <v>0.21807380467786819</v>
      </c>
      <c r="AH228" s="173">
        <f t="shared" si="639"/>
        <v>1.0253919111386491</v>
      </c>
      <c r="AI228" s="173">
        <f t="shared" si="640"/>
        <v>1.3333333333333335</v>
      </c>
      <c r="AJ228" s="173">
        <f t="shared" si="641"/>
        <v>1.1100544837810853</v>
      </c>
      <c r="AL228" s="545">
        <f t="shared" si="642"/>
        <v>120</v>
      </c>
      <c r="AM228" s="460">
        <f t="shared" si="643"/>
        <v>192.59534661689918</v>
      </c>
      <c r="AO228">
        <f t="shared" si="644"/>
        <v>120</v>
      </c>
      <c r="AP228">
        <f t="shared" si="645"/>
        <v>192.59534661689918</v>
      </c>
      <c r="AR228" s="5">
        <f t="shared" si="616"/>
        <v>5.1922334447111478</v>
      </c>
      <c r="AS228" s="5">
        <f t="shared" si="604"/>
        <v>0.4449888599182325</v>
      </c>
      <c r="AT228" s="5">
        <f t="shared" si="605"/>
        <v>4.7472445847929157</v>
      </c>
      <c r="AU228" s="173">
        <f t="shared" si="606"/>
        <v>8.5702783716610789E-2</v>
      </c>
      <c r="BA228" s="173">
        <f t="shared" si="692"/>
        <v>0.22535934592341322</v>
      </c>
      <c r="BB228" s="173">
        <f t="shared" si="693"/>
        <v>0.73607455994455073</v>
      </c>
      <c r="BC228" s="173">
        <f t="shared" si="694"/>
        <v>0.18058644153589404</v>
      </c>
      <c r="BD228" s="173"/>
      <c r="BE228" s="528">
        <f t="shared" si="695"/>
        <v>1.0157366959005726E-3</v>
      </c>
      <c r="BF228" s="528">
        <f t="shared" si="646"/>
        <v>0.25555256340264249</v>
      </c>
      <c r="BG228" s="528">
        <f t="shared" si="647"/>
        <v>0.17312374665045679</v>
      </c>
      <c r="BH228" s="528">
        <f t="shared" si="696"/>
        <v>5.4254363926303728E-2</v>
      </c>
      <c r="BI228">
        <f t="shared" si="697"/>
        <v>1.6180180333779624E-2</v>
      </c>
      <c r="BJ228" s="460">
        <f t="shared" si="698"/>
        <v>189.30392698423643</v>
      </c>
      <c r="BK228">
        <f t="shared" si="648"/>
        <v>0.31117201088679425</v>
      </c>
      <c r="BL228" s="460">
        <f t="shared" si="699"/>
        <v>500.1265910090832</v>
      </c>
      <c r="BM228" s="173">
        <f t="shared" si="649"/>
        <v>7.4549999999999991E-2</v>
      </c>
      <c r="BN228" s="173">
        <f t="shared" si="650"/>
        <v>1.33125E-2</v>
      </c>
      <c r="BQ228" s="460">
        <f t="shared" si="700"/>
        <v>87.862499999999997</v>
      </c>
      <c r="BR228" s="528">
        <f t="shared" si="701"/>
        <v>1.5236050438508586E-3</v>
      </c>
      <c r="BS228" s="528">
        <f t="shared" si="702"/>
        <v>1.625417273392692E-2</v>
      </c>
      <c r="BT228" s="528">
        <f t="shared" si="703"/>
        <v>1.630573143329844E-4</v>
      </c>
      <c r="BU228" s="528">
        <f t="shared" si="704"/>
        <v>5.2836168945655279E-2</v>
      </c>
      <c r="BV228" s="528"/>
      <c r="BW228" s="625">
        <f t="shared" si="705"/>
        <v>1.7119586365946596E-3</v>
      </c>
      <c r="BX228" s="460">
        <f t="shared" si="706"/>
        <v>72.488962674360707</v>
      </c>
      <c r="BY228" s="173">
        <f t="shared" si="707"/>
        <v>0.66047805368344381</v>
      </c>
      <c r="BZ228" s="5">
        <f t="shared" si="708"/>
        <v>2.2079999999999997</v>
      </c>
      <c r="CA228" s="173">
        <f t="shared" si="709"/>
        <v>0.76974617155068803</v>
      </c>
      <c r="CB228" s="5">
        <f t="shared" si="710"/>
        <v>76.974617155068799</v>
      </c>
      <c r="CC228">
        <f t="shared" si="711"/>
        <v>12</v>
      </c>
      <c r="CE228" s="562">
        <f t="shared" si="651"/>
        <v>-50</v>
      </c>
      <c r="CG228" s="173">
        <f t="shared" si="652"/>
        <v>0.18380132434035476</v>
      </c>
      <c r="CH228" s="173">
        <f t="shared" si="653"/>
        <v>6.5406119945428567E-2</v>
      </c>
      <c r="CI228" s="170">
        <v>12</v>
      </c>
      <c r="CJ228" s="217">
        <f t="shared" si="712"/>
        <v>0.12</v>
      </c>
      <c r="CK228" s="217">
        <f t="shared" si="654"/>
        <v>0.03</v>
      </c>
      <c r="CL228" s="217">
        <f t="shared" si="655"/>
        <v>1.9679999999999997</v>
      </c>
      <c r="CM228" s="217">
        <f t="shared" si="656"/>
        <v>0.24</v>
      </c>
      <c r="CN228" s="541">
        <f t="shared" si="657"/>
        <v>36</v>
      </c>
      <c r="CO228" s="443">
        <f t="shared" si="658"/>
        <v>17.099999999999998</v>
      </c>
      <c r="CP228" s="443">
        <f t="shared" si="659"/>
        <v>53.099999999999994</v>
      </c>
      <c r="CQ228" s="443"/>
      <c r="CR228" s="217">
        <f t="shared" si="660"/>
        <v>0.31818181818181812</v>
      </c>
      <c r="CS228" s="172">
        <f t="shared" si="661"/>
        <v>34.031620553359687</v>
      </c>
      <c r="CT228" s="172">
        <f t="shared" si="662"/>
        <v>4.6563192904656319</v>
      </c>
      <c r="CU228" s="217">
        <f t="shared" si="663"/>
        <v>2.0750988142292495</v>
      </c>
      <c r="CV228" s="217">
        <f t="shared" si="664"/>
        <v>4.2539525691699609</v>
      </c>
      <c r="CW228" s="217">
        <f t="shared" si="665"/>
        <v>16.399999999999999</v>
      </c>
      <c r="CX228" s="217">
        <f t="shared" si="666"/>
        <v>0.38552380952380955</v>
      </c>
      <c r="CY228" s="217">
        <f t="shared" si="667"/>
        <v>0.12850793650793652</v>
      </c>
      <c r="CZ228" s="217">
        <f t="shared" si="668"/>
        <v>0.27054302422723486</v>
      </c>
      <c r="DA228" s="197">
        <f t="shared" si="669"/>
        <v>350</v>
      </c>
      <c r="DB228" s="443">
        <f t="shared" si="670"/>
        <v>350</v>
      </c>
      <c r="DD228" s="217">
        <f t="shared" si="671"/>
        <v>2.7602905569007259</v>
      </c>
      <c r="DE228" s="173">
        <f t="shared" si="672"/>
        <v>1.937046004842615</v>
      </c>
      <c r="DF228" s="173">
        <f t="shared" si="673"/>
        <v>0.83398609309454497</v>
      </c>
      <c r="DG228" s="173"/>
      <c r="DH228" s="173">
        <f t="shared" si="674"/>
        <v>0.93567251461988332</v>
      </c>
      <c r="DI228" s="545">
        <f t="shared" si="675"/>
        <v>192.37499999999991</v>
      </c>
      <c r="DJ228" s="528">
        <f t="shared" si="676"/>
        <v>0.21832358674463945</v>
      </c>
      <c r="DL228" s="173">
        <f t="shared" si="677"/>
        <v>1.0253919111386491</v>
      </c>
      <c r="DM228" s="173">
        <f t="shared" si="678"/>
        <v>1.3333333333333335</v>
      </c>
      <c r="DN228" s="173">
        <f t="shared" si="679"/>
        <v>1.1099285714285714</v>
      </c>
      <c r="DP228" s="545">
        <f t="shared" si="680"/>
        <v>120</v>
      </c>
      <c r="DQ228" s="460">
        <f t="shared" si="681"/>
        <v>192.37499999999991</v>
      </c>
      <c r="DS228">
        <f t="shared" si="682"/>
        <v>120</v>
      </c>
      <c r="DT228">
        <f t="shared" si="683"/>
        <v>192.37499999999991</v>
      </c>
      <c r="DV228" s="5">
        <f t="shared" si="684"/>
        <v>5.1981806367771304</v>
      </c>
      <c r="DW228" s="5">
        <f t="shared" si="685"/>
        <v>0.44444444444444453</v>
      </c>
      <c r="DX228" s="5">
        <f t="shared" si="686"/>
        <v>4.7537361923326857</v>
      </c>
      <c r="DY228" s="173">
        <f t="shared" si="687"/>
        <v>8.5499999999999979E-2</v>
      </c>
      <c r="EA228" s="5">
        <f t="shared" si="713"/>
        <v>0.32520325203252043</v>
      </c>
      <c r="EB228" s="5">
        <f t="shared" si="714"/>
        <v>0.16666666666666669</v>
      </c>
      <c r="EC228" s="5">
        <f t="shared" si="715"/>
        <v>0.21655909320626676</v>
      </c>
      <c r="ED228" s="5"/>
      <c r="EE228" s="173">
        <f t="shared" si="716"/>
        <v>0.22509257354845508</v>
      </c>
      <c r="EF228" s="173">
        <f t="shared" si="717"/>
        <v>0.73615618310649678</v>
      </c>
      <c r="EG228" s="173">
        <f t="shared" si="718"/>
        <v>0.18060646673057523</v>
      </c>
      <c r="EH228" s="173"/>
      <c r="EI228" s="528">
        <f t="shared" si="719"/>
        <v>1.0133333333333331E-3</v>
      </c>
      <c r="EJ228" s="528">
        <f t="shared" si="720"/>
        <v>0.2724029999999999</v>
      </c>
      <c r="EK228" s="528">
        <f t="shared" si="721"/>
        <v>2.4046874999999988E-2</v>
      </c>
      <c r="EL228" s="528">
        <f t="shared" si="722"/>
        <v>5.4242247374999969E-2</v>
      </c>
      <c r="EM228">
        <f t="shared" si="723"/>
        <v>1.6199999999999999E-2</v>
      </c>
      <c r="EN228" s="460">
        <f t="shared" si="724"/>
        <v>40.246874999999989</v>
      </c>
      <c r="EP228" s="460">
        <f t="shared" si="725"/>
        <v>367.90545570833308</v>
      </c>
      <c r="EQ228" s="173">
        <f t="shared" si="726"/>
        <v>8.3999999999999991E-2</v>
      </c>
      <c r="ER228" s="173">
        <f t="shared" si="688"/>
        <v>1.33125E-2</v>
      </c>
      <c r="ES228" s="528"/>
      <c r="EU228" s="460">
        <f t="shared" si="727"/>
        <v>97.3125</v>
      </c>
      <c r="EV228" s="528">
        <f t="shared" si="728"/>
        <v>1.5199999999999997E-3</v>
      </c>
      <c r="EW228" s="528">
        <f t="shared" si="729"/>
        <v>1.6257777777777781E-2</v>
      </c>
      <c r="EX228" s="528">
        <f t="shared" si="730"/>
        <v>1.6309347912451191E-4</v>
      </c>
      <c r="EY228" s="528">
        <f t="shared" si="731"/>
        <v>5.2685175122040545E-2</v>
      </c>
      <c r="EZ228" s="528"/>
      <c r="FA228" s="625">
        <f t="shared" si="732"/>
        <v>1.7099999999999995E-3</v>
      </c>
      <c r="FB228" s="460">
        <f t="shared" si="733"/>
        <v>72.336046378942839</v>
      </c>
      <c r="FC228" s="173">
        <f t="shared" si="734"/>
        <v>0.53755400208727588</v>
      </c>
      <c r="FD228" s="5">
        <f t="shared" si="735"/>
        <v>2.2079999999999997</v>
      </c>
      <c r="FE228" s="173">
        <f t="shared" si="736"/>
        <v>0.80420927737039349</v>
      </c>
      <c r="FF228" s="5">
        <f t="shared" si="737"/>
        <v>80.420927737039349</v>
      </c>
      <c r="FG228">
        <f t="shared" si="738"/>
        <v>12</v>
      </c>
      <c r="FI228" s="562">
        <f t="shared" si="689"/>
        <v>-50</v>
      </c>
    </row>
    <row r="229" spans="5:165">
      <c r="E229" s="170">
        <v>13</v>
      </c>
      <c r="F229" s="217">
        <f t="shared" si="690"/>
        <v>0.13</v>
      </c>
      <c r="G229" s="217">
        <f t="shared" si="617"/>
        <v>3.2500000000000001E-2</v>
      </c>
      <c r="H229" s="217">
        <f t="shared" si="618"/>
        <v>2.1319999999999997</v>
      </c>
      <c r="I229" s="217">
        <f t="shared" si="619"/>
        <v>0.26</v>
      </c>
      <c r="J229" s="541">
        <f t="shared" si="620"/>
        <v>35.955956297288054</v>
      </c>
      <c r="K229" s="443">
        <f t="shared" si="621"/>
        <v>17.119586365946599</v>
      </c>
      <c r="L229" s="172">
        <f t="shared" si="622"/>
        <v>53.075542663234657</v>
      </c>
      <c r="M229" s="443"/>
      <c r="N229" s="217">
        <f t="shared" si="623"/>
        <v>0.32255132038066392</v>
      </c>
      <c r="O229" s="172">
        <f t="shared" si="624"/>
        <v>34.456760025277397</v>
      </c>
      <c r="P229" s="172">
        <f t="shared" si="625"/>
        <v>4.7144882842437852</v>
      </c>
      <c r="Q229" s="217">
        <f t="shared" si="626"/>
        <v>2.1010219527608172</v>
      </c>
      <c r="R229" s="217">
        <f t="shared" si="627"/>
        <v>4.3070950031596746</v>
      </c>
      <c r="S229" s="217">
        <f t="shared" si="628"/>
        <v>16.399999999999999</v>
      </c>
      <c r="T229" s="217">
        <f t="shared" si="629"/>
        <v>0.41249767310990537</v>
      </c>
      <c r="U229" s="217">
        <f t="shared" si="630"/>
        <v>0.13766765195707539</v>
      </c>
      <c r="V229" s="217">
        <f t="shared" si="631"/>
        <v>0.28914086891521484</v>
      </c>
      <c r="W229" s="197">
        <f t="shared" si="632"/>
        <v>350</v>
      </c>
      <c r="X229" s="443">
        <f t="shared" si="691"/>
        <v>350</v>
      </c>
      <c r="Z229" s="217">
        <f t="shared" si="633"/>
        <v>2.7613431379142166</v>
      </c>
      <c r="AA229" s="173">
        <f t="shared" si="634"/>
        <v>1.9355676560552457</v>
      </c>
      <c r="AB229" s="173">
        <f t="shared" si="635"/>
        <v>0.83366737796730317</v>
      </c>
      <c r="AC229" s="173"/>
      <c r="AD229" s="173">
        <f t="shared" si="636"/>
        <v>0.93460202004800652</v>
      </c>
      <c r="AE229" s="545">
        <f t="shared" si="637"/>
        <v>208.64495883497412</v>
      </c>
      <c r="AF229" s="528">
        <f t="shared" si="638"/>
        <v>0.21807380467786819</v>
      </c>
      <c r="AH229" s="173">
        <f t="shared" si="639"/>
        <v>1.0672617387724619</v>
      </c>
      <c r="AI229" s="173">
        <f t="shared" si="640"/>
        <v>1.3333333333333335</v>
      </c>
      <c r="AJ229" s="173">
        <f t="shared" si="641"/>
        <v>1.1192256907628424</v>
      </c>
      <c r="AL229" s="545">
        <f t="shared" si="642"/>
        <v>130</v>
      </c>
      <c r="AM229" s="460">
        <f t="shared" si="643"/>
        <v>208.64495883497412</v>
      </c>
      <c r="AO229">
        <f t="shared" si="644"/>
        <v>130</v>
      </c>
      <c r="AP229">
        <f t="shared" si="645"/>
        <v>208.64495883497412</v>
      </c>
      <c r="AR229" s="5">
        <f t="shared" si="616"/>
        <v>4.7928308720410593</v>
      </c>
      <c r="AS229" s="5">
        <f t="shared" si="604"/>
        <v>0.4449888599182325</v>
      </c>
      <c r="AT229" s="5">
        <f t="shared" si="605"/>
        <v>4.3478420121228272</v>
      </c>
      <c r="AU229" s="173">
        <f t="shared" si="606"/>
        <v>9.2844682359661687E-2</v>
      </c>
      <c r="BA229" s="173">
        <f t="shared" si="692"/>
        <v>0.23456144403534798</v>
      </c>
      <c r="BB229" s="173">
        <f t="shared" si="693"/>
        <v>0.7331940545071578</v>
      </c>
      <c r="BC229" s="173">
        <f t="shared" si="694"/>
        <v>0.17987974651466854</v>
      </c>
      <c r="BD229" s="173"/>
      <c r="BE229" s="528">
        <f t="shared" si="695"/>
        <v>1.1003814205589536E-3</v>
      </c>
      <c r="BF229" s="528">
        <f t="shared" si="646"/>
        <v>0.27684861035286273</v>
      </c>
      <c r="BG229" s="528">
        <f t="shared" si="647"/>
        <v>0.18755072553799487</v>
      </c>
      <c r="BH229" s="528">
        <f t="shared" si="696"/>
        <v>5.8775560920162374E-2</v>
      </c>
      <c r="BI229">
        <f t="shared" si="697"/>
        <v>1.6180180333779624E-2</v>
      </c>
      <c r="BJ229" s="460">
        <f t="shared" si="698"/>
        <v>203.7309058717745</v>
      </c>
      <c r="BK229">
        <f t="shared" si="648"/>
        <v>0.33710979324344903</v>
      </c>
      <c r="BL229" s="460">
        <f t="shared" si="699"/>
        <v>540.45545856535864</v>
      </c>
      <c r="BM229" s="173">
        <f t="shared" si="649"/>
        <v>8.0762499999999987E-2</v>
      </c>
      <c r="BN229" s="173">
        <f t="shared" si="650"/>
        <v>1.4421874999999999E-2</v>
      </c>
      <c r="BQ229" s="460">
        <f t="shared" si="700"/>
        <v>95.184374999999989</v>
      </c>
      <c r="BR229" s="528">
        <f t="shared" si="701"/>
        <v>1.6505721308384305E-3</v>
      </c>
      <c r="BS229" s="528">
        <f t="shared" si="702"/>
        <v>1.6127205646939351E-2</v>
      </c>
      <c r="BT229" s="528">
        <f t="shared" si="703"/>
        <v>1.6178361603090704E-4</v>
      </c>
      <c r="BU229" s="528">
        <f t="shared" si="704"/>
        <v>6.4541133117086757E-2</v>
      </c>
      <c r="BV229" s="528"/>
      <c r="BW229" s="625">
        <f t="shared" si="705"/>
        <v>1.8546218563108812E-3</v>
      </c>
      <c r="BX229" s="460">
        <f t="shared" si="706"/>
        <v>84.335316367206332</v>
      </c>
      <c r="BY229" s="173">
        <f t="shared" si="707"/>
        <v>0.71997514993256495</v>
      </c>
      <c r="BZ229" s="5">
        <f t="shared" si="708"/>
        <v>2.3919999999999995</v>
      </c>
      <c r="CA229" s="173">
        <f t="shared" si="709"/>
        <v>0.76864366993799216</v>
      </c>
      <c r="CB229" s="5">
        <f t="shared" si="710"/>
        <v>76.864366993799223</v>
      </c>
      <c r="CC229">
        <f t="shared" si="711"/>
        <v>13</v>
      </c>
      <c r="CE229" s="562">
        <f t="shared" si="651"/>
        <v>-50</v>
      </c>
      <c r="CG229" s="173">
        <f t="shared" si="652"/>
        <v>0.19911810136871763</v>
      </c>
      <c r="CH229" s="173">
        <f t="shared" si="653"/>
        <v>7.0856629940880961E-2</v>
      </c>
      <c r="CI229" s="170">
        <v>13</v>
      </c>
      <c r="CJ229" s="217">
        <f t="shared" si="712"/>
        <v>0.13</v>
      </c>
      <c r="CK229" s="217">
        <f t="shared" si="654"/>
        <v>3.2500000000000001E-2</v>
      </c>
      <c r="CL229" s="217">
        <f t="shared" si="655"/>
        <v>2.1319999999999997</v>
      </c>
      <c r="CM229" s="217">
        <f t="shared" si="656"/>
        <v>0.26</v>
      </c>
      <c r="CN229" s="541">
        <f t="shared" si="657"/>
        <v>36</v>
      </c>
      <c r="CO229" s="443">
        <f t="shared" si="658"/>
        <v>17.099999999999998</v>
      </c>
      <c r="CP229" s="443">
        <f t="shared" si="659"/>
        <v>53.099999999999994</v>
      </c>
      <c r="CQ229" s="443"/>
      <c r="CR229" s="217">
        <f t="shared" si="660"/>
        <v>0.31818181818181812</v>
      </c>
      <c r="CS229" s="172">
        <f t="shared" si="661"/>
        <v>34.031620553359687</v>
      </c>
      <c r="CT229" s="172">
        <f t="shared" si="662"/>
        <v>4.6563192904656319</v>
      </c>
      <c r="CU229" s="217">
        <f t="shared" si="663"/>
        <v>2.0750988142292495</v>
      </c>
      <c r="CV229" s="217">
        <f t="shared" si="664"/>
        <v>4.2539525691699609</v>
      </c>
      <c r="CW229" s="217">
        <f t="shared" si="665"/>
        <v>16.399999999999999</v>
      </c>
      <c r="CX229" s="217">
        <f t="shared" si="666"/>
        <v>0.41765079365079361</v>
      </c>
      <c r="CY229" s="217">
        <f t="shared" si="667"/>
        <v>0.13921693121693121</v>
      </c>
      <c r="CZ229" s="217">
        <f t="shared" si="668"/>
        <v>0.29308827624617101</v>
      </c>
      <c r="DA229" s="197">
        <f t="shared" si="669"/>
        <v>350</v>
      </c>
      <c r="DB229" s="443">
        <f t="shared" si="670"/>
        <v>350</v>
      </c>
      <c r="DD229" s="217">
        <f t="shared" si="671"/>
        <v>2.7602905569007259</v>
      </c>
      <c r="DE229" s="173">
        <f t="shared" si="672"/>
        <v>1.937046004842615</v>
      </c>
      <c r="DF229" s="173">
        <f t="shared" si="673"/>
        <v>0.83398609309454497</v>
      </c>
      <c r="DG229" s="173"/>
      <c r="DH229" s="173">
        <f t="shared" si="674"/>
        <v>0.93567251461988332</v>
      </c>
      <c r="DI229" s="545">
        <f t="shared" si="675"/>
        <v>208.40624999999991</v>
      </c>
      <c r="DJ229" s="528">
        <f t="shared" si="676"/>
        <v>0.21832358674463945</v>
      </c>
      <c r="DL229" s="173">
        <f t="shared" si="677"/>
        <v>1.0672617387724619</v>
      </c>
      <c r="DM229" s="173">
        <f t="shared" si="678"/>
        <v>1.3333333333333335</v>
      </c>
      <c r="DN229" s="173">
        <f t="shared" si="679"/>
        <v>1.1190892857142858</v>
      </c>
      <c r="DP229" s="545">
        <f t="shared" si="680"/>
        <v>130</v>
      </c>
      <c r="DQ229" s="460">
        <f t="shared" si="681"/>
        <v>208.40624999999991</v>
      </c>
      <c r="DS229">
        <f t="shared" si="682"/>
        <v>130</v>
      </c>
      <c r="DT229">
        <f t="shared" si="683"/>
        <v>208.40624999999991</v>
      </c>
      <c r="DV229" s="5">
        <f t="shared" si="684"/>
        <v>4.7983205877942741</v>
      </c>
      <c r="DW229" s="5">
        <f t="shared" si="685"/>
        <v>0.44444444444444453</v>
      </c>
      <c r="DX229" s="5">
        <f t="shared" si="686"/>
        <v>4.3538761433498294</v>
      </c>
      <c r="DY229" s="173">
        <f t="shared" si="687"/>
        <v>9.2624999999999985E-2</v>
      </c>
      <c r="EA229" s="5">
        <f t="shared" si="713"/>
        <v>0.35230352303523044</v>
      </c>
      <c r="EB229" s="5">
        <f t="shared" si="714"/>
        <v>0.18055555555555561</v>
      </c>
      <c r="EC229" s="5">
        <f t="shared" si="715"/>
        <v>0.21487185040791282</v>
      </c>
      <c r="ED229" s="5"/>
      <c r="EE229" s="173">
        <f t="shared" si="716"/>
        <v>0.23428377854407439</v>
      </c>
      <c r="EF229" s="173">
        <f t="shared" si="717"/>
        <v>0.73328282654355392</v>
      </c>
      <c r="EG229" s="173">
        <f t="shared" si="718"/>
        <v>0.17990152559389916</v>
      </c>
      <c r="EH229" s="173"/>
      <c r="EI229" s="528">
        <f t="shared" si="719"/>
        <v>1.097777777777778E-3</v>
      </c>
      <c r="EJ229" s="528">
        <f t="shared" si="720"/>
        <v>0.29510324999999987</v>
      </c>
      <c r="EK229" s="528">
        <f t="shared" si="721"/>
        <v>2.6050781249999988E-2</v>
      </c>
      <c r="EL229" s="528">
        <f t="shared" si="722"/>
        <v>5.8762434656249959E-2</v>
      </c>
      <c r="EM229">
        <f t="shared" si="723"/>
        <v>1.6199999999999999E-2</v>
      </c>
      <c r="EN229" s="460">
        <f t="shared" si="724"/>
        <v>42.250781249999989</v>
      </c>
      <c r="EP229" s="460">
        <f t="shared" si="725"/>
        <v>397.21424368402756</v>
      </c>
      <c r="EQ229" s="173">
        <f t="shared" si="726"/>
        <v>9.0999999999999998E-2</v>
      </c>
      <c r="ER229" s="173">
        <f t="shared" si="688"/>
        <v>1.4421874999999999E-2</v>
      </c>
      <c r="ES229" s="528"/>
      <c r="EU229" s="460">
        <f t="shared" si="727"/>
        <v>105.421875</v>
      </c>
      <c r="EV229" s="528">
        <f t="shared" si="728"/>
        <v>1.6466666666666669E-3</v>
      </c>
      <c r="EW229" s="528">
        <f t="shared" si="729"/>
        <v>1.6131111111111113E-2</v>
      </c>
      <c r="EX229" s="528">
        <f t="shared" si="730"/>
        <v>1.618227945550618E-4</v>
      </c>
      <c r="EY229" s="528">
        <f t="shared" si="731"/>
        <v>6.4356689152578264E-2</v>
      </c>
      <c r="EZ229" s="528"/>
      <c r="FA229" s="625">
        <f t="shared" si="732"/>
        <v>1.8524999999999993E-3</v>
      </c>
      <c r="FB229" s="460">
        <f t="shared" si="733"/>
        <v>84.148789724911111</v>
      </c>
      <c r="FC229" s="173">
        <f t="shared" si="734"/>
        <v>0.58678490840893871</v>
      </c>
      <c r="FD229" s="5">
        <f t="shared" si="735"/>
        <v>2.3919999999999995</v>
      </c>
      <c r="FE229" s="173">
        <f t="shared" si="736"/>
        <v>0.80301199097911402</v>
      </c>
      <c r="FF229" s="5">
        <f t="shared" si="737"/>
        <v>80.301199097911407</v>
      </c>
      <c r="FG229">
        <f t="shared" si="738"/>
        <v>13</v>
      </c>
      <c r="FI229" s="562">
        <f t="shared" si="689"/>
        <v>-50</v>
      </c>
    </row>
    <row r="230" spans="5:165">
      <c r="E230" s="170">
        <v>14</v>
      </c>
      <c r="F230" s="217">
        <f t="shared" si="690"/>
        <v>0.14000000000000001</v>
      </c>
      <c r="G230" s="217">
        <f t="shared" si="617"/>
        <v>3.5000000000000003E-2</v>
      </c>
      <c r="H230" s="217">
        <f t="shared" si="618"/>
        <v>2.2959999999999998</v>
      </c>
      <c r="I230" s="217">
        <f t="shared" si="619"/>
        <v>0.28000000000000003</v>
      </c>
      <c r="J230" s="541">
        <f t="shared" si="620"/>
        <v>35.955956297288054</v>
      </c>
      <c r="K230" s="443">
        <f t="shared" si="621"/>
        <v>17.119586365946599</v>
      </c>
      <c r="L230" s="172">
        <f t="shared" si="622"/>
        <v>53.075542663234657</v>
      </c>
      <c r="M230" s="443"/>
      <c r="N230" s="217">
        <f t="shared" si="623"/>
        <v>0.32255132038066392</v>
      </c>
      <c r="O230" s="172">
        <f t="shared" si="624"/>
        <v>34.456760025277397</v>
      </c>
      <c r="P230" s="172">
        <f t="shared" si="625"/>
        <v>4.7144882842437852</v>
      </c>
      <c r="Q230" s="217">
        <f t="shared" si="626"/>
        <v>2.1010219527608172</v>
      </c>
      <c r="R230" s="217">
        <f t="shared" si="627"/>
        <v>4.3070950031596746</v>
      </c>
      <c r="S230" s="217">
        <f t="shared" si="628"/>
        <v>16.399999999999999</v>
      </c>
      <c r="T230" s="217">
        <f t="shared" si="629"/>
        <v>0.4442282633491289</v>
      </c>
      <c r="U230" s="217">
        <f t="shared" si="630"/>
        <v>0.14825747133838887</v>
      </c>
      <c r="V230" s="217">
        <f t="shared" si="631"/>
        <v>0.31138247421638521</v>
      </c>
      <c r="W230" s="197">
        <f t="shared" si="632"/>
        <v>350</v>
      </c>
      <c r="X230" s="443">
        <f t="shared" si="691"/>
        <v>350</v>
      </c>
      <c r="Z230" s="217">
        <f t="shared" si="633"/>
        <v>2.7613431379142166</v>
      </c>
      <c r="AA230" s="173">
        <f t="shared" si="634"/>
        <v>1.9355676560552457</v>
      </c>
      <c r="AB230" s="173">
        <f t="shared" si="635"/>
        <v>0.83366737796730317</v>
      </c>
      <c r="AC230" s="173"/>
      <c r="AD230" s="173">
        <f t="shared" si="636"/>
        <v>0.93460202004800652</v>
      </c>
      <c r="AE230" s="545">
        <f t="shared" si="637"/>
        <v>224.69457105304909</v>
      </c>
      <c r="AF230" s="528">
        <f t="shared" si="638"/>
        <v>0.21807380467786819</v>
      </c>
      <c r="AH230" s="173">
        <f t="shared" si="639"/>
        <v>1.1075498483890764</v>
      </c>
      <c r="AI230" s="173">
        <f t="shared" si="640"/>
        <v>1.3333333333333335</v>
      </c>
      <c r="AJ230" s="173">
        <f t="shared" si="641"/>
        <v>1.1283968977445995</v>
      </c>
      <c r="AL230" s="545">
        <f t="shared" si="642"/>
        <v>140</v>
      </c>
      <c r="AM230" s="460">
        <f t="shared" si="643"/>
        <v>224.69457105304909</v>
      </c>
      <c r="AO230">
        <f t="shared" si="644"/>
        <v>140</v>
      </c>
      <c r="AP230">
        <f t="shared" si="645"/>
        <v>224.69457105304909</v>
      </c>
      <c r="AR230" s="5">
        <f t="shared" si="616"/>
        <v>4.4504858097524114</v>
      </c>
      <c r="AS230" s="5">
        <f t="shared" si="604"/>
        <v>0.4449888599182325</v>
      </c>
      <c r="AT230" s="5">
        <f t="shared" si="605"/>
        <v>4.0054969498341793</v>
      </c>
      <c r="AU230" s="173">
        <f t="shared" si="606"/>
        <v>9.9986581002712613E-2</v>
      </c>
      <c r="BA230" s="173">
        <f t="shared" si="692"/>
        <v>0.24341591414873998</v>
      </c>
      <c r="BB230" s="173">
        <f t="shared" si="693"/>
        <v>0.73030218768104882</v>
      </c>
      <c r="BC230" s="173">
        <f t="shared" si="694"/>
        <v>0.17917026412261025</v>
      </c>
      <c r="BD230" s="173"/>
      <c r="BE230" s="528">
        <f t="shared" si="695"/>
        <v>1.1850261452173349E-3</v>
      </c>
      <c r="BF230" s="528">
        <f t="shared" si="646"/>
        <v>0.29814465730308298</v>
      </c>
      <c r="BG230" s="528">
        <f t="shared" si="647"/>
        <v>0.20197770442553295</v>
      </c>
      <c r="BH230" s="528">
        <f t="shared" si="696"/>
        <v>6.3296757914021021E-2</v>
      </c>
      <c r="BI230">
        <f t="shared" si="697"/>
        <v>1.6180180333779624E-2</v>
      </c>
      <c r="BJ230" s="460">
        <f t="shared" si="698"/>
        <v>218.15788475931259</v>
      </c>
      <c r="BK230">
        <f t="shared" si="648"/>
        <v>0.3630486191938514</v>
      </c>
      <c r="BL230" s="460">
        <f t="shared" si="699"/>
        <v>580.78432612163385</v>
      </c>
      <c r="BM230" s="173">
        <f t="shared" si="649"/>
        <v>8.6974999999999997E-2</v>
      </c>
      <c r="BN230" s="173">
        <f t="shared" si="650"/>
        <v>1.553125E-2</v>
      </c>
      <c r="BQ230" s="460">
        <f t="shared" si="700"/>
        <v>102.50624999999999</v>
      </c>
      <c r="BR230" s="528">
        <f t="shared" si="701"/>
        <v>1.7775392178260023E-3</v>
      </c>
      <c r="BS230" s="528">
        <f t="shared" si="702"/>
        <v>1.6000238559951776E-2</v>
      </c>
      <c r="BT230" s="528">
        <f t="shared" si="703"/>
        <v>1.6050991772882959E-4</v>
      </c>
      <c r="BU230" s="528">
        <f t="shared" si="704"/>
        <v>7.7678046348467616E-2</v>
      </c>
      <c r="BV230" s="528"/>
      <c r="BW230" s="625">
        <f t="shared" si="705"/>
        <v>1.9972850760271036E-3</v>
      </c>
      <c r="BX230" s="460">
        <f t="shared" si="706"/>
        <v>97.613619120001331</v>
      </c>
      <c r="BY230" s="173">
        <f t="shared" si="707"/>
        <v>0.78090419524163535</v>
      </c>
      <c r="BZ230" s="5">
        <f t="shared" si="708"/>
        <v>2.5759999999999996</v>
      </c>
      <c r="CA230" s="173">
        <f t="shared" si="709"/>
        <v>0.76737370213050582</v>
      </c>
      <c r="CB230" s="5">
        <f t="shared" si="710"/>
        <v>76.737370213050582</v>
      </c>
      <c r="CC230">
        <f t="shared" si="711"/>
        <v>14.000000000000002</v>
      </c>
      <c r="CE230" s="562">
        <f t="shared" si="651"/>
        <v>-50</v>
      </c>
      <c r="CG230" s="173">
        <f t="shared" si="652"/>
        <v>0.21443487839708056</v>
      </c>
      <c r="CH230" s="173">
        <f t="shared" si="653"/>
        <v>7.6307139936333354E-2</v>
      </c>
      <c r="CI230" s="170">
        <v>14</v>
      </c>
      <c r="CJ230" s="217">
        <f t="shared" si="712"/>
        <v>0.14000000000000001</v>
      </c>
      <c r="CK230" s="217">
        <f t="shared" si="654"/>
        <v>3.5000000000000003E-2</v>
      </c>
      <c r="CL230" s="217">
        <f t="shared" si="655"/>
        <v>2.2959999999999998</v>
      </c>
      <c r="CM230" s="217">
        <f t="shared" si="656"/>
        <v>0.28000000000000003</v>
      </c>
      <c r="CN230" s="541">
        <f t="shared" si="657"/>
        <v>36</v>
      </c>
      <c r="CO230" s="443">
        <f t="shared" si="658"/>
        <v>17.099999999999998</v>
      </c>
      <c r="CP230" s="443">
        <f t="shared" si="659"/>
        <v>53.099999999999994</v>
      </c>
      <c r="CQ230" s="443"/>
      <c r="CR230" s="217">
        <f t="shared" si="660"/>
        <v>0.31818181818181812</v>
      </c>
      <c r="CS230" s="172">
        <f t="shared" si="661"/>
        <v>34.031620553359687</v>
      </c>
      <c r="CT230" s="172">
        <f t="shared" si="662"/>
        <v>4.6563192904656319</v>
      </c>
      <c r="CU230" s="217">
        <f t="shared" si="663"/>
        <v>2.0750988142292495</v>
      </c>
      <c r="CV230" s="217">
        <f t="shared" si="664"/>
        <v>4.2539525691699609</v>
      </c>
      <c r="CW230" s="217">
        <f t="shared" si="665"/>
        <v>16.399999999999999</v>
      </c>
      <c r="CX230" s="217">
        <f t="shared" si="666"/>
        <v>0.44977777777777778</v>
      </c>
      <c r="CY230" s="217">
        <f t="shared" si="667"/>
        <v>0.14992592592592593</v>
      </c>
      <c r="CZ230" s="217">
        <f t="shared" si="668"/>
        <v>0.31563352826510727</v>
      </c>
      <c r="DA230" s="197">
        <f t="shared" si="669"/>
        <v>350</v>
      </c>
      <c r="DB230" s="443">
        <f t="shared" si="670"/>
        <v>350</v>
      </c>
      <c r="DD230" s="217">
        <f t="shared" si="671"/>
        <v>2.7602905569007259</v>
      </c>
      <c r="DE230" s="173">
        <f t="shared" si="672"/>
        <v>1.937046004842615</v>
      </c>
      <c r="DF230" s="173">
        <f t="shared" si="673"/>
        <v>0.83398609309454497</v>
      </c>
      <c r="DG230" s="173"/>
      <c r="DH230" s="173">
        <f t="shared" si="674"/>
        <v>0.93567251461988332</v>
      </c>
      <c r="DI230" s="545">
        <f t="shared" si="675"/>
        <v>224.43749999999994</v>
      </c>
      <c r="DJ230" s="528">
        <f t="shared" si="676"/>
        <v>0.21832358674463945</v>
      </c>
      <c r="DL230" s="173">
        <f t="shared" si="677"/>
        <v>1.1075498483890764</v>
      </c>
      <c r="DM230" s="173">
        <f t="shared" si="678"/>
        <v>1.3333333333333335</v>
      </c>
      <c r="DN230" s="173">
        <f t="shared" si="679"/>
        <v>1.12825</v>
      </c>
      <c r="DP230" s="545">
        <f t="shared" si="680"/>
        <v>140</v>
      </c>
      <c r="DQ230" s="460">
        <f t="shared" si="681"/>
        <v>224.43749999999994</v>
      </c>
      <c r="DS230">
        <f t="shared" si="682"/>
        <v>140</v>
      </c>
      <c r="DT230">
        <f t="shared" si="683"/>
        <v>224.43749999999994</v>
      </c>
      <c r="DV230" s="5">
        <f t="shared" si="684"/>
        <v>4.4555834029518255</v>
      </c>
      <c r="DW230" s="5">
        <f t="shared" si="685"/>
        <v>0.44444444444444453</v>
      </c>
      <c r="DX230" s="5">
        <f t="shared" si="686"/>
        <v>4.0111389585073809</v>
      </c>
      <c r="DY230" s="173">
        <f t="shared" si="687"/>
        <v>9.9749999999999991E-2</v>
      </c>
      <c r="EA230" s="5">
        <f t="shared" si="713"/>
        <v>0.37940379403794056</v>
      </c>
      <c r="EB230" s="5">
        <f t="shared" si="714"/>
        <v>0.1944444444444445</v>
      </c>
      <c r="EC230" s="5">
        <f t="shared" si="715"/>
        <v>0.2131846076095589</v>
      </c>
      <c r="ED230" s="5"/>
      <c r="EE230" s="173">
        <f t="shared" si="716"/>
        <v>0.24312776705080624</v>
      </c>
      <c r="EF230" s="173">
        <f t="shared" si="717"/>
        <v>0.73039816640068422</v>
      </c>
      <c r="EG230" s="173">
        <f t="shared" si="718"/>
        <v>0.17919381126903441</v>
      </c>
      <c r="EH230" s="173"/>
      <c r="EI230" s="528">
        <f t="shared" si="719"/>
        <v>1.1822222222222221E-3</v>
      </c>
      <c r="EJ230" s="528">
        <f t="shared" si="720"/>
        <v>0.31780349999999991</v>
      </c>
      <c r="EK230" s="528">
        <f t="shared" si="721"/>
        <v>2.8054687499999995E-2</v>
      </c>
      <c r="EL230" s="528">
        <f t="shared" si="722"/>
        <v>6.3282621937499978E-2</v>
      </c>
      <c r="EM230">
        <f t="shared" si="723"/>
        <v>1.6199999999999999E-2</v>
      </c>
      <c r="EN230" s="460">
        <f t="shared" si="724"/>
        <v>44.254687499999996</v>
      </c>
      <c r="EP230" s="460">
        <f t="shared" si="725"/>
        <v>426.52303165972205</v>
      </c>
      <c r="EQ230" s="173">
        <f t="shared" si="726"/>
        <v>9.8000000000000004E-2</v>
      </c>
      <c r="ER230" s="173">
        <f t="shared" si="688"/>
        <v>1.553125E-2</v>
      </c>
      <c r="ES230" s="528"/>
      <c r="EU230" s="460">
        <f t="shared" si="727"/>
        <v>113.53125</v>
      </c>
      <c r="EV230" s="528">
        <f t="shared" si="728"/>
        <v>1.7733333333333331E-3</v>
      </c>
      <c r="EW230" s="528">
        <f t="shared" si="729"/>
        <v>1.6004444444444446E-2</v>
      </c>
      <c r="EX230" s="528">
        <f t="shared" si="730"/>
        <v>1.6055210998561161E-4</v>
      </c>
      <c r="EY230" s="528">
        <f t="shared" si="731"/>
        <v>7.7456060056442136E-2</v>
      </c>
      <c r="EZ230" s="528"/>
      <c r="FA230" s="625">
        <f t="shared" si="732"/>
        <v>1.9949999999999998E-3</v>
      </c>
      <c r="FB230" s="460">
        <f t="shared" si="733"/>
        <v>97.389389944205533</v>
      </c>
      <c r="FC230" s="173">
        <f t="shared" si="734"/>
        <v>0.63744367160392745</v>
      </c>
      <c r="FD230" s="5">
        <f t="shared" si="735"/>
        <v>2.5759999999999996</v>
      </c>
      <c r="FE230" s="173">
        <f t="shared" si="736"/>
        <v>0.8016322248817388</v>
      </c>
      <c r="FF230" s="5">
        <f t="shared" si="737"/>
        <v>80.163222488173886</v>
      </c>
      <c r="FG230">
        <f t="shared" si="738"/>
        <v>14.000000000000002</v>
      </c>
      <c r="FI230" s="562">
        <f t="shared" si="689"/>
        <v>-50</v>
      </c>
    </row>
    <row r="231" spans="5:165">
      <c r="E231" s="170">
        <v>15</v>
      </c>
      <c r="F231" s="217">
        <f t="shared" si="690"/>
        <v>0.15</v>
      </c>
      <c r="G231" s="217">
        <f t="shared" si="617"/>
        <v>3.7499999999999999E-2</v>
      </c>
      <c r="H231" s="217">
        <f t="shared" si="618"/>
        <v>2.4599999999999995</v>
      </c>
      <c r="I231" s="217">
        <f t="shared" si="619"/>
        <v>0.3</v>
      </c>
      <c r="J231" s="541">
        <f t="shared" si="620"/>
        <v>35.955956297288054</v>
      </c>
      <c r="K231" s="443">
        <f t="shared" si="621"/>
        <v>17.119586365946599</v>
      </c>
      <c r="L231" s="172">
        <f t="shared" si="622"/>
        <v>53.075542663234657</v>
      </c>
      <c r="M231" s="443"/>
      <c r="N231" s="217">
        <f t="shared" si="623"/>
        <v>0.32255132038066392</v>
      </c>
      <c r="O231" s="172">
        <f t="shared" si="624"/>
        <v>34.456760025277397</v>
      </c>
      <c r="P231" s="172">
        <f t="shared" si="625"/>
        <v>4.7144882842437852</v>
      </c>
      <c r="Q231" s="217">
        <f t="shared" si="626"/>
        <v>2.1010219527608172</v>
      </c>
      <c r="R231" s="217">
        <f t="shared" si="627"/>
        <v>4.3070950031596746</v>
      </c>
      <c r="S231" s="217">
        <f t="shared" si="628"/>
        <v>16.399999999999999</v>
      </c>
      <c r="T231" s="217">
        <f t="shared" si="629"/>
        <v>0.47595885358835238</v>
      </c>
      <c r="U231" s="217">
        <f t="shared" si="630"/>
        <v>0.15884729071970236</v>
      </c>
      <c r="V231" s="217">
        <f t="shared" si="631"/>
        <v>0.33362407951755557</v>
      </c>
      <c r="W231" s="197">
        <f t="shared" si="632"/>
        <v>350</v>
      </c>
      <c r="X231" s="443">
        <f t="shared" si="691"/>
        <v>350</v>
      </c>
      <c r="Z231" s="217">
        <f t="shared" si="633"/>
        <v>2.7613431379142166</v>
      </c>
      <c r="AA231" s="173">
        <f t="shared" si="634"/>
        <v>1.9355676560552457</v>
      </c>
      <c r="AB231" s="173">
        <f t="shared" si="635"/>
        <v>0.83366737796730317</v>
      </c>
      <c r="AC231" s="173"/>
      <c r="AD231" s="173">
        <f t="shared" si="636"/>
        <v>0.93460202004800652</v>
      </c>
      <c r="AE231" s="545">
        <f t="shared" si="637"/>
        <v>240.744183271124</v>
      </c>
      <c r="AF231" s="528">
        <f t="shared" si="638"/>
        <v>0.21807380467786819</v>
      </c>
      <c r="AH231" s="173">
        <f t="shared" si="639"/>
        <v>1.1464230084422216</v>
      </c>
      <c r="AI231" s="173">
        <f t="shared" si="640"/>
        <v>1.3333333333333335</v>
      </c>
      <c r="AJ231" s="173">
        <f t="shared" si="641"/>
        <v>1.1375681047263566</v>
      </c>
      <c r="AL231" s="545">
        <f t="shared" si="642"/>
        <v>150</v>
      </c>
      <c r="AM231" s="460">
        <f t="shared" si="643"/>
        <v>240.744183271124</v>
      </c>
      <c r="AO231">
        <f t="shared" si="644"/>
        <v>150</v>
      </c>
      <c r="AP231">
        <f t="shared" si="645"/>
        <v>240.744183271124</v>
      </c>
      <c r="AR231" s="5">
        <f t="shared" si="616"/>
        <v>4.1537867557689188</v>
      </c>
      <c r="AS231" s="5">
        <f t="shared" si="604"/>
        <v>0.4449888599182325</v>
      </c>
      <c r="AT231" s="5">
        <f t="shared" si="605"/>
        <v>3.7087978958506862</v>
      </c>
      <c r="AU231" s="173">
        <f t="shared" si="606"/>
        <v>0.10712847964576347</v>
      </c>
      <c r="BA231" s="173">
        <f t="shared" si="692"/>
        <v>0.25195940842482106</v>
      </c>
      <c r="BB231" s="173">
        <f t="shared" si="693"/>
        <v>0.72739882396028588</v>
      </c>
      <c r="BC231" s="173">
        <f t="shared" si="694"/>
        <v>0.17845796111507728</v>
      </c>
      <c r="BD231" s="173"/>
      <c r="BE231" s="528">
        <f t="shared" si="695"/>
        <v>1.2696708698757158E-3</v>
      </c>
      <c r="BF231" s="528">
        <f t="shared" si="646"/>
        <v>0.31944070425330312</v>
      </c>
      <c r="BG231" s="528">
        <f t="shared" si="647"/>
        <v>0.216404683313071</v>
      </c>
      <c r="BH231" s="528">
        <f t="shared" si="696"/>
        <v>6.7817954907879674E-2</v>
      </c>
      <c r="BI231">
        <f t="shared" si="697"/>
        <v>1.6180180333779624E-2</v>
      </c>
      <c r="BJ231" s="460">
        <f t="shared" si="698"/>
        <v>232.58486364685064</v>
      </c>
      <c r="BK231">
        <f t="shared" si="648"/>
        <v>0.38898848880098535</v>
      </c>
      <c r="BL231" s="460">
        <f t="shared" si="699"/>
        <v>621.11319367790918</v>
      </c>
      <c r="BM231" s="173">
        <f t="shared" si="649"/>
        <v>9.3187499999999993E-2</v>
      </c>
      <c r="BN231" s="173">
        <f t="shared" si="650"/>
        <v>1.6640624999999999E-2</v>
      </c>
      <c r="BQ231" s="460">
        <f t="shared" si="700"/>
        <v>109.828125</v>
      </c>
      <c r="BR231" s="528">
        <f t="shared" si="701"/>
        <v>1.9045063048135737E-3</v>
      </c>
      <c r="BS231" s="528">
        <f t="shared" si="702"/>
        <v>1.5873271472964207E-2</v>
      </c>
      <c r="BT231" s="528">
        <f t="shared" si="703"/>
        <v>1.5923621942675218E-4</v>
      </c>
      <c r="BU231" s="528">
        <f t="shared" si="704"/>
        <v>9.2300988619647292E-2</v>
      </c>
      <c r="BV231" s="528"/>
      <c r="BW231" s="625">
        <f t="shared" si="705"/>
        <v>2.1399482957433248E-3</v>
      </c>
      <c r="BX231" s="460">
        <f t="shared" si="706"/>
        <v>112.37795091259514</v>
      </c>
      <c r="BY231" s="173">
        <f t="shared" si="707"/>
        <v>0.84331926959050429</v>
      </c>
      <c r="BZ231" s="5">
        <f t="shared" si="708"/>
        <v>2.7599999999999993</v>
      </c>
      <c r="CA231" s="173">
        <f t="shared" si="709"/>
        <v>0.76596043633781508</v>
      </c>
      <c r="CB231" s="5">
        <f t="shared" si="710"/>
        <v>76.596043633781505</v>
      </c>
      <c r="CC231">
        <f t="shared" si="711"/>
        <v>15</v>
      </c>
      <c r="CE231" s="562">
        <f t="shared" si="651"/>
        <v>-50</v>
      </c>
      <c r="CG231" s="173">
        <f t="shared" si="652"/>
        <v>0.2297516554254434</v>
      </c>
      <c r="CH231" s="173">
        <f t="shared" si="653"/>
        <v>8.175764993178572E-2</v>
      </c>
      <c r="CI231" s="170">
        <v>15</v>
      </c>
      <c r="CJ231" s="217">
        <f t="shared" si="712"/>
        <v>0.15</v>
      </c>
      <c r="CK231" s="217">
        <f t="shared" si="654"/>
        <v>3.7499999999999999E-2</v>
      </c>
      <c r="CL231" s="217">
        <f t="shared" si="655"/>
        <v>2.4599999999999995</v>
      </c>
      <c r="CM231" s="217">
        <f t="shared" si="656"/>
        <v>0.3</v>
      </c>
      <c r="CN231" s="541">
        <f t="shared" si="657"/>
        <v>36</v>
      </c>
      <c r="CO231" s="443">
        <f t="shared" si="658"/>
        <v>17.099999999999998</v>
      </c>
      <c r="CP231" s="443">
        <f t="shared" si="659"/>
        <v>53.099999999999994</v>
      </c>
      <c r="CQ231" s="443"/>
      <c r="CR231" s="217">
        <f t="shared" si="660"/>
        <v>0.31818181818181812</v>
      </c>
      <c r="CS231" s="172">
        <f t="shared" si="661"/>
        <v>34.031620553359687</v>
      </c>
      <c r="CT231" s="172">
        <f t="shared" si="662"/>
        <v>4.6563192904656319</v>
      </c>
      <c r="CU231" s="217">
        <f t="shared" si="663"/>
        <v>2.0750988142292495</v>
      </c>
      <c r="CV231" s="217">
        <f t="shared" si="664"/>
        <v>4.2539525691699609</v>
      </c>
      <c r="CW231" s="217">
        <f t="shared" si="665"/>
        <v>16.399999999999999</v>
      </c>
      <c r="CX231" s="217">
        <f t="shared" si="666"/>
        <v>0.48190476190476184</v>
      </c>
      <c r="CY231" s="217">
        <f t="shared" si="667"/>
        <v>0.1606349206349206</v>
      </c>
      <c r="CZ231" s="217">
        <f t="shared" si="668"/>
        <v>0.33817878028404347</v>
      </c>
      <c r="DA231" s="197">
        <f t="shared" si="669"/>
        <v>350</v>
      </c>
      <c r="DB231" s="443">
        <f t="shared" si="670"/>
        <v>350</v>
      </c>
      <c r="DD231" s="217">
        <f t="shared" si="671"/>
        <v>2.7602905569007259</v>
      </c>
      <c r="DE231" s="173">
        <f t="shared" si="672"/>
        <v>1.937046004842615</v>
      </c>
      <c r="DF231" s="173">
        <f t="shared" si="673"/>
        <v>0.83398609309454497</v>
      </c>
      <c r="DG231" s="173"/>
      <c r="DH231" s="173">
        <f t="shared" si="674"/>
        <v>0.93567251461988332</v>
      </c>
      <c r="DI231" s="545">
        <f t="shared" si="675"/>
        <v>240.46874999999989</v>
      </c>
      <c r="DJ231" s="528">
        <f t="shared" si="676"/>
        <v>0.21832358674463945</v>
      </c>
      <c r="DL231" s="173">
        <f t="shared" si="677"/>
        <v>1.1464230084422216</v>
      </c>
      <c r="DM231" s="173">
        <f t="shared" si="678"/>
        <v>1.3333333333333335</v>
      </c>
      <c r="DN231" s="173">
        <f t="shared" si="679"/>
        <v>1.1374107142857142</v>
      </c>
      <c r="DP231" s="545">
        <f t="shared" si="680"/>
        <v>150</v>
      </c>
      <c r="DQ231" s="460">
        <f t="shared" si="681"/>
        <v>240.46874999999989</v>
      </c>
      <c r="DS231">
        <f t="shared" si="682"/>
        <v>150</v>
      </c>
      <c r="DT231">
        <f t="shared" si="683"/>
        <v>240.46874999999989</v>
      </c>
      <c r="DV231" s="5">
        <f t="shared" si="684"/>
        <v>4.1585445094217048</v>
      </c>
      <c r="DW231" s="5">
        <f t="shared" si="685"/>
        <v>0.44444444444444453</v>
      </c>
      <c r="DX231" s="5">
        <f t="shared" si="686"/>
        <v>3.7141000649772602</v>
      </c>
      <c r="DY231" s="173">
        <f t="shared" si="687"/>
        <v>0.10687499999999996</v>
      </c>
      <c r="EA231" s="5">
        <f t="shared" si="713"/>
        <v>0.40650406504065056</v>
      </c>
      <c r="EB231" s="5">
        <f t="shared" si="714"/>
        <v>0.20833333333333337</v>
      </c>
      <c r="EC231" s="5">
        <f t="shared" si="715"/>
        <v>0.21149736481120499</v>
      </c>
      <c r="ED231" s="5"/>
      <c r="EE231" s="173">
        <f t="shared" si="716"/>
        <v>0.25166114784235832</v>
      </c>
      <c r="EF231" s="173">
        <f t="shared" si="717"/>
        <v>0.72750206821648233</v>
      </c>
      <c r="EG231" s="173">
        <f t="shared" si="718"/>
        <v>0.1784832907676018</v>
      </c>
      <c r="EH231" s="173"/>
      <c r="EI231" s="528">
        <f t="shared" si="719"/>
        <v>1.2666666666666668E-3</v>
      </c>
      <c r="EJ231" s="528">
        <f t="shared" si="720"/>
        <v>0.34050374999999988</v>
      </c>
      <c r="EK231" s="528">
        <f t="shared" si="721"/>
        <v>3.0058593749999984E-2</v>
      </c>
      <c r="EL231" s="528">
        <f t="shared" si="722"/>
        <v>6.7802809218749954E-2</v>
      </c>
      <c r="EM231">
        <f t="shared" si="723"/>
        <v>1.6199999999999999E-2</v>
      </c>
      <c r="EN231" s="460">
        <f t="shared" si="724"/>
        <v>46.258593749999982</v>
      </c>
      <c r="EP231" s="460">
        <f t="shared" si="725"/>
        <v>455.83181963541654</v>
      </c>
      <c r="EQ231" s="173">
        <f t="shared" si="726"/>
        <v>0.105</v>
      </c>
      <c r="ER231" s="173">
        <f t="shared" si="688"/>
        <v>1.6640624999999999E-2</v>
      </c>
      <c r="ES231" s="528"/>
      <c r="EU231" s="460">
        <f t="shared" si="727"/>
        <v>121.640625</v>
      </c>
      <c r="EV231" s="528">
        <f t="shared" si="728"/>
        <v>1.9E-3</v>
      </c>
      <c r="EW231" s="528">
        <f t="shared" si="729"/>
        <v>1.5877777777777779E-2</v>
      </c>
      <c r="EX231" s="528">
        <f t="shared" si="730"/>
        <v>1.5928142541616147E-4</v>
      </c>
      <c r="EY231" s="528">
        <f t="shared" si="731"/>
        <v>9.2037213265127621E-2</v>
      </c>
      <c r="EZ231" s="528"/>
      <c r="FA231" s="625">
        <f t="shared" si="732"/>
        <v>2.1374999999999996E-3</v>
      </c>
      <c r="FB231" s="460">
        <f t="shared" si="733"/>
        <v>112.11177246832156</v>
      </c>
      <c r="FC231" s="173">
        <f t="shared" si="734"/>
        <v>0.68958421710373807</v>
      </c>
      <c r="FD231" s="5">
        <f t="shared" si="735"/>
        <v>2.7599999999999993</v>
      </c>
      <c r="FE231" s="173">
        <f t="shared" si="736"/>
        <v>0.80009642504605638</v>
      </c>
      <c r="FF231" s="5">
        <f t="shared" si="737"/>
        <v>80.009642504605637</v>
      </c>
      <c r="FG231">
        <f t="shared" si="738"/>
        <v>15</v>
      </c>
      <c r="FI231" s="562">
        <f t="shared" si="689"/>
        <v>-50</v>
      </c>
    </row>
    <row r="232" spans="5:165">
      <c r="E232" s="170">
        <v>16</v>
      </c>
      <c r="F232" s="217">
        <f t="shared" si="690"/>
        <v>0.16</v>
      </c>
      <c r="G232" s="217">
        <f t="shared" si="617"/>
        <v>0.04</v>
      </c>
      <c r="H232" s="217">
        <f t="shared" si="618"/>
        <v>2.6239999999999997</v>
      </c>
      <c r="I232" s="217">
        <f t="shared" si="619"/>
        <v>0.32</v>
      </c>
      <c r="J232" s="541">
        <f t="shared" si="620"/>
        <v>35.955956297288054</v>
      </c>
      <c r="K232" s="443">
        <f t="shared" si="621"/>
        <v>17.119586365946599</v>
      </c>
      <c r="L232" s="172">
        <f t="shared" si="622"/>
        <v>53.075542663234657</v>
      </c>
      <c r="M232" s="443"/>
      <c r="N232" s="217">
        <f t="shared" si="623"/>
        <v>0.32255132038066392</v>
      </c>
      <c r="O232" s="172">
        <f t="shared" si="624"/>
        <v>34.456760025277397</v>
      </c>
      <c r="P232" s="172">
        <f t="shared" si="625"/>
        <v>4.7144882842437852</v>
      </c>
      <c r="Q232" s="217">
        <f t="shared" si="626"/>
        <v>2.1010219527608172</v>
      </c>
      <c r="R232" s="217">
        <f t="shared" si="627"/>
        <v>4.3070950031596746</v>
      </c>
      <c r="S232" s="217">
        <f t="shared" si="628"/>
        <v>16.399999999999999</v>
      </c>
      <c r="T232" s="217">
        <f t="shared" si="629"/>
        <v>0.50768944382757586</v>
      </c>
      <c r="U232" s="217">
        <f t="shared" si="630"/>
        <v>0.16943711010101584</v>
      </c>
      <c r="V232" s="217">
        <f t="shared" si="631"/>
        <v>0.35586568481872594</v>
      </c>
      <c r="W232" s="197">
        <f t="shared" si="632"/>
        <v>350</v>
      </c>
      <c r="X232" s="443">
        <f t="shared" si="691"/>
        <v>350</v>
      </c>
      <c r="Z232" s="217">
        <f t="shared" si="633"/>
        <v>2.7613431379142166</v>
      </c>
      <c r="AA232" s="173">
        <f t="shared" si="634"/>
        <v>1.9355676560552457</v>
      </c>
      <c r="AB232" s="173">
        <f t="shared" si="635"/>
        <v>0.83366737796730317</v>
      </c>
      <c r="AC232" s="173"/>
      <c r="AD232" s="173">
        <f t="shared" si="636"/>
        <v>0.93460202004800652</v>
      </c>
      <c r="AE232" s="545">
        <f t="shared" si="637"/>
        <v>256.79379548919894</v>
      </c>
      <c r="AF232" s="528">
        <f t="shared" si="638"/>
        <v>0.21807380467786819</v>
      </c>
      <c r="AH232" s="173">
        <f t="shared" si="639"/>
        <v>1.1840205918415276</v>
      </c>
      <c r="AI232" s="173">
        <f t="shared" si="640"/>
        <v>1.3333333333333335</v>
      </c>
      <c r="AJ232" s="173">
        <f t="shared" si="641"/>
        <v>1.1467393117081137</v>
      </c>
      <c r="AL232" s="545">
        <f t="shared" si="642"/>
        <v>160</v>
      </c>
      <c r="AM232" s="460">
        <f t="shared" si="643"/>
        <v>256.79379548919894</v>
      </c>
      <c r="AO232">
        <f t="shared" si="644"/>
        <v>160</v>
      </c>
      <c r="AP232">
        <f t="shared" si="645"/>
        <v>256.79379548919894</v>
      </c>
      <c r="AR232" s="5">
        <f t="shared" si="616"/>
        <v>3.8941750835333604</v>
      </c>
      <c r="AS232" s="5">
        <f t="shared" si="604"/>
        <v>0.4449888599182325</v>
      </c>
      <c r="AT232" s="5">
        <f t="shared" si="605"/>
        <v>3.4491862236151278</v>
      </c>
      <c r="AU232" s="173">
        <f t="shared" si="606"/>
        <v>0.11427037828881439</v>
      </c>
      <c r="BA232" s="173">
        <f t="shared" si="692"/>
        <v>0.26022255806656125</v>
      </c>
      <c r="BB232" s="173">
        <f t="shared" si="693"/>
        <v>0.72448382512371379</v>
      </c>
      <c r="BC232" s="173">
        <f t="shared" si="694"/>
        <v>0.17774280358128414</v>
      </c>
      <c r="BD232" s="173"/>
      <c r="BE232" s="528">
        <f t="shared" si="695"/>
        <v>1.3543155945340969E-3</v>
      </c>
      <c r="BF232" s="528">
        <f t="shared" si="646"/>
        <v>0.34073675120352342</v>
      </c>
      <c r="BG232" s="528">
        <f t="shared" si="647"/>
        <v>0.23083166220060911</v>
      </c>
      <c r="BH232" s="528">
        <f t="shared" si="696"/>
        <v>7.2339151901738313E-2</v>
      </c>
      <c r="BI232">
        <f t="shared" si="697"/>
        <v>1.6180180333779624E-2</v>
      </c>
      <c r="BJ232" s="460">
        <f t="shared" si="698"/>
        <v>247.01184253438873</v>
      </c>
      <c r="BK232">
        <f t="shared" si="648"/>
        <v>0.41492940212784002</v>
      </c>
      <c r="BL232" s="460">
        <f t="shared" si="699"/>
        <v>661.44206123418462</v>
      </c>
      <c r="BM232" s="173">
        <f t="shared" si="649"/>
        <v>9.9399999999999988E-2</v>
      </c>
      <c r="BN232" s="173">
        <f t="shared" si="650"/>
        <v>1.7749999999999998E-2</v>
      </c>
      <c r="BQ232" s="460">
        <f t="shared" si="700"/>
        <v>117.14999999999999</v>
      </c>
      <c r="BR232" s="528">
        <f t="shared" si="701"/>
        <v>2.0314733918011451E-3</v>
      </c>
      <c r="BS232" s="528">
        <f t="shared" si="702"/>
        <v>1.5746304385976639E-2</v>
      </c>
      <c r="BT232" s="528">
        <f t="shared" si="703"/>
        <v>1.5796252112467476E-4</v>
      </c>
      <c r="BU232" s="528">
        <f t="shared" si="704"/>
        <v>0.10846213818212477</v>
      </c>
      <c r="BV232" s="528"/>
      <c r="BW232" s="625">
        <f t="shared" si="705"/>
        <v>2.2826115154595465E-3</v>
      </c>
      <c r="BX232" s="460">
        <f t="shared" si="706"/>
        <v>128.68048999648678</v>
      </c>
      <c r="BY232" s="173">
        <f t="shared" si="707"/>
        <v>0.90727255123067141</v>
      </c>
      <c r="BZ232" s="5">
        <f t="shared" si="708"/>
        <v>2.9439999999999995</v>
      </c>
      <c r="CA232" s="173">
        <f t="shared" si="709"/>
        <v>0.76442265792361197</v>
      </c>
      <c r="CB232" s="5">
        <f t="shared" si="710"/>
        <v>76.442265792361198</v>
      </c>
      <c r="CC232">
        <f t="shared" si="711"/>
        <v>16</v>
      </c>
      <c r="CE232" s="562">
        <f t="shared" si="651"/>
        <v>-50</v>
      </c>
      <c r="CG232" s="173">
        <f t="shared" si="652"/>
        <v>0.24506843245380633</v>
      </c>
      <c r="CH232" s="173">
        <f t="shared" si="653"/>
        <v>8.7208159927238099E-2</v>
      </c>
      <c r="CI232" s="170">
        <v>16</v>
      </c>
      <c r="CJ232" s="217">
        <f t="shared" si="712"/>
        <v>0.16</v>
      </c>
      <c r="CK232" s="217">
        <f t="shared" si="654"/>
        <v>0.04</v>
      </c>
      <c r="CL232" s="217">
        <f t="shared" si="655"/>
        <v>2.6239999999999997</v>
      </c>
      <c r="CM232" s="217">
        <f t="shared" si="656"/>
        <v>0.32</v>
      </c>
      <c r="CN232" s="541">
        <f t="shared" si="657"/>
        <v>36</v>
      </c>
      <c r="CO232" s="443">
        <f t="shared" si="658"/>
        <v>17.099999999999998</v>
      </c>
      <c r="CP232" s="443">
        <f t="shared" si="659"/>
        <v>53.099999999999994</v>
      </c>
      <c r="CQ232" s="443"/>
      <c r="CR232" s="217">
        <f t="shared" si="660"/>
        <v>0.31818181818181812</v>
      </c>
      <c r="CS232" s="172">
        <f t="shared" si="661"/>
        <v>34.031620553359687</v>
      </c>
      <c r="CT232" s="172">
        <f t="shared" si="662"/>
        <v>4.6563192904656319</v>
      </c>
      <c r="CU232" s="217">
        <f t="shared" si="663"/>
        <v>2.0750988142292495</v>
      </c>
      <c r="CV232" s="217">
        <f t="shared" si="664"/>
        <v>4.2539525691699609</v>
      </c>
      <c r="CW232" s="217">
        <f t="shared" si="665"/>
        <v>16.399999999999999</v>
      </c>
      <c r="CX232" s="217">
        <f t="shared" si="666"/>
        <v>0.51403174603174595</v>
      </c>
      <c r="CY232" s="217">
        <f t="shared" si="667"/>
        <v>0.17134391534391533</v>
      </c>
      <c r="CZ232" s="217">
        <f t="shared" si="668"/>
        <v>0.36072403230297967</v>
      </c>
      <c r="DA232" s="197">
        <f t="shared" si="669"/>
        <v>350</v>
      </c>
      <c r="DB232" s="443">
        <f t="shared" si="670"/>
        <v>350</v>
      </c>
      <c r="DD232" s="217">
        <f t="shared" si="671"/>
        <v>2.7602905569007259</v>
      </c>
      <c r="DE232" s="173">
        <f t="shared" si="672"/>
        <v>1.937046004842615</v>
      </c>
      <c r="DF232" s="173">
        <f t="shared" si="673"/>
        <v>0.83398609309454497</v>
      </c>
      <c r="DG232" s="173"/>
      <c r="DH232" s="173">
        <f t="shared" si="674"/>
        <v>0.93567251461988332</v>
      </c>
      <c r="DI232" s="545">
        <f t="shared" si="675"/>
        <v>256.49999999999989</v>
      </c>
      <c r="DJ232" s="528">
        <f t="shared" si="676"/>
        <v>0.21832358674463945</v>
      </c>
      <c r="DL232" s="173">
        <f t="shared" si="677"/>
        <v>1.1840205918415276</v>
      </c>
      <c r="DM232" s="173">
        <f t="shared" si="678"/>
        <v>1.3333333333333335</v>
      </c>
      <c r="DN232" s="173">
        <f t="shared" si="679"/>
        <v>1.1465714285714286</v>
      </c>
      <c r="DP232" s="545">
        <f t="shared" si="680"/>
        <v>160</v>
      </c>
      <c r="DQ232" s="460">
        <f t="shared" si="681"/>
        <v>256.49999999999989</v>
      </c>
      <c r="DS232">
        <f t="shared" si="682"/>
        <v>160</v>
      </c>
      <c r="DT232">
        <f t="shared" si="683"/>
        <v>256.49999999999989</v>
      </c>
      <c r="DV232" s="5">
        <f t="shared" si="684"/>
        <v>3.8986354775828476</v>
      </c>
      <c r="DW232" s="5">
        <f t="shared" si="685"/>
        <v>0.44444444444444453</v>
      </c>
      <c r="DX232" s="5">
        <f t="shared" si="686"/>
        <v>3.4541910331384029</v>
      </c>
      <c r="DY232" s="173">
        <f t="shared" si="687"/>
        <v>0.11399999999999998</v>
      </c>
      <c r="EA232" s="5">
        <f t="shared" si="713"/>
        <v>0.43360433604336057</v>
      </c>
      <c r="EB232" s="5">
        <f t="shared" si="714"/>
        <v>0.22222222222222227</v>
      </c>
      <c r="EC232" s="5">
        <f t="shared" si="715"/>
        <v>0.2098101220128511</v>
      </c>
      <c r="ED232" s="5"/>
      <c r="EE232" s="173">
        <f t="shared" si="716"/>
        <v>0.25991451586157238</v>
      </c>
      <c r="EF232" s="173">
        <f t="shared" si="717"/>
        <v>0.72459439484240906</v>
      </c>
      <c r="EG232" s="173">
        <f t="shared" si="718"/>
        <v>0.17776993044196834</v>
      </c>
      <c r="EH232" s="173"/>
      <c r="EI232" s="528">
        <f t="shared" si="719"/>
        <v>1.3511111111111113E-3</v>
      </c>
      <c r="EJ232" s="528">
        <f t="shared" si="720"/>
        <v>0.3632039999999998</v>
      </c>
      <c r="EK232" s="528">
        <f t="shared" si="721"/>
        <v>3.2062499999999987E-2</v>
      </c>
      <c r="EL232" s="528">
        <f t="shared" si="722"/>
        <v>7.2322996499999945E-2</v>
      </c>
      <c r="EM232">
        <f t="shared" si="723"/>
        <v>1.6199999999999999E-2</v>
      </c>
      <c r="EN232" s="460">
        <f t="shared" si="724"/>
        <v>48.262499999999989</v>
      </c>
      <c r="EP232" s="460">
        <f t="shared" si="725"/>
        <v>485.14060761111091</v>
      </c>
      <c r="EQ232" s="173">
        <f t="shared" si="726"/>
        <v>0.11199999999999999</v>
      </c>
      <c r="ER232" s="173">
        <f t="shared" si="688"/>
        <v>1.7749999999999998E-2</v>
      </c>
      <c r="ES232" s="528"/>
      <c r="EU232" s="460">
        <f t="shared" si="727"/>
        <v>129.74999999999997</v>
      </c>
      <c r="EV232" s="528">
        <f t="shared" si="728"/>
        <v>2.0266666666666666E-3</v>
      </c>
      <c r="EW232" s="528">
        <f t="shared" si="729"/>
        <v>1.5751111111111108E-2</v>
      </c>
      <c r="EX232" s="528">
        <f t="shared" si="730"/>
        <v>1.5801074084671133E-4</v>
      </c>
      <c r="EY232" s="528">
        <f t="shared" si="731"/>
        <v>0.10815217791648944</v>
      </c>
      <c r="EZ232" s="528"/>
      <c r="FA232" s="625">
        <f t="shared" si="732"/>
        <v>2.2799999999999995E-3</v>
      </c>
      <c r="FB232" s="460">
        <f t="shared" si="733"/>
        <v>128.36796643511394</v>
      </c>
      <c r="FC232" s="173">
        <f t="shared" si="734"/>
        <v>0.74325857404622486</v>
      </c>
      <c r="FD232" s="5">
        <f t="shared" si="735"/>
        <v>2.9439999999999995</v>
      </c>
      <c r="FE232" s="173">
        <f t="shared" si="736"/>
        <v>0.79842515540465397</v>
      </c>
      <c r="FF232" s="5">
        <f t="shared" si="737"/>
        <v>79.842515540465399</v>
      </c>
      <c r="FG232">
        <f t="shared" si="738"/>
        <v>16</v>
      </c>
      <c r="FI232" s="562">
        <f t="shared" si="689"/>
        <v>-50</v>
      </c>
    </row>
    <row r="233" spans="5:165">
      <c r="E233" s="170">
        <v>17</v>
      </c>
      <c r="F233" s="217">
        <f t="shared" si="690"/>
        <v>0.17</v>
      </c>
      <c r="G233" s="217">
        <f t="shared" si="617"/>
        <v>4.2500000000000003E-2</v>
      </c>
      <c r="H233" s="217">
        <f t="shared" si="618"/>
        <v>2.7879999999999998</v>
      </c>
      <c r="I233" s="217">
        <f t="shared" si="619"/>
        <v>0.34</v>
      </c>
      <c r="J233" s="541">
        <f t="shared" si="620"/>
        <v>35.955956297288054</v>
      </c>
      <c r="K233" s="443">
        <f t="shared" si="621"/>
        <v>17.119586365946599</v>
      </c>
      <c r="L233" s="172">
        <f t="shared" si="622"/>
        <v>53.075542663234657</v>
      </c>
      <c r="M233" s="443"/>
      <c r="N233" s="217">
        <f t="shared" si="623"/>
        <v>0.32255132038066392</v>
      </c>
      <c r="O233" s="172">
        <f t="shared" si="624"/>
        <v>34.456760025277397</v>
      </c>
      <c r="P233" s="172">
        <f t="shared" si="625"/>
        <v>4.7144882842437852</v>
      </c>
      <c r="Q233" s="217">
        <f t="shared" si="626"/>
        <v>2.1010219527608172</v>
      </c>
      <c r="R233" s="217">
        <f t="shared" si="627"/>
        <v>4.3070950031596746</v>
      </c>
      <c r="S233" s="217">
        <f t="shared" si="628"/>
        <v>16.399999999999999</v>
      </c>
      <c r="T233" s="217">
        <f t="shared" si="629"/>
        <v>0.53942003406679939</v>
      </c>
      <c r="U233" s="217">
        <f t="shared" si="630"/>
        <v>0.18002692948232937</v>
      </c>
      <c r="V233" s="217">
        <f t="shared" si="631"/>
        <v>0.37810729011989636</v>
      </c>
      <c r="W233" s="197">
        <f t="shared" si="632"/>
        <v>350</v>
      </c>
      <c r="X233" s="443">
        <f t="shared" si="691"/>
        <v>350</v>
      </c>
      <c r="Z233" s="217">
        <f t="shared" si="633"/>
        <v>2.7613431379142166</v>
      </c>
      <c r="AA233" s="173">
        <f t="shared" si="634"/>
        <v>1.9355676560552457</v>
      </c>
      <c r="AB233" s="173">
        <f t="shared" si="635"/>
        <v>0.83366737796730317</v>
      </c>
      <c r="AC233" s="173"/>
      <c r="AD233" s="173">
        <f t="shared" si="636"/>
        <v>0.93460202004800652</v>
      </c>
      <c r="AE233" s="545">
        <f t="shared" si="637"/>
        <v>272.84340770727391</v>
      </c>
      <c r="AF233" s="528">
        <f t="shared" si="638"/>
        <v>0.21807380467786819</v>
      </c>
      <c r="AH233" s="173">
        <f t="shared" si="639"/>
        <v>1.2204604907672387</v>
      </c>
      <c r="AI233" s="173">
        <f t="shared" si="640"/>
        <v>1.3333333333333335</v>
      </c>
      <c r="AJ233" s="173">
        <f t="shared" si="641"/>
        <v>1.1559105186898708</v>
      </c>
      <c r="AL233" s="545">
        <f t="shared" si="642"/>
        <v>170</v>
      </c>
      <c r="AM233" s="460">
        <f t="shared" si="643"/>
        <v>272.84340770727391</v>
      </c>
      <c r="AO233">
        <f t="shared" si="644"/>
        <v>170</v>
      </c>
      <c r="AP233">
        <f t="shared" si="645"/>
        <v>272.84340770727391</v>
      </c>
      <c r="AR233" s="5">
        <f t="shared" si="616"/>
        <v>3.665105960972574</v>
      </c>
      <c r="AS233" s="5">
        <f t="shared" si="604"/>
        <v>0.4449888599182325</v>
      </c>
      <c r="AT233" s="5">
        <f t="shared" si="605"/>
        <v>3.2201171010543415</v>
      </c>
      <c r="AU233" s="173">
        <f t="shared" si="606"/>
        <v>0.12141227693186532</v>
      </c>
      <c r="BA233" s="173">
        <f t="shared" si="692"/>
        <v>0.26823127326921431</v>
      </c>
      <c r="BB233" s="173">
        <f t="shared" si="693"/>
        <v>0.72155705015817628</v>
      </c>
      <c r="BC233" s="173">
        <f t="shared" si="694"/>
        <v>0.1770247569254636</v>
      </c>
      <c r="BD233" s="173"/>
      <c r="BE233" s="528">
        <f t="shared" si="695"/>
        <v>1.4389603191924786E-3</v>
      </c>
      <c r="BF233" s="528">
        <f t="shared" si="646"/>
        <v>0.36203279815374367</v>
      </c>
      <c r="BG233" s="528">
        <f t="shared" si="647"/>
        <v>0.24525864108814718</v>
      </c>
      <c r="BH233" s="528">
        <f t="shared" si="696"/>
        <v>7.686034889559698E-2</v>
      </c>
      <c r="BI233">
        <f t="shared" si="697"/>
        <v>1.6180180333779624E-2</v>
      </c>
      <c r="BJ233" s="460">
        <f t="shared" si="698"/>
        <v>261.43882142192683</v>
      </c>
      <c r="BK233">
        <f t="shared" si="648"/>
        <v>0.44087135923740944</v>
      </c>
      <c r="BL233" s="460">
        <f t="shared" si="699"/>
        <v>701.77092879045995</v>
      </c>
      <c r="BM233" s="173">
        <f t="shared" si="649"/>
        <v>0.10561249999999998</v>
      </c>
      <c r="BN233" s="173">
        <f t="shared" si="650"/>
        <v>1.8859375000000001E-2</v>
      </c>
      <c r="BQ233" s="460">
        <f t="shared" si="700"/>
        <v>124.47187499999998</v>
      </c>
      <c r="BR233" s="528">
        <f t="shared" si="701"/>
        <v>2.1584404787887176E-3</v>
      </c>
      <c r="BS233" s="528">
        <f t="shared" si="702"/>
        <v>1.5619337298989067E-2</v>
      </c>
      <c r="BT233" s="528">
        <f t="shared" si="703"/>
        <v>1.5668882282259734E-4</v>
      </c>
      <c r="BU233" s="528">
        <f t="shared" si="704"/>
        <v>0.12621195923673248</v>
      </c>
      <c r="BV233" s="528"/>
      <c r="BW233" s="625">
        <f t="shared" si="705"/>
        <v>2.4252747351757686E-3</v>
      </c>
      <c r="BX233" s="460">
        <f t="shared" si="706"/>
        <v>146.57170057250863</v>
      </c>
      <c r="BY233" s="173">
        <f t="shared" si="707"/>
        <v>0.97281450436296857</v>
      </c>
      <c r="BZ233" s="5">
        <f t="shared" si="708"/>
        <v>3.1279999999999997</v>
      </c>
      <c r="CA233" s="173">
        <f t="shared" si="709"/>
        <v>0.7627752966324215</v>
      </c>
      <c r="CB233" s="5">
        <f t="shared" si="710"/>
        <v>76.277529663242149</v>
      </c>
      <c r="CC233">
        <f t="shared" si="711"/>
        <v>17</v>
      </c>
      <c r="CE233" s="562">
        <f t="shared" si="651"/>
        <v>-50</v>
      </c>
      <c r="CG233" s="173">
        <f t="shared" si="652"/>
        <v>0.26038520948216926</v>
      </c>
      <c r="CH233" s="173">
        <f t="shared" si="653"/>
        <v>9.2658669922690493E-2</v>
      </c>
      <c r="CI233" s="170">
        <v>17</v>
      </c>
      <c r="CJ233" s="217">
        <f t="shared" si="712"/>
        <v>0.17</v>
      </c>
      <c r="CK233" s="217">
        <f t="shared" si="654"/>
        <v>4.2500000000000003E-2</v>
      </c>
      <c r="CL233" s="217">
        <f t="shared" si="655"/>
        <v>2.7879999999999998</v>
      </c>
      <c r="CM233" s="217">
        <f t="shared" si="656"/>
        <v>0.34</v>
      </c>
      <c r="CN233" s="541">
        <f t="shared" si="657"/>
        <v>36</v>
      </c>
      <c r="CO233" s="443">
        <f t="shared" si="658"/>
        <v>17.099999999999998</v>
      </c>
      <c r="CP233" s="443">
        <f t="shared" si="659"/>
        <v>53.099999999999994</v>
      </c>
      <c r="CQ233" s="443"/>
      <c r="CR233" s="217">
        <f t="shared" si="660"/>
        <v>0.31818181818181812</v>
      </c>
      <c r="CS233" s="172">
        <f t="shared" si="661"/>
        <v>34.031620553359687</v>
      </c>
      <c r="CT233" s="172">
        <f t="shared" si="662"/>
        <v>4.6563192904656319</v>
      </c>
      <c r="CU233" s="217">
        <f t="shared" si="663"/>
        <v>2.0750988142292495</v>
      </c>
      <c r="CV233" s="217">
        <f t="shared" si="664"/>
        <v>4.2539525691699609</v>
      </c>
      <c r="CW233" s="217">
        <f t="shared" si="665"/>
        <v>16.399999999999999</v>
      </c>
      <c r="CX233" s="217">
        <f t="shared" si="666"/>
        <v>0.54615873015873018</v>
      </c>
      <c r="CY233" s="217">
        <f t="shared" si="667"/>
        <v>0.18205291005291005</v>
      </c>
      <c r="CZ233" s="217">
        <f t="shared" si="668"/>
        <v>0.38326928432191598</v>
      </c>
      <c r="DA233" s="197">
        <f t="shared" si="669"/>
        <v>350</v>
      </c>
      <c r="DB233" s="443">
        <f t="shared" si="670"/>
        <v>350</v>
      </c>
      <c r="DD233" s="217">
        <f t="shared" si="671"/>
        <v>2.7602905569007259</v>
      </c>
      <c r="DE233" s="173">
        <f t="shared" si="672"/>
        <v>1.937046004842615</v>
      </c>
      <c r="DF233" s="173">
        <f t="shared" si="673"/>
        <v>0.83398609309454497</v>
      </c>
      <c r="DG233" s="173"/>
      <c r="DH233" s="173">
        <f t="shared" si="674"/>
        <v>0.93567251461988332</v>
      </c>
      <c r="DI233" s="545">
        <f t="shared" si="675"/>
        <v>272.53124999999989</v>
      </c>
      <c r="DJ233" s="528">
        <f t="shared" si="676"/>
        <v>0.21832358674463945</v>
      </c>
      <c r="DL233" s="173">
        <f t="shared" si="677"/>
        <v>1.2204604907672387</v>
      </c>
      <c r="DM233" s="173">
        <f t="shared" si="678"/>
        <v>1.3333333333333335</v>
      </c>
      <c r="DN233" s="173">
        <f t="shared" si="679"/>
        <v>1.1557321428571428</v>
      </c>
      <c r="DP233" s="545">
        <f t="shared" si="680"/>
        <v>170</v>
      </c>
      <c r="DQ233" s="460">
        <f t="shared" si="681"/>
        <v>272.53124999999989</v>
      </c>
      <c r="DS233">
        <f t="shared" si="682"/>
        <v>170</v>
      </c>
      <c r="DT233">
        <f t="shared" si="683"/>
        <v>272.53124999999989</v>
      </c>
      <c r="DV233" s="5">
        <f t="shared" si="684"/>
        <v>3.6693039789015036</v>
      </c>
      <c r="DW233" s="5">
        <f t="shared" si="685"/>
        <v>0.44444444444444453</v>
      </c>
      <c r="DX233" s="5">
        <f t="shared" si="686"/>
        <v>3.224859534457059</v>
      </c>
      <c r="DY233" s="173">
        <f t="shared" si="687"/>
        <v>0.12112499999999997</v>
      </c>
      <c r="EA233" s="5">
        <f t="shared" si="713"/>
        <v>0.46070460704607064</v>
      </c>
      <c r="EB233" s="5">
        <f t="shared" si="714"/>
        <v>0.23611111111111113</v>
      </c>
      <c r="EC233" s="5">
        <f t="shared" si="715"/>
        <v>0.20812287921449721</v>
      </c>
      <c r="ED233" s="5"/>
      <c r="EE233" s="173">
        <f t="shared" si="716"/>
        <v>0.26791375063213491</v>
      </c>
      <c r="EF233" s="173">
        <f t="shared" si="717"/>
        <v>0.72167500636700388</v>
      </c>
      <c r="EG233" s="173">
        <f t="shared" si="718"/>
        <v>0.17705369596665371</v>
      </c>
      <c r="EH233" s="173"/>
      <c r="EI233" s="528">
        <f t="shared" si="719"/>
        <v>1.4355555555555556E-3</v>
      </c>
      <c r="EJ233" s="528">
        <f t="shared" si="720"/>
        <v>0.38590424999999978</v>
      </c>
      <c r="EK233" s="528">
        <f t="shared" si="721"/>
        <v>3.4066406249999986E-2</v>
      </c>
      <c r="EL233" s="528">
        <f t="shared" si="722"/>
        <v>7.6843183781249949E-2</v>
      </c>
      <c r="EM233">
        <f t="shared" si="723"/>
        <v>1.6199999999999999E-2</v>
      </c>
      <c r="EN233" s="460">
        <f t="shared" si="724"/>
        <v>50.266406249999989</v>
      </c>
      <c r="EP233" s="460">
        <f t="shared" si="725"/>
        <v>514.44939558680539</v>
      </c>
      <c r="EQ233" s="173">
        <f t="shared" si="726"/>
        <v>0.11899999999999999</v>
      </c>
      <c r="ER233" s="173">
        <f t="shared" si="688"/>
        <v>1.8859375000000001E-2</v>
      </c>
      <c r="ES233" s="528"/>
      <c r="EU233" s="460">
        <f t="shared" si="727"/>
        <v>137.859375</v>
      </c>
      <c r="EV233" s="528">
        <f t="shared" si="728"/>
        <v>2.1533333333333331E-3</v>
      </c>
      <c r="EW233" s="528">
        <f t="shared" si="729"/>
        <v>1.5624444444444451E-2</v>
      </c>
      <c r="EX233" s="528">
        <f t="shared" si="730"/>
        <v>1.5674005627726127E-4</v>
      </c>
      <c r="EY233" s="528">
        <f t="shared" si="731"/>
        <v>0.1258512739960847</v>
      </c>
      <c r="EZ233" s="528"/>
      <c r="FA233" s="625">
        <f t="shared" si="732"/>
        <v>2.4224999999999993E-3</v>
      </c>
      <c r="FB233" s="460">
        <f t="shared" si="733"/>
        <v>146.20829183013973</v>
      </c>
      <c r="FC233" s="173">
        <f t="shared" si="734"/>
        <v>0.79851706241694509</v>
      </c>
      <c r="FD233" s="5">
        <f t="shared" si="735"/>
        <v>3.1279999999999997</v>
      </c>
      <c r="FE233" s="173">
        <f t="shared" si="736"/>
        <v>0.79663476569093972</v>
      </c>
      <c r="FF233" s="5">
        <f t="shared" si="737"/>
        <v>79.663476569093973</v>
      </c>
      <c r="FG233">
        <f t="shared" si="738"/>
        <v>17</v>
      </c>
      <c r="FI233" s="562">
        <f t="shared" si="689"/>
        <v>-50</v>
      </c>
    </row>
    <row r="234" spans="5:165">
      <c r="E234" s="170">
        <v>18</v>
      </c>
      <c r="F234" s="217">
        <f t="shared" si="690"/>
        <v>0.18</v>
      </c>
      <c r="G234" s="217">
        <f t="shared" si="617"/>
        <v>4.4999999999999998E-2</v>
      </c>
      <c r="H234" s="217">
        <f t="shared" si="618"/>
        <v>2.9519999999999995</v>
      </c>
      <c r="I234" s="217">
        <f t="shared" si="619"/>
        <v>0.36</v>
      </c>
      <c r="J234" s="541">
        <f t="shared" si="620"/>
        <v>35.955956297288054</v>
      </c>
      <c r="K234" s="443">
        <f t="shared" si="621"/>
        <v>17.119586365946599</v>
      </c>
      <c r="L234" s="172">
        <f t="shared" si="622"/>
        <v>53.075542663234657</v>
      </c>
      <c r="M234" s="443"/>
      <c r="N234" s="217">
        <f t="shared" si="623"/>
        <v>0.32255132038066392</v>
      </c>
      <c r="O234" s="172">
        <f t="shared" si="624"/>
        <v>34.456760025277397</v>
      </c>
      <c r="P234" s="172">
        <f t="shared" si="625"/>
        <v>4.7144882842437852</v>
      </c>
      <c r="Q234" s="217">
        <f t="shared" si="626"/>
        <v>2.1010219527608172</v>
      </c>
      <c r="R234" s="217">
        <f t="shared" si="627"/>
        <v>4.3070950031596746</v>
      </c>
      <c r="S234" s="217">
        <f t="shared" si="628"/>
        <v>16.399999999999999</v>
      </c>
      <c r="T234" s="217">
        <f t="shared" si="629"/>
        <v>0.57115062430602281</v>
      </c>
      <c r="U234" s="217">
        <f t="shared" si="630"/>
        <v>0.19061674886364283</v>
      </c>
      <c r="V234" s="217">
        <f t="shared" si="631"/>
        <v>0.40034889542106666</v>
      </c>
      <c r="W234" s="197">
        <f t="shared" si="632"/>
        <v>350</v>
      </c>
      <c r="X234" s="443">
        <f t="shared" si="691"/>
        <v>350</v>
      </c>
      <c r="Z234" s="217">
        <f t="shared" si="633"/>
        <v>2.7613431379142166</v>
      </c>
      <c r="AA234" s="173">
        <f t="shared" si="634"/>
        <v>1.9355676560552457</v>
      </c>
      <c r="AB234" s="173">
        <f t="shared" si="635"/>
        <v>0.83366737796730317</v>
      </c>
      <c r="AC234" s="173"/>
      <c r="AD234" s="173">
        <f t="shared" si="636"/>
        <v>0.93460202004800652</v>
      </c>
      <c r="AE234" s="545">
        <f t="shared" si="637"/>
        <v>288.89301992534882</v>
      </c>
      <c r="AF234" s="528">
        <f t="shared" si="638"/>
        <v>0.21807380467786819</v>
      </c>
      <c r="AH234" s="173">
        <f t="shared" si="639"/>
        <v>1.2558434843334805</v>
      </c>
      <c r="AI234" s="173">
        <f t="shared" si="640"/>
        <v>1.3333333333333335</v>
      </c>
      <c r="AJ234" s="173">
        <f t="shared" si="641"/>
        <v>1.1650817256716279</v>
      </c>
      <c r="AL234" s="545">
        <f t="shared" si="642"/>
        <v>180</v>
      </c>
      <c r="AM234" s="460">
        <f t="shared" si="643"/>
        <v>288.89301992534882</v>
      </c>
      <c r="AO234">
        <f t="shared" si="644"/>
        <v>180</v>
      </c>
      <c r="AP234">
        <f t="shared" si="645"/>
        <v>288.89301992534882</v>
      </c>
      <c r="AR234" s="5">
        <f t="shared" si="616"/>
        <v>3.4614889631407646</v>
      </c>
      <c r="AS234" s="5">
        <f t="shared" si="604"/>
        <v>0.4449888599182325</v>
      </c>
      <c r="AT234" s="5">
        <f t="shared" si="605"/>
        <v>3.016500103222532</v>
      </c>
      <c r="AU234" s="173">
        <f t="shared" si="606"/>
        <v>0.12855417557491622</v>
      </c>
      <c r="BA234" s="173">
        <f t="shared" si="692"/>
        <v>0.27600770313986339</v>
      </c>
      <c r="BB234" s="173">
        <f t="shared" si="693"/>
        <v>0.71861835517891526</v>
      </c>
      <c r="BC234" s="173">
        <f t="shared" si="694"/>
        <v>0.17630378584733788</v>
      </c>
      <c r="BD234" s="173"/>
      <c r="BE234" s="528">
        <f t="shared" si="695"/>
        <v>1.5236050438508593E-3</v>
      </c>
      <c r="BF234" s="528">
        <f t="shared" si="646"/>
        <v>0.38332884510396387</v>
      </c>
      <c r="BG234" s="528">
        <f t="shared" si="647"/>
        <v>0.25968561997568523</v>
      </c>
      <c r="BH234" s="528">
        <f t="shared" si="696"/>
        <v>8.138154588945562E-2</v>
      </c>
      <c r="BI234">
        <f t="shared" si="697"/>
        <v>1.6180180333779624E-2</v>
      </c>
      <c r="BJ234" s="460">
        <f t="shared" si="698"/>
        <v>275.86580030946482</v>
      </c>
      <c r="BK234">
        <f t="shared" si="648"/>
        <v>0.46681436019269268</v>
      </c>
      <c r="BL234" s="460">
        <f t="shared" si="699"/>
        <v>742.09979634673516</v>
      </c>
      <c r="BM234" s="173">
        <f t="shared" si="649"/>
        <v>0.11182499999999999</v>
      </c>
      <c r="BN234" s="173">
        <f t="shared" si="650"/>
        <v>1.9968749999999997E-2</v>
      </c>
      <c r="BQ234" s="460">
        <f t="shared" si="700"/>
        <v>131.79374999999999</v>
      </c>
      <c r="BR234" s="528">
        <f t="shared" si="701"/>
        <v>2.2854075657762888E-3</v>
      </c>
      <c r="BS234" s="528">
        <f t="shared" si="702"/>
        <v>1.5492370212001486E-2</v>
      </c>
      <c r="BT234" s="528">
        <f t="shared" si="703"/>
        <v>1.554151245205199E-4</v>
      </c>
      <c r="BU234" s="528">
        <f t="shared" si="704"/>
        <v>0.14559936061538442</v>
      </c>
      <c r="BV234" s="528"/>
      <c r="BW234" s="625">
        <f t="shared" si="705"/>
        <v>2.5679379548919899E-3</v>
      </c>
      <c r="BX234" s="460">
        <f t="shared" si="706"/>
        <v>166.10049147257473</v>
      </c>
      <c r="BY234" s="173">
        <f t="shared" si="707"/>
        <v>1.0399940378193098</v>
      </c>
      <c r="BZ234" s="5">
        <f t="shared" si="708"/>
        <v>3.3119999999999994</v>
      </c>
      <c r="CA234" s="173">
        <f t="shared" si="709"/>
        <v>0.76103045436605687</v>
      </c>
      <c r="CB234" s="5">
        <f t="shared" si="710"/>
        <v>76.103045436605683</v>
      </c>
      <c r="CC234">
        <f t="shared" si="711"/>
        <v>18</v>
      </c>
      <c r="CE234" s="562">
        <f t="shared" si="651"/>
        <v>-50</v>
      </c>
      <c r="CG234" s="173">
        <f t="shared" si="652"/>
        <v>0.27570198651053213</v>
      </c>
      <c r="CH234" s="173">
        <f t="shared" si="653"/>
        <v>9.8109179918142872E-2</v>
      </c>
      <c r="CI234" s="170">
        <v>18</v>
      </c>
      <c r="CJ234" s="217">
        <f t="shared" si="712"/>
        <v>0.18</v>
      </c>
      <c r="CK234" s="217">
        <f t="shared" si="654"/>
        <v>4.4999999999999998E-2</v>
      </c>
      <c r="CL234" s="217">
        <f t="shared" si="655"/>
        <v>2.9519999999999995</v>
      </c>
      <c r="CM234" s="217">
        <f t="shared" si="656"/>
        <v>0.36</v>
      </c>
      <c r="CN234" s="541">
        <f t="shared" si="657"/>
        <v>36</v>
      </c>
      <c r="CO234" s="443">
        <f t="shared" si="658"/>
        <v>17.099999999999998</v>
      </c>
      <c r="CP234" s="443">
        <f t="shared" si="659"/>
        <v>53.099999999999994</v>
      </c>
      <c r="CQ234" s="443"/>
      <c r="CR234" s="217">
        <f t="shared" si="660"/>
        <v>0.31818181818181812</v>
      </c>
      <c r="CS234" s="172">
        <f t="shared" si="661"/>
        <v>34.031620553359687</v>
      </c>
      <c r="CT234" s="172">
        <f t="shared" si="662"/>
        <v>4.6563192904656319</v>
      </c>
      <c r="CU234" s="217">
        <f t="shared" si="663"/>
        <v>2.0750988142292495</v>
      </c>
      <c r="CV234" s="217">
        <f t="shared" si="664"/>
        <v>4.2539525691699609</v>
      </c>
      <c r="CW234" s="217">
        <f t="shared" si="665"/>
        <v>16.399999999999999</v>
      </c>
      <c r="CX234" s="217">
        <f t="shared" si="666"/>
        <v>0.57828571428571429</v>
      </c>
      <c r="CY234" s="217">
        <f t="shared" si="667"/>
        <v>0.19276190476190477</v>
      </c>
      <c r="CZ234" s="217">
        <f t="shared" si="668"/>
        <v>0.40581453634085218</v>
      </c>
      <c r="DA234" s="197">
        <f t="shared" si="669"/>
        <v>350</v>
      </c>
      <c r="DB234" s="443">
        <f t="shared" si="670"/>
        <v>350</v>
      </c>
      <c r="DD234" s="217">
        <f t="shared" si="671"/>
        <v>2.7602905569007259</v>
      </c>
      <c r="DE234" s="173">
        <f t="shared" si="672"/>
        <v>1.937046004842615</v>
      </c>
      <c r="DF234" s="173">
        <f t="shared" si="673"/>
        <v>0.83398609309454497</v>
      </c>
      <c r="DG234" s="173"/>
      <c r="DH234" s="173">
        <f t="shared" si="674"/>
        <v>0.93567251461988332</v>
      </c>
      <c r="DI234" s="545">
        <f t="shared" si="675"/>
        <v>288.56249999999989</v>
      </c>
      <c r="DJ234" s="528">
        <f t="shared" si="676"/>
        <v>0.21832358674463945</v>
      </c>
      <c r="DL234" s="173">
        <f t="shared" si="677"/>
        <v>1.2558434843334805</v>
      </c>
      <c r="DM234" s="173">
        <f t="shared" si="678"/>
        <v>1.3333333333333335</v>
      </c>
      <c r="DN234" s="173">
        <f t="shared" si="679"/>
        <v>1.1648928571428572</v>
      </c>
      <c r="DP234" s="545">
        <f t="shared" si="680"/>
        <v>180</v>
      </c>
      <c r="DQ234" s="460">
        <f t="shared" si="681"/>
        <v>288.56249999999989</v>
      </c>
      <c r="DS234">
        <f t="shared" si="682"/>
        <v>180</v>
      </c>
      <c r="DT234">
        <f t="shared" si="683"/>
        <v>288.56249999999989</v>
      </c>
      <c r="DV234" s="5">
        <f t="shared" si="684"/>
        <v>3.46545375785142</v>
      </c>
      <c r="DW234" s="5">
        <f t="shared" si="685"/>
        <v>0.44444444444444453</v>
      </c>
      <c r="DX234" s="5">
        <f t="shared" si="686"/>
        <v>3.0210093134069753</v>
      </c>
      <c r="DY234" s="173">
        <f t="shared" si="687"/>
        <v>0.12824999999999998</v>
      </c>
      <c r="EA234" s="5">
        <f t="shared" si="713"/>
        <v>0.48780487804878064</v>
      </c>
      <c r="EB234" s="5">
        <f t="shared" si="714"/>
        <v>0.25000000000000006</v>
      </c>
      <c r="EC234" s="5">
        <f t="shared" si="715"/>
        <v>0.20643563641614324</v>
      </c>
      <c r="ED234" s="5"/>
      <c r="EE234" s="173">
        <f t="shared" si="716"/>
        <v>0.27568097504180444</v>
      </c>
      <c r="EF234" s="173">
        <f t="shared" si="717"/>
        <v>0.71874376003732565</v>
      </c>
      <c r="EG234" s="173">
        <f t="shared" si="718"/>
        <v>0.17633455231905693</v>
      </c>
      <c r="EH234" s="173"/>
      <c r="EI234" s="528">
        <f t="shared" si="719"/>
        <v>1.5200000000000001E-3</v>
      </c>
      <c r="EJ234" s="528">
        <f t="shared" si="720"/>
        <v>0.40860449999999987</v>
      </c>
      <c r="EK234" s="528">
        <f t="shared" si="721"/>
        <v>3.6070312499999986E-2</v>
      </c>
      <c r="EL234" s="528">
        <f t="shared" si="722"/>
        <v>8.1363371062499953E-2</v>
      </c>
      <c r="EM234">
        <f t="shared" si="723"/>
        <v>1.6199999999999999E-2</v>
      </c>
      <c r="EN234" s="460">
        <f t="shared" si="724"/>
        <v>52.270312499999989</v>
      </c>
      <c r="EP234" s="460">
        <f t="shared" si="725"/>
        <v>543.75818356249988</v>
      </c>
      <c r="EQ234" s="173">
        <f t="shared" si="726"/>
        <v>0.126</v>
      </c>
      <c r="ER234" s="173">
        <f t="shared" si="688"/>
        <v>1.9968749999999997E-2</v>
      </c>
      <c r="ES234" s="528"/>
      <c r="EU234" s="460">
        <f t="shared" si="727"/>
        <v>145.96875</v>
      </c>
      <c r="EV234" s="528">
        <f t="shared" si="728"/>
        <v>2.2799999999999999E-3</v>
      </c>
      <c r="EW234" s="528">
        <f t="shared" si="729"/>
        <v>1.549777777777778E-2</v>
      </c>
      <c r="EX234" s="528">
        <f t="shared" si="730"/>
        <v>1.5546937170781111E-4</v>
      </c>
      <c r="EY234" s="528">
        <f t="shared" si="731"/>
        <v>0.14518327056544528</v>
      </c>
      <c r="EZ234" s="528"/>
      <c r="FA234" s="625">
        <f t="shared" si="732"/>
        <v>2.5649999999999991E-3</v>
      </c>
      <c r="FB234" s="460">
        <f t="shared" si="733"/>
        <v>165.68151771493089</v>
      </c>
      <c r="FC234" s="173">
        <f t="shared" si="734"/>
        <v>0.85540845127743081</v>
      </c>
      <c r="FD234" s="5">
        <f t="shared" si="735"/>
        <v>3.3119999999999994</v>
      </c>
      <c r="FE234" s="173">
        <f t="shared" si="736"/>
        <v>0.79473851404816731</v>
      </c>
      <c r="FF234" s="5">
        <f t="shared" si="737"/>
        <v>79.473851404816727</v>
      </c>
      <c r="FG234">
        <f t="shared" si="738"/>
        <v>18</v>
      </c>
      <c r="FI234" s="562">
        <f t="shared" si="689"/>
        <v>-50</v>
      </c>
    </row>
    <row r="235" spans="5:165">
      <c r="E235" s="170">
        <v>19</v>
      </c>
      <c r="F235" s="217">
        <f t="shared" si="690"/>
        <v>0.19</v>
      </c>
      <c r="G235" s="217">
        <f t="shared" si="617"/>
        <v>4.7500000000000001E-2</v>
      </c>
      <c r="H235" s="217">
        <f t="shared" si="618"/>
        <v>3.1159999999999997</v>
      </c>
      <c r="I235" s="217">
        <f t="shared" si="619"/>
        <v>0.38</v>
      </c>
      <c r="J235" s="541">
        <f t="shared" si="620"/>
        <v>35.955956297288054</v>
      </c>
      <c r="K235" s="443">
        <f t="shared" si="621"/>
        <v>17.119586365946599</v>
      </c>
      <c r="L235" s="172">
        <f t="shared" si="622"/>
        <v>53.075542663234657</v>
      </c>
      <c r="M235" s="443"/>
      <c r="N235" s="217">
        <f t="shared" si="623"/>
        <v>0.32255132038066392</v>
      </c>
      <c r="O235" s="172">
        <f t="shared" si="624"/>
        <v>34.456760025277397</v>
      </c>
      <c r="P235" s="172">
        <f t="shared" si="625"/>
        <v>4.7144882842437852</v>
      </c>
      <c r="Q235" s="217">
        <f t="shared" si="626"/>
        <v>2.1010219527608172</v>
      </c>
      <c r="R235" s="217">
        <f t="shared" si="627"/>
        <v>4.3070950031596746</v>
      </c>
      <c r="S235" s="217">
        <f t="shared" si="628"/>
        <v>16.399999999999999</v>
      </c>
      <c r="T235" s="217">
        <f t="shared" si="629"/>
        <v>0.60288121454524635</v>
      </c>
      <c r="U235" s="217">
        <f t="shared" si="630"/>
        <v>0.20120656824495631</v>
      </c>
      <c r="V235" s="217">
        <f t="shared" si="631"/>
        <v>0.42259050072223708</v>
      </c>
      <c r="W235" s="197">
        <f t="shared" si="632"/>
        <v>350</v>
      </c>
      <c r="X235" s="443">
        <f t="shared" si="691"/>
        <v>350</v>
      </c>
      <c r="Z235" s="217">
        <f t="shared" si="633"/>
        <v>2.7613431379142166</v>
      </c>
      <c r="AA235" s="173">
        <f t="shared" si="634"/>
        <v>1.9355676560552457</v>
      </c>
      <c r="AB235" s="173">
        <f t="shared" si="635"/>
        <v>0.83366737796730317</v>
      </c>
      <c r="AC235" s="173"/>
      <c r="AD235" s="173">
        <f t="shared" si="636"/>
        <v>0.93460202004800652</v>
      </c>
      <c r="AE235" s="545">
        <f t="shared" si="637"/>
        <v>304.94263214342374</v>
      </c>
      <c r="AF235" s="528">
        <f t="shared" si="638"/>
        <v>0.21807380467786819</v>
      </c>
      <c r="AH235" s="173">
        <f t="shared" si="639"/>
        <v>1.2902565267271096</v>
      </c>
      <c r="AI235" s="173">
        <f t="shared" si="640"/>
        <v>1.3333333333333335</v>
      </c>
      <c r="AJ235" s="173">
        <f t="shared" si="641"/>
        <v>1.174252932653385</v>
      </c>
      <c r="AL235" s="545">
        <f t="shared" si="642"/>
        <v>190</v>
      </c>
      <c r="AM235" s="460">
        <f t="shared" si="643"/>
        <v>304.94263214342374</v>
      </c>
      <c r="AO235">
        <f t="shared" si="644"/>
        <v>190</v>
      </c>
      <c r="AP235">
        <f t="shared" si="645"/>
        <v>304.94263214342374</v>
      </c>
      <c r="AR235" s="5">
        <f t="shared" si="616"/>
        <v>3.2793053335017777</v>
      </c>
      <c r="AS235" s="5">
        <f t="shared" si="604"/>
        <v>0.4449888599182325</v>
      </c>
      <c r="AT235" s="5">
        <f t="shared" si="605"/>
        <v>2.8343164735835451</v>
      </c>
      <c r="AU235" s="173">
        <f t="shared" si="606"/>
        <v>0.13569607421796709</v>
      </c>
      <c r="BA235" s="173">
        <f t="shared" si="692"/>
        <v>0.28357095836044638</v>
      </c>
      <c r="BB235" s="173">
        <f t="shared" si="693"/>
        <v>0.71566759334703056</v>
      </c>
      <c r="BC235" s="173">
        <f t="shared" si="694"/>
        <v>0.17557985432186829</v>
      </c>
      <c r="BD235" s="173"/>
      <c r="BE235" s="528">
        <f t="shared" si="695"/>
        <v>1.6082497685092404E-3</v>
      </c>
      <c r="BF235" s="528">
        <f t="shared" si="646"/>
        <v>0.40462489205418406</v>
      </c>
      <c r="BG235" s="528">
        <f t="shared" si="647"/>
        <v>0.27411259886322331</v>
      </c>
      <c r="BH235" s="528">
        <f t="shared" si="696"/>
        <v>8.5902742883314245E-2</v>
      </c>
      <c r="BI235">
        <f t="shared" si="697"/>
        <v>1.6180180333779624E-2</v>
      </c>
      <c r="BJ235" s="460">
        <f t="shared" si="698"/>
        <v>290.29277919700291</v>
      </c>
      <c r="BK235">
        <f t="shared" si="648"/>
        <v>0.49275840505669422</v>
      </c>
      <c r="BL235" s="460">
        <f t="shared" si="699"/>
        <v>782.42866390301049</v>
      </c>
      <c r="BM235" s="173">
        <f t="shared" si="649"/>
        <v>0.11803749999999998</v>
      </c>
      <c r="BN235" s="173">
        <f t="shared" si="650"/>
        <v>2.1078125E-2</v>
      </c>
      <c r="BQ235" s="460">
        <f t="shared" si="700"/>
        <v>139.11562499999997</v>
      </c>
      <c r="BR235" s="528">
        <f t="shared" si="701"/>
        <v>2.4123746527638604E-3</v>
      </c>
      <c r="BS235" s="528">
        <f t="shared" si="702"/>
        <v>1.5365403125013919E-2</v>
      </c>
      <c r="BT235" s="528">
        <f t="shared" si="703"/>
        <v>1.5414142621844246E-4</v>
      </c>
      <c r="BU235" s="528">
        <f t="shared" si="704"/>
        <v>0.16667183137947059</v>
      </c>
      <c r="BV235" s="528"/>
      <c r="BW235" s="625">
        <f t="shared" si="705"/>
        <v>2.7106011746082111E-3</v>
      </c>
      <c r="BX235" s="460">
        <f t="shared" si="706"/>
        <v>187.31435175807505</v>
      </c>
      <c r="BY235" s="173">
        <f t="shared" si="707"/>
        <v>1.1088586406610854</v>
      </c>
      <c r="BZ235" s="5">
        <f t="shared" si="708"/>
        <v>3.4959999999999996</v>
      </c>
      <c r="CA235" s="173">
        <f t="shared" si="709"/>
        <v>0.75919811503662249</v>
      </c>
      <c r="CB235" s="5">
        <f t="shared" si="710"/>
        <v>75.919811503662245</v>
      </c>
      <c r="CC235">
        <f t="shared" si="711"/>
        <v>19</v>
      </c>
      <c r="CE235" s="562">
        <f t="shared" si="651"/>
        <v>-50</v>
      </c>
      <c r="CG235" s="173">
        <f t="shared" si="652"/>
        <v>0.291018763538895</v>
      </c>
      <c r="CH235" s="173">
        <f t="shared" si="653"/>
        <v>0.10355968991359525</v>
      </c>
      <c r="CI235" s="170">
        <v>19</v>
      </c>
      <c r="CJ235" s="217">
        <f t="shared" si="712"/>
        <v>0.19</v>
      </c>
      <c r="CK235" s="217">
        <f t="shared" si="654"/>
        <v>4.7500000000000001E-2</v>
      </c>
      <c r="CL235" s="217">
        <f t="shared" si="655"/>
        <v>3.1159999999999997</v>
      </c>
      <c r="CM235" s="217">
        <f t="shared" si="656"/>
        <v>0.38</v>
      </c>
      <c r="CN235" s="541">
        <f t="shared" si="657"/>
        <v>36</v>
      </c>
      <c r="CO235" s="443">
        <f t="shared" si="658"/>
        <v>17.099999999999998</v>
      </c>
      <c r="CP235" s="443">
        <f t="shared" si="659"/>
        <v>53.099999999999994</v>
      </c>
      <c r="CQ235" s="443"/>
      <c r="CR235" s="217">
        <f t="shared" si="660"/>
        <v>0.31818181818181812</v>
      </c>
      <c r="CS235" s="172">
        <f t="shared" si="661"/>
        <v>34.031620553359687</v>
      </c>
      <c r="CT235" s="172">
        <f t="shared" si="662"/>
        <v>4.6563192904656319</v>
      </c>
      <c r="CU235" s="217">
        <f t="shared" si="663"/>
        <v>2.0750988142292495</v>
      </c>
      <c r="CV235" s="217">
        <f t="shared" si="664"/>
        <v>4.2539525691699609</v>
      </c>
      <c r="CW235" s="217">
        <f t="shared" si="665"/>
        <v>16.399999999999999</v>
      </c>
      <c r="CX235" s="217">
        <f t="shared" si="666"/>
        <v>0.61041269841269841</v>
      </c>
      <c r="CY235" s="217">
        <f t="shared" si="667"/>
        <v>0.20347089947089947</v>
      </c>
      <c r="CZ235" s="217">
        <f t="shared" si="668"/>
        <v>0.42835978835978838</v>
      </c>
      <c r="DA235" s="197">
        <f t="shared" si="669"/>
        <v>350</v>
      </c>
      <c r="DB235" s="443">
        <f t="shared" si="670"/>
        <v>350</v>
      </c>
      <c r="DD235" s="217">
        <f t="shared" si="671"/>
        <v>2.7602905569007259</v>
      </c>
      <c r="DE235" s="173">
        <f t="shared" si="672"/>
        <v>1.937046004842615</v>
      </c>
      <c r="DF235" s="173">
        <f t="shared" si="673"/>
        <v>0.83398609309454497</v>
      </c>
      <c r="DG235" s="173"/>
      <c r="DH235" s="173">
        <f t="shared" si="674"/>
        <v>0.93567251461988332</v>
      </c>
      <c r="DI235" s="545">
        <f t="shared" si="675"/>
        <v>304.59374999999989</v>
      </c>
      <c r="DJ235" s="528">
        <f t="shared" si="676"/>
        <v>0.21832358674463945</v>
      </c>
      <c r="DL235" s="173">
        <f t="shared" si="677"/>
        <v>1.2902565267271096</v>
      </c>
      <c r="DM235" s="173">
        <f t="shared" si="678"/>
        <v>1.3333333333333335</v>
      </c>
      <c r="DN235" s="173">
        <f t="shared" si="679"/>
        <v>1.1740535714285714</v>
      </c>
      <c r="DP235" s="545">
        <f t="shared" si="680"/>
        <v>190</v>
      </c>
      <c r="DQ235" s="460">
        <f t="shared" si="681"/>
        <v>304.59374999999989</v>
      </c>
      <c r="DS235">
        <f t="shared" si="682"/>
        <v>190</v>
      </c>
      <c r="DT235">
        <f t="shared" si="683"/>
        <v>304.59374999999989</v>
      </c>
      <c r="DV235" s="5">
        <f t="shared" si="684"/>
        <v>3.2830614548066084</v>
      </c>
      <c r="DW235" s="5">
        <f t="shared" si="685"/>
        <v>0.44444444444444453</v>
      </c>
      <c r="DX235" s="5">
        <f t="shared" si="686"/>
        <v>2.8386170103621637</v>
      </c>
      <c r="DY235" s="173">
        <f t="shared" si="687"/>
        <v>0.13537499999999997</v>
      </c>
      <c r="EA235" s="5">
        <f t="shared" si="713"/>
        <v>0.51490514905149076</v>
      </c>
      <c r="EB235" s="5">
        <f t="shared" si="714"/>
        <v>0.2638888888888889</v>
      </c>
      <c r="EC235" s="5">
        <f t="shared" si="715"/>
        <v>0.20474839361778938</v>
      </c>
      <c r="ED235" s="5"/>
      <c r="EE235" s="173">
        <f t="shared" si="716"/>
        <v>0.28323527714997337</v>
      </c>
      <c r="EF235" s="173">
        <f t="shared" si="717"/>
        <v>0.71580051017750079</v>
      </c>
      <c r="EG235" s="173">
        <f t="shared" si="718"/>
        <v>0.17561246375947293</v>
      </c>
      <c r="EH235" s="173"/>
      <c r="EI235" s="528">
        <f t="shared" si="719"/>
        <v>1.6044444444444448E-3</v>
      </c>
      <c r="EJ235" s="528">
        <f t="shared" si="720"/>
        <v>0.43130474999999985</v>
      </c>
      <c r="EK235" s="528">
        <f t="shared" si="721"/>
        <v>3.8074218749999979E-2</v>
      </c>
      <c r="EL235" s="528">
        <f t="shared" si="722"/>
        <v>8.5883558343749958E-2</v>
      </c>
      <c r="EM235">
        <f t="shared" si="723"/>
        <v>1.6199999999999999E-2</v>
      </c>
      <c r="EN235" s="460">
        <f t="shared" si="724"/>
        <v>54.274218749999974</v>
      </c>
      <c r="EP235" s="460">
        <f t="shared" si="725"/>
        <v>573.06697153819425</v>
      </c>
      <c r="EQ235" s="173">
        <f t="shared" si="726"/>
        <v>0.13299999999999998</v>
      </c>
      <c r="ER235" s="173">
        <f t="shared" si="688"/>
        <v>2.1078125E-2</v>
      </c>
      <c r="ES235" s="528"/>
      <c r="EU235" s="460">
        <f t="shared" si="727"/>
        <v>154.07812499999997</v>
      </c>
      <c r="EV235" s="528">
        <f t="shared" si="728"/>
        <v>2.4066666666666672E-3</v>
      </c>
      <c r="EW235" s="528">
        <f t="shared" si="729"/>
        <v>1.537111111111111E-2</v>
      </c>
      <c r="EX235" s="528">
        <f t="shared" si="730"/>
        <v>1.5419868713836097E-4</v>
      </c>
      <c r="EY235" s="528">
        <f t="shared" si="731"/>
        <v>0.16619552097296184</v>
      </c>
      <c r="EZ235" s="528"/>
      <c r="FA235" s="625">
        <f t="shared" si="732"/>
        <v>2.7074999999999994E-3</v>
      </c>
      <c r="FB235" s="460">
        <f t="shared" si="733"/>
        <v>186.83499743787797</v>
      </c>
      <c r="FC235" s="173">
        <f t="shared" si="734"/>
        <v>0.91398009397607227</v>
      </c>
      <c r="FD235" s="5">
        <f t="shared" si="735"/>
        <v>3.4959999999999996</v>
      </c>
      <c r="FE235" s="173">
        <f t="shared" si="736"/>
        <v>0.79274734250511747</v>
      </c>
      <c r="FF235" s="5">
        <f t="shared" si="737"/>
        <v>79.274734250511742</v>
      </c>
      <c r="FG235">
        <f t="shared" si="738"/>
        <v>19</v>
      </c>
      <c r="FI235" s="562">
        <f t="shared" si="689"/>
        <v>-50</v>
      </c>
    </row>
    <row r="236" spans="5:165">
      <c r="E236" s="170">
        <v>20</v>
      </c>
      <c r="F236" s="217">
        <f t="shared" si="690"/>
        <v>0.2</v>
      </c>
      <c r="G236" s="217">
        <f t="shared" si="617"/>
        <v>0.05</v>
      </c>
      <c r="H236" s="217">
        <f t="shared" si="618"/>
        <v>3.28</v>
      </c>
      <c r="I236" s="217">
        <f t="shared" si="619"/>
        <v>0.4</v>
      </c>
      <c r="J236" s="541">
        <f t="shared" si="620"/>
        <v>35.955956297288054</v>
      </c>
      <c r="K236" s="443">
        <f t="shared" si="621"/>
        <v>17.119586365946599</v>
      </c>
      <c r="L236" s="172">
        <f t="shared" si="622"/>
        <v>53.075542663234657</v>
      </c>
      <c r="M236" s="443"/>
      <c r="N236" s="217">
        <f t="shared" si="623"/>
        <v>0.32255132038066392</v>
      </c>
      <c r="O236" s="172">
        <f t="shared" si="624"/>
        <v>34.456760025277397</v>
      </c>
      <c r="P236" s="172">
        <f t="shared" si="625"/>
        <v>4.7144882842437852</v>
      </c>
      <c r="Q236" s="217">
        <f t="shared" si="626"/>
        <v>2.1010219527608172</v>
      </c>
      <c r="R236" s="217">
        <f t="shared" si="627"/>
        <v>4.3070950031596746</v>
      </c>
      <c r="S236" s="217">
        <f t="shared" si="628"/>
        <v>16.399999999999999</v>
      </c>
      <c r="T236" s="217">
        <f t="shared" si="629"/>
        <v>0.63461180478446988</v>
      </c>
      <c r="U236" s="217">
        <f t="shared" si="630"/>
        <v>0.21179638762626984</v>
      </c>
      <c r="V236" s="217">
        <f t="shared" si="631"/>
        <v>0.4448321060234075</v>
      </c>
      <c r="W236" s="197">
        <f t="shared" si="632"/>
        <v>350</v>
      </c>
      <c r="X236" s="443">
        <f t="shared" si="691"/>
        <v>350</v>
      </c>
      <c r="Z236" s="217">
        <f t="shared" si="633"/>
        <v>2.7613431379142166</v>
      </c>
      <c r="AA236" s="173">
        <f t="shared" si="634"/>
        <v>1.9355676560552457</v>
      </c>
      <c r="AB236" s="173">
        <f t="shared" si="635"/>
        <v>0.83366737796730317</v>
      </c>
      <c r="AC236" s="173"/>
      <c r="AD236" s="173">
        <f t="shared" si="636"/>
        <v>0.93460202004800652</v>
      </c>
      <c r="AE236" s="545">
        <f t="shared" si="637"/>
        <v>320.99224436149871</v>
      </c>
      <c r="AF236" s="528">
        <f t="shared" si="638"/>
        <v>0.21807380467786819</v>
      </c>
      <c r="AH236" s="173">
        <f t="shared" si="639"/>
        <v>1.3237752650585946</v>
      </c>
      <c r="AI236" s="173">
        <f t="shared" si="640"/>
        <v>1.3333333333333335</v>
      </c>
      <c r="AJ236" s="173">
        <f t="shared" si="641"/>
        <v>1.1834241396351421</v>
      </c>
      <c r="AL236" s="545">
        <f t="shared" si="642"/>
        <v>200</v>
      </c>
      <c r="AM236" s="460">
        <f t="shared" si="643"/>
        <v>320.99224436149871</v>
      </c>
      <c r="AO236">
        <f t="shared" si="644"/>
        <v>200</v>
      </c>
      <c r="AP236">
        <f t="shared" si="645"/>
        <v>320.99224436149871</v>
      </c>
      <c r="AR236" s="5">
        <f t="shared" si="616"/>
        <v>3.115340066826688</v>
      </c>
      <c r="AS236" s="5">
        <f t="shared" si="604"/>
        <v>0.4449888599182325</v>
      </c>
      <c r="AT236" s="5">
        <f t="shared" si="605"/>
        <v>2.6703512069084554</v>
      </c>
      <c r="AU236" s="173">
        <f t="shared" si="606"/>
        <v>0.14283797286101801</v>
      </c>
      <c r="BA236" s="173">
        <f t="shared" si="692"/>
        <v>0.29093766455785863</v>
      </c>
      <c r="BB236" s="173">
        <f t="shared" si="693"/>
        <v>0.71270461478386093</v>
      </c>
      <c r="BC236" s="173">
        <f t="shared" si="694"/>
        <v>0.17485292557824994</v>
      </c>
      <c r="BD236" s="173"/>
      <c r="BE236" s="528">
        <f t="shared" si="695"/>
        <v>1.6928944931676217E-3</v>
      </c>
      <c r="BF236" s="528">
        <f t="shared" si="646"/>
        <v>0.42592093900440431</v>
      </c>
      <c r="BG236" s="528">
        <f t="shared" si="647"/>
        <v>0.28853957775076139</v>
      </c>
      <c r="BH236" s="528">
        <f t="shared" si="696"/>
        <v>9.0423939877172899E-2</v>
      </c>
      <c r="BI236">
        <f t="shared" si="697"/>
        <v>1.6180180333779624E-2</v>
      </c>
      <c r="BJ236" s="460">
        <f t="shared" si="698"/>
        <v>304.71975808454101</v>
      </c>
      <c r="BK236">
        <f t="shared" si="648"/>
        <v>0.51870349389242321</v>
      </c>
      <c r="BL236" s="460">
        <f t="shared" si="699"/>
        <v>822.75753145928593</v>
      </c>
      <c r="BM236" s="173">
        <f t="shared" si="649"/>
        <v>0.12424999999999999</v>
      </c>
      <c r="BN236" s="173">
        <f t="shared" si="650"/>
        <v>2.2187499999999999E-2</v>
      </c>
      <c r="BQ236" s="460">
        <f t="shared" si="700"/>
        <v>146.4375</v>
      </c>
      <c r="BR236" s="528">
        <f t="shared" si="701"/>
        <v>2.5393417397514321E-3</v>
      </c>
      <c r="BS236" s="528">
        <f t="shared" si="702"/>
        <v>1.5238436038026349E-2</v>
      </c>
      <c r="BT236" s="528">
        <f t="shared" si="703"/>
        <v>1.5286772791636507E-4</v>
      </c>
      <c r="BU236" s="528">
        <f t="shared" si="704"/>
        <v>0.1894755577814112</v>
      </c>
      <c r="BV236" s="528"/>
      <c r="BW236" s="625">
        <f t="shared" si="705"/>
        <v>2.8532643943244332E-3</v>
      </c>
      <c r="BX236" s="460">
        <f t="shared" si="706"/>
        <v>210.25946768142978</v>
      </c>
      <c r="BY236" s="173">
        <f t="shared" si="707"/>
        <v>1.1794544991407157</v>
      </c>
      <c r="BZ236" s="5">
        <f t="shared" si="708"/>
        <v>3.6799999999999997</v>
      </c>
      <c r="CA236" s="173">
        <f t="shared" si="709"/>
        <v>0.75728664619675401</v>
      </c>
      <c r="CB236" s="5">
        <f t="shared" si="710"/>
        <v>75.728664619675399</v>
      </c>
      <c r="CC236">
        <f t="shared" si="711"/>
        <v>20</v>
      </c>
      <c r="CE236" s="562">
        <f t="shared" si="651"/>
        <v>-50</v>
      </c>
      <c r="CG236" s="173">
        <f t="shared" si="652"/>
        <v>0.30633554056725792</v>
      </c>
      <c r="CH236" s="173">
        <f t="shared" si="653"/>
        <v>0.10901019990904763</v>
      </c>
      <c r="CI236" s="170">
        <v>20</v>
      </c>
      <c r="CJ236" s="217">
        <f t="shared" si="712"/>
        <v>0.2</v>
      </c>
      <c r="CK236" s="217">
        <f t="shared" si="654"/>
        <v>0.05</v>
      </c>
      <c r="CL236" s="217">
        <f t="shared" si="655"/>
        <v>3.28</v>
      </c>
      <c r="CM236" s="217">
        <f t="shared" si="656"/>
        <v>0.4</v>
      </c>
      <c r="CN236" s="541">
        <f t="shared" si="657"/>
        <v>36</v>
      </c>
      <c r="CO236" s="443">
        <f t="shared" si="658"/>
        <v>17.099999999999998</v>
      </c>
      <c r="CP236" s="443">
        <f t="shared" si="659"/>
        <v>53.099999999999994</v>
      </c>
      <c r="CQ236" s="443"/>
      <c r="CR236" s="217">
        <f t="shared" si="660"/>
        <v>0.31818181818181812</v>
      </c>
      <c r="CS236" s="172">
        <f t="shared" si="661"/>
        <v>34.031620553359687</v>
      </c>
      <c r="CT236" s="172">
        <f t="shared" si="662"/>
        <v>4.6563192904656319</v>
      </c>
      <c r="CU236" s="217">
        <f t="shared" si="663"/>
        <v>2.0750988142292495</v>
      </c>
      <c r="CV236" s="217">
        <f t="shared" si="664"/>
        <v>4.2539525691699609</v>
      </c>
      <c r="CW236" s="217">
        <f t="shared" si="665"/>
        <v>16.399999999999999</v>
      </c>
      <c r="CX236" s="217">
        <f t="shared" si="666"/>
        <v>0.64253968253968252</v>
      </c>
      <c r="CY236" s="217">
        <f t="shared" si="667"/>
        <v>0.21417989417989419</v>
      </c>
      <c r="CZ236" s="217">
        <f t="shared" si="668"/>
        <v>0.4509050403787247</v>
      </c>
      <c r="DA236" s="197">
        <f t="shared" si="669"/>
        <v>350</v>
      </c>
      <c r="DB236" s="443">
        <f t="shared" si="670"/>
        <v>350</v>
      </c>
      <c r="DD236" s="217">
        <f t="shared" si="671"/>
        <v>2.7602905569007259</v>
      </c>
      <c r="DE236" s="173">
        <f t="shared" si="672"/>
        <v>1.937046004842615</v>
      </c>
      <c r="DF236" s="173">
        <f t="shared" si="673"/>
        <v>0.83398609309454497</v>
      </c>
      <c r="DG236" s="173"/>
      <c r="DH236" s="173">
        <f t="shared" si="674"/>
        <v>0.93567251461988332</v>
      </c>
      <c r="DI236" s="545">
        <f t="shared" si="675"/>
        <v>320.62499999999989</v>
      </c>
      <c r="DJ236" s="528">
        <f t="shared" si="676"/>
        <v>0.21832358674463945</v>
      </c>
      <c r="DL236" s="173">
        <f t="shared" si="677"/>
        <v>1.3237752650585946</v>
      </c>
      <c r="DM236" s="173">
        <f t="shared" si="678"/>
        <v>1.3333333333333335</v>
      </c>
      <c r="DN236" s="173">
        <f t="shared" si="679"/>
        <v>1.1832142857142856</v>
      </c>
      <c r="DP236" s="545">
        <f t="shared" si="680"/>
        <v>200</v>
      </c>
      <c r="DQ236" s="460">
        <f t="shared" si="681"/>
        <v>320.62499999999989</v>
      </c>
      <c r="DS236">
        <f t="shared" si="682"/>
        <v>200</v>
      </c>
      <c r="DT236">
        <f t="shared" si="683"/>
        <v>320.62499999999989</v>
      </c>
      <c r="DV236" s="5">
        <f t="shared" si="684"/>
        <v>3.118908382066278</v>
      </c>
      <c r="DW236" s="5">
        <f t="shared" si="685"/>
        <v>0.44444444444444453</v>
      </c>
      <c r="DX236" s="5">
        <f t="shared" si="686"/>
        <v>2.6744639376218333</v>
      </c>
      <c r="DY236" s="173">
        <f t="shared" si="687"/>
        <v>0.14249999999999999</v>
      </c>
      <c r="EA236" s="5">
        <f t="shared" si="713"/>
        <v>0.54200542005420072</v>
      </c>
      <c r="EB236" s="5">
        <f t="shared" si="714"/>
        <v>0.27777777777777785</v>
      </c>
      <c r="EC236" s="5">
        <f t="shared" si="715"/>
        <v>0.20306115081943543</v>
      </c>
      <c r="ED236" s="5"/>
      <c r="EE236" s="173">
        <f t="shared" si="716"/>
        <v>0.29059326290271159</v>
      </c>
      <c r="EF236" s="173">
        <f t="shared" si="717"/>
        <v>0.71284510810424184</v>
      </c>
      <c r="EG236" s="173">
        <f t="shared" si="718"/>
        <v>0.17488739381036633</v>
      </c>
      <c r="EH236" s="173"/>
      <c r="EI236" s="528">
        <f t="shared" si="719"/>
        <v>1.6888888888888893E-3</v>
      </c>
      <c r="EJ236" s="528">
        <f t="shared" si="720"/>
        <v>0.45400499999999988</v>
      </c>
      <c r="EK236" s="528">
        <f t="shared" si="721"/>
        <v>4.0078124999999985E-2</v>
      </c>
      <c r="EL236" s="528">
        <f t="shared" si="722"/>
        <v>9.0403745624999948E-2</v>
      </c>
      <c r="EM236">
        <f t="shared" si="723"/>
        <v>1.6199999999999999E-2</v>
      </c>
      <c r="EN236" s="460">
        <f t="shared" si="724"/>
        <v>56.278124999999982</v>
      </c>
      <c r="EP236" s="460">
        <f t="shared" si="725"/>
        <v>602.37575951388862</v>
      </c>
      <c r="EQ236" s="173">
        <f t="shared" si="726"/>
        <v>0.13999999999999999</v>
      </c>
      <c r="ER236" s="173">
        <f t="shared" si="688"/>
        <v>2.2187499999999999E-2</v>
      </c>
      <c r="ES236" s="528"/>
      <c r="EU236" s="460">
        <f t="shared" si="727"/>
        <v>162.18749999999997</v>
      </c>
      <c r="EV236" s="528">
        <f t="shared" si="728"/>
        <v>2.5333333333333336E-3</v>
      </c>
      <c r="EW236" s="528">
        <f t="shared" si="729"/>
        <v>1.5244444444444446E-2</v>
      </c>
      <c r="EX236" s="528">
        <f t="shared" si="730"/>
        <v>1.5292800256891081E-4</v>
      </c>
      <c r="EY236" s="528">
        <f t="shared" si="731"/>
        <v>0.18893407948118895</v>
      </c>
      <c r="EZ236" s="528"/>
      <c r="FA236" s="625">
        <f t="shared" si="732"/>
        <v>2.8499999999999992E-3</v>
      </c>
      <c r="FB236" s="460">
        <f t="shared" si="733"/>
        <v>209.71478526153564</v>
      </c>
      <c r="FC236" s="173">
        <f t="shared" si="734"/>
        <v>0.97427804477542446</v>
      </c>
      <c r="FD236" s="5">
        <f t="shared" si="735"/>
        <v>3.6799999999999997</v>
      </c>
      <c r="FE236" s="173">
        <f t="shared" si="736"/>
        <v>0.79067042505784924</v>
      </c>
      <c r="FF236" s="5">
        <f t="shared" si="737"/>
        <v>79.067042505784926</v>
      </c>
      <c r="FG236">
        <f t="shared" si="738"/>
        <v>20</v>
      </c>
      <c r="FI236" s="562">
        <f t="shared" si="689"/>
        <v>-50</v>
      </c>
    </row>
    <row r="237" spans="5:165">
      <c r="E237" s="170">
        <v>21</v>
      </c>
      <c r="F237" s="217">
        <f t="shared" si="690"/>
        <v>0.21</v>
      </c>
      <c r="G237" s="217">
        <f t="shared" si="617"/>
        <v>5.2499999999999998E-2</v>
      </c>
      <c r="H237" s="217">
        <f t="shared" si="618"/>
        <v>3.4439999999999995</v>
      </c>
      <c r="I237" s="217">
        <f t="shared" si="619"/>
        <v>0.42</v>
      </c>
      <c r="J237" s="541">
        <f t="shared" si="620"/>
        <v>35.955956297288054</v>
      </c>
      <c r="K237" s="443">
        <f t="shared" si="621"/>
        <v>17.119586365946599</v>
      </c>
      <c r="L237" s="172">
        <f t="shared" si="622"/>
        <v>53.075542663234657</v>
      </c>
      <c r="M237" s="443"/>
      <c r="N237" s="217">
        <f t="shared" si="623"/>
        <v>0.32255132038066392</v>
      </c>
      <c r="O237" s="172">
        <f t="shared" si="624"/>
        <v>34.456760025277397</v>
      </c>
      <c r="P237" s="172">
        <f t="shared" si="625"/>
        <v>4.7144882842437852</v>
      </c>
      <c r="Q237" s="217">
        <f t="shared" si="626"/>
        <v>2.1010219527608172</v>
      </c>
      <c r="R237" s="217">
        <f t="shared" si="627"/>
        <v>4.3070950031596746</v>
      </c>
      <c r="S237" s="217">
        <f t="shared" si="628"/>
        <v>16.399999999999999</v>
      </c>
      <c r="T237" s="217">
        <f t="shared" si="629"/>
        <v>0.66634239502369341</v>
      </c>
      <c r="U237" s="217">
        <f t="shared" si="630"/>
        <v>0.22238620700758333</v>
      </c>
      <c r="V237" s="217">
        <f t="shared" si="631"/>
        <v>0.46707371132457787</v>
      </c>
      <c r="W237" s="197">
        <f t="shared" si="632"/>
        <v>350</v>
      </c>
      <c r="X237" s="443">
        <f t="shared" si="691"/>
        <v>350</v>
      </c>
      <c r="Z237" s="217">
        <f t="shared" si="633"/>
        <v>2.7613431379142166</v>
      </c>
      <c r="AA237" s="173">
        <f t="shared" si="634"/>
        <v>1.9355676560552457</v>
      </c>
      <c r="AB237" s="173">
        <f t="shared" si="635"/>
        <v>0.83366737796730317</v>
      </c>
      <c r="AC237" s="173"/>
      <c r="AD237" s="173">
        <f t="shared" si="636"/>
        <v>0.93460202004800652</v>
      </c>
      <c r="AE237" s="545">
        <f t="shared" si="637"/>
        <v>337.04185657957362</v>
      </c>
      <c r="AF237" s="528">
        <f t="shared" si="638"/>
        <v>0.21807380467786819</v>
      </c>
      <c r="AH237" s="173">
        <f t="shared" si="639"/>
        <v>1.3564659966250534</v>
      </c>
      <c r="AI237" s="173">
        <f t="shared" si="640"/>
        <v>1.3564659966250534</v>
      </c>
      <c r="AJ237" s="173">
        <f t="shared" si="641"/>
        <v>1.1925953466168993</v>
      </c>
      <c r="AL237" s="545">
        <f t="shared" si="642"/>
        <v>210</v>
      </c>
      <c r="AM237" s="460">
        <f t="shared" si="643"/>
        <v>337.04185657957362</v>
      </c>
      <c r="AO237">
        <f t="shared" si="644"/>
        <v>210</v>
      </c>
      <c r="AP237">
        <f t="shared" si="645"/>
        <v>337.04185657957362</v>
      </c>
      <c r="AR237" s="5">
        <f t="shared" si="616"/>
        <v>2.9669905398349412</v>
      </c>
      <c r="AS237" s="5">
        <f t="shared" si="604"/>
        <v>0.4527091930170235</v>
      </c>
      <c r="AT237" s="5">
        <f t="shared" si="605"/>
        <v>2.5142813468179179</v>
      </c>
      <c r="AU237" s="173">
        <f t="shared" si="606"/>
        <v>0.15258194690509816</v>
      </c>
      <c r="BA237" s="173">
        <f t="shared" si="692"/>
        <v>0.30591435746266227</v>
      </c>
      <c r="BB237" s="173">
        <f t="shared" si="693"/>
        <v>0.7209367095879774</v>
      </c>
      <c r="BC237" s="173">
        <f t="shared" si="694"/>
        <v>0.17687256433220103</v>
      </c>
      <c r="BD237" s="173"/>
      <c r="BE237" s="528">
        <f t="shared" si="695"/>
        <v>1.8716718820358702E-3</v>
      </c>
      <c r="BF237" s="528">
        <f t="shared" si="646"/>
        <v>0.45497597592044403</v>
      </c>
      <c r="BG237" s="528">
        <f t="shared" si="647"/>
        <v>0.30296655663829941</v>
      </c>
      <c r="BH237" s="528">
        <f t="shared" si="696"/>
        <v>9.4945136871031538E-2</v>
      </c>
      <c r="BI237">
        <f t="shared" si="697"/>
        <v>1.6180180333779624E-2</v>
      </c>
      <c r="BJ237" s="460">
        <f t="shared" si="698"/>
        <v>319.146736972079</v>
      </c>
      <c r="BK237">
        <f t="shared" si="648"/>
        <v>0.55254385744011236</v>
      </c>
      <c r="BL237" s="460">
        <f t="shared" si="699"/>
        <v>870.9395216455905</v>
      </c>
      <c r="BM237" s="173">
        <f t="shared" si="649"/>
        <v>0.13046249999999998</v>
      </c>
      <c r="BN237" s="173">
        <f t="shared" si="650"/>
        <v>2.3296874999999998E-2</v>
      </c>
      <c r="BQ237" s="460">
        <f t="shared" si="700"/>
        <v>153.75937499999998</v>
      </c>
      <c r="BR237" s="528">
        <f t="shared" si="701"/>
        <v>2.8075078230538051E-3</v>
      </c>
      <c r="BS237" s="528">
        <f t="shared" si="702"/>
        <v>1.559249217694619E-2</v>
      </c>
      <c r="BT237" s="528">
        <f t="shared" si="703"/>
        <v>1.5641952006724297E-4</v>
      </c>
      <c r="BU237" s="528">
        <f t="shared" si="704"/>
        <v>0.22346107265989371</v>
      </c>
      <c r="BV237" s="528"/>
      <c r="BW237" s="625">
        <f t="shared" si="705"/>
        <v>3.1007850805320767E-3</v>
      </c>
      <c r="BX237" s="460">
        <f t="shared" si="706"/>
        <v>245.11827726049302</v>
      </c>
      <c r="BY237" s="173">
        <f t="shared" si="707"/>
        <v>1.2698171739060835</v>
      </c>
      <c r="BZ237" s="5">
        <f t="shared" si="708"/>
        <v>3.8639999999999994</v>
      </c>
      <c r="CA237" s="173">
        <f t="shared" si="709"/>
        <v>0.75265633136289922</v>
      </c>
      <c r="CB237" s="5">
        <f t="shared" si="710"/>
        <v>75.265633136289921</v>
      </c>
      <c r="CC237">
        <f t="shared" si="711"/>
        <v>21</v>
      </c>
      <c r="CE237" s="562">
        <f t="shared" si="651"/>
        <v>-50</v>
      </c>
      <c r="CG237" s="173">
        <f t="shared" si="652"/>
        <v>0.3216523175956208</v>
      </c>
      <c r="CH237" s="173">
        <f t="shared" si="653"/>
        <v>0.11446070990450001</v>
      </c>
      <c r="CI237" s="170">
        <v>21</v>
      </c>
      <c r="CJ237" s="217">
        <f t="shared" si="712"/>
        <v>0.21</v>
      </c>
      <c r="CK237" s="217">
        <f t="shared" si="654"/>
        <v>5.2499999999999998E-2</v>
      </c>
      <c r="CL237" s="217">
        <f t="shared" si="655"/>
        <v>3.4439999999999995</v>
      </c>
      <c r="CM237" s="217">
        <f t="shared" si="656"/>
        <v>0.42</v>
      </c>
      <c r="CN237" s="541">
        <f t="shared" si="657"/>
        <v>36</v>
      </c>
      <c r="CO237" s="443">
        <f t="shared" si="658"/>
        <v>17.099999999999998</v>
      </c>
      <c r="CP237" s="443">
        <f t="shared" si="659"/>
        <v>53.099999999999994</v>
      </c>
      <c r="CQ237" s="443"/>
      <c r="CR237" s="217">
        <f t="shared" si="660"/>
        <v>0.31818181818181812</v>
      </c>
      <c r="CS237" s="172">
        <f t="shared" si="661"/>
        <v>34.031620553359687</v>
      </c>
      <c r="CT237" s="172">
        <f t="shared" si="662"/>
        <v>4.6563192904656319</v>
      </c>
      <c r="CU237" s="217">
        <f t="shared" si="663"/>
        <v>2.0750988142292495</v>
      </c>
      <c r="CV237" s="217">
        <f t="shared" si="664"/>
        <v>4.2539525691699609</v>
      </c>
      <c r="CW237" s="217">
        <f t="shared" si="665"/>
        <v>16.399999999999999</v>
      </c>
      <c r="CX237" s="217">
        <f t="shared" si="666"/>
        <v>0.67466666666666664</v>
      </c>
      <c r="CY237" s="217">
        <f t="shared" si="667"/>
        <v>0.22488888888888889</v>
      </c>
      <c r="CZ237" s="217">
        <f t="shared" si="668"/>
        <v>0.4734502923976609</v>
      </c>
      <c r="DA237" s="197">
        <f t="shared" si="669"/>
        <v>350</v>
      </c>
      <c r="DB237" s="443">
        <f t="shared" si="670"/>
        <v>350</v>
      </c>
      <c r="DD237" s="217">
        <f t="shared" si="671"/>
        <v>2.7602905569007259</v>
      </c>
      <c r="DE237" s="173">
        <f t="shared" si="672"/>
        <v>1.937046004842615</v>
      </c>
      <c r="DF237" s="173">
        <f t="shared" si="673"/>
        <v>0.83398609309454497</v>
      </c>
      <c r="DG237" s="173"/>
      <c r="DH237" s="173">
        <f t="shared" si="674"/>
        <v>0.93567251461988332</v>
      </c>
      <c r="DI237" s="545">
        <f t="shared" si="675"/>
        <v>336.65624999999989</v>
      </c>
      <c r="DJ237" s="528">
        <f t="shared" si="676"/>
        <v>0.21832358674463945</v>
      </c>
      <c r="DL237" s="173">
        <f t="shared" si="677"/>
        <v>1.3564659966250534</v>
      </c>
      <c r="DM237" s="173">
        <f t="shared" si="678"/>
        <v>1.3564659966250534</v>
      </c>
      <c r="DN237" s="173">
        <f t="shared" si="679"/>
        <v>1.192375</v>
      </c>
      <c r="DP237" s="545">
        <f t="shared" si="680"/>
        <v>210</v>
      </c>
      <c r="DQ237" s="460">
        <f t="shared" si="681"/>
        <v>336.65624999999989</v>
      </c>
      <c r="DS237">
        <f t="shared" si="682"/>
        <v>210</v>
      </c>
      <c r="DT237">
        <f t="shared" si="683"/>
        <v>336.65624999999989</v>
      </c>
      <c r="DV237" s="5">
        <f t="shared" si="684"/>
        <v>2.9703889353012172</v>
      </c>
      <c r="DW237" s="5">
        <f t="shared" si="685"/>
        <v>0.45215533220835108</v>
      </c>
      <c r="DX237" s="5">
        <f t="shared" si="686"/>
        <v>2.5182336030928663</v>
      </c>
      <c r="DY237" s="173">
        <f t="shared" si="687"/>
        <v>0.15222091855876763</v>
      </c>
      <c r="EA237" s="5">
        <f t="shared" si="713"/>
        <v>0.57897938880337652</v>
      </c>
      <c r="EB237" s="5">
        <f t="shared" si="714"/>
        <v>0.2967269367617304</v>
      </c>
      <c r="EC237" s="5">
        <f t="shared" si="715"/>
        <v>0.20075917891323677</v>
      </c>
      <c r="ED237" s="5"/>
      <c r="EE237" s="173">
        <f t="shared" si="716"/>
        <v>0.30555222693135586</v>
      </c>
      <c r="EF237" s="173">
        <f t="shared" si="717"/>
        <v>0.72109026477315741</v>
      </c>
      <c r="EG237" s="173">
        <f t="shared" si="718"/>
        <v>0.17691023712512183</v>
      </c>
      <c r="EH237" s="173"/>
      <c r="EI237" s="528">
        <f t="shared" si="719"/>
        <v>1.8672432676542158E-3</v>
      </c>
      <c r="EJ237" s="528">
        <f t="shared" si="720"/>
        <v>0.48497584652823372</v>
      </c>
      <c r="EK237" s="528">
        <f t="shared" si="721"/>
        <v>4.2082031249999985E-2</v>
      </c>
      <c r="EL237" s="528">
        <f t="shared" si="722"/>
        <v>9.4923932906249939E-2</v>
      </c>
      <c r="EM237">
        <f t="shared" si="723"/>
        <v>1.6199999999999999E-2</v>
      </c>
      <c r="EN237" s="460">
        <f t="shared" si="724"/>
        <v>58.282031249999982</v>
      </c>
      <c r="EP237" s="460">
        <f t="shared" si="725"/>
        <v>640.04905395213768</v>
      </c>
      <c r="EQ237" s="173">
        <f t="shared" si="726"/>
        <v>0.14699999999999999</v>
      </c>
      <c r="ER237" s="173">
        <f t="shared" si="688"/>
        <v>2.3296874999999998E-2</v>
      </c>
      <c r="ES237" s="528"/>
      <c r="EU237" s="460">
        <f t="shared" si="727"/>
        <v>170.296875</v>
      </c>
      <c r="EV237" s="528">
        <f t="shared" si="728"/>
        <v>2.8008649014813237E-3</v>
      </c>
      <c r="EW237" s="528">
        <f t="shared" si="729"/>
        <v>1.5599135098518666E-2</v>
      </c>
      <c r="EX237" s="528">
        <f t="shared" si="730"/>
        <v>1.5648615999833417E-4</v>
      </c>
      <c r="EY237" s="528">
        <f t="shared" si="731"/>
        <v>0.22282247144290021</v>
      </c>
      <c r="EZ237" s="528"/>
      <c r="FA237" s="625">
        <f t="shared" si="732"/>
        <v>3.0972374999999981E-3</v>
      </c>
      <c r="FB237" s="460">
        <f t="shared" si="733"/>
        <v>244.47619510289854</v>
      </c>
      <c r="FC237" s="173">
        <f t="shared" si="734"/>
        <v>1.0548221240550362</v>
      </c>
      <c r="FD237" s="5">
        <f t="shared" si="735"/>
        <v>3.8639999999999994</v>
      </c>
      <c r="FE237" s="173">
        <f t="shared" si="736"/>
        <v>0.78555391972876443</v>
      </c>
      <c r="FF237" s="5">
        <f t="shared" si="737"/>
        <v>78.555391972876436</v>
      </c>
      <c r="FG237">
        <f t="shared" si="738"/>
        <v>21</v>
      </c>
      <c r="FI237" s="562">
        <f t="shared" si="689"/>
        <v>-50</v>
      </c>
    </row>
    <row r="238" spans="5:165">
      <c r="E238" s="170">
        <v>22</v>
      </c>
      <c r="F238" s="217">
        <f t="shared" si="690"/>
        <v>0.22</v>
      </c>
      <c r="G238" s="217">
        <f t="shared" si="617"/>
        <v>5.5E-2</v>
      </c>
      <c r="H238" s="217">
        <f t="shared" si="618"/>
        <v>3.6079999999999997</v>
      </c>
      <c r="I238" s="217">
        <f t="shared" si="619"/>
        <v>0.44</v>
      </c>
      <c r="J238" s="541">
        <f t="shared" si="620"/>
        <v>35.95578752429374</v>
      </c>
      <c r="K238" s="443">
        <f t="shared" si="621"/>
        <v>17.119661419800497</v>
      </c>
      <c r="L238" s="172">
        <f t="shared" si="622"/>
        <v>53.075448944094234</v>
      </c>
      <c r="M238" s="443"/>
      <c r="N238" s="217">
        <f t="shared" si="623"/>
        <v>0.32255330403013804</v>
      </c>
      <c r="O238" s="172">
        <f t="shared" si="624"/>
        <v>34.456810193016601</v>
      </c>
      <c r="P238" s="172">
        <f t="shared" si="625"/>
        <v>4.7144951483603919</v>
      </c>
      <c r="Q238" s="217">
        <f t="shared" si="626"/>
        <v>2.101025011769305</v>
      </c>
      <c r="R238" s="217">
        <f t="shared" si="627"/>
        <v>4.3071012741270751</v>
      </c>
      <c r="S238" s="217">
        <f t="shared" si="628"/>
        <v>16.399999999999999</v>
      </c>
      <c r="T238" s="217">
        <f t="shared" si="629"/>
        <v>0.69807196889653611</v>
      </c>
      <c r="U238" s="217">
        <f t="shared" si="630"/>
        <v>0.23297678075048578</v>
      </c>
      <c r="V238" s="217">
        <f t="shared" si="631"/>
        <v>0.48931245901100612</v>
      </c>
      <c r="W238" s="197">
        <f t="shared" si="632"/>
        <v>350</v>
      </c>
      <c r="X238" s="443">
        <f t="shared" si="691"/>
        <v>350</v>
      </c>
      <c r="Z238" s="217">
        <f t="shared" si="633"/>
        <v>2.7613471583253721</v>
      </c>
      <c r="AA238" s="173">
        <f t="shared" si="634"/>
        <v>1.9355619884853201</v>
      </c>
      <c r="AB238" s="173">
        <f t="shared" si="635"/>
        <v>0.83366615067570571</v>
      </c>
      <c r="AC238" s="173"/>
      <c r="AD238" s="173">
        <f t="shared" si="636"/>
        <v>0.93459792268406072</v>
      </c>
      <c r="AE238" s="545">
        <f t="shared" si="637"/>
        <v>353.09301678338517</v>
      </c>
      <c r="AF238" s="528">
        <f t="shared" si="638"/>
        <v>0.21807284862628085</v>
      </c>
      <c r="AH238" s="173">
        <f t="shared" si="639"/>
        <v>1.3883872109822417</v>
      </c>
      <c r="AI238" s="173">
        <f t="shared" si="640"/>
        <v>1.3883872109822417</v>
      </c>
      <c r="AJ238" s="173">
        <f t="shared" si="641"/>
        <v>1.2407806501103023</v>
      </c>
      <c r="AL238" s="545">
        <f t="shared" si="642"/>
        <v>220</v>
      </c>
      <c r="AM238" s="460">
        <f t="shared" si="643"/>
        <v>350</v>
      </c>
      <c r="AO238">
        <f t="shared" si="644"/>
        <v>220</v>
      </c>
      <c r="AP238">
        <f t="shared" si="645"/>
        <v>350</v>
      </c>
      <c r="AR238" s="5">
        <f t="shared" si="616"/>
        <v>2.8571428571428572</v>
      </c>
      <c r="AS238" s="5">
        <f t="shared" si="604"/>
        <v>0.46336480658447649</v>
      </c>
      <c r="AT238" s="5">
        <f t="shared" si="605"/>
        <v>2.3937780505583808</v>
      </c>
      <c r="AU238" s="173">
        <f t="shared" si="606"/>
        <v>0.16217768230456678</v>
      </c>
      <c r="BA238" s="173">
        <f t="shared" si="692"/>
        <v>0.32280891639327097</v>
      </c>
      <c r="BB238" s="173">
        <f t="shared" si="693"/>
        <v>0.73371253637694156</v>
      </c>
      <c r="BC238" s="173">
        <f t="shared" si="694"/>
        <v>0.18000694938372594</v>
      </c>
      <c r="BD238" s="173"/>
      <c r="BE238" s="528">
        <f t="shared" si="695"/>
        <v>2.0841119300599562E-3</v>
      </c>
      <c r="BF238" s="528">
        <f t="shared" si="646"/>
        <v>0.48358586411048393</v>
      </c>
      <c r="BG238" s="528">
        <f t="shared" si="647"/>
        <v>0.31461314083757019</v>
      </c>
      <c r="BH238" s="528">
        <f t="shared" si="696"/>
        <v>9.8595114821600383E-2</v>
      </c>
      <c r="BI238">
        <f t="shared" si="697"/>
        <v>1.6180104385932183E-2</v>
      </c>
      <c r="BJ238" s="460">
        <f t="shared" si="698"/>
        <v>330.79324522350242</v>
      </c>
      <c r="BK238">
        <f t="shared" si="648"/>
        <v>0.58511754251037851</v>
      </c>
      <c r="BL238" s="460">
        <f t="shared" si="699"/>
        <v>915.05833608564683</v>
      </c>
      <c r="BM238" s="173">
        <f t="shared" si="649"/>
        <v>0.13667499999999999</v>
      </c>
      <c r="BN238" s="173">
        <f t="shared" si="650"/>
        <v>2.4406249999999997E-2</v>
      </c>
      <c r="BQ238" s="460">
        <f t="shared" si="700"/>
        <v>161.08124999999998</v>
      </c>
      <c r="BR238" s="528">
        <f t="shared" si="701"/>
        <v>3.126167895089934E-3</v>
      </c>
      <c r="BS238" s="528">
        <f t="shared" si="702"/>
        <v>1.6150022581100543E-2</v>
      </c>
      <c r="BT238" s="528">
        <f t="shared" si="703"/>
        <v>1.6201250913217637E-4</v>
      </c>
      <c r="BU238" s="528">
        <f t="shared" si="704"/>
        <v>0.2602655140292201</v>
      </c>
      <c r="BV238" s="528"/>
      <c r="BW238" s="625">
        <f t="shared" si="705"/>
        <v>3.3733333333333337E-3</v>
      </c>
      <c r="BX238" s="460">
        <f t="shared" si="706"/>
        <v>283.07705034787614</v>
      </c>
      <c r="BY238" s="173">
        <f t="shared" si="707"/>
        <v>1.359216636433523</v>
      </c>
      <c r="BZ238" s="5">
        <f t="shared" si="708"/>
        <v>4.048</v>
      </c>
      <c r="CA238" s="173">
        <f t="shared" si="709"/>
        <v>0.74862915103582184</v>
      </c>
      <c r="CB238" s="5">
        <f t="shared" si="710"/>
        <v>74.862915103582182</v>
      </c>
      <c r="CC238">
        <f t="shared" si="711"/>
        <v>22</v>
      </c>
      <c r="CE238" s="562">
        <f t="shared" si="651"/>
        <v>-50</v>
      </c>
      <c r="CG238" s="173">
        <f t="shared" si="652"/>
        <v>0.33568277708167915</v>
      </c>
      <c r="CH238" s="173">
        <f t="shared" si="653"/>
        <v>0.11945348087243544</v>
      </c>
      <c r="CI238" s="170">
        <v>22</v>
      </c>
      <c r="CJ238" s="217">
        <f t="shared" si="712"/>
        <v>0.22</v>
      </c>
      <c r="CK238" s="217">
        <f t="shared" si="654"/>
        <v>5.5E-2</v>
      </c>
      <c r="CL238" s="217">
        <f t="shared" si="655"/>
        <v>3.6079999999999997</v>
      </c>
      <c r="CM238" s="217">
        <f t="shared" si="656"/>
        <v>0.44</v>
      </c>
      <c r="CN238" s="541">
        <f t="shared" si="657"/>
        <v>36</v>
      </c>
      <c r="CO238" s="443">
        <f t="shared" si="658"/>
        <v>17.099999999999998</v>
      </c>
      <c r="CP238" s="443">
        <f t="shared" si="659"/>
        <v>53.099999999999994</v>
      </c>
      <c r="CQ238" s="443"/>
      <c r="CR238" s="217">
        <f t="shared" si="660"/>
        <v>0.31818181818181812</v>
      </c>
      <c r="CS238" s="172">
        <f t="shared" si="661"/>
        <v>34.031620553359687</v>
      </c>
      <c r="CT238" s="172">
        <f t="shared" si="662"/>
        <v>4.6563192904656319</v>
      </c>
      <c r="CU238" s="217">
        <f t="shared" si="663"/>
        <v>2.0750988142292495</v>
      </c>
      <c r="CV238" s="217">
        <f t="shared" si="664"/>
        <v>4.2539525691699609</v>
      </c>
      <c r="CW238" s="217">
        <f t="shared" si="665"/>
        <v>16.399999999999999</v>
      </c>
      <c r="CX238" s="217">
        <f t="shared" si="666"/>
        <v>0.70679365079365086</v>
      </c>
      <c r="CY238" s="217">
        <f t="shared" si="667"/>
        <v>0.23559788359788361</v>
      </c>
      <c r="CZ238" s="217">
        <f t="shared" si="668"/>
        <v>0.49599554441659721</v>
      </c>
      <c r="DA238" s="197">
        <f t="shared" si="669"/>
        <v>350</v>
      </c>
      <c r="DB238" s="443">
        <f t="shared" si="670"/>
        <v>350</v>
      </c>
      <c r="DD238" s="217">
        <f t="shared" si="671"/>
        <v>2.7602905569007259</v>
      </c>
      <c r="DE238" s="173">
        <f t="shared" si="672"/>
        <v>1.937046004842615</v>
      </c>
      <c r="DF238" s="173">
        <f t="shared" si="673"/>
        <v>0.83398609309454497</v>
      </c>
      <c r="DG238" s="173"/>
      <c r="DH238" s="173">
        <f t="shared" si="674"/>
        <v>0.93567251461988332</v>
      </c>
      <c r="DI238" s="545">
        <f t="shared" si="675"/>
        <v>352.68749999999989</v>
      </c>
      <c r="DJ238" s="528">
        <f t="shared" si="676"/>
        <v>0.21832358674463945</v>
      </c>
      <c r="DL238" s="173">
        <f t="shared" si="677"/>
        <v>1.3883872109822417</v>
      </c>
      <c r="DM238" s="173">
        <f t="shared" si="678"/>
        <v>1.3883872109822417</v>
      </c>
      <c r="DN238" s="173">
        <f t="shared" si="679"/>
        <v>1.2407806501103023</v>
      </c>
      <c r="DP238" s="545">
        <f t="shared" si="680"/>
        <v>220</v>
      </c>
      <c r="DQ238" s="460">
        <f t="shared" si="681"/>
        <v>350</v>
      </c>
      <c r="DS238">
        <f t="shared" si="682"/>
        <v>220</v>
      </c>
      <c r="DT238">
        <f t="shared" si="683"/>
        <v>350</v>
      </c>
      <c r="DV238" s="5">
        <f t="shared" si="684"/>
        <v>2.8571428571428572</v>
      </c>
      <c r="DW238" s="5">
        <f t="shared" si="685"/>
        <v>0.46279573699408061</v>
      </c>
      <c r="DX238" s="5">
        <f t="shared" si="686"/>
        <v>2.3943471201487765</v>
      </c>
      <c r="DY238" s="173">
        <f t="shared" si="687"/>
        <v>0.1619785079479282</v>
      </c>
      <c r="EA238" s="5">
        <f t="shared" si="713"/>
        <v>0.62082354962620578</v>
      </c>
      <c r="EB238" s="5">
        <f t="shared" si="714"/>
        <v>0.31817206918343038</v>
      </c>
      <c r="EC238" s="5">
        <f t="shared" si="715"/>
        <v>0.19997232429390702</v>
      </c>
      <c r="ED238" s="5"/>
      <c r="EE238" s="173">
        <f t="shared" si="716"/>
        <v>0.32261063075341029</v>
      </c>
      <c r="EF238" s="173">
        <f t="shared" si="717"/>
        <v>0.73379974343452148</v>
      </c>
      <c r="EG238" s="173">
        <f t="shared" si="718"/>
        <v>0.18002834451549948</v>
      </c>
      <c r="EH238" s="173"/>
      <c r="EI238" s="528">
        <f t="shared" si="719"/>
        <v>2.0815523815022646E-3</v>
      </c>
      <c r="EJ238" s="528">
        <f t="shared" si="720"/>
        <v>0.51606352632209918</v>
      </c>
      <c r="EK238" s="528">
        <f t="shared" si="721"/>
        <v>4.3749999999999997E-2</v>
      </c>
      <c r="EL238" s="528">
        <f t="shared" si="722"/>
        <v>9.8686349999999978E-2</v>
      </c>
      <c r="EM238">
        <f t="shared" si="723"/>
        <v>1.6199999999999999E-2</v>
      </c>
      <c r="EN238" s="460">
        <f t="shared" si="724"/>
        <v>59.949999999999996</v>
      </c>
      <c r="EP238" s="460">
        <f t="shared" si="725"/>
        <v>676.78142870360136</v>
      </c>
      <c r="EQ238" s="173">
        <f t="shared" si="726"/>
        <v>0.154</v>
      </c>
      <c r="ER238" s="173">
        <f t="shared" si="688"/>
        <v>2.4406249999999997E-2</v>
      </c>
      <c r="ES238" s="528"/>
      <c r="EU238" s="460">
        <f t="shared" si="727"/>
        <v>178.40625</v>
      </c>
      <c r="EV238" s="528">
        <f t="shared" si="728"/>
        <v>3.1223285722533967E-3</v>
      </c>
      <c r="EW238" s="528">
        <f t="shared" si="729"/>
        <v>1.6153861903937087E-2</v>
      </c>
      <c r="EX238" s="528">
        <f t="shared" si="730"/>
        <v>1.6205102414495686E-4</v>
      </c>
      <c r="EY238" s="528">
        <f t="shared" si="731"/>
        <v>0.2602655140292201</v>
      </c>
      <c r="EZ238" s="528"/>
      <c r="FA238" s="625">
        <f t="shared" si="732"/>
        <v>3.3733333333333337E-3</v>
      </c>
      <c r="FB238" s="460">
        <f t="shared" si="733"/>
        <v>283.0770888628889</v>
      </c>
      <c r="FC238" s="173">
        <f t="shared" si="734"/>
        <v>1.1382647675664901</v>
      </c>
      <c r="FD238" s="5">
        <f t="shared" si="735"/>
        <v>4.048</v>
      </c>
      <c r="FE238" s="173">
        <f t="shared" si="736"/>
        <v>0.78052320531630148</v>
      </c>
      <c r="FF238" s="5">
        <f t="shared" si="737"/>
        <v>78.052320531630144</v>
      </c>
      <c r="FG238">
        <f t="shared" si="738"/>
        <v>22</v>
      </c>
      <c r="FI238" s="562">
        <f t="shared" si="689"/>
        <v>-50</v>
      </c>
    </row>
    <row r="239" spans="5:165">
      <c r="E239" s="170">
        <v>23</v>
      </c>
      <c r="F239" s="217">
        <f t="shared" si="690"/>
        <v>0.23</v>
      </c>
      <c r="G239" s="217">
        <f t="shared" si="617"/>
        <v>5.7500000000000002E-2</v>
      </c>
      <c r="H239" s="217">
        <f t="shared" si="618"/>
        <v>3.7719999999999998</v>
      </c>
      <c r="I239" s="217">
        <f t="shared" si="619"/>
        <v>0.46</v>
      </c>
      <c r="J239" s="541">
        <f t="shared" si="620"/>
        <v>35.954793861445715</v>
      </c>
      <c r="K239" s="443">
        <f t="shared" si="621"/>
        <v>17.120103304632391</v>
      </c>
      <c r="L239" s="172">
        <f t="shared" si="622"/>
        <v>53.074897166078102</v>
      </c>
      <c r="M239" s="443"/>
      <c r="N239" s="217">
        <f t="shared" si="623"/>
        <v>0.32256498304766207</v>
      </c>
      <c r="O239" s="172">
        <f t="shared" si="624"/>
        <v>34.457105533940315</v>
      </c>
      <c r="P239" s="172">
        <f t="shared" si="625"/>
        <v>4.7145355578859443</v>
      </c>
      <c r="Q239" s="217">
        <f t="shared" si="626"/>
        <v>2.1010430203622144</v>
      </c>
      <c r="R239" s="217">
        <f t="shared" si="627"/>
        <v>4.3071381917425393</v>
      </c>
      <c r="S239" s="217">
        <f t="shared" si="628"/>
        <v>16.399999999999999</v>
      </c>
      <c r="T239" s="217">
        <f t="shared" si="629"/>
        <v>0.72979625760780042</v>
      </c>
      <c r="U239" s="217">
        <f t="shared" si="630"/>
        <v>0.24357127800652811</v>
      </c>
      <c r="V239" s="217">
        <f t="shared" si="631"/>
        <v>0.51153634621608668</v>
      </c>
      <c r="W239" s="197">
        <f t="shared" si="632"/>
        <v>350</v>
      </c>
      <c r="X239" s="443">
        <f t="shared" si="691"/>
        <v>350</v>
      </c>
      <c r="Z239" s="217">
        <f t="shared" si="633"/>
        <v>2.7613708267617665</v>
      </c>
      <c r="AA239" s="173">
        <f t="shared" si="634"/>
        <v>1.9355286198638224</v>
      </c>
      <c r="AB239" s="173">
        <f t="shared" si="635"/>
        <v>0.83365892398261943</v>
      </c>
      <c r="AC239" s="173"/>
      <c r="AD239" s="173">
        <f t="shared" si="636"/>
        <v>0.93457379989469402</v>
      </c>
      <c r="AE239" s="545">
        <f t="shared" si="637"/>
        <v>369.15222750613589</v>
      </c>
      <c r="AF239" s="528">
        <f t="shared" si="638"/>
        <v>0.21806721997542861</v>
      </c>
      <c r="AH239" s="173">
        <f t="shared" si="639"/>
        <v>1.4195908196512457</v>
      </c>
      <c r="AI239" s="173">
        <f t="shared" si="640"/>
        <v>1.4195908196512457</v>
      </c>
      <c r="AJ239" s="173">
        <f t="shared" si="641"/>
        <v>1.2638944343095646</v>
      </c>
      <c r="AL239" s="545">
        <f t="shared" si="642"/>
        <v>230</v>
      </c>
      <c r="AM239" s="460">
        <f t="shared" si="643"/>
        <v>350</v>
      </c>
      <c r="AO239">
        <f t="shared" si="644"/>
        <v>230</v>
      </c>
      <c r="AP239">
        <f t="shared" si="645"/>
        <v>350</v>
      </c>
      <c r="AR239" s="5">
        <f t="shared" si="616"/>
        <v>2.8571428571428572</v>
      </c>
      <c r="AS239" s="5">
        <f t="shared" si="604"/>
        <v>0.47379189271563749</v>
      </c>
      <c r="AT239" s="5">
        <f t="shared" si="605"/>
        <v>2.3833509644272199</v>
      </c>
      <c r="AU239" s="173">
        <f t="shared" si="606"/>
        <v>0.1658271624504731</v>
      </c>
      <c r="BA239" s="173">
        <f t="shared" si="692"/>
        <v>0.33375700491796406</v>
      </c>
      <c r="BB239" s="173">
        <f t="shared" si="693"/>
        <v>0.7485668262848828</v>
      </c>
      <c r="BC239" s="173">
        <f t="shared" si="694"/>
        <v>0.18365125867247481</v>
      </c>
      <c r="BD239" s="173"/>
      <c r="BE239" s="528">
        <f t="shared" si="695"/>
        <v>2.227874766636198E-3</v>
      </c>
      <c r="BF239" s="528">
        <f t="shared" si="646"/>
        <v>0.49444917880902067</v>
      </c>
      <c r="BG239" s="528">
        <f t="shared" si="647"/>
        <v>0.31460444628764994</v>
      </c>
      <c r="BH239" s="528">
        <f t="shared" si="696"/>
        <v>9.8593064821641804E-2</v>
      </c>
      <c r="BI239">
        <f t="shared" si="697"/>
        <v>1.6179657237650573E-2</v>
      </c>
      <c r="BJ239" s="460">
        <f t="shared" si="698"/>
        <v>330.78410352530051</v>
      </c>
      <c r="BK239">
        <f t="shared" si="648"/>
        <v>0.59618723214887959</v>
      </c>
      <c r="BL239" s="460">
        <f t="shared" si="699"/>
        <v>926.05422192259925</v>
      </c>
      <c r="BM239" s="173">
        <f t="shared" si="649"/>
        <v>0.1428875</v>
      </c>
      <c r="BN239" s="173">
        <f t="shared" si="650"/>
        <v>2.5515625E-2</v>
      </c>
      <c r="BQ239" s="460">
        <f t="shared" si="700"/>
        <v>168.40312499999999</v>
      </c>
      <c r="BR239" s="528">
        <f t="shared" si="701"/>
        <v>3.3418121499542968E-3</v>
      </c>
      <c r="BS239" s="528">
        <f t="shared" si="702"/>
        <v>1.6810568802426654E-2</v>
      </c>
      <c r="BT239" s="528">
        <f t="shared" si="703"/>
        <v>1.6863892405992128E-4</v>
      </c>
      <c r="BU239" s="528">
        <f t="shared" si="704"/>
        <v>0.2751364127268649</v>
      </c>
      <c r="BV239" s="528"/>
      <c r="BW239" s="625">
        <f t="shared" si="705"/>
        <v>3.526666666666668E-3</v>
      </c>
      <c r="BX239" s="460">
        <f t="shared" si="706"/>
        <v>298.98409926997243</v>
      </c>
      <c r="BY239" s="173">
        <f t="shared" si="707"/>
        <v>1.3934414461925715</v>
      </c>
      <c r="BZ239" s="5">
        <f t="shared" si="708"/>
        <v>4.2320000000000002</v>
      </c>
      <c r="CA239" s="173">
        <f t="shared" si="709"/>
        <v>0.75229651583420454</v>
      </c>
      <c r="CB239" s="5">
        <f t="shared" si="710"/>
        <v>75.229651583420448</v>
      </c>
      <c r="CC239">
        <f t="shared" si="711"/>
        <v>23</v>
      </c>
      <c r="CE239" s="562">
        <f t="shared" si="651"/>
        <v>-50</v>
      </c>
      <c r="CG239" s="173">
        <f t="shared" si="652"/>
        <v>0.34322715226039519</v>
      </c>
      <c r="CH239" s="173">
        <f t="shared" si="653"/>
        <v>0.12213816396502661</v>
      </c>
      <c r="CI239" s="170">
        <v>23</v>
      </c>
      <c r="CJ239" s="217">
        <f t="shared" si="712"/>
        <v>0.23</v>
      </c>
      <c r="CK239" s="217">
        <f t="shared" si="654"/>
        <v>5.7500000000000002E-2</v>
      </c>
      <c r="CL239" s="217">
        <f t="shared" si="655"/>
        <v>3.7719999999999998</v>
      </c>
      <c r="CM239" s="217">
        <f t="shared" si="656"/>
        <v>0.46</v>
      </c>
      <c r="CN239" s="541">
        <f t="shared" si="657"/>
        <v>36</v>
      </c>
      <c r="CO239" s="443">
        <f t="shared" si="658"/>
        <v>17.099999999999998</v>
      </c>
      <c r="CP239" s="443">
        <f t="shared" si="659"/>
        <v>53.099999999999994</v>
      </c>
      <c r="CQ239" s="443"/>
      <c r="CR239" s="217">
        <f t="shared" si="660"/>
        <v>0.31818181818181812</v>
      </c>
      <c r="CS239" s="172">
        <f t="shared" si="661"/>
        <v>34.031620553359687</v>
      </c>
      <c r="CT239" s="172">
        <f t="shared" si="662"/>
        <v>4.6563192904656319</v>
      </c>
      <c r="CU239" s="217">
        <f t="shared" si="663"/>
        <v>2.0750988142292495</v>
      </c>
      <c r="CV239" s="217">
        <f t="shared" si="664"/>
        <v>4.2539525691699609</v>
      </c>
      <c r="CW239" s="217">
        <f t="shared" si="665"/>
        <v>16.399999999999999</v>
      </c>
      <c r="CX239" s="217">
        <f t="shared" si="666"/>
        <v>0.73892063492063509</v>
      </c>
      <c r="CY239" s="217">
        <f t="shared" si="667"/>
        <v>0.24630687830687839</v>
      </c>
      <c r="CZ239" s="217">
        <f t="shared" si="668"/>
        <v>0.51854079643553352</v>
      </c>
      <c r="DA239" s="197">
        <f t="shared" si="669"/>
        <v>350</v>
      </c>
      <c r="DB239" s="443">
        <f t="shared" si="670"/>
        <v>350</v>
      </c>
      <c r="DD239" s="217">
        <f t="shared" si="671"/>
        <v>2.7602905569007259</v>
      </c>
      <c r="DE239" s="173">
        <f t="shared" si="672"/>
        <v>1.937046004842615</v>
      </c>
      <c r="DF239" s="173">
        <f t="shared" si="673"/>
        <v>0.83398609309454497</v>
      </c>
      <c r="DG239" s="173"/>
      <c r="DH239" s="173">
        <f t="shared" si="674"/>
        <v>0.93567251461988332</v>
      </c>
      <c r="DI239" s="545">
        <f t="shared" si="675"/>
        <v>368.71874999999989</v>
      </c>
      <c r="DJ239" s="528">
        <f t="shared" si="676"/>
        <v>0.21832358674463945</v>
      </c>
      <c r="DL239" s="173">
        <f t="shared" si="677"/>
        <v>1.4195908196512457</v>
      </c>
      <c r="DM239" s="173">
        <f t="shared" si="678"/>
        <v>1.4195908196512457</v>
      </c>
      <c r="DN239" s="173">
        <f t="shared" si="679"/>
        <v>1.2638944343095646</v>
      </c>
      <c r="DP239" s="545">
        <f t="shared" si="680"/>
        <v>230</v>
      </c>
      <c r="DQ239" s="460">
        <f t="shared" si="681"/>
        <v>350</v>
      </c>
      <c r="DS239">
        <f t="shared" si="682"/>
        <v>230</v>
      </c>
      <c r="DT239">
        <f t="shared" si="683"/>
        <v>350</v>
      </c>
      <c r="DV239" s="5">
        <f t="shared" si="684"/>
        <v>2.8571428571428572</v>
      </c>
      <c r="DW239" s="5">
        <f t="shared" si="685"/>
        <v>0.47319693988374861</v>
      </c>
      <c r="DX239" s="5">
        <f t="shared" si="686"/>
        <v>2.3839459172591084</v>
      </c>
      <c r="DY239" s="173">
        <f t="shared" si="687"/>
        <v>0.16561892895931202</v>
      </c>
      <c r="EA239" s="5">
        <f t="shared" si="713"/>
        <v>0.66362985471501335</v>
      </c>
      <c r="EB239" s="5">
        <f t="shared" si="714"/>
        <v>0.34011030054144431</v>
      </c>
      <c r="EC239" s="5">
        <f t="shared" si="715"/>
        <v>0.20815379629401287</v>
      </c>
      <c r="ED239" s="5"/>
      <c r="EE239" s="173">
        <f t="shared" si="716"/>
        <v>0.33354738540490136</v>
      </c>
      <c r="EF239" s="173">
        <f t="shared" si="717"/>
        <v>0.74866025234119793</v>
      </c>
      <c r="EG239" s="173">
        <f t="shared" si="718"/>
        <v>0.18367417955573145</v>
      </c>
      <c r="EH239" s="173"/>
      <c r="EI239" s="528">
        <f t="shared" si="719"/>
        <v>2.2250771662089162E-3</v>
      </c>
      <c r="EJ239" s="528">
        <f t="shared" si="720"/>
        <v>0.52766190766436805</v>
      </c>
      <c r="EK239" s="528">
        <f t="shared" si="721"/>
        <v>4.3749999999999997E-2</v>
      </c>
      <c r="EL239" s="528">
        <f t="shared" si="722"/>
        <v>9.8686349999999978E-2</v>
      </c>
      <c r="EM239">
        <f t="shared" si="723"/>
        <v>1.6199999999999999E-2</v>
      </c>
      <c r="EN239" s="460">
        <f t="shared" si="724"/>
        <v>59.949999999999996</v>
      </c>
      <c r="EP239" s="460">
        <f t="shared" si="725"/>
        <v>688.5233348305768</v>
      </c>
      <c r="EQ239" s="173">
        <f t="shared" si="726"/>
        <v>0.161</v>
      </c>
      <c r="ER239" s="173">
        <f t="shared" si="688"/>
        <v>2.5515625E-2</v>
      </c>
      <c r="ES239" s="528"/>
      <c r="EU239" s="460">
        <f t="shared" si="727"/>
        <v>186.51562500000003</v>
      </c>
      <c r="EV239" s="528">
        <f t="shared" si="728"/>
        <v>3.3376157493133739E-3</v>
      </c>
      <c r="EW239" s="528">
        <f t="shared" si="729"/>
        <v>1.6814765203067582E-2</v>
      </c>
      <c r="EX239" s="528">
        <f t="shared" si="730"/>
        <v>1.6868102117735539E-4</v>
      </c>
      <c r="EY239" s="528">
        <f t="shared" si="731"/>
        <v>0.2751364127268649</v>
      </c>
      <c r="EZ239" s="528"/>
      <c r="FA239" s="625">
        <f t="shared" si="732"/>
        <v>3.526666666666668E-3</v>
      </c>
      <c r="FB239" s="460">
        <f t="shared" si="733"/>
        <v>298.98414136708988</v>
      </c>
      <c r="FC239" s="173">
        <f t="shared" si="734"/>
        <v>1.1740231011976667</v>
      </c>
      <c r="FD239" s="5">
        <f t="shared" si="735"/>
        <v>4.2320000000000002</v>
      </c>
      <c r="FE239" s="173">
        <f t="shared" si="736"/>
        <v>0.78283054304048949</v>
      </c>
      <c r="FF239" s="5">
        <f t="shared" si="737"/>
        <v>78.283054304048946</v>
      </c>
      <c r="FG239">
        <f t="shared" si="738"/>
        <v>23</v>
      </c>
      <c r="FI239" s="562">
        <f t="shared" si="689"/>
        <v>-50</v>
      </c>
    </row>
    <row r="240" spans="5:165">
      <c r="E240" s="170">
        <v>24</v>
      </c>
      <c r="F240" s="217">
        <f t="shared" si="690"/>
        <v>0.24</v>
      </c>
      <c r="G240" s="217">
        <f t="shared" si="617"/>
        <v>0.06</v>
      </c>
      <c r="H240" s="217">
        <f t="shared" si="618"/>
        <v>3.9359999999999995</v>
      </c>
      <c r="I240" s="217">
        <f t="shared" si="619"/>
        <v>0.48</v>
      </c>
      <c r="J240" s="541">
        <f t="shared" si="620"/>
        <v>35.953821575190339</v>
      </c>
      <c r="K240" s="443">
        <f t="shared" si="621"/>
        <v>17.120535683229789</v>
      </c>
      <c r="L240" s="172">
        <f t="shared" si="622"/>
        <v>53.074357258420129</v>
      </c>
      <c r="M240" s="443"/>
      <c r="N240" s="217">
        <f t="shared" si="623"/>
        <v>0.32257641105043539</v>
      </c>
      <c r="O240" s="172">
        <f t="shared" si="624"/>
        <v>34.457394479578056</v>
      </c>
      <c r="P240" s="172">
        <f t="shared" si="625"/>
        <v>4.7145750923872418</v>
      </c>
      <c r="Q240" s="217">
        <f t="shared" si="626"/>
        <v>2.1010606389986624</v>
      </c>
      <c r="R240" s="217">
        <f t="shared" si="627"/>
        <v>4.307174309947257</v>
      </c>
      <c r="S240" s="217">
        <f t="shared" si="628"/>
        <v>16.399999999999999</v>
      </c>
      <c r="T240" s="217">
        <f t="shared" si="629"/>
        <v>0.76152014382723343</v>
      </c>
      <c r="U240" s="217">
        <f t="shared" si="630"/>
        <v>0.25416607541470848</v>
      </c>
      <c r="V240" s="217">
        <f t="shared" si="631"/>
        <v>0.53375910047476227</v>
      </c>
      <c r="W240" s="197">
        <f t="shared" si="632"/>
        <v>350</v>
      </c>
      <c r="X240" s="443">
        <f t="shared" si="691"/>
        <v>350</v>
      </c>
      <c r="Z240" s="217">
        <f t="shared" si="633"/>
        <v>2.7613939826839551</v>
      </c>
      <c r="AA240" s="173">
        <f t="shared" si="634"/>
        <v>1.9354959684273279</v>
      </c>
      <c r="AB240" s="173">
        <f t="shared" si="635"/>
        <v>0.83365185122166718</v>
      </c>
      <c r="AC240" s="173"/>
      <c r="AD240" s="173">
        <f t="shared" si="636"/>
        <v>0.9345501972623792</v>
      </c>
      <c r="AE240" s="545">
        <f t="shared" si="637"/>
        <v>385.21205287267014</v>
      </c>
      <c r="AF240" s="528">
        <f t="shared" si="638"/>
        <v>0.21806171269455521</v>
      </c>
      <c r="AH240" s="173">
        <f t="shared" si="639"/>
        <v>1.450123147479945</v>
      </c>
      <c r="AI240" s="173">
        <f t="shared" si="640"/>
        <v>1.450123147479945</v>
      </c>
      <c r="AJ240" s="173">
        <f t="shared" si="641"/>
        <v>1.2865109734419344</v>
      </c>
      <c r="AL240" s="545">
        <f t="shared" si="642"/>
        <v>240</v>
      </c>
      <c r="AM240" s="460">
        <f t="shared" si="643"/>
        <v>350</v>
      </c>
      <c r="AO240">
        <f t="shared" si="644"/>
        <v>240</v>
      </c>
      <c r="AP240">
        <f t="shared" si="645"/>
        <v>350</v>
      </c>
      <c r="AR240" s="5">
        <f t="shared" si="616"/>
        <v>2.8571428571428572</v>
      </c>
      <c r="AS240" s="5">
        <f t="shared" si="604"/>
        <v>0.48399521962825498</v>
      </c>
      <c r="AT240" s="5">
        <f t="shared" si="605"/>
        <v>2.3731476375146023</v>
      </c>
      <c r="AU240" s="173">
        <f t="shared" si="606"/>
        <v>0.16939832686988923</v>
      </c>
      <c r="BA240" s="173">
        <f t="shared" si="692"/>
        <v>0.34458694193018763</v>
      </c>
      <c r="BB240" s="173">
        <f t="shared" si="693"/>
        <v>0.76302832215035254</v>
      </c>
      <c r="BC240" s="173">
        <f t="shared" si="694"/>
        <v>0.18719920098667184</v>
      </c>
      <c r="BD240" s="173"/>
      <c r="BE240" s="528">
        <f t="shared" si="695"/>
        <v>2.3748032109759702E-3</v>
      </c>
      <c r="BF240" s="528">
        <f t="shared" si="646"/>
        <v>0.50507857311223769</v>
      </c>
      <c r="BG240" s="528">
        <f t="shared" si="647"/>
        <v>0.31459593878291542</v>
      </c>
      <c r="BH240" s="528">
        <f t="shared" si="696"/>
        <v>9.8591058943804474E-2</v>
      </c>
      <c r="BI240">
        <f t="shared" si="697"/>
        <v>1.6179219708835652E-2</v>
      </c>
      <c r="BJ240" s="460">
        <f t="shared" si="698"/>
        <v>330.77515849175109</v>
      </c>
      <c r="BK240">
        <f t="shared" si="648"/>
        <v>0.60702814973601871</v>
      </c>
      <c r="BL240" s="460">
        <f t="shared" si="699"/>
        <v>936.81959375876909</v>
      </c>
      <c r="BM240" s="173">
        <f t="shared" si="649"/>
        <v>0.14909999999999998</v>
      </c>
      <c r="BN240" s="173">
        <f t="shared" si="650"/>
        <v>2.6624999999999999E-2</v>
      </c>
      <c r="BQ240" s="460">
        <f t="shared" si="700"/>
        <v>175.72499999999999</v>
      </c>
      <c r="BR240" s="528">
        <f t="shared" si="701"/>
        <v>3.5622048164639548E-3</v>
      </c>
      <c r="BS240" s="528">
        <f t="shared" si="702"/>
        <v>1.7466366612107466E-2</v>
      </c>
      <c r="BT240" s="528">
        <f t="shared" si="703"/>
        <v>1.7521770425024178E-4</v>
      </c>
      <c r="BU240" s="528">
        <f t="shared" si="704"/>
        <v>0.29016987837653591</v>
      </c>
      <c r="BV240" s="528"/>
      <c r="BW240" s="625">
        <f t="shared" si="705"/>
        <v>3.6799999999999992E-3</v>
      </c>
      <c r="BX240" s="460">
        <f t="shared" si="706"/>
        <v>315.05366750935758</v>
      </c>
      <c r="BY240" s="173">
        <f t="shared" si="707"/>
        <v>1.4275982612681264</v>
      </c>
      <c r="BZ240" s="5">
        <f t="shared" si="708"/>
        <v>4.4159999999999995</v>
      </c>
      <c r="CA240" s="173">
        <f t="shared" si="709"/>
        <v>0.75569876684878035</v>
      </c>
      <c r="CB240" s="5">
        <f t="shared" si="710"/>
        <v>75.569876684878039</v>
      </c>
      <c r="CC240">
        <f t="shared" si="711"/>
        <v>24</v>
      </c>
      <c r="CE240" s="562">
        <f t="shared" si="651"/>
        <v>-50</v>
      </c>
      <c r="CG240" s="173">
        <f t="shared" si="652"/>
        <v>0.35060922587446652</v>
      </c>
      <c r="CH240" s="173">
        <f t="shared" si="653"/>
        <v>0.12476509167613409</v>
      </c>
      <c r="CI240" s="170">
        <v>24</v>
      </c>
      <c r="CJ240" s="217">
        <f t="shared" si="712"/>
        <v>0.24</v>
      </c>
      <c r="CK240" s="217">
        <f t="shared" si="654"/>
        <v>0.06</v>
      </c>
      <c r="CL240" s="217">
        <f t="shared" si="655"/>
        <v>3.9359999999999995</v>
      </c>
      <c r="CM240" s="217">
        <f t="shared" si="656"/>
        <v>0.48</v>
      </c>
      <c r="CN240" s="541">
        <f t="shared" si="657"/>
        <v>36</v>
      </c>
      <c r="CO240" s="443">
        <f t="shared" si="658"/>
        <v>17.099999999999998</v>
      </c>
      <c r="CP240" s="443">
        <f t="shared" si="659"/>
        <v>53.099999999999994</v>
      </c>
      <c r="CQ240" s="443"/>
      <c r="CR240" s="217">
        <f t="shared" si="660"/>
        <v>0.31818181818181812</v>
      </c>
      <c r="CS240" s="172">
        <f t="shared" si="661"/>
        <v>34.031620553359687</v>
      </c>
      <c r="CT240" s="172">
        <f t="shared" si="662"/>
        <v>4.6563192904656319</v>
      </c>
      <c r="CU240" s="217">
        <f t="shared" si="663"/>
        <v>2.0750988142292495</v>
      </c>
      <c r="CV240" s="217">
        <f t="shared" si="664"/>
        <v>4.2539525691699609</v>
      </c>
      <c r="CW240" s="217">
        <f t="shared" si="665"/>
        <v>16.399999999999999</v>
      </c>
      <c r="CX240" s="217">
        <f t="shared" si="666"/>
        <v>0.77104761904761909</v>
      </c>
      <c r="CY240" s="217">
        <f t="shared" si="667"/>
        <v>0.25701587301587303</v>
      </c>
      <c r="CZ240" s="217">
        <f t="shared" si="668"/>
        <v>0.54108604845446973</v>
      </c>
      <c r="DA240" s="197">
        <f t="shared" si="669"/>
        <v>350</v>
      </c>
      <c r="DB240" s="443">
        <f t="shared" si="670"/>
        <v>350</v>
      </c>
      <c r="DD240" s="217">
        <f t="shared" si="671"/>
        <v>2.7602905569007259</v>
      </c>
      <c r="DE240" s="173">
        <f t="shared" si="672"/>
        <v>1.937046004842615</v>
      </c>
      <c r="DF240" s="173">
        <f t="shared" si="673"/>
        <v>0.83398609309454497</v>
      </c>
      <c r="DG240" s="173"/>
      <c r="DH240" s="173">
        <f t="shared" si="674"/>
        <v>0.93567251461988332</v>
      </c>
      <c r="DI240" s="545">
        <f t="shared" si="675"/>
        <v>384.74999999999983</v>
      </c>
      <c r="DJ240" s="528">
        <f t="shared" si="676"/>
        <v>0.21832358674463945</v>
      </c>
      <c r="DL240" s="173">
        <f t="shared" si="677"/>
        <v>1.450123147479945</v>
      </c>
      <c r="DM240" s="173">
        <f t="shared" si="678"/>
        <v>1.450123147479945</v>
      </c>
      <c r="DN240" s="173">
        <f t="shared" si="679"/>
        <v>1.2865109734419344</v>
      </c>
      <c r="DP240" s="545">
        <f t="shared" si="680"/>
        <v>240</v>
      </c>
      <c r="DQ240" s="460">
        <f t="shared" si="681"/>
        <v>350</v>
      </c>
      <c r="DS240">
        <f t="shared" si="682"/>
        <v>240</v>
      </c>
      <c r="DT240">
        <f t="shared" si="683"/>
        <v>350</v>
      </c>
      <c r="DV240" s="5">
        <f t="shared" si="684"/>
        <v>2.8571428571428572</v>
      </c>
      <c r="DW240" s="5">
        <f t="shared" si="685"/>
        <v>0.48337438249331499</v>
      </c>
      <c r="DX240" s="5">
        <f t="shared" si="686"/>
        <v>2.373768474649542</v>
      </c>
      <c r="DY240" s="173">
        <f t="shared" si="687"/>
        <v>0.16918103387266023</v>
      </c>
      <c r="EA240" s="5">
        <f t="shared" si="713"/>
        <v>0.70737714511216843</v>
      </c>
      <c r="EB240" s="5">
        <f t="shared" si="714"/>
        <v>0.36253078686998624</v>
      </c>
      <c r="EC240" s="5">
        <f t="shared" si="715"/>
        <v>0.21627668324584712</v>
      </c>
      <c r="ED240" s="5"/>
      <c r="EE240" s="173">
        <f t="shared" si="716"/>
        <v>0.34436586431443311</v>
      </c>
      <c r="EF240" s="173">
        <f t="shared" si="717"/>
        <v>0.76312812321873857</v>
      </c>
      <c r="EG240" s="173">
        <f t="shared" si="718"/>
        <v>0.18722368589728017</v>
      </c>
      <c r="EH240" s="173"/>
      <c r="EI240" s="528">
        <f t="shared" si="719"/>
        <v>2.3717569701005312E-3</v>
      </c>
      <c r="EJ240" s="528">
        <f t="shared" si="720"/>
        <v>0.53901077391829544</v>
      </c>
      <c r="EK240" s="528">
        <f t="shared" si="721"/>
        <v>4.3749999999999997E-2</v>
      </c>
      <c r="EL240" s="528">
        <f t="shared" si="722"/>
        <v>9.8686349999999978E-2</v>
      </c>
      <c r="EM240">
        <f t="shared" si="723"/>
        <v>1.6199999999999999E-2</v>
      </c>
      <c r="EN240" s="460">
        <f t="shared" si="724"/>
        <v>59.949999999999996</v>
      </c>
      <c r="EP240" s="460">
        <f t="shared" si="725"/>
        <v>700.01888088839576</v>
      </c>
      <c r="EQ240" s="173">
        <f t="shared" si="726"/>
        <v>0.16799999999999998</v>
      </c>
      <c r="ER240" s="173">
        <f t="shared" si="688"/>
        <v>2.6624999999999999E-2</v>
      </c>
      <c r="ES240" s="528"/>
      <c r="EU240" s="460">
        <f t="shared" si="727"/>
        <v>194.625</v>
      </c>
      <c r="EV240" s="528">
        <f t="shared" si="728"/>
        <v>3.5576354551507968E-3</v>
      </c>
      <c r="EW240" s="528">
        <f t="shared" si="729"/>
        <v>1.7470935973420625E-2</v>
      </c>
      <c r="EX240" s="528">
        <f t="shared" si="730"/>
        <v>1.7526354280481712E-4</v>
      </c>
      <c r="EY240" s="528">
        <f t="shared" si="731"/>
        <v>0.29016987837653591</v>
      </c>
      <c r="EZ240" s="528"/>
      <c r="FA240" s="625">
        <f t="shared" si="732"/>
        <v>3.6799999999999992E-3</v>
      </c>
      <c r="FB240" s="460">
        <f t="shared" si="733"/>
        <v>315.05371334791215</v>
      </c>
      <c r="FC240" s="173">
        <f t="shared" si="734"/>
        <v>1.2096975942363077</v>
      </c>
      <c r="FD240" s="5">
        <f t="shared" si="735"/>
        <v>4.4159999999999995</v>
      </c>
      <c r="FE240" s="173">
        <f t="shared" si="736"/>
        <v>0.78496931732063269</v>
      </c>
      <c r="FF240" s="5">
        <f t="shared" si="737"/>
        <v>78.496931732063274</v>
      </c>
      <c r="FG240">
        <f t="shared" si="738"/>
        <v>24</v>
      </c>
      <c r="FI240" s="562">
        <f t="shared" si="689"/>
        <v>-50</v>
      </c>
    </row>
    <row r="241" spans="5:165">
      <c r="E241" s="170">
        <v>25</v>
      </c>
      <c r="F241" s="217">
        <f t="shared" si="690"/>
        <v>0.25</v>
      </c>
      <c r="G241" s="217">
        <f t="shared" si="617"/>
        <v>6.25E-2</v>
      </c>
      <c r="H241" s="217">
        <f t="shared" si="618"/>
        <v>4.0999999999999996</v>
      </c>
      <c r="I241" s="217">
        <f t="shared" si="619"/>
        <v>0.5</v>
      </c>
      <c r="J241" s="541">
        <f t="shared" si="620"/>
        <v>35.952869342537852</v>
      </c>
      <c r="K241" s="443">
        <f t="shared" si="621"/>
        <v>17.120959143930172</v>
      </c>
      <c r="L241" s="172">
        <f t="shared" si="622"/>
        <v>53.073828486468024</v>
      </c>
      <c r="M241" s="443"/>
      <c r="N241" s="217">
        <f t="shared" si="623"/>
        <v>0.32258760357367888</v>
      </c>
      <c r="O241" s="172">
        <f t="shared" si="624"/>
        <v>34.457677425730573</v>
      </c>
      <c r="P241" s="172">
        <f t="shared" si="625"/>
        <v>4.714613806019055</v>
      </c>
      <c r="Q241" s="217">
        <f t="shared" si="626"/>
        <v>2.1010778918128401</v>
      </c>
      <c r="R241" s="217">
        <f t="shared" si="627"/>
        <v>4.3072096782163216</v>
      </c>
      <c r="S241" s="217">
        <f t="shared" si="628"/>
        <v>16.399999999999999</v>
      </c>
      <c r="T241" s="217">
        <f t="shared" si="629"/>
        <v>0.79324363611700432</v>
      </c>
      <c r="U241" s="217">
        <f t="shared" si="630"/>
        <v>0.26476116670169858</v>
      </c>
      <c r="V241" s="217">
        <f t="shared" si="631"/>
        <v>0.55598074578542289</v>
      </c>
      <c r="W241" s="197">
        <f t="shared" si="632"/>
        <v>350</v>
      </c>
      <c r="X241" s="443">
        <f t="shared" si="691"/>
        <v>350</v>
      </c>
      <c r="Z241" s="217">
        <f t="shared" si="633"/>
        <v>2.7614166578111599</v>
      </c>
      <c r="AA241" s="173">
        <f t="shared" si="634"/>
        <v>1.935463989789489</v>
      </c>
      <c r="AB241" s="173">
        <f t="shared" si="635"/>
        <v>0.83364492286604597</v>
      </c>
      <c r="AC241" s="173"/>
      <c r="AD241" s="173">
        <f t="shared" si="636"/>
        <v>0.9345270825946933</v>
      </c>
      <c r="AE241" s="545">
        <f t="shared" si="637"/>
        <v>401.27247993586332</v>
      </c>
      <c r="AF241" s="528">
        <f t="shared" si="638"/>
        <v>0.21805631927209515</v>
      </c>
      <c r="AH241" s="173">
        <f t="shared" si="639"/>
        <v>1.4800257398019097</v>
      </c>
      <c r="AI241" s="173">
        <f t="shared" si="640"/>
        <v>1.4800257398019097</v>
      </c>
      <c r="AJ241" s="173">
        <f t="shared" si="641"/>
        <v>1.3086610418285749</v>
      </c>
      <c r="AL241" s="545">
        <f t="shared" si="642"/>
        <v>250</v>
      </c>
      <c r="AM241" s="460">
        <f t="shared" si="643"/>
        <v>350</v>
      </c>
      <c r="AO241">
        <f t="shared" si="644"/>
        <v>250</v>
      </c>
      <c r="AP241">
        <f t="shared" si="645"/>
        <v>350</v>
      </c>
      <c r="AR241" s="5">
        <f t="shared" si="616"/>
        <v>2.8571428571428572</v>
      </c>
      <c r="AS241" s="5">
        <f t="shared" si="604"/>
        <v>0.49398863574456631</v>
      </c>
      <c r="AT241" s="5">
        <f t="shared" si="605"/>
        <v>2.363154221398291</v>
      </c>
      <c r="AU241" s="173">
        <f t="shared" si="606"/>
        <v>0.17289602251059821</v>
      </c>
      <c r="BA241" s="173">
        <f t="shared" si="692"/>
        <v>0.35530485536484518</v>
      </c>
      <c r="BB241" s="173">
        <f t="shared" si="693"/>
        <v>0.77712109089439618</v>
      </c>
      <c r="BC241" s="173">
        <f t="shared" si="694"/>
        <v>0.19065668083635831</v>
      </c>
      <c r="BD241" s="173"/>
      <c r="BE241" s="528">
        <f t="shared" si="695"/>
        <v>2.5248308049166711E-3</v>
      </c>
      <c r="BF241" s="528">
        <f t="shared" si="646"/>
        <v>0.51548852427059211</v>
      </c>
      <c r="BG241" s="528">
        <f t="shared" si="647"/>
        <v>0.31458760674720621</v>
      </c>
      <c r="BH241" s="528">
        <f t="shared" si="696"/>
        <v>9.8589094457385867E-2</v>
      </c>
      <c r="BI241">
        <f t="shared" si="697"/>
        <v>1.6178791204142035E-2</v>
      </c>
      <c r="BJ241" s="460">
        <f t="shared" si="698"/>
        <v>330.76639795134821</v>
      </c>
      <c r="BK241">
        <f t="shared" si="648"/>
        <v>0.61765468477162144</v>
      </c>
      <c r="BL241" s="460">
        <f t="shared" si="699"/>
        <v>947.36884748424291</v>
      </c>
      <c r="BM241" s="173">
        <f t="shared" si="649"/>
        <v>0.15531249999999999</v>
      </c>
      <c r="BN241" s="173">
        <f t="shared" si="650"/>
        <v>2.7734374999999999E-2</v>
      </c>
      <c r="BQ241" s="460">
        <f t="shared" si="700"/>
        <v>183.046875</v>
      </c>
      <c r="BR241" s="528">
        <f t="shared" si="701"/>
        <v>3.7872462073750067E-3</v>
      </c>
      <c r="BS241" s="528">
        <f t="shared" si="702"/>
        <v>1.8117515697386889E-2</v>
      </c>
      <c r="BT241" s="528">
        <f t="shared" si="703"/>
        <v>1.8174984973768498E-4</v>
      </c>
      <c r="BU241" s="528">
        <f t="shared" si="704"/>
        <v>0.30536080117183378</v>
      </c>
      <c r="BV241" s="528"/>
      <c r="BW241" s="625">
        <f t="shared" si="705"/>
        <v>3.8333333333333318E-3</v>
      </c>
      <c r="BX241" s="460">
        <f t="shared" si="706"/>
        <v>331.28064625966675</v>
      </c>
      <c r="BY241" s="173">
        <f t="shared" si="707"/>
        <v>1.4616963687439097</v>
      </c>
      <c r="BZ241" s="5">
        <f t="shared" si="708"/>
        <v>4.5999999999999996</v>
      </c>
      <c r="CA241" s="173">
        <f t="shared" si="709"/>
        <v>0.75886347982045177</v>
      </c>
      <c r="CB241" s="5">
        <f t="shared" si="710"/>
        <v>75.88634798204518</v>
      </c>
      <c r="CC241">
        <f t="shared" si="711"/>
        <v>25</v>
      </c>
      <c r="CE241" s="562">
        <f t="shared" si="651"/>
        <v>-50</v>
      </c>
      <c r="CG241" s="173">
        <f t="shared" si="652"/>
        <v>0.35783904271027339</v>
      </c>
      <c r="CH241" s="173">
        <f t="shared" si="653"/>
        <v>0.12733783846587224</v>
      </c>
      <c r="CI241" s="170">
        <v>25</v>
      </c>
      <c r="CJ241" s="217">
        <f t="shared" si="712"/>
        <v>0.25</v>
      </c>
      <c r="CK241" s="217">
        <f t="shared" si="654"/>
        <v>6.25E-2</v>
      </c>
      <c r="CL241" s="217">
        <f t="shared" si="655"/>
        <v>4.0999999999999996</v>
      </c>
      <c r="CM241" s="217">
        <f t="shared" si="656"/>
        <v>0.5</v>
      </c>
      <c r="CN241" s="541">
        <f t="shared" si="657"/>
        <v>36</v>
      </c>
      <c r="CO241" s="443">
        <f t="shared" si="658"/>
        <v>17.099999999999998</v>
      </c>
      <c r="CP241" s="443">
        <f t="shared" si="659"/>
        <v>53.099999999999994</v>
      </c>
      <c r="CQ241" s="443"/>
      <c r="CR241" s="217">
        <f t="shared" si="660"/>
        <v>0.31818181818181812</v>
      </c>
      <c r="CS241" s="172">
        <f t="shared" si="661"/>
        <v>34.031620553359687</v>
      </c>
      <c r="CT241" s="172">
        <f t="shared" si="662"/>
        <v>4.6563192904656319</v>
      </c>
      <c r="CU241" s="217">
        <f t="shared" si="663"/>
        <v>2.0750988142292495</v>
      </c>
      <c r="CV241" s="217">
        <f t="shared" si="664"/>
        <v>4.2539525691699609</v>
      </c>
      <c r="CW241" s="217">
        <f t="shared" si="665"/>
        <v>16.399999999999999</v>
      </c>
      <c r="CX241" s="217">
        <f t="shared" si="666"/>
        <v>0.80317460317460321</v>
      </c>
      <c r="CY241" s="217">
        <f t="shared" si="667"/>
        <v>0.26772486772486775</v>
      </c>
      <c r="CZ241" s="217">
        <f t="shared" si="668"/>
        <v>0.56363130047340582</v>
      </c>
      <c r="DA241" s="197">
        <f t="shared" si="669"/>
        <v>350</v>
      </c>
      <c r="DB241" s="443">
        <f t="shared" si="670"/>
        <v>350</v>
      </c>
      <c r="DD241" s="217">
        <f t="shared" si="671"/>
        <v>2.7602905569007259</v>
      </c>
      <c r="DE241" s="173">
        <f t="shared" si="672"/>
        <v>1.937046004842615</v>
      </c>
      <c r="DF241" s="173">
        <f t="shared" si="673"/>
        <v>0.83398609309454497</v>
      </c>
      <c r="DG241" s="173"/>
      <c r="DH241" s="173">
        <f t="shared" si="674"/>
        <v>0.93567251461988332</v>
      </c>
      <c r="DI241" s="545">
        <f t="shared" si="675"/>
        <v>400.78124999999983</v>
      </c>
      <c r="DJ241" s="528">
        <f t="shared" si="676"/>
        <v>0.21832358674463945</v>
      </c>
      <c r="DL241" s="173">
        <f t="shared" si="677"/>
        <v>1.4800257398019097</v>
      </c>
      <c r="DM241" s="173">
        <f t="shared" si="678"/>
        <v>1.4800257398019097</v>
      </c>
      <c r="DN241" s="173">
        <f t="shared" si="679"/>
        <v>1.3086610418285749</v>
      </c>
      <c r="DP241" s="545">
        <f t="shared" si="680"/>
        <v>250</v>
      </c>
      <c r="DQ241" s="460">
        <f t="shared" si="681"/>
        <v>350</v>
      </c>
      <c r="DS241">
        <f t="shared" si="682"/>
        <v>250</v>
      </c>
      <c r="DT241">
        <f t="shared" si="683"/>
        <v>350</v>
      </c>
      <c r="DV241" s="5">
        <f t="shared" si="684"/>
        <v>2.8571428571428572</v>
      </c>
      <c r="DW241" s="5">
        <f t="shared" si="685"/>
        <v>0.49334191326730326</v>
      </c>
      <c r="DX241" s="5">
        <f t="shared" si="686"/>
        <v>2.3638009438755541</v>
      </c>
      <c r="DY241" s="173">
        <f t="shared" si="687"/>
        <v>0.17266966964355612</v>
      </c>
      <c r="EA241" s="5">
        <f t="shared" si="713"/>
        <v>0.75204559949284044</v>
      </c>
      <c r="EB241" s="5">
        <f t="shared" si="714"/>
        <v>0.38542336974008062</v>
      </c>
      <c r="EC241" s="5">
        <f t="shared" si="715"/>
        <v>0.22434221921041134</v>
      </c>
      <c r="ED241" s="5"/>
      <c r="EE241" s="173">
        <f t="shared" si="716"/>
        <v>0.35507219931144474</v>
      </c>
      <c r="EF241" s="173">
        <f t="shared" si="717"/>
        <v>0.77722742066583295</v>
      </c>
      <c r="EG241" s="173">
        <f t="shared" si="718"/>
        <v>0.1906827674804267</v>
      </c>
      <c r="EH241" s="173"/>
      <c r="EI241" s="528">
        <f t="shared" si="719"/>
        <v>2.5215253344773271E-3</v>
      </c>
      <c r="EJ241" s="528">
        <f t="shared" si="720"/>
        <v>0.55012556748436969</v>
      </c>
      <c r="EK241" s="528">
        <f t="shared" si="721"/>
        <v>4.3749999999999997E-2</v>
      </c>
      <c r="EL241" s="528">
        <f t="shared" si="722"/>
        <v>9.8686349999999978E-2</v>
      </c>
      <c r="EM241">
        <f t="shared" si="723"/>
        <v>1.6199999999999999E-2</v>
      </c>
      <c r="EN241" s="460">
        <f t="shared" si="724"/>
        <v>59.949999999999996</v>
      </c>
      <c r="EP241" s="460">
        <f t="shared" si="725"/>
        <v>711.28344281884699</v>
      </c>
      <c r="EQ241" s="173">
        <f t="shared" si="726"/>
        <v>0.17499999999999999</v>
      </c>
      <c r="ER241" s="173">
        <f t="shared" si="688"/>
        <v>2.7734374999999999E-2</v>
      </c>
      <c r="ES241" s="528"/>
      <c r="EU241" s="460">
        <f t="shared" si="727"/>
        <v>202.734375</v>
      </c>
      <c r="EV241" s="528">
        <f t="shared" si="728"/>
        <v>3.7822880017159902E-3</v>
      </c>
      <c r="EW241" s="528">
        <f t="shared" si="729"/>
        <v>1.8122473903045909E-2</v>
      </c>
      <c r="EX241" s="528">
        <f t="shared" si="730"/>
        <v>1.8179958906997237E-4</v>
      </c>
      <c r="EY241" s="528">
        <f t="shared" si="731"/>
        <v>0.30536080117183378</v>
      </c>
      <c r="EZ241" s="528"/>
      <c r="FA241" s="625">
        <f t="shared" si="732"/>
        <v>3.8333333333333318E-3</v>
      </c>
      <c r="FB241" s="460">
        <f t="shared" si="733"/>
        <v>331.28069599899902</v>
      </c>
      <c r="FC241" s="173">
        <f t="shared" si="734"/>
        <v>1.2452985138178461</v>
      </c>
      <c r="FD241" s="5">
        <f t="shared" si="735"/>
        <v>4.5999999999999996</v>
      </c>
      <c r="FE241" s="173">
        <f t="shared" si="736"/>
        <v>0.78695724249598986</v>
      </c>
      <c r="FF241" s="5">
        <f t="shared" si="737"/>
        <v>78.695724249598982</v>
      </c>
      <c r="FG241">
        <f t="shared" si="738"/>
        <v>25</v>
      </c>
      <c r="FI241" s="562">
        <f t="shared" si="689"/>
        <v>-50</v>
      </c>
    </row>
    <row r="242" spans="5:165">
      <c r="E242" s="170">
        <v>26</v>
      </c>
      <c r="F242" s="217">
        <f t="shared" si="690"/>
        <v>0.26</v>
      </c>
      <c r="G242" s="217">
        <f t="shared" si="617"/>
        <v>6.5000000000000002E-2</v>
      </c>
      <c r="H242" s="217">
        <f t="shared" si="618"/>
        <v>4.2639999999999993</v>
      </c>
      <c r="I242" s="217">
        <f t="shared" si="619"/>
        <v>0.52</v>
      </c>
      <c r="J242" s="541">
        <f t="shared" si="620"/>
        <v>35.951935971582415</v>
      </c>
      <c r="K242" s="443">
        <f t="shared" si="621"/>
        <v>17.121374216777628</v>
      </c>
      <c r="L242" s="172">
        <f t="shared" si="622"/>
        <v>53.07331018836004</v>
      </c>
      <c r="M242" s="443"/>
      <c r="N242" s="217">
        <f t="shared" si="623"/>
        <v>0.32259857461335928</v>
      </c>
      <c r="O242" s="172">
        <f t="shared" si="624"/>
        <v>34.457954728982109</v>
      </c>
      <c r="P242" s="172">
        <f t="shared" si="625"/>
        <v>4.7146517475704259</v>
      </c>
      <c r="Q242" s="217">
        <f t="shared" si="626"/>
        <v>2.1010948005476897</v>
      </c>
      <c r="R242" s="217">
        <f t="shared" si="627"/>
        <v>4.3072443411227637</v>
      </c>
      <c r="S242" s="217">
        <f t="shared" si="628"/>
        <v>16.399999999999999</v>
      </c>
      <c r="T242" s="217">
        <f t="shared" si="629"/>
        <v>0.8249667425199031</v>
      </c>
      <c r="U242" s="217">
        <f t="shared" si="630"/>
        <v>0.27535654597470932</v>
      </c>
      <c r="V242" s="217">
        <f t="shared" si="631"/>
        <v>0.57820130469071751</v>
      </c>
      <c r="W242" s="197">
        <f t="shared" si="632"/>
        <v>350</v>
      </c>
      <c r="X242" s="443">
        <f t="shared" si="691"/>
        <v>350</v>
      </c>
      <c r="Z242" s="217">
        <f t="shared" si="633"/>
        <v>2.7614388807198198</v>
      </c>
      <c r="AA242" s="173">
        <f t="shared" si="634"/>
        <v>1.9354326439618306</v>
      </c>
      <c r="AB242" s="173">
        <f t="shared" si="635"/>
        <v>0.83363813033288603</v>
      </c>
      <c r="AC242" s="173"/>
      <c r="AD242" s="173">
        <f t="shared" si="636"/>
        <v>0.93450442688889046</v>
      </c>
      <c r="AE242" s="545">
        <f t="shared" si="637"/>
        <v>417.33349653395459</v>
      </c>
      <c r="AF242" s="528">
        <f t="shared" si="638"/>
        <v>0.21805103294074116</v>
      </c>
      <c r="AH242" s="173">
        <f t="shared" si="639"/>
        <v>1.5093360255739068</v>
      </c>
      <c r="AI242" s="173">
        <f t="shared" si="640"/>
        <v>1.5093360255739068</v>
      </c>
      <c r="AJ242" s="173">
        <f t="shared" si="641"/>
        <v>1.3303723646226469</v>
      </c>
      <c r="AL242" s="545">
        <f t="shared" si="642"/>
        <v>260</v>
      </c>
      <c r="AM242" s="460">
        <f t="shared" si="643"/>
        <v>350</v>
      </c>
      <c r="AO242">
        <f t="shared" si="644"/>
        <v>260</v>
      </c>
      <c r="AP242">
        <f t="shared" si="645"/>
        <v>350</v>
      </c>
      <c r="AR242" s="5">
        <f t="shared" si="616"/>
        <v>2.8571428571428572</v>
      </c>
      <c r="AS242" s="5">
        <f t="shared" si="604"/>
        <v>0.50378461736255942</v>
      </c>
      <c r="AT242" s="5">
        <f t="shared" si="605"/>
        <v>2.3533582397802979</v>
      </c>
      <c r="AU242" s="173">
        <f t="shared" si="606"/>
        <v>0.17632461607689578</v>
      </c>
      <c r="BA242" s="173">
        <f t="shared" si="692"/>
        <v>0.36591632387917467</v>
      </c>
      <c r="BB242" s="173">
        <f t="shared" si="693"/>
        <v>0.79086681766516798</v>
      </c>
      <c r="BC242" s="173">
        <f t="shared" si="694"/>
        <v>0.19402901839418035</v>
      </c>
      <c r="BD242" s="173"/>
      <c r="BE242" s="528">
        <f t="shared" si="695"/>
        <v>2.6778951216249809E-3</v>
      </c>
      <c r="BF242" s="528">
        <f t="shared" si="646"/>
        <v>0.52569207510586247</v>
      </c>
      <c r="BG242" s="528">
        <f t="shared" si="647"/>
        <v>0.31457943975134611</v>
      </c>
      <c r="BH242" s="528">
        <f t="shared" si="696"/>
        <v>9.8587168902245864E-2</v>
      </c>
      <c r="BI242">
        <f t="shared" si="697"/>
        <v>1.6178371187212087E-2</v>
      </c>
      <c r="BJ242" s="460">
        <f t="shared" si="698"/>
        <v>330.75781093855824</v>
      </c>
      <c r="BK242">
        <f t="shared" si="648"/>
        <v>0.62807979781456236</v>
      </c>
      <c r="BL242" s="460">
        <f t="shared" si="699"/>
        <v>957.71495006829139</v>
      </c>
      <c r="BM242" s="173">
        <f t="shared" si="649"/>
        <v>0.16152499999999997</v>
      </c>
      <c r="BN242" s="173">
        <f t="shared" si="650"/>
        <v>2.8843749999999998E-2</v>
      </c>
      <c r="BQ242" s="460">
        <f t="shared" si="700"/>
        <v>190.36874999999998</v>
      </c>
      <c r="BR242" s="528">
        <f t="shared" si="701"/>
        <v>4.0168426824374708E-3</v>
      </c>
      <c r="BS242" s="528">
        <f t="shared" si="702"/>
        <v>1.87641096985149E-2</v>
      </c>
      <c r="BT242" s="528">
        <f t="shared" si="703"/>
        <v>1.8823629989504588E-4</v>
      </c>
      <c r="BU242" s="528">
        <f t="shared" si="704"/>
        <v>0.3207044311014946</v>
      </c>
      <c r="BV242" s="528"/>
      <c r="BW242" s="625">
        <f t="shared" si="705"/>
        <v>3.9866666666666644E-3</v>
      </c>
      <c r="BX242" s="460">
        <f t="shared" si="706"/>
        <v>347.66028644900865</v>
      </c>
      <c r="BY242" s="173">
        <f t="shared" si="707"/>
        <v>1.4957439865173001</v>
      </c>
      <c r="BZ242" s="5">
        <f t="shared" si="708"/>
        <v>4.7839999999999989</v>
      </c>
      <c r="CA242" s="173">
        <f t="shared" si="709"/>
        <v>0.76181449598444084</v>
      </c>
      <c r="CB242" s="5">
        <f t="shared" si="710"/>
        <v>76.18144959844409</v>
      </c>
      <c r="CC242">
        <f t="shared" si="711"/>
        <v>26</v>
      </c>
      <c r="CE242" s="562">
        <f t="shared" si="651"/>
        <v>-50</v>
      </c>
      <c r="CG242" s="173">
        <f t="shared" si="652"/>
        <v>0.36492565230100926</v>
      </c>
      <c r="CH242" s="173">
        <f t="shared" si="653"/>
        <v>0.12985962463124168</v>
      </c>
      <c r="CI242" s="170">
        <v>26</v>
      </c>
      <c r="CJ242" s="217">
        <f t="shared" si="712"/>
        <v>0.26</v>
      </c>
      <c r="CK242" s="217">
        <f t="shared" si="654"/>
        <v>6.5000000000000002E-2</v>
      </c>
      <c r="CL242" s="217">
        <f t="shared" si="655"/>
        <v>4.2639999999999993</v>
      </c>
      <c r="CM242" s="217">
        <f t="shared" si="656"/>
        <v>0.52</v>
      </c>
      <c r="CN242" s="541">
        <f t="shared" si="657"/>
        <v>36</v>
      </c>
      <c r="CO242" s="443">
        <f t="shared" si="658"/>
        <v>17.099999999999998</v>
      </c>
      <c r="CP242" s="443">
        <f t="shared" si="659"/>
        <v>53.099999999999994</v>
      </c>
      <c r="CQ242" s="443"/>
      <c r="CR242" s="217">
        <f t="shared" si="660"/>
        <v>0.31818181818181812</v>
      </c>
      <c r="CS242" s="172">
        <f t="shared" si="661"/>
        <v>34.031620553359687</v>
      </c>
      <c r="CT242" s="172">
        <f t="shared" si="662"/>
        <v>4.6563192904656319</v>
      </c>
      <c r="CU242" s="217">
        <f t="shared" si="663"/>
        <v>2.0750988142292495</v>
      </c>
      <c r="CV242" s="217">
        <f t="shared" si="664"/>
        <v>4.2539525691699609</v>
      </c>
      <c r="CW242" s="217">
        <f t="shared" si="665"/>
        <v>16.399999999999999</v>
      </c>
      <c r="CX242" s="217">
        <f t="shared" si="666"/>
        <v>0.83530158730158721</v>
      </c>
      <c r="CY242" s="217">
        <f t="shared" si="667"/>
        <v>0.27843386243386242</v>
      </c>
      <c r="CZ242" s="217">
        <f t="shared" si="668"/>
        <v>0.58617655249234202</v>
      </c>
      <c r="DA242" s="197">
        <f t="shared" si="669"/>
        <v>350</v>
      </c>
      <c r="DB242" s="443">
        <f t="shared" si="670"/>
        <v>350</v>
      </c>
      <c r="DD242" s="217">
        <f t="shared" si="671"/>
        <v>2.7602905569007259</v>
      </c>
      <c r="DE242" s="173">
        <f t="shared" si="672"/>
        <v>1.937046004842615</v>
      </c>
      <c r="DF242" s="173">
        <f t="shared" si="673"/>
        <v>0.83398609309454497</v>
      </c>
      <c r="DG242" s="173"/>
      <c r="DH242" s="173">
        <f t="shared" si="674"/>
        <v>0.93567251461988332</v>
      </c>
      <c r="DI242" s="545">
        <f t="shared" si="675"/>
        <v>416.81249999999983</v>
      </c>
      <c r="DJ242" s="528">
        <f t="shared" si="676"/>
        <v>0.21832358674463945</v>
      </c>
      <c r="DL242" s="173">
        <f t="shared" si="677"/>
        <v>1.5093360255739068</v>
      </c>
      <c r="DM242" s="173">
        <f t="shared" si="678"/>
        <v>1.5093360255739068</v>
      </c>
      <c r="DN242" s="173">
        <f t="shared" si="679"/>
        <v>1.3303723646226469</v>
      </c>
      <c r="DP242" s="545">
        <f t="shared" si="680"/>
        <v>260</v>
      </c>
      <c r="DQ242" s="460">
        <f t="shared" si="681"/>
        <v>350</v>
      </c>
      <c r="DS242">
        <f t="shared" si="682"/>
        <v>260</v>
      </c>
      <c r="DT242">
        <f t="shared" si="683"/>
        <v>350</v>
      </c>
      <c r="DV242" s="5">
        <f t="shared" si="684"/>
        <v>2.8571428571428572</v>
      </c>
      <c r="DW242" s="5">
        <f t="shared" si="685"/>
        <v>0.50311200852463556</v>
      </c>
      <c r="DX242" s="5">
        <f t="shared" si="686"/>
        <v>2.3540308486182218</v>
      </c>
      <c r="DY242" s="173">
        <f t="shared" si="687"/>
        <v>0.17608920298362243</v>
      </c>
      <c r="EA242" s="5">
        <f t="shared" si="713"/>
        <v>0.79761659888051994</v>
      </c>
      <c r="EB242" s="5">
        <f t="shared" si="714"/>
        <v>0.40877850692626644</v>
      </c>
      <c r="EC242" s="5">
        <f t="shared" si="715"/>
        <v>0.2323515633913911</v>
      </c>
      <c r="ED242" s="5"/>
      <c r="EE242" s="173">
        <f t="shared" si="716"/>
        <v>0.3656719726735862</v>
      </c>
      <c r="EF242" s="173">
        <f t="shared" si="717"/>
        <v>0.79097982766065977</v>
      </c>
      <c r="EG242" s="173">
        <f t="shared" si="718"/>
        <v>0.19405674394544162</v>
      </c>
      <c r="EH242" s="173"/>
      <c r="EI242" s="528">
        <f t="shared" si="719"/>
        <v>2.6743198319798397E-3</v>
      </c>
      <c r="EJ242" s="528">
        <f t="shared" si="720"/>
        <v>0.56102020070582115</v>
      </c>
      <c r="EK242" s="528">
        <f t="shared" si="721"/>
        <v>4.3749999999999997E-2</v>
      </c>
      <c r="EL242" s="528">
        <f t="shared" si="722"/>
        <v>9.8686349999999978E-2</v>
      </c>
      <c r="EM242">
        <f t="shared" si="723"/>
        <v>1.6199999999999999E-2</v>
      </c>
      <c r="EN242" s="460">
        <f t="shared" si="724"/>
        <v>59.949999999999996</v>
      </c>
      <c r="EP242" s="460">
        <f t="shared" si="725"/>
        <v>722.33087053780082</v>
      </c>
      <c r="EQ242" s="173">
        <f t="shared" si="726"/>
        <v>0.182</v>
      </c>
      <c r="ER242" s="173">
        <f t="shared" si="688"/>
        <v>2.8843749999999998E-2</v>
      </c>
      <c r="ES242" s="528"/>
      <c r="EU242" s="460">
        <f t="shared" si="727"/>
        <v>210.84375</v>
      </c>
      <c r="EV242" s="528">
        <f t="shared" si="728"/>
        <v>4.0114797479697591E-3</v>
      </c>
      <c r="EW242" s="528">
        <f t="shared" si="729"/>
        <v>1.8769472632982613E-2</v>
      </c>
      <c r="EX242" s="528">
        <f t="shared" si="730"/>
        <v>1.8829009935353349E-4</v>
      </c>
      <c r="EY242" s="528">
        <f t="shared" si="731"/>
        <v>0.3207044311014946</v>
      </c>
      <c r="EZ242" s="528"/>
      <c r="FA242" s="625">
        <f t="shared" si="732"/>
        <v>3.9866666666666644E-3</v>
      </c>
      <c r="FB242" s="460">
        <f t="shared" si="733"/>
        <v>347.66034024846715</v>
      </c>
      <c r="FC242" s="173">
        <f t="shared" si="734"/>
        <v>1.2808349607862679</v>
      </c>
      <c r="FD242" s="5">
        <f t="shared" si="735"/>
        <v>4.7839999999999989</v>
      </c>
      <c r="FE242" s="173">
        <f t="shared" si="736"/>
        <v>0.78880959348971036</v>
      </c>
      <c r="FF242" s="5">
        <f t="shared" si="737"/>
        <v>78.880959348971032</v>
      </c>
      <c r="FG242">
        <f t="shared" si="738"/>
        <v>26</v>
      </c>
      <c r="FI242" s="562">
        <f t="shared" si="689"/>
        <v>-50</v>
      </c>
    </row>
    <row r="243" spans="5:165">
      <c r="E243" s="170">
        <v>27</v>
      </c>
      <c r="F243" s="217">
        <f t="shared" si="690"/>
        <v>0.27</v>
      </c>
      <c r="G243" s="217">
        <f t="shared" si="617"/>
        <v>6.7500000000000004E-2</v>
      </c>
      <c r="H243" s="217">
        <f t="shared" si="618"/>
        <v>4.4279999999999999</v>
      </c>
      <c r="I243" s="217">
        <f t="shared" si="619"/>
        <v>0.54</v>
      </c>
      <c r="J243" s="541">
        <f t="shared" si="620"/>
        <v>35.951020384008864</v>
      </c>
      <c r="K243" s="443">
        <f t="shared" si="621"/>
        <v>17.121781381302124</v>
      </c>
      <c r="L243" s="172">
        <f t="shared" si="622"/>
        <v>53.072801765310984</v>
      </c>
      <c r="M243" s="443"/>
      <c r="N243" s="217">
        <f t="shared" si="623"/>
        <v>0.32260933683160337</v>
      </c>
      <c r="O243" s="172">
        <f t="shared" si="624"/>
        <v>34.458226711933818</v>
      </c>
      <c r="P243" s="172">
        <f t="shared" si="625"/>
        <v>4.7146889611807135</v>
      </c>
      <c r="Q243" s="217">
        <f t="shared" si="626"/>
        <v>2.1011113848740135</v>
      </c>
      <c r="R243" s="217">
        <f t="shared" si="627"/>
        <v>4.3072783389917273</v>
      </c>
      <c r="S243" s="217">
        <f t="shared" si="628"/>
        <v>16.399999999999999</v>
      </c>
      <c r="T243" s="217">
        <f t="shared" si="629"/>
        <v>0.85668947060982747</v>
      </c>
      <c r="U243" s="217">
        <f t="shared" si="630"/>
        <v>0.28595220768450375</v>
      </c>
      <c r="V243" s="217">
        <f t="shared" si="631"/>
        <v>0.60042079841905494</v>
      </c>
      <c r="W243" s="197">
        <f t="shared" si="632"/>
        <v>350</v>
      </c>
      <c r="X243" s="443">
        <f t="shared" si="691"/>
        <v>350</v>
      </c>
      <c r="Z243" s="217">
        <f t="shared" si="633"/>
        <v>2.7614606772629888</v>
      </c>
      <c r="AA243" s="173">
        <f t="shared" si="634"/>
        <v>1.9354018947668474</v>
      </c>
      <c r="AB243" s="173">
        <f t="shared" si="635"/>
        <v>0.83363146585727876</v>
      </c>
      <c r="AC243" s="173"/>
      <c r="AD243" s="173">
        <f t="shared" si="636"/>
        <v>0.93448220390623804</v>
      </c>
      <c r="AE243" s="545">
        <f t="shared" si="637"/>
        <v>433.39509121420997</v>
      </c>
      <c r="AF243" s="528">
        <f t="shared" si="638"/>
        <v>0.21804584757812223</v>
      </c>
      <c r="AH243" s="173">
        <f t="shared" si="639"/>
        <v>1.5380878667079738</v>
      </c>
      <c r="AI243" s="173">
        <f t="shared" si="640"/>
        <v>1.5380878667079738</v>
      </c>
      <c r="AJ243" s="173">
        <f t="shared" si="641"/>
        <v>1.3516700247219557</v>
      </c>
      <c r="AL243" s="545">
        <f t="shared" si="642"/>
        <v>270</v>
      </c>
      <c r="AM243" s="460">
        <f t="shared" si="643"/>
        <v>350</v>
      </c>
      <c r="AO243">
        <f t="shared" si="644"/>
        <v>270</v>
      </c>
      <c r="AP243">
        <f t="shared" si="645"/>
        <v>350</v>
      </c>
      <c r="AR243" s="5">
        <f t="shared" si="616"/>
        <v>2.8571428571428572</v>
      </c>
      <c r="AS243" s="5">
        <f t="shared" ref="AS243:AS306" si="739">L*AI243/J243*1000000</f>
        <v>0.51339445176653309</v>
      </c>
      <c r="AT243" s="5">
        <f t="shared" ref="AT243:AT306" si="740">AR243-AS243</f>
        <v>2.3437484053763242</v>
      </c>
      <c r="AU243" s="173">
        <f t="shared" ref="AU243:AU306" si="741">AS243/AR243</f>
        <v>0.17968805811828659</v>
      </c>
      <c r="BA243" s="173">
        <f t="shared" si="692"/>
        <v>0.37642644525532892</v>
      </c>
      <c r="BB243" s="173">
        <f t="shared" si="693"/>
        <v>0.80428512350028303</v>
      </c>
      <c r="BC243" s="173">
        <f t="shared" si="694"/>
        <v>0.19732102742976812</v>
      </c>
      <c r="BD243" s="173"/>
      <c r="BE243" s="528">
        <f t="shared" si="695"/>
        <v>2.8339373737512629E-3</v>
      </c>
      <c r="BF243" s="528">
        <f t="shared" si="646"/>
        <v>0.53570102543620912</v>
      </c>
      <c r="BG243" s="528">
        <f t="shared" si="647"/>
        <v>0.31457142836007751</v>
      </c>
      <c r="BH243" s="528">
        <f t="shared" si="696"/>
        <v>9.8585280052699897E-2</v>
      </c>
      <c r="BI243">
        <f t="shared" si="697"/>
        <v>1.6177959172803989E-2</v>
      </c>
      <c r="BJ243" s="460">
        <f t="shared" si="698"/>
        <v>330.74938753288154</v>
      </c>
      <c r="BK243">
        <f t="shared" si="648"/>
        <v>0.63831521136486502</v>
      </c>
      <c r="BL243" s="460">
        <f t="shared" si="699"/>
        <v>967.86963039554166</v>
      </c>
      <c r="BM243" s="173">
        <f t="shared" si="649"/>
        <v>0.16773749999999998</v>
      </c>
      <c r="BN243" s="173">
        <f t="shared" si="650"/>
        <v>2.9953125000000001E-2</v>
      </c>
      <c r="BQ243" s="460">
        <f t="shared" si="700"/>
        <v>197.69062499999998</v>
      </c>
      <c r="BR243" s="528">
        <f t="shared" si="701"/>
        <v>4.2509060606268946E-3</v>
      </c>
      <c r="BS243" s="528">
        <f t="shared" si="702"/>
        <v>1.9406236796515965E-2</v>
      </c>
      <c r="BT243" s="528">
        <f t="shared" si="703"/>
        <v>1.946779393296965E-4</v>
      </c>
      <c r="BU243" s="528">
        <f t="shared" si="704"/>
        <v>0.33619633966772627</v>
      </c>
      <c r="BV243" s="528"/>
      <c r="BW243" s="625">
        <f t="shared" si="705"/>
        <v>4.1400000000000005E-3</v>
      </c>
      <c r="BX243" s="460">
        <f t="shared" si="706"/>
        <v>364.1881604641988</v>
      </c>
      <c r="BY243" s="173">
        <f t="shared" si="707"/>
        <v>1.5297484158597405</v>
      </c>
      <c r="BZ243" s="5">
        <f t="shared" si="708"/>
        <v>4.968</v>
      </c>
      <c r="CA243" s="173">
        <f t="shared" si="709"/>
        <v>0.76457253836945693</v>
      </c>
      <c r="CB243" s="5">
        <f t="shared" si="710"/>
        <v>76.457253836945696</v>
      </c>
      <c r="CC243">
        <f t="shared" si="711"/>
        <v>27</v>
      </c>
      <c r="CE243" s="562">
        <f t="shared" si="651"/>
        <v>-50</v>
      </c>
      <c r="CG243" s="173">
        <f t="shared" si="652"/>
        <v>0.37187724174360182</v>
      </c>
      <c r="CH243" s="173">
        <f t="shared" si="653"/>
        <v>0.13233336356933356</v>
      </c>
      <c r="CI243" s="170">
        <v>27</v>
      </c>
      <c r="CJ243" s="217">
        <f t="shared" si="712"/>
        <v>0.27</v>
      </c>
      <c r="CK243" s="217">
        <f t="shared" si="654"/>
        <v>6.7500000000000004E-2</v>
      </c>
      <c r="CL243" s="217">
        <f t="shared" si="655"/>
        <v>4.4279999999999999</v>
      </c>
      <c r="CM243" s="217">
        <f t="shared" si="656"/>
        <v>0.54</v>
      </c>
      <c r="CN243" s="541">
        <f t="shared" si="657"/>
        <v>36</v>
      </c>
      <c r="CO243" s="443">
        <f t="shared" si="658"/>
        <v>17.099999999999998</v>
      </c>
      <c r="CP243" s="443">
        <f t="shared" si="659"/>
        <v>53.099999999999994</v>
      </c>
      <c r="CQ243" s="443"/>
      <c r="CR243" s="217">
        <f t="shared" si="660"/>
        <v>0.31818181818181812</v>
      </c>
      <c r="CS243" s="172">
        <f t="shared" si="661"/>
        <v>34.031620553359687</v>
      </c>
      <c r="CT243" s="172">
        <f t="shared" si="662"/>
        <v>4.6563192904656319</v>
      </c>
      <c r="CU243" s="217">
        <f t="shared" si="663"/>
        <v>2.0750988142292495</v>
      </c>
      <c r="CV243" s="217">
        <f t="shared" si="664"/>
        <v>4.2539525691699609</v>
      </c>
      <c r="CW243" s="217">
        <f t="shared" si="665"/>
        <v>16.399999999999999</v>
      </c>
      <c r="CX243" s="217">
        <f t="shared" si="666"/>
        <v>0.86742857142857155</v>
      </c>
      <c r="CY243" s="217">
        <f t="shared" si="667"/>
        <v>0.28914285714285726</v>
      </c>
      <c r="CZ243" s="217">
        <f t="shared" si="668"/>
        <v>0.60872180451127844</v>
      </c>
      <c r="DA243" s="197">
        <f t="shared" si="669"/>
        <v>350</v>
      </c>
      <c r="DB243" s="443">
        <f t="shared" si="670"/>
        <v>350</v>
      </c>
      <c r="DD243" s="217">
        <f t="shared" si="671"/>
        <v>2.7602905569007259</v>
      </c>
      <c r="DE243" s="173">
        <f t="shared" si="672"/>
        <v>1.937046004842615</v>
      </c>
      <c r="DF243" s="173">
        <f t="shared" si="673"/>
        <v>0.83398609309454497</v>
      </c>
      <c r="DG243" s="173"/>
      <c r="DH243" s="173">
        <f t="shared" si="674"/>
        <v>0.93567251461988332</v>
      </c>
      <c r="DI243" s="545">
        <f t="shared" si="675"/>
        <v>432.84374999999989</v>
      </c>
      <c r="DJ243" s="528">
        <f t="shared" si="676"/>
        <v>0.21832358674463945</v>
      </c>
      <c r="DL243" s="173">
        <f t="shared" si="677"/>
        <v>1.5380878667079738</v>
      </c>
      <c r="DM243" s="173">
        <f t="shared" si="678"/>
        <v>1.5380878667079738</v>
      </c>
      <c r="DN243" s="173">
        <f t="shared" si="679"/>
        <v>1.3516700247219557</v>
      </c>
      <c r="DP243" s="545">
        <f t="shared" si="680"/>
        <v>270</v>
      </c>
      <c r="DQ243" s="460">
        <f t="shared" si="681"/>
        <v>350</v>
      </c>
      <c r="DS243">
        <f t="shared" si="682"/>
        <v>270</v>
      </c>
      <c r="DT243">
        <f t="shared" si="683"/>
        <v>350</v>
      </c>
      <c r="DV243" s="5">
        <f t="shared" si="684"/>
        <v>2.8571428571428572</v>
      </c>
      <c r="DW243" s="5">
        <f t="shared" si="685"/>
        <v>0.51269595556932468</v>
      </c>
      <c r="DX243" s="5">
        <f t="shared" si="686"/>
        <v>2.3444469015735327</v>
      </c>
      <c r="DY243" s="173">
        <f t="shared" si="687"/>
        <v>0.17944358444926364</v>
      </c>
      <c r="EA243" s="5">
        <f t="shared" si="713"/>
        <v>0.84407260977876652</v>
      </c>
      <c r="EB243" s="5">
        <f t="shared" si="714"/>
        <v>0.43258721251161775</v>
      </c>
      <c r="EC243" s="5">
        <f t="shared" si="715"/>
        <v>0.24030580741128707</v>
      </c>
      <c r="ED243" s="5"/>
      <c r="EE243" s="173">
        <f t="shared" si="716"/>
        <v>0.37617028555846038</v>
      </c>
      <c r="EF243" s="173">
        <f t="shared" si="717"/>
        <v>0.80440496320839239</v>
      </c>
      <c r="EG243" s="173">
        <f t="shared" si="718"/>
        <v>0.19735042856332147</v>
      </c>
      <c r="EH243" s="173"/>
      <c r="EI243" s="528">
        <f t="shared" si="719"/>
        <v>2.8300816747426727E-3</v>
      </c>
      <c r="EJ243" s="528">
        <f t="shared" si="720"/>
        <v>0.57170726005535377</v>
      </c>
      <c r="EK243" s="528">
        <f t="shared" si="721"/>
        <v>4.3749999999999997E-2</v>
      </c>
      <c r="EL243" s="528">
        <f t="shared" si="722"/>
        <v>9.8686349999999978E-2</v>
      </c>
      <c r="EM243">
        <f t="shared" si="723"/>
        <v>1.6199999999999999E-2</v>
      </c>
      <c r="EN243" s="460">
        <f t="shared" si="724"/>
        <v>59.949999999999996</v>
      </c>
      <c r="EP243" s="460">
        <f t="shared" si="725"/>
        <v>733.17369173009638</v>
      </c>
      <c r="EQ243" s="173">
        <f t="shared" si="726"/>
        <v>0.189</v>
      </c>
      <c r="ER243" s="173">
        <f t="shared" si="688"/>
        <v>2.9953125000000001E-2</v>
      </c>
      <c r="ES243" s="528"/>
      <c r="EU243" s="460">
        <f t="shared" si="727"/>
        <v>218.953125</v>
      </c>
      <c r="EV243" s="528">
        <f t="shared" si="728"/>
        <v>4.2451225121140088E-3</v>
      </c>
      <c r="EW243" s="528">
        <f t="shared" si="729"/>
        <v>1.9412020345028851E-2</v>
      </c>
      <c r="EX243" s="528">
        <f t="shared" si="730"/>
        <v>1.9473595827063325E-4</v>
      </c>
      <c r="EY243" s="528">
        <f t="shared" si="731"/>
        <v>0.33619633966772627</v>
      </c>
      <c r="EZ243" s="528"/>
      <c r="FA243" s="625">
        <f t="shared" si="732"/>
        <v>4.1400000000000005E-3</v>
      </c>
      <c r="FB243" s="460">
        <f t="shared" si="733"/>
        <v>364.18821848313974</v>
      </c>
      <c r="FC243" s="173">
        <f t="shared" si="734"/>
        <v>1.3163150352132365</v>
      </c>
      <c r="FD243" s="5">
        <f t="shared" si="735"/>
        <v>4.968</v>
      </c>
      <c r="FE243" s="173">
        <f t="shared" si="736"/>
        <v>0.79053961683374274</v>
      </c>
      <c r="FF243" s="5">
        <f t="shared" si="737"/>
        <v>79.053961683374268</v>
      </c>
      <c r="FG243">
        <f t="shared" si="738"/>
        <v>27</v>
      </c>
      <c r="FI243" s="562">
        <f t="shared" si="689"/>
        <v>-50</v>
      </c>
    </row>
    <row r="244" spans="5:165">
      <c r="E244" s="170">
        <v>28</v>
      </c>
      <c r="F244" s="217">
        <f t="shared" si="690"/>
        <v>0.28000000000000003</v>
      </c>
      <c r="G244" s="217">
        <f t="shared" si="617"/>
        <v>7.0000000000000007E-2</v>
      </c>
      <c r="H244" s="217">
        <f t="shared" si="618"/>
        <v>4.5919999999999996</v>
      </c>
      <c r="I244" s="217">
        <f t="shared" si="619"/>
        <v>0.56000000000000005</v>
      </c>
      <c r="J244" s="541">
        <f t="shared" si="620"/>
        <v>35.950121600491279</v>
      </c>
      <c r="K244" s="443">
        <f t="shared" si="621"/>
        <v>17.122181073012818</v>
      </c>
      <c r="L244" s="172">
        <f t="shared" si="622"/>
        <v>53.072302673504097</v>
      </c>
      <c r="M244" s="443"/>
      <c r="N244" s="217">
        <f t="shared" si="623"/>
        <v>0.32261990172815552</v>
      </c>
      <c r="O244" s="172">
        <f t="shared" si="624"/>
        <v>34.458493667572121</v>
      </c>
      <c r="P244" s="172">
        <f t="shared" si="625"/>
        <v>4.7147254869372919</v>
      </c>
      <c r="Q244" s="217">
        <f t="shared" si="626"/>
        <v>2.1011276626568369</v>
      </c>
      <c r="R244" s="217">
        <f t="shared" si="627"/>
        <v>4.3073117084465151</v>
      </c>
      <c r="S244" s="217">
        <f t="shared" si="628"/>
        <v>16.399999999999999</v>
      </c>
      <c r="T244" s="217">
        <f t="shared" si="629"/>
        <v>0.88841182753564885</v>
      </c>
      <c r="U244" s="217">
        <f t="shared" si="630"/>
        <v>0.29654814659325379</v>
      </c>
      <c r="V244" s="217">
        <f t="shared" si="631"/>
        <v>0.62263924700755935</v>
      </c>
      <c r="W244" s="197">
        <f t="shared" si="632"/>
        <v>350</v>
      </c>
      <c r="X244" s="443">
        <f t="shared" si="691"/>
        <v>350</v>
      </c>
      <c r="Z244" s="217">
        <f t="shared" si="633"/>
        <v>2.7614820709204135</v>
      </c>
      <c r="AA244" s="173">
        <f t="shared" si="634"/>
        <v>1.9353717093481271</v>
      </c>
      <c r="AB244" s="173">
        <f t="shared" si="635"/>
        <v>0.83362492238713315</v>
      </c>
      <c r="AC244" s="173"/>
      <c r="AD244" s="173">
        <f t="shared" si="636"/>
        <v>0.93446038981671875</v>
      </c>
      <c r="AE244" s="545">
        <f t="shared" si="637"/>
        <v>449.45725316658638</v>
      </c>
      <c r="AF244" s="528">
        <f t="shared" si="638"/>
        <v>0.21804075762390107</v>
      </c>
      <c r="AH244" s="173">
        <f t="shared" si="639"/>
        <v>1.5663120165960973</v>
      </c>
      <c r="AI244" s="173">
        <f t="shared" si="640"/>
        <v>1.5663120165960973</v>
      </c>
      <c r="AJ244" s="173">
        <f t="shared" si="641"/>
        <v>1.3725768024168621</v>
      </c>
      <c r="AL244" s="545">
        <f t="shared" si="642"/>
        <v>280</v>
      </c>
      <c r="AM244" s="460">
        <f t="shared" si="643"/>
        <v>350</v>
      </c>
      <c r="AO244">
        <f t="shared" si="644"/>
        <v>280</v>
      </c>
      <c r="AP244">
        <f t="shared" si="645"/>
        <v>350</v>
      </c>
      <c r="AR244" s="5">
        <f t="shared" si="616"/>
        <v>2.8571428571428572</v>
      </c>
      <c r="AS244" s="5">
        <f t="shared" si="739"/>
        <v>0.52282839006854187</v>
      </c>
      <c r="AT244" s="5">
        <f t="shared" si="740"/>
        <v>2.3343144670743152</v>
      </c>
      <c r="AU244" s="173">
        <f t="shared" si="741"/>
        <v>0.18298993652398965</v>
      </c>
      <c r="BA244" s="173">
        <f t="shared" si="692"/>
        <v>0.38683989407283842</v>
      </c>
      <c r="BB244" s="173">
        <f t="shared" si="693"/>
        <v>0.81739383049512471</v>
      </c>
      <c r="BC244" s="173">
        <f t="shared" si="694"/>
        <v>0.2005370803653749</v>
      </c>
      <c r="BD244" s="173"/>
      <c r="BE244" s="528">
        <f t="shared" si="695"/>
        <v>2.9929020729256971E-3</v>
      </c>
      <c r="BF244" s="528">
        <f t="shared" si="646"/>
        <v>0.54552609185769607</v>
      </c>
      <c r="BG244" s="528">
        <f t="shared" si="647"/>
        <v>0.31456356400429869</v>
      </c>
      <c r="BH244" s="528">
        <f t="shared" si="696"/>
        <v>9.8583425887381074E-2</v>
      </c>
      <c r="BI244">
        <f t="shared" si="697"/>
        <v>1.6177554720221074E-2</v>
      </c>
      <c r="BJ244" s="460">
        <f t="shared" si="698"/>
        <v>330.74111872451977</v>
      </c>
      <c r="BK244">
        <f t="shared" si="648"/>
        <v>0.64837156917463878</v>
      </c>
      <c r="BL244" s="460">
        <f t="shared" si="699"/>
        <v>977.84353854252254</v>
      </c>
      <c r="BM244" s="173">
        <f t="shared" si="649"/>
        <v>0.17394999999999999</v>
      </c>
      <c r="BN244" s="173">
        <f t="shared" si="650"/>
        <v>3.10625E-2</v>
      </c>
      <c r="BQ244" s="460">
        <f t="shared" si="700"/>
        <v>205.01249999999999</v>
      </c>
      <c r="BR244" s="528">
        <f t="shared" si="701"/>
        <v>4.4893531093885457E-3</v>
      </c>
      <c r="BS244" s="528">
        <f t="shared" si="702"/>
        <v>2.0043980223944779E-2</v>
      </c>
      <c r="BT244" s="528">
        <f t="shared" si="703"/>
        <v>2.0107560300734417E-4</v>
      </c>
      <c r="BU244" s="528">
        <f t="shared" si="704"/>
        <v>0.35183238695328578</v>
      </c>
      <c r="BV244" s="528"/>
      <c r="BW244" s="625">
        <f t="shared" si="705"/>
        <v>4.293333333333333E-3</v>
      </c>
      <c r="BX244" s="460">
        <f t="shared" si="706"/>
        <v>380.86012922295976</v>
      </c>
      <c r="BY244" s="173">
        <f t="shared" si="707"/>
        <v>1.5637161677654823</v>
      </c>
      <c r="BZ244" s="5">
        <f t="shared" si="708"/>
        <v>5.1519999999999992</v>
      </c>
      <c r="CA244" s="173">
        <f t="shared" si="709"/>
        <v>0.76715570927921195</v>
      </c>
      <c r="CB244" s="5">
        <f t="shared" si="710"/>
        <v>76.715570927921192</v>
      </c>
      <c r="CC244">
        <f t="shared" si="711"/>
        <v>28.000000000000004</v>
      </c>
      <c r="CE244" s="562">
        <f t="shared" si="651"/>
        <v>-50</v>
      </c>
      <c r="CG244" s="173">
        <f t="shared" si="652"/>
        <v>0.37870124656032161</v>
      </c>
      <c r="CH244" s="173">
        <f t="shared" si="653"/>
        <v>0.13476170122768499</v>
      </c>
      <c r="CI244" s="170">
        <v>28</v>
      </c>
      <c r="CJ244" s="217">
        <f t="shared" si="712"/>
        <v>0.28000000000000003</v>
      </c>
      <c r="CK244" s="217">
        <f t="shared" si="654"/>
        <v>7.0000000000000007E-2</v>
      </c>
      <c r="CL244" s="217">
        <f t="shared" si="655"/>
        <v>4.5919999999999996</v>
      </c>
      <c r="CM244" s="217">
        <f t="shared" si="656"/>
        <v>0.56000000000000005</v>
      </c>
      <c r="CN244" s="541">
        <f t="shared" si="657"/>
        <v>36</v>
      </c>
      <c r="CO244" s="443">
        <f t="shared" si="658"/>
        <v>17.099999999999998</v>
      </c>
      <c r="CP244" s="443">
        <f t="shared" si="659"/>
        <v>53.099999999999994</v>
      </c>
      <c r="CQ244" s="443"/>
      <c r="CR244" s="217">
        <f t="shared" si="660"/>
        <v>0.31818181818181812</v>
      </c>
      <c r="CS244" s="172">
        <f t="shared" si="661"/>
        <v>34.031620553359687</v>
      </c>
      <c r="CT244" s="172">
        <f t="shared" si="662"/>
        <v>4.6563192904656319</v>
      </c>
      <c r="CU244" s="217">
        <f t="shared" si="663"/>
        <v>2.0750988142292495</v>
      </c>
      <c r="CV244" s="217">
        <f t="shared" si="664"/>
        <v>4.2539525691699609</v>
      </c>
      <c r="CW244" s="217">
        <f t="shared" si="665"/>
        <v>16.399999999999999</v>
      </c>
      <c r="CX244" s="217">
        <f t="shared" si="666"/>
        <v>0.89955555555555555</v>
      </c>
      <c r="CY244" s="217">
        <f t="shared" si="667"/>
        <v>0.29985185185185187</v>
      </c>
      <c r="CZ244" s="217">
        <f t="shared" si="668"/>
        <v>0.63126705653021453</v>
      </c>
      <c r="DA244" s="197">
        <f t="shared" si="669"/>
        <v>350</v>
      </c>
      <c r="DB244" s="443">
        <f t="shared" si="670"/>
        <v>350</v>
      </c>
      <c r="DD244" s="217">
        <f t="shared" si="671"/>
        <v>2.7602905569007259</v>
      </c>
      <c r="DE244" s="173">
        <f t="shared" si="672"/>
        <v>1.937046004842615</v>
      </c>
      <c r="DF244" s="173">
        <f t="shared" si="673"/>
        <v>0.83398609309454497</v>
      </c>
      <c r="DG244" s="173"/>
      <c r="DH244" s="173">
        <f t="shared" si="674"/>
        <v>0.93567251461988332</v>
      </c>
      <c r="DI244" s="545">
        <f t="shared" si="675"/>
        <v>448.87499999999989</v>
      </c>
      <c r="DJ244" s="528">
        <f t="shared" si="676"/>
        <v>0.21832358674463945</v>
      </c>
      <c r="DL244" s="173">
        <f t="shared" si="677"/>
        <v>1.5663120165960973</v>
      </c>
      <c r="DM244" s="173">
        <f t="shared" si="678"/>
        <v>1.5663120165960973</v>
      </c>
      <c r="DN244" s="173">
        <f t="shared" si="679"/>
        <v>1.3725768024168621</v>
      </c>
      <c r="DP244" s="545">
        <f t="shared" si="680"/>
        <v>280</v>
      </c>
      <c r="DQ244" s="460">
        <f t="shared" si="681"/>
        <v>350</v>
      </c>
      <c r="DS244">
        <f t="shared" si="682"/>
        <v>280</v>
      </c>
      <c r="DT244">
        <f t="shared" si="683"/>
        <v>350</v>
      </c>
      <c r="DV244" s="5">
        <f t="shared" si="684"/>
        <v>2.8571428571428572</v>
      </c>
      <c r="DW244" s="5">
        <f t="shared" si="685"/>
        <v>0.52210400553203251</v>
      </c>
      <c r="DX244" s="5">
        <f t="shared" si="686"/>
        <v>2.3350388516108245</v>
      </c>
      <c r="DY244" s="173">
        <f t="shared" si="687"/>
        <v>0.18273640193621138</v>
      </c>
      <c r="EA244" s="5">
        <f t="shared" si="713"/>
        <v>0.89139708261566553</v>
      </c>
      <c r="EB244" s="5">
        <f t="shared" si="714"/>
        <v>0.45684100484052853</v>
      </c>
      <c r="EC244" s="5">
        <f t="shared" si="715"/>
        <v>0.24820598163418756</v>
      </c>
      <c r="ED244" s="5"/>
      <c r="EE244" s="173">
        <f t="shared" si="716"/>
        <v>0.38657181570117305</v>
      </c>
      <c r="EF244" s="173">
        <f t="shared" si="717"/>
        <v>0.81752064749660958</v>
      </c>
      <c r="EG244" s="173">
        <f t="shared" si="718"/>
        <v>0.20056819328826431</v>
      </c>
      <c r="EH244" s="173"/>
      <c r="EI244" s="528">
        <f t="shared" si="719"/>
        <v>2.988755373890034E-3</v>
      </c>
      <c r="EJ244" s="528">
        <f t="shared" si="720"/>
        <v>0.58219817656876938</v>
      </c>
      <c r="EK244" s="528">
        <f t="shared" si="721"/>
        <v>4.3749999999999997E-2</v>
      </c>
      <c r="EL244" s="528">
        <f t="shared" si="722"/>
        <v>9.8686349999999978E-2</v>
      </c>
      <c r="EM244">
        <f t="shared" si="723"/>
        <v>1.6199999999999999E-2</v>
      </c>
      <c r="EN244" s="460">
        <f t="shared" si="724"/>
        <v>59.949999999999996</v>
      </c>
      <c r="EP244" s="460">
        <f t="shared" si="725"/>
        <v>743.82328194265938</v>
      </c>
      <c r="EQ244" s="173">
        <f t="shared" si="726"/>
        <v>0.19600000000000001</v>
      </c>
      <c r="ER244" s="173">
        <f t="shared" si="688"/>
        <v>3.10625E-2</v>
      </c>
      <c r="ES244" s="528"/>
      <c r="EU244" s="460">
        <f t="shared" si="727"/>
        <v>227.0625</v>
      </c>
      <c r="EV244" s="528">
        <f t="shared" si="728"/>
        <v>4.4831330608350508E-3</v>
      </c>
      <c r="EW244" s="528">
        <f t="shared" si="729"/>
        <v>2.0050200272498271E-2</v>
      </c>
      <c r="EX244" s="528">
        <f t="shared" si="730"/>
        <v>2.0113800079459278E-4</v>
      </c>
      <c r="EY244" s="528">
        <f t="shared" si="731"/>
        <v>0.35183238695328578</v>
      </c>
      <c r="EZ244" s="528"/>
      <c r="FA244" s="625">
        <f t="shared" si="732"/>
        <v>4.293333333333333E-3</v>
      </c>
      <c r="FB244" s="460">
        <f t="shared" si="733"/>
        <v>380.860191620747</v>
      </c>
      <c r="FC244" s="173">
        <f t="shared" si="734"/>
        <v>1.3517459735634063</v>
      </c>
      <c r="FD244" s="5">
        <f t="shared" si="735"/>
        <v>5.1519999999999992</v>
      </c>
      <c r="FE244" s="173">
        <f t="shared" si="736"/>
        <v>0.79215886059233898</v>
      </c>
      <c r="FF244" s="5">
        <f t="shared" si="737"/>
        <v>79.215886059233895</v>
      </c>
      <c r="FG244">
        <f t="shared" si="738"/>
        <v>28.000000000000004</v>
      </c>
      <c r="FI244" s="562">
        <f t="shared" si="689"/>
        <v>-50</v>
      </c>
    </row>
    <row r="245" spans="5:165">
      <c r="E245" s="170">
        <v>29</v>
      </c>
      <c r="F245" s="217">
        <f t="shared" si="690"/>
        <v>0.28999999999999998</v>
      </c>
      <c r="G245" s="217">
        <f t="shared" si="617"/>
        <v>7.2499999999999995E-2</v>
      </c>
      <c r="H245" s="217">
        <f t="shared" si="618"/>
        <v>4.7559999999999993</v>
      </c>
      <c r="I245" s="217">
        <f t="shared" si="619"/>
        <v>0.57999999999999996</v>
      </c>
      <c r="J245" s="541">
        <f t="shared" si="620"/>
        <v>35.949238728419552</v>
      </c>
      <c r="K245" s="443">
        <f t="shared" si="621"/>
        <v>17.122573688856086</v>
      </c>
      <c r="L245" s="172">
        <f t="shared" si="622"/>
        <v>53.071812417275638</v>
      </c>
      <c r="M245" s="443"/>
      <c r="N245" s="217">
        <f t="shared" si="623"/>
        <v>0.32263027978449899</v>
      </c>
      <c r="O245" s="172">
        <f t="shared" si="624"/>
        <v>34.458755862940556</v>
      </c>
      <c r="P245" s="172">
        <f t="shared" si="625"/>
        <v>4.7147613613779473</v>
      </c>
      <c r="Q245" s="217">
        <f t="shared" si="626"/>
        <v>2.1011436501793024</v>
      </c>
      <c r="R245" s="217">
        <f t="shared" si="627"/>
        <v>4.3073444828675695</v>
      </c>
      <c r="S245" s="217">
        <f t="shared" si="628"/>
        <v>16.399999999999999</v>
      </c>
      <c r="T245" s="217">
        <f t="shared" si="629"/>
        <v>0.92013382005954292</v>
      </c>
      <c r="U245" s="217">
        <f t="shared" si="630"/>
        <v>0.30714435774645793</v>
      </c>
      <c r="V245" s="217">
        <f t="shared" si="631"/>
        <v>0.64485666940950248</v>
      </c>
      <c r="W245" s="197">
        <f t="shared" si="632"/>
        <v>350</v>
      </c>
      <c r="X245" s="443">
        <f t="shared" si="691"/>
        <v>350</v>
      </c>
      <c r="Z245" s="217">
        <f t="shared" si="633"/>
        <v>2.7615030830927969</v>
      </c>
      <c r="AA245" s="173">
        <f t="shared" si="634"/>
        <v>1.9353420577585747</v>
      </c>
      <c r="AB245" s="173">
        <f t="shared" si="635"/>
        <v>0.83361849349479644</v>
      </c>
      <c r="AC245" s="173"/>
      <c r="AD245" s="173">
        <f t="shared" si="636"/>
        <v>0.93443896290037931</v>
      </c>
      <c r="AE245" s="545">
        <f t="shared" si="637"/>
        <v>465.51997216577467</v>
      </c>
      <c r="AF245" s="528">
        <f t="shared" si="638"/>
        <v>0.21803575801008854</v>
      </c>
      <c r="AH245" s="173">
        <f t="shared" si="639"/>
        <v>1.5940365055268906</v>
      </c>
      <c r="AI245" s="173">
        <f t="shared" si="640"/>
        <v>1.5940365055268906</v>
      </c>
      <c r="AJ245" s="173">
        <f t="shared" si="641"/>
        <v>1.3931134608841163</v>
      </c>
      <c r="AL245" s="545">
        <f t="shared" si="642"/>
        <v>290</v>
      </c>
      <c r="AM245" s="460">
        <f t="shared" si="643"/>
        <v>350</v>
      </c>
      <c r="AO245">
        <f t="shared" si="644"/>
        <v>290</v>
      </c>
      <c r="AP245">
        <f t="shared" si="645"/>
        <v>350</v>
      </c>
      <c r="AR245" s="5">
        <f t="shared" si="616"/>
        <v>2.8571428571428572</v>
      </c>
      <c r="AS245" s="5">
        <f t="shared" si="739"/>
        <v>0.53209577568052269</v>
      </c>
      <c r="AT245" s="5">
        <f t="shared" si="740"/>
        <v>2.3250470814623343</v>
      </c>
      <c r="AU245" s="173">
        <f t="shared" si="741"/>
        <v>0.18623352148818292</v>
      </c>
      <c r="BA245" s="173">
        <f t="shared" si="692"/>
        <v>0.39716097065654404</v>
      </c>
      <c r="BB245" s="173">
        <f t="shared" si="693"/>
        <v>0.83020918470664895</v>
      </c>
      <c r="BC245" s="173">
        <f t="shared" si="694"/>
        <v>0.20368116296246333</v>
      </c>
      <c r="BD245" s="173"/>
      <c r="BE245" s="528">
        <f t="shared" si="695"/>
        <v>3.1547367322569647E-3</v>
      </c>
      <c r="BF245" s="528">
        <f t="shared" si="646"/>
        <v>0.55517704204995832</v>
      </c>
      <c r="BG245" s="528">
        <f t="shared" si="647"/>
        <v>0.31455583887367106</v>
      </c>
      <c r="BH245" s="528">
        <f t="shared" si="696"/>
        <v>9.858160456390723E-2</v>
      </c>
      <c r="BI245">
        <f t="shared" si="697"/>
        <v>1.6177157427788798E-2</v>
      </c>
      <c r="BJ245" s="460">
        <f t="shared" si="698"/>
        <v>330.73299630145988</v>
      </c>
      <c r="BK245">
        <f t="shared" si="648"/>
        <v>0.65825857014358768</v>
      </c>
      <c r="BL245" s="460">
        <f t="shared" si="699"/>
        <v>987.64637964758242</v>
      </c>
      <c r="BM245" s="173">
        <f t="shared" si="649"/>
        <v>0.18016249999999998</v>
      </c>
      <c r="BN245" s="173">
        <f t="shared" si="650"/>
        <v>3.2171874999999996E-2</v>
      </c>
      <c r="BQ245" s="460">
        <f t="shared" si="700"/>
        <v>212.33437499999997</v>
      </c>
      <c r="BR245" s="528">
        <f t="shared" si="701"/>
        <v>4.7321050983854468E-3</v>
      </c>
      <c r="BS245" s="528">
        <f t="shared" si="702"/>
        <v>2.0677418711138363E-2</v>
      </c>
      <c r="BT245" s="528">
        <f t="shared" si="703"/>
        <v>2.0743008072870772E-4</v>
      </c>
      <c r="BU245" s="528">
        <f t="shared" si="704"/>
        <v>0.36760869312446687</v>
      </c>
      <c r="BV245" s="528"/>
      <c r="BW245" s="625">
        <f t="shared" si="705"/>
        <v>4.4466666666666665E-3</v>
      </c>
      <c r="BX245" s="460">
        <f t="shared" si="706"/>
        <v>397.67231368138607</v>
      </c>
      <c r="BY245" s="173">
        <f t="shared" si="707"/>
        <v>1.5976530683289683</v>
      </c>
      <c r="BZ245" s="5">
        <f t="shared" si="708"/>
        <v>5.3359999999999994</v>
      </c>
      <c r="CA245" s="173">
        <f t="shared" si="709"/>
        <v>0.7695798949580257</v>
      </c>
      <c r="CB245" s="5">
        <f t="shared" si="710"/>
        <v>76.957989495802565</v>
      </c>
      <c r="CC245">
        <f t="shared" si="711"/>
        <v>28.999999999999996</v>
      </c>
      <c r="CE245" s="562">
        <f t="shared" si="651"/>
        <v>-50</v>
      </c>
      <c r="CG245" s="173">
        <f t="shared" si="652"/>
        <v>0.38540444388441303</v>
      </c>
      <c r="CH245" s="173">
        <f t="shared" si="653"/>
        <v>0.1371470492645987</v>
      </c>
      <c r="CI245" s="170">
        <v>29</v>
      </c>
      <c r="CJ245" s="217">
        <f t="shared" si="712"/>
        <v>0.28999999999999998</v>
      </c>
      <c r="CK245" s="217">
        <f t="shared" si="654"/>
        <v>7.2499999999999995E-2</v>
      </c>
      <c r="CL245" s="217">
        <f t="shared" si="655"/>
        <v>4.7559999999999993</v>
      </c>
      <c r="CM245" s="217">
        <f t="shared" si="656"/>
        <v>0.57999999999999996</v>
      </c>
      <c r="CN245" s="541">
        <f t="shared" si="657"/>
        <v>36</v>
      </c>
      <c r="CO245" s="443">
        <f t="shared" si="658"/>
        <v>17.099999999999998</v>
      </c>
      <c r="CP245" s="443">
        <f t="shared" si="659"/>
        <v>53.099999999999994</v>
      </c>
      <c r="CQ245" s="443"/>
      <c r="CR245" s="217">
        <f t="shared" si="660"/>
        <v>0.31818181818181812</v>
      </c>
      <c r="CS245" s="172">
        <f t="shared" si="661"/>
        <v>34.031620553359687</v>
      </c>
      <c r="CT245" s="172">
        <f t="shared" si="662"/>
        <v>4.6563192904656319</v>
      </c>
      <c r="CU245" s="217">
        <f t="shared" si="663"/>
        <v>2.0750988142292495</v>
      </c>
      <c r="CV245" s="217">
        <f t="shared" si="664"/>
        <v>4.2539525691699609</v>
      </c>
      <c r="CW245" s="217">
        <f t="shared" si="665"/>
        <v>16.399999999999999</v>
      </c>
      <c r="CX245" s="217">
        <f t="shared" si="666"/>
        <v>0.93168253968253967</v>
      </c>
      <c r="CY245" s="217">
        <f t="shared" si="667"/>
        <v>0.31056084656084654</v>
      </c>
      <c r="CZ245" s="217">
        <f t="shared" si="668"/>
        <v>0.65381230854915073</v>
      </c>
      <c r="DA245" s="197">
        <f t="shared" si="669"/>
        <v>350</v>
      </c>
      <c r="DB245" s="443">
        <f t="shared" si="670"/>
        <v>350</v>
      </c>
      <c r="DD245" s="217">
        <f t="shared" si="671"/>
        <v>2.7602905569007259</v>
      </c>
      <c r="DE245" s="173">
        <f t="shared" si="672"/>
        <v>1.937046004842615</v>
      </c>
      <c r="DF245" s="173">
        <f t="shared" si="673"/>
        <v>0.83398609309454497</v>
      </c>
      <c r="DG245" s="173"/>
      <c r="DH245" s="173">
        <f t="shared" si="674"/>
        <v>0.93567251461988332</v>
      </c>
      <c r="DI245" s="545">
        <f t="shared" si="675"/>
        <v>464.90624999999977</v>
      </c>
      <c r="DJ245" s="528">
        <f t="shared" si="676"/>
        <v>0.21832358674463945</v>
      </c>
      <c r="DL245" s="173">
        <f t="shared" si="677"/>
        <v>1.5940365055268906</v>
      </c>
      <c r="DM245" s="173">
        <f t="shared" si="678"/>
        <v>1.5940365055268906</v>
      </c>
      <c r="DN245" s="173">
        <f t="shared" si="679"/>
        <v>1.3931134608841163</v>
      </c>
      <c r="DP245" s="545">
        <f t="shared" si="680"/>
        <v>290</v>
      </c>
      <c r="DQ245" s="460">
        <f t="shared" si="681"/>
        <v>350</v>
      </c>
      <c r="DS245">
        <f t="shared" si="682"/>
        <v>290</v>
      </c>
      <c r="DT245">
        <f t="shared" si="683"/>
        <v>350</v>
      </c>
      <c r="DV245" s="5">
        <f t="shared" si="684"/>
        <v>2.8571428571428572</v>
      </c>
      <c r="DW245" s="5">
        <f t="shared" si="685"/>
        <v>0.5313455018422969</v>
      </c>
      <c r="DX245" s="5">
        <f t="shared" si="686"/>
        <v>2.3257973553005602</v>
      </c>
      <c r="DY245" s="173">
        <f t="shared" si="687"/>
        <v>0.18597092564480391</v>
      </c>
      <c r="EA245" s="5">
        <f t="shared" si="713"/>
        <v>0.9395743630138178</v>
      </c>
      <c r="EB245" s="5">
        <f t="shared" si="714"/>
        <v>0.48153186104458157</v>
      </c>
      <c r="EC245" s="5">
        <f t="shared" si="715"/>
        <v>0.25605306069003381</v>
      </c>
      <c r="ED245" s="5"/>
      <c r="EE245" s="173">
        <f t="shared" si="716"/>
        <v>0.39688086638397452</v>
      </c>
      <c r="EF245" s="173">
        <f t="shared" si="717"/>
        <v>0.830343124787839</v>
      </c>
      <c r="EG245" s="173">
        <f t="shared" si="718"/>
        <v>0.20371402344149273</v>
      </c>
      <c r="EH245" s="173"/>
      <c r="EI245" s="528">
        <f t="shared" si="719"/>
        <v>3.1502884420338845E-3</v>
      </c>
      <c r="EJ245" s="528">
        <f t="shared" si="720"/>
        <v>0.5925033691043452</v>
      </c>
      <c r="EK245" s="528">
        <f t="shared" si="721"/>
        <v>4.3749999999999997E-2</v>
      </c>
      <c r="EL245" s="528">
        <f t="shared" si="722"/>
        <v>9.8686349999999978E-2</v>
      </c>
      <c r="EM245">
        <f t="shared" si="723"/>
        <v>1.6199999999999999E-2</v>
      </c>
      <c r="EN245" s="460">
        <f t="shared" si="724"/>
        <v>59.949999999999996</v>
      </c>
      <c r="EP245" s="460">
        <f t="shared" si="725"/>
        <v>754.290007546379</v>
      </c>
      <c r="EQ245" s="173">
        <f t="shared" si="726"/>
        <v>0.20299999999999999</v>
      </c>
      <c r="ER245" s="173">
        <f t="shared" si="688"/>
        <v>3.2171874999999996E-2</v>
      </c>
      <c r="ES245" s="528"/>
      <c r="EU245" s="460">
        <f t="shared" si="727"/>
        <v>235.17187499999997</v>
      </c>
      <c r="EV245" s="528">
        <f t="shared" si="728"/>
        <v>4.7254326630508268E-3</v>
      </c>
      <c r="EW245" s="528">
        <f t="shared" si="729"/>
        <v>2.0684091146472981E-2</v>
      </c>
      <c r="EX245" s="528">
        <f t="shared" si="730"/>
        <v>2.0749701673360523E-4</v>
      </c>
      <c r="EY245" s="528">
        <f t="shared" si="731"/>
        <v>0.36760869312446687</v>
      </c>
      <c r="EZ245" s="528"/>
      <c r="FA245" s="625">
        <f t="shared" si="732"/>
        <v>4.4466666666666665E-3</v>
      </c>
      <c r="FB245" s="460">
        <f t="shared" si="733"/>
        <v>397.6723806173909</v>
      </c>
      <c r="FC245" s="173">
        <f t="shared" si="734"/>
        <v>1.38713426316377</v>
      </c>
      <c r="FD245" s="5">
        <f t="shared" si="735"/>
        <v>5.3359999999999994</v>
      </c>
      <c r="FE245" s="173">
        <f t="shared" si="736"/>
        <v>0.79367744137374796</v>
      </c>
      <c r="FF245" s="5">
        <f t="shared" si="737"/>
        <v>79.3677441373748</v>
      </c>
      <c r="FG245">
        <f t="shared" si="738"/>
        <v>28.999999999999996</v>
      </c>
      <c r="FI245" s="562">
        <f t="shared" si="689"/>
        <v>-50</v>
      </c>
    </row>
    <row r="246" spans="5:165">
      <c r="E246" s="170">
        <v>30</v>
      </c>
      <c r="F246" s="217">
        <f t="shared" si="690"/>
        <v>0.3</v>
      </c>
      <c r="G246" s="217">
        <f t="shared" si="617"/>
        <v>7.4999999999999997E-2</v>
      </c>
      <c r="H246" s="217">
        <f t="shared" si="618"/>
        <v>4.919999999999999</v>
      </c>
      <c r="I246" s="217">
        <f t="shared" si="619"/>
        <v>0.6</v>
      </c>
      <c r="J246" s="541">
        <f t="shared" si="620"/>
        <v>35.948370951515869</v>
      </c>
      <c r="K246" s="443">
        <f t="shared" si="621"/>
        <v>17.122959591833105</v>
      </c>
      <c r="L246" s="172">
        <f t="shared" si="622"/>
        <v>53.071330543348978</v>
      </c>
      <c r="M246" s="443"/>
      <c r="N246" s="217">
        <f t="shared" si="623"/>
        <v>0.32264048058578387</v>
      </c>
      <c r="O246" s="172">
        <f t="shared" si="624"/>
        <v>34.459013542246211</v>
      </c>
      <c r="P246" s="172">
        <f t="shared" si="625"/>
        <v>4.7147966179159004</v>
      </c>
      <c r="Q246" s="217">
        <f t="shared" si="626"/>
        <v>2.1011593623320861</v>
      </c>
      <c r="R246" s="217">
        <f t="shared" si="627"/>
        <v>4.3073766927807764</v>
      </c>
      <c r="S246" s="217">
        <f t="shared" si="628"/>
        <v>16.399999999999999</v>
      </c>
      <c r="T246" s="217">
        <f t="shared" si="629"/>
        <v>0.95185545459064613</v>
      </c>
      <c r="U246" s="217">
        <f t="shared" si="630"/>
        <v>0.31774083644828138</v>
      </c>
      <c r="V246" s="217">
        <f t="shared" si="631"/>
        <v>0.66707308358863782</v>
      </c>
      <c r="W246" s="197">
        <f t="shared" si="632"/>
        <v>350</v>
      </c>
      <c r="X246" s="443">
        <f t="shared" si="691"/>
        <v>350</v>
      </c>
      <c r="Z246" s="217">
        <f t="shared" si="633"/>
        <v>2.7615237333507414</v>
      </c>
      <c r="AA246" s="173">
        <f t="shared" si="634"/>
        <v>1.9353129126120459</v>
      </c>
      <c r="AB246" s="173">
        <f t="shared" si="635"/>
        <v>0.83361217330228043</v>
      </c>
      <c r="AC246" s="173"/>
      <c r="AD246" s="173">
        <f t="shared" si="636"/>
        <v>0.93441790329466734</v>
      </c>
      <c r="AE246" s="545">
        <f t="shared" si="637"/>
        <v>481.58323852030588</v>
      </c>
      <c r="AF246" s="528">
        <f t="shared" si="638"/>
        <v>0.21803084410208906</v>
      </c>
      <c r="AH246" s="173">
        <f t="shared" si="639"/>
        <v>1.6212869667555549</v>
      </c>
      <c r="AI246" s="173">
        <f t="shared" si="640"/>
        <v>1.6212869667555549</v>
      </c>
      <c r="AJ246" s="173">
        <f t="shared" si="641"/>
        <v>1.413298987720164</v>
      </c>
      <c r="AL246" s="545">
        <f t="shared" si="642"/>
        <v>300</v>
      </c>
      <c r="AM246" s="460">
        <f t="shared" si="643"/>
        <v>350</v>
      </c>
      <c r="AO246">
        <f t="shared" si="644"/>
        <v>300</v>
      </c>
      <c r="AP246">
        <f t="shared" si="645"/>
        <v>350</v>
      </c>
      <c r="AR246" s="5">
        <f t="shared" si="616"/>
        <v>2.8571428571428572</v>
      </c>
      <c r="AS246" s="5">
        <f t="shared" si="739"/>
        <v>0.5412051530041937</v>
      </c>
      <c r="AT246" s="5">
        <f t="shared" si="740"/>
        <v>2.3159377041386637</v>
      </c>
      <c r="AU246" s="173">
        <f t="shared" si="741"/>
        <v>0.18942180355146779</v>
      </c>
      <c r="BA246" s="173">
        <f t="shared" si="692"/>
        <v>0.40739364287457824</v>
      </c>
      <c r="BB246" s="173">
        <f t="shared" si="693"/>
        <v>0.84274604474649228</v>
      </c>
      <c r="BC246" s="173">
        <f t="shared" si="694"/>
        <v>0.2067569205906028</v>
      </c>
      <c r="BD246" s="173"/>
      <c r="BE246" s="528">
        <f t="shared" si="695"/>
        <v>3.3193916050923877E-3</v>
      </c>
      <c r="BF246" s="528">
        <f t="shared" si="646"/>
        <v>0.56466280840139438</v>
      </c>
      <c r="BG246" s="528">
        <f t="shared" si="647"/>
        <v>0.31454824582576379</v>
      </c>
      <c r="BH246" s="528">
        <f t="shared" si="696"/>
        <v>9.8579814397449214E-2</v>
      </c>
      <c r="BI246">
        <f t="shared" si="697"/>
        <v>1.6176766928182141E-2</v>
      </c>
      <c r="BJ246" s="460">
        <f t="shared" si="698"/>
        <v>330.72501275394592</v>
      </c>
      <c r="BK246">
        <f t="shared" si="648"/>
        <v>0.66798508158485137</v>
      </c>
      <c r="BL246" s="460">
        <f t="shared" si="699"/>
        <v>997.28702715788199</v>
      </c>
      <c r="BM246" s="173">
        <f t="shared" si="649"/>
        <v>0.18637499999999999</v>
      </c>
      <c r="BN246" s="173">
        <f t="shared" si="650"/>
        <v>3.3281249999999998E-2</v>
      </c>
      <c r="BQ246" s="460">
        <f t="shared" si="700"/>
        <v>219.65625</v>
      </c>
      <c r="BR246" s="528">
        <f t="shared" si="701"/>
        <v>4.9790874076385818E-3</v>
      </c>
      <c r="BS246" s="528">
        <f t="shared" si="702"/>
        <v>2.1306626878075705E-2</v>
      </c>
      <c r="BT246" s="528">
        <f t="shared" si="703"/>
        <v>2.1374212106054416E-4</v>
      </c>
      <c r="BU246" s="528">
        <f t="shared" si="704"/>
        <v>0.3835216136392407</v>
      </c>
      <c r="BV246" s="528"/>
      <c r="BW246" s="625">
        <f t="shared" si="705"/>
        <v>4.5999999999999991E-3</v>
      </c>
      <c r="BX246" s="460">
        <f t="shared" si="706"/>
        <v>414.62107004601552</v>
      </c>
      <c r="BY246" s="173">
        <f t="shared" si="707"/>
        <v>1.6315643472038974</v>
      </c>
      <c r="BZ246" s="5">
        <f t="shared" si="708"/>
        <v>5.5199999999999987</v>
      </c>
      <c r="CA246" s="173">
        <f t="shared" si="709"/>
        <v>0.77185909711603118</v>
      </c>
      <c r="CB246" s="5">
        <f t="shared" si="710"/>
        <v>77.185909711603117</v>
      </c>
      <c r="CC246">
        <f t="shared" si="711"/>
        <v>30</v>
      </c>
      <c r="CE246" s="562">
        <f t="shared" si="651"/>
        <v>-50</v>
      </c>
      <c r="CG246" s="173">
        <f t="shared" si="652"/>
        <v>0.39199303129694263</v>
      </c>
      <c r="CH246" s="173">
        <f t="shared" si="653"/>
        <v>0.13949161310341451</v>
      </c>
      <c r="CI246" s="170">
        <v>30</v>
      </c>
      <c r="CJ246" s="217">
        <f t="shared" si="712"/>
        <v>0.3</v>
      </c>
      <c r="CK246" s="217">
        <f t="shared" si="654"/>
        <v>7.4999999999999997E-2</v>
      </c>
      <c r="CL246" s="217">
        <f t="shared" si="655"/>
        <v>4.919999999999999</v>
      </c>
      <c r="CM246" s="217">
        <f t="shared" si="656"/>
        <v>0.6</v>
      </c>
      <c r="CN246" s="541">
        <f t="shared" si="657"/>
        <v>36</v>
      </c>
      <c r="CO246" s="443">
        <f t="shared" si="658"/>
        <v>17.099999999999998</v>
      </c>
      <c r="CP246" s="443">
        <f t="shared" si="659"/>
        <v>53.099999999999994</v>
      </c>
      <c r="CQ246" s="443"/>
      <c r="CR246" s="217">
        <f t="shared" si="660"/>
        <v>0.31818181818181812</v>
      </c>
      <c r="CS246" s="172">
        <f t="shared" si="661"/>
        <v>34.031620553359687</v>
      </c>
      <c r="CT246" s="172">
        <f t="shared" si="662"/>
        <v>4.6563192904656319</v>
      </c>
      <c r="CU246" s="217">
        <f t="shared" si="663"/>
        <v>2.0750988142292495</v>
      </c>
      <c r="CV246" s="217">
        <f t="shared" si="664"/>
        <v>4.2539525691699609</v>
      </c>
      <c r="CW246" s="217">
        <f t="shared" si="665"/>
        <v>16.399999999999999</v>
      </c>
      <c r="CX246" s="217">
        <f t="shared" si="666"/>
        <v>0.96380952380952367</v>
      </c>
      <c r="CY246" s="217">
        <f t="shared" si="667"/>
        <v>0.32126984126984121</v>
      </c>
      <c r="CZ246" s="217">
        <f t="shared" si="668"/>
        <v>0.67635756056808694</v>
      </c>
      <c r="DA246" s="197">
        <f t="shared" si="669"/>
        <v>350</v>
      </c>
      <c r="DB246" s="443">
        <f t="shared" si="670"/>
        <v>350</v>
      </c>
      <c r="DD246" s="217">
        <f t="shared" si="671"/>
        <v>2.7602905569007259</v>
      </c>
      <c r="DE246" s="173">
        <f t="shared" si="672"/>
        <v>1.937046004842615</v>
      </c>
      <c r="DF246" s="173">
        <f t="shared" si="673"/>
        <v>0.83398609309454497</v>
      </c>
      <c r="DG246" s="173"/>
      <c r="DH246" s="173">
        <f t="shared" si="674"/>
        <v>0.93567251461988332</v>
      </c>
      <c r="DI246" s="545">
        <f t="shared" si="675"/>
        <v>480.93749999999977</v>
      </c>
      <c r="DJ246" s="528">
        <f t="shared" si="676"/>
        <v>0.21832358674463945</v>
      </c>
      <c r="DL246" s="173">
        <f t="shared" si="677"/>
        <v>1.6212869667555549</v>
      </c>
      <c r="DM246" s="173">
        <f t="shared" si="678"/>
        <v>1.6212869667555549</v>
      </c>
      <c r="DN246" s="173">
        <f t="shared" si="679"/>
        <v>1.413298987720164</v>
      </c>
      <c r="DP246" s="545">
        <f t="shared" si="680"/>
        <v>300</v>
      </c>
      <c r="DQ246" s="460">
        <f t="shared" si="681"/>
        <v>350</v>
      </c>
      <c r="DS246">
        <f t="shared" si="682"/>
        <v>300</v>
      </c>
      <c r="DT246">
        <f t="shared" si="683"/>
        <v>350</v>
      </c>
      <c r="DV246" s="5">
        <f t="shared" si="684"/>
        <v>2.8571428571428572</v>
      </c>
      <c r="DW246" s="5">
        <f t="shared" si="685"/>
        <v>0.54042898891851832</v>
      </c>
      <c r="DX246" s="5">
        <f t="shared" si="686"/>
        <v>2.3167138682243387</v>
      </c>
      <c r="DY246" s="173">
        <f t="shared" si="687"/>
        <v>0.1891501461214814</v>
      </c>
      <c r="EA246" s="5">
        <f t="shared" si="713"/>
        <v>0.98858961387533861</v>
      </c>
      <c r="EB246" s="5">
        <f t="shared" si="714"/>
        <v>0.50665217711111099</v>
      </c>
      <c r="EC246" s="5">
        <f t="shared" si="715"/>
        <v>0.26384796832554958</v>
      </c>
      <c r="ED246" s="5"/>
      <c r="EE246" s="173">
        <f t="shared" si="716"/>
        <v>0.40710140825312663</v>
      </c>
      <c r="EF246" s="173">
        <f t="shared" si="717"/>
        <v>0.84288725200277936</v>
      </c>
      <c r="EG246" s="173">
        <f t="shared" si="718"/>
        <v>0.20679156397772636</v>
      </c>
      <c r="EH246" s="173"/>
      <c r="EI246" s="528">
        <f t="shared" si="719"/>
        <v>3.3146311320335774E-3</v>
      </c>
      <c r="EJ246" s="528">
        <f t="shared" si="720"/>
        <v>0.60263236554303978</v>
      </c>
      <c r="EK246" s="528">
        <f t="shared" si="721"/>
        <v>4.3749999999999997E-2</v>
      </c>
      <c r="EL246" s="528">
        <f t="shared" si="722"/>
        <v>9.8686349999999978E-2</v>
      </c>
      <c r="EM246">
        <f t="shared" si="723"/>
        <v>1.6199999999999999E-2</v>
      </c>
      <c r="EN246" s="460">
        <f t="shared" si="724"/>
        <v>59.949999999999996</v>
      </c>
      <c r="EP246" s="460">
        <f t="shared" si="725"/>
        <v>764.58334667507336</v>
      </c>
      <c r="EQ246" s="173">
        <f t="shared" si="726"/>
        <v>0.21</v>
      </c>
      <c r="ER246" s="173">
        <f t="shared" si="688"/>
        <v>3.3281249999999998E-2</v>
      </c>
      <c r="ES246" s="528"/>
      <c r="EU246" s="460">
        <f t="shared" si="727"/>
        <v>243.28125</v>
      </c>
      <c r="EV246" s="528">
        <f t="shared" si="728"/>
        <v>4.9719466980503663E-3</v>
      </c>
      <c r="EW246" s="528">
        <f t="shared" si="729"/>
        <v>2.1313767587663908E-2</v>
      </c>
      <c r="EX246" s="528">
        <f t="shared" si="730"/>
        <v>2.1381375466177047E-4</v>
      </c>
      <c r="EY246" s="528">
        <f t="shared" si="731"/>
        <v>0.3835216136392407</v>
      </c>
      <c r="EZ246" s="528"/>
      <c r="FA246" s="625">
        <f t="shared" si="732"/>
        <v>4.5999999999999991E-3</v>
      </c>
      <c r="FB246" s="460">
        <f t="shared" si="733"/>
        <v>414.6211416796167</v>
      </c>
      <c r="FC246" s="173">
        <f t="shared" si="734"/>
        <v>1.4224857383546901</v>
      </c>
      <c r="FD246" s="5">
        <f t="shared" si="735"/>
        <v>5.5199999999999987</v>
      </c>
      <c r="FE246" s="173">
        <f t="shared" si="736"/>
        <v>0.79510426208065821</v>
      </c>
      <c r="FF246" s="5">
        <f t="shared" si="737"/>
        <v>79.510426208065823</v>
      </c>
      <c r="FG246">
        <f t="shared" si="738"/>
        <v>30</v>
      </c>
      <c r="FI246" s="562">
        <f t="shared" si="689"/>
        <v>-50</v>
      </c>
    </row>
    <row r="247" spans="5:165">
      <c r="E247" s="170">
        <v>31</v>
      </c>
      <c r="F247" s="217">
        <f t="shared" si="690"/>
        <v>0.31</v>
      </c>
      <c r="G247" s="217">
        <f t="shared" si="617"/>
        <v>7.7499999999999999E-2</v>
      </c>
      <c r="H247" s="217">
        <f t="shared" si="618"/>
        <v>5.0839999999999996</v>
      </c>
      <c r="I247" s="217">
        <f t="shared" si="619"/>
        <v>0.62</v>
      </c>
      <c r="J247" s="541">
        <f t="shared" si="620"/>
        <v>35.947517520997103</v>
      </c>
      <c r="K247" s="443">
        <f t="shared" si="621"/>
        <v>17.123339114929966</v>
      </c>
      <c r="L247" s="172">
        <f t="shared" si="622"/>
        <v>53.070856635927072</v>
      </c>
      <c r="M247" s="443"/>
      <c r="N247" s="217">
        <f t="shared" si="623"/>
        <v>0.32265051292460345</v>
      </c>
      <c r="O247" s="172">
        <f t="shared" si="624"/>
        <v>34.45926692950372</v>
      </c>
      <c r="P247" s="172">
        <f t="shared" si="625"/>
        <v>4.7148312872015801</v>
      </c>
      <c r="Q247" s="217">
        <f t="shared" si="626"/>
        <v>2.1011748127746173</v>
      </c>
      <c r="R247" s="217">
        <f t="shared" si="627"/>
        <v>4.307408366187965</v>
      </c>
      <c r="S247" s="217">
        <f t="shared" si="628"/>
        <v>16.399999999999999</v>
      </c>
      <c r="T247" s="217">
        <f t="shared" si="629"/>
        <v>0.98357673721474792</v>
      </c>
      <c r="U247" s="217">
        <f t="shared" si="630"/>
        <v>0.3283375782398002</v>
      </c>
      <c r="V247" s="217">
        <f t="shared" si="631"/>
        <v>0.68928850660242558</v>
      </c>
      <c r="W247" s="197">
        <f t="shared" si="632"/>
        <v>350</v>
      </c>
      <c r="X247" s="443">
        <f t="shared" si="691"/>
        <v>350</v>
      </c>
      <c r="Z247" s="217">
        <f t="shared" si="633"/>
        <v>2.7615440396466395</v>
      </c>
      <c r="AA247" s="173">
        <f t="shared" si="634"/>
        <v>1.9352842487868469</v>
      </c>
      <c r="AB247" s="173">
        <f t="shared" si="635"/>
        <v>0.83360595641762547</v>
      </c>
      <c r="AC247" s="173"/>
      <c r="AD247" s="173">
        <f t="shared" si="636"/>
        <v>0.93439719277938527</v>
      </c>
      <c r="AE247" s="545">
        <f t="shared" si="637"/>
        <v>497.64704302765188</v>
      </c>
      <c r="AF247" s="528">
        <f t="shared" si="638"/>
        <v>0.21802601164852328</v>
      </c>
      <c r="AH247" s="173">
        <f t="shared" si="639"/>
        <v>1.6480869140280423</v>
      </c>
      <c r="AI247" s="173">
        <f t="shared" si="640"/>
        <v>1.6480869140280423</v>
      </c>
      <c r="AJ247" s="173">
        <f t="shared" si="641"/>
        <v>1.433150800514599</v>
      </c>
      <c r="AL247" s="545">
        <f t="shared" si="642"/>
        <v>310</v>
      </c>
      <c r="AM247" s="460">
        <f t="shared" si="643"/>
        <v>350</v>
      </c>
      <c r="AO247">
        <f t="shared" si="644"/>
        <v>310</v>
      </c>
      <c r="AP247">
        <f t="shared" si="645"/>
        <v>350</v>
      </c>
      <c r="AR247" s="5">
        <f t="shared" si="616"/>
        <v>2.8571428571428572</v>
      </c>
      <c r="AS247" s="5">
        <f t="shared" si="739"/>
        <v>0.55016435993903201</v>
      </c>
      <c r="AT247" s="5">
        <f t="shared" si="740"/>
        <v>2.3069784972038252</v>
      </c>
      <c r="AU247" s="173">
        <f t="shared" si="741"/>
        <v>0.19255752597866119</v>
      </c>
      <c r="BA247" s="173">
        <f t="shared" si="692"/>
        <v>0.41754158203386949</v>
      </c>
      <c r="BB247" s="173">
        <f t="shared" si="693"/>
        <v>0.85501804230640588</v>
      </c>
      <c r="BC247" s="173">
        <f t="shared" si="694"/>
        <v>0.20976769761032335</v>
      </c>
      <c r="BD247" s="173"/>
      <c r="BE247" s="528">
        <f t="shared" si="695"/>
        <v>3.4868194545469313E-3</v>
      </c>
      <c r="BF247" s="528">
        <f t="shared" si="646"/>
        <v>0.57399158471766354</v>
      </c>
      <c r="BG247" s="528">
        <f t="shared" si="647"/>
        <v>0.31454077830872462</v>
      </c>
      <c r="BH247" s="528">
        <f t="shared" si="696"/>
        <v>9.8578053842489369E-2</v>
      </c>
      <c r="BI247">
        <f t="shared" si="697"/>
        <v>1.6176382884448694E-2</v>
      </c>
      <c r="BJ247" s="460">
        <f t="shared" si="698"/>
        <v>330.7171611931733</v>
      </c>
      <c r="BK247">
        <f t="shared" si="648"/>
        <v>0.67755923561713505</v>
      </c>
      <c r="BL247" s="460">
        <f t="shared" si="699"/>
        <v>1006.7736192078734</v>
      </c>
      <c r="BM247" s="173">
        <f t="shared" si="649"/>
        <v>0.19258749999999999</v>
      </c>
      <c r="BN247" s="173">
        <f t="shared" si="650"/>
        <v>3.4390625000000001E-2</v>
      </c>
      <c r="BQ247" s="460">
        <f t="shared" si="700"/>
        <v>226.97812500000001</v>
      </c>
      <c r="BR247" s="528">
        <f t="shared" si="701"/>
        <v>5.2302291818203967E-3</v>
      </c>
      <c r="BS247" s="528">
        <f t="shared" si="702"/>
        <v>2.1931675580084367E-2</v>
      </c>
      <c r="BT247" s="528">
        <f t="shared" si="703"/>
        <v>2.2001243480368026E-4</v>
      </c>
      <c r="BU247" s="528">
        <f t="shared" si="704"/>
        <v>0.3995677175706745</v>
      </c>
      <c r="BV247" s="528"/>
      <c r="BW247" s="625">
        <f t="shared" si="705"/>
        <v>4.7533333333333325E-3</v>
      </c>
      <c r="BX247" s="460">
        <f t="shared" si="706"/>
        <v>431.7029681007163</v>
      </c>
      <c r="BY247" s="173">
        <f t="shared" si="707"/>
        <v>1.6654547123085897</v>
      </c>
      <c r="BZ247" s="5">
        <f t="shared" si="708"/>
        <v>5.7039999999999997</v>
      </c>
      <c r="CA247" s="173">
        <f t="shared" si="709"/>
        <v>0.77400570634799903</v>
      </c>
      <c r="CB247" s="5">
        <f t="shared" si="710"/>
        <v>77.400570634799905</v>
      </c>
      <c r="CC247">
        <f t="shared" si="711"/>
        <v>31</v>
      </c>
      <c r="CE247" s="562">
        <f t="shared" si="651"/>
        <v>-50</v>
      </c>
      <c r="CG247" s="173">
        <f t="shared" si="652"/>
        <v>0.39847269392629409</v>
      </c>
      <c r="CH247" s="173">
        <f t="shared" si="653"/>
        <v>0.14179741581001787</v>
      </c>
      <c r="CI247" s="170">
        <v>31</v>
      </c>
      <c r="CJ247" s="217">
        <f t="shared" si="712"/>
        <v>0.31</v>
      </c>
      <c r="CK247" s="217">
        <f t="shared" si="654"/>
        <v>7.7499999999999999E-2</v>
      </c>
      <c r="CL247" s="217">
        <f t="shared" si="655"/>
        <v>5.0839999999999996</v>
      </c>
      <c r="CM247" s="217">
        <f t="shared" si="656"/>
        <v>0.62</v>
      </c>
      <c r="CN247" s="541">
        <f t="shared" si="657"/>
        <v>36</v>
      </c>
      <c r="CO247" s="443">
        <f t="shared" si="658"/>
        <v>17.099999999999998</v>
      </c>
      <c r="CP247" s="443">
        <f t="shared" si="659"/>
        <v>53.099999999999994</v>
      </c>
      <c r="CQ247" s="443"/>
      <c r="CR247" s="217">
        <f t="shared" si="660"/>
        <v>0.31818181818181812</v>
      </c>
      <c r="CS247" s="172">
        <f t="shared" si="661"/>
        <v>34.031620553359687</v>
      </c>
      <c r="CT247" s="172">
        <f t="shared" si="662"/>
        <v>4.6563192904656319</v>
      </c>
      <c r="CU247" s="217">
        <f t="shared" si="663"/>
        <v>2.0750988142292495</v>
      </c>
      <c r="CV247" s="217">
        <f t="shared" si="664"/>
        <v>4.2539525691699609</v>
      </c>
      <c r="CW247" s="217">
        <f t="shared" si="665"/>
        <v>16.399999999999999</v>
      </c>
      <c r="CX247" s="217">
        <f t="shared" si="666"/>
        <v>0.99593650793650801</v>
      </c>
      <c r="CY247" s="217">
        <f t="shared" si="667"/>
        <v>0.33197883597883604</v>
      </c>
      <c r="CZ247" s="217">
        <f t="shared" si="668"/>
        <v>0.69890281258702325</v>
      </c>
      <c r="DA247" s="197">
        <f t="shared" si="669"/>
        <v>350</v>
      </c>
      <c r="DB247" s="443">
        <f t="shared" si="670"/>
        <v>350</v>
      </c>
      <c r="DD247" s="217">
        <f t="shared" si="671"/>
        <v>2.7602905569007259</v>
      </c>
      <c r="DE247" s="173">
        <f t="shared" si="672"/>
        <v>1.937046004842615</v>
      </c>
      <c r="DF247" s="173">
        <f t="shared" si="673"/>
        <v>0.83398609309454497</v>
      </c>
      <c r="DG247" s="173"/>
      <c r="DH247" s="173">
        <f t="shared" si="674"/>
        <v>0.93567251461988332</v>
      </c>
      <c r="DI247" s="545">
        <f t="shared" si="675"/>
        <v>496.96874999999983</v>
      </c>
      <c r="DJ247" s="528">
        <f t="shared" si="676"/>
        <v>0.21832358674463945</v>
      </c>
      <c r="DL247" s="173">
        <f t="shared" si="677"/>
        <v>1.6480869140280423</v>
      </c>
      <c r="DM247" s="173">
        <f t="shared" si="678"/>
        <v>1.6480869140280423</v>
      </c>
      <c r="DN247" s="173">
        <f t="shared" si="679"/>
        <v>1.433150800514599</v>
      </c>
      <c r="DP247" s="545">
        <f t="shared" si="680"/>
        <v>310</v>
      </c>
      <c r="DQ247" s="460">
        <f t="shared" si="681"/>
        <v>350</v>
      </c>
      <c r="DS247">
        <f t="shared" si="682"/>
        <v>310</v>
      </c>
      <c r="DT247">
        <f t="shared" si="683"/>
        <v>350</v>
      </c>
      <c r="DV247" s="5">
        <f t="shared" si="684"/>
        <v>2.8571428571428572</v>
      </c>
      <c r="DW247" s="5">
        <f t="shared" si="685"/>
        <v>0.5493623046760141</v>
      </c>
      <c r="DX247" s="5">
        <f t="shared" si="686"/>
        <v>2.3077805524668431</v>
      </c>
      <c r="DY247" s="173">
        <f t="shared" si="687"/>
        <v>0.19227680663660493</v>
      </c>
      <c r="EA247" s="5">
        <f t="shared" si="713"/>
        <v>1.0384287466436852</v>
      </c>
      <c r="EB247" s="5">
        <f t="shared" si="714"/>
        <v>0.53219473265488859</v>
      </c>
      <c r="EC247" s="5">
        <f t="shared" si="715"/>
        <v>0.27159158168382935</v>
      </c>
      <c r="ED247" s="5"/>
      <c r="EE247" s="173">
        <f t="shared" si="716"/>
        <v>0.41723711523092155</v>
      </c>
      <c r="EF247" s="173">
        <f t="shared" si="717"/>
        <v>0.85516665923701896</v>
      </c>
      <c r="EG247" s="173">
        <f t="shared" si="718"/>
        <v>0.20980415886589701</v>
      </c>
      <c r="EH247" s="173"/>
      <c r="EI247" s="528">
        <f t="shared" si="719"/>
        <v>3.4817362065244261E-3</v>
      </c>
      <c r="EJ247" s="528">
        <f t="shared" si="720"/>
        <v>0.61259390594422336</v>
      </c>
      <c r="EK247" s="528">
        <f t="shared" si="721"/>
        <v>4.3749999999999997E-2</v>
      </c>
      <c r="EL247" s="528">
        <f t="shared" si="722"/>
        <v>9.8686349999999978E-2</v>
      </c>
      <c r="EM247">
        <f t="shared" si="723"/>
        <v>1.6199999999999999E-2</v>
      </c>
      <c r="EN247" s="460">
        <f t="shared" si="724"/>
        <v>59.949999999999996</v>
      </c>
      <c r="EP247" s="460">
        <f t="shared" si="725"/>
        <v>774.71199215074773</v>
      </c>
      <c r="EQ247" s="173">
        <f t="shared" si="726"/>
        <v>0.217</v>
      </c>
      <c r="ER247" s="173">
        <f t="shared" si="688"/>
        <v>3.4390625000000001E-2</v>
      </c>
      <c r="ES247" s="528"/>
      <c r="EU247" s="460">
        <f t="shared" si="727"/>
        <v>251.39062499999997</v>
      </c>
      <c r="EV247" s="528">
        <f t="shared" si="728"/>
        <v>5.2226043097866387E-3</v>
      </c>
      <c r="EW247" s="528">
        <f t="shared" si="729"/>
        <v>2.1939300452118109E-2</v>
      </c>
      <c r="EX247" s="528">
        <f t="shared" si="730"/>
        <v>2.2008892538713274E-4</v>
      </c>
      <c r="EY247" s="528">
        <f t="shared" si="731"/>
        <v>0.3995677175706745</v>
      </c>
      <c r="EZ247" s="528"/>
      <c r="FA247" s="625">
        <f t="shared" si="732"/>
        <v>4.7533333333333325E-3</v>
      </c>
      <c r="FB247" s="460">
        <f t="shared" si="733"/>
        <v>431.70304459129972</v>
      </c>
      <c r="FC247" s="173">
        <f t="shared" si="734"/>
        <v>1.4578056617420474</v>
      </c>
      <c r="FD247" s="5">
        <f t="shared" si="735"/>
        <v>5.7039999999999997</v>
      </c>
      <c r="FE247" s="173">
        <f t="shared" si="736"/>
        <v>0.79644719075113124</v>
      </c>
      <c r="FF247" s="5">
        <f t="shared" si="737"/>
        <v>79.64471907511313</v>
      </c>
      <c r="FG247">
        <f t="shared" si="738"/>
        <v>31</v>
      </c>
      <c r="FI247" s="562">
        <f t="shared" si="689"/>
        <v>-50</v>
      </c>
    </row>
    <row r="248" spans="5:165">
      <c r="E248" s="170">
        <v>32</v>
      </c>
      <c r="F248" s="217">
        <f t="shared" si="690"/>
        <v>0.32</v>
      </c>
      <c r="G248" s="217">
        <f t="shared" ref="G248:G279" si="742">IF(PLOT_TYPE=1, E248/100*Iout2, min_I*EXP(Q248*rr/100))</f>
        <v>0.08</v>
      </c>
      <c r="H248" s="217">
        <f t="shared" ref="H248:H279" si="743">F248*Vout</f>
        <v>5.2479999999999993</v>
      </c>
      <c r="I248" s="217">
        <f t="shared" ref="I248:I279" si="744">Vout2*G248</f>
        <v>0.64</v>
      </c>
      <c r="J248" s="541">
        <f t="shared" ref="J248:J279" si="745">VIN_max-(F248/CG248/Nps+G248/CH248/(Nps/Nsec1sec2))*(Rdcr_pri+RON/1000)</f>
        <v>35.946677748010778</v>
      </c>
      <c r="K248" s="443">
        <f t="shared" ref="K248:K279" si="746">MAX((S248+Vfwd2+Rdcr_sec*F248/CG248)*Nps,(Vout2+Vfwd22+Rdcr_sec2*G248/CH248)*Nps/Nsec1sec2)</f>
        <v>17.123712564481423</v>
      </c>
      <c r="L248" s="172">
        <f t="shared" ref="L248:L279" si="747">MAX((Vout+Vfwd2+F248/CG248*Rdcr_sec)*Nps+J248, (Vout2+Vfwd22+G248/CH248*Rdcr_sec2)*Nps/Nsec1sec2+J248)</f>
        <v>53.070390312492201</v>
      </c>
      <c r="M248" s="443"/>
      <c r="N248" s="217">
        <f t="shared" ref="N248:N279" si="748">MAX((Vout+Vfwd2+F248/CG248*Rdcr_sec)*Nps/((Vout+Vfwd2+F248/CG248*Rdcr_sec)*Nps+J248), (Vout2+Vfwd22+G248/CH248*Rdcr_sec2)*Nps/Nsec1sec2/((Vout2+Vfwd22+G248/CH248*Rdcr_sec2)*Nps/Nsec1sec2+J248))</f>
        <v>0.32266038488981463</v>
      </c>
      <c r="O248" s="172">
        <f t="shared" ref="O248:O279" si="749">N248*J248*Isw_max*0.5*Efficiency*Pout/(Pout+Pout2)</f>
        <v>34.459516230798187</v>
      </c>
      <c r="P248" s="172">
        <f t="shared" ref="P248:P279" si="750">N248*J248*Isw_max*0.5*Efficiency*(Pout2/Pout_total)</f>
        <v>4.7148653974322334</v>
      </c>
      <c r="Q248" s="217">
        <f t="shared" si="626"/>
        <v>2.1011900140730604</v>
      </c>
      <c r="R248" s="217">
        <f t="shared" ref="R248:R279" si="751">O248/Vout2</f>
        <v>4.3074395288497733</v>
      </c>
      <c r="S248" s="217">
        <f t="shared" ref="S248:S279" si="752">MIN(Vout,O248/F248)</f>
        <v>16.399999999999999</v>
      </c>
      <c r="T248" s="217">
        <f t="shared" ref="T248:T279" si="753">MIN(2*(Vout*F248+Vout2*G248)/(Efficiency*J248*N248), Isw_max)</f>
        <v>1.0152976737206001</v>
      </c>
      <c r="U248" s="217">
        <f t="shared" si="630"/>
        <v>0.33893457887972461</v>
      </c>
      <c r="V248" s="217">
        <f t="shared" si="631"/>
        <v>0.71150295467577362</v>
      </c>
      <c r="W248" s="197">
        <f t="shared" si="632"/>
        <v>350</v>
      </c>
      <c r="X248" s="443">
        <f t="shared" si="691"/>
        <v>350</v>
      </c>
      <c r="Z248" s="217">
        <f t="shared" si="633"/>
        <v>2.7615640184960215</v>
      </c>
      <c r="AA248" s="173">
        <f t="shared" si="634"/>
        <v>1.9352560431719581</v>
      </c>
      <c r="AB248" s="173">
        <f t="shared" ref="AB248:AB279" si="754">0.5*AA248*Z248*Nps*W248/1000*(Pout/(Pout+Pout2))</f>
        <v>0.83359983788042946</v>
      </c>
      <c r="AC248" s="173"/>
      <c r="AD248" s="173">
        <f t="shared" si="636"/>
        <v>0.93437681459263322</v>
      </c>
      <c r="AE248" s="545">
        <f t="shared" ref="AE248:AE279" si="755">MAX(10, F248/(0.5*AD248/1000000*Isw_min*Nps)/1000*Pout_total/Pout)</f>
        <v>513.71137693444257</v>
      </c>
      <c r="AF248" s="528">
        <f t="shared" ref="AF248:AF279" si="756">0.5*AD248/1000000*Isw_min*Nps*W248*1000*(Pout/Pout_total)</f>
        <v>0.21802125673828113</v>
      </c>
      <c r="AH248" s="173">
        <f t="shared" ref="AH248:AH279" si="757">SQRT((H248+I248)/(0.5*L*Fsw_DCM))</f>
        <v>1.6744579791113072</v>
      </c>
      <c r="AI248" s="173">
        <f t="shared" ref="AI248:AI279" si="758">MAX(IF(F248&gt;AB248,T248,AH248),Isw_min)</f>
        <v>1.6744579791113072</v>
      </c>
      <c r="AJ248" s="173">
        <f t="shared" ref="AJ248:AJ279" si="759">IF(F248&gt;AF248, (AI248-Isw_min)/1.08*0.8+1.2, AE248*0.2/350+1)</f>
        <v>1.452684922798499</v>
      </c>
      <c r="AL248" s="545">
        <f t="shared" ref="AL248:AL279" si="760">F248*1000</f>
        <v>320</v>
      </c>
      <c r="AM248" s="460">
        <f t="shared" ref="AM248:AM279" si="761">IF(F248&gt;AF248, X248, AE248)</f>
        <v>350</v>
      </c>
      <c r="AO248">
        <f t="shared" si="644"/>
        <v>320</v>
      </c>
      <c r="AP248">
        <f t="shared" si="645"/>
        <v>350</v>
      </c>
      <c r="AR248" s="5">
        <f t="shared" si="616"/>
        <v>2.8571428571428572</v>
      </c>
      <c r="AS248" s="5">
        <f t="shared" si="739"/>
        <v>0.5589806070589548</v>
      </c>
      <c r="AT248" s="5">
        <f t="shared" si="740"/>
        <v>2.2981622500839025</v>
      </c>
      <c r="AU248" s="173">
        <f t="shared" si="741"/>
        <v>0.19564321247063418</v>
      </c>
      <c r="BA248" s="173">
        <f t="shared" si="692"/>
        <v>0.4276081938698299</v>
      </c>
      <c r="BB248" s="173">
        <f t="shared" si="693"/>
        <v>0.86703771955927977</v>
      </c>
      <c r="BC248" s="173">
        <f t="shared" si="694"/>
        <v>0.21271657108269273</v>
      </c>
      <c r="BD248" s="173"/>
      <c r="BE248" s="528">
        <f t="shared" si="695"/>
        <v>3.6569753492923609E-3</v>
      </c>
      <c r="BF248" s="528">
        <f t="shared" ref="BF248:BF279" si="762">0.5*L248*AI248*AM248*1000*Tfall</f>
        <v>0.58317090899355739</v>
      </c>
      <c r="BG248" s="528">
        <f t="shared" ref="BG248:BG279" si="763">Qg*Vdd*AM248*1000*0+Qg*J248*AM248*1000</f>
        <v>0.31453343029509429</v>
      </c>
      <c r="BH248" s="528">
        <f t="shared" si="696"/>
        <v>9.8576321477209308E-2</v>
      </c>
      <c r="BI248">
        <f t="shared" si="697"/>
        <v>1.6176004986604851E-2</v>
      </c>
      <c r="BJ248" s="460">
        <f t="shared" si="698"/>
        <v>330.70943528169914</v>
      </c>
      <c r="BK248">
        <f t="shared" ref="BK248:BK279" si="764">(BF248+BG248*0+BH248+BI248*0+BE248*(1+RdsonTC*(Ta-25)))/(1-BE248*RdsonTC*ThetaJA)</f>
        <v>0.68698851165681252</v>
      </c>
      <c r="BL248" s="460">
        <f t="shared" si="699"/>
        <v>1016.1136411017582</v>
      </c>
      <c r="BM248" s="173">
        <f t="shared" ref="BM248:BM279" si="765">Vfwd2*F248*(1+Diode_TC/1000*(Ta-25))</f>
        <v>0.19879999999999998</v>
      </c>
      <c r="BN248" s="173">
        <f t="shared" ref="BN248:BN279" si="766">Vfwd22*G248*(1+Diode_TC/1000*(Ta-25))</f>
        <v>3.5499999999999997E-2</v>
      </c>
      <c r="BQ248" s="460">
        <f t="shared" si="700"/>
        <v>234.29999999999998</v>
      </c>
      <c r="BR248" s="528">
        <f t="shared" si="701"/>
        <v>5.4854630239385407E-3</v>
      </c>
      <c r="BS248" s="528">
        <f t="shared" si="702"/>
        <v>2.2552632214156685E-2</v>
      </c>
      <c r="BT248" s="528">
        <f t="shared" si="703"/>
        <v>2.2624169806589135E-4</v>
      </c>
      <c r="BU248" s="528">
        <f t="shared" si="704"/>
        <v>0.41574376856575956</v>
      </c>
      <c r="BV248" s="528"/>
      <c r="BW248" s="625">
        <f t="shared" si="705"/>
        <v>4.9066666666666659E-3</v>
      </c>
      <c r="BX248" s="460">
        <f t="shared" si="706"/>
        <v>448.91477216858732</v>
      </c>
      <c r="BY248" s="173">
        <f t="shared" si="707"/>
        <v>1.6993284132703452</v>
      </c>
      <c r="BZ248" s="5">
        <f t="shared" si="708"/>
        <v>5.887999999999999</v>
      </c>
      <c r="CA248" s="173">
        <f t="shared" si="709"/>
        <v>0.77603072903787895</v>
      </c>
      <c r="CB248" s="5">
        <f t="shared" si="710"/>
        <v>77.60307290378789</v>
      </c>
      <c r="CC248">
        <f t="shared" si="711"/>
        <v>32</v>
      </c>
      <c r="CE248" s="562">
        <f t="shared" ref="CE248:CE279" si="767">IF(ABS(F248-Ioutmax_Vinmax)&lt;Iout/200, AM248, -50)</f>
        <v>-50</v>
      </c>
      <c r="CG248" s="173">
        <f t="shared" ref="CG248:CG279" si="768">MIN(SQRT(2*DT248*1000*Ls1_*CL248)/CW248, 1-DY248)</f>
        <v>0.40484866187797913</v>
      </c>
      <c r="CH248" s="173">
        <f t="shared" ref="CH248:CH279" si="769">MIN(SQRT(2*DT248*1000*Ls2_*CM248)/Vout2, 1-DY248)</f>
        <v>0.14406631852936871</v>
      </c>
      <c r="CI248" s="170">
        <v>32</v>
      </c>
      <c r="CJ248" s="217">
        <f t="shared" si="712"/>
        <v>0.32</v>
      </c>
      <c r="CK248" s="217">
        <f t="shared" si="654"/>
        <v>0.08</v>
      </c>
      <c r="CL248" s="217">
        <f t="shared" si="655"/>
        <v>5.2479999999999993</v>
      </c>
      <c r="CM248" s="217">
        <f t="shared" si="656"/>
        <v>0.64</v>
      </c>
      <c r="CN248" s="541">
        <f t="shared" si="657"/>
        <v>36</v>
      </c>
      <c r="CO248" s="443">
        <f t="shared" ref="CO248:CO279" si="770">(CW248+Vfwd2)*Nps</f>
        <v>17.099999999999998</v>
      </c>
      <c r="CP248" s="443">
        <f t="shared" ref="CP248:CP279" si="771">(Vout+Vfwd2)*Nps+CN248</f>
        <v>53.099999999999994</v>
      </c>
      <c r="CQ248" s="443"/>
      <c r="CR248" s="217">
        <f t="shared" si="660"/>
        <v>0.31818181818181812</v>
      </c>
      <c r="CS248" s="172">
        <f t="shared" si="661"/>
        <v>34.031620553359687</v>
      </c>
      <c r="CT248" s="172">
        <f t="shared" si="662"/>
        <v>4.6563192904656319</v>
      </c>
      <c r="CU248" s="217">
        <f t="shared" si="663"/>
        <v>2.0750988142292495</v>
      </c>
      <c r="CV248" s="217">
        <f t="shared" si="664"/>
        <v>4.2539525691699609</v>
      </c>
      <c r="CW248" s="217">
        <f t="shared" si="665"/>
        <v>16.399999999999999</v>
      </c>
      <c r="CX248" s="217">
        <f t="shared" si="666"/>
        <v>1.0280634920634919</v>
      </c>
      <c r="CY248" s="217">
        <f t="shared" si="667"/>
        <v>0.34268783068783065</v>
      </c>
      <c r="CZ248" s="217">
        <f t="shared" si="668"/>
        <v>0.72144806460595934</v>
      </c>
      <c r="DA248" s="197">
        <f t="shared" si="669"/>
        <v>350</v>
      </c>
      <c r="DB248" s="443">
        <f t="shared" si="670"/>
        <v>350</v>
      </c>
      <c r="DD248" s="217">
        <f t="shared" si="671"/>
        <v>2.7602905569007259</v>
      </c>
      <c r="DE248" s="173">
        <f t="shared" si="672"/>
        <v>1.937046004842615</v>
      </c>
      <c r="DF248" s="173">
        <f t="shared" si="673"/>
        <v>0.83398609309454497</v>
      </c>
      <c r="DG248" s="173"/>
      <c r="DH248" s="173">
        <f t="shared" si="674"/>
        <v>0.93567251461988332</v>
      </c>
      <c r="DI248" s="545">
        <f t="shared" si="675"/>
        <v>512.99999999999977</v>
      </c>
      <c r="DJ248" s="528">
        <f t="shared" si="676"/>
        <v>0.21832358674463945</v>
      </c>
      <c r="DL248" s="173">
        <f t="shared" si="677"/>
        <v>1.6744579791113072</v>
      </c>
      <c r="DM248" s="173">
        <f t="shared" si="678"/>
        <v>1.6744579791113072</v>
      </c>
      <c r="DN248" s="173">
        <f t="shared" si="679"/>
        <v>1.452684922798499</v>
      </c>
      <c r="DP248" s="545">
        <f t="shared" si="680"/>
        <v>320</v>
      </c>
      <c r="DQ248" s="460">
        <f t="shared" si="681"/>
        <v>350</v>
      </c>
      <c r="DS248">
        <f t="shared" si="682"/>
        <v>320</v>
      </c>
      <c r="DT248">
        <f t="shared" si="683"/>
        <v>350</v>
      </c>
      <c r="DV248" s="5">
        <f t="shared" si="684"/>
        <v>2.8571428571428572</v>
      </c>
      <c r="DW248" s="5">
        <f t="shared" si="685"/>
        <v>0.55815265970376904</v>
      </c>
      <c r="DX248" s="5">
        <f t="shared" si="686"/>
        <v>2.2989901974390881</v>
      </c>
      <c r="DY248" s="173">
        <f t="shared" si="687"/>
        <v>0.19535343089631915</v>
      </c>
      <c r="EA248" s="5">
        <f t="shared" si="713"/>
        <v>1.0890783603975984</v>
      </c>
      <c r="EB248" s="5">
        <f t="shared" si="714"/>
        <v>0.55815265970376904</v>
      </c>
      <c r="EC248" s="5">
        <f t="shared" si="715"/>
        <v>0.27928473509630392</v>
      </c>
      <c r="ED248" s="5"/>
      <c r="EE248" s="173">
        <f t="shared" si="716"/>
        <v>0.42729139551987438</v>
      </c>
      <c r="EF248" s="173">
        <f t="shared" si="717"/>
        <v>0.86719388715433898</v>
      </c>
      <c r="EG248" s="173">
        <f t="shared" si="718"/>
        <v>0.21275488479683208</v>
      </c>
      <c r="EH248" s="173"/>
      <c r="EI248" s="528">
        <f t="shared" si="719"/>
        <v>3.6515587337064351E-3</v>
      </c>
      <c r="EJ248" s="528">
        <f t="shared" si="720"/>
        <v>0.62239603083567274</v>
      </c>
      <c r="EK248" s="528">
        <f t="shared" si="721"/>
        <v>4.3749999999999997E-2</v>
      </c>
      <c r="EL248" s="528">
        <f t="shared" si="722"/>
        <v>9.8686349999999978E-2</v>
      </c>
      <c r="EM248">
        <f t="shared" si="723"/>
        <v>1.6199999999999999E-2</v>
      </c>
      <c r="EN248" s="460">
        <f t="shared" si="724"/>
        <v>59.949999999999996</v>
      </c>
      <c r="EP248" s="460">
        <f t="shared" si="725"/>
        <v>784.68393956937916</v>
      </c>
      <c r="EQ248" s="173">
        <f t="shared" si="726"/>
        <v>0.22399999999999998</v>
      </c>
      <c r="ER248" s="173">
        <f t="shared" ref="ER248:ER279" si="772">Vfwd22*CK248*(1+Diode_TC/1000*(Ta-25))</f>
        <v>3.5499999999999997E-2</v>
      </c>
      <c r="ES248" s="528"/>
      <c r="EU248" s="460">
        <f t="shared" si="727"/>
        <v>259.49999999999994</v>
      </c>
      <c r="EV248" s="528">
        <f t="shared" si="728"/>
        <v>5.4773381005596517E-3</v>
      </c>
      <c r="EW248" s="528">
        <f t="shared" si="729"/>
        <v>2.256075713753557E-2</v>
      </c>
      <c r="EX248" s="528">
        <f t="shared" si="730"/>
        <v>2.2632320502456642E-4</v>
      </c>
      <c r="EY248" s="528">
        <f t="shared" si="731"/>
        <v>0.41574376856575956</v>
      </c>
      <c r="EZ248" s="528"/>
      <c r="FA248" s="625">
        <f t="shared" si="732"/>
        <v>4.9066666666666659E-3</v>
      </c>
      <c r="FB248" s="460">
        <f t="shared" si="733"/>
        <v>448.914853675546</v>
      </c>
      <c r="FC248" s="173">
        <f t="shared" si="734"/>
        <v>1.4930987932449253</v>
      </c>
      <c r="FD248" s="5">
        <f t="shared" si="735"/>
        <v>5.887999999999999</v>
      </c>
      <c r="FE248" s="173">
        <f t="shared" si="736"/>
        <v>0.79771320841669424</v>
      </c>
      <c r="FF248" s="5">
        <f t="shared" si="737"/>
        <v>79.771320841669421</v>
      </c>
      <c r="FG248">
        <f t="shared" si="738"/>
        <v>32</v>
      </c>
      <c r="FI248" s="562">
        <f t="shared" si="689"/>
        <v>-50</v>
      </c>
    </row>
    <row r="249" spans="5:165">
      <c r="E249" s="170">
        <v>33</v>
      </c>
      <c r="F249" s="217">
        <f t="shared" ref="F249:F280" si="773">IF(PLOT_TYPE=1, E249/100*Iout_max, min_I*EXP(O249*rr/100))</f>
        <v>0.33</v>
      </c>
      <c r="G249" s="217">
        <f t="shared" si="742"/>
        <v>8.2500000000000004E-2</v>
      </c>
      <c r="H249" s="217">
        <f t="shared" si="743"/>
        <v>5.4119999999999999</v>
      </c>
      <c r="I249" s="217">
        <f t="shared" si="744"/>
        <v>0.66</v>
      </c>
      <c r="J249" s="541">
        <f t="shared" si="745"/>
        <v>35.945850997127238</v>
      </c>
      <c r="K249" s="443">
        <f t="shared" si="746"/>
        <v>17.124080223064936</v>
      </c>
      <c r="L249" s="172">
        <f t="shared" si="747"/>
        <v>53.069931220192174</v>
      </c>
      <c r="M249" s="443"/>
      <c r="N249" s="217">
        <f t="shared" si="748"/>
        <v>0.32267010394295603</v>
      </c>
      <c r="O249" s="172">
        <f t="shared" si="749"/>
        <v>34.45976163623213</v>
      </c>
      <c r="P249" s="172">
        <f t="shared" si="750"/>
        <v>4.7148989746183165</v>
      </c>
      <c r="Q249" s="217">
        <f t="shared" si="626"/>
        <v>2.1012049778190325</v>
      </c>
      <c r="R249" s="217">
        <f t="shared" si="751"/>
        <v>4.3074702045290163</v>
      </c>
      <c r="S249" s="217">
        <f t="shared" si="752"/>
        <v>16.399999999999999</v>
      </c>
      <c r="T249" s="217">
        <f t="shared" si="753"/>
        <v>1.0470182696233252</v>
      </c>
      <c r="U249" s="217">
        <f t="shared" si="630"/>
        <v>0.34953183432725032</v>
      </c>
      <c r="V249" s="217">
        <f t="shared" si="631"/>
        <v>0.73371644326664509</v>
      </c>
      <c r="W249" s="197">
        <f t="shared" si="632"/>
        <v>350</v>
      </c>
      <c r="X249" s="443">
        <f t="shared" si="691"/>
        <v>350</v>
      </c>
      <c r="Z249" s="217">
        <f t="shared" si="633"/>
        <v>2.7615836851335844</v>
      </c>
      <c r="AA249" s="173">
        <f t="shared" si="634"/>
        <v>1.9352282744486971</v>
      </c>
      <c r="AB249" s="173">
        <f t="shared" si="754"/>
        <v>0.83359381311498615</v>
      </c>
      <c r="AC249" s="173"/>
      <c r="AD249" s="173">
        <f t="shared" si="636"/>
        <v>0.93435675327245449</v>
      </c>
      <c r="AE249" s="545">
        <f t="shared" si="755"/>
        <v>529.77623190107136</v>
      </c>
      <c r="AF249" s="528">
        <f t="shared" si="756"/>
        <v>0.21801657576357275</v>
      </c>
      <c r="AH249" s="173">
        <f t="shared" si="757"/>
        <v>1.7004201161561725</v>
      </c>
      <c r="AI249" s="173">
        <f t="shared" si="758"/>
        <v>1.7004201161561725</v>
      </c>
      <c r="AJ249" s="173">
        <f t="shared" si="759"/>
        <v>1.4719161354243251</v>
      </c>
      <c r="AL249" s="545">
        <f t="shared" si="760"/>
        <v>330</v>
      </c>
      <c r="AM249" s="460">
        <f t="shared" si="761"/>
        <v>350</v>
      </c>
      <c r="AO249">
        <f t="shared" si="644"/>
        <v>330</v>
      </c>
      <c r="AP249">
        <f t="shared" si="645"/>
        <v>350</v>
      </c>
      <c r="AR249" s="5">
        <f t="shared" si="616"/>
        <v>2.8571428571428572</v>
      </c>
      <c r="AS249" s="5">
        <f t="shared" si="739"/>
        <v>0.56766054573321478</v>
      </c>
      <c r="AT249" s="5">
        <f t="shared" si="740"/>
        <v>2.2894823114096425</v>
      </c>
      <c r="AU249" s="173">
        <f t="shared" si="741"/>
        <v>0.19868119100662518</v>
      </c>
      <c r="BA249" s="173">
        <f t="shared" si="692"/>
        <v>0.43759664543275972</v>
      </c>
      <c r="BB249" s="173">
        <f t="shared" si="693"/>
        <v>0.87881664738187526</v>
      </c>
      <c r="BC249" s="173">
        <f t="shared" si="694"/>
        <v>0.21560637977374555</v>
      </c>
      <c r="BD249" s="173"/>
      <c r="BE249" s="528">
        <f t="shared" si="695"/>
        <v>3.8298164818800886E-3</v>
      </c>
      <c r="BF249" s="528">
        <f t="shared" si="762"/>
        <v>0.5922077346270701</v>
      </c>
      <c r="BG249" s="528">
        <f t="shared" si="763"/>
        <v>0.31452619622486333</v>
      </c>
      <c r="BH249" s="528">
        <f t="shared" si="696"/>
        <v>9.8574615990057499E-2</v>
      </c>
      <c r="BI249">
        <f t="shared" si="697"/>
        <v>1.6175632948707257E-2</v>
      </c>
      <c r="BJ249" s="460">
        <f t="shared" si="698"/>
        <v>330.70182917357062</v>
      </c>
      <c r="BK249">
        <f t="shared" si="764"/>
        <v>0.69627980738355399</v>
      </c>
      <c r="BL249" s="460">
        <f t="shared" si="699"/>
        <v>1025.3139962725784</v>
      </c>
      <c r="BM249" s="173">
        <f t="shared" si="765"/>
        <v>0.20501249999999999</v>
      </c>
      <c r="BN249" s="173">
        <f t="shared" si="766"/>
        <v>3.6609375E-2</v>
      </c>
      <c r="BQ249" s="460">
        <f t="shared" si="700"/>
        <v>241.62187499999999</v>
      </c>
      <c r="BR249" s="528">
        <f t="shared" si="701"/>
        <v>5.7447247228201324E-3</v>
      </c>
      <c r="BS249" s="528">
        <f t="shared" si="702"/>
        <v>2.3169560991465575E-2</v>
      </c>
      <c r="BT249" s="528">
        <f t="shared" si="703"/>
        <v>2.3243055499570298E-4</v>
      </c>
      <c r="BU249" s="528">
        <f t="shared" si="704"/>
        <v>0.43204670804647244</v>
      </c>
      <c r="BV249" s="528"/>
      <c r="BW249" s="625">
        <f t="shared" si="705"/>
        <v>5.0599999999999994E-3</v>
      </c>
      <c r="BX249" s="460">
        <f t="shared" si="706"/>
        <v>466.25342431575382</v>
      </c>
      <c r="BY249" s="173">
        <f t="shared" si="707"/>
        <v>1.7331892955883323</v>
      </c>
      <c r="BZ249" s="5">
        <f t="shared" si="708"/>
        <v>6.0720000000000001</v>
      </c>
      <c r="CA249" s="173">
        <f t="shared" si="709"/>
        <v>0.77794397676325799</v>
      </c>
      <c r="CB249" s="5">
        <f t="shared" si="710"/>
        <v>77.794397676325801</v>
      </c>
      <c r="CC249">
        <f t="shared" si="711"/>
        <v>33</v>
      </c>
      <c r="CE249" s="562">
        <f t="shared" si="767"/>
        <v>-50</v>
      </c>
      <c r="CG249" s="173">
        <f t="shared" si="768"/>
        <v>0.41112575964527259</v>
      </c>
      <c r="CH249" s="173">
        <f t="shared" si="769"/>
        <v>0.14630003806838859</v>
      </c>
      <c r="CI249" s="170">
        <v>33</v>
      </c>
      <c r="CJ249" s="217">
        <f t="shared" si="712"/>
        <v>0.33</v>
      </c>
      <c r="CK249" s="217">
        <f t="shared" si="654"/>
        <v>8.2500000000000004E-2</v>
      </c>
      <c r="CL249" s="217">
        <f t="shared" si="655"/>
        <v>5.4119999999999999</v>
      </c>
      <c r="CM249" s="217">
        <f t="shared" si="656"/>
        <v>0.66</v>
      </c>
      <c r="CN249" s="541">
        <f t="shared" si="657"/>
        <v>36</v>
      </c>
      <c r="CO249" s="443">
        <f t="shared" si="770"/>
        <v>17.099999999999998</v>
      </c>
      <c r="CP249" s="443">
        <f t="shared" si="771"/>
        <v>53.099999999999994</v>
      </c>
      <c r="CQ249" s="443"/>
      <c r="CR249" s="217">
        <f t="shared" si="660"/>
        <v>0.31818181818181812</v>
      </c>
      <c r="CS249" s="172">
        <f t="shared" si="661"/>
        <v>34.031620553359687</v>
      </c>
      <c r="CT249" s="172">
        <f t="shared" si="662"/>
        <v>4.6563192904656319</v>
      </c>
      <c r="CU249" s="217">
        <f t="shared" si="663"/>
        <v>2.0750988142292495</v>
      </c>
      <c r="CV249" s="217">
        <f t="shared" si="664"/>
        <v>4.2539525691699609</v>
      </c>
      <c r="CW249" s="217">
        <f t="shared" si="665"/>
        <v>16.399999999999999</v>
      </c>
      <c r="CX249" s="217">
        <f t="shared" si="666"/>
        <v>1.0601904761904763</v>
      </c>
      <c r="CY249" s="217">
        <f t="shared" si="667"/>
        <v>0.35339682539682543</v>
      </c>
      <c r="CZ249" s="217">
        <f t="shared" si="668"/>
        <v>0.74399331662489576</v>
      </c>
      <c r="DA249" s="197">
        <f t="shared" si="669"/>
        <v>350</v>
      </c>
      <c r="DB249" s="443">
        <f t="shared" si="670"/>
        <v>350</v>
      </c>
      <c r="DD249" s="217">
        <f t="shared" si="671"/>
        <v>2.7602905569007259</v>
      </c>
      <c r="DE249" s="173">
        <f t="shared" si="672"/>
        <v>1.937046004842615</v>
      </c>
      <c r="DF249" s="173">
        <f t="shared" si="673"/>
        <v>0.83398609309454497</v>
      </c>
      <c r="DG249" s="173"/>
      <c r="DH249" s="173">
        <f t="shared" si="674"/>
        <v>0.93567251461988332</v>
      </c>
      <c r="DI249" s="545">
        <f t="shared" si="675"/>
        <v>529.03124999999977</v>
      </c>
      <c r="DJ249" s="528">
        <f t="shared" si="676"/>
        <v>0.21832358674463945</v>
      </c>
      <c r="DL249" s="173">
        <f t="shared" si="677"/>
        <v>1.7004201161561725</v>
      </c>
      <c r="DM249" s="173">
        <f t="shared" si="678"/>
        <v>1.7004201161561725</v>
      </c>
      <c r="DN249" s="173">
        <f t="shared" si="679"/>
        <v>1.4719161354243251</v>
      </c>
      <c r="DP249" s="545">
        <f t="shared" si="680"/>
        <v>330</v>
      </c>
      <c r="DQ249" s="460">
        <f t="shared" si="681"/>
        <v>350</v>
      </c>
      <c r="DS249">
        <f t="shared" si="682"/>
        <v>330</v>
      </c>
      <c r="DT249">
        <f t="shared" si="683"/>
        <v>350</v>
      </c>
      <c r="DV249" s="5">
        <f t="shared" si="684"/>
        <v>2.8571428571428572</v>
      </c>
      <c r="DW249" s="5">
        <f t="shared" si="685"/>
        <v>0.56680670538539091</v>
      </c>
      <c r="DX249" s="5">
        <f t="shared" si="686"/>
        <v>2.2903361517574661</v>
      </c>
      <c r="DY249" s="173">
        <f t="shared" si="687"/>
        <v>0.19838234688488682</v>
      </c>
      <c r="EA249" s="5">
        <f t="shared" si="713"/>
        <v>1.1405256876657259</v>
      </c>
      <c r="EB249" s="5">
        <f t="shared" si="714"/>
        <v>0.58451941492868442</v>
      </c>
      <c r="EC249" s="5">
        <f t="shared" si="715"/>
        <v>0.28692822345628249</v>
      </c>
      <c r="ED249" s="5"/>
      <c r="EE249" s="173">
        <f t="shared" si="716"/>
        <v>0.43726741850192596</v>
      </c>
      <c r="EF249" s="173">
        <f t="shared" si="717"/>
        <v>0.87898050520258131</v>
      </c>
      <c r="EG249" s="173">
        <f t="shared" si="718"/>
        <v>0.21564658018599911</v>
      </c>
      <c r="EH249" s="173"/>
      <c r="EI249" s="528">
        <f t="shared" si="719"/>
        <v>3.8240559056667697E-3</v>
      </c>
      <c r="EJ249" s="528">
        <f t="shared" si="720"/>
        <v>0.63204615717524937</v>
      </c>
      <c r="EK249" s="528">
        <f t="shared" si="721"/>
        <v>4.3749999999999997E-2</v>
      </c>
      <c r="EL249" s="528">
        <f t="shared" si="722"/>
        <v>9.8686349999999978E-2</v>
      </c>
      <c r="EM249">
        <f t="shared" si="723"/>
        <v>1.6199999999999999E-2</v>
      </c>
      <c r="EN249" s="460">
        <f t="shared" si="724"/>
        <v>59.949999999999996</v>
      </c>
      <c r="EP249" s="460">
        <f t="shared" si="725"/>
        <v>794.50656308091607</v>
      </c>
      <c r="EQ249" s="173">
        <f t="shared" si="726"/>
        <v>0.23099999999999998</v>
      </c>
      <c r="ER249" s="173">
        <f t="shared" si="772"/>
        <v>3.6609375E-2</v>
      </c>
      <c r="ES249" s="528"/>
      <c r="EU249" s="460">
        <f t="shared" si="727"/>
        <v>267.609375</v>
      </c>
      <c r="EV249" s="528">
        <f t="shared" si="728"/>
        <v>5.7360838585001541E-3</v>
      </c>
      <c r="EW249" s="528">
        <f t="shared" si="729"/>
        <v>2.3178201855785553E-2</v>
      </c>
      <c r="EX249" s="528">
        <f t="shared" si="730"/>
        <v>2.3251723772958272E-4</v>
      </c>
      <c r="EY249" s="528">
        <f t="shared" si="731"/>
        <v>0.43204670804647244</v>
      </c>
      <c r="EZ249" s="528"/>
      <c r="FA249" s="625">
        <f t="shared" si="732"/>
        <v>5.0599999999999994E-3</v>
      </c>
      <c r="FB249" s="460">
        <f t="shared" si="733"/>
        <v>466.25351099848774</v>
      </c>
      <c r="FC249" s="173">
        <f t="shared" si="734"/>
        <v>1.528369449079404</v>
      </c>
      <c r="FD249" s="5">
        <f t="shared" si="735"/>
        <v>6.0720000000000001</v>
      </c>
      <c r="FE249" s="173">
        <f t="shared" si="736"/>
        <v>0.7989085321024062</v>
      </c>
      <c r="FF249" s="5">
        <f t="shared" si="737"/>
        <v>79.890853210240621</v>
      </c>
      <c r="FG249">
        <f t="shared" si="738"/>
        <v>33</v>
      </c>
      <c r="FI249" s="562">
        <f t="shared" si="689"/>
        <v>-50</v>
      </c>
    </row>
    <row r="250" spans="5:165">
      <c r="E250" s="170">
        <v>34</v>
      </c>
      <c r="F250" s="217">
        <f t="shared" si="773"/>
        <v>0.34</v>
      </c>
      <c r="G250" s="217">
        <f t="shared" si="742"/>
        <v>8.5000000000000006E-2</v>
      </c>
      <c r="H250" s="217">
        <f t="shared" si="743"/>
        <v>5.5759999999999996</v>
      </c>
      <c r="I250" s="217">
        <f t="shared" si="744"/>
        <v>0.68</v>
      </c>
      <c r="J250" s="541">
        <f t="shared" si="745"/>
        <v>35.945036680713159</v>
      </c>
      <c r="K250" s="443">
        <f t="shared" si="746"/>
        <v>17.124442352002795</v>
      </c>
      <c r="L250" s="172">
        <f t="shared" si="747"/>
        <v>53.069479032715954</v>
      </c>
      <c r="M250" s="443"/>
      <c r="N250" s="217">
        <f t="shared" si="748"/>
        <v>0.32267967698431749</v>
      </c>
      <c r="O250" s="172">
        <f t="shared" si="749"/>
        <v>34.460003321608738</v>
      </c>
      <c r="P250" s="172">
        <f t="shared" si="750"/>
        <v>4.7149320428138077</v>
      </c>
      <c r="Q250" s="217">
        <f t="shared" si="626"/>
        <v>2.1012197147322405</v>
      </c>
      <c r="R250" s="217">
        <f t="shared" si="751"/>
        <v>4.3075004152010923</v>
      </c>
      <c r="S250" s="217">
        <f t="shared" si="752"/>
        <v>16.399999999999999</v>
      </c>
      <c r="T250" s="217">
        <f t="shared" si="753"/>
        <v>1.0787385301853163</v>
      </c>
      <c r="U250" s="217">
        <f t="shared" si="630"/>
        <v>0.36012934072674219</v>
      </c>
      <c r="V250" s="217">
        <f t="shared" si="631"/>
        <v>0.75592898712464196</v>
      </c>
      <c r="W250" s="197">
        <f t="shared" si="632"/>
        <v>350</v>
      </c>
      <c r="X250" s="443">
        <f t="shared" si="691"/>
        <v>350</v>
      </c>
      <c r="Z250" s="217">
        <f t="shared" si="633"/>
        <v>2.7616030536480869</v>
      </c>
      <c r="AA250" s="173">
        <f t="shared" si="634"/>
        <v>1.9352009229019498</v>
      </c>
      <c r="AB250" s="173">
        <f t="shared" si="754"/>
        <v>0.83358787788976851</v>
      </c>
      <c r="AC250" s="173"/>
      <c r="AD250" s="173">
        <f t="shared" si="636"/>
        <v>0.9343369945199248</v>
      </c>
      <c r="AE250" s="545">
        <f t="shared" si="755"/>
        <v>545.84159997008896</v>
      </c>
      <c r="AF250" s="528">
        <f t="shared" si="756"/>
        <v>0.21801196538798251</v>
      </c>
      <c r="AH250" s="173">
        <f t="shared" si="757"/>
        <v>1.7259917783835526</v>
      </c>
      <c r="AI250" s="173">
        <f t="shared" si="758"/>
        <v>1.7259917783835526</v>
      </c>
      <c r="AJ250" s="173">
        <f t="shared" si="759"/>
        <v>1.4908581074446068</v>
      </c>
      <c r="AL250" s="545">
        <f t="shared" si="760"/>
        <v>340</v>
      </c>
      <c r="AM250" s="460">
        <f t="shared" si="761"/>
        <v>350</v>
      </c>
      <c r="AO250">
        <f t="shared" si="644"/>
        <v>340</v>
      </c>
      <c r="AP250">
        <f t="shared" si="645"/>
        <v>350</v>
      </c>
      <c r="AR250" s="5">
        <f t="shared" si="616"/>
        <v>2.8571428571428572</v>
      </c>
      <c r="AS250" s="5">
        <f t="shared" si="739"/>
        <v>0.57621032702175279</v>
      </c>
      <c r="AT250" s="5">
        <f t="shared" si="740"/>
        <v>2.2809325301211043</v>
      </c>
      <c r="AU250" s="173">
        <f t="shared" si="741"/>
        <v>0.20167361445761348</v>
      </c>
      <c r="BA250" s="173">
        <f t="shared" si="692"/>
        <v>0.44750988852191148</v>
      </c>
      <c r="BB250" s="173">
        <f t="shared" si="693"/>
        <v>0.8903655275733553</v>
      </c>
      <c r="BC250" s="173">
        <f t="shared" si="694"/>
        <v>0.21843974923248741</v>
      </c>
      <c r="BD250" s="173"/>
      <c r="BE250" s="528">
        <f t="shared" si="695"/>
        <v>4.0053020064978731E-3</v>
      </c>
      <c r="BF250" s="528">
        <f t="shared" si="762"/>
        <v>0.60110849198902727</v>
      </c>
      <c r="BG250" s="528">
        <f t="shared" si="763"/>
        <v>0.31451907095624015</v>
      </c>
      <c r="BH250" s="528">
        <f t="shared" si="696"/>
        <v>9.8572936168135727E-2</v>
      </c>
      <c r="BI250">
        <f t="shared" si="697"/>
        <v>1.617526650632092E-2</v>
      </c>
      <c r="BJ250" s="460">
        <f t="shared" si="698"/>
        <v>330.69433746256107</v>
      </c>
      <c r="BK250">
        <f t="shared" si="764"/>
        <v>0.70543950008846712</v>
      </c>
      <c r="BL250" s="460">
        <f t="shared" si="699"/>
        <v>1034.3810676262219</v>
      </c>
      <c r="BM250" s="173">
        <f t="shared" si="765"/>
        <v>0.21122499999999997</v>
      </c>
      <c r="BN250" s="173">
        <f t="shared" si="766"/>
        <v>3.7718750000000002E-2</v>
      </c>
      <c r="BQ250" s="460">
        <f t="shared" si="700"/>
        <v>248.94374999999997</v>
      </c>
      <c r="BR250" s="528">
        <f t="shared" si="701"/>
        <v>6.0079530097468092E-3</v>
      </c>
      <c r="BS250" s="528">
        <f t="shared" si="702"/>
        <v>2.3782523180729376E-2</v>
      </c>
      <c r="BT250" s="528">
        <f t="shared" si="703"/>
        <v>2.385796202237599E-4</v>
      </c>
      <c r="BU250" s="528">
        <f t="shared" si="704"/>
        <v>0.44847364032874348</v>
      </c>
      <c r="BV250" s="528"/>
      <c r="BW250" s="625">
        <f t="shared" si="705"/>
        <v>5.2133333333333328E-3</v>
      </c>
      <c r="BX250" s="460">
        <f t="shared" si="706"/>
        <v>483.71602947277677</v>
      </c>
      <c r="BY250" s="173">
        <f t="shared" si="707"/>
        <v>1.7670408470989987</v>
      </c>
      <c r="BZ250" s="5">
        <f t="shared" si="708"/>
        <v>6.2559999999999993</v>
      </c>
      <c r="CA250" s="173">
        <f t="shared" si="709"/>
        <v>0.77975422526510862</v>
      </c>
      <c r="CB250" s="5">
        <f t="shared" si="710"/>
        <v>77.975422526510869</v>
      </c>
      <c r="CC250">
        <f t="shared" si="711"/>
        <v>34</v>
      </c>
      <c r="CE250" s="562">
        <f t="shared" si="767"/>
        <v>-50</v>
      </c>
      <c r="CG250" s="173">
        <f t="shared" si="768"/>
        <v>0.41730844882821949</v>
      </c>
      <c r="CH250" s="173">
        <f t="shared" si="769"/>
        <v>0.14850016209761649</v>
      </c>
      <c r="CI250" s="170">
        <v>34</v>
      </c>
      <c r="CJ250" s="217">
        <f t="shared" si="712"/>
        <v>0.34</v>
      </c>
      <c r="CK250" s="217">
        <f t="shared" si="654"/>
        <v>8.5000000000000006E-2</v>
      </c>
      <c r="CL250" s="217">
        <f t="shared" si="655"/>
        <v>5.5759999999999996</v>
      </c>
      <c r="CM250" s="217">
        <f t="shared" si="656"/>
        <v>0.68</v>
      </c>
      <c r="CN250" s="541">
        <f t="shared" si="657"/>
        <v>36</v>
      </c>
      <c r="CO250" s="443">
        <f t="shared" si="770"/>
        <v>17.099999999999998</v>
      </c>
      <c r="CP250" s="443">
        <f t="shared" si="771"/>
        <v>53.099999999999994</v>
      </c>
      <c r="CQ250" s="443"/>
      <c r="CR250" s="217">
        <f t="shared" si="660"/>
        <v>0.31818181818181812</v>
      </c>
      <c r="CS250" s="172">
        <f t="shared" si="661"/>
        <v>34.031620553359687</v>
      </c>
      <c r="CT250" s="172">
        <f t="shared" si="662"/>
        <v>4.6563192904656319</v>
      </c>
      <c r="CU250" s="217">
        <f t="shared" si="663"/>
        <v>2.0750988142292495</v>
      </c>
      <c r="CV250" s="217">
        <f t="shared" si="664"/>
        <v>4.2539525691699609</v>
      </c>
      <c r="CW250" s="217">
        <f t="shared" si="665"/>
        <v>16.399999999999999</v>
      </c>
      <c r="CX250" s="217">
        <f t="shared" si="666"/>
        <v>1.0923174603174604</v>
      </c>
      <c r="CY250" s="217">
        <f t="shared" si="667"/>
        <v>0.3641058201058201</v>
      </c>
      <c r="CZ250" s="217">
        <f t="shared" si="668"/>
        <v>0.76653856864383196</v>
      </c>
      <c r="DA250" s="197">
        <f t="shared" si="669"/>
        <v>350</v>
      </c>
      <c r="DB250" s="443">
        <f t="shared" si="670"/>
        <v>350</v>
      </c>
      <c r="DD250" s="217">
        <f t="shared" si="671"/>
        <v>2.7602905569007259</v>
      </c>
      <c r="DE250" s="173">
        <f t="shared" si="672"/>
        <v>1.937046004842615</v>
      </c>
      <c r="DF250" s="173">
        <f t="shared" si="673"/>
        <v>0.83398609309454497</v>
      </c>
      <c r="DG250" s="173"/>
      <c r="DH250" s="173">
        <f t="shared" si="674"/>
        <v>0.93567251461988332</v>
      </c>
      <c r="DI250" s="545">
        <f t="shared" si="675"/>
        <v>545.06249999999977</v>
      </c>
      <c r="DJ250" s="528">
        <f t="shared" si="676"/>
        <v>0.21832358674463945</v>
      </c>
      <c r="DL250" s="173">
        <f t="shared" si="677"/>
        <v>1.7259917783835526</v>
      </c>
      <c r="DM250" s="173">
        <f t="shared" si="678"/>
        <v>1.7259917783835526</v>
      </c>
      <c r="DN250" s="173">
        <f t="shared" si="679"/>
        <v>1.4908581074446068</v>
      </c>
      <c r="DP250" s="545">
        <f t="shared" si="680"/>
        <v>340</v>
      </c>
      <c r="DQ250" s="460">
        <f t="shared" si="681"/>
        <v>350</v>
      </c>
      <c r="DS250">
        <f t="shared" si="682"/>
        <v>340</v>
      </c>
      <c r="DT250">
        <f t="shared" si="683"/>
        <v>350</v>
      </c>
      <c r="DV250" s="5">
        <f t="shared" si="684"/>
        <v>2.8571428571428572</v>
      </c>
      <c r="DW250" s="5">
        <f t="shared" si="685"/>
        <v>0.57533059279451759</v>
      </c>
      <c r="DX250" s="5">
        <f t="shared" si="686"/>
        <v>2.2818122643483396</v>
      </c>
      <c r="DY250" s="173">
        <f t="shared" si="687"/>
        <v>0.20136570747808116</v>
      </c>
      <c r="EA250" s="5">
        <f t="shared" si="713"/>
        <v>1.1927585460374146</v>
      </c>
      <c r="EB250" s="5">
        <f t="shared" si="714"/>
        <v>0.611288754844175</v>
      </c>
      <c r="EC250" s="5">
        <f t="shared" si="715"/>
        <v>0.29452280523162822</v>
      </c>
      <c r="ED250" s="5"/>
      <c r="EE250" s="173">
        <f t="shared" si="716"/>
        <v>0.44716813818384427</v>
      </c>
      <c r="EF250" s="173">
        <f t="shared" si="717"/>
        <v>0.89053721382605189</v>
      </c>
      <c r="EG250" s="173">
        <f t="shared" si="718"/>
        <v>0.21848187025000698</v>
      </c>
      <c r="EH250" s="173"/>
      <c r="EI250" s="528">
        <f t="shared" si="719"/>
        <v>3.9991868761361125E-3</v>
      </c>
      <c r="EJ250" s="528">
        <f t="shared" si="720"/>
        <v>0.64155114402516644</v>
      </c>
      <c r="EK250" s="528">
        <f t="shared" si="721"/>
        <v>4.3749999999999997E-2</v>
      </c>
      <c r="EL250" s="528">
        <f t="shared" si="722"/>
        <v>9.8686349999999978E-2</v>
      </c>
      <c r="EM250">
        <f t="shared" si="723"/>
        <v>1.6199999999999999E-2</v>
      </c>
      <c r="EN250" s="460">
        <f t="shared" si="724"/>
        <v>59.949999999999996</v>
      </c>
      <c r="EP250" s="460">
        <f t="shared" si="725"/>
        <v>804.18668090130257</v>
      </c>
      <c r="EQ250" s="173">
        <f t="shared" si="726"/>
        <v>0.23799999999999999</v>
      </c>
      <c r="ER250" s="173">
        <f t="shared" si="772"/>
        <v>3.7718750000000002E-2</v>
      </c>
      <c r="ES250" s="528"/>
      <c r="EU250" s="460">
        <f t="shared" si="727"/>
        <v>275.71875</v>
      </c>
      <c r="EV250" s="528">
        <f t="shared" si="728"/>
        <v>5.9987803142041692E-3</v>
      </c>
      <c r="EW250" s="528">
        <f t="shared" si="729"/>
        <v>2.3791695876272015E-2</v>
      </c>
      <c r="EX250" s="528">
        <f t="shared" si="730"/>
        <v>2.3867163813970444E-4</v>
      </c>
      <c r="EY250" s="528">
        <f t="shared" si="731"/>
        <v>0.44847364032874348</v>
      </c>
      <c r="EZ250" s="528"/>
      <c r="FA250" s="625">
        <f t="shared" si="732"/>
        <v>5.2133333333333328E-3</v>
      </c>
      <c r="FB250" s="460">
        <f t="shared" si="733"/>
        <v>483.71612149069273</v>
      </c>
      <c r="FC250" s="173">
        <f t="shared" si="734"/>
        <v>1.5636215523919952</v>
      </c>
      <c r="FD250" s="5">
        <f t="shared" si="735"/>
        <v>6.2559999999999993</v>
      </c>
      <c r="FE250" s="173">
        <f t="shared" si="736"/>
        <v>0.80003871774156521</v>
      </c>
      <c r="FF250" s="5">
        <f t="shared" si="737"/>
        <v>80.003871774156522</v>
      </c>
      <c r="FG250">
        <f t="shared" si="738"/>
        <v>34</v>
      </c>
      <c r="FI250" s="562">
        <f t="shared" si="689"/>
        <v>-50</v>
      </c>
    </row>
    <row r="251" spans="5:165">
      <c r="E251" s="170">
        <v>35</v>
      </c>
      <c r="F251" s="217">
        <f t="shared" si="773"/>
        <v>0.35</v>
      </c>
      <c r="G251" s="217">
        <f t="shared" si="742"/>
        <v>8.7499999999999994E-2</v>
      </c>
      <c r="H251" s="217">
        <f t="shared" si="743"/>
        <v>5.7399999999999993</v>
      </c>
      <c r="I251" s="217">
        <f t="shared" si="744"/>
        <v>0.7</v>
      </c>
      <c r="J251" s="541">
        <f t="shared" si="745"/>
        <v>35.944234254044801</v>
      </c>
      <c r="K251" s="443">
        <f t="shared" si="746"/>
        <v>17.124799193535271</v>
      </c>
      <c r="L251" s="172">
        <f t="shared" si="747"/>
        <v>53.069033447580068</v>
      </c>
      <c r="M251" s="443"/>
      <c r="N251" s="217">
        <f t="shared" si="748"/>
        <v>0.32268911041032267</v>
      </c>
      <c r="O251" s="172">
        <f t="shared" si="749"/>
        <v>34.46024144989395</v>
      </c>
      <c r="P251" s="172">
        <f t="shared" si="750"/>
        <v>4.714964624316246</v>
      </c>
      <c r="Q251" s="217">
        <f t="shared" si="626"/>
        <v>2.1012342347496311</v>
      </c>
      <c r="R251" s="217">
        <f t="shared" si="751"/>
        <v>4.3075301812367437</v>
      </c>
      <c r="S251" s="217">
        <f t="shared" si="752"/>
        <v>16.399999999999999</v>
      </c>
      <c r="T251" s="217">
        <f t="shared" si="753"/>
        <v>1.1104584604349725</v>
      </c>
      <c r="U251" s="217">
        <f t="shared" si="630"/>
        <v>0.37072709439400992</v>
      </c>
      <c r="V251" s="217">
        <f t="shared" si="631"/>
        <v>0.77814060034351462</v>
      </c>
      <c r="W251" s="197">
        <f t="shared" si="632"/>
        <v>350</v>
      </c>
      <c r="X251" s="443">
        <f t="shared" si="691"/>
        <v>350</v>
      </c>
      <c r="Z251" s="217">
        <f t="shared" si="633"/>
        <v>2.7616221370995149</v>
      </c>
      <c r="AA251" s="173">
        <f t="shared" si="634"/>
        <v>1.935173970256221</v>
      </c>
      <c r="AB251" s="173">
        <f t="shared" si="754"/>
        <v>0.83358202828224059</v>
      </c>
      <c r="AC251" s="173"/>
      <c r="AD251" s="173">
        <f t="shared" si="636"/>
        <v>0.93431752508024224</v>
      </c>
      <c r="AE251" s="545">
        <f t="shared" si="755"/>
        <v>561.90747353787594</v>
      </c>
      <c r="AF251" s="528">
        <f t="shared" si="756"/>
        <v>0.21800742251872324</v>
      </c>
      <c r="AH251" s="173">
        <f t="shared" si="757"/>
        <v>1.7511900715418263</v>
      </c>
      <c r="AI251" s="173">
        <f t="shared" si="758"/>
        <v>1.7511900715418263</v>
      </c>
      <c r="AJ251" s="173">
        <f t="shared" si="759"/>
        <v>1.5095235097840687</v>
      </c>
      <c r="AL251" s="545">
        <f t="shared" si="760"/>
        <v>350</v>
      </c>
      <c r="AM251" s="460">
        <f t="shared" si="761"/>
        <v>350</v>
      </c>
      <c r="AO251">
        <f t="shared" si="644"/>
        <v>350</v>
      </c>
      <c r="AP251">
        <f t="shared" si="645"/>
        <v>350</v>
      </c>
      <c r="AR251" s="5">
        <f t="shared" si="616"/>
        <v>2.8571428571428572</v>
      </c>
      <c r="AS251" s="5">
        <f t="shared" si="739"/>
        <v>0.58463565282760699</v>
      </c>
      <c r="AT251" s="5">
        <f t="shared" si="740"/>
        <v>2.2725072043152501</v>
      </c>
      <c r="AU251" s="173">
        <f t="shared" si="741"/>
        <v>0.20462247848966245</v>
      </c>
      <c r="BA251" s="173">
        <f t="shared" si="692"/>
        <v>0.45735068019881819</v>
      </c>
      <c r="BB251" s="173">
        <f t="shared" si="693"/>
        <v>0.90169428164090104</v>
      </c>
      <c r="BC251" s="173">
        <f t="shared" si="694"/>
        <v>0.22121911357330568</v>
      </c>
      <c r="BD251" s="173"/>
      <c r="BE251" s="528">
        <f t="shared" si="695"/>
        <v>4.1833928935664337E-3</v>
      </c>
      <c r="BF251" s="528">
        <f t="shared" si="762"/>
        <v>0.60987914189818415</v>
      </c>
      <c r="BG251" s="528">
        <f t="shared" si="763"/>
        <v>0.31451204972289198</v>
      </c>
      <c r="BH251" s="528">
        <f t="shared" si="696"/>
        <v>9.8571280887113019E-2</v>
      </c>
      <c r="BI251">
        <f t="shared" si="697"/>
        <v>1.6174905414320161E-2</v>
      </c>
      <c r="BJ251" s="460">
        <f t="shared" si="698"/>
        <v>330.68695513721212</v>
      </c>
      <c r="BK251">
        <f t="shared" si="764"/>
        <v>0.71447349995101772</v>
      </c>
      <c r="BL251" s="460">
        <f t="shared" si="699"/>
        <v>1043.3207708160758</v>
      </c>
      <c r="BM251" s="173">
        <f t="shared" si="765"/>
        <v>0.21743749999999995</v>
      </c>
      <c r="BN251" s="173">
        <f t="shared" si="766"/>
        <v>3.8828124999999998E-2</v>
      </c>
      <c r="BQ251" s="460">
        <f t="shared" si="700"/>
        <v>256.26562499999994</v>
      </c>
      <c r="BR251" s="528">
        <f t="shared" si="701"/>
        <v>6.2750893403496497E-3</v>
      </c>
      <c r="BS251" s="528">
        <f t="shared" si="702"/>
        <v>2.4391577326317016E-2</v>
      </c>
      <c r="BT251" s="528">
        <f t="shared" si="703"/>
        <v>2.4468948105079558E-4</v>
      </c>
      <c r="BU251" s="528">
        <f t="shared" si="704"/>
        <v>0.4650218193901316</v>
      </c>
      <c r="BV251" s="528"/>
      <c r="BW251" s="625">
        <f t="shared" si="705"/>
        <v>5.3666666666666663E-3</v>
      </c>
      <c r="BX251" s="460">
        <f t="shared" si="706"/>
        <v>501.29984220451576</v>
      </c>
      <c r="BY251" s="173">
        <f t="shared" si="707"/>
        <v>1.8008862380205914</v>
      </c>
      <c r="BZ251" s="5">
        <f t="shared" si="708"/>
        <v>6.4399999999999995</v>
      </c>
      <c r="CA251" s="173">
        <f t="shared" si="709"/>
        <v>0.7814693485620603</v>
      </c>
      <c r="CB251" s="5">
        <f t="shared" si="710"/>
        <v>78.14693485620603</v>
      </c>
      <c r="CC251">
        <f t="shared" si="711"/>
        <v>35</v>
      </c>
      <c r="CE251" s="562">
        <f t="shared" si="767"/>
        <v>-50</v>
      </c>
      <c r="CG251" s="173">
        <f t="shared" si="768"/>
        <v>0.42340086523639375</v>
      </c>
      <c r="CH251" s="173">
        <f t="shared" si="769"/>
        <v>0.15066816235431027</v>
      </c>
      <c r="CI251" s="170">
        <v>35</v>
      </c>
      <c r="CJ251" s="217">
        <f t="shared" si="712"/>
        <v>0.35</v>
      </c>
      <c r="CK251" s="217">
        <f t="shared" si="654"/>
        <v>8.7499999999999994E-2</v>
      </c>
      <c r="CL251" s="217">
        <f t="shared" si="655"/>
        <v>5.7399999999999993</v>
      </c>
      <c r="CM251" s="217">
        <f t="shared" si="656"/>
        <v>0.7</v>
      </c>
      <c r="CN251" s="541">
        <f t="shared" si="657"/>
        <v>36</v>
      </c>
      <c r="CO251" s="443">
        <f t="shared" si="770"/>
        <v>17.099999999999998</v>
      </c>
      <c r="CP251" s="443">
        <f t="shared" si="771"/>
        <v>53.099999999999994</v>
      </c>
      <c r="CQ251" s="443"/>
      <c r="CR251" s="217">
        <f t="shared" si="660"/>
        <v>0.31818181818181812</v>
      </c>
      <c r="CS251" s="172">
        <f t="shared" si="661"/>
        <v>34.031620553359687</v>
      </c>
      <c r="CT251" s="172">
        <f t="shared" si="662"/>
        <v>4.6563192904656319</v>
      </c>
      <c r="CU251" s="217">
        <f t="shared" si="663"/>
        <v>2.0750988142292495</v>
      </c>
      <c r="CV251" s="217">
        <f t="shared" si="664"/>
        <v>4.2539525691699609</v>
      </c>
      <c r="CW251" s="217">
        <f t="shared" si="665"/>
        <v>16.399999999999999</v>
      </c>
      <c r="CX251" s="217">
        <f t="shared" si="666"/>
        <v>1.1244444444444446</v>
      </c>
      <c r="CY251" s="217">
        <f t="shared" si="667"/>
        <v>0.37481481481481488</v>
      </c>
      <c r="CZ251" s="217">
        <f t="shared" si="668"/>
        <v>0.78908382066276817</v>
      </c>
      <c r="DA251" s="197">
        <f t="shared" si="669"/>
        <v>350</v>
      </c>
      <c r="DB251" s="443">
        <f t="shared" si="670"/>
        <v>350</v>
      </c>
      <c r="DD251" s="217">
        <f t="shared" si="671"/>
        <v>2.7602905569007259</v>
      </c>
      <c r="DE251" s="173">
        <f t="shared" si="672"/>
        <v>1.937046004842615</v>
      </c>
      <c r="DF251" s="173">
        <f t="shared" si="673"/>
        <v>0.83398609309454497</v>
      </c>
      <c r="DG251" s="173"/>
      <c r="DH251" s="173">
        <f t="shared" si="674"/>
        <v>0.93567251461988332</v>
      </c>
      <c r="DI251" s="545">
        <f t="shared" si="675"/>
        <v>561.09374999999977</v>
      </c>
      <c r="DJ251" s="528">
        <f t="shared" si="676"/>
        <v>0.21832358674463945</v>
      </c>
      <c r="DL251" s="173">
        <f t="shared" si="677"/>
        <v>1.7511900715418263</v>
      </c>
      <c r="DM251" s="173">
        <f t="shared" si="678"/>
        <v>1.7511900715418263</v>
      </c>
      <c r="DN251" s="173">
        <f t="shared" si="679"/>
        <v>1.5095235097840687</v>
      </c>
      <c r="DP251" s="545">
        <f t="shared" si="680"/>
        <v>350</v>
      </c>
      <c r="DQ251" s="460">
        <f t="shared" si="681"/>
        <v>350</v>
      </c>
      <c r="DS251">
        <f t="shared" si="682"/>
        <v>350</v>
      </c>
      <c r="DT251">
        <f t="shared" si="683"/>
        <v>350</v>
      </c>
      <c r="DV251" s="5">
        <f t="shared" si="684"/>
        <v>2.8571428571428572</v>
      </c>
      <c r="DW251" s="5">
        <f t="shared" si="685"/>
        <v>0.58373002384727546</v>
      </c>
      <c r="DX251" s="5">
        <f t="shared" si="686"/>
        <v>2.2734128332955819</v>
      </c>
      <c r="DY251" s="173">
        <f t="shared" si="687"/>
        <v>0.2043055083465464</v>
      </c>
      <c r="EA251" s="5">
        <f t="shared" si="713"/>
        <v>1.2457652947960149</v>
      </c>
      <c r="EB251" s="5">
        <f t="shared" si="714"/>
        <v>0.63845471358295747</v>
      </c>
      <c r="EC251" s="5">
        <f t="shared" si="715"/>
        <v>0.30206920516473695</v>
      </c>
      <c r="ED251" s="5"/>
      <c r="EE251" s="173">
        <f t="shared" si="716"/>
        <v>0.45699631372063326</v>
      </c>
      <c r="EF251" s="173">
        <f t="shared" si="717"/>
        <v>0.90187393324564769</v>
      </c>
      <c r="EG251" s="173">
        <f t="shared" si="718"/>
        <v>0.2212631887876696</v>
      </c>
      <c r="EH251" s="173"/>
      <c r="EI251" s="528">
        <f t="shared" si="719"/>
        <v>4.1769126150849488E-3</v>
      </c>
      <c r="EJ251" s="528">
        <f t="shared" si="720"/>
        <v>0.65091734959209679</v>
      </c>
      <c r="EK251" s="528">
        <f t="shared" si="721"/>
        <v>4.3749999999999997E-2</v>
      </c>
      <c r="EL251" s="528">
        <f t="shared" si="722"/>
        <v>9.8686349999999978E-2</v>
      </c>
      <c r="EM251">
        <f t="shared" si="723"/>
        <v>1.6199999999999999E-2</v>
      </c>
      <c r="EN251" s="460">
        <f t="shared" si="724"/>
        <v>59.949999999999996</v>
      </c>
      <c r="EP251" s="460">
        <f t="shared" si="725"/>
        <v>813.73061220718171</v>
      </c>
      <c r="EQ251" s="173">
        <f t="shared" si="726"/>
        <v>0.24499999999999997</v>
      </c>
      <c r="ER251" s="173">
        <f t="shared" si="772"/>
        <v>3.8828124999999998E-2</v>
      </c>
      <c r="ES251" s="528"/>
      <c r="EU251" s="460">
        <f t="shared" si="727"/>
        <v>283.828125</v>
      </c>
      <c r="EV251" s="528">
        <f t="shared" si="728"/>
        <v>6.2653689226274236E-3</v>
      </c>
      <c r="EW251" s="528">
        <f t="shared" si="729"/>
        <v>2.4401297744039249E-2</v>
      </c>
      <c r="EX251" s="528">
        <f t="shared" si="730"/>
        <v>2.4478699356243955E-4</v>
      </c>
      <c r="EY251" s="528">
        <f t="shared" si="731"/>
        <v>0.4650218193901316</v>
      </c>
      <c r="EZ251" s="528"/>
      <c r="FA251" s="625">
        <f t="shared" si="732"/>
        <v>5.3666666666666663E-3</v>
      </c>
      <c r="FB251" s="460">
        <f t="shared" si="733"/>
        <v>501.29993971702737</v>
      </c>
      <c r="FC251" s="173">
        <f t="shared" si="734"/>
        <v>1.5988586769242092</v>
      </c>
      <c r="FD251" s="5">
        <f t="shared" si="735"/>
        <v>6.4399999999999995</v>
      </c>
      <c r="FE251" s="173">
        <f t="shared" si="736"/>
        <v>0.801108746753593</v>
      </c>
      <c r="FF251" s="5">
        <f t="shared" si="737"/>
        <v>80.110874675359298</v>
      </c>
      <c r="FG251">
        <f t="shared" si="738"/>
        <v>35</v>
      </c>
      <c r="FI251" s="562">
        <f t="shared" si="689"/>
        <v>-50</v>
      </c>
    </row>
    <row r="252" spans="5:165">
      <c r="E252" s="170">
        <v>36</v>
      </c>
      <c r="F252" s="217">
        <f t="shared" si="773"/>
        <v>0.36</v>
      </c>
      <c r="G252" s="217">
        <f t="shared" si="742"/>
        <v>0.09</v>
      </c>
      <c r="H252" s="217">
        <f t="shared" si="743"/>
        <v>5.903999999999999</v>
      </c>
      <c r="I252" s="217">
        <f t="shared" si="744"/>
        <v>0.72</v>
      </c>
      <c r="J252" s="541">
        <f t="shared" si="745"/>
        <v>35.943443211045427</v>
      </c>
      <c r="K252" s="443">
        <f t="shared" si="746"/>
        <v>17.125150972716206</v>
      </c>
      <c r="L252" s="172">
        <f t="shared" si="747"/>
        <v>53.068594183761633</v>
      </c>
      <c r="M252" s="443"/>
      <c r="N252" s="217">
        <f t="shared" si="748"/>
        <v>0.32269841016358225</v>
      </c>
      <c r="O252" s="172">
        <f t="shared" si="749"/>
        <v>34.460476172491589</v>
      </c>
      <c r="P252" s="172">
        <f t="shared" si="750"/>
        <v>4.7149967398412045</v>
      </c>
      <c r="Q252" s="217">
        <f t="shared" si="626"/>
        <v>2.1012485471031459</v>
      </c>
      <c r="R252" s="217">
        <f t="shared" si="751"/>
        <v>4.3075595215614486</v>
      </c>
      <c r="S252" s="217">
        <f t="shared" si="752"/>
        <v>16.399999999999999</v>
      </c>
      <c r="T252" s="217">
        <f t="shared" si="753"/>
        <v>1.142178065183542</v>
      </c>
      <c r="U252" s="217">
        <f t="shared" si="630"/>
        <v>0.38132509180396518</v>
      </c>
      <c r="V252" s="217">
        <f t="shared" si="631"/>
        <v>0.80035129640837177</v>
      </c>
      <c r="W252" s="197">
        <f t="shared" si="632"/>
        <v>350</v>
      </c>
      <c r="X252" s="443">
        <f t="shared" si="691"/>
        <v>350</v>
      </c>
      <c r="Z252" s="217">
        <f t="shared" si="633"/>
        <v>2.7616409476212764</v>
      </c>
      <c r="AA252" s="173">
        <f t="shared" si="634"/>
        <v>1.9351473995326223</v>
      </c>
      <c r="AB252" s="173">
        <f t="shared" si="754"/>
        <v>0.83357626064816215</v>
      </c>
      <c r="AC252" s="173"/>
      <c r="AD252" s="173">
        <f t="shared" si="636"/>
        <v>0.93429833263900597</v>
      </c>
      <c r="AE252" s="545">
        <f t="shared" si="755"/>
        <v>577.97384532917181</v>
      </c>
      <c r="AF252" s="528">
        <f t="shared" si="756"/>
        <v>0.21800294428243475</v>
      </c>
      <c r="AH252" s="173">
        <f t="shared" si="757"/>
        <v>1.7760308877622915</v>
      </c>
      <c r="AI252" s="173">
        <f t="shared" si="758"/>
        <v>1.7760308877622915</v>
      </c>
      <c r="AJ252" s="173">
        <f t="shared" si="759"/>
        <v>1.5279241143918207</v>
      </c>
      <c r="AL252" s="545">
        <f t="shared" si="760"/>
        <v>360</v>
      </c>
      <c r="AM252" s="460">
        <f t="shared" si="761"/>
        <v>350</v>
      </c>
      <c r="AO252">
        <f t="shared" si="644"/>
        <v>360</v>
      </c>
      <c r="AP252">
        <f t="shared" si="645"/>
        <v>350</v>
      </c>
      <c r="AR252" s="5">
        <f t="shared" si="616"/>
        <v>2.8571428571428572</v>
      </c>
      <c r="AS252" s="5">
        <f t="shared" si="739"/>
        <v>0.59294182051535349</v>
      </c>
      <c r="AT252" s="5">
        <f t="shared" si="740"/>
        <v>2.2642010366275036</v>
      </c>
      <c r="AU252" s="173">
        <f t="shared" si="741"/>
        <v>0.2075296371803737</v>
      </c>
      <c r="BA252" s="173">
        <f t="shared" si="692"/>
        <v>0.4671216008168001</v>
      </c>
      <c r="BB252" s="173">
        <f t="shared" si="693"/>
        <v>0.91281212824924762</v>
      </c>
      <c r="BC252" s="173">
        <f t="shared" si="694"/>
        <v>0.22394673447721855</v>
      </c>
      <c r="BD252" s="173"/>
      <c r="BE252" s="528">
        <f t="shared" si="695"/>
        <v>4.3640517989929992E-3</v>
      </c>
      <c r="BF252" s="528">
        <f t="shared" si="762"/>
        <v>0.61852522226566931</v>
      </c>
      <c r="BG252" s="528">
        <f t="shared" si="763"/>
        <v>0.31450512809664749</v>
      </c>
      <c r="BH252" s="528">
        <f t="shared" si="696"/>
        <v>9.856964910242727E-2</v>
      </c>
      <c r="BI252">
        <f t="shared" si="697"/>
        <v>1.6174549444970442E-2</v>
      </c>
      <c r="BJ252" s="460">
        <f t="shared" si="698"/>
        <v>330.67967754161793</v>
      </c>
      <c r="BK252">
        <f t="shared" si="764"/>
        <v>0.72338729650554334</v>
      </c>
      <c r="BL252" s="460">
        <f t="shared" si="699"/>
        <v>1052.1386007087076</v>
      </c>
      <c r="BM252" s="173">
        <f t="shared" si="765"/>
        <v>0.22364999999999999</v>
      </c>
      <c r="BN252" s="173">
        <f t="shared" si="766"/>
        <v>3.9937499999999994E-2</v>
      </c>
      <c r="BQ252" s="460">
        <f t="shared" si="700"/>
        <v>263.58749999999998</v>
      </c>
      <c r="BR252" s="528">
        <f t="shared" si="701"/>
        <v>6.546077698489498E-3</v>
      </c>
      <c r="BS252" s="528">
        <f t="shared" si="702"/>
        <v>2.4996779444367626E-2</v>
      </c>
      <c r="BT252" s="528">
        <f t="shared" si="703"/>
        <v>2.5076069941504914E-4</v>
      </c>
      <c r="BU252" s="528">
        <f t="shared" si="704"/>
        <v>0.48168863706143028</v>
      </c>
      <c r="BV252" s="528"/>
      <c r="BW252" s="625">
        <f t="shared" si="705"/>
        <v>5.519999999999998E-3</v>
      </c>
      <c r="BX252" s="460">
        <f t="shared" si="706"/>
        <v>519.00225490370246</v>
      </c>
      <c r="BY252" s="173">
        <f t="shared" si="707"/>
        <v>1.8347283556124101</v>
      </c>
      <c r="BZ252" s="5">
        <f t="shared" si="708"/>
        <v>6.6239999999999988</v>
      </c>
      <c r="CA252" s="173">
        <f t="shared" si="709"/>
        <v>0.78309643264580553</v>
      </c>
      <c r="CB252" s="5">
        <f t="shared" si="710"/>
        <v>78.309643264580558</v>
      </c>
      <c r="CC252">
        <f t="shared" si="711"/>
        <v>36</v>
      </c>
      <c r="CE252" s="562">
        <f t="shared" si="767"/>
        <v>-50</v>
      </c>
      <c r="CG252" s="173">
        <f t="shared" si="768"/>
        <v>0.42940685125232808</v>
      </c>
      <c r="CH252" s="173">
        <f t="shared" si="769"/>
        <v>0.15280540615904667</v>
      </c>
      <c r="CI252" s="170">
        <v>36</v>
      </c>
      <c r="CJ252" s="217">
        <f t="shared" si="712"/>
        <v>0.36</v>
      </c>
      <c r="CK252" s="217">
        <f t="shared" si="654"/>
        <v>0.09</v>
      </c>
      <c r="CL252" s="217">
        <f t="shared" si="655"/>
        <v>5.903999999999999</v>
      </c>
      <c r="CM252" s="217">
        <f t="shared" si="656"/>
        <v>0.72</v>
      </c>
      <c r="CN252" s="541">
        <f t="shared" si="657"/>
        <v>36</v>
      </c>
      <c r="CO252" s="443">
        <f t="shared" si="770"/>
        <v>17.099999999999998</v>
      </c>
      <c r="CP252" s="443">
        <f t="shared" si="771"/>
        <v>53.099999999999994</v>
      </c>
      <c r="CQ252" s="443"/>
      <c r="CR252" s="217">
        <f t="shared" si="660"/>
        <v>0.31818181818181812</v>
      </c>
      <c r="CS252" s="172">
        <f t="shared" si="661"/>
        <v>34.031620553359687</v>
      </c>
      <c r="CT252" s="172">
        <f t="shared" si="662"/>
        <v>4.6563192904656319</v>
      </c>
      <c r="CU252" s="217">
        <f t="shared" si="663"/>
        <v>2.0750988142292495</v>
      </c>
      <c r="CV252" s="217">
        <f t="shared" si="664"/>
        <v>4.2539525691699609</v>
      </c>
      <c r="CW252" s="217">
        <f t="shared" si="665"/>
        <v>16.399999999999999</v>
      </c>
      <c r="CX252" s="217">
        <f t="shared" si="666"/>
        <v>1.1565714285714286</v>
      </c>
      <c r="CY252" s="217">
        <f t="shared" si="667"/>
        <v>0.38552380952380955</v>
      </c>
      <c r="CZ252" s="217">
        <f t="shared" si="668"/>
        <v>0.81162907268170437</v>
      </c>
      <c r="DA252" s="197">
        <f t="shared" si="669"/>
        <v>350</v>
      </c>
      <c r="DB252" s="443">
        <f t="shared" si="670"/>
        <v>350</v>
      </c>
      <c r="DD252" s="217">
        <f t="shared" si="671"/>
        <v>2.7602905569007259</v>
      </c>
      <c r="DE252" s="173">
        <f t="shared" si="672"/>
        <v>1.937046004842615</v>
      </c>
      <c r="DF252" s="173">
        <f t="shared" si="673"/>
        <v>0.83398609309454497</v>
      </c>
      <c r="DG252" s="173"/>
      <c r="DH252" s="173">
        <f t="shared" si="674"/>
        <v>0.93567251461988332</v>
      </c>
      <c r="DI252" s="545">
        <f t="shared" si="675"/>
        <v>577.12499999999977</v>
      </c>
      <c r="DJ252" s="528">
        <f t="shared" si="676"/>
        <v>0.21832358674463945</v>
      </c>
      <c r="DL252" s="173">
        <f t="shared" si="677"/>
        <v>1.7760308877622915</v>
      </c>
      <c r="DM252" s="173">
        <f t="shared" si="678"/>
        <v>1.7760308877622915</v>
      </c>
      <c r="DN252" s="173">
        <f t="shared" si="679"/>
        <v>1.5279241143918207</v>
      </c>
      <c r="DP252" s="545">
        <f t="shared" si="680"/>
        <v>360</v>
      </c>
      <c r="DQ252" s="460">
        <f t="shared" si="681"/>
        <v>350</v>
      </c>
      <c r="DS252">
        <f t="shared" si="682"/>
        <v>360</v>
      </c>
      <c r="DT252">
        <f t="shared" si="683"/>
        <v>350</v>
      </c>
      <c r="DV252" s="5">
        <f t="shared" si="684"/>
        <v>2.8571428571428572</v>
      </c>
      <c r="DW252" s="5">
        <f t="shared" si="685"/>
        <v>0.59201029592076382</v>
      </c>
      <c r="DX252" s="5">
        <f t="shared" si="686"/>
        <v>2.2651325612220932</v>
      </c>
      <c r="DY252" s="173">
        <f t="shared" si="687"/>
        <v>0.20720360357226733</v>
      </c>
      <c r="EA252" s="5">
        <f t="shared" si="713"/>
        <v>1.2995347959236283</v>
      </c>
      <c r="EB252" s="5">
        <f t="shared" si="714"/>
        <v>0.66601158291085938</v>
      </c>
      <c r="EC252" s="5">
        <f t="shared" si="715"/>
        <v>0.30956811670035267</v>
      </c>
      <c r="ED252" s="5"/>
      <c r="EE252" s="173">
        <f t="shared" si="716"/>
        <v>0.46675452745403662</v>
      </c>
      <c r="EF252" s="173">
        <f t="shared" si="717"/>
        <v>0.91299988090345874</v>
      </c>
      <c r="EG252" s="173">
        <f t="shared" si="718"/>
        <v>0.22399279718004511</v>
      </c>
      <c r="EH252" s="173"/>
      <c r="EI252" s="528">
        <f t="shared" si="719"/>
        <v>4.3571957779768205E-3</v>
      </c>
      <c r="EJ252" s="528">
        <f t="shared" si="720"/>
        <v>0.66015068098124363</v>
      </c>
      <c r="EK252" s="528">
        <f t="shared" si="721"/>
        <v>4.3749999999999997E-2</v>
      </c>
      <c r="EL252" s="528">
        <f t="shared" si="722"/>
        <v>9.8686349999999978E-2</v>
      </c>
      <c r="EM252">
        <f t="shared" si="723"/>
        <v>1.6199999999999999E-2</v>
      </c>
      <c r="EN252" s="460">
        <f t="shared" si="724"/>
        <v>59.949999999999996</v>
      </c>
      <c r="EP252" s="460">
        <f t="shared" si="725"/>
        <v>823.14422675922037</v>
      </c>
      <c r="EQ252" s="173">
        <f t="shared" si="726"/>
        <v>0.252</v>
      </c>
      <c r="ER252" s="173">
        <f t="shared" si="772"/>
        <v>3.9937499999999994E-2</v>
      </c>
      <c r="ES252" s="528"/>
      <c r="EU252" s="460">
        <f t="shared" si="727"/>
        <v>291.9375</v>
      </c>
      <c r="EV252" s="528">
        <f t="shared" si="728"/>
        <v>6.5357936669652303E-3</v>
      </c>
      <c r="EW252" s="528">
        <f t="shared" si="729"/>
        <v>2.5007063475891895E-2</v>
      </c>
      <c r="EX252" s="528">
        <f t="shared" si="730"/>
        <v>2.5086386594270414E-4</v>
      </c>
      <c r="EY252" s="528">
        <f t="shared" si="731"/>
        <v>0.48168863706143028</v>
      </c>
      <c r="EZ252" s="528"/>
      <c r="FA252" s="625">
        <f t="shared" si="732"/>
        <v>5.519999999999998E-3</v>
      </c>
      <c r="FB252" s="460">
        <f t="shared" si="733"/>
        <v>519.00235807023012</v>
      </c>
      <c r="FC252" s="173">
        <f t="shared" si="734"/>
        <v>1.6340840848294504</v>
      </c>
      <c r="FD252" s="5">
        <f t="shared" si="735"/>
        <v>6.6239999999999988</v>
      </c>
      <c r="FE252" s="173">
        <f t="shared" si="736"/>
        <v>0.80212309925115055</v>
      </c>
      <c r="FF252" s="5">
        <f t="shared" si="737"/>
        <v>80.212309925115051</v>
      </c>
      <c r="FG252">
        <f t="shared" si="738"/>
        <v>36</v>
      </c>
      <c r="FI252" s="562">
        <f t="shared" si="689"/>
        <v>-50</v>
      </c>
    </row>
    <row r="253" spans="5:165">
      <c r="E253" s="170">
        <v>37</v>
      </c>
      <c r="F253" s="217">
        <f t="shared" si="773"/>
        <v>0.37</v>
      </c>
      <c r="G253" s="217">
        <f t="shared" si="742"/>
        <v>9.2499999999999999E-2</v>
      </c>
      <c r="H253" s="217">
        <f t="shared" si="743"/>
        <v>6.0679999999999996</v>
      </c>
      <c r="I253" s="217">
        <f t="shared" si="744"/>
        <v>0.74</v>
      </c>
      <c r="J253" s="541">
        <f t="shared" si="745"/>
        <v>35.942663080552187</v>
      </c>
      <c r="K253" s="443">
        <f t="shared" si="746"/>
        <v>17.125497899073114</v>
      </c>
      <c r="L253" s="172">
        <f t="shared" si="747"/>
        <v>53.068160979625304</v>
      </c>
      <c r="M253" s="443"/>
      <c r="N253" s="217">
        <f t="shared" si="748"/>
        <v>0.32270758177673015</v>
      </c>
      <c r="O253" s="172">
        <f t="shared" si="749"/>
        <v>34.460707630360211</v>
      </c>
      <c r="P253" s="172">
        <f t="shared" si="750"/>
        <v>4.7150284086751038</v>
      </c>
      <c r="Q253" s="217">
        <f t="shared" si="626"/>
        <v>2.1012626603878179</v>
      </c>
      <c r="R253" s="217">
        <f t="shared" si="751"/>
        <v>4.3075884537950264</v>
      </c>
      <c r="S253" s="217">
        <f t="shared" si="752"/>
        <v>16.399999999999999</v>
      </c>
      <c r="T253" s="217">
        <f t="shared" si="753"/>
        <v>1.1738973490403186</v>
      </c>
      <c r="U253" s="217">
        <f t="shared" si="630"/>
        <v>0.39192332957949005</v>
      </c>
      <c r="V253" s="217">
        <f t="shared" si="631"/>
        <v>0.82256108823827212</v>
      </c>
      <c r="W253" s="197">
        <f t="shared" si="632"/>
        <v>350</v>
      </c>
      <c r="X253" s="443">
        <f t="shared" si="691"/>
        <v>350</v>
      </c>
      <c r="Z253" s="217">
        <f t="shared" si="633"/>
        <v>2.7616594965097039</v>
      </c>
      <c r="AA253" s="173">
        <f t="shared" si="634"/>
        <v>1.935121194923628</v>
      </c>
      <c r="AB253" s="173">
        <f t="shared" si="754"/>
        <v>0.83357057159470571</v>
      </c>
      <c r="AC253" s="173"/>
      <c r="AD253" s="173">
        <f t="shared" si="636"/>
        <v>0.93427940573137869</v>
      </c>
      <c r="AE253" s="545">
        <f t="shared" si="755"/>
        <v>594.04070837409847</v>
      </c>
      <c r="AF253" s="528">
        <f t="shared" si="756"/>
        <v>0.21799852800398836</v>
      </c>
      <c r="AH253" s="173">
        <f t="shared" si="757"/>
        <v>1.8005290227887918</v>
      </c>
      <c r="AI253" s="173">
        <f t="shared" si="758"/>
        <v>1.8005290227887918</v>
      </c>
      <c r="AJ253" s="173">
        <f t="shared" si="759"/>
        <v>1.5460708810781172</v>
      </c>
      <c r="AL253" s="545">
        <f t="shared" si="760"/>
        <v>370</v>
      </c>
      <c r="AM253" s="460">
        <f t="shared" si="761"/>
        <v>350</v>
      </c>
      <c r="AO253">
        <f t="shared" si="644"/>
        <v>370</v>
      </c>
      <c r="AP253">
        <f t="shared" si="645"/>
        <v>350</v>
      </c>
      <c r="AR253" s="5">
        <f t="shared" si="616"/>
        <v>2.8571428571428572</v>
      </c>
      <c r="AS253" s="5">
        <f t="shared" si="739"/>
        <v>0.60113376198760959</v>
      </c>
      <c r="AT253" s="5">
        <f t="shared" si="740"/>
        <v>2.2560090951552478</v>
      </c>
      <c r="AU253" s="173">
        <f t="shared" si="741"/>
        <v>0.21039681669566335</v>
      </c>
      <c r="BA253" s="173">
        <f t="shared" si="692"/>
        <v>0.4768250699279119</v>
      </c>
      <c r="BB253" s="173">
        <f t="shared" si="693"/>
        <v>0.92372765105476962</v>
      </c>
      <c r="BC253" s="173">
        <f t="shared" si="694"/>
        <v>0.22662471783409696</v>
      </c>
      <c r="BD253" s="173"/>
      <c r="BE253" s="528">
        <f t="shared" si="695"/>
        <v>4.5472429462351614E-3</v>
      </c>
      <c r="BF253" s="528">
        <f t="shared" si="762"/>
        <v>0.62705188894584496</v>
      </c>
      <c r="BG253" s="528">
        <f t="shared" si="763"/>
        <v>0.31449830195483158</v>
      </c>
      <c r="BH253" s="528">
        <f t="shared" si="696"/>
        <v>9.8568039841579885E-2</v>
      </c>
      <c r="BI253">
        <f t="shared" si="697"/>
        <v>1.6174198386248482E-2</v>
      </c>
      <c r="BJ253" s="460">
        <f t="shared" si="698"/>
        <v>330.67250034108008</v>
      </c>
      <c r="BK253">
        <f t="shared" si="764"/>
        <v>0.73218599933184425</v>
      </c>
      <c r="BL253" s="460">
        <f t="shared" si="699"/>
        <v>1060.8396720747398</v>
      </c>
      <c r="BM253" s="173">
        <f t="shared" si="765"/>
        <v>0.2298625</v>
      </c>
      <c r="BN253" s="173">
        <f t="shared" si="766"/>
        <v>4.1046874999999997E-2</v>
      </c>
      <c r="BQ253" s="460">
        <f t="shared" si="700"/>
        <v>270.90937500000001</v>
      </c>
      <c r="BR253" s="528">
        <f t="shared" si="701"/>
        <v>6.820864419352742E-3</v>
      </c>
      <c r="BS253" s="528">
        <f t="shared" si="702"/>
        <v>2.5598183199694865E-2</v>
      </c>
      <c r="BT253" s="528">
        <f t="shared" si="703"/>
        <v>2.5679381366692031E-4</v>
      </c>
      <c r="BU253" s="528">
        <f t="shared" si="704"/>
        <v>0.49847161245350941</v>
      </c>
      <c r="BV253" s="528"/>
      <c r="BW253" s="625">
        <f t="shared" si="705"/>
        <v>5.6733333333333332E-3</v>
      </c>
      <c r="BX253" s="460">
        <f t="shared" si="706"/>
        <v>536.82078721955725</v>
      </c>
      <c r="BY253" s="173">
        <f t="shared" si="707"/>
        <v>1.8685698342942971</v>
      </c>
      <c r="BZ253" s="5">
        <f t="shared" si="708"/>
        <v>6.8079999999999998</v>
      </c>
      <c r="CA253" s="173">
        <f t="shared" si="709"/>
        <v>0.78464187230894622</v>
      </c>
      <c r="CB253" s="5">
        <f t="shared" si="710"/>
        <v>78.464187230894623</v>
      </c>
      <c r="CC253">
        <f t="shared" si="711"/>
        <v>37</v>
      </c>
      <c r="CE253" s="562">
        <f t="shared" si="767"/>
        <v>-50</v>
      </c>
      <c r="CG253" s="173">
        <f t="shared" si="768"/>
        <v>0.43532998417516711</v>
      </c>
      <c r="CH253" s="173">
        <f t="shared" si="769"/>
        <v>0.15491316650187498</v>
      </c>
      <c r="CI253" s="170">
        <v>37</v>
      </c>
      <c r="CJ253" s="217">
        <f t="shared" si="712"/>
        <v>0.37</v>
      </c>
      <c r="CK253" s="217">
        <f t="shared" si="654"/>
        <v>9.2499999999999999E-2</v>
      </c>
      <c r="CL253" s="217">
        <f t="shared" si="655"/>
        <v>6.0679999999999996</v>
      </c>
      <c r="CM253" s="217">
        <f t="shared" si="656"/>
        <v>0.74</v>
      </c>
      <c r="CN253" s="541">
        <f t="shared" si="657"/>
        <v>36</v>
      </c>
      <c r="CO253" s="443">
        <f t="shared" si="770"/>
        <v>17.099999999999998</v>
      </c>
      <c r="CP253" s="443">
        <f t="shared" si="771"/>
        <v>53.099999999999994</v>
      </c>
      <c r="CQ253" s="443"/>
      <c r="CR253" s="217">
        <f t="shared" si="660"/>
        <v>0.31818181818181812</v>
      </c>
      <c r="CS253" s="172">
        <f t="shared" si="661"/>
        <v>34.031620553359687</v>
      </c>
      <c r="CT253" s="172">
        <f t="shared" si="662"/>
        <v>4.6563192904656319</v>
      </c>
      <c r="CU253" s="217">
        <f t="shared" si="663"/>
        <v>2.0750988142292495</v>
      </c>
      <c r="CV253" s="217">
        <f t="shared" si="664"/>
        <v>4.2539525691699609</v>
      </c>
      <c r="CW253" s="217">
        <f t="shared" si="665"/>
        <v>16.399999999999999</v>
      </c>
      <c r="CX253" s="217">
        <f t="shared" si="666"/>
        <v>1.1886984126984128</v>
      </c>
      <c r="CY253" s="217">
        <f t="shared" si="667"/>
        <v>0.39623280423280433</v>
      </c>
      <c r="CZ253" s="217">
        <f t="shared" si="668"/>
        <v>0.83417432470064068</v>
      </c>
      <c r="DA253" s="197">
        <f t="shared" si="669"/>
        <v>350</v>
      </c>
      <c r="DB253" s="443">
        <f t="shared" si="670"/>
        <v>350</v>
      </c>
      <c r="DD253" s="217">
        <f t="shared" si="671"/>
        <v>2.7602905569007259</v>
      </c>
      <c r="DE253" s="173">
        <f t="shared" si="672"/>
        <v>1.937046004842615</v>
      </c>
      <c r="DF253" s="173">
        <f t="shared" si="673"/>
        <v>0.83398609309454497</v>
      </c>
      <c r="DG253" s="173"/>
      <c r="DH253" s="173">
        <f t="shared" si="674"/>
        <v>0.93567251461988332</v>
      </c>
      <c r="DI253" s="545">
        <f t="shared" si="675"/>
        <v>593.15624999999977</v>
      </c>
      <c r="DJ253" s="528">
        <f t="shared" si="676"/>
        <v>0.21832358674463945</v>
      </c>
      <c r="DL253" s="173">
        <f t="shared" si="677"/>
        <v>1.8005290227887918</v>
      </c>
      <c r="DM253" s="173">
        <f t="shared" si="678"/>
        <v>1.8005290227887918</v>
      </c>
      <c r="DN253" s="173">
        <f t="shared" si="679"/>
        <v>1.5460708810781172</v>
      </c>
      <c r="DP253" s="545">
        <f t="shared" si="680"/>
        <v>370</v>
      </c>
      <c r="DQ253" s="460">
        <f t="shared" si="681"/>
        <v>350</v>
      </c>
      <c r="DS253">
        <f t="shared" si="682"/>
        <v>370</v>
      </c>
      <c r="DT253">
        <f t="shared" si="683"/>
        <v>350</v>
      </c>
      <c r="DV253" s="5">
        <f t="shared" si="684"/>
        <v>2.8571428571428572</v>
      </c>
      <c r="DW253" s="5">
        <f t="shared" si="685"/>
        <v>0.60017634092959726</v>
      </c>
      <c r="DX253" s="5">
        <f t="shared" si="686"/>
        <v>2.2569665162132599</v>
      </c>
      <c r="DY253" s="173">
        <f t="shared" si="687"/>
        <v>0.21006171932535903</v>
      </c>
      <c r="EA253" s="5">
        <f t="shared" si="713"/>
        <v>1.3540563789265305</v>
      </c>
      <c r="EB253" s="5">
        <f t="shared" si="714"/>
        <v>0.69395389419984688</v>
      </c>
      <c r="EC253" s="5">
        <f t="shared" si="715"/>
        <v>0.31702020417551058</v>
      </c>
      <c r="ED253" s="5"/>
      <c r="EE253" s="173">
        <f t="shared" si="716"/>
        <v>0.47644520082753933</v>
      </c>
      <c r="EF253" s="173">
        <f t="shared" si="717"/>
        <v>0.92392363929240728</v>
      </c>
      <c r="EG253" s="173">
        <f t="shared" si="718"/>
        <v>0.22667280103156617</v>
      </c>
      <c r="EH253" s="173"/>
      <c r="EI253" s="528">
        <f t="shared" si="719"/>
        <v>4.5400005878318854E-3</v>
      </c>
      <c r="EJ253" s="528">
        <f t="shared" si="720"/>
        <v>0.66925663777059385</v>
      </c>
      <c r="EK253" s="528">
        <f t="shared" si="721"/>
        <v>4.3749999999999997E-2</v>
      </c>
      <c r="EL253" s="528">
        <f t="shared" si="722"/>
        <v>9.8686349999999978E-2</v>
      </c>
      <c r="EM253">
        <f t="shared" si="723"/>
        <v>1.6199999999999999E-2</v>
      </c>
      <c r="EN253" s="460">
        <f t="shared" si="724"/>
        <v>59.949999999999996</v>
      </c>
      <c r="EP253" s="460">
        <f t="shared" si="725"/>
        <v>832.43298835842563</v>
      </c>
      <c r="EQ253" s="173">
        <f t="shared" si="726"/>
        <v>0.25900000000000001</v>
      </c>
      <c r="ER253" s="173">
        <f t="shared" si="772"/>
        <v>4.1046874999999997E-2</v>
      </c>
      <c r="ES253" s="528"/>
      <c r="EU253" s="460">
        <f t="shared" si="727"/>
        <v>300.046875</v>
      </c>
      <c r="EV253" s="528">
        <f t="shared" si="728"/>
        <v>6.8100008817478285E-3</v>
      </c>
      <c r="EW253" s="528">
        <f t="shared" si="729"/>
        <v>2.5609046737299791E-2</v>
      </c>
      <c r="EX253" s="528">
        <f t="shared" si="730"/>
        <v>2.5690279363747994E-4</v>
      </c>
      <c r="EY253" s="528">
        <f t="shared" si="731"/>
        <v>0.49847161245350941</v>
      </c>
      <c r="EZ253" s="528"/>
      <c r="FA253" s="625">
        <f t="shared" si="732"/>
        <v>5.6733333333333332E-3</v>
      </c>
      <c r="FB253" s="460">
        <f t="shared" si="733"/>
        <v>536.82089619952774</v>
      </c>
      <c r="FC253" s="173">
        <f t="shared" si="734"/>
        <v>1.6693007595579532</v>
      </c>
      <c r="FD253" s="5">
        <f t="shared" si="735"/>
        <v>6.8079999999999998</v>
      </c>
      <c r="FE253" s="173">
        <f t="shared" si="736"/>
        <v>0.80308581623981479</v>
      </c>
      <c r="FF253" s="5">
        <f t="shared" si="737"/>
        <v>80.308581623981482</v>
      </c>
      <c r="FG253">
        <f t="shared" si="738"/>
        <v>37</v>
      </c>
      <c r="FI253" s="562">
        <f t="shared" si="689"/>
        <v>-50</v>
      </c>
    </row>
    <row r="254" spans="5:165">
      <c r="E254" s="170">
        <v>38</v>
      </c>
      <c r="F254" s="217">
        <f t="shared" si="773"/>
        <v>0.38</v>
      </c>
      <c r="G254" s="217">
        <f t="shared" si="742"/>
        <v>9.5000000000000001E-2</v>
      </c>
      <c r="H254" s="217">
        <f t="shared" si="743"/>
        <v>6.2319999999999993</v>
      </c>
      <c r="I254" s="217">
        <f t="shared" si="744"/>
        <v>0.76</v>
      </c>
      <c r="J254" s="541">
        <f t="shared" si="745"/>
        <v>35.941893423034244</v>
      </c>
      <c r="K254" s="443">
        <f t="shared" si="746"/>
        <v>17.125840168066677</v>
      </c>
      <c r="L254" s="172">
        <f t="shared" si="747"/>
        <v>53.067733591100918</v>
      </c>
      <c r="M254" s="443"/>
      <c r="N254" s="217">
        <f t="shared" si="748"/>
        <v>0.32271663041096144</v>
      </c>
      <c r="O254" s="172">
        <f t="shared" si="749"/>
        <v>34.460935954995058</v>
      </c>
      <c r="P254" s="172">
        <f t="shared" si="750"/>
        <v>4.7150596488095564</v>
      </c>
      <c r="Q254" s="217">
        <f t="shared" si="626"/>
        <v>2.10127658262165</v>
      </c>
      <c r="R254" s="217">
        <f t="shared" si="751"/>
        <v>4.3076169943743823</v>
      </c>
      <c r="S254" s="217">
        <f t="shared" si="752"/>
        <v>16.399999999999999</v>
      </c>
      <c r="T254" s="217">
        <f t="shared" si="753"/>
        <v>1.2056163164263836</v>
      </c>
      <c r="U254" s="217">
        <f t="shared" si="630"/>
        <v>0.40252180448136377</v>
      </c>
      <c r="V254" s="217">
        <f t="shared" si="631"/>
        <v>0.84476998822474803</v>
      </c>
      <c r="W254" s="197">
        <f t="shared" si="632"/>
        <v>350</v>
      </c>
      <c r="X254" s="443">
        <f t="shared" si="691"/>
        <v>350</v>
      </c>
      <c r="Z254" s="217">
        <f t="shared" si="633"/>
        <v>2.7616777943027397</v>
      </c>
      <c r="AA254" s="173">
        <f t="shared" si="634"/>
        <v>1.9350953416829675</v>
      </c>
      <c r="AB254" s="173">
        <f t="shared" si="754"/>
        <v>0.83356495795682506</v>
      </c>
      <c r="AC254" s="173"/>
      <c r="AD254" s="173">
        <f t="shared" si="636"/>
        <v>0.93426073366222651</v>
      </c>
      <c r="AE254" s="545">
        <f t="shared" si="755"/>
        <v>610.10805598737522</v>
      </c>
      <c r="AF254" s="528">
        <f t="shared" si="756"/>
        <v>0.21799417118785289</v>
      </c>
      <c r="AH254" s="173">
        <f t="shared" si="757"/>
        <v>1.8246982790378821</v>
      </c>
      <c r="AI254" s="173">
        <f t="shared" si="758"/>
        <v>1.8246982790378821</v>
      </c>
      <c r="AJ254" s="173">
        <f t="shared" si="759"/>
        <v>1.563974033855221</v>
      </c>
      <c r="AL254" s="545">
        <f t="shared" si="760"/>
        <v>380</v>
      </c>
      <c r="AM254" s="460">
        <f t="shared" si="761"/>
        <v>350</v>
      </c>
      <c r="AO254">
        <f t="shared" si="644"/>
        <v>380</v>
      </c>
      <c r="AP254">
        <f t="shared" si="645"/>
        <v>350</v>
      </c>
      <c r="AR254" s="5">
        <f t="shared" si="616"/>
        <v>2.8571428571428572</v>
      </c>
      <c r="AS254" s="5">
        <f t="shared" si="739"/>
        <v>0.60921607803838607</v>
      </c>
      <c r="AT254" s="5">
        <f t="shared" si="740"/>
        <v>2.2479267791044713</v>
      </c>
      <c r="AU254" s="173">
        <f t="shared" si="741"/>
        <v>0.21322562731343511</v>
      </c>
      <c r="BA254" s="173">
        <f t="shared" si="692"/>
        <v>0.4864633603677096</v>
      </c>
      <c r="BB254" s="173">
        <f t="shared" si="693"/>
        <v>0.93444885834433189</v>
      </c>
      <c r="BC254" s="173">
        <f t="shared" si="694"/>
        <v>0.22925502837429088</v>
      </c>
      <c r="BD254" s="173"/>
      <c r="BE254" s="528">
        <f t="shared" si="695"/>
        <v>4.7329320196048815E-3</v>
      </c>
      <c r="BF254" s="528">
        <f t="shared" si="762"/>
        <v>0.63546395164955483</v>
      </c>
      <c r="BG254" s="528">
        <f t="shared" si="763"/>
        <v>0.31449156745154966</v>
      </c>
      <c r="BH254" s="528">
        <f t="shared" si="696"/>
        <v>9.8566452197362139E-2</v>
      </c>
      <c r="BI254">
        <f t="shared" si="697"/>
        <v>1.6173852040365408E-2</v>
      </c>
      <c r="BJ254" s="460">
        <f t="shared" si="698"/>
        <v>330.66541949191509</v>
      </c>
      <c r="BK254">
        <f t="shared" si="764"/>
        <v>0.74087437382363386</v>
      </c>
      <c r="BL254" s="460">
        <f t="shared" si="699"/>
        <v>1069.428755358437</v>
      </c>
      <c r="BM254" s="173">
        <f t="shared" si="765"/>
        <v>0.23607499999999995</v>
      </c>
      <c r="BN254" s="173">
        <f t="shared" si="766"/>
        <v>4.2156249999999999E-2</v>
      </c>
      <c r="BQ254" s="460">
        <f t="shared" si="700"/>
        <v>278.23124999999993</v>
      </c>
      <c r="BR254" s="528">
        <f t="shared" si="701"/>
        <v>7.0993980294073228E-3</v>
      </c>
      <c r="BS254" s="528">
        <f t="shared" si="702"/>
        <v>2.6195840065830756E-2</v>
      </c>
      <c r="BT254" s="528">
        <f t="shared" si="703"/>
        <v>2.6278934017448459E-4</v>
      </c>
      <c r="BU254" s="528">
        <f t="shared" si="704"/>
        <v>0.51536838246013106</v>
      </c>
      <c r="BV254" s="528"/>
      <c r="BW254" s="625">
        <f t="shared" si="705"/>
        <v>5.8266666666666658E-3</v>
      </c>
      <c r="BX254" s="460">
        <f t="shared" si="706"/>
        <v>554.75307656221025</v>
      </c>
      <c r="BY254" s="173">
        <f t="shared" si="707"/>
        <v>1.9024130819206473</v>
      </c>
      <c r="BZ254" s="5">
        <f t="shared" si="708"/>
        <v>6.9919999999999991</v>
      </c>
      <c r="CA254" s="173">
        <f t="shared" si="709"/>
        <v>0.78611145396567939</v>
      </c>
      <c r="CB254" s="5">
        <f t="shared" si="710"/>
        <v>78.611145396567935</v>
      </c>
      <c r="CC254">
        <f t="shared" si="711"/>
        <v>38</v>
      </c>
      <c r="CE254" s="562">
        <f t="shared" si="767"/>
        <v>-50</v>
      </c>
      <c r="CG254" s="173">
        <f t="shared" si="768"/>
        <v>0.44117360113844467</v>
      </c>
      <c r="CH254" s="173">
        <f t="shared" si="769"/>
        <v>0.15699263090936488</v>
      </c>
      <c r="CI254" s="170">
        <v>38</v>
      </c>
      <c r="CJ254" s="217">
        <f t="shared" si="712"/>
        <v>0.38</v>
      </c>
      <c r="CK254" s="217">
        <f t="shared" si="654"/>
        <v>9.5000000000000001E-2</v>
      </c>
      <c r="CL254" s="217">
        <f t="shared" si="655"/>
        <v>6.2319999999999993</v>
      </c>
      <c r="CM254" s="217">
        <f t="shared" si="656"/>
        <v>0.76</v>
      </c>
      <c r="CN254" s="541">
        <f t="shared" si="657"/>
        <v>36</v>
      </c>
      <c r="CO254" s="443">
        <f t="shared" si="770"/>
        <v>17.099999999999998</v>
      </c>
      <c r="CP254" s="443">
        <f t="shared" si="771"/>
        <v>53.099999999999994</v>
      </c>
      <c r="CQ254" s="443"/>
      <c r="CR254" s="217">
        <f t="shared" si="660"/>
        <v>0.31818181818181812</v>
      </c>
      <c r="CS254" s="172">
        <f t="shared" si="661"/>
        <v>34.031620553359687</v>
      </c>
      <c r="CT254" s="172">
        <f t="shared" si="662"/>
        <v>4.6563192904656319</v>
      </c>
      <c r="CU254" s="217">
        <f t="shared" si="663"/>
        <v>2.0750988142292495</v>
      </c>
      <c r="CV254" s="217">
        <f t="shared" si="664"/>
        <v>4.2539525691699609</v>
      </c>
      <c r="CW254" s="217">
        <f t="shared" si="665"/>
        <v>16.399999999999999</v>
      </c>
      <c r="CX254" s="217">
        <f t="shared" si="666"/>
        <v>1.2208253968253968</v>
      </c>
      <c r="CY254" s="217">
        <f t="shared" si="667"/>
        <v>0.40694179894179894</v>
      </c>
      <c r="CZ254" s="217">
        <f t="shared" si="668"/>
        <v>0.85671957671957677</v>
      </c>
      <c r="DA254" s="197">
        <f t="shared" si="669"/>
        <v>350</v>
      </c>
      <c r="DB254" s="443">
        <f t="shared" si="670"/>
        <v>350</v>
      </c>
      <c r="DD254" s="217">
        <f t="shared" si="671"/>
        <v>2.7602905569007259</v>
      </c>
      <c r="DE254" s="173">
        <f t="shared" si="672"/>
        <v>1.937046004842615</v>
      </c>
      <c r="DF254" s="173">
        <f t="shared" si="673"/>
        <v>0.83398609309454497</v>
      </c>
      <c r="DG254" s="173"/>
      <c r="DH254" s="173">
        <f t="shared" si="674"/>
        <v>0.93567251461988332</v>
      </c>
      <c r="DI254" s="545">
        <f t="shared" si="675"/>
        <v>609.18749999999977</v>
      </c>
      <c r="DJ254" s="528">
        <f t="shared" si="676"/>
        <v>0.21832358674463945</v>
      </c>
      <c r="DL254" s="173">
        <f t="shared" si="677"/>
        <v>1.8246982790378821</v>
      </c>
      <c r="DM254" s="173">
        <f t="shared" si="678"/>
        <v>1.8246982790378821</v>
      </c>
      <c r="DN254" s="173">
        <f t="shared" si="679"/>
        <v>1.563974033855221</v>
      </c>
      <c r="DP254" s="545">
        <f t="shared" si="680"/>
        <v>380</v>
      </c>
      <c r="DQ254" s="460">
        <f t="shared" si="681"/>
        <v>350</v>
      </c>
      <c r="DS254">
        <f t="shared" si="682"/>
        <v>380</v>
      </c>
      <c r="DT254">
        <f t="shared" si="683"/>
        <v>350</v>
      </c>
      <c r="DV254" s="5">
        <f t="shared" si="684"/>
        <v>2.8571428571428572</v>
      </c>
      <c r="DW254" s="5">
        <f t="shared" si="685"/>
        <v>0.60823275967929402</v>
      </c>
      <c r="DX254" s="5">
        <f t="shared" si="686"/>
        <v>2.248910097463563</v>
      </c>
      <c r="DY254" s="173">
        <f t="shared" si="687"/>
        <v>0.21288146588775289</v>
      </c>
      <c r="EA254" s="5">
        <f t="shared" si="713"/>
        <v>1.4093198090129986</v>
      </c>
      <c r="EB254" s="5">
        <f t="shared" si="714"/>
        <v>0.72227640211916166</v>
      </c>
      <c r="EC254" s="5">
        <f t="shared" si="715"/>
        <v>0.32442610480076206</v>
      </c>
      <c r="ED254" s="5"/>
      <c r="EE254" s="173">
        <f t="shared" si="716"/>
        <v>0.48607060847837175</v>
      </c>
      <c r="EF254" s="173">
        <f t="shared" si="717"/>
        <v>0.93465321559107406</v>
      </c>
      <c r="EG254" s="173">
        <f t="shared" si="718"/>
        <v>0.22930516480067956</v>
      </c>
      <c r="EH254" s="173"/>
      <c r="EI254" s="528">
        <f t="shared" si="719"/>
        <v>4.7252927285306914E-3</v>
      </c>
      <c r="EJ254" s="528">
        <f t="shared" si="720"/>
        <v>0.67824035031838059</v>
      </c>
      <c r="EK254" s="528">
        <f t="shared" si="721"/>
        <v>4.3749999999999997E-2</v>
      </c>
      <c r="EL254" s="528">
        <f t="shared" si="722"/>
        <v>9.8686349999999978E-2</v>
      </c>
      <c r="EM254">
        <f t="shared" si="723"/>
        <v>1.6199999999999999E-2</v>
      </c>
      <c r="EN254" s="460">
        <f t="shared" si="724"/>
        <v>59.949999999999996</v>
      </c>
      <c r="EP254" s="460">
        <f t="shared" si="725"/>
        <v>841.60199304691116</v>
      </c>
      <c r="EQ254" s="173">
        <f t="shared" si="726"/>
        <v>0.26599999999999996</v>
      </c>
      <c r="ER254" s="173">
        <f t="shared" si="772"/>
        <v>4.2156249999999999E-2</v>
      </c>
      <c r="ES254" s="528"/>
      <c r="EU254" s="460">
        <f t="shared" si="727"/>
        <v>308.15624999999994</v>
      </c>
      <c r="EV254" s="528">
        <f t="shared" si="728"/>
        <v>7.0879390927960362E-3</v>
      </c>
      <c r="EW254" s="528">
        <f t="shared" si="729"/>
        <v>2.6207299002442043E-2</v>
      </c>
      <c r="EX254" s="528">
        <f t="shared" si="730"/>
        <v>2.6290429302133409E-4</v>
      </c>
      <c r="EY254" s="528">
        <f t="shared" si="731"/>
        <v>0.51536838246013106</v>
      </c>
      <c r="EZ254" s="528"/>
      <c r="FA254" s="625">
        <f t="shared" si="732"/>
        <v>5.8266666666666658E-3</v>
      </c>
      <c r="FB254" s="460">
        <f t="shared" si="733"/>
        <v>554.7531915150571</v>
      </c>
      <c r="FC254" s="173">
        <f t="shared" si="734"/>
        <v>1.7045114345619683</v>
      </c>
      <c r="FD254" s="5">
        <f t="shared" si="735"/>
        <v>6.9919999999999991</v>
      </c>
      <c r="FE254" s="173">
        <f t="shared" si="736"/>
        <v>0.80400055270578474</v>
      </c>
      <c r="FF254" s="5">
        <f t="shared" si="737"/>
        <v>80.400055270578477</v>
      </c>
      <c r="FG254">
        <f t="shared" si="738"/>
        <v>38</v>
      </c>
      <c r="FI254" s="562">
        <f t="shared" si="689"/>
        <v>-50</v>
      </c>
    </row>
    <row r="255" spans="5:165">
      <c r="E255" s="170">
        <v>39</v>
      </c>
      <c r="F255" s="217">
        <f t="shared" si="773"/>
        <v>0.39</v>
      </c>
      <c r="G255" s="217">
        <f t="shared" si="742"/>
        <v>9.7500000000000003E-2</v>
      </c>
      <c r="H255" s="217">
        <f t="shared" si="743"/>
        <v>6.3959999999999999</v>
      </c>
      <c r="I255" s="217">
        <f t="shared" si="744"/>
        <v>0.78</v>
      </c>
      <c r="J255" s="541">
        <f t="shared" si="745"/>
        <v>35.941133827697143</v>
      </c>
      <c r="K255" s="443">
        <f t="shared" si="746"/>
        <v>17.126177962378414</v>
      </c>
      <c r="L255" s="172">
        <f t="shared" si="747"/>
        <v>53.067311790075557</v>
      </c>
      <c r="M255" s="443"/>
      <c r="N255" s="217">
        <f t="shared" si="748"/>
        <v>0.32272556089003335</v>
      </c>
      <c r="O255" s="172">
        <f t="shared" si="749"/>
        <v>34.461161269294195</v>
      </c>
      <c r="P255" s="172">
        <f t="shared" si="750"/>
        <v>4.715090477059884</v>
      </c>
      <c r="Q255" s="217">
        <f t="shared" si="626"/>
        <v>2.1012903212984266</v>
      </c>
      <c r="R255" s="217">
        <f t="shared" si="751"/>
        <v>4.3076451586617743</v>
      </c>
      <c r="S255" s="217">
        <f t="shared" si="752"/>
        <v>16.399999999999999</v>
      </c>
      <c r="T255" s="217">
        <f t="shared" si="753"/>
        <v>1.2373349715870827</v>
      </c>
      <c r="U255" s="217">
        <f t="shared" si="630"/>
        <v>0.41312051339912753</v>
      </c>
      <c r="V255" s="217">
        <f t="shared" si="631"/>
        <v>0.86697800826676463</v>
      </c>
      <c r="W255" s="197">
        <f t="shared" si="632"/>
        <v>350</v>
      </c>
      <c r="X255" s="443">
        <f t="shared" si="691"/>
        <v>350</v>
      </c>
      <c r="Z255" s="217">
        <f t="shared" si="633"/>
        <v>2.7616958508493599</v>
      </c>
      <c r="AA255" s="173">
        <f t="shared" si="634"/>
        <v>1.9350698260284764</v>
      </c>
      <c r="AB255" s="173">
        <f t="shared" si="754"/>
        <v>0.83355941677640466</v>
      </c>
      <c r="AC255" s="173"/>
      <c r="AD255" s="173">
        <f t="shared" si="636"/>
        <v>0.93424230643566131</v>
      </c>
      <c r="AE255" s="545">
        <f t="shared" si="755"/>
        <v>626.17588174946059</v>
      </c>
      <c r="AF255" s="528">
        <f t="shared" si="756"/>
        <v>0.21798987150165433</v>
      </c>
      <c r="AH255" s="173">
        <f t="shared" si="757"/>
        <v>1.8485515565282071</v>
      </c>
      <c r="AI255" s="173">
        <f t="shared" si="758"/>
        <v>1.8485515565282071</v>
      </c>
      <c r="AJ255" s="173">
        <f t="shared" si="759"/>
        <v>1.581643128292499</v>
      </c>
      <c r="AL255" s="545">
        <f t="shared" si="760"/>
        <v>390</v>
      </c>
      <c r="AM255" s="460">
        <f t="shared" si="761"/>
        <v>350</v>
      </c>
      <c r="AO255">
        <f t="shared" si="644"/>
        <v>390</v>
      </c>
      <c r="AP255">
        <f t="shared" si="645"/>
        <v>350</v>
      </c>
      <c r="AR255" s="5">
        <f t="shared" si="616"/>
        <v>2.8571428571428572</v>
      </c>
      <c r="AS255" s="5">
        <f t="shared" si="739"/>
        <v>0.61719306866284784</v>
      </c>
      <c r="AT255" s="5">
        <f t="shared" si="740"/>
        <v>2.2399497884800095</v>
      </c>
      <c r="AU255" s="173">
        <f t="shared" si="741"/>
        <v>0.21601757403199673</v>
      </c>
      <c r="BA255" s="173">
        <f t="shared" si="692"/>
        <v>0.49603861076894878</v>
      </c>
      <c r="BB255" s="173">
        <f t="shared" si="693"/>
        <v>0.94498323565766529</v>
      </c>
      <c r="BC255" s="173">
        <f t="shared" si="694"/>
        <v>0.23183950257885327</v>
      </c>
      <c r="BD255" s="173"/>
      <c r="BE255" s="528">
        <f t="shared" si="695"/>
        <v>4.9210860674717737E-3</v>
      </c>
      <c r="BF255" s="528">
        <f t="shared" si="762"/>
        <v>0.64376590563017144</v>
      </c>
      <c r="BG255" s="528">
        <f t="shared" si="763"/>
        <v>0.31448492099234998</v>
      </c>
      <c r="BH255" s="528">
        <f t="shared" si="696"/>
        <v>9.8564885321878223E-2</v>
      </c>
      <c r="BI255">
        <f t="shared" si="697"/>
        <v>1.6173510222463713E-2</v>
      </c>
      <c r="BJ255" s="460">
        <f t="shared" si="698"/>
        <v>330.65843121481367</v>
      </c>
      <c r="BK255">
        <f t="shared" si="764"/>
        <v>0.74945687274339057</v>
      </c>
      <c r="BL255" s="460">
        <f t="shared" si="699"/>
        <v>1077.9103082343349</v>
      </c>
      <c r="BM255" s="173">
        <f t="shared" si="765"/>
        <v>0.24228749999999996</v>
      </c>
      <c r="BN255" s="173">
        <f t="shared" si="766"/>
        <v>4.3265625000000002E-2</v>
      </c>
      <c r="BQ255" s="460">
        <f t="shared" si="700"/>
        <v>285.55312499999997</v>
      </c>
      <c r="BR255" s="528">
        <f t="shared" si="701"/>
        <v>7.3816291012076592E-3</v>
      </c>
      <c r="BS255" s="528">
        <f t="shared" si="702"/>
        <v>2.6789799470220917E-2</v>
      </c>
      <c r="BT255" s="528">
        <f t="shared" si="703"/>
        <v>2.6874777478005056E-4</v>
      </c>
      <c r="BU255" s="528">
        <f t="shared" si="704"/>
        <v>0.53237669320170267</v>
      </c>
      <c r="BV255" s="528"/>
      <c r="BW255" s="625">
        <f t="shared" si="705"/>
        <v>5.9800000000000009E-3</v>
      </c>
      <c r="BX255" s="460">
        <f t="shared" si="706"/>
        <v>572.79686954791134</v>
      </c>
      <c r="BY255" s="173">
        <f t="shared" si="707"/>
        <v>1.9362603027822463</v>
      </c>
      <c r="BZ255" s="5">
        <f t="shared" si="708"/>
        <v>7.1760000000000002</v>
      </c>
      <c r="CA255" s="173">
        <f t="shared" si="709"/>
        <v>0.78751042678279859</v>
      </c>
      <c r="CB255" s="5">
        <f t="shared" si="710"/>
        <v>78.751042678279859</v>
      </c>
      <c r="CC255">
        <f t="shared" si="711"/>
        <v>39</v>
      </c>
      <c r="CE255" s="562">
        <f t="shared" si="767"/>
        <v>-50</v>
      </c>
      <c r="CG255" s="173">
        <f t="shared" si="768"/>
        <v>0.44694082109489131</v>
      </c>
      <c r="CH255" s="173">
        <f t="shared" si="769"/>
        <v>0.15904490926795015</v>
      </c>
      <c r="CI255" s="170">
        <v>39</v>
      </c>
      <c r="CJ255" s="217">
        <f t="shared" si="712"/>
        <v>0.39</v>
      </c>
      <c r="CK255" s="217">
        <f t="shared" si="654"/>
        <v>9.7500000000000003E-2</v>
      </c>
      <c r="CL255" s="217">
        <f t="shared" si="655"/>
        <v>6.3959999999999999</v>
      </c>
      <c r="CM255" s="217">
        <f t="shared" si="656"/>
        <v>0.78</v>
      </c>
      <c r="CN255" s="541">
        <f t="shared" si="657"/>
        <v>36</v>
      </c>
      <c r="CO255" s="443">
        <f t="shared" si="770"/>
        <v>17.099999999999998</v>
      </c>
      <c r="CP255" s="443">
        <f t="shared" si="771"/>
        <v>53.099999999999994</v>
      </c>
      <c r="CQ255" s="443"/>
      <c r="CR255" s="217">
        <f t="shared" si="660"/>
        <v>0.31818181818181812</v>
      </c>
      <c r="CS255" s="172">
        <f t="shared" si="661"/>
        <v>34.031620553359687</v>
      </c>
      <c r="CT255" s="172">
        <f t="shared" si="662"/>
        <v>4.6563192904656319</v>
      </c>
      <c r="CU255" s="217">
        <f t="shared" si="663"/>
        <v>2.0750988142292495</v>
      </c>
      <c r="CV255" s="217">
        <f t="shared" si="664"/>
        <v>4.2539525691699609</v>
      </c>
      <c r="CW255" s="217">
        <f t="shared" si="665"/>
        <v>16.399999999999999</v>
      </c>
      <c r="CX255" s="217">
        <f t="shared" si="666"/>
        <v>1.252952380952381</v>
      </c>
      <c r="CY255" s="217">
        <f t="shared" si="667"/>
        <v>0.41765079365079366</v>
      </c>
      <c r="CZ255" s="217">
        <f t="shared" si="668"/>
        <v>0.87926482873851308</v>
      </c>
      <c r="DA255" s="197">
        <f t="shared" si="669"/>
        <v>350</v>
      </c>
      <c r="DB255" s="443">
        <f t="shared" si="670"/>
        <v>350</v>
      </c>
      <c r="DD255" s="217">
        <f t="shared" si="671"/>
        <v>2.7602905569007259</v>
      </c>
      <c r="DE255" s="173">
        <f t="shared" si="672"/>
        <v>1.937046004842615</v>
      </c>
      <c r="DF255" s="173">
        <f t="shared" si="673"/>
        <v>0.83398609309454497</v>
      </c>
      <c r="DG255" s="173"/>
      <c r="DH255" s="173">
        <f t="shared" si="674"/>
        <v>0.93567251461988332</v>
      </c>
      <c r="DI255" s="545">
        <f t="shared" si="675"/>
        <v>625.21874999999977</v>
      </c>
      <c r="DJ255" s="528">
        <f t="shared" si="676"/>
        <v>0.21832358674463945</v>
      </c>
      <c r="DL255" s="173">
        <f t="shared" si="677"/>
        <v>1.8485515565282071</v>
      </c>
      <c r="DM255" s="173">
        <f t="shared" si="678"/>
        <v>1.8485515565282071</v>
      </c>
      <c r="DN255" s="173">
        <f t="shared" si="679"/>
        <v>1.581643128292499</v>
      </c>
      <c r="DP255" s="545">
        <f t="shared" si="680"/>
        <v>390</v>
      </c>
      <c r="DQ255" s="460">
        <f t="shared" si="681"/>
        <v>350</v>
      </c>
      <c r="DS255">
        <f t="shared" si="682"/>
        <v>390</v>
      </c>
      <c r="DT255">
        <f t="shared" si="683"/>
        <v>350</v>
      </c>
      <c r="DV255" s="5">
        <f t="shared" si="684"/>
        <v>2.8571428571428572</v>
      </c>
      <c r="DW255" s="5">
        <f t="shared" si="685"/>
        <v>0.61618385217606908</v>
      </c>
      <c r="DX255" s="5">
        <f t="shared" si="686"/>
        <v>2.240959004966788</v>
      </c>
      <c r="DY255" s="173">
        <f t="shared" si="687"/>
        <v>0.21566434826162417</v>
      </c>
      <c r="EA255" s="5">
        <f t="shared" si="713"/>
        <v>1.4653152582235793</v>
      </c>
      <c r="EB255" s="5">
        <f t="shared" si="714"/>
        <v>0.75097406983958415</v>
      </c>
      <c r="EC255" s="5">
        <f t="shared" si="715"/>
        <v>0.33178643045758277</v>
      </c>
      <c r="ED255" s="5"/>
      <c r="EE255" s="173">
        <f t="shared" si="716"/>
        <v>0.49563289075772554</v>
      </c>
      <c r="EF255" s="173">
        <f t="shared" si="717"/>
        <v>0.94519609428242957</v>
      </c>
      <c r="EG255" s="173">
        <f t="shared" si="718"/>
        <v>0.23189172470917568</v>
      </c>
      <c r="EH255" s="173"/>
      <c r="EI255" s="528">
        <f t="shared" si="719"/>
        <v>4.9130392480171902E-3</v>
      </c>
      <c r="EJ255" s="528">
        <f t="shared" si="720"/>
        <v>0.68710661356153446</v>
      </c>
      <c r="EK255" s="528">
        <f t="shared" si="721"/>
        <v>4.3749999999999997E-2</v>
      </c>
      <c r="EL255" s="528">
        <f t="shared" si="722"/>
        <v>9.8686349999999978E-2</v>
      </c>
      <c r="EM255">
        <f t="shared" si="723"/>
        <v>1.6199999999999999E-2</v>
      </c>
      <c r="EN255" s="460">
        <f t="shared" si="724"/>
        <v>59.949999999999996</v>
      </c>
      <c r="EP255" s="460">
        <f t="shared" si="725"/>
        <v>850.65600280955152</v>
      </c>
      <c r="EQ255" s="173">
        <f t="shared" si="726"/>
        <v>0.27299999999999996</v>
      </c>
      <c r="ER255" s="173">
        <f t="shared" si="772"/>
        <v>4.3265625000000002E-2</v>
      </c>
      <c r="ES255" s="528"/>
      <c r="EU255" s="460">
        <f t="shared" si="727"/>
        <v>316.265625</v>
      </c>
      <c r="EV255" s="528">
        <f t="shared" si="728"/>
        <v>7.3695588720257849E-3</v>
      </c>
      <c r="EW255" s="528">
        <f t="shared" si="729"/>
        <v>2.6801869699402781E-2</v>
      </c>
      <c r="EX255" s="528">
        <f t="shared" si="730"/>
        <v>2.6886885994298061E-4</v>
      </c>
      <c r="EY255" s="528">
        <f t="shared" si="731"/>
        <v>0.53237669320170267</v>
      </c>
      <c r="EZ255" s="528"/>
      <c r="FA255" s="625">
        <f t="shared" si="732"/>
        <v>5.9800000000000009E-3</v>
      </c>
      <c r="FB255" s="460">
        <f t="shared" si="733"/>
        <v>572.79699063307419</v>
      </c>
      <c r="FC255" s="173">
        <f t="shared" si="734"/>
        <v>1.7397186184426259</v>
      </c>
      <c r="FD255" s="5">
        <f t="shared" si="735"/>
        <v>7.1760000000000002</v>
      </c>
      <c r="FE255" s="173">
        <f t="shared" si="736"/>
        <v>0.80487062312128976</v>
      </c>
      <c r="FF255" s="5">
        <f t="shared" si="737"/>
        <v>80.48706231212897</v>
      </c>
      <c r="FG255">
        <f t="shared" si="738"/>
        <v>39</v>
      </c>
      <c r="FI255" s="562">
        <f t="shared" si="689"/>
        <v>-50</v>
      </c>
    </row>
    <row r="256" spans="5:165">
      <c r="E256" s="170">
        <v>40</v>
      </c>
      <c r="F256" s="217">
        <f t="shared" si="773"/>
        <v>0.4</v>
      </c>
      <c r="G256" s="217">
        <f t="shared" si="742"/>
        <v>0.1</v>
      </c>
      <c r="H256" s="217">
        <f t="shared" si="743"/>
        <v>6.56</v>
      </c>
      <c r="I256" s="217">
        <f t="shared" si="744"/>
        <v>0.8</v>
      </c>
      <c r="J256" s="541">
        <f t="shared" si="745"/>
        <v>35.940383909919362</v>
      </c>
      <c r="K256" s="443">
        <f t="shared" si="746"/>
        <v>17.126511453050654</v>
      </c>
      <c r="L256" s="172">
        <f t="shared" si="747"/>
        <v>53.066895362970016</v>
      </c>
      <c r="M256" s="443"/>
      <c r="N256" s="217">
        <f t="shared" si="748"/>
        <v>0.32273437773036751</v>
      </c>
      <c r="O256" s="172">
        <f t="shared" si="749"/>
        <v>34.461383688325498</v>
      </c>
      <c r="P256" s="172">
        <f t="shared" si="750"/>
        <v>4.7151209091700572</v>
      </c>
      <c r="Q256" s="217">
        <f t="shared" si="626"/>
        <v>2.1013038834344817</v>
      </c>
      <c r="R256" s="217">
        <f t="shared" si="751"/>
        <v>4.3076729610406872</v>
      </c>
      <c r="S256" s="217">
        <f t="shared" si="752"/>
        <v>16.399999999999999</v>
      </c>
      <c r="T256" s="217">
        <f t="shared" si="753"/>
        <v>1.2690533186033646</v>
      </c>
      <c r="U256" s="217">
        <f t="shared" si="630"/>
        <v>0.42371945334277156</v>
      </c>
      <c r="V256" s="217">
        <f t="shared" si="631"/>
        <v>0.88918515980251067</v>
      </c>
      <c r="W256" s="197">
        <f t="shared" si="632"/>
        <v>350</v>
      </c>
      <c r="X256" s="443">
        <f t="shared" si="691"/>
        <v>350</v>
      </c>
      <c r="Z256" s="217">
        <f t="shared" si="633"/>
        <v>2.7617136753710332</v>
      </c>
      <c r="AA256" s="173">
        <f t="shared" si="634"/>
        <v>1.935044635056093</v>
      </c>
      <c r="AB256" s="173">
        <f t="shared" si="754"/>
        <v>0.83355394528379778</v>
      </c>
      <c r="AC256" s="173"/>
      <c r="AD256" s="173">
        <f t="shared" si="636"/>
        <v>0.93422411469266309</v>
      </c>
      <c r="AE256" s="545">
        <f t="shared" si="755"/>
        <v>642.24417948939947</v>
      </c>
      <c r="AF256" s="528">
        <f t="shared" si="756"/>
        <v>0.21798562676162142</v>
      </c>
      <c r="AH256" s="173">
        <f t="shared" si="757"/>
        <v>1.872100933379903</v>
      </c>
      <c r="AI256" s="173">
        <f t="shared" si="758"/>
        <v>1.872100933379903</v>
      </c>
      <c r="AJ256" s="173">
        <f t="shared" si="759"/>
        <v>1.5990871111456071</v>
      </c>
      <c r="AL256" s="545">
        <f t="shared" si="760"/>
        <v>400</v>
      </c>
      <c r="AM256" s="460">
        <f t="shared" si="761"/>
        <v>350</v>
      </c>
      <c r="AO256">
        <f t="shared" si="644"/>
        <v>400</v>
      </c>
      <c r="AP256">
        <f t="shared" si="645"/>
        <v>350</v>
      </c>
      <c r="AR256" s="5">
        <f t="shared" si="616"/>
        <v>2.8571428571428572</v>
      </c>
      <c r="AS256" s="5">
        <f t="shared" si="739"/>
        <v>0.62506875989041832</v>
      </c>
      <c r="AT256" s="5">
        <f t="shared" si="740"/>
        <v>2.2320740972524389</v>
      </c>
      <c r="AU256" s="173">
        <f t="shared" si="741"/>
        <v>0.21877406596164642</v>
      </c>
      <c r="BA256" s="173">
        <f t="shared" si="692"/>
        <v>0.5055528367151636</v>
      </c>
      <c r="BB256" s="173">
        <f t="shared" si="693"/>
        <v>0.95533779237671701</v>
      </c>
      <c r="BC256" s="173">
        <f t="shared" si="694"/>
        <v>0.23437986010963927</v>
      </c>
      <c r="BD256" s="173"/>
      <c r="BE256" s="528">
        <f t="shared" si="695"/>
        <v>5.111673414214978E-3</v>
      </c>
      <c r="BF256" s="528">
        <f t="shared" si="762"/>
        <v>0.65196195973512072</v>
      </c>
      <c r="BG256" s="528">
        <f t="shared" si="763"/>
        <v>0.3144783592117944</v>
      </c>
      <c r="BH256" s="528">
        <f t="shared" si="696"/>
        <v>9.8563338421254282E-2</v>
      </c>
      <c r="BI256">
        <f t="shared" si="697"/>
        <v>1.6173172759463714E-2</v>
      </c>
      <c r="BJ256" s="460">
        <f t="shared" si="698"/>
        <v>330.65153197125812</v>
      </c>
      <c r="BK256">
        <f t="shared" si="764"/>
        <v>0.75793766415468811</v>
      </c>
      <c r="BL256" s="460">
        <f t="shared" si="699"/>
        <v>1086.2885035418478</v>
      </c>
      <c r="BM256" s="173">
        <f t="shared" si="765"/>
        <v>0.24849999999999997</v>
      </c>
      <c r="BN256" s="173">
        <f t="shared" si="766"/>
        <v>4.4374999999999998E-2</v>
      </c>
      <c r="BQ256" s="460">
        <f t="shared" si="700"/>
        <v>292.875</v>
      </c>
      <c r="BR256" s="528">
        <f t="shared" si="701"/>
        <v>7.6675101213224666E-3</v>
      </c>
      <c r="BS256" s="528">
        <f t="shared" si="702"/>
        <v>2.7380108926296578E-2</v>
      </c>
      <c r="BT256" s="528">
        <f t="shared" si="703"/>
        <v>2.7466959412507033E-4</v>
      </c>
      <c r="BU256" s="528">
        <f t="shared" si="704"/>
        <v>0.54949439229489827</v>
      </c>
      <c r="BV256" s="528"/>
      <c r="BW256" s="625">
        <f t="shared" si="705"/>
        <v>6.1333333333333327E-3</v>
      </c>
      <c r="BX256" s="460">
        <f t="shared" si="706"/>
        <v>590.95001426997578</v>
      </c>
      <c r="BY256" s="173">
        <f t="shared" si="707"/>
        <v>1.9701135178118236</v>
      </c>
      <c r="BZ256" s="5">
        <f t="shared" si="708"/>
        <v>7.3599999999999994</v>
      </c>
      <c r="CA256" s="173">
        <f t="shared" si="709"/>
        <v>0.78884356400908284</v>
      </c>
      <c r="CB256" s="5">
        <f t="shared" si="710"/>
        <v>78.884356400908288</v>
      </c>
      <c r="CC256">
        <f t="shared" si="711"/>
        <v>40</v>
      </c>
      <c r="CE256" s="562">
        <f t="shared" si="767"/>
        <v>-50</v>
      </c>
      <c r="CG256" s="173">
        <f t="shared" si="768"/>
        <v>0.4526345642794945</v>
      </c>
      <c r="CH256" s="173">
        <f t="shared" si="769"/>
        <v>0.161071040749903</v>
      </c>
      <c r="CI256" s="170">
        <v>40</v>
      </c>
      <c r="CJ256" s="217">
        <f t="shared" si="712"/>
        <v>0.4</v>
      </c>
      <c r="CK256" s="217">
        <f t="shared" si="654"/>
        <v>0.1</v>
      </c>
      <c r="CL256" s="217">
        <f t="shared" si="655"/>
        <v>6.56</v>
      </c>
      <c r="CM256" s="217">
        <f t="shared" si="656"/>
        <v>0.8</v>
      </c>
      <c r="CN256" s="541">
        <f t="shared" si="657"/>
        <v>36</v>
      </c>
      <c r="CO256" s="443">
        <f t="shared" si="770"/>
        <v>17.099999999999998</v>
      </c>
      <c r="CP256" s="443">
        <f t="shared" si="771"/>
        <v>53.099999999999994</v>
      </c>
      <c r="CQ256" s="443"/>
      <c r="CR256" s="217">
        <f t="shared" si="660"/>
        <v>0.31818181818181812</v>
      </c>
      <c r="CS256" s="172">
        <f t="shared" si="661"/>
        <v>34.031620553359687</v>
      </c>
      <c r="CT256" s="172">
        <f t="shared" si="662"/>
        <v>4.6563192904656319</v>
      </c>
      <c r="CU256" s="217">
        <f t="shared" si="663"/>
        <v>2.0750988142292495</v>
      </c>
      <c r="CV256" s="217">
        <f t="shared" si="664"/>
        <v>4.2539525691699609</v>
      </c>
      <c r="CW256" s="217">
        <f t="shared" si="665"/>
        <v>16.399999999999999</v>
      </c>
      <c r="CX256" s="217">
        <f t="shared" si="666"/>
        <v>1.285079365079365</v>
      </c>
      <c r="CY256" s="217">
        <f t="shared" si="667"/>
        <v>0.42835978835978838</v>
      </c>
      <c r="CZ256" s="217">
        <f t="shared" si="668"/>
        <v>0.90181008075744939</v>
      </c>
      <c r="DA256" s="197">
        <f t="shared" si="669"/>
        <v>350</v>
      </c>
      <c r="DB256" s="443">
        <f t="shared" si="670"/>
        <v>350</v>
      </c>
      <c r="DD256" s="217">
        <f t="shared" si="671"/>
        <v>2.7602905569007259</v>
      </c>
      <c r="DE256" s="173">
        <f t="shared" si="672"/>
        <v>1.937046004842615</v>
      </c>
      <c r="DF256" s="173">
        <f t="shared" si="673"/>
        <v>0.83398609309454497</v>
      </c>
      <c r="DG256" s="173"/>
      <c r="DH256" s="173">
        <f t="shared" si="674"/>
        <v>0.93567251461988332</v>
      </c>
      <c r="DI256" s="545">
        <f t="shared" si="675"/>
        <v>641.24999999999977</v>
      </c>
      <c r="DJ256" s="528">
        <f t="shared" si="676"/>
        <v>0.21832358674463945</v>
      </c>
      <c r="DL256" s="173">
        <f t="shared" si="677"/>
        <v>1.872100933379903</v>
      </c>
      <c r="DM256" s="173">
        <f t="shared" si="678"/>
        <v>1.872100933379903</v>
      </c>
      <c r="DN256" s="173">
        <f t="shared" si="679"/>
        <v>1.5990871111456071</v>
      </c>
      <c r="DP256" s="545">
        <f t="shared" si="680"/>
        <v>400</v>
      </c>
      <c r="DQ256" s="460">
        <f t="shared" si="681"/>
        <v>350</v>
      </c>
      <c r="DS256">
        <f t="shared" si="682"/>
        <v>400</v>
      </c>
      <c r="DT256">
        <f t="shared" si="683"/>
        <v>350</v>
      </c>
      <c r="DV256" s="5">
        <f t="shared" si="684"/>
        <v>2.8571428571428572</v>
      </c>
      <c r="DW256" s="5">
        <f t="shared" si="685"/>
        <v>0.62403364445996778</v>
      </c>
      <c r="DX256" s="5">
        <f t="shared" si="686"/>
        <v>2.2331092126828893</v>
      </c>
      <c r="DY256" s="173">
        <f t="shared" si="687"/>
        <v>0.21841177556098873</v>
      </c>
      <c r="EA256" s="5">
        <f t="shared" si="713"/>
        <v>1.5220332791706535</v>
      </c>
      <c r="EB256" s="5">
        <f t="shared" si="714"/>
        <v>0.78004205557495976</v>
      </c>
      <c r="EC256" s="5">
        <f t="shared" si="715"/>
        <v>0.33910176933332753</v>
      </c>
      <c r="ED256" s="5"/>
      <c r="EE256" s="173">
        <f t="shared" si="716"/>
        <v>0.50513406489022306</v>
      </c>
      <c r="EF256" s="173">
        <f t="shared" si="717"/>
        <v>0.95555928373986732</v>
      </c>
      <c r="EG256" s="173">
        <f t="shared" si="718"/>
        <v>0.23443420017147384</v>
      </c>
      <c r="EH256" s="173"/>
      <c r="EI256" s="528">
        <f t="shared" si="719"/>
        <v>5.1032084702504008E-3</v>
      </c>
      <c r="EJ256" s="528">
        <f t="shared" si="720"/>
        <v>0.69585991693730997</v>
      </c>
      <c r="EK256" s="528">
        <f t="shared" si="721"/>
        <v>4.3749999999999997E-2</v>
      </c>
      <c r="EL256" s="528">
        <f t="shared" si="722"/>
        <v>9.8686349999999978E-2</v>
      </c>
      <c r="EM256">
        <f t="shared" si="723"/>
        <v>1.6199999999999999E-2</v>
      </c>
      <c r="EN256" s="460">
        <f t="shared" si="724"/>
        <v>59.949999999999996</v>
      </c>
      <c r="EP256" s="460">
        <f t="shared" si="725"/>
        <v>859.59947540756025</v>
      </c>
      <c r="EQ256" s="173">
        <f t="shared" si="726"/>
        <v>0.27999999999999997</v>
      </c>
      <c r="ER256" s="173">
        <f t="shared" si="772"/>
        <v>4.4374999999999998E-2</v>
      </c>
      <c r="ES256" s="528"/>
      <c r="EU256" s="460">
        <f t="shared" si="727"/>
        <v>324.37499999999994</v>
      </c>
      <c r="EV256" s="528">
        <f t="shared" si="728"/>
        <v>7.6548127053756012E-3</v>
      </c>
      <c r="EW256" s="528">
        <f t="shared" si="729"/>
        <v>2.7392806342243444E-2</v>
      </c>
      <c r="EX256" s="528">
        <f t="shared" si="730"/>
        <v>2.7479697105019333E-4</v>
      </c>
      <c r="EY256" s="528">
        <f t="shared" si="731"/>
        <v>0.54949439229489827</v>
      </c>
      <c r="EZ256" s="528"/>
      <c r="FA256" s="625">
        <f t="shared" si="732"/>
        <v>6.1333333333333327E-3</v>
      </c>
      <c r="FB256" s="460">
        <f t="shared" si="733"/>
        <v>590.95014164690087</v>
      </c>
      <c r="FC256" s="173">
        <f t="shared" si="734"/>
        <v>1.774924617054461</v>
      </c>
      <c r="FD256" s="5">
        <f t="shared" si="735"/>
        <v>7.3599999999999994</v>
      </c>
      <c r="FE256" s="173">
        <f t="shared" si="736"/>
        <v>0.80569904060940323</v>
      </c>
      <c r="FF256" s="5">
        <f t="shared" si="737"/>
        <v>80.569904060940317</v>
      </c>
      <c r="FG256">
        <f t="shared" si="738"/>
        <v>40</v>
      </c>
      <c r="FI256" s="562">
        <f t="shared" si="689"/>
        <v>-50</v>
      </c>
    </row>
    <row r="257" spans="5:165">
      <c r="E257" s="170">
        <v>41</v>
      </c>
      <c r="F257" s="217">
        <f t="shared" si="773"/>
        <v>0.41</v>
      </c>
      <c r="G257" s="217">
        <f t="shared" si="742"/>
        <v>0.10249999999999999</v>
      </c>
      <c r="H257" s="217">
        <f t="shared" si="743"/>
        <v>6.7239999999999993</v>
      </c>
      <c r="I257" s="217">
        <f t="shared" si="744"/>
        <v>0.82</v>
      </c>
      <c r="J257" s="541">
        <f t="shared" si="745"/>
        <v>35.939643308975597</v>
      </c>
      <c r="K257" s="443">
        <f t="shared" si="746"/>
        <v>17.126840800499025</v>
      </c>
      <c r="L257" s="172">
        <f t="shared" si="747"/>
        <v>53.066484109474622</v>
      </c>
      <c r="M257" s="443"/>
      <c r="N257" s="217">
        <f t="shared" si="748"/>
        <v>0.32274308516778399</v>
      </c>
      <c r="O257" s="172">
        <f t="shared" si="749"/>
        <v>34.461603320007825</v>
      </c>
      <c r="P257" s="172">
        <f t="shared" si="750"/>
        <v>4.7151509599058903</v>
      </c>
      <c r="Q257" s="217">
        <f t="shared" si="626"/>
        <v>2.1013172756102336</v>
      </c>
      <c r="R257" s="217">
        <f t="shared" si="751"/>
        <v>4.3077004150009781</v>
      </c>
      <c r="S257" s="217">
        <f t="shared" si="752"/>
        <v>16.399999999999999</v>
      </c>
      <c r="T257" s="217">
        <f t="shared" si="753"/>
        <v>1.3007713614021277</v>
      </c>
      <c r="U257" s="217">
        <f t="shared" si="630"/>
        <v>0.4343186214351567</v>
      </c>
      <c r="V257" s="217">
        <f t="shared" si="631"/>
        <v>0.91139145383839426</v>
      </c>
      <c r="W257" s="197">
        <f t="shared" si="632"/>
        <v>350</v>
      </c>
      <c r="X257" s="443">
        <f t="shared" si="691"/>
        <v>350</v>
      </c>
      <c r="Z257" s="217">
        <f t="shared" si="633"/>
        <v>2.7617312765163069</v>
      </c>
      <c r="AA257" s="173">
        <f t="shared" si="634"/>
        <v>1.9350197566634739</v>
      </c>
      <c r="AB257" s="173">
        <f t="shared" si="754"/>
        <v>0.83354854088143382</v>
      </c>
      <c r="AC257" s="173"/>
      <c r="AD257" s="173">
        <f t="shared" si="636"/>
        <v>0.93420614965568016</v>
      </c>
      <c r="AE257" s="545">
        <f t="shared" si="755"/>
        <v>658.31294326918123</v>
      </c>
      <c r="AF257" s="528">
        <f t="shared" si="756"/>
        <v>0.21798143491965874</v>
      </c>
      <c r="AH257" s="173">
        <f t="shared" si="757"/>
        <v>1.8953577373100183</v>
      </c>
      <c r="AI257" s="173">
        <f t="shared" si="758"/>
        <v>1.8953577373100183</v>
      </c>
      <c r="AJ257" s="173">
        <f t="shared" si="759"/>
        <v>1.6163143733160628</v>
      </c>
      <c r="AL257" s="545">
        <f t="shared" si="760"/>
        <v>410</v>
      </c>
      <c r="AM257" s="460">
        <f t="shared" si="761"/>
        <v>350</v>
      </c>
      <c r="AO257">
        <f t="shared" si="644"/>
        <v>410</v>
      </c>
      <c r="AP257">
        <f t="shared" si="645"/>
        <v>350</v>
      </c>
      <c r="AR257" s="5">
        <f t="shared" si="616"/>
        <v>2.8571428571428572</v>
      </c>
      <c r="AS257" s="5">
        <f t="shared" si="739"/>
        <v>0.6328469276165587</v>
      </c>
      <c r="AT257" s="5">
        <f t="shared" si="740"/>
        <v>2.2242959295262983</v>
      </c>
      <c r="AU257" s="173">
        <f t="shared" si="741"/>
        <v>0.22149642466579553</v>
      </c>
      <c r="BA257" s="173">
        <f t="shared" si="692"/>
        <v>0.51500794071220768</v>
      </c>
      <c r="BB257" s="173">
        <f t="shared" si="693"/>
        <v>0.96551910310655609</v>
      </c>
      <c r="BC257" s="173">
        <f t="shared" si="694"/>
        <v>0.23687771396157972</v>
      </c>
      <c r="BD257" s="173"/>
      <c r="BE257" s="528">
        <f t="shared" si="695"/>
        <v>5.3046635799325762E-3</v>
      </c>
      <c r="BF257" s="528">
        <f t="shared" si="762"/>
        <v>0.66005606131980288</v>
      </c>
      <c r="BG257" s="528">
        <f t="shared" si="763"/>
        <v>0.31447187895353645</v>
      </c>
      <c r="BH257" s="528">
        <f t="shared" si="696"/>
        <v>9.8561810750939297E-2</v>
      </c>
      <c r="BI257">
        <f t="shared" si="697"/>
        <v>1.6172839489039019E-2</v>
      </c>
      <c r="BJ257" s="460">
        <f t="shared" si="698"/>
        <v>330.64471844257548</v>
      </c>
      <c r="BK257">
        <f t="shared" si="764"/>
        <v>0.76632065622754875</v>
      </c>
      <c r="BL257" s="460">
        <f t="shared" si="699"/>
        <v>1094.5672540932503</v>
      </c>
      <c r="BM257" s="173">
        <f t="shared" si="765"/>
        <v>0.25471249999999995</v>
      </c>
      <c r="BN257" s="173">
        <f t="shared" si="766"/>
        <v>4.5484374999999994E-2</v>
      </c>
      <c r="BQ257" s="460">
        <f t="shared" si="700"/>
        <v>300.19687499999992</v>
      </c>
      <c r="BR257" s="528">
        <f t="shared" si="701"/>
        <v>7.956995369898863E-3</v>
      </c>
      <c r="BS257" s="528">
        <f t="shared" si="702"/>
        <v>2.7966814153910651E-2</v>
      </c>
      <c r="BT257" s="528">
        <f t="shared" si="703"/>
        <v>2.8055525685831992E-4</v>
      </c>
      <c r="BU257" s="528">
        <f t="shared" si="704"/>
        <v>0.56671942184970769</v>
      </c>
      <c r="BV257" s="528"/>
      <c r="BW257" s="625">
        <f t="shared" si="705"/>
        <v>6.2866666666666678E-3</v>
      </c>
      <c r="BX257" s="460">
        <f t="shared" si="706"/>
        <v>609.21045329704214</v>
      </c>
      <c r="BY257" s="173">
        <f t="shared" si="707"/>
        <v>2.0039745823902924</v>
      </c>
      <c r="BZ257" s="5">
        <f t="shared" si="708"/>
        <v>7.5439999999999996</v>
      </c>
      <c r="CA257" s="173">
        <f t="shared" si="709"/>
        <v>0.79011521604945378</v>
      </c>
      <c r="CB257" s="5">
        <f t="shared" si="710"/>
        <v>79.011521604945372</v>
      </c>
      <c r="CC257">
        <f t="shared" si="711"/>
        <v>41</v>
      </c>
      <c r="CE257" s="562">
        <f t="shared" si="767"/>
        <v>-50</v>
      </c>
      <c r="CG257" s="173">
        <f t="shared" si="768"/>
        <v>0.45825756949558405</v>
      </c>
      <c r="CH257" s="173">
        <f t="shared" si="769"/>
        <v>0.16307199996462707</v>
      </c>
      <c r="CI257" s="170">
        <v>41</v>
      </c>
      <c r="CJ257" s="217">
        <f t="shared" si="712"/>
        <v>0.41</v>
      </c>
      <c r="CK257" s="217">
        <f t="shared" si="654"/>
        <v>0.10249999999999999</v>
      </c>
      <c r="CL257" s="217">
        <f t="shared" si="655"/>
        <v>6.7239999999999993</v>
      </c>
      <c r="CM257" s="217">
        <f t="shared" si="656"/>
        <v>0.82</v>
      </c>
      <c r="CN257" s="541">
        <f t="shared" si="657"/>
        <v>36</v>
      </c>
      <c r="CO257" s="443">
        <f t="shared" si="770"/>
        <v>17.099999999999998</v>
      </c>
      <c r="CP257" s="443">
        <f t="shared" si="771"/>
        <v>53.099999999999994</v>
      </c>
      <c r="CQ257" s="443"/>
      <c r="CR257" s="217">
        <f t="shared" si="660"/>
        <v>0.31818181818181812</v>
      </c>
      <c r="CS257" s="172">
        <f t="shared" si="661"/>
        <v>34.031620553359687</v>
      </c>
      <c r="CT257" s="172">
        <f t="shared" si="662"/>
        <v>4.6563192904656319</v>
      </c>
      <c r="CU257" s="217">
        <f t="shared" si="663"/>
        <v>2.0750988142292495</v>
      </c>
      <c r="CV257" s="217">
        <f t="shared" si="664"/>
        <v>4.2539525691699609</v>
      </c>
      <c r="CW257" s="217">
        <f t="shared" si="665"/>
        <v>16.399999999999999</v>
      </c>
      <c r="CX257" s="217">
        <f t="shared" si="666"/>
        <v>1.3172063492063493</v>
      </c>
      <c r="CY257" s="217">
        <f t="shared" si="667"/>
        <v>0.43906878306878311</v>
      </c>
      <c r="CZ257" s="217">
        <f t="shared" si="668"/>
        <v>0.9243553327763856</v>
      </c>
      <c r="DA257" s="197">
        <f t="shared" si="669"/>
        <v>350</v>
      </c>
      <c r="DB257" s="443">
        <f t="shared" si="670"/>
        <v>350</v>
      </c>
      <c r="DD257" s="217">
        <f t="shared" si="671"/>
        <v>2.7602905569007259</v>
      </c>
      <c r="DE257" s="173">
        <f t="shared" si="672"/>
        <v>1.937046004842615</v>
      </c>
      <c r="DF257" s="173">
        <f t="shared" si="673"/>
        <v>0.83398609309454497</v>
      </c>
      <c r="DG257" s="173"/>
      <c r="DH257" s="173">
        <f t="shared" si="674"/>
        <v>0.93567251461988332</v>
      </c>
      <c r="DI257" s="545">
        <f t="shared" si="675"/>
        <v>657.28124999999966</v>
      </c>
      <c r="DJ257" s="528">
        <f t="shared" si="676"/>
        <v>0.21832358674463945</v>
      </c>
      <c r="DL257" s="173">
        <f t="shared" si="677"/>
        <v>1.8953577373100183</v>
      </c>
      <c r="DM257" s="173">
        <f t="shared" si="678"/>
        <v>1.8953577373100183</v>
      </c>
      <c r="DN257" s="173">
        <f t="shared" si="679"/>
        <v>1.6163143733160628</v>
      </c>
      <c r="DP257" s="545">
        <f t="shared" si="680"/>
        <v>410</v>
      </c>
      <c r="DQ257" s="460">
        <f t="shared" si="681"/>
        <v>350</v>
      </c>
      <c r="DS257">
        <f t="shared" si="682"/>
        <v>410</v>
      </c>
      <c r="DT257">
        <f t="shared" si="683"/>
        <v>350</v>
      </c>
      <c r="DV257" s="5">
        <f t="shared" si="684"/>
        <v>2.8571428571428572</v>
      </c>
      <c r="DW257" s="5">
        <f t="shared" si="685"/>
        <v>0.63178591243667281</v>
      </c>
      <c r="DX257" s="5">
        <f t="shared" si="686"/>
        <v>2.2253569447061845</v>
      </c>
      <c r="DY257" s="173">
        <f t="shared" si="687"/>
        <v>0.22112506935283549</v>
      </c>
      <c r="EA257" s="5">
        <f t="shared" si="713"/>
        <v>1.579464781091682</v>
      </c>
      <c r="EB257" s="5">
        <f t="shared" si="714"/>
        <v>0.8094757003094869</v>
      </c>
      <c r="EC257" s="5">
        <f t="shared" si="715"/>
        <v>0.3463726874121385</v>
      </c>
      <c r="ED257" s="5"/>
      <c r="EE257" s="173">
        <f t="shared" si="716"/>
        <v>0.51457603495079429</v>
      </c>
      <c r="EF257" s="173">
        <f t="shared" si="717"/>
        <v>0.96574935760508607</v>
      </c>
      <c r="EG257" s="173">
        <f t="shared" si="718"/>
        <v>0.2369342039461545</v>
      </c>
      <c r="EH257" s="173"/>
      <c r="EI257" s="528">
        <f t="shared" si="719"/>
        <v>5.2957699149136219E-3</v>
      </c>
      <c r="EJ257" s="528">
        <f t="shared" si="720"/>
        <v>0.70450447095813384</v>
      </c>
      <c r="EK257" s="528">
        <f t="shared" si="721"/>
        <v>4.3749999999999997E-2</v>
      </c>
      <c r="EL257" s="528">
        <f t="shared" si="722"/>
        <v>9.8686349999999978E-2</v>
      </c>
      <c r="EM257">
        <f t="shared" si="723"/>
        <v>1.6199999999999999E-2</v>
      </c>
      <c r="EN257" s="460">
        <f t="shared" si="724"/>
        <v>59.949999999999996</v>
      </c>
      <c r="EP257" s="460">
        <f t="shared" si="725"/>
        <v>868.43659087304741</v>
      </c>
      <c r="EQ257" s="173">
        <f t="shared" si="726"/>
        <v>0.28699999999999998</v>
      </c>
      <c r="ER257" s="173">
        <f t="shared" si="772"/>
        <v>4.5484374999999994E-2</v>
      </c>
      <c r="ES257" s="528"/>
      <c r="EU257" s="460">
        <f t="shared" si="727"/>
        <v>332.48437499999994</v>
      </c>
      <c r="EV257" s="528">
        <f t="shared" si="728"/>
        <v>7.9436548723704325E-3</v>
      </c>
      <c r="EW257" s="528">
        <f t="shared" si="729"/>
        <v>2.798015465143909E-2</v>
      </c>
      <c r="EX257" s="528">
        <f t="shared" si="730"/>
        <v>2.8068908499798969E-4</v>
      </c>
      <c r="EY257" s="528">
        <f t="shared" si="731"/>
        <v>0.56671942184970769</v>
      </c>
      <c r="EZ257" s="528"/>
      <c r="FA257" s="625">
        <f t="shared" si="732"/>
        <v>6.2866666666666678E-3</v>
      </c>
      <c r="FB257" s="460">
        <f t="shared" si="733"/>
        <v>609.21058712518186</v>
      </c>
      <c r="FC257" s="173">
        <f t="shared" si="734"/>
        <v>1.8101315529982294</v>
      </c>
      <c r="FD257" s="5">
        <f t="shared" si="735"/>
        <v>7.5439999999999996</v>
      </c>
      <c r="FE257" s="173">
        <f t="shared" si="736"/>
        <v>0.80648855078181603</v>
      </c>
      <c r="FF257" s="5">
        <f t="shared" si="737"/>
        <v>80.648855078181597</v>
      </c>
      <c r="FG257">
        <f t="shared" si="738"/>
        <v>41</v>
      </c>
      <c r="FI257" s="562">
        <f t="shared" si="689"/>
        <v>-50</v>
      </c>
    </row>
    <row r="258" spans="5:165">
      <c r="E258" s="170">
        <v>42</v>
      </c>
      <c r="F258" s="217">
        <f t="shared" si="773"/>
        <v>0.42</v>
      </c>
      <c r="G258" s="217">
        <f t="shared" si="742"/>
        <v>0.105</v>
      </c>
      <c r="H258" s="217">
        <f t="shared" si="743"/>
        <v>6.887999999999999</v>
      </c>
      <c r="I258" s="217">
        <f t="shared" si="744"/>
        <v>0.84</v>
      </c>
      <c r="J258" s="541">
        <f t="shared" si="745"/>
        <v>35.938911686008474</v>
      </c>
      <c r="K258" s="443">
        <f t="shared" si="746"/>
        <v>17.127166155414411</v>
      </c>
      <c r="L258" s="172">
        <f t="shared" si="747"/>
        <v>53.066077841422882</v>
      </c>
      <c r="M258" s="443"/>
      <c r="N258" s="217">
        <f t="shared" si="748"/>
        <v>0.32275168718131841</v>
      </c>
      <c r="O258" s="172">
        <f t="shared" si="749"/>
        <v>34.461820265717762</v>
      </c>
      <c r="P258" s="172">
        <f t="shared" si="750"/>
        <v>4.7151806431380638</v>
      </c>
      <c r="Q258" s="217">
        <f t="shared" si="626"/>
        <v>2.1013305040071808</v>
      </c>
      <c r="R258" s="217">
        <f t="shared" si="751"/>
        <v>4.3077275332147202</v>
      </c>
      <c r="S258" s="217">
        <f t="shared" si="752"/>
        <v>16.399999999999999</v>
      </c>
      <c r="T258" s="217">
        <f t="shared" si="753"/>
        <v>1.3324891037656739</v>
      </c>
      <c r="U258" s="217">
        <f t="shared" si="630"/>
        <v>0.44491801490508592</v>
      </c>
      <c r="V258" s="217">
        <f t="shared" si="631"/>
        <v>0.93359690097554215</v>
      </c>
      <c r="W258" s="197">
        <f t="shared" si="632"/>
        <v>350</v>
      </c>
      <c r="X258" s="443">
        <f t="shared" si="691"/>
        <v>350</v>
      </c>
      <c r="Z258" s="217">
        <f t="shared" si="633"/>
        <v>2.7617486624094369</v>
      </c>
      <c r="AA258" s="173">
        <f t="shared" si="634"/>
        <v>1.9349951794819475</v>
      </c>
      <c r="AB258" s="173">
        <f t="shared" si="754"/>
        <v>0.83354320112921432</v>
      </c>
      <c r="AC258" s="173"/>
      <c r="AD258" s="173">
        <f t="shared" si="636"/>
        <v>0.93418840307927542</v>
      </c>
      <c r="AE258" s="545">
        <f t="shared" si="755"/>
        <v>674.3821673694423</v>
      </c>
      <c r="AF258" s="528">
        <f t="shared" si="756"/>
        <v>0.21797729405183094</v>
      </c>
      <c r="AH258" s="173">
        <f t="shared" si="757"/>
        <v>1.9183326093250876</v>
      </c>
      <c r="AI258" s="173">
        <f t="shared" si="758"/>
        <v>1.9183326093250876</v>
      </c>
      <c r="AJ258" s="173">
        <f t="shared" si="759"/>
        <v>1.633332797030929</v>
      </c>
      <c r="AL258" s="545">
        <f t="shared" si="760"/>
        <v>420</v>
      </c>
      <c r="AM258" s="460">
        <f t="shared" si="761"/>
        <v>350</v>
      </c>
      <c r="AO258">
        <f t="shared" si="644"/>
        <v>420</v>
      </c>
      <c r="AP258">
        <f t="shared" si="645"/>
        <v>350</v>
      </c>
      <c r="AR258" s="5">
        <f t="shared" si="616"/>
        <v>2.8571428571428572</v>
      </c>
      <c r="AS258" s="5">
        <f t="shared" si="739"/>
        <v>0.64053111883360292</v>
      </c>
      <c r="AT258" s="5">
        <f t="shared" si="740"/>
        <v>2.2166117383092541</v>
      </c>
      <c r="AU258" s="173">
        <f t="shared" si="741"/>
        <v>0.22418589159176103</v>
      </c>
      <c r="BA258" s="173">
        <f t="shared" si="692"/>
        <v>0.52440572112874595</v>
      </c>
      <c r="BB258" s="173">
        <f t="shared" si="693"/>
        <v>0.97553334454241303</v>
      </c>
      <c r="BC258" s="173">
        <f t="shared" si="694"/>
        <v>0.239334579507536</v>
      </c>
      <c r="BD258" s="173"/>
      <c r="BE258" s="528">
        <f t="shared" si="695"/>
        <v>5.5000272070512011E-3</v>
      </c>
      <c r="BF258" s="528">
        <f t="shared" si="762"/>
        <v>0.6680519184424637</v>
      </c>
      <c r="BG258" s="528">
        <f t="shared" si="763"/>
        <v>0.31446547725257412</v>
      </c>
      <c r="BH258" s="528">
        <f t="shared" si="696"/>
        <v>9.8560301611518339E-2</v>
      </c>
      <c r="BI258">
        <f t="shared" si="697"/>
        <v>1.6172510258703813E-2</v>
      </c>
      <c r="BJ258" s="460">
        <f t="shared" si="698"/>
        <v>330.63798751127791</v>
      </c>
      <c r="BK258">
        <f t="shared" si="764"/>
        <v>0.7746095193341852</v>
      </c>
      <c r="BL258" s="460">
        <f t="shared" si="699"/>
        <v>1102.7502347723112</v>
      </c>
      <c r="BM258" s="173">
        <f t="shared" si="765"/>
        <v>0.26092499999999996</v>
      </c>
      <c r="BN258" s="173">
        <f t="shared" si="766"/>
        <v>4.6593749999999996E-2</v>
      </c>
      <c r="BQ258" s="460">
        <f t="shared" si="700"/>
        <v>307.51874999999995</v>
      </c>
      <c r="BR258" s="528">
        <f t="shared" si="701"/>
        <v>8.250040810576802E-3</v>
      </c>
      <c r="BS258" s="528">
        <f t="shared" si="702"/>
        <v>2.8549959189423189E-2</v>
      </c>
      <c r="BT258" s="528">
        <f t="shared" si="703"/>
        <v>2.8640520474024537E-4</v>
      </c>
      <c r="BU258" s="528">
        <f t="shared" si="704"/>
        <v>0.58404981210931306</v>
      </c>
      <c r="BV258" s="528"/>
      <c r="BW258" s="625">
        <f t="shared" si="705"/>
        <v>6.4399999999999987E-3</v>
      </c>
      <c r="BX258" s="460">
        <f t="shared" si="706"/>
        <v>627.57621731405334</v>
      </c>
      <c r="BY258" s="173">
        <f t="shared" si="707"/>
        <v>2.0378452020863644</v>
      </c>
      <c r="BZ258" s="5">
        <f t="shared" si="708"/>
        <v>7.7279999999999989</v>
      </c>
      <c r="CA258" s="173">
        <f t="shared" si="709"/>
        <v>0.79132935655676762</v>
      </c>
      <c r="CB258" s="5">
        <f t="shared" si="710"/>
        <v>79.132935655676761</v>
      </c>
      <c r="CC258">
        <f t="shared" si="711"/>
        <v>42</v>
      </c>
      <c r="CE258" s="562">
        <f t="shared" si="767"/>
        <v>-50</v>
      </c>
      <c r="CG258" s="173">
        <f t="shared" si="768"/>
        <v>0.46381240951435548</v>
      </c>
      <c r="CH258" s="173">
        <f t="shared" si="769"/>
        <v>0.1650487024386128</v>
      </c>
      <c r="CI258" s="170">
        <v>42</v>
      </c>
      <c r="CJ258" s="217">
        <f t="shared" si="712"/>
        <v>0.42</v>
      </c>
      <c r="CK258" s="217">
        <f t="shared" si="654"/>
        <v>0.105</v>
      </c>
      <c r="CL258" s="217">
        <f t="shared" si="655"/>
        <v>6.887999999999999</v>
      </c>
      <c r="CM258" s="217">
        <f t="shared" si="656"/>
        <v>0.84</v>
      </c>
      <c r="CN258" s="541">
        <f t="shared" si="657"/>
        <v>36</v>
      </c>
      <c r="CO258" s="443">
        <f t="shared" si="770"/>
        <v>17.099999999999998</v>
      </c>
      <c r="CP258" s="443">
        <f t="shared" si="771"/>
        <v>53.099999999999994</v>
      </c>
      <c r="CQ258" s="443"/>
      <c r="CR258" s="217">
        <f t="shared" si="660"/>
        <v>0.31818181818181812</v>
      </c>
      <c r="CS258" s="172">
        <f t="shared" si="661"/>
        <v>34.031620553359687</v>
      </c>
      <c r="CT258" s="172">
        <f t="shared" si="662"/>
        <v>4.6563192904656319</v>
      </c>
      <c r="CU258" s="217">
        <f t="shared" si="663"/>
        <v>2.0750988142292495</v>
      </c>
      <c r="CV258" s="217">
        <f t="shared" si="664"/>
        <v>4.2539525691699609</v>
      </c>
      <c r="CW258" s="217">
        <f t="shared" si="665"/>
        <v>16.399999999999999</v>
      </c>
      <c r="CX258" s="217">
        <f t="shared" si="666"/>
        <v>1.3493333333333333</v>
      </c>
      <c r="CY258" s="217">
        <f t="shared" si="667"/>
        <v>0.44977777777777778</v>
      </c>
      <c r="CZ258" s="217">
        <f t="shared" si="668"/>
        <v>0.9469005847953218</v>
      </c>
      <c r="DA258" s="197">
        <f t="shared" si="669"/>
        <v>350</v>
      </c>
      <c r="DB258" s="443">
        <f t="shared" si="670"/>
        <v>350</v>
      </c>
      <c r="DD258" s="217">
        <f t="shared" si="671"/>
        <v>2.7602905569007259</v>
      </c>
      <c r="DE258" s="173">
        <f t="shared" si="672"/>
        <v>1.937046004842615</v>
      </c>
      <c r="DF258" s="173">
        <f t="shared" si="673"/>
        <v>0.83398609309454497</v>
      </c>
      <c r="DG258" s="173"/>
      <c r="DH258" s="173">
        <f t="shared" si="674"/>
        <v>0.93567251461988332</v>
      </c>
      <c r="DI258" s="545">
        <f t="shared" si="675"/>
        <v>673.31249999999977</v>
      </c>
      <c r="DJ258" s="528">
        <f t="shared" si="676"/>
        <v>0.21832358674463945</v>
      </c>
      <c r="DL258" s="173">
        <f t="shared" si="677"/>
        <v>1.9183326093250876</v>
      </c>
      <c r="DM258" s="173">
        <f t="shared" si="678"/>
        <v>1.9183326093250876</v>
      </c>
      <c r="DN258" s="173">
        <f t="shared" si="679"/>
        <v>1.633332797030929</v>
      </c>
      <c r="DP258" s="545">
        <f t="shared" si="680"/>
        <v>420</v>
      </c>
      <c r="DQ258" s="460">
        <f t="shared" si="681"/>
        <v>350</v>
      </c>
      <c r="DS258">
        <f t="shared" si="682"/>
        <v>420</v>
      </c>
      <c r="DT258">
        <f t="shared" si="683"/>
        <v>350</v>
      </c>
      <c r="DV258" s="5">
        <f t="shared" si="684"/>
        <v>2.8571428571428572</v>
      </c>
      <c r="DW258" s="5">
        <f t="shared" si="685"/>
        <v>0.63944420310836259</v>
      </c>
      <c r="DX258" s="5">
        <f t="shared" si="686"/>
        <v>2.2176986540344945</v>
      </c>
      <c r="DY258" s="173">
        <f t="shared" si="687"/>
        <v>0.22380547108792689</v>
      </c>
      <c r="EA258" s="5">
        <f t="shared" si="713"/>
        <v>1.6376010079604408</v>
      </c>
      <c r="EB258" s="5">
        <f t="shared" si="714"/>
        <v>0.83927051657972584</v>
      </c>
      <c r="EC258" s="5">
        <f t="shared" si="715"/>
        <v>0.35359972983772203</v>
      </c>
      <c r="ED258" s="5"/>
      <c r="EE258" s="173">
        <f t="shared" si="716"/>
        <v>0.5239606008100135</v>
      </c>
      <c r="EF258" s="173">
        <f t="shared" si="717"/>
        <v>0.97577249165237079</v>
      </c>
      <c r="EG258" s="173">
        <f t="shared" si="718"/>
        <v>0.23939325118013688</v>
      </c>
      <c r="EH258" s="173"/>
      <c r="EI258" s="528">
        <f t="shared" si="719"/>
        <v>5.4906942240238064E-3</v>
      </c>
      <c r="EJ258" s="528">
        <f t="shared" si="720"/>
        <v>0.71304423088613511</v>
      </c>
      <c r="EK258" s="528">
        <f t="shared" si="721"/>
        <v>4.3749999999999997E-2</v>
      </c>
      <c r="EL258" s="528">
        <f t="shared" si="722"/>
        <v>9.8686349999999978E-2</v>
      </c>
      <c r="EM258">
        <f t="shared" si="723"/>
        <v>1.6199999999999999E-2</v>
      </c>
      <c r="EN258" s="460">
        <f t="shared" si="724"/>
        <v>59.949999999999996</v>
      </c>
      <c r="EP258" s="460">
        <f t="shared" si="725"/>
        <v>877.17127511015883</v>
      </c>
      <c r="EQ258" s="173">
        <f t="shared" si="726"/>
        <v>0.29399999999999998</v>
      </c>
      <c r="ER258" s="173">
        <f t="shared" si="772"/>
        <v>4.6593749999999996E-2</v>
      </c>
      <c r="ES258" s="528"/>
      <c r="EU258" s="460">
        <f t="shared" si="727"/>
        <v>340.59375</v>
      </c>
      <c r="EV258" s="528">
        <f t="shared" si="728"/>
        <v>8.2360413360357092E-3</v>
      </c>
      <c r="EW258" s="528">
        <f t="shared" si="729"/>
        <v>2.856395866396428E-2</v>
      </c>
      <c r="EX258" s="528">
        <f t="shared" si="730"/>
        <v>2.8654564355298057E-4</v>
      </c>
      <c r="EY258" s="528">
        <f t="shared" si="731"/>
        <v>0.58404981210931306</v>
      </c>
      <c r="EZ258" s="528"/>
      <c r="FA258" s="625">
        <f t="shared" si="732"/>
        <v>6.4399999999999987E-3</v>
      </c>
      <c r="FB258" s="460">
        <f t="shared" si="733"/>
        <v>627.57635775286599</v>
      </c>
      <c r="FC258" s="173">
        <f t="shared" si="734"/>
        <v>1.8453413828630247</v>
      </c>
      <c r="FD258" s="5">
        <f t="shared" si="735"/>
        <v>7.7279999999999989</v>
      </c>
      <c r="FE258" s="173">
        <f t="shared" si="736"/>
        <v>0.80724166108122708</v>
      </c>
      <c r="FF258" s="5">
        <f t="shared" si="737"/>
        <v>80.724166108122702</v>
      </c>
      <c r="FG258">
        <f t="shared" si="738"/>
        <v>42</v>
      </c>
      <c r="FI258" s="562">
        <f t="shared" si="689"/>
        <v>-50</v>
      </c>
    </row>
    <row r="259" spans="5:165">
      <c r="E259" s="170">
        <v>43</v>
      </c>
      <c r="F259" s="217">
        <f t="shared" si="773"/>
        <v>0.43</v>
      </c>
      <c r="G259" s="217">
        <f t="shared" si="742"/>
        <v>0.1075</v>
      </c>
      <c r="H259" s="217">
        <f t="shared" si="743"/>
        <v>7.0519999999999996</v>
      </c>
      <c r="I259" s="217">
        <f t="shared" si="744"/>
        <v>0.86</v>
      </c>
      <c r="J259" s="541">
        <f t="shared" si="745"/>
        <v>35.93818872221641</v>
      </c>
      <c r="K259" s="443">
        <f t="shared" si="746"/>
        <v>17.127487659568818</v>
      </c>
      <c r="L259" s="172">
        <f t="shared" si="747"/>
        <v>53.065676381785224</v>
      </c>
      <c r="M259" s="443"/>
      <c r="N259" s="217">
        <f t="shared" si="748"/>
        <v>0.32276018751450086</v>
      </c>
      <c r="O259" s="172">
        <f t="shared" si="749"/>
        <v>34.462034620831709</v>
      </c>
      <c r="P259" s="172">
        <f t="shared" si="750"/>
        <v>4.7152099719162965</v>
      </c>
      <c r="Q259" s="217">
        <f t="shared" si="626"/>
        <v>2.1013435744409579</v>
      </c>
      <c r="R259" s="217">
        <f t="shared" si="751"/>
        <v>4.3077543276039636</v>
      </c>
      <c r="S259" s="217">
        <f t="shared" si="752"/>
        <v>16.399999999999999</v>
      </c>
      <c r="T259" s="217">
        <f t="shared" si="753"/>
        <v>1.3642065493403739</v>
      </c>
      <c r="U259" s="217">
        <f t="shared" si="630"/>
        <v>0.45551763108095994</v>
      </c>
      <c r="V259" s="217">
        <f t="shared" si="631"/>
        <v>0.95580151143408354</v>
      </c>
      <c r="W259" s="197">
        <f t="shared" si="632"/>
        <v>350</v>
      </c>
      <c r="X259" s="443">
        <f t="shared" si="691"/>
        <v>350</v>
      </c>
      <c r="Z259" s="217">
        <f t="shared" si="633"/>
        <v>2.7617658406938306</v>
      </c>
      <c r="AA259" s="173">
        <f t="shared" si="634"/>
        <v>1.9349708928157121</v>
      </c>
      <c r="AB259" s="173">
        <f t="shared" si="754"/>
        <v>0.83353792373145896</v>
      </c>
      <c r="AC259" s="173"/>
      <c r="AD259" s="173">
        <f t="shared" si="636"/>
        <v>0.93417086720603126</v>
      </c>
      <c r="AE259" s="545">
        <f t="shared" si="755"/>
        <v>690.45184627636775</v>
      </c>
      <c r="AF259" s="528">
        <f t="shared" si="756"/>
        <v>0.21797320234807399</v>
      </c>
      <c r="AH259" s="173">
        <f t="shared" si="757"/>
        <v>1.9410355606271223</v>
      </c>
      <c r="AI259" s="173">
        <f t="shared" si="758"/>
        <v>1.9410355606271223</v>
      </c>
      <c r="AJ259" s="173">
        <f t="shared" si="759"/>
        <v>1.6501497979953992</v>
      </c>
      <c r="AL259" s="545">
        <f t="shared" si="760"/>
        <v>430</v>
      </c>
      <c r="AM259" s="460">
        <f t="shared" si="761"/>
        <v>350</v>
      </c>
      <c r="AO259">
        <f t="shared" si="644"/>
        <v>430</v>
      </c>
      <c r="AP259">
        <f t="shared" si="645"/>
        <v>350</v>
      </c>
      <c r="AR259" s="5">
        <f t="shared" si="616"/>
        <v>2.8571428571428572</v>
      </c>
      <c r="AS259" s="5">
        <f t="shared" si="739"/>
        <v>0.64812467059939682</v>
      </c>
      <c r="AT259" s="5">
        <f t="shared" si="740"/>
        <v>2.2090181865434602</v>
      </c>
      <c r="AU259" s="173">
        <f t="shared" si="741"/>
        <v>0.22684363470978888</v>
      </c>
      <c r="BA259" s="173">
        <f t="shared" si="692"/>
        <v>0.53374788023427244</v>
      </c>
      <c r="BB259" s="173">
        <f t="shared" si="693"/>
        <v>0.98538632841055618</v>
      </c>
      <c r="BC259" s="173">
        <f t="shared" si="694"/>
        <v>0.24175188257992122</v>
      </c>
      <c r="BD259" s="173"/>
      <c r="BE259" s="528">
        <f t="shared" si="695"/>
        <v>5.6977359930915853E-3</v>
      </c>
      <c r="BF259" s="528">
        <f t="shared" si="762"/>
        <v>0.67595301969415444</v>
      </c>
      <c r="BG259" s="528">
        <f t="shared" si="763"/>
        <v>0.31445915131939356</v>
      </c>
      <c r="BH259" s="528">
        <f t="shared" si="696"/>
        <v>9.8558810344972547E-2</v>
      </c>
      <c r="BI259">
        <f t="shared" si="697"/>
        <v>1.6172184924997383E-2</v>
      </c>
      <c r="BJ259" s="460">
        <f t="shared" si="698"/>
        <v>330.63133624439092</v>
      </c>
      <c r="BK259">
        <f t="shared" si="764"/>
        <v>0.78280770578824044</v>
      </c>
      <c r="BL259" s="460">
        <f t="shared" si="699"/>
        <v>1110.8409022766095</v>
      </c>
      <c r="BM259" s="173">
        <f t="shared" si="765"/>
        <v>0.26713749999999997</v>
      </c>
      <c r="BN259" s="173">
        <f t="shared" si="766"/>
        <v>4.7703124999999999E-2</v>
      </c>
      <c r="BQ259" s="460">
        <f t="shared" si="700"/>
        <v>314.84062499999999</v>
      </c>
      <c r="BR259" s="528">
        <f t="shared" si="701"/>
        <v>8.5466039896373771E-3</v>
      </c>
      <c r="BS259" s="528">
        <f t="shared" si="702"/>
        <v>2.9129586486553095E-2</v>
      </c>
      <c r="BT259" s="528">
        <f t="shared" si="703"/>
        <v>2.9221986365468008E-4</v>
      </c>
      <c r="BU259" s="528">
        <f t="shared" si="704"/>
        <v>0.60148367565983651</v>
      </c>
      <c r="BV259" s="528"/>
      <c r="BW259" s="625">
        <f t="shared" si="705"/>
        <v>6.5933333333333339E-3</v>
      </c>
      <c r="BX259" s="460">
        <f t="shared" si="706"/>
        <v>646.04541933301493</v>
      </c>
      <c r="BY259" s="173">
        <f t="shared" si="707"/>
        <v>2.0717269466096244</v>
      </c>
      <c r="BZ259" s="5">
        <f t="shared" si="708"/>
        <v>7.9119999999999999</v>
      </c>
      <c r="CA259" s="173">
        <f t="shared" si="709"/>
        <v>0.79248962259397893</v>
      </c>
      <c r="CB259" s="5">
        <f t="shared" si="710"/>
        <v>79.248962259397899</v>
      </c>
      <c r="CC259">
        <f t="shared" si="711"/>
        <v>43</v>
      </c>
      <c r="CE259" s="562">
        <f t="shared" si="767"/>
        <v>-50</v>
      </c>
      <c r="CG259" s="173">
        <f t="shared" si="768"/>
        <v>0.46930150483353922</v>
      </c>
      <c r="CH259" s="173">
        <f t="shared" si="769"/>
        <v>0.16700200951149116</v>
      </c>
      <c r="CI259" s="170">
        <v>43</v>
      </c>
      <c r="CJ259" s="217">
        <f t="shared" si="712"/>
        <v>0.43</v>
      </c>
      <c r="CK259" s="217">
        <f t="shared" si="654"/>
        <v>0.1075</v>
      </c>
      <c r="CL259" s="217">
        <f t="shared" si="655"/>
        <v>7.0519999999999996</v>
      </c>
      <c r="CM259" s="217">
        <f t="shared" si="656"/>
        <v>0.86</v>
      </c>
      <c r="CN259" s="541">
        <f t="shared" si="657"/>
        <v>36</v>
      </c>
      <c r="CO259" s="443">
        <f t="shared" si="770"/>
        <v>17.099999999999998</v>
      </c>
      <c r="CP259" s="443">
        <f t="shared" si="771"/>
        <v>53.099999999999994</v>
      </c>
      <c r="CQ259" s="443"/>
      <c r="CR259" s="217">
        <f t="shared" si="660"/>
        <v>0.31818181818181812</v>
      </c>
      <c r="CS259" s="172">
        <f t="shared" si="661"/>
        <v>34.031620553359687</v>
      </c>
      <c r="CT259" s="172">
        <f t="shared" si="662"/>
        <v>4.6563192904656319</v>
      </c>
      <c r="CU259" s="217">
        <f t="shared" si="663"/>
        <v>2.0750988142292495</v>
      </c>
      <c r="CV259" s="217">
        <f t="shared" si="664"/>
        <v>4.2539525691699609</v>
      </c>
      <c r="CW259" s="217">
        <f t="shared" si="665"/>
        <v>16.399999999999999</v>
      </c>
      <c r="CX259" s="217">
        <f t="shared" si="666"/>
        <v>1.3814603174603175</v>
      </c>
      <c r="CY259" s="217">
        <f t="shared" si="667"/>
        <v>0.4604867724867725</v>
      </c>
      <c r="CZ259" s="217">
        <f t="shared" si="668"/>
        <v>0.96944583681425789</v>
      </c>
      <c r="DA259" s="197">
        <f t="shared" si="669"/>
        <v>350</v>
      </c>
      <c r="DB259" s="443">
        <f t="shared" si="670"/>
        <v>350</v>
      </c>
      <c r="DD259" s="217">
        <f t="shared" si="671"/>
        <v>2.7602905569007259</v>
      </c>
      <c r="DE259" s="173">
        <f t="shared" si="672"/>
        <v>1.937046004842615</v>
      </c>
      <c r="DF259" s="173">
        <f t="shared" si="673"/>
        <v>0.83398609309454497</v>
      </c>
      <c r="DG259" s="173"/>
      <c r="DH259" s="173">
        <f t="shared" si="674"/>
        <v>0.93567251461988332</v>
      </c>
      <c r="DI259" s="545">
        <f t="shared" si="675"/>
        <v>689.34374999999977</v>
      </c>
      <c r="DJ259" s="528">
        <f t="shared" si="676"/>
        <v>0.21832358674463945</v>
      </c>
      <c r="DL259" s="173">
        <f t="shared" si="677"/>
        <v>1.9410355606271223</v>
      </c>
      <c r="DM259" s="173">
        <f t="shared" si="678"/>
        <v>1.9410355606271223</v>
      </c>
      <c r="DN259" s="173">
        <f t="shared" si="679"/>
        <v>1.6501497979953992</v>
      </c>
      <c r="DP259" s="545">
        <f t="shared" si="680"/>
        <v>430</v>
      </c>
      <c r="DQ259" s="460">
        <f t="shared" si="681"/>
        <v>350</v>
      </c>
      <c r="DS259">
        <f t="shared" si="682"/>
        <v>430</v>
      </c>
      <c r="DT259">
        <f t="shared" si="683"/>
        <v>350</v>
      </c>
      <c r="DV259" s="5">
        <f t="shared" si="684"/>
        <v>2.8571428571428572</v>
      </c>
      <c r="DW259" s="5">
        <f t="shared" si="685"/>
        <v>0.64701185354237412</v>
      </c>
      <c r="DX259" s="5">
        <f t="shared" si="686"/>
        <v>2.2101310036004831</v>
      </c>
      <c r="DY259" s="173">
        <f t="shared" si="687"/>
        <v>0.22645414873983094</v>
      </c>
      <c r="EA259" s="5">
        <f t="shared" si="713"/>
        <v>1.696433518434274</v>
      </c>
      <c r="EB259" s="5">
        <f t="shared" si="714"/>
        <v>0.86942217819756529</v>
      </c>
      <c r="EC259" s="5">
        <f t="shared" si="715"/>
        <v>0.36078342216181958</v>
      </c>
      <c r="ED259" s="5"/>
      <c r="EE259" s="173">
        <f t="shared" si="716"/>
        <v>0.53328946617652961</v>
      </c>
      <c r="EF259" s="173">
        <f t="shared" si="717"/>
        <v>0.9856344967269397</v>
      </c>
      <c r="EG259" s="173">
        <f t="shared" si="718"/>
        <v>0.24181276748967956</v>
      </c>
      <c r="EH259" s="173"/>
      <c r="EI259" s="528">
        <f t="shared" si="719"/>
        <v>5.6879530946969585E-3</v>
      </c>
      <c r="EJ259" s="528">
        <f t="shared" si="720"/>
        <v>0.72148291788510133</v>
      </c>
      <c r="EK259" s="528">
        <f t="shared" si="721"/>
        <v>4.3749999999999997E-2</v>
      </c>
      <c r="EL259" s="528">
        <f t="shared" si="722"/>
        <v>9.8686349999999978E-2</v>
      </c>
      <c r="EM259">
        <f t="shared" si="723"/>
        <v>1.6199999999999999E-2</v>
      </c>
      <c r="EN259" s="460">
        <f t="shared" si="724"/>
        <v>59.949999999999996</v>
      </c>
      <c r="EP259" s="460">
        <f t="shared" si="725"/>
        <v>885.80722097979822</v>
      </c>
      <c r="EQ259" s="173">
        <f t="shared" si="726"/>
        <v>0.30099999999999999</v>
      </c>
      <c r="ER259" s="173">
        <f t="shared" si="772"/>
        <v>4.7703124999999999E-2</v>
      </c>
      <c r="ES259" s="528"/>
      <c r="EU259" s="460">
        <f t="shared" si="727"/>
        <v>348.703125</v>
      </c>
      <c r="EV259" s="528">
        <f t="shared" si="728"/>
        <v>8.5319296420454365E-3</v>
      </c>
      <c r="EW259" s="528">
        <f t="shared" si="729"/>
        <v>2.9144260834145029E-2</v>
      </c>
      <c r="EX259" s="528">
        <f t="shared" si="730"/>
        <v>2.9236707260508912E-4</v>
      </c>
      <c r="EY259" s="528">
        <f t="shared" si="731"/>
        <v>0.60148367565983651</v>
      </c>
      <c r="EZ259" s="528"/>
      <c r="FA259" s="625">
        <f t="shared" si="732"/>
        <v>6.5933333333333339E-3</v>
      </c>
      <c r="FB259" s="460">
        <f t="shared" si="733"/>
        <v>646.0455665419654</v>
      </c>
      <c r="FC259" s="173">
        <f t="shared" si="734"/>
        <v>1.8805559125217635</v>
      </c>
      <c r="FD259" s="5">
        <f t="shared" si="735"/>
        <v>7.9119999999999999</v>
      </c>
      <c r="FE259" s="173">
        <f t="shared" si="736"/>
        <v>0.80796066631418539</v>
      </c>
      <c r="FF259" s="5">
        <f t="shared" si="737"/>
        <v>80.79606663141854</v>
      </c>
      <c r="FG259">
        <f t="shared" si="738"/>
        <v>43</v>
      </c>
      <c r="FI259" s="562">
        <f t="shared" si="689"/>
        <v>-50</v>
      </c>
    </row>
    <row r="260" spans="5:165">
      <c r="E260" s="170">
        <v>44</v>
      </c>
      <c r="F260" s="217">
        <f t="shared" si="773"/>
        <v>0.44</v>
      </c>
      <c r="G260" s="217">
        <f t="shared" si="742"/>
        <v>0.11</v>
      </c>
      <c r="H260" s="217">
        <f t="shared" si="743"/>
        <v>7.2159999999999993</v>
      </c>
      <c r="I260" s="217">
        <f t="shared" si="744"/>
        <v>0.88</v>
      </c>
      <c r="J260" s="541">
        <f t="shared" si="745"/>
        <v>35.937474117230117</v>
      </c>
      <c r="K260" s="443">
        <f t="shared" si="746"/>
        <v>17.127805446537373</v>
      </c>
      <c r="L260" s="172">
        <f t="shared" si="747"/>
        <v>53.06527956376749</v>
      </c>
      <c r="M260" s="443"/>
      <c r="N260" s="217">
        <f t="shared" si="748"/>
        <v>0.32276858969442024</v>
      </c>
      <c r="O260" s="172">
        <f t="shared" si="749"/>
        <v>34.462246475211735</v>
      </c>
      <c r="P260" s="172">
        <f t="shared" si="750"/>
        <v>4.7152389585358119</v>
      </c>
      <c r="Q260" s="217">
        <f t="shared" si="626"/>
        <v>2.1013564923909596</v>
      </c>
      <c r="R260" s="217">
        <f t="shared" si="751"/>
        <v>4.3077808094014669</v>
      </c>
      <c r="S260" s="217">
        <f t="shared" si="752"/>
        <v>16.399999999999999</v>
      </c>
      <c r="T260" s="217">
        <f t="shared" si="753"/>
        <v>1.3959237016446155</v>
      </c>
      <c r="U260" s="217">
        <f t="shared" si="630"/>
        <v>0.46611746738494703</v>
      </c>
      <c r="V260" s="217">
        <f t="shared" si="631"/>
        <v>0.97800529507543255</v>
      </c>
      <c r="W260" s="197">
        <f t="shared" si="632"/>
        <v>350</v>
      </c>
      <c r="X260" s="443">
        <f t="shared" si="691"/>
        <v>350</v>
      </c>
      <c r="Z260" s="217">
        <f t="shared" si="633"/>
        <v>2.7617828185709747</v>
      </c>
      <c r="AA260" s="173">
        <f t="shared" si="634"/>
        <v>1.9349468865873707</v>
      </c>
      <c r="AB260" s="173">
        <f t="shared" si="754"/>
        <v>0.83353270652521905</v>
      </c>
      <c r="AC260" s="173"/>
      <c r="AD260" s="173">
        <f t="shared" si="636"/>
        <v>0.93415353472704399</v>
      </c>
      <c r="AE260" s="545">
        <f t="shared" si="755"/>
        <v>706.52197466966641</v>
      </c>
      <c r="AF260" s="528">
        <f t="shared" si="756"/>
        <v>0.21796915810297696</v>
      </c>
      <c r="AH260" s="173">
        <f t="shared" si="757"/>
        <v>1.9634760235964419</v>
      </c>
      <c r="AI260" s="173">
        <f t="shared" si="758"/>
        <v>1.9634760235964419</v>
      </c>
      <c r="AJ260" s="173">
        <f t="shared" si="759"/>
        <v>1.6667723631578582</v>
      </c>
      <c r="AL260" s="545">
        <f t="shared" si="760"/>
        <v>440</v>
      </c>
      <c r="AM260" s="460">
        <f t="shared" si="761"/>
        <v>350</v>
      </c>
      <c r="AO260">
        <f t="shared" si="644"/>
        <v>440</v>
      </c>
      <c r="AP260">
        <f t="shared" si="645"/>
        <v>350</v>
      </c>
      <c r="AR260" s="5">
        <f t="shared" si="616"/>
        <v>2.8571428571428572</v>
      </c>
      <c r="AS260" s="5">
        <f t="shared" si="739"/>
        <v>0.65563072703155589</v>
      </c>
      <c r="AT260" s="5">
        <f t="shared" si="740"/>
        <v>2.2015121301113014</v>
      </c>
      <c r="AU260" s="173">
        <f t="shared" si="741"/>
        <v>0.22947075446104456</v>
      </c>
      <c r="BA260" s="173">
        <f t="shared" si="692"/>
        <v>0.5430360314445829</v>
      </c>
      <c r="BB260" s="173">
        <f t="shared" si="693"/>
        <v>0.9950835309823407</v>
      </c>
      <c r="BC260" s="173">
        <f t="shared" si="694"/>
        <v>0.24413096671159287</v>
      </c>
      <c r="BD260" s="173"/>
      <c r="BE260" s="528">
        <f t="shared" si="695"/>
        <v>5.8977626289416409E-3</v>
      </c>
      <c r="BF260" s="528">
        <f t="shared" si="762"/>
        <v>0.68376265196465447</v>
      </c>
      <c r="BG260" s="528">
        <f t="shared" si="763"/>
        <v>0.31445289852576352</v>
      </c>
      <c r="BH260" s="528">
        <f t="shared" si="696"/>
        <v>9.8557336331327988E-2</v>
      </c>
      <c r="BI260">
        <f t="shared" si="697"/>
        <v>1.6171863352753554E-2</v>
      </c>
      <c r="BJ260" s="460">
        <f t="shared" si="698"/>
        <v>330.62476187851706</v>
      </c>
      <c r="BK260">
        <f t="shared" si="764"/>
        <v>0.79091846752750328</v>
      </c>
      <c r="BL260" s="460">
        <f t="shared" si="699"/>
        <v>1118.842512803441</v>
      </c>
      <c r="BM260" s="173">
        <f t="shared" si="765"/>
        <v>0.27334999999999998</v>
      </c>
      <c r="BN260" s="173">
        <f t="shared" si="766"/>
        <v>4.8812499999999995E-2</v>
      </c>
      <c r="BQ260" s="460">
        <f t="shared" si="700"/>
        <v>322.16249999999997</v>
      </c>
      <c r="BR260" s="528">
        <f t="shared" si="701"/>
        <v>8.8466439434124605E-3</v>
      </c>
      <c r="BS260" s="528">
        <f t="shared" si="702"/>
        <v>2.9705737008968489E-2</v>
      </c>
      <c r="BT260" s="528">
        <f t="shared" si="703"/>
        <v>2.9799964453768436E-4</v>
      </c>
      <c r="BU260" s="528">
        <f t="shared" si="704"/>
        <v>0.61901920214677819</v>
      </c>
      <c r="BV260" s="528"/>
      <c r="BW260" s="625">
        <f t="shared" si="705"/>
        <v>6.7466666666666664E-3</v>
      </c>
      <c r="BX260" s="460">
        <f t="shared" si="706"/>
        <v>664.61624941036348</v>
      </c>
      <c r="BY260" s="173">
        <f t="shared" si="707"/>
        <v>2.1056212622138037</v>
      </c>
      <c r="BZ260" s="5">
        <f t="shared" si="708"/>
        <v>8.0960000000000001</v>
      </c>
      <c r="CA260" s="173">
        <f t="shared" si="709"/>
        <v>0.7935993497413103</v>
      </c>
      <c r="CB260" s="5">
        <f t="shared" si="710"/>
        <v>79.359934974131036</v>
      </c>
      <c r="CC260">
        <f t="shared" si="711"/>
        <v>44</v>
      </c>
      <c r="CE260" s="562">
        <f t="shared" si="767"/>
        <v>-50</v>
      </c>
      <c r="CG260" s="173">
        <f t="shared" si="768"/>
        <v>0.47472713600397504</v>
      </c>
      <c r="CH260" s="173">
        <f t="shared" si="769"/>
        <v>0.16893273272247331</v>
      </c>
      <c r="CI260" s="170">
        <v>44</v>
      </c>
      <c r="CJ260" s="217">
        <f t="shared" si="712"/>
        <v>0.44</v>
      </c>
      <c r="CK260" s="217">
        <f t="shared" si="654"/>
        <v>0.11</v>
      </c>
      <c r="CL260" s="217">
        <f t="shared" si="655"/>
        <v>7.2159999999999993</v>
      </c>
      <c r="CM260" s="217">
        <f t="shared" si="656"/>
        <v>0.88</v>
      </c>
      <c r="CN260" s="541">
        <f t="shared" si="657"/>
        <v>36</v>
      </c>
      <c r="CO260" s="443">
        <f t="shared" si="770"/>
        <v>17.099999999999998</v>
      </c>
      <c r="CP260" s="443">
        <f t="shared" si="771"/>
        <v>53.099999999999994</v>
      </c>
      <c r="CQ260" s="443"/>
      <c r="CR260" s="217">
        <f t="shared" si="660"/>
        <v>0.31818181818181812</v>
      </c>
      <c r="CS260" s="172">
        <f t="shared" si="661"/>
        <v>34.031620553359687</v>
      </c>
      <c r="CT260" s="172">
        <f t="shared" si="662"/>
        <v>4.6563192904656319</v>
      </c>
      <c r="CU260" s="217">
        <f t="shared" si="663"/>
        <v>2.0750988142292495</v>
      </c>
      <c r="CV260" s="217">
        <f t="shared" si="664"/>
        <v>4.2539525691699609</v>
      </c>
      <c r="CW260" s="217">
        <f t="shared" si="665"/>
        <v>16.399999999999999</v>
      </c>
      <c r="CX260" s="217">
        <f t="shared" si="666"/>
        <v>1.4135873015873017</v>
      </c>
      <c r="CY260" s="217">
        <f t="shared" si="667"/>
        <v>0.47119576719576722</v>
      </c>
      <c r="CZ260" s="217">
        <f t="shared" si="668"/>
        <v>0.99199108883319442</v>
      </c>
      <c r="DA260" s="197">
        <f t="shared" si="669"/>
        <v>350</v>
      </c>
      <c r="DB260" s="443">
        <f t="shared" si="670"/>
        <v>350</v>
      </c>
      <c r="DD260" s="217">
        <f t="shared" si="671"/>
        <v>2.7602905569007259</v>
      </c>
      <c r="DE260" s="173">
        <f t="shared" si="672"/>
        <v>1.937046004842615</v>
      </c>
      <c r="DF260" s="173">
        <f t="shared" si="673"/>
        <v>0.83398609309454497</v>
      </c>
      <c r="DG260" s="173"/>
      <c r="DH260" s="173">
        <f t="shared" si="674"/>
        <v>0.93567251461988332</v>
      </c>
      <c r="DI260" s="545">
        <f t="shared" si="675"/>
        <v>705.37499999999977</v>
      </c>
      <c r="DJ260" s="528">
        <f t="shared" si="676"/>
        <v>0.21832358674463945</v>
      </c>
      <c r="DL260" s="173">
        <f t="shared" si="677"/>
        <v>1.9634760235964419</v>
      </c>
      <c r="DM260" s="173">
        <f t="shared" si="678"/>
        <v>1.9634760235964419</v>
      </c>
      <c r="DN260" s="173">
        <f t="shared" si="679"/>
        <v>1.6667723631578582</v>
      </c>
      <c r="DP260" s="545">
        <f t="shared" si="680"/>
        <v>440</v>
      </c>
      <c r="DQ260" s="460">
        <f t="shared" si="681"/>
        <v>350</v>
      </c>
      <c r="DS260">
        <f t="shared" si="682"/>
        <v>440</v>
      </c>
      <c r="DT260">
        <f t="shared" si="683"/>
        <v>350</v>
      </c>
      <c r="DV260" s="5">
        <f t="shared" si="684"/>
        <v>2.8571428571428572</v>
      </c>
      <c r="DW260" s="5">
        <f t="shared" si="685"/>
        <v>0.65449200786548067</v>
      </c>
      <c r="DX260" s="5">
        <f t="shared" si="686"/>
        <v>2.2026508492773766</v>
      </c>
      <c r="DY260" s="173">
        <f t="shared" si="687"/>
        <v>0.22907220275291823</v>
      </c>
      <c r="EA260" s="5">
        <f t="shared" si="713"/>
        <v>1.7559541674439729</v>
      </c>
      <c r="EB260" s="5">
        <f t="shared" si="714"/>
        <v>0.89992651081503605</v>
      </c>
      <c r="EC260" s="5">
        <f t="shared" si="715"/>
        <v>0.36792427149040613</v>
      </c>
      <c r="ED260" s="5"/>
      <c r="EE260" s="173">
        <f t="shared" si="716"/>
        <v>0.54256424584656493</v>
      </c>
      <c r="EF260" s="173">
        <f t="shared" si="717"/>
        <v>0.99534084825667302</v>
      </c>
      <c r="EG260" s="173">
        <f t="shared" si="718"/>
        <v>0.24419409620070451</v>
      </c>
      <c r="EH260" s="173"/>
      <c r="EI260" s="528">
        <f t="shared" si="719"/>
        <v>5.8875192174210342E-3</v>
      </c>
      <c r="EJ260" s="528">
        <f t="shared" si="720"/>
        <v>0.72982403797079742</v>
      </c>
      <c r="EK260" s="528">
        <f t="shared" si="721"/>
        <v>4.3749999999999997E-2</v>
      </c>
      <c r="EL260" s="528">
        <f t="shared" si="722"/>
        <v>9.8686349999999978E-2</v>
      </c>
      <c r="EM260">
        <f t="shared" si="723"/>
        <v>1.6199999999999999E-2</v>
      </c>
      <c r="EN260" s="460">
        <f t="shared" si="724"/>
        <v>59.949999999999996</v>
      </c>
      <c r="EP260" s="460">
        <f t="shared" si="725"/>
        <v>894.3479071882183</v>
      </c>
      <c r="EQ260" s="173">
        <f t="shared" si="726"/>
        <v>0.308</v>
      </c>
      <c r="ER260" s="173">
        <f t="shared" si="772"/>
        <v>4.8812499999999995E-2</v>
      </c>
      <c r="ES260" s="528"/>
      <c r="EU260" s="460">
        <f t="shared" si="727"/>
        <v>356.8125</v>
      </c>
      <c r="EV260" s="528">
        <f t="shared" si="728"/>
        <v>8.8312788261315518E-3</v>
      </c>
      <c r="EW260" s="528">
        <f t="shared" si="729"/>
        <v>2.9721102126249399E-2</v>
      </c>
      <c r="EX260" s="528">
        <f t="shared" si="730"/>
        <v>2.9815378309639464E-4</v>
      </c>
      <c r="EY260" s="528">
        <f t="shared" si="731"/>
        <v>0.61901920214677819</v>
      </c>
      <c r="EZ260" s="528"/>
      <c r="FA260" s="625">
        <f t="shared" si="732"/>
        <v>6.7466666666666664E-3</v>
      </c>
      <c r="FB260" s="460">
        <f t="shared" si="733"/>
        <v>664.61640354892222</v>
      </c>
      <c r="FC260" s="173">
        <f t="shared" si="734"/>
        <v>1.9157768107371405</v>
      </c>
      <c r="FD260" s="5">
        <f t="shared" si="735"/>
        <v>8.0960000000000001</v>
      </c>
      <c r="FE260" s="173">
        <f t="shared" si="736"/>
        <v>0.80864767094262791</v>
      </c>
      <c r="FF260" s="5">
        <f t="shared" si="737"/>
        <v>80.864767094262788</v>
      </c>
      <c r="FG260">
        <f t="shared" si="738"/>
        <v>44</v>
      </c>
      <c r="FI260" s="562">
        <f t="shared" si="689"/>
        <v>-50</v>
      </c>
    </row>
    <row r="261" spans="5:165">
      <c r="E261" s="170">
        <v>45</v>
      </c>
      <c r="F261" s="217">
        <f t="shared" si="773"/>
        <v>0.45</v>
      </c>
      <c r="G261" s="217">
        <f t="shared" si="742"/>
        <v>0.1125</v>
      </c>
      <c r="H261" s="217">
        <f t="shared" si="743"/>
        <v>7.38</v>
      </c>
      <c r="I261" s="217">
        <f t="shared" si="744"/>
        <v>0.9</v>
      </c>
      <c r="J261" s="541">
        <f t="shared" si="745"/>
        <v>35.936767587654231</v>
      </c>
      <c r="K261" s="443">
        <f t="shared" si="746"/>
        <v>17.128119642346839</v>
      </c>
      <c r="L261" s="172">
        <f t="shared" si="747"/>
        <v>53.064887230001069</v>
      </c>
      <c r="M261" s="443"/>
      <c r="N261" s="217">
        <f t="shared" si="748"/>
        <v>0.32277689704884904</v>
      </c>
      <c r="O261" s="172">
        <f t="shared" si="749"/>
        <v>34.462455913641747</v>
      </c>
      <c r="P261" s="172">
        <f t="shared" si="750"/>
        <v>4.7152676145970274</v>
      </c>
      <c r="Q261" s="217">
        <f t="shared" si="626"/>
        <v>2.1013692630269358</v>
      </c>
      <c r="R261" s="217">
        <f t="shared" si="751"/>
        <v>4.3078069892052184</v>
      </c>
      <c r="S261" s="217">
        <f t="shared" si="752"/>
        <v>16.399999999999999</v>
      </c>
      <c r="T261" s="217">
        <f t="shared" si="753"/>
        <v>1.4276405640761223</v>
      </c>
      <c r="U261" s="217">
        <f t="shared" si="630"/>
        <v>0.47671752132762529</v>
      </c>
      <c r="V261" s="217">
        <f t="shared" si="631"/>
        <v>1.0002082614228016</v>
      </c>
      <c r="W261" s="197">
        <f t="shared" si="632"/>
        <v>350</v>
      </c>
      <c r="X261" s="443">
        <f t="shared" si="691"/>
        <v>350</v>
      </c>
      <c r="Z261" s="217">
        <f t="shared" si="633"/>
        <v>2.761799602835401</v>
      </c>
      <c r="AA261" s="173">
        <f t="shared" si="634"/>
        <v>1.9349231512890031</v>
      </c>
      <c r="AB261" s="173">
        <f t="shared" si="754"/>
        <v>0.8335275474697752</v>
      </c>
      <c r="AC261" s="173"/>
      <c r="AD261" s="173">
        <f t="shared" si="636"/>
        <v>0.93413639874643795</v>
      </c>
      <c r="AE261" s="545">
        <f t="shared" si="755"/>
        <v>722.5925474115071</v>
      </c>
      <c r="AF261" s="528">
        <f t="shared" si="756"/>
        <v>0.21796515970750222</v>
      </c>
      <c r="AH261" s="173">
        <f t="shared" si="757"/>
        <v>1.9856628975878918</v>
      </c>
      <c r="AI261" s="173">
        <f t="shared" si="758"/>
        <v>1.9856628975878918</v>
      </c>
      <c r="AJ261" s="173">
        <f t="shared" si="759"/>
        <v>1.6832070846330063</v>
      </c>
      <c r="AL261" s="545">
        <f t="shared" si="760"/>
        <v>450</v>
      </c>
      <c r="AM261" s="460">
        <f t="shared" si="761"/>
        <v>350</v>
      </c>
      <c r="AO261">
        <f t="shared" si="644"/>
        <v>450</v>
      </c>
      <c r="AP261">
        <f t="shared" si="645"/>
        <v>350</v>
      </c>
      <c r="AR261" s="5">
        <f t="shared" si="616"/>
        <v>2.8571428571428572</v>
      </c>
      <c r="AS261" s="5">
        <f t="shared" si="739"/>
        <v>0.66305225457285122</v>
      </c>
      <c r="AT261" s="5">
        <f t="shared" si="740"/>
        <v>2.194090602570006</v>
      </c>
      <c r="AU261" s="173">
        <f t="shared" si="741"/>
        <v>0.23206828910049793</v>
      </c>
      <c r="BA261" s="173">
        <f t="shared" si="692"/>
        <v>0.55227170586905094</v>
      </c>
      <c r="BB261" s="173">
        <f t="shared" si="693"/>
        <v>1.0046301195874046</v>
      </c>
      <c r="BC261" s="173">
        <f t="shared" si="694"/>
        <v>0.2464730996405253</v>
      </c>
      <c r="BD261" s="173"/>
      <c r="BE261" s="528">
        <f t="shared" si="695"/>
        <v>6.1000807420702307E-3</v>
      </c>
      <c r="BF261" s="528">
        <f t="shared" si="762"/>
        <v>0.69148391640102225</v>
      </c>
      <c r="BG261" s="528">
        <f t="shared" si="763"/>
        <v>0.31444671639197452</v>
      </c>
      <c r="BH261" s="528">
        <f t="shared" si="696"/>
        <v>9.8555878985645579E-2</v>
      </c>
      <c r="BI261">
        <f t="shared" si="697"/>
        <v>1.6171545414444405E-2</v>
      </c>
      <c r="BJ261" s="460">
        <f t="shared" si="698"/>
        <v>330.61826180641896</v>
      </c>
      <c r="BK261">
        <f t="shared" si="764"/>
        <v>0.79894487199598385</v>
      </c>
      <c r="BL261" s="460">
        <f t="shared" si="699"/>
        <v>1126.758137935157</v>
      </c>
      <c r="BM261" s="173">
        <f t="shared" si="765"/>
        <v>0.27956249999999999</v>
      </c>
      <c r="BN261" s="173">
        <f t="shared" si="766"/>
        <v>4.9921874999999998E-2</v>
      </c>
      <c r="BQ261" s="460">
        <f t="shared" si="700"/>
        <v>329.484375</v>
      </c>
      <c r="BR261" s="528">
        <f t="shared" si="701"/>
        <v>9.1501211131053452E-3</v>
      </c>
      <c r="BS261" s="528">
        <f t="shared" si="702"/>
        <v>3.0278450315466086E-2</v>
      </c>
      <c r="BT261" s="528">
        <f t="shared" si="703"/>
        <v>3.0374494423204157E-4</v>
      </c>
      <c r="BU261" s="528">
        <f t="shared" si="704"/>
        <v>0.63665465344326011</v>
      </c>
      <c r="BV261" s="528"/>
      <c r="BW261" s="625">
        <f t="shared" si="705"/>
        <v>6.8999999999999999E-3</v>
      </c>
      <c r="BX261" s="460">
        <f t="shared" si="706"/>
        <v>683.28696981606367</v>
      </c>
      <c r="BY261" s="173">
        <f t="shared" si="707"/>
        <v>2.1395294827512203</v>
      </c>
      <c r="BZ261" s="5">
        <f t="shared" si="708"/>
        <v>8.2799999999999994</v>
      </c>
      <c r="CA261" s="173">
        <f t="shared" si="709"/>
        <v>0.79466160287822429</v>
      </c>
      <c r="CB261" s="5">
        <f t="shared" si="710"/>
        <v>79.466160287822433</v>
      </c>
      <c r="CC261">
        <f t="shared" si="711"/>
        <v>45</v>
      </c>
      <c r="CE261" s="562">
        <f t="shared" si="767"/>
        <v>-50</v>
      </c>
      <c r="CG261" s="173">
        <f t="shared" si="768"/>
        <v>0.48009145470217324</v>
      </c>
      <c r="CH261" s="173">
        <f t="shared" si="769"/>
        <v>0.1708416377505467</v>
      </c>
      <c r="CI261" s="170">
        <v>45</v>
      </c>
      <c r="CJ261" s="217">
        <f t="shared" si="712"/>
        <v>0.45</v>
      </c>
      <c r="CK261" s="217">
        <f t="shared" si="654"/>
        <v>0.1125</v>
      </c>
      <c r="CL261" s="217">
        <f t="shared" si="655"/>
        <v>7.38</v>
      </c>
      <c r="CM261" s="217">
        <f t="shared" si="656"/>
        <v>0.9</v>
      </c>
      <c r="CN261" s="541">
        <f t="shared" si="657"/>
        <v>36</v>
      </c>
      <c r="CO261" s="443">
        <f t="shared" si="770"/>
        <v>17.099999999999998</v>
      </c>
      <c r="CP261" s="443">
        <f t="shared" si="771"/>
        <v>53.099999999999994</v>
      </c>
      <c r="CQ261" s="443"/>
      <c r="CR261" s="217">
        <f t="shared" si="660"/>
        <v>0.31818181818181812</v>
      </c>
      <c r="CS261" s="172">
        <f t="shared" si="661"/>
        <v>34.031620553359687</v>
      </c>
      <c r="CT261" s="172">
        <f t="shared" si="662"/>
        <v>4.6563192904656319</v>
      </c>
      <c r="CU261" s="217">
        <f t="shared" si="663"/>
        <v>2.0750988142292495</v>
      </c>
      <c r="CV261" s="217">
        <f t="shared" si="664"/>
        <v>4.2539525691699609</v>
      </c>
      <c r="CW261" s="217">
        <f t="shared" si="665"/>
        <v>16.399999999999999</v>
      </c>
      <c r="CX261" s="217">
        <f t="shared" si="666"/>
        <v>1.4457142857142857</v>
      </c>
      <c r="CY261" s="217">
        <f t="shared" si="667"/>
        <v>0.48190476190476195</v>
      </c>
      <c r="CZ261" s="217">
        <f t="shared" si="668"/>
        <v>1.0145363408521304</v>
      </c>
      <c r="DA261" s="197">
        <f t="shared" si="669"/>
        <v>350</v>
      </c>
      <c r="DB261" s="443">
        <f t="shared" si="670"/>
        <v>350</v>
      </c>
      <c r="DD261" s="217">
        <f t="shared" si="671"/>
        <v>2.7602905569007259</v>
      </c>
      <c r="DE261" s="173">
        <f t="shared" si="672"/>
        <v>1.937046004842615</v>
      </c>
      <c r="DF261" s="173">
        <f t="shared" si="673"/>
        <v>0.83398609309454497</v>
      </c>
      <c r="DG261" s="173"/>
      <c r="DH261" s="173">
        <f t="shared" si="674"/>
        <v>0.93567251461988332</v>
      </c>
      <c r="DI261" s="545">
        <f t="shared" si="675"/>
        <v>721.40624999999977</v>
      </c>
      <c r="DJ261" s="528">
        <f t="shared" si="676"/>
        <v>0.21832358674463945</v>
      </c>
      <c r="DL261" s="173">
        <f t="shared" si="677"/>
        <v>1.9856628975878918</v>
      </c>
      <c r="DM261" s="173">
        <f t="shared" si="678"/>
        <v>1.9856628975878918</v>
      </c>
      <c r="DN261" s="173">
        <f t="shared" si="679"/>
        <v>1.6832070846330063</v>
      </c>
      <c r="DP261" s="545">
        <f t="shared" si="680"/>
        <v>450</v>
      </c>
      <c r="DQ261" s="460">
        <f t="shared" si="681"/>
        <v>350</v>
      </c>
      <c r="DS261">
        <f t="shared" si="682"/>
        <v>450</v>
      </c>
      <c r="DT261">
        <f t="shared" si="683"/>
        <v>350</v>
      </c>
      <c r="DV261" s="5">
        <f t="shared" si="684"/>
        <v>2.8571428571428572</v>
      </c>
      <c r="DW261" s="5">
        <f t="shared" si="685"/>
        <v>0.66188763252929728</v>
      </c>
      <c r="DX261" s="5">
        <f t="shared" si="686"/>
        <v>2.1952552246135602</v>
      </c>
      <c r="DY261" s="173">
        <f t="shared" si="687"/>
        <v>0.23166067138525404</v>
      </c>
      <c r="EA261" s="5">
        <f t="shared" si="713"/>
        <v>1.8161550892572187</v>
      </c>
      <c r="EB261" s="5">
        <f t="shared" si="714"/>
        <v>0.93077948324432436</v>
      </c>
      <c r="EC261" s="5">
        <f t="shared" si="715"/>
        <v>0.37502276753814978</v>
      </c>
      <c r="ED261" s="5"/>
      <c r="EE261" s="173">
        <f t="shared" si="716"/>
        <v>0.5517864722548721</v>
      </c>
      <c r="EF261" s="173">
        <f t="shared" si="717"/>
        <v>1.0048967127631763</v>
      </c>
      <c r="EG261" s="173">
        <f t="shared" si="718"/>
        <v>0.24653850485294559</v>
      </c>
      <c r="EH261" s="173"/>
      <c r="EI261" s="528">
        <f t="shared" si="719"/>
        <v>6.0893662192695345E-3</v>
      </c>
      <c r="EJ261" s="528">
        <f t="shared" si="720"/>
        <v>0.73807089903341916</v>
      </c>
      <c r="EK261" s="528">
        <f t="shared" si="721"/>
        <v>4.3749999999999997E-2</v>
      </c>
      <c r="EL261" s="528">
        <f t="shared" si="722"/>
        <v>9.8686349999999978E-2</v>
      </c>
      <c r="EM261">
        <f t="shared" si="723"/>
        <v>1.6199999999999999E-2</v>
      </c>
      <c r="EN261" s="460">
        <f t="shared" si="724"/>
        <v>59.949999999999996</v>
      </c>
      <c r="EP261" s="460">
        <f t="shared" si="725"/>
        <v>902.79661525268875</v>
      </c>
      <c r="EQ261" s="173">
        <f t="shared" si="726"/>
        <v>0.315</v>
      </c>
      <c r="ER261" s="173">
        <f t="shared" si="772"/>
        <v>4.9921874999999998E-2</v>
      </c>
      <c r="ES261" s="528"/>
      <c r="EU261" s="460">
        <f t="shared" si="727"/>
        <v>364.921875</v>
      </c>
      <c r="EV261" s="528">
        <f t="shared" si="728"/>
        <v>9.1340493289043014E-3</v>
      </c>
      <c r="EW261" s="528">
        <f t="shared" si="729"/>
        <v>3.0294522099667126E-2</v>
      </c>
      <c r="EX261" s="528">
        <f t="shared" si="730"/>
        <v>3.039061718756294E-4</v>
      </c>
      <c r="EY261" s="528">
        <f t="shared" si="731"/>
        <v>0.63665465344326011</v>
      </c>
      <c r="EZ261" s="528"/>
      <c r="FA261" s="625">
        <f t="shared" si="732"/>
        <v>6.8999999999999999E-3</v>
      </c>
      <c r="FB261" s="460">
        <f t="shared" si="733"/>
        <v>683.28713104370718</v>
      </c>
      <c r="FC261" s="173">
        <f t="shared" si="734"/>
        <v>1.9510056212963955</v>
      </c>
      <c r="FD261" s="5">
        <f t="shared" si="735"/>
        <v>8.2799999999999994</v>
      </c>
      <c r="FE261" s="173">
        <f t="shared" si="736"/>
        <v>0.80930460860706877</v>
      </c>
      <c r="FF261" s="5">
        <f t="shared" si="737"/>
        <v>80.930460860706873</v>
      </c>
      <c r="FG261">
        <f t="shared" si="738"/>
        <v>45</v>
      </c>
      <c r="FI261" s="562">
        <f t="shared" si="689"/>
        <v>-50</v>
      </c>
    </row>
    <row r="262" spans="5:165">
      <c r="E262" s="170">
        <v>46</v>
      </c>
      <c r="F262" s="217">
        <f t="shared" si="773"/>
        <v>0.46</v>
      </c>
      <c r="G262" s="217">
        <f t="shared" si="742"/>
        <v>0.115</v>
      </c>
      <c r="H262" s="217">
        <f t="shared" si="743"/>
        <v>7.5439999999999996</v>
      </c>
      <c r="I262" s="217">
        <f t="shared" si="744"/>
        <v>0.92</v>
      </c>
      <c r="J262" s="541">
        <f t="shared" si="745"/>
        <v>35.936068865754017</v>
      </c>
      <c r="K262" s="443">
        <f t="shared" si="746"/>
        <v>17.128430366059646</v>
      </c>
      <c r="L262" s="172">
        <f t="shared" si="747"/>
        <v>53.064499231813663</v>
      </c>
      <c r="M262" s="443"/>
      <c r="N262" s="217">
        <f t="shared" si="748"/>
        <v>0.32278511272166438</v>
      </c>
      <c r="O262" s="172">
        <f t="shared" si="749"/>
        <v>34.462663016220439</v>
      </c>
      <c r="P262" s="172">
        <f t="shared" si="750"/>
        <v>4.7152959510593107</v>
      </c>
      <c r="Q262" s="217">
        <f t="shared" si="626"/>
        <v>2.1013818912329536</v>
      </c>
      <c r="R262" s="217">
        <f t="shared" si="751"/>
        <v>4.3078328770275549</v>
      </c>
      <c r="S262" s="217">
        <f t="shared" si="752"/>
        <v>16.399999999999999</v>
      </c>
      <c r="T262" s="217">
        <f t="shared" si="753"/>
        <v>1.4593571399186975</v>
      </c>
      <c r="U262" s="217">
        <f t="shared" si="630"/>
        <v>0.48731779050304092</v>
      </c>
      <c r="V262" s="217">
        <f t="shared" si="631"/>
        <v>1.0224104196800976</v>
      </c>
      <c r="W262" s="197">
        <f t="shared" si="632"/>
        <v>350</v>
      </c>
      <c r="X262" s="443">
        <f t="shared" si="691"/>
        <v>350</v>
      </c>
      <c r="Z262" s="217">
        <f t="shared" si="633"/>
        <v>2.7618161999061677</v>
      </c>
      <c r="AA262" s="173">
        <f t="shared" si="634"/>
        <v>1.934899677938102</v>
      </c>
      <c r="AB262" s="173">
        <f t="shared" si="754"/>
        <v>0.83352244463717828</v>
      </c>
      <c r="AC262" s="173"/>
      <c r="AD262" s="173">
        <f t="shared" si="636"/>
        <v>0.93411945274940933</v>
      </c>
      <c r="AE262" s="545">
        <f t="shared" si="755"/>
        <v>738.66355953632217</v>
      </c>
      <c r="AF262" s="528">
        <f t="shared" si="756"/>
        <v>0.21796120564152888</v>
      </c>
      <c r="AH262" s="173">
        <f t="shared" si="757"/>
        <v>2.0076045901711299</v>
      </c>
      <c r="AI262" s="173">
        <f t="shared" si="758"/>
        <v>2.0076045901711299</v>
      </c>
      <c r="AJ262" s="173">
        <f t="shared" si="759"/>
        <v>1.6994601902502195</v>
      </c>
      <c r="AL262" s="545">
        <f t="shared" si="760"/>
        <v>460</v>
      </c>
      <c r="AM262" s="460">
        <f t="shared" si="761"/>
        <v>350</v>
      </c>
      <c r="AO262">
        <f t="shared" si="644"/>
        <v>460</v>
      </c>
      <c r="AP262">
        <f t="shared" si="645"/>
        <v>350</v>
      </c>
      <c r="AR262" s="5">
        <f t="shared" si="616"/>
        <v>2.8571428571428572</v>
      </c>
      <c r="AS262" s="5">
        <f t="shared" si="739"/>
        <v>0.67039205573795502</v>
      </c>
      <c r="AT262" s="5">
        <f t="shared" si="740"/>
        <v>2.1867508014049024</v>
      </c>
      <c r="AU262" s="173">
        <f t="shared" si="741"/>
        <v>0.23463721950828426</v>
      </c>
      <c r="BA262" s="173">
        <f t="shared" si="692"/>
        <v>0.56145635824098128</v>
      </c>
      <c r="BB262" s="173">
        <f t="shared" si="693"/>
        <v>1.0140309764907769</v>
      </c>
      <c r="BC262" s="173">
        <f t="shared" si="694"/>
        <v>0.24877947916775156</v>
      </c>
      <c r="BD262" s="173"/>
      <c r="BE262" s="528">
        <f t="shared" si="695"/>
        <v>6.3046648441845024E-3</v>
      </c>
      <c r="BF262" s="528">
        <f t="shared" si="762"/>
        <v>0.69911974277854738</v>
      </c>
      <c r="BG262" s="528">
        <f t="shared" si="763"/>
        <v>0.31444060257534762</v>
      </c>
      <c r="BH262" s="528">
        <f t="shared" si="696"/>
        <v>9.8554437755310351E-2</v>
      </c>
      <c r="BI262">
        <f t="shared" si="697"/>
        <v>1.6171230989589308E-2</v>
      </c>
      <c r="BJ262" s="460">
        <f t="shared" si="698"/>
        <v>330.61183356493694</v>
      </c>
      <c r="BK262">
        <f t="shared" si="764"/>
        <v>0.80688981644443913</v>
      </c>
      <c r="BL262" s="460">
        <f t="shared" si="699"/>
        <v>1134.5906789429791</v>
      </c>
      <c r="BM262" s="173">
        <f t="shared" si="765"/>
        <v>0.285775</v>
      </c>
      <c r="BN262" s="173">
        <f t="shared" si="766"/>
        <v>5.103125E-2</v>
      </c>
      <c r="BQ262" s="460">
        <f t="shared" si="700"/>
        <v>336.80624999999998</v>
      </c>
      <c r="BR262" s="528">
        <f t="shared" si="701"/>
        <v>9.4569972662767524E-3</v>
      </c>
      <c r="BS262" s="528">
        <f t="shared" si="702"/>
        <v>3.0847764638485153E-2</v>
      </c>
      <c r="BT262" s="528">
        <f t="shared" si="703"/>
        <v>3.0945614627488869E-4</v>
      </c>
      <c r="BU262" s="528">
        <f t="shared" si="704"/>
        <v>0.65438835922222582</v>
      </c>
      <c r="BV262" s="528"/>
      <c r="BW262" s="625">
        <f t="shared" si="705"/>
        <v>7.0533333333333333E-3</v>
      </c>
      <c r="BX262" s="460">
        <f t="shared" si="706"/>
        <v>702.05591060659594</v>
      </c>
      <c r="BY262" s="173">
        <f t="shared" si="707"/>
        <v>2.1734528395495754</v>
      </c>
      <c r="BZ262" s="5">
        <f t="shared" si="708"/>
        <v>8.4640000000000004</v>
      </c>
      <c r="CA262" s="173">
        <f t="shared" si="709"/>
        <v>0.79567920325166808</v>
      </c>
      <c r="CB262" s="5">
        <f t="shared" si="710"/>
        <v>79.56792032516681</v>
      </c>
      <c r="CC262">
        <f t="shared" si="711"/>
        <v>46</v>
      </c>
      <c r="CE262" s="562">
        <f t="shared" si="767"/>
        <v>-50</v>
      </c>
      <c r="CG262" s="173">
        <f t="shared" si="768"/>
        <v>0.48539649370134619</v>
      </c>
      <c r="CH262" s="173">
        <f t="shared" si="769"/>
        <v>0.17272944796268946</v>
      </c>
      <c r="CI262" s="170">
        <v>46</v>
      </c>
      <c r="CJ262" s="217">
        <f t="shared" si="712"/>
        <v>0.46</v>
      </c>
      <c r="CK262" s="217">
        <f t="shared" si="654"/>
        <v>0.115</v>
      </c>
      <c r="CL262" s="217">
        <f t="shared" si="655"/>
        <v>7.5439999999999996</v>
      </c>
      <c r="CM262" s="217">
        <f t="shared" si="656"/>
        <v>0.92</v>
      </c>
      <c r="CN262" s="541">
        <f t="shared" si="657"/>
        <v>36</v>
      </c>
      <c r="CO262" s="443">
        <f t="shared" si="770"/>
        <v>17.099999999999998</v>
      </c>
      <c r="CP262" s="443">
        <f t="shared" si="771"/>
        <v>53.099999999999994</v>
      </c>
      <c r="CQ262" s="443"/>
      <c r="CR262" s="217">
        <f t="shared" si="660"/>
        <v>0.31818181818181812</v>
      </c>
      <c r="CS262" s="172">
        <f t="shared" si="661"/>
        <v>34.031620553359687</v>
      </c>
      <c r="CT262" s="172">
        <f t="shared" si="662"/>
        <v>4.6563192904656319</v>
      </c>
      <c r="CU262" s="217">
        <f t="shared" si="663"/>
        <v>2.0750988142292495</v>
      </c>
      <c r="CV262" s="217">
        <f t="shared" si="664"/>
        <v>4.2539525691699609</v>
      </c>
      <c r="CW262" s="217">
        <f t="shared" si="665"/>
        <v>16.399999999999999</v>
      </c>
      <c r="CX262" s="217">
        <f t="shared" si="666"/>
        <v>1.4778412698412702</v>
      </c>
      <c r="CY262" s="217">
        <f t="shared" si="667"/>
        <v>0.49261375661375678</v>
      </c>
      <c r="CZ262" s="217">
        <f t="shared" si="668"/>
        <v>1.037081592871067</v>
      </c>
      <c r="DA262" s="197">
        <f t="shared" si="669"/>
        <v>350</v>
      </c>
      <c r="DB262" s="443">
        <f t="shared" si="670"/>
        <v>350</v>
      </c>
      <c r="DD262" s="217">
        <f t="shared" si="671"/>
        <v>2.7602905569007259</v>
      </c>
      <c r="DE262" s="173">
        <f t="shared" si="672"/>
        <v>1.937046004842615</v>
      </c>
      <c r="DF262" s="173">
        <f t="shared" si="673"/>
        <v>0.83398609309454497</v>
      </c>
      <c r="DG262" s="173"/>
      <c r="DH262" s="173">
        <f t="shared" si="674"/>
        <v>0.93567251461988332</v>
      </c>
      <c r="DI262" s="545">
        <f t="shared" si="675"/>
        <v>737.43749999999977</v>
      </c>
      <c r="DJ262" s="528">
        <f t="shared" si="676"/>
        <v>0.21832358674463945</v>
      </c>
      <c r="DL262" s="173">
        <f t="shared" si="677"/>
        <v>2.0076045901711299</v>
      </c>
      <c r="DM262" s="173">
        <f t="shared" si="678"/>
        <v>2.0076045901711299</v>
      </c>
      <c r="DN262" s="173">
        <f t="shared" si="679"/>
        <v>1.6994601902502195</v>
      </c>
      <c r="DP262" s="545">
        <f t="shared" si="680"/>
        <v>460</v>
      </c>
      <c r="DQ262" s="460">
        <f t="shared" si="681"/>
        <v>350</v>
      </c>
      <c r="DS262">
        <f t="shared" si="682"/>
        <v>460</v>
      </c>
      <c r="DT262">
        <f t="shared" si="683"/>
        <v>350</v>
      </c>
      <c r="DV262" s="5">
        <f t="shared" si="684"/>
        <v>2.8571428571428572</v>
      </c>
      <c r="DW262" s="5">
        <f t="shared" si="685"/>
        <v>0.6692015300570433</v>
      </c>
      <c r="DX262" s="5">
        <f t="shared" si="686"/>
        <v>2.1879413270858139</v>
      </c>
      <c r="DY262" s="173">
        <f t="shared" si="687"/>
        <v>0.23422053551996516</v>
      </c>
      <c r="EA262" s="5">
        <f t="shared" si="713"/>
        <v>1.8770286818673172</v>
      </c>
      <c r="EB262" s="5">
        <f t="shared" si="714"/>
        <v>0.96197719945699989</v>
      </c>
      <c r="EC262" s="5">
        <f t="shared" si="715"/>
        <v>0.38207938360035593</v>
      </c>
      <c r="ED262" s="5"/>
      <c r="EE262" s="173">
        <f t="shared" si="716"/>
        <v>0.56095760140846129</v>
      </c>
      <c r="EF262" s="173">
        <f t="shared" si="717"/>
        <v>1.0143069717369242</v>
      </c>
      <c r="EG262" s="173">
        <f t="shared" si="718"/>
        <v>0.24884719105740891</v>
      </c>
      <c r="EH262" s="173"/>
      <c r="EI262" s="528">
        <f t="shared" si="719"/>
        <v>6.2934686115586821E-3</v>
      </c>
      <c r="EJ262" s="528">
        <f t="shared" si="720"/>
        <v>0.74622662616660895</v>
      </c>
      <c r="EK262" s="528">
        <f t="shared" si="721"/>
        <v>4.3749999999999997E-2</v>
      </c>
      <c r="EL262" s="528">
        <f t="shared" si="722"/>
        <v>9.8686349999999978E-2</v>
      </c>
      <c r="EM262">
        <f t="shared" si="723"/>
        <v>1.6199999999999999E-2</v>
      </c>
      <c r="EN262" s="460">
        <f t="shared" si="724"/>
        <v>59.949999999999996</v>
      </c>
      <c r="EP262" s="460">
        <f t="shared" si="725"/>
        <v>911.1564447781675</v>
      </c>
      <c r="EQ262" s="173">
        <f t="shared" si="726"/>
        <v>0.32200000000000001</v>
      </c>
      <c r="ER262" s="173">
        <f t="shared" si="772"/>
        <v>5.103125E-2</v>
      </c>
      <c r="ES262" s="528"/>
      <c r="EU262" s="460">
        <f t="shared" si="727"/>
        <v>373.03125000000006</v>
      </c>
      <c r="EV262" s="528">
        <f t="shared" si="728"/>
        <v>9.4402029173380232E-3</v>
      </c>
      <c r="EW262" s="528">
        <f t="shared" si="729"/>
        <v>3.0864558987423886E-2</v>
      </c>
      <c r="EX262" s="528">
        <f t="shared" si="730"/>
        <v>3.0962462248581288E-4</v>
      </c>
      <c r="EY262" s="528">
        <f t="shared" si="731"/>
        <v>0.65438835922222582</v>
      </c>
      <c r="EZ262" s="528"/>
      <c r="FA262" s="625">
        <f t="shared" si="732"/>
        <v>7.0533333333333333E-3</v>
      </c>
      <c r="FB262" s="460">
        <f t="shared" si="733"/>
        <v>702.05607908280683</v>
      </c>
      <c r="FC262" s="173">
        <f t="shared" si="734"/>
        <v>1.9862437738609744</v>
      </c>
      <c r="FD262" s="5">
        <f t="shared" si="735"/>
        <v>8.4640000000000004</v>
      </c>
      <c r="FE262" s="173">
        <f t="shared" si="736"/>
        <v>0.80993325927677073</v>
      </c>
      <c r="FF262" s="5">
        <f t="shared" si="737"/>
        <v>80.993325927677077</v>
      </c>
      <c r="FG262">
        <f t="shared" si="738"/>
        <v>46</v>
      </c>
      <c r="FI262" s="562">
        <f t="shared" si="689"/>
        <v>-50</v>
      </c>
    </row>
    <row r="263" spans="5:165">
      <c r="E263" s="170">
        <v>47</v>
      </c>
      <c r="F263" s="217">
        <f t="shared" si="773"/>
        <v>0.47</v>
      </c>
      <c r="G263" s="217">
        <f t="shared" si="742"/>
        <v>0.11749999999999999</v>
      </c>
      <c r="H263" s="217">
        <f t="shared" si="743"/>
        <v>7.7079999999999993</v>
      </c>
      <c r="I263" s="217">
        <f t="shared" si="744"/>
        <v>0.94</v>
      </c>
      <c r="J263" s="541">
        <f t="shared" si="745"/>
        <v>35.935377698269946</v>
      </c>
      <c r="K263" s="443">
        <f t="shared" si="746"/>
        <v>17.128737730301069</v>
      </c>
      <c r="L263" s="172">
        <f t="shared" si="747"/>
        <v>53.064115428571014</v>
      </c>
      <c r="M263" s="443"/>
      <c r="N263" s="217">
        <f t="shared" si="748"/>
        <v>0.32279323968676837</v>
      </c>
      <c r="O263" s="172">
        <f t="shared" si="749"/>
        <v>34.462867858715967</v>
      </c>
      <c r="P263" s="172">
        <f t="shared" si="750"/>
        <v>4.715323978289514</v>
      </c>
      <c r="Q263" s="217">
        <f t="shared" si="626"/>
        <v>2.1013943816290226</v>
      </c>
      <c r="R263" s="217">
        <f t="shared" si="751"/>
        <v>4.3078584823394959</v>
      </c>
      <c r="S263" s="217">
        <f t="shared" si="752"/>
        <v>16.399999999999999</v>
      </c>
      <c r="T263" s="217">
        <f t="shared" si="753"/>
        <v>1.4910734323484494</v>
      </c>
      <c r="U263" s="217">
        <f t="shared" si="630"/>
        <v>0.49791827258414539</v>
      </c>
      <c r="V263" s="217">
        <f t="shared" si="631"/>
        <v>1.0446117787493785</v>
      </c>
      <c r="W263" s="197">
        <f t="shared" si="632"/>
        <v>350</v>
      </c>
      <c r="X263" s="443">
        <f t="shared" si="691"/>
        <v>350</v>
      </c>
      <c r="Z263" s="217">
        <f t="shared" si="633"/>
        <v>2.7618326158552859</v>
      </c>
      <c r="AA263" s="173">
        <f t="shared" si="634"/>
        <v>1.9348764580378046</v>
      </c>
      <c r="AB263" s="173">
        <f t="shared" si="754"/>
        <v>0.83351739620371557</v>
      </c>
      <c r="AC263" s="173"/>
      <c r="AD263" s="173">
        <f t="shared" si="636"/>
        <v>0.93410269057338025</v>
      </c>
      <c r="AE263" s="545">
        <f t="shared" si="755"/>
        <v>754.73500624139058</v>
      </c>
      <c r="AF263" s="528">
        <f t="shared" si="756"/>
        <v>0.21795729446712209</v>
      </c>
      <c r="AH263" s="173">
        <f t="shared" si="757"/>
        <v>2.0293090543569843</v>
      </c>
      <c r="AI263" s="173">
        <f t="shared" si="758"/>
        <v>2.0293090543569843</v>
      </c>
      <c r="AJ263" s="173">
        <f t="shared" si="759"/>
        <v>1.71553757112863</v>
      </c>
      <c r="AL263" s="545">
        <f t="shared" si="760"/>
        <v>470</v>
      </c>
      <c r="AM263" s="460">
        <f t="shared" si="761"/>
        <v>350</v>
      </c>
      <c r="AO263">
        <f t="shared" si="644"/>
        <v>470</v>
      </c>
      <c r="AP263">
        <f t="shared" si="645"/>
        <v>350</v>
      </c>
      <c r="AR263" s="5">
        <f t="shared" ref="AR263:AR316" si="774">1/AM263*1000</f>
        <v>2.8571428571428572</v>
      </c>
      <c r="AS263" s="5">
        <f t="shared" si="739"/>
        <v>0.67765278152220965</v>
      </c>
      <c r="AT263" s="5">
        <f t="shared" si="740"/>
        <v>2.1794900756206474</v>
      </c>
      <c r="AU263" s="173">
        <f t="shared" si="741"/>
        <v>0.23717847353277338</v>
      </c>
      <c r="BA263" s="173">
        <f t="shared" si="692"/>
        <v>0.57059137230129098</v>
      </c>
      <c r="BB263" s="173">
        <f t="shared" si="693"/>
        <v>1.0232907204473918</v>
      </c>
      <c r="BC263" s="173">
        <f t="shared" si="694"/>
        <v>0.25105123844548632</v>
      </c>
      <c r="BD263" s="173"/>
      <c r="BE263" s="528">
        <f t="shared" si="695"/>
        <v>6.5114902828934083E-3</v>
      </c>
      <c r="BF263" s="528">
        <f t="shared" si="762"/>
        <v>0.70667290247297176</v>
      </c>
      <c r="BG263" s="528">
        <f t="shared" si="763"/>
        <v>0.31443455485986199</v>
      </c>
      <c r="BH263" s="528">
        <f t="shared" si="696"/>
        <v>9.8553012117584798E-2</v>
      </c>
      <c r="BI263">
        <f t="shared" si="697"/>
        <v>1.6170919964221476E-2</v>
      </c>
      <c r="BJ263" s="460">
        <f t="shared" si="698"/>
        <v>330.6054748240835</v>
      </c>
      <c r="BK263">
        <f t="shared" si="764"/>
        <v>0.81475604083761066</v>
      </c>
      <c r="BL263" s="460">
        <f t="shared" si="699"/>
        <v>1142.3428796975334</v>
      </c>
      <c r="BM263" s="173">
        <f t="shared" si="765"/>
        <v>0.29198749999999996</v>
      </c>
      <c r="BN263" s="173">
        <f t="shared" si="766"/>
        <v>5.2140624999999996E-2</v>
      </c>
      <c r="BQ263" s="460">
        <f t="shared" si="700"/>
        <v>344.12812499999995</v>
      </c>
      <c r="BR263" s="528">
        <f t="shared" si="701"/>
        <v>9.7672354243401125E-3</v>
      </c>
      <c r="BS263" s="528">
        <f t="shared" si="702"/>
        <v>3.1413716956612263E-2</v>
      </c>
      <c r="BT263" s="528">
        <f t="shared" si="703"/>
        <v>3.1513362162506213E-4</v>
      </c>
      <c r="BU263" s="528">
        <f t="shared" si="704"/>
        <v>0.67221871289074275</v>
      </c>
      <c r="BV263" s="528"/>
      <c r="BW263" s="625">
        <f t="shared" si="705"/>
        <v>7.2066666666666668E-3</v>
      </c>
      <c r="BX263" s="460">
        <f t="shared" si="706"/>
        <v>720.92146555998693</v>
      </c>
      <c r="BY263" s="173">
        <f t="shared" si="707"/>
        <v>2.2073924702575205</v>
      </c>
      <c r="BZ263" s="5">
        <f t="shared" si="708"/>
        <v>8.6479999999999997</v>
      </c>
      <c r="CA263" s="173">
        <f t="shared" si="709"/>
        <v>0.79665475234492789</v>
      </c>
      <c r="CB263" s="5">
        <f t="shared" si="710"/>
        <v>79.665475234492789</v>
      </c>
      <c r="CC263">
        <f t="shared" si="711"/>
        <v>47</v>
      </c>
      <c r="CE263" s="562">
        <f t="shared" si="767"/>
        <v>-50</v>
      </c>
      <c r="CG263" s="173">
        <f t="shared" si="768"/>
        <v>0.49064417587195835</v>
      </c>
      <c r="CH263" s="173">
        <f t="shared" si="769"/>
        <v>0.17459684761673638</v>
      </c>
      <c r="CI263" s="170">
        <v>47</v>
      </c>
      <c r="CJ263" s="217">
        <f t="shared" si="712"/>
        <v>0.47</v>
      </c>
      <c r="CK263" s="217">
        <f t="shared" si="654"/>
        <v>0.11749999999999999</v>
      </c>
      <c r="CL263" s="217">
        <f t="shared" si="655"/>
        <v>7.7079999999999993</v>
      </c>
      <c r="CM263" s="217">
        <f t="shared" si="656"/>
        <v>0.94</v>
      </c>
      <c r="CN263" s="541">
        <f t="shared" si="657"/>
        <v>36</v>
      </c>
      <c r="CO263" s="443">
        <f t="shared" si="770"/>
        <v>17.099999999999998</v>
      </c>
      <c r="CP263" s="443">
        <f t="shared" si="771"/>
        <v>53.099999999999994</v>
      </c>
      <c r="CQ263" s="443"/>
      <c r="CR263" s="217">
        <f t="shared" si="660"/>
        <v>0.31818181818181812</v>
      </c>
      <c r="CS263" s="172">
        <f t="shared" si="661"/>
        <v>34.031620553359687</v>
      </c>
      <c r="CT263" s="172">
        <f t="shared" si="662"/>
        <v>4.6563192904656319</v>
      </c>
      <c r="CU263" s="217">
        <f t="shared" si="663"/>
        <v>2.0750988142292495</v>
      </c>
      <c r="CV263" s="217">
        <f t="shared" si="664"/>
        <v>4.2539525691699609</v>
      </c>
      <c r="CW263" s="217">
        <f t="shared" si="665"/>
        <v>16.399999999999999</v>
      </c>
      <c r="CX263" s="217">
        <f t="shared" si="666"/>
        <v>1.5099682539682542</v>
      </c>
      <c r="CY263" s="217">
        <f t="shared" si="667"/>
        <v>0.50332275132275139</v>
      </c>
      <c r="CZ263" s="217">
        <f t="shared" si="668"/>
        <v>1.059626844890003</v>
      </c>
      <c r="DA263" s="197">
        <f t="shared" si="669"/>
        <v>350</v>
      </c>
      <c r="DB263" s="443">
        <f t="shared" si="670"/>
        <v>350</v>
      </c>
      <c r="DD263" s="217">
        <f t="shared" si="671"/>
        <v>2.7602905569007259</v>
      </c>
      <c r="DE263" s="173">
        <f t="shared" si="672"/>
        <v>1.937046004842615</v>
      </c>
      <c r="DF263" s="173">
        <f t="shared" si="673"/>
        <v>0.83398609309454497</v>
      </c>
      <c r="DG263" s="173"/>
      <c r="DH263" s="173">
        <f t="shared" si="674"/>
        <v>0.93567251461988332</v>
      </c>
      <c r="DI263" s="545">
        <f t="shared" si="675"/>
        <v>753.46874999999966</v>
      </c>
      <c r="DJ263" s="528">
        <f t="shared" si="676"/>
        <v>0.21832358674463945</v>
      </c>
      <c r="DL263" s="173">
        <f t="shared" si="677"/>
        <v>2.0293090543569843</v>
      </c>
      <c r="DM263" s="173">
        <f t="shared" si="678"/>
        <v>2.0293090543569843</v>
      </c>
      <c r="DN263" s="173">
        <f t="shared" si="679"/>
        <v>1.71553757112863</v>
      </c>
      <c r="DP263" s="545">
        <f t="shared" si="680"/>
        <v>470</v>
      </c>
      <c r="DQ263" s="460">
        <f t="shared" si="681"/>
        <v>350</v>
      </c>
      <c r="DS263">
        <f t="shared" si="682"/>
        <v>470</v>
      </c>
      <c r="DT263">
        <f t="shared" si="683"/>
        <v>350</v>
      </c>
      <c r="DV263" s="5">
        <f t="shared" si="684"/>
        <v>2.8571428571428572</v>
      </c>
      <c r="DW263" s="5">
        <f t="shared" si="685"/>
        <v>0.67643635145232817</v>
      </c>
      <c r="DX263" s="5">
        <f t="shared" si="686"/>
        <v>2.1807065056905293</v>
      </c>
      <c r="DY263" s="173">
        <f t="shared" si="687"/>
        <v>0.23675272300831485</v>
      </c>
      <c r="EA263" s="5">
        <f t="shared" si="713"/>
        <v>1.9385675925767942</v>
      </c>
      <c r="EB263" s="5">
        <f t="shared" si="714"/>
        <v>0.99351589119560679</v>
      </c>
      <c r="EC263" s="5">
        <f t="shared" si="715"/>
        <v>0.38909457745052306</v>
      </c>
      <c r="ED263" s="5"/>
      <c r="EE263" s="173">
        <f t="shared" si="716"/>
        <v>0.57007901827338003</v>
      </c>
      <c r="EF263" s="173">
        <f t="shared" si="717"/>
        <v>1.0235762431899598</v>
      </c>
      <c r="EG263" s="173">
        <f t="shared" si="718"/>
        <v>0.25112128778405041</v>
      </c>
      <c r="EH263" s="173"/>
      <c r="EI263" s="528">
        <f t="shared" si="719"/>
        <v>6.4998017415108158E-3</v>
      </c>
      <c r="EJ263" s="528">
        <f t="shared" si="720"/>
        <v>0.75429417550449107</v>
      </c>
      <c r="EK263" s="528">
        <f t="shared" si="721"/>
        <v>4.3749999999999997E-2</v>
      </c>
      <c r="EL263" s="528">
        <f t="shared" si="722"/>
        <v>9.8686349999999978E-2</v>
      </c>
      <c r="EM263">
        <f t="shared" si="723"/>
        <v>1.6199999999999999E-2</v>
      </c>
      <c r="EN263" s="460">
        <f t="shared" si="724"/>
        <v>59.949999999999996</v>
      </c>
      <c r="EP263" s="460">
        <f t="shared" si="725"/>
        <v>919.43032724600187</v>
      </c>
      <c r="EQ263" s="173">
        <f t="shared" si="726"/>
        <v>0.32899999999999996</v>
      </c>
      <c r="ER263" s="173">
        <f t="shared" si="772"/>
        <v>5.2140624999999996E-2</v>
      </c>
      <c r="ES263" s="528"/>
      <c r="EU263" s="460">
        <f t="shared" si="727"/>
        <v>381.14062499999994</v>
      </c>
      <c r="EV263" s="528">
        <f t="shared" si="728"/>
        <v>9.7497026122662228E-3</v>
      </c>
      <c r="EW263" s="528">
        <f t="shared" si="729"/>
        <v>3.1431249768686151E-2</v>
      </c>
      <c r="EX263" s="528">
        <f t="shared" si="730"/>
        <v>3.1530950589159934E-4</v>
      </c>
      <c r="EY263" s="528">
        <f t="shared" si="731"/>
        <v>0.67221871289074275</v>
      </c>
      <c r="EZ263" s="528"/>
      <c r="FA263" s="625">
        <f t="shared" si="732"/>
        <v>7.2066666666666668E-3</v>
      </c>
      <c r="FB263" s="460">
        <f t="shared" si="733"/>
        <v>720.9216414442534</v>
      </c>
      <c r="FC263" s="173">
        <f t="shared" si="734"/>
        <v>2.0214925936902555</v>
      </c>
      <c r="FD263" s="5">
        <f t="shared" si="735"/>
        <v>8.6479999999999997</v>
      </c>
      <c r="FE263" s="173">
        <f t="shared" si="736"/>
        <v>0.81053526435870726</v>
      </c>
      <c r="FF263" s="5">
        <f t="shared" si="737"/>
        <v>81.053526435870722</v>
      </c>
      <c r="FG263">
        <f t="shared" si="738"/>
        <v>47</v>
      </c>
      <c r="FI263" s="562">
        <f t="shared" si="689"/>
        <v>-50</v>
      </c>
    </row>
    <row r="264" spans="5:165">
      <c r="E264" s="170">
        <v>48</v>
      </c>
      <c r="F264" s="217">
        <f t="shared" si="773"/>
        <v>0.48</v>
      </c>
      <c r="G264" s="217">
        <f t="shared" si="742"/>
        <v>0.12</v>
      </c>
      <c r="H264" s="217">
        <f t="shared" si="743"/>
        <v>7.871999999999999</v>
      </c>
      <c r="I264" s="217">
        <f t="shared" si="744"/>
        <v>0.96</v>
      </c>
      <c r="J264" s="541">
        <f t="shared" si="745"/>
        <v>35.934693845345151</v>
      </c>
      <c r="K264" s="443">
        <f t="shared" si="746"/>
        <v>17.129041841736164</v>
      </c>
      <c r="L264" s="172">
        <f t="shared" si="747"/>
        <v>53.063735687081319</v>
      </c>
      <c r="M264" s="443"/>
      <c r="N264" s="217">
        <f t="shared" si="748"/>
        <v>0.3228012807606821</v>
      </c>
      <c r="O264" s="172">
        <f t="shared" si="749"/>
        <v>34.463070512886745</v>
      </c>
      <c r="P264" s="172">
        <f t="shared" si="750"/>
        <v>4.715351706105861</v>
      </c>
      <c r="Q264" s="217">
        <f t="shared" si="626"/>
        <v>2.1014067385906552</v>
      </c>
      <c r="R264" s="217">
        <f t="shared" si="751"/>
        <v>4.3078838141108431</v>
      </c>
      <c r="S264" s="217">
        <f t="shared" si="752"/>
        <v>16.399999999999999</v>
      </c>
      <c r="T264" s="217">
        <f t="shared" si="753"/>
        <v>1.5227894444395544</v>
      </c>
      <c r="U264" s="217">
        <f t="shared" si="630"/>
        <v>0.50851896531857421</v>
      </c>
      <c r="V264" s="217">
        <f t="shared" si="631"/>
        <v>1.0668123472470012</v>
      </c>
      <c r="W264" s="197">
        <f t="shared" si="632"/>
        <v>350</v>
      </c>
      <c r="X264" s="443">
        <f t="shared" si="691"/>
        <v>350</v>
      </c>
      <c r="Z264" s="217">
        <f t="shared" si="633"/>
        <v>2.7618488564334323</v>
      </c>
      <c r="AA264" s="173">
        <f t="shared" si="634"/>
        <v>1.9348534835409079</v>
      </c>
      <c r="AB264" s="173">
        <f t="shared" si="754"/>
        <v>0.83351240044218566</v>
      </c>
      <c r="AC264" s="173"/>
      <c r="AD264" s="173">
        <f t="shared" si="636"/>
        <v>0.93408610638190115</v>
      </c>
      <c r="AE264" s="545">
        <f t="shared" si="755"/>
        <v>770.80688287812711</v>
      </c>
      <c r="AF264" s="528">
        <f t="shared" si="756"/>
        <v>0.21795342482244362</v>
      </c>
      <c r="AH264" s="173">
        <f t="shared" si="757"/>
        <v>2.0507838222772983</v>
      </c>
      <c r="AI264" s="173">
        <f t="shared" si="758"/>
        <v>2.0507838222772983</v>
      </c>
      <c r="AJ264" s="173">
        <f t="shared" si="759"/>
        <v>1.7314448066251589</v>
      </c>
      <c r="AL264" s="545">
        <f t="shared" si="760"/>
        <v>480</v>
      </c>
      <c r="AM264" s="460">
        <f t="shared" si="761"/>
        <v>350</v>
      </c>
      <c r="AO264">
        <f t="shared" si="644"/>
        <v>480</v>
      </c>
      <c r="AP264">
        <f t="shared" si="645"/>
        <v>350</v>
      </c>
      <c r="AR264" s="5">
        <f t="shared" si="774"/>
        <v>2.8571428571428572</v>
      </c>
      <c r="AS264" s="5">
        <f t="shared" si="739"/>
        <v>0.68483694262822825</v>
      </c>
      <c r="AT264" s="5">
        <f t="shared" si="740"/>
        <v>2.1723059145146291</v>
      </c>
      <c r="AU264" s="173">
        <f t="shared" si="741"/>
        <v>0.23969292991987989</v>
      </c>
      <c r="BA264" s="173">
        <f t="shared" si="692"/>
        <v>0.57967806569645541</v>
      </c>
      <c r="BB264" s="173">
        <f t="shared" si="693"/>
        <v>1.0324137262043631</v>
      </c>
      <c r="BC264" s="173">
        <f t="shared" si="694"/>
        <v>0.25328945076175907</v>
      </c>
      <c r="BD264" s="173"/>
      <c r="BE264" s="528">
        <f t="shared" si="695"/>
        <v>6.7205331969916815E-3</v>
      </c>
      <c r="BF264" s="528">
        <f t="shared" si="762"/>
        <v>0.71414602019686346</v>
      </c>
      <c r="BG264" s="528">
        <f t="shared" si="763"/>
        <v>0.31442857114677009</v>
      </c>
      <c r="BH264" s="528">
        <f t="shared" si="696"/>
        <v>9.8551601577394968E-2</v>
      </c>
      <c r="BI264">
        <f t="shared" si="697"/>
        <v>1.6170612230405317E-2</v>
      </c>
      <c r="BJ264" s="460">
        <f t="shared" si="698"/>
        <v>330.59918337717539</v>
      </c>
      <c r="BK264">
        <f t="shared" si="764"/>
        <v>0.8225461395305349</v>
      </c>
      <c r="BL264" s="460">
        <f t="shared" si="699"/>
        <v>1150.0173383484255</v>
      </c>
      <c r="BM264" s="173">
        <f t="shared" si="765"/>
        <v>0.29819999999999997</v>
      </c>
      <c r="BN264" s="173">
        <f t="shared" si="766"/>
        <v>5.3249999999999999E-2</v>
      </c>
      <c r="BQ264" s="460">
        <f t="shared" si="700"/>
        <v>351.45</v>
      </c>
      <c r="BR264" s="528">
        <f t="shared" si="701"/>
        <v>1.0080799795487523E-2</v>
      </c>
      <c r="BS264" s="528">
        <f t="shared" si="702"/>
        <v>3.1976343061655331E-2</v>
      </c>
      <c r="BT264" s="528">
        <f t="shared" si="703"/>
        <v>3.2077772933596788E-4</v>
      </c>
      <c r="BU264" s="528">
        <f t="shared" si="704"/>
        <v>0.69014416784970156</v>
      </c>
      <c r="BV264" s="528"/>
      <c r="BW264" s="625">
        <f t="shared" si="705"/>
        <v>7.3600000000000002E-3</v>
      </c>
      <c r="BX264" s="460">
        <f t="shared" si="706"/>
        <v>739.88208843618042</v>
      </c>
      <c r="BY264" s="173">
        <f t="shared" si="707"/>
        <v>2.2413494267846059</v>
      </c>
      <c r="BZ264" s="5">
        <f t="shared" si="708"/>
        <v>8.831999999999999</v>
      </c>
      <c r="CA264" s="173">
        <f t="shared" si="709"/>
        <v>0.79759065298136889</v>
      </c>
      <c r="CB264" s="5">
        <f t="shared" si="710"/>
        <v>79.759065298136889</v>
      </c>
      <c r="CC264">
        <f t="shared" si="711"/>
        <v>48</v>
      </c>
      <c r="CE264" s="562">
        <f t="shared" si="767"/>
        <v>-50</v>
      </c>
      <c r="CG264" s="173">
        <f t="shared" si="768"/>
        <v>0.4958363223248024</v>
      </c>
      <c r="CH264" s="173">
        <f t="shared" si="769"/>
        <v>0.1764444847591114</v>
      </c>
      <c r="CI264" s="170">
        <v>48</v>
      </c>
      <c r="CJ264" s="217">
        <f t="shared" si="712"/>
        <v>0.48</v>
      </c>
      <c r="CK264" s="217">
        <f t="shared" si="654"/>
        <v>0.12</v>
      </c>
      <c r="CL264" s="217">
        <f t="shared" si="655"/>
        <v>7.871999999999999</v>
      </c>
      <c r="CM264" s="217">
        <f t="shared" si="656"/>
        <v>0.96</v>
      </c>
      <c r="CN264" s="541">
        <f t="shared" si="657"/>
        <v>36</v>
      </c>
      <c r="CO264" s="443">
        <f t="shared" si="770"/>
        <v>17.099999999999998</v>
      </c>
      <c r="CP264" s="443">
        <f t="shared" si="771"/>
        <v>53.099999999999994</v>
      </c>
      <c r="CQ264" s="443"/>
      <c r="CR264" s="217">
        <f t="shared" si="660"/>
        <v>0.31818181818181812</v>
      </c>
      <c r="CS264" s="172">
        <f t="shared" si="661"/>
        <v>34.031620553359687</v>
      </c>
      <c r="CT264" s="172">
        <f t="shared" si="662"/>
        <v>4.6563192904656319</v>
      </c>
      <c r="CU264" s="217">
        <f t="shared" si="663"/>
        <v>2.0750988142292495</v>
      </c>
      <c r="CV264" s="217">
        <f t="shared" si="664"/>
        <v>4.2539525691699609</v>
      </c>
      <c r="CW264" s="217">
        <f t="shared" si="665"/>
        <v>16.399999999999999</v>
      </c>
      <c r="CX264" s="217">
        <f t="shared" si="666"/>
        <v>1.5420952380952382</v>
      </c>
      <c r="CY264" s="217">
        <f t="shared" si="667"/>
        <v>0.51403174603174606</v>
      </c>
      <c r="CZ264" s="217">
        <f t="shared" si="668"/>
        <v>1.0821720969089395</v>
      </c>
      <c r="DA264" s="197">
        <f t="shared" si="669"/>
        <v>350</v>
      </c>
      <c r="DB264" s="443">
        <f t="shared" si="670"/>
        <v>350</v>
      </c>
      <c r="DD264" s="217">
        <f t="shared" si="671"/>
        <v>2.7602905569007259</v>
      </c>
      <c r="DE264" s="173">
        <f t="shared" si="672"/>
        <v>1.937046004842615</v>
      </c>
      <c r="DF264" s="173">
        <f t="shared" si="673"/>
        <v>0.83398609309454497</v>
      </c>
      <c r="DG264" s="173"/>
      <c r="DH264" s="173">
        <f t="shared" si="674"/>
        <v>0.93567251461988332</v>
      </c>
      <c r="DI264" s="545">
        <f t="shared" si="675"/>
        <v>769.49999999999966</v>
      </c>
      <c r="DJ264" s="528">
        <f t="shared" si="676"/>
        <v>0.21832358674463945</v>
      </c>
      <c r="DL264" s="173">
        <f t="shared" si="677"/>
        <v>2.0507838222772983</v>
      </c>
      <c r="DM264" s="173">
        <f t="shared" si="678"/>
        <v>2.0507838222772983</v>
      </c>
      <c r="DN264" s="173">
        <f t="shared" si="679"/>
        <v>1.7314448066251589</v>
      </c>
      <c r="DP264" s="545">
        <f t="shared" si="680"/>
        <v>480</v>
      </c>
      <c r="DQ264" s="460">
        <f t="shared" si="681"/>
        <v>350</v>
      </c>
      <c r="DS264">
        <f t="shared" si="682"/>
        <v>480</v>
      </c>
      <c r="DT264">
        <f t="shared" si="683"/>
        <v>350</v>
      </c>
      <c r="DV264" s="5">
        <f t="shared" si="684"/>
        <v>2.8571428571428572</v>
      </c>
      <c r="DW264" s="5">
        <f t="shared" si="685"/>
        <v>0.68359460742576617</v>
      </c>
      <c r="DX264" s="5">
        <f t="shared" si="686"/>
        <v>2.1735482497170908</v>
      </c>
      <c r="DY264" s="173">
        <f t="shared" si="687"/>
        <v>0.23925811259901816</v>
      </c>
      <c r="EA264" s="5">
        <f t="shared" si="713"/>
        <v>2.0007647046607793</v>
      </c>
      <c r="EB264" s="5">
        <f t="shared" si="714"/>
        <v>1.0253919111386491</v>
      </c>
      <c r="EC264" s="5">
        <f t="shared" si="715"/>
        <v>0.39606879217066981</v>
      </c>
      <c r="ED264" s="5"/>
      <c r="EE264" s="173">
        <f t="shared" si="716"/>
        <v>0.57915204167550793</v>
      </c>
      <c r="EF264" s="173">
        <f t="shared" si="717"/>
        <v>1.0327089011564934</v>
      </c>
      <c r="EG264" s="173">
        <f t="shared" si="718"/>
        <v>0.25336186814599765</v>
      </c>
      <c r="EH264" s="173"/>
      <c r="EI264" s="528">
        <f t="shared" si="719"/>
        <v>6.7083417475381855E-3</v>
      </c>
      <c r="EJ264" s="528">
        <f t="shared" si="720"/>
        <v>0.76227634674047173</v>
      </c>
      <c r="EK264" s="528">
        <f t="shared" si="721"/>
        <v>4.3749999999999997E-2</v>
      </c>
      <c r="EL264" s="528">
        <f t="shared" si="722"/>
        <v>9.8686349999999978E-2</v>
      </c>
      <c r="EM264">
        <f t="shared" si="723"/>
        <v>1.6199999999999999E-2</v>
      </c>
      <c r="EN264" s="460">
        <f t="shared" si="724"/>
        <v>59.949999999999996</v>
      </c>
      <c r="EP264" s="460">
        <f t="shared" si="725"/>
        <v>927.62103848800996</v>
      </c>
      <c r="EQ264" s="173">
        <f t="shared" si="726"/>
        <v>0.33599999999999997</v>
      </c>
      <c r="ER264" s="173">
        <f t="shared" si="772"/>
        <v>5.3249999999999999E-2</v>
      </c>
      <c r="ES264" s="528"/>
      <c r="EU264" s="460">
        <f t="shared" si="727"/>
        <v>389.25</v>
      </c>
      <c r="EV264" s="528">
        <f t="shared" si="728"/>
        <v>1.0062512621307277E-2</v>
      </c>
      <c r="EW264" s="528">
        <f t="shared" si="729"/>
        <v>3.1994630235835556E-2</v>
      </c>
      <c r="EX264" s="528">
        <f t="shared" si="730"/>
        <v>3.2096118115214947E-4</v>
      </c>
      <c r="EY264" s="528">
        <f t="shared" si="731"/>
        <v>0.69014416784970156</v>
      </c>
      <c r="EZ264" s="528"/>
      <c r="FA264" s="625">
        <f t="shared" si="732"/>
        <v>7.3600000000000002E-3</v>
      </c>
      <c r="FB264" s="460">
        <f t="shared" si="733"/>
        <v>739.88227188799658</v>
      </c>
      <c r="FC264" s="173">
        <f t="shared" si="734"/>
        <v>2.0567533103760058</v>
      </c>
      <c r="FD264" s="5">
        <f t="shared" si="735"/>
        <v>8.831999999999999</v>
      </c>
      <c r="FE264" s="173">
        <f t="shared" si="736"/>
        <v>0.8111121400448934</v>
      </c>
      <c r="FF264" s="5">
        <f t="shared" si="737"/>
        <v>81.111214004489341</v>
      </c>
      <c r="FG264">
        <f t="shared" si="738"/>
        <v>48</v>
      </c>
      <c r="FI264" s="562">
        <f t="shared" si="689"/>
        <v>-50</v>
      </c>
    </row>
    <row r="265" spans="5:165">
      <c r="E265" s="170">
        <v>49</v>
      </c>
      <c r="F265" s="217">
        <f t="shared" si="773"/>
        <v>0.49</v>
      </c>
      <c r="G265" s="217">
        <f t="shared" si="742"/>
        <v>0.1225</v>
      </c>
      <c r="H265" s="217">
        <f t="shared" si="743"/>
        <v>8.0359999999999996</v>
      </c>
      <c r="I265" s="217">
        <f t="shared" si="744"/>
        <v>0.98</v>
      </c>
      <c r="J265" s="541">
        <f t="shared" si="745"/>
        <v>35.934017079552994</v>
      </c>
      <c r="K265" s="443">
        <f t="shared" si="746"/>
        <v>17.12934280150224</v>
      </c>
      <c r="L265" s="172">
        <f t="shared" si="747"/>
        <v>53.063359881055234</v>
      </c>
      <c r="M265" s="443"/>
      <c r="N265" s="217">
        <f t="shared" si="748"/>
        <v>0.32280923861396471</v>
      </c>
      <c r="O265" s="172">
        <f t="shared" si="749"/>
        <v>34.463271046772462</v>
      </c>
      <c r="P265" s="172">
        <f t="shared" si="750"/>
        <v>4.7153791438177679</v>
      </c>
      <c r="Q265" s="217">
        <f t="shared" si="626"/>
        <v>2.1014189662666136</v>
      </c>
      <c r="R265" s="217">
        <f t="shared" si="751"/>
        <v>4.3079088808465578</v>
      </c>
      <c r="S265" s="217">
        <f t="shared" si="752"/>
        <v>16.399999999999999</v>
      </c>
      <c r="T265" s="217">
        <f t="shared" si="753"/>
        <v>1.5545051791695947</v>
      </c>
      <c r="U265" s="217">
        <f t="shared" si="630"/>
        <v>0.51911986652473607</v>
      </c>
      <c r="V265" s="217">
        <f t="shared" si="631"/>
        <v>1.0890121335185829</v>
      </c>
      <c r="W265" s="197">
        <f t="shared" si="632"/>
        <v>350</v>
      </c>
      <c r="X265" s="443">
        <f t="shared" si="691"/>
        <v>350</v>
      </c>
      <c r="Z265" s="217">
        <f t="shared" si="633"/>
        <v>2.7618649270932631</v>
      </c>
      <c r="AA265" s="173">
        <f t="shared" si="634"/>
        <v>1.9348307468172437</v>
      </c>
      <c r="AB265" s="173">
        <f t="shared" si="754"/>
        <v>0.83350745571489804</v>
      </c>
      <c r="AC265" s="173"/>
      <c r="AD265" s="173">
        <f t="shared" si="636"/>
        <v>0.93406969464098799</v>
      </c>
      <c r="AE265" s="545">
        <f t="shared" si="755"/>
        <v>786.8791849440089</v>
      </c>
      <c r="AF265" s="528">
        <f t="shared" si="756"/>
        <v>0.21794959541623055</v>
      </c>
      <c r="AH265" s="173">
        <f t="shared" si="757"/>
        <v>2.0720360357226735</v>
      </c>
      <c r="AI265" s="173">
        <f t="shared" si="758"/>
        <v>2.0720360357226735</v>
      </c>
      <c r="AJ265" s="173">
        <f t="shared" si="759"/>
        <v>1.7471871869550666</v>
      </c>
      <c r="AL265" s="545">
        <f t="shared" si="760"/>
        <v>490</v>
      </c>
      <c r="AM265" s="460">
        <f t="shared" si="761"/>
        <v>350</v>
      </c>
      <c r="AO265">
        <f t="shared" si="644"/>
        <v>490</v>
      </c>
      <c r="AP265">
        <f t="shared" si="645"/>
        <v>350</v>
      </c>
      <c r="AR265" s="5">
        <f t="shared" si="774"/>
        <v>2.8571428571428572</v>
      </c>
      <c r="AS265" s="5">
        <f t="shared" si="739"/>
        <v>0.69194691964512711</v>
      </c>
      <c r="AT265" s="5">
        <f t="shared" si="740"/>
        <v>2.1651959374977299</v>
      </c>
      <c r="AU265" s="173">
        <f t="shared" si="741"/>
        <v>0.24218142187579447</v>
      </c>
      <c r="BA265" s="173">
        <f t="shared" si="692"/>
        <v>0.58871769444372646</v>
      </c>
      <c r="BB265" s="173">
        <f t="shared" si="693"/>
        <v>1.0414041421849511</v>
      </c>
      <c r="BC265" s="173">
        <f t="shared" si="694"/>
        <v>0.25549513387894779</v>
      </c>
      <c r="BD265" s="173"/>
      <c r="BE265" s="528">
        <f t="shared" si="695"/>
        <v>6.9317704750227376E-3</v>
      </c>
      <c r="BF265" s="528">
        <f t="shared" si="762"/>
        <v>0.72154158464106621</v>
      </c>
      <c r="BG265" s="528">
        <f t="shared" si="763"/>
        <v>0.31442264944608866</v>
      </c>
      <c r="BH265" s="528">
        <f t="shared" si="696"/>
        <v>9.8550205665323382E-2</v>
      </c>
      <c r="BI265">
        <f t="shared" si="697"/>
        <v>1.6170307685798847E-2</v>
      </c>
      <c r="BJ265" s="460">
        <f t="shared" si="698"/>
        <v>330.59295713188754</v>
      </c>
      <c r="BK265">
        <f t="shared" si="764"/>
        <v>0.83026257185437469</v>
      </c>
      <c r="BL265" s="460">
        <f t="shared" si="699"/>
        <v>1157.6165179132997</v>
      </c>
      <c r="BM265" s="173">
        <f t="shared" si="765"/>
        <v>0.30441249999999997</v>
      </c>
      <c r="BN265" s="173">
        <f t="shared" si="766"/>
        <v>5.4359374999999995E-2</v>
      </c>
      <c r="BQ265" s="460">
        <f t="shared" si="700"/>
        <v>358.77187499999997</v>
      </c>
      <c r="BR265" s="528">
        <f t="shared" si="701"/>
        <v>1.0397655712534105E-2</v>
      </c>
      <c r="BS265" s="528">
        <f t="shared" si="702"/>
        <v>3.2535677620799217E-2</v>
      </c>
      <c r="BT265" s="528">
        <f t="shared" si="703"/>
        <v>3.2638881717910725E-4</v>
      </c>
      <c r="BU265" s="528">
        <f t="shared" si="704"/>
        <v>0.70816323404660453</v>
      </c>
      <c r="BV265" s="528"/>
      <c r="BW265" s="625">
        <f t="shared" si="705"/>
        <v>7.5133333333333311E-3</v>
      </c>
      <c r="BX265" s="460">
        <f t="shared" si="706"/>
        <v>758.93628953045038</v>
      </c>
      <c r="BY265" s="173">
        <f t="shared" si="707"/>
        <v>2.2753246824437499</v>
      </c>
      <c r="BZ265" s="5">
        <f t="shared" si="708"/>
        <v>9.016</v>
      </c>
      <c r="CA265" s="173">
        <f t="shared" si="709"/>
        <v>0.79848912803105154</v>
      </c>
      <c r="CB265" s="5">
        <f t="shared" si="710"/>
        <v>79.848912803105151</v>
      </c>
      <c r="CC265">
        <f t="shared" si="711"/>
        <v>49</v>
      </c>
      <c r="CE265" s="562">
        <f t="shared" si="767"/>
        <v>-50</v>
      </c>
      <c r="CG265" s="173">
        <f t="shared" si="768"/>
        <v>0.50097465979438283</v>
      </c>
      <c r="CH265" s="173">
        <f t="shared" si="769"/>
        <v>0.17827297385222113</v>
      </c>
      <c r="CI265" s="170">
        <v>49</v>
      </c>
      <c r="CJ265" s="217">
        <f t="shared" si="712"/>
        <v>0.49</v>
      </c>
      <c r="CK265" s="217">
        <f t="shared" si="654"/>
        <v>0.1225</v>
      </c>
      <c r="CL265" s="217">
        <f t="shared" si="655"/>
        <v>8.0359999999999996</v>
      </c>
      <c r="CM265" s="217">
        <f t="shared" si="656"/>
        <v>0.98</v>
      </c>
      <c r="CN265" s="541">
        <f t="shared" si="657"/>
        <v>36</v>
      </c>
      <c r="CO265" s="443">
        <f t="shared" si="770"/>
        <v>17.099999999999998</v>
      </c>
      <c r="CP265" s="443">
        <f t="shared" si="771"/>
        <v>53.099999999999994</v>
      </c>
      <c r="CQ265" s="443"/>
      <c r="CR265" s="217">
        <f t="shared" si="660"/>
        <v>0.31818181818181812</v>
      </c>
      <c r="CS265" s="172">
        <f t="shared" si="661"/>
        <v>34.031620553359687</v>
      </c>
      <c r="CT265" s="172">
        <f t="shared" si="662"/>
        <v>4.6563192904656319</v>
      </c>
      <c r="CU265" s="217">
        <f t="shared" si="663"/>
        <v>2.0750988142292495</v>
      </c>
      <c r="CV265" s="217">
        <f t="shared" si="664"/>
        <v>4.2539525691699609</v>
      </c>
      <c r="CW265" s="217">
        <f t="shared" si="665"/>
        <v>16.399999999999999</v>
      </c>
      <c r="CX265" s="217">
        <f t="shared" si="666"/>
        <v>1.5742222222222224</v>
      </c>
      <c r="CY265" s="217">
        <f t="shared" si="667"/>
        <v>0.52474074074074084</v>
      </c>
      <c r="CZ265" s="217">
        <f t="shared" si="668"/>
        <v>1.1047173489278754</v>
      </c>
      <c r="DA265" s="197">
        <f t="shared" si="669"/>
        <v>350</v>
      </c>
      <c r="DB265" s="443">
        <f t="shared" si="670"/>
        <v>350</v>
      </c>
      <c r="DD265" s="217">
        <f t="shared" si="671"/>
        <v>2.7602905569007259</v>
      </c>
      <c r="DE265" s="173">
        <f t="shared" si="672"/>
        <v>1.937046004842615</v>
      </c>
      <c r="DF265" s="173">
        <f t="shared" si="673"/>
        <v>0.83398609309454497</v>
      </c>
      <c r="DG265" s="173"/>
      <c r="DH265" s="173">
        <f t="shared" si="674"/>
        <v>0.93567251461988332</v>
      </c>
      <c r="DI265" s="545">
        <f t="shared" si="675"/>
        <v>785.53124999999966</v>
      </c>
      <c r="DJ265" s="528">
        <f t="shared" si="676"/>
        <v>0.21832358674463945</v>
      </c>
      <c r="DL265" s="173">
        <f t="shared" si="677"/>
        <v>2.0720360357226735</v>
      </c>
      <c r="DM265" s="173">
        <f t="shared" si="678"/>
        <v>2.0720360357226735</v>
      </c>
      <c r="DN265" s="173">
        <f t="shared" si="679"/>
        <v>1.7471871869550666</v>
      </c>
      <c r="DP265" s="545">
        <f t="shared" si="680"/>
        <v>490</v>
      </c>
      <c r="DQ265" s="460">
        <f t="shared" si="681"/>
        <v>350</v>
      </c>
      <c r="DS265">
        <f t="shared" si="682"/>
        <v>490</v>
      </c>
      <c r="DT265">
        <f t="shared" si="683"/>
        <v>350</v>
      </c>
      <c r="DV265" s="5">
        <f t="shared" si="684"/>
        <v>2.8571428571428572</v>
      </c>
      <c r="DW265" s="5">
        <f t="shared" si="685"/>
        <v>0.69067867857422449</v>
      </c>
      <c r="DX265" s="5">
        <f t="shared" si="686"/>
        <v>2.1664641785686327</v>
      </c>
      <c r="DY265" s="173">
        <f t="shared" si="687"/>
        <v>0.24173753750097857</v>
      </c>
      <c r="EA265" s="5">
        <f t="shared" si="713"/>
        <v>2.063613125008354</v>
      </c>
      <c r="EB265" s="5">
        <f t="shared" si="714"/>
        <v>1.0576017265667812</v>
      </c>
      <c r="EC265" s="5">
        <f t="shared" si="715"/>
        <v>0.40300245692077613</v>
      </c>
      <c r="ED265" s="5"/>
      <c r="EE265" s="173">
        <f t="shared" si="716"/>
        <v>0.58817792876840358</v>
      </c>
      <c r="EF265" s="173">
        <f t="shared" si="717"/>
        <v>1.0417090933753153</v>
      </c>
      <c r="EG265" s="173">
        <f t="shared" si="718"/>
        <v>0.25556994973770281</v>
      </c>
      <c r="EH265" s="173"/>
      <c r="EI265" s="528">
        <f t="shared" si="719"/>
        <v>6.9190655178057846E-3</v>
      </c>
      <c r="EJ265" s="528">
        <f t="shared" si="720"/>
        <v>0.77017579447811779</v>
      </c>
      <c r="EK265" s="528">
        <f t="shared" si="721"/>
        <v>4.3749999999999997E-2</v>
      </c>
      <c r="EL265" s="528">
        <f t="shared" si="722"/>
        <v>9.8686349999999978E-2</v>
      </c>
      <c r="EM265">
        <f t="shared" si="723"/>
        <v>1.6199999999999999E-2</v>
      </c>
      <c r="EN265" s="460">
        <f t="shared" si="724"/>
        <v>59.949999999999996</v>
      </c>
      <c r="EP265" s="460">
        <f t="shared" si="725"/>
        <v>935.73120999592345</v>
      </c>
      <c r="EQ265" s="173">
        <f t="shared" si="726"/>
        <v>0.34299999999999997</v>
      </c>
      <c r="ER265" s="173">
        <f t="shared" si="772"/>
        <v>5.4359374999999995E-2</v>
      </c>
      <c r="ES265" s="528"/>
      <c r="EU265" s="460">
        <f t="shared" si="727"/>
        <v>397.35937499999994</v>
      </c>
      <c r="EV265" s="528">
        <f t="shared" si="728"/>
        <v>1.0378598276708676E-2</v>
      </c>
      <c r="EW265" s="528">
        <f t="shared" si="729"/>
        <v>3.2554735056624637E-2</v>
      </c>
      <c r="EX265" s="528">
        <f t="shared" si="730"/>
        <v>3.2657999604465969E-4</v>
      </c>
      <c r="EY265" s="528">
        <f t="shared" si="731"/>
        <v>0.70816323404660453</v>
      </c>
      <c r="EZ265" s="528"/>
      <c r="FA265" s="625">
        <f t="shared" si="732"/>
        <v>7.5133333333333311E-3</v>
      </c>
      <c r="FB265" s="460">
        <f t="shared" si="733"/>
        <v>758.9364807093159</v>
      </c>
      <c r="FC265" s="173">
        <f t="shared" si="734"/>
        <v>2.0920270657052389</v>
      </c>
      <c r="FD265" s="5">
        <f t="shared" si="735"/>
        <v>9.016</v>
      </c>
      <c r="FE265" s="173">
        <f t="shared" si="736"/>
        <v>0.81166528913454561</v>
      </c>
      <c r="FF265" s="5">
        <f t="shared" si="737"/>
        <v>81.166528913454556</v>
      </c>
      <c r="FG265">
        <f t="shared" si="738"/>
        <v>49</v>
      </c>
      <c r="FI265" s="562">
        <f t="shared" si="689"/>
        <v>-50</v>
      </c>
    </row>
    <row r="266" spans="5:165">
      <c r="E266" s="170">
        <v>50</v>
      </c>
      <c r="F266" s="217">
        <f t="shared" si="773"/>
        <v>0.5</v>
      </c>
      <c r="G266" s="217">
        <f t="shared" si="742"/>
        <v>0.125</v>
      </c>
      <c r="H266" s="217">
        <f t="shared" si="743"/>
        <v>8.1999999999999993</v>
      </c>
      <c r="I266" s="217">
        <f t="shared" si="744"/>
        <v>1</v>
      </c>
      <c r="J266" s="541">
        <f t="shared" si="745"/>
        <v>35.933347185013474</v>
      </c>
      <c r="K266" s="443">
        <f t="shared" si="746"/>
        <v>17.12964070560178</v>
      </c>
      <c r="L266" s="172">
        <f t="shared" si="747"/>
        <v>53.062987890615254</v>
      </c>
      <c r="M266" s="443"/>
      <c r="N266" s="217">
        <f t="shared" si="748"/>
        <v>0.32281711578158861</v>
      </c>
      <c r="O266" s="172">
        <f t="shared" si="749"/>
        <v>34.463469524958342</v>
      </c>
      <c r="P266" s="172">
        <f t="shared" si="750"/>
        <v>4.715406300261999</v>
      </c>
      <c r="Q266" s="217">
        <f t="shared" si="626"/>
        <v>2.101431068595021</v>
      </c>
      <c r="R266" s="217">
        <f t="shared" si="751"/>
        <v>4.3079336906197927</v>
      </c>
      <c r="S266" s="217">
        <f t="shared" si="752"/>
        <v>16.399999999999999</v>
      </c>
      <c r="T266" s="217">
        <f t="shared" si="753"/>
        <v>1.5862206394245135</v>
      </c>
      <c r="U266" s="217">
        <f t="shared" si="630"/>
        <v>0.52972097408818175</v>
      </c>
      <c r="V266" s="217">
        <f t="shared" si="631"/>
        <v>1.1112111456528919</v>
      </c>
      <c r="W266" s="197">
        <f t="shared" si="632"/>
        <v>350</v>
      </c>
      <c r="X266" s="443">
        <f t="shared" si="691"/>
        <v>350</v>
      </c>
      <c r="Z266" s="217">
        <f t="shared" si="633"/>
        <v>2.7618808330105993</v>
      </c>
      <c r="AA266" s="173">
        <f t="shared" si="634"/>
        <v>1.9348082406240323</v>
      </c>
      <c r="AB266" s="173">
        <f t="shared" si="754"/>
        <v>0.83350256046730775</v>
      </c>
      <c r="AC266" s="173"/>
      <c r="AD266" s="173">
        <f t="shared" si="636"/>
        <v>0.93405345009762186</v>
      </c>
      <c r="AE266" s="545">
        <f t="shared" si="755"/>
        <v>802.95190807508311</v>
      </c>
      <c r="AF266" s="528">
        <f t="shared" si="756"/>
        <v>0.21794580502277847</v>
      </c>
      <c r="AH266" s="173">
        <f t="shared" si="757"/>
        <v>2.0930724738891344</v>
      </c>
      <c r="AI266" s="173">
        <f t="shared" si="758"/>
        <v>2.0930724738891344</v>
      </c>
      <c r="AJ266" s="173">
        <f t="shared" si="759"/>
        <v>1.7627697337450376</v>
      </c>
      <c r="AL266" s="545">
        <f t="shared" si="760"/>
        <v>500</v>
      </c>
      <c r="AM266" s="460">
        <f t="shared" si="761"/>
        <v>350</v>
      </c>
      <c r="AO266">
        <f t="shared" si="644"/>
        <v>500</v>
      </c>
      <c r="AP266">
        <f t="shared" si="645"/>
        <v>350</v>
      </c>
      <c r="AR266" s="5">
        <f t="shared" si="774"/>
        <v>2.8571428571428572</v>
      </c>
      <c r="AS266" s="5">
        <f t="shared" si="739"/>
        <v>0.69898497229740308</v>
      </c>
      <c r="AT266" s="5">
        <f t="shared" si="740"/>
        <v>2.1581578848454539</v>
      </c>
      <c r="AU266" s="173">
        <f t="shared" si="741"/>
        <v>0.24464474030409109</v>
      </c>
      <c r="BA266" s="173">
        <f t="shared" si="692"/>
        <v>0.59771145700989792</v>
      </c>
      <c r="BB266" s="173">
        <f t="shared" si="693"/>
        <v>1.0502659065572706</v>
      </c>
      <c r="BC266" s="173">
        <f t="shared" si="694"/>
        <v>0.25766925397603047</v>
      </c>
      <c r="BD266" s="173"/>
      <c r="BE266" s="528">
        <f t="shared" si="695"/>
        <v>7.1451797168179008E-3</v>
      </c>
      <c r="BF266" s="528">
        <f t="shared" si="762"/>
        <v>0.72886195814354504</v>
      </c>
      <c r="BG266" s="528">
        <f t="shared" si="763"/>
        <v>0.3144167878688679</v>
      </c>
      <c r="BH266" s="528">
        <f t="shared" si="696"/>
        <v>9.8548823935785346E-2</v>
      </c>
      <c r="BI266">
        <f t="shared" si="697"/>
        <v>1.6170006233256064E-2</v>
      </c>
      <c r="BJ266" s="460">
        <f t="shared" si="698"/>
        <v>330.58679410212392</v>
      </c>
      <c r="BK266">
        <f t="shared" si="764"/>
        <v>0.83790767173368064</v>
      </c>
      <c r="BL266" s="460">
        <f t="shared" si="699"/>
        <v>1165.1427558982725</v>
      </c>
      <c r="BM266" s="173">
        <f t="shared" si="765"/>
        <v>0.31062499999999998</v>
      </c>
      <c r="BN266" s="173">
        <f t="shared" si="766"/>
        <v>5.5468749999999997E-2</v>
      </c>
      <c r="BQ266" s="460">
        <f t="shared" si="700"/>
        <v>366.09375</v>
      </c>
      <c r="BR266" s="528">
        <f t="shared" si="701"/>
        <v>1.0717769575226851E-2</v>
      </c>
      <c r="BS266" s="528">
        <f t="shared" si="702"/>
        <v>3.3091754234296965E-2</v>
      </c>
      <c r="BT266" s="528">
        <f t="shared" si="703"/>
        <v>3.3196722222282046E-4</v>
      </c>
      <c r="BU266" s="528">
        <f t="shared" si="704"/>
        <v>0.72627447479295248</v>
      </c>
      <c r="BV266" s="528"/>
      <c r="BW266" s="625">
        <f t="shared" si="705"/>
        <v>7.6666666666666671E-3</v>
      </c>
      <c r="BX266" s="460">
        <f t="shared" si="706"/>
        <v>778.08263249136576</v>
      </c>
      <c r="BY266" s="173">
        <f t="shared" si="707"/>
        <v>2.3093191383896383</v>
      </c>
      <c r="BZ266" s="5">
        <f t="shared" si="708"/>
        <v>9.1999999999999993</v>
      </c>
      <c r="CA266" s="173">
        <f t="shared" si="709"/>
        <v>0.7993522370331323</v>
      </c>
      <c r="CB266" s="5">
        <f t="shared" si="710"/>
        <v>79.935223703313227</v>
      </c>
      <c r="CC266">
        <f t="shared" si="711"/>
        <v>50</v>
      </c>
      <c r="CE266" s="562">
        <f t="shared" si="767"/>
        <v>-50</v>
      </c>
      <c r="CG266" s="173">
        <f t="shared" si="768"/>
        <v>0.50606082734747393</v>
      </c>
      <c r="CH266" s="173">
        <f t="shared" si="769"/>
        <v>0.18008289816171089</v>
      </c>
      <c r="CI266" s="170">
        <v>50</v>
      </c>
      <c r="CJ266" s="217">
        <f t="shared" si="712"/>
        <v>0.5</v>
      </c>
      <c r="CK266" s="217">
        <f t="shared" si="654"/>
        <v>0.125</v>
      </c>
      <c r="CL266" s="217">
        <f t="shared" si="655"/>
        <v>8.1999999999999993</v>
      </c>
      <c r="CM266" s="217">
        <f t="shared" si="656"/>
        <v>1</v>
      </c>
      <c r="CN266" s="541">
        <f t="shared" si="657"/>
        <v>36</v>
      </c>
      <c r="CO266" s="443">
        <f t="shared" si="770"/>
        <v>17.099999999999998</v>
      </c>
      <c r="CP266" s="443">
        <f t="shared" si="771"/>
        <v>53.099999999999994</v>
      </c>
      <c r="CQ266" s="443"/>
      <c r="CR266" s="217">
        <f t="shared" si="660"/>
        <v>0.31818181818181812</v>
      </c>
      <c r="CS266" s="172">
        <f t="shared" si="661"/>
        <v>34.031620553359687</v>
      </c>
      <c r="CT266" s="172">
        <f t="shared" si="662"/>
        <v>4.6563192904656319</v>
      </c>
      <c r="CU266" s="217">
        <f t="shared" si="663"/>
        <v>2.0750988142292495</v>
      </c>
      <c r="CV266" s="217">
        <f t="shared" si="664"/>
        <v>4.2539525691699609</v>
      </c>
      <c r="CW266" s="217">
        <f t="shared" si="665"/>
        <v>16.399999999999999</v>
      </c>
      <c r="CX266" s="217">
        <f t="shared" si="666"/>
        <v>1.6063492063492064</v>
      </c>
      <c r="CY266" s="217">
        <f t="shared" si="667"/>
        <v>0.53544973544973551</v>
      </c>
      <c r="CZ266" s="217">
        <f t="shared" si="668"/>
        <v>1.1272626009468116</v>
      </c>
      <c r="DA266" s="197">
        <f t="shared" si="669"/>
        <v>350</v>
      </c>
      <c r="DB266" s="443">
        <f t="shared" si="670"/>
        <v>350</v>
      </c>
      <c r="DD266" s="217">
        <f t="shared" si="671"/>
        <v>2.7602905569007259</v>
      </c>
      <c r="DE266" s="173">
        <f t="shared" si="672"/>
        <v>1.937046004842615</v>
      </c>
      <c r="DF266" s="173">
        <f t="shared" si="673"/>
        <v>0.83398609309454497</v>
      </c>
      <c r="DG266" s="173"/>
      <c r="DH266" s="173">
        <f t="shared" si="674"/>
        <v>0.93567251461988332</v>
      </c>
      <c r="DI266" s="545">
        <f t="shared" si="675"/>
        <v>801.56249999999966</v>
      </c>
      <c r="DJ266" s="528">
        <f t="shared" si="676"/>
        <v>0.21832358674463945</v>
      </c>
      <c r="DL266" s="173">
        <f t="shared" si="677"/>
        <v>2.0930724738891344</v>
      </c>
      <c r="DM266" s="173">
        <f t="shared" si="678"/>
        <v>2.0930724738891344</v>
      </c>
      <c r="DN266" s="173">
        <f t="shared" si="679"/>
        <v>1.7627697337450376</v>
      </c>
      <c r="DP266" s="545">
        <f t="shared" si="680"/>
        <v>500</v>
      </c>
      <c r="DQ266" s="460">
        <f t="shared" si="681"/>
        <v>350</v>
      </c>
      <c r="DS266">
        <f t="shared" si="682"/>
        <v>500</v>
      </c>
      <c r="DT266">
        <f t="shared" si="683"/>
        <v>350</v>
      </c>
      <c r="DV266" s="5">
        <f t="shared" si="684"/>
        <v>2.8571428571428572</v>
      </c>
      <c r="DW266" s="5">
        <f t="shared" si="685"/>
        <v>0.69769082462971144</v>
      </c>
      <c r="DX266" s="5">
        <f t="shared" si="686"/>
        <v>2.1594520325131459</v>
      </c>
      <c r="DY266" s="173">
        <f t="shared" si="687"/>
        <v>0.244191788620399</v>
      </c>
      <c r="EA266" s="5">
        <f t="shared" si="713"/>
        <v>2.1271061726515592</v>
      </c>
      <c r="EB266" s="5">
        <f t="shared" si="714"/>
        <v>1.0901419134839241</v>
      </c>
      <c r="EC266" s="5">
        <f t="shared" si="715"/>
        <v>0.40989598765295815</v>
      </c>
      <c r="ED266" s="5"/>
      <c r="EE266" s="173">
        <f t="shared" si="716"/>
        <v>0.59715787911449292</v>
      </c>
      <c r="EF266" s="173">
        <f t="shared" si="717"/>
        <v>1.0505807573570636</v>
      </c>
      <c r="EG266" s="173">
        <f t="shared" si="718"/>
        <v>0.25774649857684057</v>
      </c>
      <c r="EH266" s="173"/>
      <c r="EI266" s="528">
        <f t="shared" si="719"/>
        <v>7.1319506517703865E-3</v>
      </c>
      <c r="EJ266" s="528">
        <f t="shared" si="720"/>
        <v>0.77799503854459129</v>
      </c>
      <c r="EK266" s="528">
        <f t="shared" si="721"/>
        <v>4.3749999999999997E-2</v>
      </c>
      <c r="EL266" s="528">
        <f t="shared" si="722"/>
        <v>9.8686349999999978E-2</v>
      </c>
      <c r="EM266">
        <f t="shared" si="723"/>
        <v>1.6199999999999999E-2</v>
      </c>
      <c r="EN266" s="460">
        <f t="shared" si="724"/>
        <v>59.949999999999996</v>
      </c>
      <c r="EP266" s="460">
        <f t="shared" si="725"/>
        <v>943.76333919636158</v>
      </c>
      <c r="EQ266" s="173">
        <f t="shared" si="726"/>
        <v>0.35</v>
      </c>
      <c r="ER266" s="173">
        <f t="shared" si="772"/>
        <v>5.5468749999999997E-2</v>
      </c>
      <c r="ES266" s="528"/>
      <c r="EU266" s="460">
        <f t="shared" si="727"/>
        <v>405.46875</v>
      </c>
      <c r="EV266" s="528">
        <f t="shared" si="728"/>
        <v>1.069792597765558E-2</v>
      </c>
      <c r="EW266" s="528">
        <f t="shared" si="729"/>
        <v>3.3111597831868241E-2</v>
      </c>
      <c r="EX266" s="528">
        <f t="shared" si="730"/>
        <v>3.3216628764310639E-4</v>
      </c>
      <c r="EY266" s="528">
        <f t="shared" si="731"/>
        <v>0.72627447479295248</v>
      </c>
      <c r="EZ266" s="528"/>
      <c r="FA266" s="625">
        <f t="shared" si="732"/>
        <v>7.6666666666666671E-3</v>
      </c>
      <c r="FB266" s="460">
        <f t="shared" si="733"/>
        <v>778.08283155678612</v>
      </c>
      <c r="FC266" s="173">
        <f t="shared" si="734"/>
        <v>2.1273149207531477</v>
      </c>
      <c r="FD266" s="5">
        <f t="shared" si="735"/>
        <v>9.1999999999999993</v>
      </c>
      <c r="FE266" s="173">
        <f t="shared" si="736"/>
        <v>0.81219601153176879</v>
      </c>
      <c r="FF266" s="5">
        <f t="shared" si="737"/>
        <v>81.219601153176882</v>
      </c>
      <c r="FG266">
        <f t="shared" si="738"/>
        <v>50</v>
      </c>
      <c r="FI266" s="562">
        <f t="shared" si="689"/>
        <v>-50</v>
      </c>
    </row>
    <row r="267" spans="5:165">
      <c r="E267" s="170">
        <v>51</v>
      </c>
      <c r="F267" s="217">
        <f t="shared" si="773"/>
        <v>0.51</v>
      </c>
      <c r="G267" s="217">
        <f t="shared" si="742"/>
        <v>0.1275</v>
      </c>
      <c r="H267" s="217">
        <f t="shared" si="743"/>
        <v>8.363999999999999</v>
      </c>
      <c r="I267" s="217">
        <f t="shared" si="744"/>
        <v>1.02</v>
      </c>
      <c r="J267" s="541">
        <f t="shared" si="745"/>
        <v>35.932683956588782</v>
      </c>
      <c r="K267" s="443">
        <f t="shared" si="746"/>
        <v>17.129935645260169</v>
      </c>
      <c r="L267" s="172">
        <f t="shared" si="747"/>
        <v>53.062619601848951</v>
      </c>
      <c r="M267" s="443"/>
      <c r="N267" s="217">
        <f t="shared" si="748"/>
        <v>0.32282491467238605</v>
      </c>
      <c r="O267" s="172">
        <f t="shared" si="749"/>
        <v>34.463666008815885</v>
      </c>
      <c r="P267" s="172">
        <f t="shared" si="750"/>
        <v>4.7154331838356054</v>
      </c>
      <c r="Q267" s="217">
        <f t="shared" si="626"/>
        <v>2.1014430493180418</v>
      </c>
      <c r="R267" s="217">
        <f t="shared" si="751"/>
        <v>4.3079582511019856</v>
      </c>
      <c r="S267" s="217">
        <f t="shared" si="752"/>
        <v>16.399999999999999</v>
      </c>
      <c r="T267" s="217">
        <f t="shared" si="753"/>
        <v>1.6179358280032212</v>
      </c>
      <c r="U267" s="217">
        <f t="shared" si="630"/>
        <v>0.54032228595822962</v>
      </c>
      <c r="V267" s="217">
        <f t="shared" si="631"/>
        <v>1.1334093914947556</v>
      </c>
      <c r="W267" s="197">
        <f t="shared" si="632"/>
        <v>350</v>
      </c>
      <c r="X267" s="443">
        <f t="shared" si="691"/>
        <v>350</v>
      </c>
      <c r="Z267" s="217">
        <f t="shared" si="633"/>
        <v>2.7618965791037113</v>
      </c>
      <c r="AA267" s="173">
        <f t="shared" si="634"/>
        <v>1.9347859580788966</v>
      </c>
      <c r="AB267" s="173">
        <f t="shared" si="754"/>
        <v>0.83349771322222399</v>
      </c>
      <c r="AC267" s="173"/>
      <c r="AD267" s="173">
        <f t="shared" si="636"/>
        <v>0.93403736776017499</v>
      </c>
      <c r="AE267" s="545">
        <f t="shared" si="755"/>
        <v>819.02504803900149</v>
      </c>
      <c r="AF267" s="528">
        <f t="shared" si="756"/>
        <v>0.21794205247737419</v>
      </c>
      <c r="AH267" s="173">
        <f t="shared" si="757"/>
        <v>2.1138995786393044</v>
      </c>
      <c r="AI267" s="173">
        <f t="shared" si="758"/>
        <v>2.1138995786393044</v>
      </c>
      <c r="AJ267" s="173">
        <f t="shared" si="759"/>
        <v>1.7781972187451636</v>
      </c>
      <c r="AL267" s="545">
        <f t="shared" si="760"/>
        <v>510</v>
      </c>
      <c r="AM267" s="460">
        <f t="shared" si="761"/>
        <v>350</v>
      </c>
      <c r="AO267">
        <f t="shared" si="644"/>
        <v>510</v>
      </c>
      <c r="AP267">
        <f t="shared" si="645"/>
        <v>350</v>
      </c>
      <c r="AR267" s="5">
        <f t="shared" si="774"/>
        <v>2.8571428571428572</v>
      </c>
      <c r="AS267" s="5">
        <f t="shared" si="739"/>
        <v>0.70595324786531233</v>
      </c>
      <c r="AT267" s="5">
        <f t="shared" si="740"/>
        <v>2.1511896092775449</v>
      </c>
      <c r="AU267" s="173">
        <f t="shared" si="741"/>
        <v>0.2470836367528593</v>
      </c>
      <c r="BA267" s="173">
        <f t="shared" si="692"/>
        <v>0.60666049804410049</v>
      </c>
      <c r="BB267" s="173">
        <f t="shared" si="693"/>
        <v>1.0590027618645259</v>
      </c>
      <c r="BC267" s="173">
        <f t="shared" si="694"/>
        <v>0.2598127292379252</v>
      </c>
      <c r="BD267" s="173"/>
      <c r="BE267" s="528">
        <f t="shared" si="695"/>
        <v>7.3607391977423206E-3</v>
      </c>
      <c r="BF267" s="528">
        <f t="shared" si="762"/>
        <v>0.73610938549211558</v>
      </c>
      <c r="BG267" s="528">
        <f t="shared" si="763"/>
        <v>0.31441098462015182</v>
      </c>
      <c r="BH267" s="528">
        <f t="shared" si="696"/>
        <v>9.8547455965368361E-2</v>
      </c>
      <c r="BI267">
        <f t="shared" si="697"/>
        <v>1.6169707780464952E-2</v>
      </c>
      <c r="BJ267" s="460">
        <f t="shared" si="698"/>
        <v>330.58069240061678</v>
      </c>
      <c r="BK267">
        <f t="shared" si="764"/>
        <v>0.84548365644120238</v>
      </c>
      <c r="BL267" s="460">
        <f t="shared" si="699"/>
        <v>1172.5982730558428</v>
      </c>
      <c r="BM267" s="173">
        <f t="shared" si="765"/>
        <v>0.31683749999999999</v>
      </c>
      <c r="BN267" s="173">
        <f t="shared" si="766"/>
        <v>5.6578125E-2</v>
      </c>
      <c r="BQ267" s="460">
        <f t="shared" si="700"/>
        <v>373.41562499999998</v>
      </c>
      <c r="BR267" s="528">
        <f t="shared" si="701"/>
        <v>1.1041108796613481E-2</v>
      </c>
      <c r="BS267" s="528">
        <f t="shared" si="702"/>
        <v>3.3644605489100816E-2</v>
      </c>
      <c r="BT267" s="528">
        <f t="shared" si="703"/>
        <v>3.3751327137029717E-4</v>
      </c>
      <c r="BU267" s="528">
        <f t="shared" si="704"/>
        <v>0.74447650382100838</v>
      </c>
      <c r="BV267" s="528"/>
      <c r="BW267" s="625">
        <f t="shared" si="705"/>
        <v>7.8199999999999988E-3</v>
      </c>
      <c r="BX267" s="460">
        <f t="shared" si="706"/>
        <v>797.31973137809302</v>
      </c>
      <c r="BY267" s="173">
        <f t="shared" si="707"/>
        <v>2.343333629433936</v>
      </c>
      <c r="BZ267" s="5">
        <f t="shared" si="708"/>
        <v>9.3839999999999986</v>
      </c>
      <c r="CA267" s="173">
        <f t="shared" si="709"/>
        <v>0.80018189100099424</v>
      </c>
      <c r="CB267" s="5">
        <f t="shared" si="710"/>
        <v>80.01818910009942</v>
      </c>
      <c r="CC267">
        <f t="shared" si="711"/>
        <v>51</v>
      </c>
      <c r="CE267" s="562">
        <f t="shared" si="767"/>
        <v>-50</v>
      </c>
      <c r="CG267" s="173">
        <f t="shared" si="768"/>
        <v>0.51109638249074119</v>
      </c>
      <c r="CH267" s="173">
        <f t="shared" si="769"/>
        <v>0.18187481192987542</v>
      </c>
      <c r="CI267" s="170">
        <v>51</v>
      </c>
      <c r="CJ267" s="217">
        <f t="shared" si="712"/>
        <v>0.51</v>
      </c>
      <c r="CK267" s="217">
        <f t="shared" si="654"/>
        <v>0.1275</v>
      </c>
      <c r="CL267" s="217">
        <f t="shared" si="655"/>
        <v>8.363999999999999</v>
      </c>
      <c r="CM267" s="217">
        <f t="shared" si="656"/>
        <v>1.02</v>
      </c>
      <c r="CN267" s="541">
        <f t="shared" si="657"/>
        <v>36</v>
      </c>
      <c r="CO267" s="443">
        <f t="shared" si="770"/>
        <v>17.099999999999998</v>
      </c>
      <c r="CP267" s="443">
        <f t="shared" si="771"/>
        <v>53.099999999999994</v>
      </c>
      <c r="CQ267" s="443"/>
      <c r="CR267" s="217">
        <f t="shared" si="660"/>
        <v>0.31818181818181812</v>
      </c>
      <c r="CS267" s="172">
        <f t="shared" si="661"/>
        <v>34.031620553359687</v>
      </c>
      <c r="CT267" s="172">
        <f t="shared" si="662"/>
        <v>4.6563192904656319</v>
      </c>
      <c r="CU267" s="217">
        <f t="shared" si="663"/>
        <v>2.0750988142292495</v>
      </c>
      <c r="CV267" s="217">
        <f t="shared" si="664"/>
        <v>4.2539525691699609</v>
      </c>
      <c r="CW267" s="217">
        <f t="shared" si="665"/>
        <v>16.399999999999999</v>
      </c>
      <c r="CX267" s="217">
        <f t="shared" si="666"/>
        <v>1.6384761904761904</v>
      </c>
      <c r="CY267" s="217">
        <f t="shared" si="667"/>
        <v>0.54615873015873018</v>
      </c>
      <c r="CZ267" s="217">
        <f t="shared" si="668"/>
        <v>1.1498078529657478</v>
      </c>
      <c r="DA267" s="197">
        <f t="shared" si="669"/>
        <v>350</v>
      </c>
      <c r="DB267" s="443">
        <f t="shared" si="670"/>
        <v>350</v>
      </c>
      <c r="DD267" s="217">
        <f t="shared" si="671"/>
        <v>2.7602905569007259</v>
      </c>
      <c r="DE267" s="173">
        <f t="shared" si="672"/>
        <v>1.937046004842615</v>
      </c>
      <c r="DF267" s="173">
        <f t="shared" si="673"/>
        <v>0.83398609309454497</v>
      </c>
      <c r="DG267" s="173"/>
      <c r="DH267" s="173">
        <f t="shared" si="674"/>
        <v>0.93567251461988332</v>
      </c>
      <c r="DI267" s="545">
        <f t="shared" si="675"/>
        <v>817.59374999999966</v>
      </c>
      <c r="DJ267" s="528">
        <f t="shared" si="676"/>
        <v>0.21832358674463945</v>
      </c>
      <c r="DL267" s="173">
        <f t="shared" si="677"/>
        <v>2.1138995786393044</v>
      </c>
      <c r="DM267" s="173">
        <f t="shared" si="678"/>
        <v>2.1138995786393044</v>
      </c>
      <c r="DN267" s="173">
        <f t="shared" si="679"/>
        <v>1.7781972187451636</v>
      </c>
      <c r="DP267" s="545">
        <f t="shared" si="680"/>
        <v>510</v>
      </c>
      <c r="DQ267" s="460">
        <f t="shared" si="681"/>
        <v>350</v>
      </c>
      <c r="DS267">
        <f t="shared" si="682"/>
        <v>510</v>
      </c>
      <c r="DT267">
        <f t="shared" si="683"/>
        <v>350</v>
      </c>
      <c r="DV267" s="5">
        <f t="shared" si="684"/>
        <v>2.8571428571428572</v>
      </c>
      <c r="DW267" s="5">
        <f t="shared" si="685"/>
        <v>0.70463319287976811</v>
      </c>
      <c r="DX267" s="5">
        <f t="shared" si="686"/>
        <v>2.1525096642630892</v>
      </c>
      <c r="DY267" s="173">
        <f t="shared" si="687"/>
        <v>0.24662161750791883</v>
      </c>
      <c r="EA267" s="5">
        <f t="shared" si="713"/>
        <v>2.1912373681017185</v>
      </c>
      <c r="EB267" s="5">
        <f t="shared" si="714"/>
        <v>1.1230091511521305</v>
      </c>
      <c r="EC267" s="5">
        <f t="shared" si="715"/>
        <v>0.4167497877753813</v>
      </c>
      <c r="ED267" s="5"/>
      <c r="EE267" s="173">
        <f t="shared" si="716"/>
        <v>0.60609303842010853</v>
      </c>
      <c r="EF267" s="173">
        <f t="shared" si="717"/>
        <v>1.0593276350131202</v>
      </c>
      <c r="EG267" s="173">
        <f t="shared" si="718"/>
        <v>0.25989243269331924</v>
      </c>
      <c r="EH267" s="173"/>
      <c r="EI267" s="528">
        <f t="shared" si="719"/>
        <v>7.3469754244263833E-3</v>
      </c>
      <c r="EJ267" s="528">
        <f t="shared" si="720"/>
        <v>0.78573647338022945</v>
      </c>
      <c r="EK267" s="528">
        <f t="shared" si="721"/>
        <v>4.3749999999999997E-2</v>
      </c>
      <c r="EL267" s="528">
        <f t="shared" si="722"/>
        <v>9.8686349999999978E-2</v>
      </c>
      <c r="EM267">
        <f t="shared" si="723"/>
        <v>1.6199999999999999E-2</v>
      </c>
      <c r="EN267" s="460">
        <f t="shared" si="724"/>
        <v>59.949999999999996</v>
      </c>
      <c r="EP267" s="460">
        <f t="shared" si="725"/>
        <v>951.71979880465574</v>
      </c>
      <c r="EQ267" s="173">
        <f t="shared" si="726"/>
        <v>0.35699999999999998</v>
      </c>
      <c r="ER267" s="173">
        <f t="shared" si="772"/>
        <v>5.6578125E-2</v>
      </c>
      <c r="ES267" s="528"/>
      <c r="EU267" s="460">
        <f t="shared" si="727"/>
        <v>413.57812499999994</v>
      </c>
      <c r="EV267" s="528">
        <f t="shared" si="728"/>
        <v>1.1020463136639574E-2</v>
      </c>
      <c r="EW267" s="528">
        <f t="shared" si="729"/>
        <v>3.3665251149074711E-2</v>
      </c>
      <c r="EX267" s="528">
        <f t="shared" si="730"/>
        <v>3.3772038285625734E-4</v>
      </c>
      <c r="EY267" s="528">
        <f t="shared" si="731"/>
        <v>0.74447650382100838</v>
      </c>
      <c r="EZ267" s="528"/>
      <c r="FA267" s="625">
        <f t="shared" si="732"/>
        <v>7.8199999999999988E-3</v>
      </c>
      <c r="FB267" s="460">
        <f t="shared" si="733"/>
        <v>797.31993848957893</v>
      </c>
      <c r="FC267" s="173">
        <f t="shared" si="734"/>
        <v>2.1626178622942347</v>
      </c>
      <c r="FD267" s="5">
        <f t="shared" si="735"/>
        <v>9.3839999999999986</v>
      </c>
      <c r="FE267" s="173">
        <f t="shared" si="736"/>
        <v>0.81270551358971377</v>
      </c>
      <c r="FF267" s="5">
        <f t="shared" si="737"/>
        <v>81.270551358971375</v>
      </c>
      <c r="FG267">
        <f t="shared" si="738"/>
        <v>51</v>
      </c>
      <c r="FI267" s="562">
        <f t="shared" si="689"/>
        <v>-50</v>
      </c>
    </row>
    <row r="268" spans="5:165">
      <c r="E268" s="170">
        <v>52</v>
      </c>
      <c r="F268" s="217">
        <f t="shared" si="773"/>
        <v>0.52</v>
      </c>
      <c r="G268" s="217">
        <f t="shared" si="742"/>
        <v>0.13</v>
      </c>
      <c r="H268" s="217">
        <f t="shared" si="743"/>
        <v>8.5279999999999987</v>
      </c>
      <c r="I268" s="217">
        <f t="shared" si="744"/>
        <v>1.04</v>
      </c>
      <c r="J268" s="541">
        <f t="shared" si="745"/>
        <v>35.932027199149559</v>
      </c>
      <c r="K268" s="443">
        <f t="shared" si="746"/>
        <v>17.130227707252025</v>
      </c>
      <c r="L268" s="172">
        <f t="shared" si="747"/>
        <v>53.062254906401584</v>
      </c>
      <c r="M268" s="443"/>
      <c r="N268" s="217">
        <f t="shared" si="748"/>
        <v>0.32283263757766512</v>
      </c>
      <c r="O268" s="172">
        <f t="shared" si="749"/>
        <v>34.463860556722324</v>
      </c>
      <c r="P268" s="172">
        <f t="shared" si="750"/>
        <v>4.7154598025259586</v>
      </c>
      <c r="Q268" s="217">
        <f t="shared" si="626"/>
        <v>2.1014549119952637</v>
      </c>
      <c r="R268" s="217">
        <f t="shared" si="751"/>
        <v>4.3079825695902905</v>
      </c>
      <c r="S268" s="217">
        <f t="shared" si="752"/>
        <v>16.399999999999999</v>
      </c>
      <c r="T268" s="217">
        <f t="shared" si="753"/>
        <v>1.6496507476218834</v>
      </c>
      <c r="U268" s="217">
        <f t="shared" si="630"/>
        <v>0.55092380014482267</v>
      </c>
      <c r="V268" s="217">
        <f t="shared" si="631"/>
        <v>1.1556068786570834</v>
      </c>
      <c r="W268" s="197">
        <f t="shared" si="632"/>
        <v>350</v>
      </c>
      <c r="X268" s="443">
        <f t="shared" si="691"/>
        <v>350</v>
      </c>
      <c r="Z268" s="217">
        <f t="shared" si="633"/>
        <v>2.7619121700509175</v>
      </c>
      <c r="AA268" s="173">
        <f t="shared" si="634"/>
        <v>1.9347638926352424</v>
      </c>
      <c r="AB268" s="173">
        <f t="shared" si="754"/>
        <v>0.83349291257452818</v>
      </c>
      <c r="AC268" s="173"/>
      <c r="AD268" s="173">
        <f t="shared" si="636"/>
        <v>0.93402144288055522</v>
      </c>
      <c r="AE268" s="545">
        <f t="shared" si="755"/>
        <v>835.09860072853598</v>
      </c>
      <c r="AF268" s="528">
        <f t="shared" si="756"/>
        <v>0.21793833667212958</v>
      </c>
      <c r="AH268" s="173">
        <f t="shared" si="757"/>
        <v>2.1345234775449238</v>
      </c>
      <c r="AI268" s="173">
        <f t="shared" si="758"/>
        <v>2.1345234775449238</v>
      </c>
      <c r="AJ268" s="173">
        <f t="shared" si="759"/>
        <v>1.7934741808974741</v>
      </c>
      <c r="AL268" s="545">
        <f t="shared" si="760"/>
        <v>520</v>
      </c>
      <c r="AM268" s="460">
        <f t="shared" si="761"/>
        <v>350</v>
      </c>
      <c r="AO268">
        <f t="shared" si="644"/>
        <v>520</v>
      </c>
      <c r="AP268">
        <f t="shared" si="645"/>
        <v>350</v>
      </c>
      <c r="AR268" s="5">
        <f t="shared" si="774"/>
        <v>2.8571428571428572</v>
      </c>
      <c r="AS268" s="5">
        <f t="shared" si="739"/>
        <v>0.71285378886569828</v>
      </c>
      <c r="AT268" s="5">
        <f t="shared" si="740"/>
        <v>2.1442890682771587</v>
      </c>
      <c r="AU268" s="173">
        <f t="shared" si="741"/>
        <v>0.2494988261029944</v>
      </c>
      <c r="BA268" s="173">
        <f t="shared" si="692"/>
        <v>0.6155659118001815</v>
      </c>
      <c r="BB268" s="173">
        <f t="shared" si="693"/>
        <v>1.0676182683711295</v>
      </c>
      <c r="BC268" s="173">
        <f t="shared" si="694"/>
        <v>0.26192643312978925</v>
      </c>
      <c r="BD268" s="173"/>
      <c r="BE268" s="528">
        <f t="shared" si="695"/>
        <v>7.5784278354077764E-3</v>
      </c>
      <c r="BF268" s="528">
        <f t="shared" si="762"/>
        <v>0.74328600195404304</v>
      </c>
      <c r="BG268" s="528">
        <f t="shared" si="763"/>
        <v>0.31440523799255865</v>
      </c>
      <c r="BH268" s="528">
        <f t="shared" si="696"/>
        <v>9.8546101351317875E-2</v>
      </c>
      <c r="BI268">
        <f t="shared" si="697"/>
        <v>1.6169412239617299E-2</v>
      </c>
      <c r="BJ268" s="460">
        <f t="shared" si="698"/>
        <v>330.574650232176</v>
      </c>
      <c r="BK268">
        <f t="shared" si="764"/>
        <v>0.8529926345829052</v>
      </c>
      <c r="BL268" s="460">
        <f t="shared" si="699"/>
        <v>1179.9851813729445</v>
      </c>
      <c r="BM268" s="173">
        <f t="shared" si="765"/>
        <v>0.32304999999999995</v>
      </c>
      <c r="BN268" s="173">
        <f t="shared" si="766"/>
        <v>5.7687499999999996E-2</v>
      </c>
      <c r="BQ268" s="460">
        <f t="shared" si="700"/>
        <v>380.73749999999995</v>
      </c>
      <c r="BR268" s="528">
        <f t="shared" si="701"/>
        <v>1.1367641753111665E-2</v>
      </c>
      <c r="BS268" s="528">
        <f t="shared" si="702"/>
        <v>3.4194263008793073E-2</v>
      </c>
      <c r="BT268" s="528">
        <f t="shared" si="703"/>
        <v>3.4302728186046984E-4</v>
      </c>
      <c r="BU268" s="528">
        <f t="shared" si="704"/>
        <v>0.76276798255759481</v>
      </c>
      <c r="BV268" s="528"/>
      <c r="BW268" s="625">
        <f t="shared" si="705"/>
        <v>7.9733333333333305E-3</v>
      </c>
      <c r="BX268" s="460">
        <f t="shared" si="706"/>
        <v>816.64624793469329</v>
      </c>
      <c r="BY268" s="173">
        <f t="shared" si="707"/>
        <v>2.3773689293076377</v>
      </c>
      <c r="BZ268" s="5">
        <f t="shared" si="708"/>
        <v>9.5679999999999978</v>
      </c>
      <c r="CA268" s="173">
        <f t="shared" si="709"/>
        <v>0.8009798656385716</v>
      </c>
      <c r="CB268" s="5">
        <f t="shared" si="710"/>
        <v>80.097986563857162</v>
      </c>
      <c r="CC268">
        <f t="shared" si="711"/>
        <v>52</v>
      </c>
      <c r="CE268" s="562">
        <f t="shared" si="767"/>
        <v>-50</v>
      </c>
      <c r="CG268" s="173">
        <f t="shared" si="768"/>
        <v>0.51608280674193574</v>
      </c>
      <c r="CH268" s="173">
        <f t="shared" si="769"/>
        <v>0.18364924235818122</v>
      </c>
      <c r="CI268" s="170">
        <v>52</v>
      </c>
      <c r="CJ268" s="217">
        <f t="shared" si="712"/>
        <v>0.52</v>
      </c>
      <c r="CK268" s="217">
        <f t="shared" si="654"/>
        <v>0.13</v>
      </c>
      <c r="CL268" s="217">
        <f t="shared" si="655"/>
        <v>8.5279999999999987</v>
      </c>
      <c r="CM268" s="217">
        <f t="shared" si="656"/>
        <v>1.04</v>
      </c>
      <c r="CN268" s="541">
        <f t="shared" si="657"/>
        <v>36</v>
      </c>
      <c r="CO268" s="443">
        <f t="shared" si="770"/>
        <v>17.099999999999998</v>
      </c>
      <c r="CP268" s="443">
        <f t="shared" si="771"/>
        <v>53.099999999999994</v>
      </c>
      <c r="CQ268" s="443"/>
      <c r="CR268" s="217">
        <f t="shared" si="660"/>
        <v>0.31818181818181812</v>
      </c>
      <c r="CS268" s="172">
        <f t="shared" si="661"/>
        <v>34.031620553359687</v>
      </c>
      <c r="CT268" s="172">
        <f t="shared" si="662"/>
        <v>4.6563192904656319</v>
      </c>
      <c r="CU268" s="217">
        <f t="shared" si="663"/>
        <v>2.0750988142292495</v>
      </c>
      <c r="CV268" s="217">
        <f t="shared" si="664"/>
        <v>4.2539525691699609</v>
      </c>
      <c r="CW268" s="217">
        <f t="shared" si="665"/>
        <v>16.399999999999999</v>
      </c>
      <c r="CX268" s="217">
        <f t="shared" si="666"/>
        <v>1.6706031746031744</v>
      </c>
      <c r="CY268" s="217">
        <f t="shared" si="667"/>
        <v>0.55686772486772484</v>
      </c>
      <c r="CZ268" s="217">
        <f t="shared" si="668"/>
        <v>1.172353104984684</v>
      </c>
      <c r="DA268" s="197">
        <f t="shared" si="669"/>
        <v>350</v>
      </c>
      <c r="DB268" s="443">
        <f t="shared" si="670"/>
        <v>350</v>
      </c>
      <c r="DD268" s="217">
        <f t="shared" si="671"/>
        <v>2.7602905569007259</v>
      </c>
      <c r="DE268" s="173">
        <f t="shared" si="672"/>
        <v>1.937046004842615</v>
      </c>
      <c r="DF268" s="173">
        <f t="shared" si="673"/>
        <v>0.83398609309454497</v>
      </c>
      <c r="DG268" s="173"/>
      <c r="DH268" s="173">
        <f t="shared" si="674"/>
        <v>0.93567251461988332</v>
      </c>
      <c r="DI268" s="545">
        <f t="shared" si="675"/>
        <v>833.62499999999966</v>
      </c>
      <c r="DJ268" s="528">
        <f t="shared" si="676"/>
        <v>0.21832358674463945</v>
      </c>
      <c r="DL268" s="173">
        <f t="shared" si="677"/>
        <v>2.1345234775449238</v>
      </c>
      <c r="DM268" s="173">
        <f t="shared" si="678"/>
        <v>2.1345234775449238</v>
      </c>
      <c r="DN268" s="173">
        <f t="shared" si="679"/>
        <v>1.7934741808974741</v>
      </c>
      <c r="DP268" s="545">
        <f t="shared" si="680"/>
        <v>520</v>
      </c>
      <c r="DQ268" s="460">
        <f t="shared" si="681"/>
        <v>350</v>
      </c>
      <c r="DS268">
        <f t="shared" si="682"/>
        <v>520</v>
      </c>
      <c r="DT268">
        <f t="shared" si="683"/>
        <v>350</v>
      </c>
      <c r="DV268" s="5">
        <f t="shared" si="684"/>
        <v>2.8571428571428572</v>
      </c>
      <c r="DW268" s="5">
        <f t="shared" si="685"/>
        <v>0.71150782584830796</v>
      </c>
      <c r="DX268" s="5">
        <f t="shared" si="686"/>
        <v>2.1456350312945491</v>
      </c>
      <c r="DY268" s="173">
        <f t="shared" si="687"/>
        <v>0.24902773904690778</v>
      </c>
      <c r="EA268" s="5">
        <f t="shared" si="713"/>
        <v>2.2560004234214648</v>
      </c>
      <c r="EB268" s="5">
        <f t="shared" si="714"/>
        <v>1.1562002170035004</v>
      </c>
      <c r="EC268" s="5">
        <f t="shared" si="715"/>
        <v>0.4235642487703683</v>
      </c>
      <c r="ED268" s="5"/>
      <c r="EE268" s="173">
        <f t="shared" si="716"/>
        <v>0.61498450195994592</v>
      </c>
      <c r="EF268" s="173">
        <f t="shared" si="717"/>
        <v>1.0679532860004859</v>
      </c>
      <c r="EG268" s="173">
        <f t="shared" si="718"/>
        <v>0.26200862540327557</v>
      </c>
      <c r="EH268" s="173"/>
      <c r="EI268" s="528">
        <f t="shared" si="719"/>
        <v>7.5641187530184539E-3</v>
      </c>
      <c r="EJ268" s="528">
        <f t="shared" si="720"/>
        <v>0.79340237660344815</v>
      </c>
      <c r="EK268" s="528">
        <f t="shared" si="721"/>
        <v>4.3749999999999997E-2</v>
      </c>
      <c r="EL268" s="528">
        <f t="shared" si="722"/>
        <v>9.8686349999999978E-2</v>
      </c>
      <c r="EM268">
        <f t="shared" si="723"/>
        <v>1.6199999999999999E-2</v>
      </c>
      <c r="EN268" s="460">
        <f t="shared" si="724"/>
        <v>59.949999999999996</v>
      </c>
      <c r="EP268" s="460">
        <f t="shared" si="725"/>
        <v>959.60284535646645</v>
      </c>
      <c r="EQ268" s="173">
        <f t="shared" si="726"/>
        <v>0.36399999999999999</v>
      </c>
      <c r="ER268" s="173">
        <f t="shared" si="772"/>
        <v>5.7687499999999996E-2</v>
      </c>
      <c r="ES268" s="528"/>
      <c r="EU268" s="460">
        <f t="shared" si="727"/>
        <v>421.6875</v>
      </c>
      <c r="EV268" s="528">
        <f t="shared" si="728"/>
        <v>1.134617812952768E-2</v>
      </c>
      <c r="EW268" s="528">
        <f t="shared" si="729"/>
        <v>3.4215726632377069E-2</v>
      </c>
      <c r="EX268" s="528">
        <f t="shared" si="730"/>
        <v>3.4324259892856994E-4</v>
      </c>
      <c r="EY268" s="528">
        <f t="shared" si="731"/>
        <v>0.76276798255759481</v>
      </c>
      <c r="EZ268" s="528"/>
      <c r="FA268" s="625">
        <f t="shared" si="732"/>
        <v>7.9733333333333305E-3</v>
      </c>
      <c r="FB268" s="460">
        <f t="shared" si="733"/>
        <v>816.64646325176136</v>
      </c>
      <c r="FC268" s="173">
        <f t="shared" si="734"/>
        <v>2.1979368086082274</v>
      </c>
      <c r="FD268" s="5">
        <f t="shared" si="735"/>
        <v>9.5679999999999978</v>
      </c>
      <c r="FE268" s="173">
        <f t="shared" si="736"/>
        <v>0.81319491644726771</v>
      </c>
      <c r="FF268" s="5">
        <f t="shared" si="737"/>
        <v>81.319491644726767</v>
      </c>
      <c r="FG268">
        <f t="shared" si="738"/>
        <v>52</v>
      </c>
      <c r="FI268" s="562">
        <f t="shared" si="689"/>
        <v>-50</v>
      </c>
    </row>
    <row r="269" spans="5:165">
      <c r="E269" s="170">
        <v>53</v>
      </c>
      <c r="F269" s="217">
        <f t="shared" si="773"/>
        <v>0.53</v>
      </c>
      <c r="G269" s="217">
        <f t="shared" si="742"/>
        <v>0.13250000000000001</v>
      </c>
      <c r="H269" s="217">
        <f t="shared" si="743"/>
        <v>8.6920000000000002</v>
      </c>
      <c r="I269" s="217">
        <f t="shared" si="744"/>
        <v>1.06</v>
      </c>
      <c r="J269" s="541">
        <f t="shared" si="745"/>
        <v>35.931376726904311</v>
      </c>
      <c r="K269" s="443">
        <f t="shared" si="746"/>
        <v>17.130516974199381</v>
      </c>
      <c r="L269" s="172">
        <f t="shared" si="747"/>
        <v>53.061893701103692</v>
      </c>
      <c r="M269" s="443"/>
      <c r="N269" s="217">
        <f t="shared" si="748"/>
        <v>0.32284028667908371</v>
      </c>
      <c r="O269" s="172">
        <f t="shared" si="749"/>
        <v>34.464053224261292</v>
      </c>
      <c r="P269" s="172">
        <f t="shared" si="750"/>
        <v>4.7154861639381895</v>
      </c>
      <c r="Q269" s="217">
        <f t="shared" si="626"/>
        <v>2.1014666600159324</v>
      </c>
      <c r="R269" s="217">
        <f t="shared" si="751"/>
        <v>4.3080066530326615</v>
      </c>
      <c r="S269" s="217">
        <f t="shared" si="752"/>
        <v>16.399999999999999</v>
      </c>
      <c r="T269" s="217">
        <f t="shared" si="753"/>
        <v>1.6813654009179217</v>
      </c>
      <c r="U269" s="217">
        <f t="shared" si="630"/>
        <v>0.56152551471559964</v>
      </c>
      <c r="V269" s="217">
        <f t="shared" si="631"/>
        <v>1.1778036145320729</v>
      </c>
      <c r="W269" s="197">
        <f t="shared" si="632"/>
        <v>350</v>
      </c>
      <c r="X269" s="443">
        <f t="shared" si="691"/>
        <v>350</v>
      </c>
      <c r="Z269" s="217">
        <f t="shared" si="633"/>
        <v>2.7619276103066528</v>
      </c>
      <c r="AA269" s="173">
        <f t="shared" si="634"/>
        <v>1.9347420380597604</v>
      </c>
      <c r="AB269" s="173">
        <f t="shared" si="754"/>
        <v>0.83348815718634151</v>
      </c>
      <c r="AC269" s="173"/>
      <c r="AD269" s="173">
        <f t="shared" si="636"/>
        <v>0.93400567093788978</v>
      </c>
      <c r="AE269" s="545">
        <f t="shared" si="755"/>
        <v>851.17256215553164</v>
      </c>
      <c r="AF269" s="528">
        <f t="shared" si="756"/>
        <v>0.21793465655217428</v>
      </c>
      <c r="AH269" s="173">
        <f t="shared" si="757"/>
        <v>2.15495000494432</v>
      </c>
      <c r="AI269" s="173">
        <f t="shared" si="758"/>
        <v>2.15495000494432</v>
      </c>
      <c r="AJ269" s="173">
        <f t="shared" si="759"/>
        <v>1.808604941934064</v>
      </c>
      <c r="AL269" s="545">
        <f t="shared" si="760"/>
        <v>530</v>
      </c>
      <c r="AM269" s="460">
        <f t="shared" si="761"/>
        <v>350</v>
      </c>
      <c r="AO269">
        <f t="shared" si="644"/>
        <v>530</v>
      </c>
      <c r="AP269">
        <f t="shared" si="645"/>
        <v>350</v>
      </c>
      <c r="AR269" s="5">
        <f t="shared" si="774"/>
        <v>2.8571428571428572</v>
      </c>
      <c r="AS269" s="5">
        <f t="shared" si="739"/>
        <v>0.71968854007113836</v>
      </c>
      <c r="AT269" s="5">
        <f t="shared" si="740"/>
        <v>2.1374543170717191</v>
      </c>
      <c r="AU269" s="173">
        <f t="shared" si="741"/>
        <v>0.25189098902489843</v>
      </c>
      <c r="BA269" s="173">
        <f t="shared" si="692"/>
        <v>0.62442874527993553</v>
      </c>
      <c r="BB269" s="173">
        <f t="shared" si="693"/>
        <v>1.0761158162598643</v>
      </c>
      <c r="BC269" s="173">
        <f t="shared" si="694"/>
        <v>0.26401119738943579</v>
      </c>
      <c r="BD269" s="173"/>
      <c r="BE269" s="528">
        <f t="shared" si="695"/>
        <v>7.7982251586374918E-3</v>
      </c>
      <c r="BF269" s="528">
        <f t="shared" si="762"/>
        <v>0.75039384061391134</v>
      </c>
      <c r="BG269" s="528">
        <f t="shared" si="763"/>
        <v>0.31439954636041267</v>
      </c>
      <c r="BH269" s="528">
        <f t="shared" si="696"/>
        <v>9.854475971015296E-2</v>
      </c>
      <c r="BI269">
        <f t="shared" si="697"/>
        <v>1.6169119527106941E-2</v>
      </c>
      <c r="BJ269" s="460">
        <f t="shared" si="698"/>
        <v>330.56866588751961</v>
      </c>
      <c r="BK269">
        <f t="shared" si="764"/>
        <v>0.86043661339429978</v>
      </c>
      <c r="BL269" s="460">
        <f t="shared" si="699"/>
        <v>1187.3054913702215</v>
      </c>
      <c r="BM269" s="173">
        <f t="shared" si="765"/>
        <v>0.32926249999999996</v>
      </c>
      <c r="BN269" s="173">
        <f t="shared" si="766"/>
        <v>5.8796874999999998E-2</v>
      </c>
      <c r="BQ269" s="460">
        <f t="shared" si="700"/>
        <v>388.05937499999999</v>
      </c>
      <c r="BR269" s="528">
        <f t="shared" si="701"/>
        <v>1.1697337737956236E-2</v>
      </c>
      <c r="BS269" s="528">
        <f t="shared" si="702"/>
        <v>3.4740757500139018E-2</v>
      </c>
      <c r="BT269" s="528">
        <f t="shared" si="703"/>
        <v>3.4850956173501814E-4</v>
      </c>
      <c r="BU269" s="528">
        <f t="shared" si="704"/>
        <v>0.78114761759502516</v>
      </c>
      <c r="BV269" s="528"/>
      <c r="BW269" s="625">
        <f t="shared" si="705"/>
        <v>8.1266666666666675E-3</v>
      </c>
      <c r="BX269" s="460">
        <f t="shared" si="706"/>
        <v>836.06088906152195</v>
      </c>
      <c r="BY269" s="173">
        <f t="shared" si="707"/>
        <v>2.4114257554317438</v>
      </c>
      <c r="BZ269" s="5">
        <f t="shared" si="708"/>
        <v>9.7520000000000007</v>
      </c>
      <c r="CA269" s="173">
        <f t="shared" si="709"/>
        <v>0.80174781316399391</v>
      </c>
      <c r="CB269" s="5">
        <f t="shared" si="710"/>
        <v>80.17478131639939</v>
      </c>
      <c r="CC269">
        <f t="shared" si="711"/>
        <v>53</v>
      </c>
      <c r="CE269" s="562">
        <f t="shared" si="767"/>
        <v>-50</v>
      </c>
      <c r="CG269" s="173">
        <f t="shared" si="768"/>
        <v>0.52102151072114711</v>
      </c>
      <c r="CH269" s="173">
        <f t="shared" si="769"/>
        <v>0.18540669141900032</v>
      </c>
      <c r="CI269" s="170">
        <v>53</v>
      </c>
      <c r="CJ269" s="217">
        <f t="shared" si="712"/>
        <v>0.53</v>
      </c>
      <c r="CK269" s="217">
        <f t="shared" si="654"/>
        <v>0.13250000000000001</v>
      </c>
      <c r="CL269" s="217">
        <f t="shared" si="655"/>
        <v>8.6920000000000002</v>
      </c>
      <c r="CM269" s="217">
        <f t="shared" si="656"/>
        <v>1.06</v>
      </c>
      <c r="CN269" s="541">
        <f t="shared" si="657"/>
        <v>36</v>
      </c>
      <c r="CO269" s="443">
        <f t="shared" si="770"/>
        <v>17.099999999999998</v>
      </c>
      <c r="CP269" s="443">
        <f t="shared" si="771"/>
        <v>53.099999999999994</v>
      </c>
      <c r="CQ269" s="443"/>
      <c r="CR269" s="217">
        <f t="shared" si="660"/>
        <v>0.31818181818181812</v>
      </c>
      <c r="CS269" s="172">
        <f t="shared" si="661"/>
        <v>34.031620553359687</v>
      </c>
      <c r="CT269" s="172">
        <f t="shared" si="662"/>
        <v>4.6563192904656319</v>
      </c>
      <c r="CU269" s="217">
        <f t="shared" si="663"/>
        <v>2.0750988142292495</v>
      </c>
      <c r="CV269" s="217">
        <f t="shared" si="664"/>
        <v>4.2539525691699609</v>
      </c>
      <c r="CW269" s="217">
        <f t="shared" si="665"/>
        <v>16.399999999999999</v>
      </c>
      <c r="CX269" s="217">
        <f t="shared" si="666"/>
        <v>1.7027301587301591</v>
      </c>
      <c r="CY269" s="217">
        <f t="shared" si="667"/>
        <v>0.56757671957671973</v>
      </c>
      <c r="CZ269" s="217">
        <f t="shared" si="668"/>
        <v>1.1948983570036207</v>
      </c>
      <c r="DA269" s="197">
        <f t="shared" si="669"/>
        <v>350</v>
      </c>
      <c r="DB269" s="443">
        <f t="shared" si="670"/>
        <v>350</v>
      </c>
      <c r="DD269" s="217">
        <f t="shared" si="671"/>
        <v>2.7602905569007259</v>
      </c>
      <c r="DE269" s="173">
        <f t="shared" si="672"/>
        <v>1.937046004842615</v>
      </c>
      <c r="DF269" s="173">
        <f t="shared" si="673"/>
        <v>0.83398609309454497</v>
      </c>
      <c r="DG269" s="173"/>
      <c r="DH269" s="173">
        <f t="shared" si="674"/>
        <v>0.93567251461988332</v>
      </c>
      <c r="DI269" s="545">
        <f t="shared" si="675"/>
        <v>849.65624999999977</v>
      </c>
      <c r="DJ269" s="528">
        <f t="shared" si="676"/>
        <v>0.21832358674463945</v>
      </c>
      <c r="DL269" s="173">
        <f t="shared" si="677"/>
        <v>2.15495000494432</v>
      </c>
      <c r="DM269" s="173">
        <f t="shared" si="678"/>
        <v>2.15495000494432</v>
      </c>
      <c r="DN269" s="173">
        <f t="shared" si="679"/>
        <v>1.808604941934064</v>
      </c>
      <c r="DP269" s="545">
        <f t="shared" si="680"/>
        <v>530</v>
      </c>
      <c r="DQ269" s="460">
        <f t="shared" si="681"/>
        <v>350</v>
      </c>
      <c r="DS269">
        <f t="shared" si="682"/>
        <v>530</v>
      </c>
      <c r="DT269">
        <f t="shared" si="683"/>
        <v>350</v>
      </c>
      <c r="DV269" s="5">
        <f t="shared" si="684"/>
        <v>2.8571428571428572</v>
      </c>
      <c r="DW269" s="5">
        <f t="shared" si="685"/>
        <v>0.71831666831477337</v>
      </c>
      <c r="DX269" s="5">
        <f t="shared" si="686"/>
        <v>2.1388261888280837</v>
      </c>
      <c r="DY269" s="173">
        <f t="shared" si="687"/>
        <v>0.25141083391017066</v>
      </c>
      <c r="EA269" s="5">
        <f t="shared" si="713"/>
        <v>2.3213892329684755</v>
      </c>
      <c r="EB269" s="5">
        <f t="shared" si="714"/>
        <v>1.1897119818963435</v>
      </c>
      <c r="EC269" s="5">
        <f t="shared" si="715"/>
        <v>0.43033975077068753</v>
      </c>
      <c r="ED269" s="5"/>
      <c r="EE269" s="173">
        <f t="shared" si="716"/>
        <v>0.62383331772222217</v>
      </c>
      <c r="EF269" s="173">
        <f t="shared" si="717"/>
        <v>1.0764610999177784</v>
      </c>
      <c r="EG269" s="173">
        <f t="shared" si="718"/>
        <v>0.26409590830120527</v>
      </c>
      <c r="EH269" s="173"/>
      <c r="EI269" s="528">
        <f t="shared" si="719"/>
        <v>7.7833601660063003E-3</v>
      </c>
      <c r="EJ269" s="528">
        <f t="shared" si="720"/>
        <v>0.80099491683780377</v>
      </c>
      <c r="EK269" s="528">
        <f t="shared" si="721"/>
        <v>4.3749999999999997E-2</v>
      </c>
      <c r="EL269" s="528">
        <f t="shared" si="722"/>
        <v>9.8686349999999978E-2</v>
      </c>
      <c r="EM269">
        <f t="shared" si="723"/>
        <v>1.6199999999999999E-2</v>
      </c>
      <c r="EN269" s="460">
        <f t="shared" si="724"/>
        <v>59.949999999999996</v>
      </c>
      <c r="EP269" s="460">
        <f t="shared" si="725"/>
        <v>967.41462700380998</v>
      </c>
      <c r="EQ269" s="173">
        <f t="shared" si="726"/>
        <v>0.371</v>
      </c>
      <c r="ER269" s="173">
        <f t="shared" si="772"/>
        <v>5.8796874999999998E-2</v>
      </c>
      <c r="ES269" s="528"/>
      <c r="EU269" s="460">
        <f t="shared" si="727"/>
        <v>429.79687499999994</v>
      </c>
      <c r="EV269" s="528">
        <f t="shared" si="728"/>
        <v>1.167504024900945E-2</v>
      </c>
      <c r="EW269" s="528">
        <f t="shared" si="729"/>
        <v>3.4763054989085801E-2</v>
      </c>
      <c r="EX269" s="528">
        <f t="shared" si="730"/>
        <v>3.4873324390719316E-4</v>
      </c>
      <c r="EY269" s="528">
        <f t="shared" si="731"/>
        <v>0.78114761759502516</v>
      </c>
      <c r="EZ269" s="528"/>
      <c r="FA269" s="625">
        <f t="shared" si="732"/>
        <v>8.1266666666666675E-3</v>
      </c>
      <c r="FB269" s="460">
        <f t="shared" si="733"/>
        <v>836.06111274369425</v>
      </c>
      <c r="FC269" s="173">
        <f t="shared" si="734"/>
        <v>2.2332726147475039</v>
      </c>
      <c r="FD269" s="5">
        <f t="shared" si="735"/>
        <v>9.7520000000000007</v>
      </c>
      <c r="FE269" s="173">
        <f t="shared" si="736"/>
        <v>0.81366526348349122</v>
      </c>
      <c r="FF269" s="5">
        <f t="shared" si="737"/>
        <v>81.366526348349126</v>
      </c>
      <c r="FG269">
        <f t="shared" si="738"/>
        <v>53</v>
      </c>
      <c r="FI269" s="562">
        <f t="shared" si="689"/>
        <v>-50</v>
      </c>
    </row>
    <row r="270" spans="5:165">
      <c r="E270" s="170">
        <v>54</v>
      </c>
      <c r="F270" s="217">
        <f t="shared" si="773"/>
        <v>0.54</v>
      </c>
      <c r="G270" s="217">
        <f t="shared" si="742"/>
        <v>0.13500000000000001</v>
      </c>
      <c r="H270" s="217">
        <f t="shared" si="743"/>
        <v>8.8559999999999999</v>
      </c>
      <c r="I270" s="217">
        <f t="shared" si="744"/>
        <v>1.08</v>
      </c>
      <c r="J270" s="541">
        <f t="shared" si="745"/>
        <v>35.930732362785506</v>
      </c>
      <c r="K270" s="443">
        <f t="shared" si="746"/>
        <v>17.130803524844683</v>
      </c>
      <c r="L270" s="172">
        <f t="shared" si="747"/>
        <v>53.061535887630185</v>
      </c>
      <c r="M270" s="443"/>
      <c r="N270" s="217">
        <f t="shared" si="748"/>
        <v>0.32284786405585841</v>
      </c>
      <c r="O270" s="172">
        <f t="shared" si="749"/>
        <v>34.464244064406401</v>
      </c>
      <c r="P270" s="172">
        <f t="shared" si="750"/>
        <v>4.7155122753203287</v>
      </c>
      <c r="Q270" s="217">
        <f t="shared" si="626"/>
        <v>2.1014782966101464</v>
      </c>
      <c r="R270" s="217">
        <f t="shared" si="751"/>
        <v>4.3080305080508001</v>
      </c>
      <c r="S270" s="217">
        <f t="shared" si="752"/>
        <v>16.399999999999999</v>
      </c>
      <c r="T270" s="217">
        <f t="shared" si="753"/>
        <v>1.7130797904537438</v>
      </c>
      <c r="U270" s="217">
        <f t="shared" si="630"/>
        <v>0.57212742779316017</v>
      </c>
      <c r="V270" s="217">
        <f t="shared" si="631"/>
        <v>1.1999996063016725</v>
      </c>
      <c r="W270" s="197">
        <f t="shared" si="632"/>
        <v>350</v>
      </c>
      <c r="X270" s="443">
        <f t="shared" si="691"/>
        <v>350</v>
      </c>
      <c r="Z270" s="217">
        <f t="shared" si="633"/>
        <v>2.761942904116192</v>
      </c>
      <c r="AA270" s="173">
        <f t="shared" si="634"/>
        <v>1.9347203884118331</v>
      </c>
      <c r="AB270" s="173">
        <f t="shared" si="754"/>
        <v>0.83348344578260691</v>
      </c>
      <c r="AC270" s="173"/>
      <c r="AD270" s="173">
        <f t="shared" si="636"/>
        <v>0.93399004762358728</v>
      </c>
      <c r="AE270" s="545">
        <f t="shared" si="755"/>
        <v>867.24692844526191</v>
      </c>
      <c r="AF270" s="528">
        <f t="shared" si="756"/>
        <v>0.21793101111217042</v>
      </c>
      <c r="AH270" s="173">
        <f t="shared" si="757"/>
        <v>2.1751847212199178</v>
      </c>
      <c r="AI270" s="173">
        <f t="shared" si="758"/>
        <v>2.1751847212199178</v>
      </c>
      <c r="AJ270" s="173">
        <f t="shared" si="759"/>
        <v>1.8235936206567291</v>
      </c>
      <c r="AL270" s="545">
        <f t="shared" si="760"/>
        <v>540</v>
      </c>
      <c r="AM270" s="460">
        <f t="shared" si="761"/>
        <v>350</v>
      </c>
      <c r="AO270">
        <f t="shared" si="644"/>
        <v>540</v>
      </c>
      <c r="AP270">
        <f t="shared" si="645"/>
        <v>350</v>
      </c>
      <c r="AR270" s="5">
        <f t="shared" si="774"/>
        <v>2.8571428571428572</v>
      </c>
      <c r="AS270" s="5">
        <f t="shared" si="739"/>
        <v>0.72645935493577174</v>
      </c>
      <c r="AT270" s="5">
        <f t="shared" si="740"/>
        <v>2.1306835022070856</v>
      </c>
      <c r="AU270" s="173">
        <f t="shared" si="741"/>
        <v>0.25426077422752008</v>
      </c>
      <c r="BA270" s="173">
        <f t="shared" si="692"/>
        <v>0.63325000112478957</v>
      </c>
      <c r="BB270" s="173">
        <f t="shared" si="693"/>
        <v>1.0844986367987335</v>
      </c>
      <c r="BC270" s="173">
        <f t="shared" si="694"/>
        <v>0.26606781476697761</v>
      </c>
      <c r="BD270" s="173"/>
      <c r="BE270" s="528">
        <f t="shared" si="695"/>
        <v>8.0201112784909195E-3</v>
      </c>
      <c r="BF270" s="528">
        <f t="shared" si="762"/>
        <v>0.7574348390912331</v>
      </c>
      <c r="BG270" s="528">
        <f t="shared" si="763"/>
        <v>0.31439390817437318</v>
      </c>
      <c r="BH270" s="528">
        <f t="shared" si="696"/>
        <v>9.8543430676399327E-2</v>
      </c>
      <c r="BI270">
        <f t="shared" si="697"/>
        <v>1.6168829563253478E-2</v>
      </c>
      <c r="BJ270" s="460">
        <f t="shared" si="698"/>
        <v>330.56273773762666</v>
      </c>
      <c r="BK270">
        <f t="shared" si="764"/>
        <v>0.86781750541929747</v>
      </c>
      <c r="BL270" s="460">
        <f t="shared" si="699"/>
        <v>1194.5611187837499</v>
      </c>
      <c r="BM270" s="173">
        <f t="shared" si="765"/>
        <v>0.33547499999999997</v>
      </c>
      <c r="BN270" s="173">
        <f t="shared" si="766"/>
        <v>5.9906250000000001E-2</v>
      </c>
      <c r="BQ270" s="460">
        <f t="shared" si="700"/>
        <v>395.38124999999997</v>
      </c>
      <c r="BR270" s="528">
        <f t="shared" si="701"/>
        <v>1.203016691773638E-2</v>
      </c>
      <c r="BS270" s="528">
        <f t="shared" si="702"/>
        <v>3.5284118796549337E-2</v>
      </c>
      <c r="BT270" s="528">
        <f t="shared" si="703"/>
        <v>3.5396041027437356E-4</v>
      </c>
      <c r="BU270" s="528">
        <f t="shared" si="704"/>
        <v>0.7996141583414631</v>
      </c>
      <c r="BV270" s="528"/>
      <c r="BW270" s="625">
        <f t="shared" si="705"/>
        <v>8.2800000000000009E-3</v>
      </c>
      <c r="BX270" s="460">
        <f t="shared" si="706"/>
        <v>855.56240446602317</v>
      </c>
      <c r="BY270" s="173">
        <f t="shared" si="707"/>
        <v>2.4455047732497732</v>
      </c>
      <c r="BZ270" s="5">
        <f t="shared" si="708"/>
        <v>9.9359999999999999</v>
      </c>
      <c r="CA270" s="173">
        <f t="shared" si="709"/>
        <v>0.80248727290940569</v>
      </c>
      <c r="CB270" s="5">
        <f t="shared" si="710"/>
        <v>80.248727290940565</v>
      </c>
      <c r="CC270">
        <f t="shared" si="711"/>
        <v>54</v>
      </c>
      <c r="CE270" s="562">
        <f t="shared" si="767"/>
        <v>-50</v>
      </c>
      <c r="CG270" s="173">
        <f t="shared" si="768"/>
        <v>0.52591383881169984</v>
      </c>
      <c r="CH270" s="173">
        <f t="shared" si="769"/>
        <v>0.18714763751420116</v>
      </c>
      <c r="CI270" s="170">
        <v>54</v>
      </c>
      <c r="CJ270" s="217">
        <f t="shared" si="712"/>
        <v>0.54</v>
      </c>
      <c r="CK270" s="217">
        <f t="shared" si="654"/>
        <v>0.13500000000000001</v>
      </c>
      <c r="CL270" s="217">
        <f t="shared" si="655"/>
        <v>8.8559999999999999</v>
      </c>
      <c r="CM270" s="217">
        <f t="shared" si="656"/>
        <v>1.08</v>
      </c>
      <c r="CN270" s="541">
        <f t="shared" si="657"/>
        <v>36</v>
      </c>
      <c r="CO270" s="443">
        <f t="shared" si="770"/>
        <v>17.099999999999998</v>
      </c>
      <c r="CP270" s="443">
        <f t="shared" si="771"/>
        <v>53.099999999999994</v>
      </c>
      <c r="CQ270" s="443"/>
      <c r="CR270" s="217">
        <f t="shared" si="660"/>
        <v>0.31818181818181812</v>
      </c>
      <c r="CS270" s="172">
        <f t="shared" si="661"/>
        <v>34.031620553359687</v>
      </c>
      <c r="CT270" s="172">
        <f t="shared" si="662"/>
        <v>4.6563192904656319</v>
      </c>
      <c r="CU270" s="217">
        <f t="shared" si="663"/>
        <v>2.0750988142292495</v>
      </c>
      <c r="CV270" s="217">
        <f t="shared" si="664"/>
        <v>4.2539525691699609</v>
      </c>
      <c r="CW270" s="217">
        <f t="shared" si="665"/>
        <v>16.399999999999999</v>
      </c>
      <c r="CX270" s="217">
        <f t="shared" si="666"/>
        <v>1.7348571428571431</v>
      </c>
      <c r="CY270" s="217">
        <f t="shared" si="667"/>
        <v>0.57828571428571451</v>
      </c>
      <c r="CZ270" s="217">
        <f t="shared" si="668"/>
        <v>1.2174436090225569</v>
      </c>
      <c r="DA270" s="197">
        <f t="shared" si="669"/>
        <v>350</v>
      </c>
      <c r="DB270" s="443">
        <f t="shared" si="670"/>
        <v>350</v>
      </c>
      <c r="DD270" s="217">
        <f t="shared" si="671"/>
        <v>2.7602905569007259</v>
      </c>
      <c r="DE270" s="173">
        <f t="shared" si="672"/>
        <v>1.937046004842615</v>
      </c>
      <c r="DF270" s="173">
        <f t="shared" si="673"/>
        <v>0.83398609309454497</v>
      </c>
      <c r="DG270" s="173"/>
      <c r="DH270" s="173">
        <f t="shared" si="674"/>
        <v>0.93567251461988332</v>
      </c>
      <c r="DI270" s="545">
        <f t="shared" si="675"/>
        <v>865.68749999999977</v>
      </c>
      <c r="DJ270" s="528">
        <f t="shared" si="676"/>
        <v>0.21832358674463945</v>
      </c>
      <c r="DL270" s="173">
        <f t="shared" si="677"/>
        <v>2.1751847212199178</v>
      </c>
      <c r="DM270" s="173">
        <f t="shared" si="678"/>
        <v>2.1751847212199178</v>
      </c>
      <c r="DN270" s="173">
        <f t="shared" si="679"/>
        <v>1.8235936206567291</v>
      </c>
      <c r="DP270" s="545">
        <f t="shared" si="680"/>
        <v>540</v>
      </c>
      <c r="DQ270" s="460">
        <f t="shared" si="681"/>
        <v>350</v>
      </c>
      <c r="DS270">
        <f t="shared" si="682"/>
        <v>540</v>
      </c>
      <c r="DT270">
        <f t="shared" si="683"/>
        <v>350</v>
      </c>
      <c r="DV270" s="5">
        <f t="shared" si="684"/>
        <v>2.8571428571428572</v>
      </c>
      <c r="DW270" s="5">
        <f t="shared" si="685"/>
        <v>0.7250615737399726</v>
      </c>
      <c r="DX270" s="5">
        <f t="shared" si="686"/>
        <v>2.1320812834028846</v>
      </c>
      <c r="DY270" s="173">
        <f t="shared" si="687"/>
        <v>0.25377155080899039</v>
      </c>
      <c r="EA270" s="5">
        <f t="shared" si="713"/>
        <v>2.3873978647535687</v>
      </c>
      <c r="EB270" s="5">
        <f t="shared" si="714"/>
        <v>1.2235414056862037</v>
      </c>
      <c r="EC270" s="5">
        <f t="shared" si="715"/>
        <v>0.43707666309759124</v>
      </c>
      <c r="ED270" s="5"/>
      <c r="EE270" s="173">
        <f t="shared" si="716"/>
        <v>0.63264048930215078</v>
      </c>
      <c r="EF270" s="173">
        <f t="shared" si="717"/>
        <v>1.0848543074710042</v>
      </c>
      <c r="EG270" s="173">
        <f t="shared" si="718"/>
        <v>0.26615507399934252</v>
      </c>
      <c r="EH270" s="173"/>
      <c r="EI270" s="528">
        <f t="shared" si="719"/>
        <v>8.0046797740892951E-3</v>
      </c>
      <c r="EJ270" s="528">
        <f t="shared" si="720"/>
        <v>0.80851616087744327</v>
      </c>
      <c r="EK270" s="528">
        <f t="shared" si="721"/>
        <v>4.3749999999999997E-2</v>
      </c>
      <c r="EL270" s="528">
        <f t="shared" si="722"/>
        <v>9.8686349999999978E-2</v>
      </c>
      <c r="EM270">
        <f t="shared" si="723"/>
        <v>1.6199999999999999E-2</v>
      </c>
      <c r="EN270" s="460">
        <f t="shared" si="724"/>
        <v>59.949999999999996</v>
      </c>
      <c r="EP270" s="460">
        <f t="shared" si="725"/>
        <v>975.15719065153235</v>
      </c>
      <c r="EQ270" s="173">
        <f t="shared" si="726"/>
        <v>0.378</v>
      </c>
      <c r="ER270" s="173">
        <f t="shared" si="772"/>
        <v>5.9906250000000001E-2</v>
      </c>
      <c r="ES270" s="528"/>
      <c r="EU270" s="460">
        <f t="shared" si="727"/>
        <v>437.90625</v>
      </c>
      <c r="EV270" s="528">
        <f t="shared" si="728"/>
        <v>1.2007019661133942E-2</v>
      </c>
      <c r="EW270" s="528">
        <f t="shared" si="729"/>
        <v>3.5307266053151765E-2</v>
      </c>
      <c r="EX270" s="528">
        <f t="shared" si="730"/>
        <v>3.5419261707797745E-4</v>
      </c>
      <c r="EY270" s="528">
        <f t="shared" si="731"/>
        <v>0.7996141583414631</v>
      </c>
      <c r="EZ270" s="528"/>
      <c r="FA270" s="625">
        <f t="shared" si="732"/>
        <v>8.2800000000000009E-3</v>
      </c>
      <c r="FB270" s="460">
        <f t="shared" si="733"/>
        <v>855.56263667282667</v>
      </c>
      <c r="FC270" s="173">
        <f t="shared" si="734"/>
        <v>2.2686260773243592</v>
      </c>
      <c r="FD270" s="5">
        <f t="shared" si="735"/>
        <v>9.9359999999999999</v>
      </c>
      <c r="FE270" s="173">
        <f t="shared" si="736"/>
        <v>0.81411752699745843</v>
      </c>
      <c r="FF270" s="5">
        <f t="shared" si="737"/>
        <v>81.411752699745847</v>
      </c>
      <c r="FG270">
        <f t="shared" si="738"/>
        <v>54</v>
      </c>
      <c r="FI270" s="562">
        <f t="shared" si="689"/>
        <v>-50</v>
      </c>
    </row>
    <row r="271" spans="5:165">
      <c r="E271" s="170">
        <v>55</v>
      </c>
      <c r="F271" s="217">
        <f t="shared" si="773"/>
        <v>0.55000000000000004</v>
      </c>
      <c r="G271" s="217">
        <f t="shared" si="742"/>
        <v>0.13750000000000001</v>
      </c>
      <c r="H271" s="217">
        <f t="shared" si="743"/>
        <v>9.02</v>
      </c>
      <c r="I271" s="217">
        <f t="shared" si="744"/>
        <v>1.1000000000000001</v>
      </c>
      <c r="J271" s="541">
        <f t="shared" si="745"/>
        <v>35.930093937886681</v>
      </c>
      <c r="K271" s="443">
        <f t="shared" si="746"/>
        <v>17.131087434301151</v>
      </c>
      <c r="L271" s="172">
        <f t="shared" si="747"/>
        <v>53.061181372187832</v>
      </c>
      <c r="M271" s="443"/>
      <c r="N271" s="217">
        <f t="shared" si="748"/>
        <v>0.32285537169137474</v>
      </c>
      <c r="O271" s="172">
        <f t="shared" si="749"/>
        <v>34.464433127689787</v>
      </c>
      <c r="P271" s="172">
        <f t="shared" si="750"/>
        <v>4.7155381435863486</v>
      </c>
      <c r="Q271" s="217">
        <f t="shared" si="626"/>
        <v>2.1014898248591334</v>
      </c>
      <c r="R271" s="217">
        <f t="shared" si="751"/>
        <v>4.3080541409612234</v>
      </c>
      <c r="S271" s="217">
        <f t="shared" si="752"/>
        <v>16.399999999999999</v>
      </c>
      <c r="T271" s="217">
        <f t="shared" si="753"/>
        <v>1.7447939187202346</v>
      </c>
      <c r="U271" s="217">
        <f t="shared" si="630"/>
        <v>0.58272953755250634</v>
      </c>
      <c r="V271" s="217">
        <f t="shared" si="631"/>
        <v>1.2221948609473632</v>
      </c>
      <c r="W271" s="197">
        <f t="shared" si="632"/>
        <v>350</v>
      </c>
      <c r="X271" s="443">
        <f t="shared" si="691"/>
        <v>350</v>
      </c>
      <c r="Z271" s="217">
        <f t="shared" si="633"/>
        <v>2.7619580555291456</v>
      </c>
      <c r="AA271" s="173">
        <f t="shared" si="634"/>
        <v>1.9346989380246431</v>
      </c>
      <c r="AB271" s="173">
        <f t="shared" si="754"/>
        <v>0.83347877714703422</v>
      </c>
      <c r="AC271" s="173"/>
      <c r="AD271" s="173">
        <f t="shared" si="636"/>
        <v>0.93397456882763907</v>
      </c>
      <c r="AE271" s="545">
        <f t="shared" si="755"/>
        <v>883.32169583115285</v>
      </c>
      <c r="AF271" s="528">
        <f t="shared" si="756"/>
        <v>0.21792739939311584</v>
      </c>
      <c r="AH271" s="173">
        <f t="shared" si="757"/>
        <v>2.1952329304763127</v>
      </c>
      <c r="AI271" s="173">
        <f t="shared" si="758"/>
        <v>2.1952329304763127</v>
      </c>
      <c r="AJ271" s="173">
        <f t="shared" si="759"/>
        <v>1.8384441460318364</v>
      </c>
      <c r="AL271" s="545">
        <f t="shared" si="760"/>
        <v>550</v>
      </c>
      <c r="AM271" s="460">
        <f t="shared" si="761"/>
        <v>350</v>
      </c>
      <c r="AO271">
        <f t="shared" si="644"/>
        <v>550</v>
      </c>
      <c r="AP271">
        <f t="shared" si="645"/>
        <v>350</v>
      </c>
      <c r="AR271" s="5">
        <f t="shared" si="774"/>
        <v>2.8571428571428572</v>
      </c>
      <c r="AS271" s="5">
        <f t="shared" si="739"/>
        <v>0.73316800148797967</v>
      </c>
      <c r="AT271" s="5">
        <f t="shared" si="740"/>
        <v>2.1239748556548776</v>
      </c>
      <c r="AU271" s="173">
        <f t="shared" si="741"/>
        <v>0.25660880052079288</v>
      </c>
      <c r="BA271" s="173">
        <f t="shared" si="692"/>
        <v>0.64203064028035106</v>
      </c>
      <c r="BB271" s="173">
        <f t="shared" si="693"/>
        <v>1.0927698125819587</v>
      </c>
      <c r="BC271" s="173">
        <f t="shared" si="694"/>
        <v>0.26809704153732411</v>
      </c>
      <c r="BD271" s="173"/>
      <c r="BE271" s="528">
        <f t="shared" si="695"/>
        <v>8.2440668611759513E-3</v>
      </c>
      <c r="BF271" s="528">
        <f t="shared" si="762"/>
        <v>0.76441084570070739</v>
      </c>
      <c r="BG271" s="528">
        <f t="shared" si="763"/>
        <v>0.31438832195650845</v>
      </c>
      <c r="BH271" s="528">
        <f t="shared" si="696"/>
        <v>9.8542113901427433E-2</v>
      </c>
      <c r="BI271">
        <f t="shared" si="697"/>
        <v>1.6168542272049006E-2</v>
      </c>
      <c r="BJ271" s="460">
        <f t="shared" si="698"/>
        <v>330.55686422855746</v>
      </c>
      <c r="BK271">
        <f t="shared" si="764"/>
        <v>0.87513713463425624</v>
      </c>
      <c r="BL271" s="460">
        <f t="shared" si="699"/>
        <v>1201.7538906918683</v>
      </c>
      <c r="BM271" s="173">
        <f t="shared" si="765"/>
        <v>0.34168749999999998</v>
      </c>
      <c r="BN271" s="173">
        <f t="shared" si="766"/>
        <v>6.1015625000000004E-2</v>
      </c>
      <c r="BQ271" s="460">
        <f t="shared" si="700"/>
        <v>402.703125</v>
      </c>
      <c r="BR271" s="528">
        <f t="shared" si="701"/>
        <v>1.2366100291763925E-2</v>
      </c>
      <c r="BS271" s="528">
        <f t="shared" si="702"/>
        <v>3.5824375898712277E-2</v>
      </c>
      <c r="BT271" s="528">
        <f t="shared" si="703"/>
        <v>3.5938011840532842E-4</v>
      </c>
      <c r="BU271" s="528">
        <f t="shared" si="704"/>
        <v>0.81816639483488596</v>
      </c>
      <c r="BV271" s="528"/>
      <c r="BW271" s="625">
        <f t="shared" si="705"/>
        <v>8.4333333333333343E-3</v>
      </c>
      <c r="BX271" s="460">
        <f t="shared" si="706"/>
        <v>875.1495844771008</v>
      </c>
      <c r="BY271" s="173">
        <f t="shared" si="707"/>
        <v>2.4796066001689692</v>
      </c>
      <c r="BZ271" s="5">
        <f t="shared" si="708"/>
        <v>10.119999999999999</v>
      </c>
      <c r="CA271" s="173">
        <f t="shared" si="709"/>
        <v>0.80319968084275617</v>
      </c>
      <c r="CB271" s="5">
        <f t="shared" si="710"/>
        <v>80.319968084275615</v>
      </c>
      <c r="CC271">
        <f t="shared" si="711"/>
        <v>55.000000000000007</v>
      </c>
      <c r="CE271" s="562">
        <f t="shared" si="767"/>
        <v>-50</v>
      </c>
      <c r="CG271" s="173">
        <f t="shared" si="768"/>
        <v>0.53076107343433809</v>
      </c>
      <c r="CH271" s="173">
        <f t="shared" si="769"/>
        <v>0.18887253699612672</v>
      </c>
      <c r="CI271" s="170">
        <v>55</v>
      </c>
      <c r="CJ271" s="217">
        <f t="shared" si="712"/>
        <v>0.55000000000000004</v>
      </c>
      <c r="CK271" s="217">
        <f t="shared" si="654"/>
        <v>0.13750000000000001</v>
      </c>
      <c r="CL271" s="217">
        <f t="shared" si="655"/>
        <v>9.02</v>
      </c>
      <c r="CM271" s="217">
        <f t="shared" si="656"/>
        <v>1.1000000000000001</v>
      </c>
      <c r="CN271" s="541">
        <f t="shared" si="657"/>
        <v>36</v>
      </c>
      <c r="CO271" s="443">
        <f t="shared" si="770"/>
        <v>17.099999999999998</v>
      </c>
      <c r="CP271" s="443">
        <f t="shared" si="771"/>
        <v>53.099999999999994</v>
      </c>
      <c r="CQ271" s="443"/>
      <c r="CR271" s="217">
        <f t="shared" si="660"/>
        <v>0.31818181818181812</v>
      </c>
      <c r="CS271" s="172">
        <f t="shared" si="661"/>
        <v>34.031620553359687</v>
      </c>
      <c r="CT271" s="172">
        <f t="shared" si="662"/>
        <v>4.6563192904656319</v>
      </c>
      <c r="CU271" s="217">
        <f t="shared" si="663"/>
        <v>2.0750988142292495</v>
      </c>
      <c r="CV271" s="217">
        <f t="shared" si="664"/>
        <v>4.2539525691699609</v>
      </c>
      <c r="CW271" s="217">
        <f t="shared" si="665"/>
        <v>16.399999999999999</v>
      </c>
      <c r="CX271" s="217">
        <f t="shared" si="666"/>
        <v>1.7669841269841271</v>
      </c>
      <c r="CY271" s="217">
        <f t="shared" si="667"/>
        <v>0.58899470899470896</v>
      </c>
      <c r="CZ271" s="217">
        <f t="shared" si="668"/>
        <v>1.2399888610414929</v>
      </c>
      <c r="DA271" s="197">
        <f t="shared" si="669"/>
        <v>350</v>
      </c>
      <c r="DB271" s="443">
        <f t="shared" si="670"/>
        <v>350</v>
      </c>
      <c r="DD271" s="217">
        <f t="shared" si="671"/>
        <v>2.7602905569007259</v>
      </c>
      <c r="DE271" s="173">
        <f t="shared" si="672"/>
        <v>1.937046004842615</v>
      </c>
      <c r="DF271" s="173">
        <f t="shared" si="673"/>
        <v>0.83398609309454497</v>
      </c>
      <c r="DG271" s="173"/>
      <c r="DH271" s="173">
        <f t="shared" si="674"/>
        <v>0.93567251461988332</v>
      </c>
      <c r="DI271" s="545">
        <f t="shared" si="675"/>
        <v>881.71874999999977</v>
      </c>
      <c r="DJ271" s="528">
        <f t="shared" si="676"/>
        <v>0.21832358674463945</v>
      </c>
      <c r="DL271" s="173">
        <f t="shared" si="677"/>
        <v>2.1952329304763127</v>
      </c>
      <c r="DM271" s="173">
        <f t="shared" si="678"/>
        <v>2.1952329304763127</v>
      </c>
      <c r="DN271" s="173">
        <f t="shared" si="679"/>
        <v>1.8384441460318364</v>
      </c>
      <c r="DP271" s="545">
        <f t="shared" si="680"/>
        <v>550</v>
      </c>
      <c r="DQ271" s="460">
        <f t="shared" si="681"/>
        <v>350</v>
      </c>
      <c r="DS271">
        <f t="shared" si="682"/>
        <v>550</v>
      </c>
      <c r="DT271">
        <f t="shared" si="683"/>
        <v>350</v>
      </c>
      <c r="DV271" s="5">
        <f t="shared" si="684"/>
        <v>2.8571428571428572</v>
      </c>
      <c r="DW271" s="5">
        <f t="shared" si="685"/>
        <v>0.73174431015877095</v>
      </c>
      <c r="DX271" s="5">
        <f t="shared" si="686"/>
        <v>2.1253985469840861</v>
      </c>
      <c r="DY271" s="173">
        <f t="shared" si="687"/>
        <v>0.25611050855556983</v>
      </c>
      <c r="EA271" s="5">
        <f t="shared" si="713"/>
        <v>2.4540205523617327</v>
      </c>
      <c r="EB271" s="5">
        <f t="shared" si="714"/>
        <v>1.2576855330853876</v>
      </c>
      <c r="EC271" s="5">
        <f t="shared" si="715"/>
        <v>0.44377534476380676</v>
      </c>
      <c r="ED271" s="5"/>
      <c r="EE271" s="173">
        <f t="shared" si="716"/>
        <v>0.64140697856815632</v>
      </c>
      <c r="EF271" s="173">
        <f t="shared" si="717"/>
        <v>1.0931359907135414</v>
      </c>
      <c r="EG271" s="173">
        <f t="shared" si="718"/>
        <v>0.26818687863990753</v>
      </c>
      <c r="EH271" s="173"/>
      <c r="EI271" s="528">
        <f t="shared" si="719"/>
        <v>8.2280582431186276E-3</v>
      </c>
      <c r="EJ271" s="528">
        <f t="shared" si="720"/>
        <v>0.81596808025804535</v>
      </c>
      <c r="EK271" s="528">
        <f t="shared" si="721"/>
        <v>4.3749999999999997E-2</v>
      </c>
      <c r="EL271" s="528">
        <f t="shared" si="722"/>
        <v>9.8686349999999978E-2</v>
      </c>
      <c r="EM271">
        <f t="shared" si="723"/>
        <v>1.6199999999999999E-2</v>
      </c>
      <c r="EN271" s="460">
        <f t="shared" si="724"/>
        <v>59.949999999999996</v>
      </c>
      <c r="EP271" s="460">
        <f t="shared" si="725"/>
        <v>982.83248850116388</v>
      </c>
      <c r="EQ271" s="173">
        <f t="shared" si="726"/>
        <v>0.38500000000000001</v>
      </c>
      <c r="ER271" s="173">
        <f t="shared" si="772"/>
        <v>6.1015625000000004E-2</v>
      </c>
      <c r="ES271" s="528"/>
      <c r="EU271" s="460">
        <f t="shared" si="727"/>
        <v>446.015625</v>
      </c>
      <c r="EV271" s="528">
        <f t="shared" si="728"/>
        <v>1.2342087364677939E-2</v>
      </c>
      <c r="EW271" s="528">
        <f t="shared" si="729"/>
        <v>3.5848388825798265E-2</v>
      </c>
      <c r="EX271" s="528">
        <f t="shared" si="730"/>
        <v>3.5962100937308252E-4</v>
      </c>
      <c r="EY271" s="528">
        <f t="shared" si="731"/>
        <v>0.81816639483488596</v>
      </c>
      <c r="EZ271" s="528"/>
      <c r="FA271" s="625">
        <f t="shared" si="732"/>
        <v>8.4333333333333343E-3</v>
      </c>
      <c r="FB271" s="460">
        <f t="shared" si="733"/>
        <v>875.14982536806849</v>
      </c>
      <c r="FC271" s="173">
        <f t="shared" si="734"/>
        <v>2.3039979388692329</v>
      </c>
      <c r="FD271" s="5">
        <f t="shared" si="735"/>
        <v>10.119999999999999</v>
      </c>
      <c r="FE271" s="173">
        <f t="shared" si="736"/>
        <v>0.81455261420633085</v>
      </c>
      <c r="FF271" s="5">
        <f t="shared" si="737"/>
        <v>81.455261420633079</v>
      </c>
      <c r="FG271">
        <f t="shared" si="738"/>
        <v>55.000000000000007</v>
      </c>
      <c r="FI271" s="562">
        <f t="shared" si="689"/>
        <v>-50</v>
      </c>
    </row>
    <row r="272" spans="5:165">
      <c r="E272" s="170">
        <v>56</v>
      </c>
      <c r="F272" s="217">
        <f t="shared" si="773"/>
        <v>0.56000000000000005</v>
      </c>
      <c r="G272" s="217">
        <f t="shared" si="742"/>
        <v>0.14000000000000001</v>
      </c>
      <c r="H272" s="217">
        <f t="shared" si="743"/>
        <v>9.1839999999999993</v>
      </c>
      <c r="I272" s="217">
        <f t="shared" si="744"/>
        <v>1.1200000000000001</v>
      </c>
      <c r="J272" s="541">
        <f t="shared" si="745"/>
        <v>35.929461290945298</v>
      </c>
      <c r="K272" s="443">
        <f t="shared" si="746"/>
        <v>17.131368774282713</v>
      </c>
      <c r="L272" s="172">
        <f t="shared" si="747"/>
        <v>53.060830065228011</v>
      </c>
      <c r="M272" s="443"/>
      <c r="N272" s="217">
        <f t="shared" si="748"/>
        <v>0.32286281147925905</v>
      </c>
      <c r="O272" s="172">
        <f t="shared" si="749"/>
        <v>34.46462046235667</v>
      </c>
      <c r="P272" s="172">
        <f t="shared" si="750"/>
        <v>4.7155637753373201</v>
      </c>
      <c r="Q272" s="217">
        <f t="shared" si="626"/>
        <v>2.1015012477046753</v>
      </c>
      <c r="R272" s="217">
        <f t="shared" si="751"/>
        <v>4.3080775577945838</v>
      </c>
      <c r="S272" s="217">
        <f t="shared" si="752"/>
        <v>16.399999999999999</v>
      </c>
      <c r="T272" s="217">
        <f t="shared" si="753"/>
        <v>1.776507788140024</v>
      </c>
      <c r="U272" s="217">
        <f t="shared" si="630"/>
        <v>0.59333184221865121</v>
      </c>
      <c r="V272" s="217">
        <f t="shared" si="631"/>
        <v>1.2443893852593149</v>
      </c>
      <c r="W272" s="197">
        <f t="shared" si="632"/>
        <v>350</v>
      </c>
      <c r="X272" s="443">
        <f t="shared" si="691"/>
        <v>350</v>
      </c>
      <c r="Z272" s="217">
        <f t="shared" si="633"/>
        <v>2.7619730684118591</v>
      </c>
      <c r="AA272" s="173">
        <f t="shared" si="634"/>
        <v>1.934677681487831</v>
      </c>
      <c r="AB272" s="173">
        <f t="shared" si="754"/>
        <v>0.83347415011837844</v>
      </c>
      <c r="AC272" s="173"/>
      <c r="AD272" s="173">
        <f t="shared" si="636"/>
        <v>0.93395923062603736</v>
      </c>
      <c r="AE272" s="545">
        <f t="shared" si="755"/>
        <v>899.39686064984221</v>
      </c>
      <c r="AF272" s="528">
        <f t="shared" si="756"/>
        <v>0.21792382047940875</v>
      </c>
      <c r="AH272" s="173">
        <f t="shared" si="757"/>
        <v>2.2150996967781529</v>
      </c>
      <c r="AI272" s="173">
        <f t="shared" si="758"/>
        <v>2.2150996967781529</v>
      </c>
      <c r="AJ272" s="173">
        <f t="shared" si="759"/>
        <v>1.8531602692183846</v>
      </c>
      <c r="AL272" s="545">
        <f t="shared" si="760"/>
        <v>560</v>
      </c>
      <c r="AM272" s="460">
        <f t="shared" si="761"/>
        <v>350</v>
      </c>
      <c r="AO272">
        <f t="shared" si="644"/>
        <v>560</v>
      </c>
      <c r="AP272">
        <f t="shared" si="645"/>
        <v>350</v>
      </c>
      <c r="AR272" s="5">
        <f t="shared" si="774"/>
        <v>2.8571428571428572</v>
      </c>
      <c r="AS272" s="5">
        <f t="shared" si="739"/>
        <v>0.73981616774300629</v>
      </c>
      <c r="AT272" s="5">
        <f t="shared" si="740"/>
        <v>2.1173266893998508</v>
      </c>
      <c r="AU272" s="173">
        <f t="shared" si="741"/>
        <v>0.2589356587100522</v>
      </c>
      <c r="BA272" s="173">
        <f t="shared" si="692"/>
        <v>0.65077158445545469</v>
      </c>
      <c r="BB272" s="173">
        <f t="shared" si="693"/>
        <v>1.100932286937254</v>
      </c>
      <c r="BC272" s="173">
        <f t="shared" si="694"/>
        <v>0.27009959980813547</v>
      </c>
      <c r="BD272" s="173"/>
      <c r="BE272" s="528">
        <f t="shared" si="695"/>
        <v>8.47007310269326E-3</v>
      </c>
      <c r="BF272" s="528">
        <f t="shared" si="762"/>
        <v>0.77132362511061148</v>
      </c>
      <c r="BG272" s="528">
        <f t="shared" si="763"/>
        <v>0.31438278629577132</v>
      </c>
      <c r="BH272" s="528">
        <f t="shared" si="696"/>
        <v>9.8540809052385173E-2</v>
      </c>
      <c r="BI272">
        <f t="shared" si="697"/>
        <v>1.6168257580925383E-2</v>
      </c>
      <c r="BJ272" s="460">
        <f t="shared" si="698"/>
        <v>330.55104387669672</v>
      </c>
      <c r="BK272">
        <f t="shared" si="764"/>
        <v>0.88239724207249937</v>
      </c>
      <c r="BL272" s="460">
        <f t="shared" si="699"/>
        <v>1208.8855511423867</v>
      </c>
      <c r="BM272" s="173">
        <f t="shared" si="765"/>
        <v>0.34789999999999999</v>
      </c>
      <c r="BN272" s="173">
        <f t="shared" si="766"/>
        <v>6.2125E-2</v>
      </c>
      <c r="BQ272" s="460">
        <f t="shared" si="700"/>
        <v>410.02499999999998</v>
      </c>
      <c r="BR272" s="528">
        <f t="shared" si="701"/>
        <v>1.2705109654039889E-2</v>
      </c>
      <c r="BS272" s="528">
        <f t="shared" si="702"/>
        <v>3.6361557012626763E-2</v>
      </c>
      <c r="BT272" s="528">
        <f t="shared" si="703"/>
        <v>3.6476896908257473E-4</v>
      </c>
      <c r="BU272" s="528">
        <f t="shared" si="704"/>
        <v>0.83680315570647568</v>
      </c>
      <c r="BV272" s="528"/>
      <c r="BW272" s="625">
        <f t="shared" si="705"/>
        <v>8.5866666666666643E-3</v>
      </c>
      <c r="BX272" s="460">
        <f t="shared" si="706"/>
        <v>894.82125800889162</v>
      </c>
      <c r="BY272" s="173">
        <f t="shared" si="707"/>
        <v>2.5137318091512779</v>
      </c>
      <c r="BZ272" s="5">
        <f t="shared" si="708"/>
        <v>10.303999999999998</v>
      </c>
      <c r="CA272" s="173">
        <f t="shared" si="709"/>
        <v>0.8038863781377773</v>
      </c>
      <c r="CB272" s="5">
        <f t="shared" si="710"/>
        <v>80.388637813777734</v>
      </c>
      <c r="CC272">
        <f t="shared" si="711"/>
        <v>56.000000000000007</v>
      </c>
      <c r="CE272" s="562">
        <f t="shared" si="767"/>
        <v>-50</v>
      </c>
      <c r="CG272" s="173">
        <f t="shared" si="768"/>
        <v>0.53556443897320427</v>
      </c>
      <c r="CH272" s="173">
        <f t="shared" si="769"/>
        <v>0.1905818255646631</v>
      </c>
      <c r="CI272" s="170">
        <v>56</v>
      </c>
      <c r="CJ272" s="217">
        <f t="shared" si="712"/>
        <v>0.56000000000000005</v>
      </c>
      <c r="CK272" s="217">
        <f t="shared" si="654"/>
        <v>0.14000000000000001</v>
      </c>
      <c r="CL272" s="217">
        <f t="shared" si="655"/>
        <v>9.1839999999999993</v>
      </c>
      <c r="CM272" s="217">
        <f t="shared" si="656"/>
        <v>1.1200000000000001</v>
      </c>
      <c r="CN272" s="541">
        <f t="shared" si="657"/>
        <v>36</v>
      </c>
      <c r="CO272" s="443">
        <f t="shared" si="770"/>
        <v>17.099999999999998</v>
      </c>
      <c r="CP272" s="443">
        <f t="shared" si="771"/>
        <v>53.099999999999994</v>
      </c>
      <c r="CQ272" s="443"/>
      <c r="CR272" s="217">
        <f t="shared" si="660"/>
        <v>0.31818181818181812</v>
      </c>
      <c r="CS272" s="172">
        <f t="shared" si="661"/>
        <v>34.031620553359687</v>
      </c>
      <c r="CT272" s="172">
        <f t="shared" si="662"/>
        <v>4.6563192904656319</v>
      </c>
      <c r="CU272" s="217">
        <f t="shared" si="663"/>
        <v>2.0750988142292495</v>
      </c>
      <c r="CV272" s="217">
        <f t="shared" si="664"/>
        <v>4.2539525691699609</v>
      </c>
      <c r="CW272" s="217">
        <f t="shared" si="665"/>
        <v>16.399999999999999</v>
      </c>
      <c r="CX272" s="217">
        <f t="shared" si="666"/>
        <v>1.7991111111111111</v>
      </c>
      <c r="CY272" s="217">
        <f t="shared" si="667"/>
        <v>0.59970370370370374</v>
      </c>
      <c r="CZ272" s="217">
        <f t="shared" si="668"/>
        <v>1.2625341130604291</v>
      </c>
      <c r="DA272" s="197">
        <f t="shared" si="669"/>
        <v>350</v>
      </c>
      <c r="DB272" s="443">
        <f t="shared" si="670"/>
        <v>350</v>
      </c>
      <c r="DD272" s="217">
        <f t="shared" si="671"/>
        <v>2.7602905569007259</v>
      </c>
      <c r="DE272" s="173">
        <f t="shared" si="672"/>
        <v>1.937046004842615</v>
      </c>
      <c r="DF272" s="173">
        <f t="shared" si="673"/>
        <v>0.83398609309454497</v>
      </c>
      <c r="DG272" s="173"/>
      <c r="DH272" s="173">
        <f t="shared" si="674"/>
        <v>0.93567251461988332</v>
      </c>
      <c r="DI272" s="545">
        <f t="shared" si="675"/>
        <v>897.74999999999977</v>
      </c>
      <c r="DJ272" s="528">
        <f t="shared" si="676"/>
        <v>0.21832358674463945</v>
      </c>
      <c r="DL272" s="173">
        <f t="shared" si="677"/>
        <v>2.2150996967781529</v>
      </c>
      <c r="DM272" s="173">
        <f t="shared" si="678"/>
        <v>2.2150996967781529</v>
      </c>
      <c r="DN272" s="173">
        <f t="shared" si="679"/>
        <v>1.8531602692183846</v>
      </c>
      <c r="DP272" s="545">
        <f t="shared" si="680"/>
        <v>560</v>
      </c>
      <c r="DQ272" s="460">
        <f t="shared" si="681"/>
        <v>350</v>
      </c>
      <c r="DS272">
        <f t="shared" si="682"/>
        <v>560</v>
      </c>
      <c r="DT272">
        <f t="shared" si="683"/>
        <v>350</v>
      </c>
      <c r="DV272" s="5">
        <f t="shared" si="684"/>
        <v>2.8571428571428572</v>
      </c>
      <c r="DW272" s="5">
        <f t="shared" si="685"/>
        <v>0.73836656559271774</v>
      </c>
      <c r="DX272" s="5">
        <f t="shared" si="686"/>
        <v>2.1187762915501396</v>
      </c>
      <c r="DY272" s="173">
        <f t="shared" si="687"/>
        <v>0.2584282979574512</v>
      </c>
      <c r="EA272" s="5">
        <f t="shared" si="713"/>
        <v>2.5212516873897686</v>
      </c>
      <c r="EB272" s="5">
        <f t="shared" si="714"/>
        <v>1.2921414897872563</v>
      </c>
      <c r="EC272" s="5">
        <f t="shared" si="715"/>
        <v>0.45043614494436279</v>
      </c>
      <c r="ED272" s="5"/>
      <c r="EE272" s="173">
        <f t="shared" si="716"/>
        <v>0.65013370812247195</v>
      </c>
      <c r="EF272" s="173">
        <f t="shared" si="717"/>
        <v>1.1013090924524682</v>
      </c>
      <c r="EG272" s="173">
        <f t="shared" si="718"/>
        <v>0.27019204420282933</v>
      </c>
      <c r="EH272" s="173"/>
      <c r="EI272" s="528">
        <f t="shared" si="719"/>
        <v>8.4534767687415111E-3</v>
      </c>
      <c r="EJ272" s="528">
        <f t="shared" si="720"/>
        <v>0.82335255729243939</v>
      </c>
      <c r="EK272" s="528">
        <f t="shared" si="721"/>
        <v>4.3749999999999997E-2</v>
      </c>
      <c r="EL272" s="528">
        <f t="shared" si="722"/>
        <v>9.8686349999999978E-2</v>
      </c>
      <c r="EM272">
        <f t="shared" si="723"/>
        <v>1.6199999999999999E-2</v>
      </c>
      <c r="EN272" s="460">
        <f t="shared" si="724"/>
        <v>59.949999999999996</v>
      </c>
      <c r="EP272" s="460">
        <f t="shared" si="725"/>
        <v>990.44238406118086</v>
      </c>
      <c r="EQ272" s="173">
        <f t="shared" si="726"/>
        <v>0.39200000000000002</v>
      </c>
      <c r="ER272" s="173">
        <f t="shared" si="772"/>
        <v>6.2125E-2</v>
      </c>
      <c r="ES272" s="528"/>
      <c r="EU272" s="460">
        <f t="shared" si="727"/>
        <v>454.125</v>
      </c>
      <c r="EV272" s="528">
        <f t="shared" si="728"/>
        <v>1.2680215153112266E-2</v>
      </c>
      <c r="EW272" s="528">
        <f t="shared" si="729"/>
        <v>3.6386451513554373E-2</v>
      </c>
      <c r="EX272" s="528">
        <f t="shared" si="730"/>
        <v>3.6501870375251844E-4</v>
      </c>
      <c r="EY272" s="528">
        <f t="shared" si="731"/>
        <v>0.83680315570647568</v>
      </c>
      <c r="EZ272" s="528"/>
      <c r="FA272" s="625">
        <f t="shared" si="732"/>
        <v>8.5866666666666643E-3</v>
      </c>
      <c r="FB272" s="460">
        <f t="shared" si="733"/>
        <v>894.82150774356148</v>
      </c>
      <c r="FC272" s="173">
        <f t="shared" si="734"/>
        <v>2.3393888918047421</v>
      </c>
      <c r="FD272" s="5">
        <f t="shared" si="735"/>
        <v>10.303999999999998</v>
      </c>
      <c r="FE272" s="173">
        <f t="shared" si="736"/>
        <v>0.81497137264194264</v>
      </c>
      <c r="FF272" s="5">
        <f t="shared" si="737"/>
        <v>81.497137264194265</v>
      </c>
      <c r="FG272">
        <f t="shared" si="738"/>
        <v>56.000000000000007</v>
      </c>
      <c r="FI272" s="562">
        <f t="shared" si="689"/>
        <v>-50</v>
      </c>
    </row>
    <row r="273" spans="5:165">
      <c r="E273" s="170">
        <v>57</v>
      </c>
      <c r="F273" s="217">
        <f t="shared" si="773"/>
        <v>0.56999999999999995</v>
      </c>
      <c r="G273" s="217">
        <f t="shared" si="742"/>
        <v>0.14249999999999999</v>
      </c>
      <c r="H273" s="217">
        <f t="shared" si="743"/>
        <v>9.347999999999999</v>
      </c>
      <c r="I273" s="217">
        <f t="shared" si="744"/>
        <v>1.1399999999999999</v>
      </c>
      <c r="J273" s="541">
        <f t="shared" si="745"/>
        <v>35.928834267867067</v>
      </c>
      <c r="K273" s="443">
        <f t="shared" si="746"/>
        <v>17.131647613315561</v>
      </c>
      <c r="L273" s="172">
        <f t="shared" si="747"/>
        <v>53.060481881182625</v>
      </c>
      <c r="M273" s="443"/>
      <c r="N273" s="217">
        <f t="shared" si="748"/>
        <v>0.32287018522896471</v>
      </c>
      <c r="O273" s="172">
        <f t="shared" si="749"/>
        <v>34.464806114507802</v>
      </c>
      <c r="P273" s="172">
        <f t="shared" si="750"/>
        <v>4.7155891768809006</v>
      </c>
      <c r="Q273" s="217">
        <f t="shared" si="626"/>
        <v>2.1015125679577928</v>
      </c>
      <c r="R273" s="217">
        <f t="shared" si="751"/>
        <v>4.3081007643134752</v>
      </c>
      <c r="S273" s="217">
        <f t="shared" si="752"/>
        <v>16.399999999999999</v>
      </c>
      <c r="T273" s="217">
        <f t="shared" si="753"/>
        <v>1.8082214010705455</v>
      </c>
      <c r="U273" s="217">
        <f t="shared" si="630"/>
        <v>0.60393434006437352</v>
      </c>
      <c r="V273" s="217">
        <f t="shared" si="631"/>
        <v>1.266583185844967</v>
      </c>
      <c r="W273" s="197">
        <f t="shared" si="632"/>
        <v>350</v>
      </c>
      <c r="X273" s="443">
        <f t="shared" si="691"/>
        <v>350</v>
      </c>
      <c r="Z273" s="217">
        <f t="shared" si="633"/>
        <v>2.7619879464588131</v>
      </c>
      <c r="AA273" s="173">
        <f t="shared" si="634"/>
        <v>1.9346566136315295</v>
      </c>
      <c r="AB273" s="173">
        <f t="shared" si="754"/>
        <v>0.83346956358701096</v>
      </c>
      <c r="AC273" s="173"/>
      <c r="AD273" s="173">
        <f t="shared" si="636"/>
        <v>0.93394402926919973</v>
      </c>
      <c r="AE273" s="545">
        <f t="shared" si="755"/>
        <v>915.47241933654982</v>
      </c>
      <c r="AF273" s="528">
        <f t="shared" si="756"/>
        <v>0.21792027349614662</v>
      </c>
      <c r="AH273" s="173">
        <f t="shared" si="757"/>
        <v>2.2347898590887048</v>
      </c>
      <c r="AI273" s="173">
        <f t="shared" si="758"/>
        <v>2.2347898590887048</v>
      </c>
      <c r="AJ273" s="173">
        <f t="shared" si="759"/>
        <v>1.8677455746336082</v>
      </c>
      <c r="AL273" s="545">
        <f t="shared" si="760"/>
        <v>570</v>
      </c>
      <c r="AM273" s="460">
        <f t="shared" si="761"/>
        <v>350</v>
      </c>
      <c r="AO273">
        <f t="shared" si="644"/>
        <v>570</v>
      </c>
      <c r="AP273">
        <f t="shared" si="645"/>
        <v>350</v>
      </c>
      <c r="AR273" s="5">
        <f t="shared" si="774"/>
        <v>2.8571428571428572</v>
      </c>
      <c r="AS273" s="5">
        <f t="shared" si="739"/>
        <v>0.74640546668247054</v>
      </c>
      <c r="AT273" s="5">
        <f t="shared" si="740"/>
        <v>2.1107373904603866</v>
      </c>
      <c r="AU273" s="173">
        <f t="shared" si="741"/>
        <v>0.26124191333886471</v>
      </c>
      <c r="BA273" s="173">
        <f t="shared" si="692"/>
        <v>0.65947371839494306</v>
      </c>
      <c r="BB273" s="173">
        <f t="shared" si="693"/>
        <v>1.1089888725808981</v>
      </c>
      <c r="BC273" s="173">
        <f t="shared" si="694"/>
        <v>0.27207617964323322</v>
      </c>
      <c r="BD273" s="173"/>
      <c r="BE273" s="528">
        <f t="shared" si="695"/>
        <v>8.6981117050730535E-3</v>
      </c>
      <c r="BF273" s="528">
        <f t="shared" si="762"/>
        <v>0.77817486354842635</v>
      </c>
      <c r="BG273" s="528">
        <f t="shared" si="763"/>
        <v>0.31437729984383683</v>
      </c>
      <c r="BH273" s="528">
        <f t="shared" si="696"/>
        <v>9.8539515811215853E-2</v>
      </c>
      <c r="BI273">
        <f t="shared" si="697"/>
        <v>1.616797542054018E-2</v>
      </c>
      <c r="BJ273" s="460">
        <f t="shared" si="698"/>
        <v>330.54527526437698</v>
      </c>
      <c r="BK273">
        <f t="shared" si="764"/>
        <v>0.88959949099821078</v>
      </c>
      <c r="BL273" s="460">
        <f t="shared" si="699"/>
        <v>1215.9577663290925</v>
      </c>
      <c r="BM273" s="173">
        <f t="shared" si="765"/>
        <v>0.35411249999999994</v>
      </c>
      <c r="BN273" s="173">
        <f t="shared" si="766"/>
        <v>6.3234374999999995E-2</v>
      </c>
      <c r="BQ273" s="460">
        <f t="shared" si="700"/>
        <v>417.34687499999995</v>
      </c>
      <c r="BR273" s="528">
        <f t="shared" si="701"/>
        <v>1.304716755760958E-2</v>
      </c>
      <c r="BS273" s="528">
        <f t="shared" si="702"/>
        <v>3.689568958524754E-2</v>
      </c>
      <c r="BT273" s="528">
        <f t="shared" si="703"/>
        <v>3.7012723764628458E-4</v>
      </c>
      <c r="BU273" s="528">
        <f t="shared" si="704"/>
        <v>0.85552330628074102</v>
      </c>
      <c r="BV273" s="528"/>
      <c r="BW273" s="625">
        <f t="shared" si="705"/>
        <v>8.7399999999999978E-3</v>
      </c>
      <c r="BX273" s="460">
        <f t="shared" si="706"/>
        <v>914.57629066124434</v>
      </c>
      <c r="BY273" s="173">
        <f t="shared" si="707"/>
        <v>2.5478809319903366</v>
      </c>
      <c r="BZ273" s="5">
        <f t="shared" si="708"/>
        <v>10.488</v>
      </c>
      <c r="CA273" s="173">
        <f t="shared" si="709"/>
        <v>0.80454861890171292</v>
      </c>
      <c r="CB273" s="5">
        <f t="shared" si="710"/>
        <v>80.454861890171287</v>
      </c>
      <c r="CC273">
        <f t="shared" si="711"/>
        <v>56.999999999999993</v>
      </c>
      <c r="CE273" s="562">
        <f t="shared" si="767"/>
        <v>-50</v>
      </c>
      <c r="CG273" s="173">
        <f t="shared" si="768"/>
        <v>0.54032510538766854</v>
      </c>
      <c r="CH273" s="173">
        <f t="shared" si="769"/>
        <v>0.19227591955251727</v>
      </c>
      <c r="CI273" s="170">
        <v>57</v>
      </c>
      <c r="CJ273" s="217">
        <f t="shared" si="712"/>
        <v>0.56999999999999995</v>
      </c>
      <c r="CK273" s="217">
        <f t="shared" si="654"/>
        <v>0.14249999999999999</v>
      </c>
      <c r="CL273" s="217">
        <f t="shared" si="655"/>
        <v>9.347999999999999</v>
      </c>
      <c r="CM273" s="217">
        <f t="shared" si="656"/>
        <v>1.1399999999999999</v>
      </c>
      <c r="CN273" s="541">
        <f t="shared" si="657"/>
        <v>36</v>
      </c>
      <c r="CO273" s="443">
        <f t="shared" si="770"/>
        <v>17.099999999999998</v>
      </c>
      <c r="CP273" s="443">
        <f t="shared" si="771"/>
        <v>53.099999999999994</v>
      </c>
      <c r="CQ273" s="443"/>
      <c r="CR273" s="217">
        <f t="shared" si="660"/>
        <v>0.31818181818181812</v>
      </c>
      <c r="CS273" s="172">
        <f t="shared" si="661"/>
        <v>34.031620553359687</v>
      </c>
      <c r="CT273" s="172">
        <f t="shared" si="662"/>
        <v>4.6563192904656319</v>
      </c>
      <c r="CU273" s="217">
        <f t="shared" si="663"/>
        <v>2.0750988142292495</v>
      </c>
      <c r="CV273" s="217">
        <f t="shared" si="664"/>
        <v>4.2539525691699609</v>
      </c>
      <c r="CW273" s="217">
        <f t="shared" si="665"/>
        <v>16.399999999999999</v>
      </c>
      <c r="CX273" s="217">
        <f t="shared" si="666"/>
        <v>1.8312380952380953</v>
      </c>
      <c r="CY273" s="217">
        <f t="shared" si="667"/>
        <v>0.61041269841269852</v>
      </c>
      <c r="CZ273" s="217">
        <f t="shared" si="668"/>
        <v>1.2850793650793655</v>
      </c>
      <c r="DA273" s="197">
        <f t="shared" si="669"/>
        <v>350</v>
      </c>
      <c r="DB273" s="443">
        <f t="shared" si="670"/>
        <v>350</v>
      </c>
      <c r="DD273" s="217">
        <f t="shared" si="671"/>
        <v>2.7602905569007259</v>
      </c>
      <c r="DE273" s="173">
        <f t="shared" si="672"/>
        <v>1.937046004842615</v>
      </c>
      <c r="DF273" s="173">
        <f t="shared" si="673"/>
        <v>0.83398609309454497</v>
      </c>
      <c r="DG273" s="173"/>
      <c r="DH273" s="173">
        <f t="shared" si="674"/>
        <v>0.93567251461988332</v>
      </c>
      <c r="DI273" s="545">
        <f t="shared" si="675"/>
        <v>913.78124999999955</v>
      </c>
      <c r="DJ273" s="528">
        <f t="shared" si="676"/>
        <v>0.21832358674463945</v>
      </c>
      <c r="DL273" s="173">
        <f t="shared" si="677"/>
        <v>2.2347898590887048</v>
      </c>
      <c r="DM273" s="173">
        <f t="shared" si="678"/>
        <v>2.2347898590887048</v>
      </c>
      <c r="DN273" s="173">
        <f t="shared" si="679"/>
        <v>1.8677455746336082</v>
      </c>
      <c r="DP273" s="545">
        <f t="shared" si="680"/>
        <v>570</v>
      </c>
      <c r="DQ273" s="460">
        <f t="shared" si="681"/>
        <v>350</v>
      </c>
      <c r="DS273">
        <f t="shared" si="682"/>
        <v>570</v>
      </c>
      <c r="DT273">
        <f t="shared" si="683"/>
        <v>350</v>
      </c>
      <c r="DV273" s="5">
        <f t="shared" si="684"/>
        <v>2.8571428571428572</v>
      </c>
      <c r="DW273" s="5">
        <f t="shared" si="685"/>
        <v>0.74492995302956833</v>
      </c>
      <c r="DX273" s="5">
        <f t="shared" si="686"/>
        <v>2.1122129041132887</v>
      </c>
      <c r="DY273" s="173">
        <f t="shared" si="687"/>
        <v>0.26072548356034891</v>
      </c>
      <c r="EA273" s="5">
        <f t="shared" si="713"/>
        <v>2.5890858123588654</v>
      </c>
      <c r="EB273" s="5">
        <f t="shared" si="714"/>
        <v>1.3269064788339184</v>
      </c>
      <c r="EC273" s="5">
        <f t="shared" si="715"/>
        <v>0.45705940341784768</v>
      </c>
      <c r="ED273" s="5"/>
      <c r="EE273" s="173">
        <f t="shared" si="716"/>
        <v>0.6588215635753697</v>
      </c>
      <c r="EF273" s="173">
        <f t="shared" si="717"/>
        <v>1.1093764249027511</v>
      </c>
      <c r="EG273" s="173">
        <f t="shared" si="718"/>
        <v>0.27217126062893887</v>
      </c>
      <c r="EH273" s="173"/>
      <c r="EI273" s="528">
        <f t="shared" si="719"/>
        <v>8.6809170526378973E-3</v>
      </c>
      <c r="EJ273" s="528">
        <f t="shared" si="720"/>
        <v>0.83067139062327144</v>
      </c>
      <c r="EK273" s="528">
        <f t="shared" si="721"/>
        <v>4.3749999999999997E-2</v>
      </c>
      <c r="EL273" s="528">
        <f t="shared" si="722"/>
        <v>9.8686349999999978E-2</v>
      </c>
      <c r="EM273">
        <f t="shared" si="723"/>
        <v>1.6199999999999999E-2</v>
      </c>
      <c r="EN273" s="460">
        <f t="shared" si="724"/>
        <v>59.949999999999996</v>
      </c>
      <c r="EP273" s="460">
        <f t="shared" si="725"/>
        <v>997.98865767590917</v>
      </c>
      <c r="EQ273" s="173">
        <f t="shared" si="726"/>
        <v>0.39899999999999997</v>
      </c>
      <c r="ER273" s="173">
        <f t="shared" si="772"/>
        <v>6.3234374999999995E-2</v>
      </c>
      <c r="ES273" s="528"/>
      <c r="EU273" s="460">
        <f t="shared" si="727"/>
        <v>462.234375</v>
      </c>
      <c r="EV273" s="528">
        <f t="shared" si="728"/>
        <v>1.3021375578956846E-2</v>
      </c>
      <c r="EW273" s="528">
        <f t="shared" si="729"/>
        <v>3.692148156390028E-2</v>
      </c>
      <c r="EX273" s="528">
        <f t="shared" si="730"/>
        <v>3.7038597556172888E-4</v>
      </c>
      <c r="EY273" s="528">
        <f t="shared" si="731"/>
        <v>0.85552330628074102</v>
      </c>
      <c r="EZ273" s="528"/>
      <c r="FA273" s="625">
        <f t="shared" si="732"/>
        <v>8.7399999999999978E-3</v>
      </c>
      <c r="FB273" s="460">
        <f t="shared" si="733"/>
        <v>914.57654939915994</v>
      </c>
      <c r="FC273" s="173">
        <f t="shared" si="734"/>
        <v>2.3747995820750689</v>
      </c>
      <c r="FD273" s="5">
        <f t="shared" si="735"/>
        <v>10.488</v>
      </c>
      <c r="FE273" s="173">
        <f t="shared" si="736"/>
        <v>0.81537459501549991</v>
      </c>
      <c r="FF273" s="5">
        <f t="shared" si="737"/>
        <v>81.537459501549989</v>
      </c>
      <c r="FG273">
        <f t="shared" si="738"/>
        <v>56.999999999999993</v>
      </c>
      <c r="FI273" s="562">
        <f t="shared" si="689"/>
        <v>-50</v>
      </c>
    </row>
    <row r="274" spans="5:165">
      <c r="E274" s="170">
        <v>58</v>
      </c>
      <c r="F274" s="217">
        <f t="shared" si="773"/>
        <v>0.57999999999999996</v>
      </c>
      <c r="G274" s="217">
        <f t="shared" si="742"/>
        <v>0.14499999999999999</v>
      </c>
      <c r="H274" s="217">
        <f t="shared" si="743"/>
        <v>9.5119999999999987</v>
      </c>
      <c r="I274" s="217">
        <f t="shared" si="744"/>
        <v>1.1599999999999999</v>
      </c>
      <c r="J274" s="541">
        <f t="shared" si="745"/>
        <v>35.928212721287622</v>
      </c>
      <c r="K274" s="443">
        <f t="shared" si="746"/>
        <v>17.131924016933066</v>
      </c>
      <c r="L274" s="172">
        <f t="shared" si="747"/>
        <v>53.060136738220692</v>
      </c>
      <c r="M274" s="443"/>
      <c r="N274" s="217">
        <f t="shared" si="748"/>
        <v>0.32287749467091864</v>
      </c>
      <c r="O274" s="172">
        <f t="shared" si="749"/>
        <v>34.464990128230447</v>
      </c>
      <c r="P274" s="172">
        <f t="shared" si="750"/>
        <v>4.7156143542492588</v>
      </c>
      <c r="Q274" s="217">
        <f t="shared" si="626"/>
        <v>2.1015237883067348</v>
      </c>
      <c r="R274" s="217">
        <f t="shared" si="751"/>
        <v>4.3081237660288059</v>
      </c>
      <c r="S274" s="217">
        <f t="shared" si="752"/>
        <v>16.399999999999999</v>
      </c>
      <c r="T274" s="217">
        <f t="shared" si="753"/>
        <v>1.8399347598069131</v>
      </c>
      <c r="U274" s="217">
        <f t="shared" si="630"/>
        <v>0.6145370294081155</v>
      </c>
      <c r="V274" s="217">
        <f t="shared" si="631"/>
        <v>1.2887762691370814</v>
      </c>
      <c r="W274" s="197">
        <f t="shared" si="632"/>
        <v>350</v>
      </c>
      <c r="X274" s="443">
        <f t="shared" si="691"/>
        <v>350</v>
      </c>
      <c r="Z274" s="217">
        <f t="shared" si="633"/>
        <v>2.762002693203137</v>
      </c>
      <c r="AA274" s="173">
        <f t="shared" si="634"/>
        <v>1.9346357295116607</v>
      </c>
      <c r="AB274" s="173">
        <f t="shared" si="754"/>
        <v>0.8334650164917663</v>
      </c>
      <c r="AC274" s="173"/>
      <c r="AD274" s="173">
        <f t="shared" si="636"/>
        <v>0.93392896117130342</v>
      </c>
      <c r="AE274" s="545">
        <f t="shared" si="755"/>
        <v>931.54836842073507</v>
      </c>
      <c r="AF274" s="528">
        <f t="shared" si="756"/>
        <v>0.21791675760663748</v>
      </c>
      <c r="AH274" s="173">
        <f t="shared" si="757"/>
        <v>2.2543080450339437</v>
      </c>
      <c r="AI274" s="173">
        <f t="shared" si="758"/>
        <v>2.2543080450339437</v>
      </c>
      <c r="AJ274" s="173">
        <f t="shared" si="759"/>
        <v>1.8822034901486</v>
      </c>
      <c r="AL274" s="545">
        <f t="shared" si="760"/>
        <v>580</v>
      </c>
      <c r="AM274" s="460">
        <f t="shared" si="761"/>
        <v>350</v>
      </c>
      <c r="AO274">
        <f t="shared" si="644"/>
        <v>580</v>
      </c>
      <c r="AP274">
        <f t="shared" si="645"/>
        <v>350</v>
      </c>
      <c r="AR274" s="5">
        <f t="shared" si="774"/>
        <v>2.8571428571428572</v>
      </c>
      <c r="AS274" s="5">
        <f t="shared" si="739"/>
        <v>0.75293744084239056</v>
      </c>
      <c r="AT274" s="5">
        <f t="shared" si="740"/>
        <v>2.1042054163004664</v>
      </c>
      <c r="AU274" s="173">
        <f t="shared" si="741"/>
        <v>0.2635281042948367</v>
      </c>
      <c r="BA274" s="173">
        <f t="shared" si="692"/>
        <v>0.66813789198330042</v>
      </c>
      <c r="BB274" s="173">
        <f t="shared" si="693"/>
        <v>1.1169422595928427</v>
      </c>
      <c r="BC274" s="173">
        <f t="shared" si="694"/>
        <v>0.27402744101919096</v>
      </c>
      <c r="BD274" s="173"/>
      <c r="BE274" s="528">
        <f t="shared" si="695"/>
        <v>8.9281648540777674E-3</v>
      </c>
      <c r="BF274" s="528">
        <f t="shared" si="762"/>
        <v>0.78496617359719134</v>
      </c>
      <c r="BG274" s="528">
        <f t="shared" si="763"/>
        <v>0.31437186131126671</v>
      </c>
      <c r="BH274" s="528">
        <f t="shared" si="696"/>
        <v>9.8538233873753711E-2</v>
      </c>
      <c r="BI274">
        <f t="shared" si="697"/>
        <v>1.616769572457943E-2</v>
      </c>
      <c r="BJ274" s="460">
        <f t="shared" si="698"/>
        <v>330.53955703584614</v>
      </c>
      <c r="BK274">
        <f t="shared" si="764"/>
        <v>0.89674547167303476</v>
      </c>
      <c r="BL274" s="460">
        <f t="shared" si="699"/>
        <v>1222.9721293608688</v>
      </c>
      <c r="BM274" s="173">
        <f t="shared" si="765"/>
        <v>0.36032499999999995</v>
      </c>
      <c r="BN274" s="173">
        <f t="shared" si="766"/>
        <v>6.4343749999999991E-2</v>
      </c>
      <c r="BQ274" s="460">
        <f t="shared" si="700"/>
        <v>424.66874999999993</v>
      </c>
      <c r="BR274" s="528">
        <f t="shared" si="701"/>
        <v>1.3392247281116652E-2</v>
      </c>
      <c r="BS274" s="528">
        <f t="shared" si="702"/>
        <v>3.7426800337930957E-2</v>
      </c>
      <c r="BT274" s="528">
        <f t="shared" si="703"/>
        <v>3.7545519215763097E-4</v>
      </c>
      <c r="BU274" s="528">
        <f t="shared" si="704"/>
        <v>0.87432574680093555</v>
      </c>
      <c r="BV274" s="528"/>
      <c r="BW274" s="625">
        <f t="shared" si="705"/>
        <v>8.893333333333333E-3</v>
      </c>
      <c r="BX274" s="460">
        <f t="shared" si="706"/>
        <v>934.41358294547422</v>
      </c>
      <c r="BY274" s="173">
        <f t="shared" si="707"/>
        <v>2.5820544623063428</v>
      </c>
      <c r="BZ274" s="5">
        <f t="shared" si="708"/>
        <v>10.671999999999999</v>
      </c>
      <c r="CA274" s="173">
        <f t="shared" si="709"/>
        <v>0.8051875771561422</v>
      </c>
      <c r="CB274" s="5">
        <f t="shared" si="710"/>
        <v>80.518757715614214</v>
      </c>
      <c r="CC274">
        <f t="shared" si="711"/>
        <v>57.999999999999993</v>
      </c>
      <c r="CE274" s="562">
        <f t="shared" si="767"/>
        <v>-50</v>
      </c>
      <c r="CG274" s="173">
        <f t="shared" si="768"/>
        <v>0.54504419154019734</v>
      </c>
      <c r="CH274" s="173">
        <f t="shared" si="769"/>
        <v>0.19395521710944646</v>
      </c>
      <c r="CI274" s="170">
        <v>58</v>
      </c>
      <c r="CJ274" s="217">
        <f t="shared" si="712"/>
        <v>0.57999999999999996</v>
      </c>
      <c r="CK274" s="217">
        <f t="shared" si="654"/>
        <v>0.14499999999999999</v>
      </c>
      <c r="CL274" s="217">
        <f t="shared" si="655"/>
        <v>9.5119999999999987</v>
      </c>
      <c r="CM274" s="217">
        <f t="shared" si="656"/>
        <v>1.1599999999999999</v>
      </c>
      <c r="CN274" s="541">
        <f t="shared" si="657"/>
        <v>36</v>
      </c>
      <c r="CO274" s="443">
        <f t="shared" si="770"/>
        <v>17.099999999999998</v>
      </c>
      <c r="CP274" s="443">
        <f t="shared" si="771"/>
        <v>53.099999999999994</v>
      </c>
      <c r="CQ274" s="443"/>
      <c r="CR274" s="217">
        <f t="shared" si="660"/>
        <v>0.31818181818181812</v>
      </c>
      <c r="CS274" s="172">
        <f t="shared" si="661"/>
        <v>34.031620553359687</v>
      </c>
      <c r="CT274" s="172">
        <f t="shared" si="662"/>
        <v>4.6563192904656319</v>
      </c>
      <c r="CU274" s="217">
        <f t="shared" si="663"/>
        <v>2.0750988142292495</v>
      </c>
      <c r="CV274" s="217">
        <f t="shared" si="664"/>
        <v>4.2539525691699609</v>
      </c>
      <c r="CW274" s="217">
        <f t="shared" si="665"/>
        <v>16.399999999999999</v>
      </c>
      <c r="CX274" s="217">
        <f t="shared" si="666"/>
        <v>1.8633650793650793</v>
      </c>
      <c r="CY274" s="217">
        <f t="shared" si="667"/>
        <v>0.62112169312169307</v>
      </c>
      <c r="CZ274" s="217">
        <f t="shared" si="668"/>
        <v>1.3076246170983015</v>
      </c>
      <c r="DA274" s="197">
        <f t="shared" si="669"/>
        <v>350</v>
      </c>
      <c r="DB274" s="443">
        <f t="shared" si="670"/>
        <v>350</v>
      </c>
      <c r="DD274" s="217">
        <f t="shared" si="671"/>
        <v>2.7602905569007259</v>
      </c>
      <c r="DE274" s="173">
        <f t="shared" si="672"/>
        <v>1.937046004842615</v>
      </c>
      <c r="DF274" s="173">
        <f t="shared" si="673"/>
        <v>0.83398609309454497</v>
      </c>
      <c r="DG274" s="173"/>
      <c r="DH274" s="173">
        <f t="shared" si="674"/>
        <v>0.93567251461988332</v>
      </c>
      <c r="DI274" s="545">
        <f t="shared" si="675"/>
        <v>929.81249999999955</v>
      </c>
      <c r="DJ274" s="528">
        <f t="shared" si="676"/>
        <v>0.21832358674463945</v>
      </c>
      <c r="DL274" s="173">
        <f t="shared" si="677"/>
        <v>2.2543080450339437</v>
      </c>
      <c r="DM274" s="173">
        <f t="shared" si="678"/>
        <v>2.2543080450339437</v>
      </c>
      <c r="DN274" s="173">
        <f t="shared" si="679"/>
        <v>1.8822034901486</v>
      </c>
      <c r="DP274" s="545">
        <f t="shared" si="680"/>
        <v>580</v>
      </c>
      <c r="DQ274" s="460">
        <f t="shared" si="681"/>
        <v>350</v>
      </c>
      <c r="DS274">
        <f t="shared" si="682"/>
        <v>580</v>
      </c>
      <c r="DT274">
        <f t="shared" si="683"/>
        <v>350</v>
      </c>
      <c r="DV274" s="5">
        <f t="shared" si="684"/>
        <v>2.8571428571428572</v>
      </c>
      <c r="DW274" s="5">
        <f t="shared" si="685"/>
        <v>0.75143601501131452</v>
      </c>
      <c r="DX274" s="5">
        <f t="shared" si="686"/>
        <v>2.1057068421315428</v>
      </c>
      <c r="DY274" s="173">
        <f t="shared" si="687"/>
        <v>0.26300260525396008</v>
      </c>
      <c r="EA274" s="5">
        <f t="shared" si="713"/>
        <v>2.657517614064405</v>
      </c>
      <c r="EB274" s="5">
        <f t="shared" si="714"/>
        <v>1.3619777772080075</v>
      </c>
      <c r="EC274" s="5">
        <f t="shared" si="715"/>
        <v>0.46364545098044518</v>
      </c>
      <c r="ED274" s="5"/>
      <c r="EE274" s="173">
        <f t="shared" si="716"/>
        <v>0.66747139565014513</v>
      </c>
      <c r="EF274" s="173">
        <f t="shared" si="717"/>
        <v>1.1173406776615185</v>
      </c>
      <c r="EG274" s="173">
        <f t="shared" si="718"/>
        <v>0.27412518777635519</v>
      </c>
      <c r="EH274" s="173"/>
      <c r="EI274" s="528">
        <f t="shared" si="719"/>
        <v>8.9103612802230517E-3</v>
      </c>
      <c r="EJ274" s="528">
        <f t="shared" si="720"/>
        <v>0.83792630033911697</v>
      </c>
      <c r="EK274" s="528">
        <f t="shared" si="721"/>
        <v>4.3749999999999997E-2</v>
      </c>
      <c r="EL274" s="528">
        <f t="shared" si="722"/>
        <v>9.8686349999999978E-2</v>
      </c>
      <c r="EM274">
        <f t="shared" si="723"/>
        <v>1.6199999999999999E-2</v>
      </c>
      <c r="EN274" s="460">
        <f t="shared" si="724"/>
        <v>59.949999999999996</v>
      </c>
      <c r="EP274" s="460">
        <f t="shared" si="725"/>
        <v>1005.47301161934</v>
      </c>
      <c r="EQ274" s="173">
        <f t="shared" si="726"/>
        <v>0.40599999999999997</v>
      </c>
      <c r="ER274" s="173">
        <f t="shared" si="772"/>
        <v>6.4343749999999991E-2</v>
      </c>
      <c r="ES274" s="528"/>
      <c r="EU274" s="460">
        <f t="shared" si="727"/>
        <v>470.34374999999994</v>
      </c>
      <c r="EV274" s="528">
        <f t="shared" si="728"/>
        <v>1.3365541920334576E-2</v>
      </c>
      <c r="EW274" s="528">
        <f t="shared" si="729"/>
        <v>3.7453505698713037E-2</v>
      </c>
      <c r="EX274" s="528">
        <f t="shared" si="730"/>
        <v>3.7572309286711001E-4</v>
      </c>
      <c r="EY274" s="528">
        <f t="shared" si="731"/>
        <v>0.87432574680093555</v>
      </c>
      <c r="EZ274" s="528"/>
      <c r="FA274" s="625">
        <f t="shared" si="732"/>
        <v>8.893333333333333E-3</v>
      </c>
      <c r="FB274" s="460">
        <f t="shared" si="733"/>
        <v>934.41385084618355</v>
      </c>
      <c r="FC274" s="173">
        <f t="shared" si="734"/>
        <v>2.4102306124655235</v>
      </c>
      <c r="FD274" s="5">
        <f t="shared" si="735"/>
        <v>10.671999999999999</v>
      </c>
      <c r="FE274" s="173">
        <f t="shared" si="736"/>
        <v>0.81576302361090369</v>
      </c>
      <c r="FF274" s="5">
        <f t="shared" si="737"/>
        <v>81.57630236109037</v>
      </c>
      <c r="FG274">
        <f t="shared" si="738"/>
        <v>57.999999999999993</v>
      </c>
      <c r="FI274" s="562">
        <f t="shared" si="689"/>
        <v>-50</v>
      </c>
    </row>
    <row r="275" spans="5:165">
      <c r="E275" s="170">
        <v>59</v>
      </c>
      <c r="F275" s="217">
        <f t="shared" si="773"/>
        <v>0.59</v>
      </c>
      <c r="G275" s="217">
        <f t="shared" si="742"/>
        <v>0.14749999999999999</v>
      </c>
      <c r="H275" s="217">
        <f t="shared" si="743"/>
        <v>9.6759999999999984</v>
      </c>
      <c r="I275" s="217">
        <f t="shared" si="744"/>
        <v>1.18</v>
      </c>
      <c r="J275" s="541">
        <f t="shared" si="745"/>
        <v>35.92759651016808</v>
      </c>
      <c r="K275" s="443">
        <f t="shared" si="746"/>
        <v>17.132198047855642</v>
      </c>
      <c r="L275" s="172">
        <f t="shared" si="747"/>
        <v>53.059794558023725</v>
      </c>
      <c r="M275" s="443"/>
      <c r="N275" s="217">
        <f t="shared" si="748"/>
        <v>0.32288474146127094</v>
      </c>
      <c r="O275" s="172">
        <f t="shared" si="749"/>
        <v>34.46517254571954</v>
      </c>
      <c r="P275" s="172">
        <f t="shared" si="750"/>
        <v>4.7156393132156431</v>
      </c>
      <c r="Q275" s="217">
        <f t="shared" si="626"/>
        <v>2.1015349113243622</v>
      </c>
      <c r="R275" s="217">
        <f t="shared" si="751"/>
        <v>4.3081465682149425</v>
      </c>
      <c r="S275" s="217">
        <f t="shared" si="752"/>
        <v>16.399999999999999</v>
      </c>
      <c r="T275" s="217">
        <f t="shared" si="753"/>
        <v>1.8716478665846157</v>
      </c>
      <c r="U275" s="217">
        <f t="shared" si="630"/>
        <v>0.62513990861200286</v>
      </c>
      <c r="V275" s="217">
        <f t="shared" si="631"/>
        <v>1.3109686414013044</v>
      </c>
      <c r="W275" s="197">
        <f t="shared" si="632"/>
        <v>350</v>
      </c>
      <c r="X275" s="443">
        <f t="shared" si="691"/>
        <v>350</v>
      </c>
      <c r="Z275" s="217">
        <f t="shared" si="633"/>
        <v>2.7620173120263045</v>
      </c>
      <c r="AA275" s="173">
        <f t="shared" si="634"/>
        <v>1.9346150243963682</v>
      </c>
      <c r="AB275" s="173">
        <f t="shared" si="754"/>
        <v>0.83346050781702796</v>
      </c>
      <c r="AC275" s="173"/>
      <c r="AD275" s="173">
        <f t="shared" si="636"/>
        <v>0.93391402290044445</v>
      </c>
      <c r="AE275" s="545">
        <f t="shared" si="755"/>
        <v>947.62470452201478</v>
      </c>
      <c r="AF275" s="528">
        <f t="shared" si="756"/>
        <v>0.21791327201010374</v>
      </c>
      <c r="AH275" s="173">
        <f t="shared" si="757"/>
        <v>2.2736586836031059</v>
      </c>
      <c r="AI275" s="173">
        <f t="shared" si="758"/>
        <v>2.2736586836031059</v>
      </c>
      <c r="AJ275" s="173">
        <f t="shared" si="759"/>
        <v>1.8965372964961276</v>
      </c>
      <c r="AL275" s="545">
        <f t="shared" si="760"/>
        <v>590</v>
      </c>
      <c r="AM275" s="460">
        <f t="shared" si="761"/>
        <v>350</v>
      </c>
      <c r="AO275">
        <f t="shared" si="644"/>
        <v>590</v>
      </c>
      <c r="AP275">
        <f t="shared" si="645"/>
        <v>350</v>
      </c>
      <c r="AR275" s="5">
        <f t="shared" si="774"/>
        <v>2.8571428571428572</v>
      </c>
      <c r="AS275" s="5">
        <f t="shared" si="739"/>
        <v>0.75941356654669323</v>
      </c>
      <c r="AT275" s="5">
        <f t="shared" si="740"/>
        <v>2.0977292905961642</v>
      </c>
      <c r="AU275" s="173">
        <f t="shared" si="741"/>
        <v>0.26579474829134264</v>
      </c>
      <c r="BA275" s="173">
        <f t="shared" si="692"/>
        <v>0.67676492219442619</v>
      </c>
      <c r="BB275" s="173">
        <f t="shared" si="693"/>
        <v>1.1247950227760499</v>
      </c>
      <c r="BC275" s="173">
        <f t="shared" si="694"/>
        <v>0.27595401563085298</v>
      </c>
      <c r="BD275" s="173"/>
      <c r="BE275" s="528">
        <f t="shared" si="695"/>
        <v>9.1602151982565546E-3</v>
      </c>
      <c r="BF275" s="528">
        <f t="shared" si="762"/>
        <v>0.79169909862124899</v>
      </c>
      <c r="BG275" s="528">
        <f t="shared" si="763"/>
        <v>0.31436646946397068</v>
      </c>
      <c r="BH275" s="528">
        <f t="shared" si="696"/>
        <v>9.8536962948888959E-2</v>
      </c>
      <c r="BI275">
        <f t="shared" si="697"/>
        <v>1.6167418429575635E-2</v>
      </c>
      <c r="BJ275" s="460">
        <f t="shared" si="698"/>
        <v>330.53388789354631</v>
      </c>
      <c r="BK275">
        <f t="shared" si="764"/>
        <v>0.90383670575388386</v>
      </c>
      <c r="BL275" s="460">
        <f t="shared" si="699"/>
        <v>1229.930164661941</v>
      </c>
      <c r="BM275" s="173">
        <f t="shared" si="765"/>
        <v>0.36653749999999996</v>
      </c>
      <c r="BN275" s="173">
        <f t="shared" si="766"/>
        <v>6.5453124999999987E-2</v>
      </c>
      <c r="BQ275" s="460">
        <f t="shared" si="700"/>
        <v>431.99062499999997</v>
      </c>
      <c r="BR275" s="528">
        <f t="shared" si="701"/>
        <v>1.3740322797384833E-2</v>
      </c>
      <c r="BS275" s="528">
        <f t="shared" si="702"/>
        <v>3.7954915297853241E-2</v>
      </c>
      <c r="BT275" s="528">
        <f t="shared" si="703"/>
        <v>3.8075309371396525E-4</v>
      </c>
      <c r="BU275" s="528">
        <f t="shared" si="704"/>
        <v>0.89320941076949811</v>
      </c>
      <c r="BV275" s="528"/>
      <c r="BW275" s="625">
        <f t="shared" si="705"/>
        <v>9.0466666666666647E-3</v>
      </c>
      <c r="BX275" s="460">
        <f t="shared" si="706"/>
        <v>954.33206862511679</v>
      </c>
      <c r="BY275" s="173">
        <f t="shared" si="707"/>
        <v>2.6162528582870581</v>
      </c>
      <c r="BZ275" s="5">
        <f t="shared" si="708"/>
        <v>10.855999999999998</v>
      </c>
      <c r="CA275" s="173">
        <f t="shared" si="709"/>
        <v>0.80580435315406451</v>
      </c>
      <c r="CB275" s="5">
        <f t="shared" si="710"/>
        <v>80.580435315406447</v>
      </c>
      <c r="CC275">
        <f t="shared" si="711"/>
        <v>59</v>
      </c>
      <c r="CE275" s="562">
        <f t="shared" si="767"/>
        <v>-50</v>
      </c>
      <c r="CG275" s="173">
        <f t="shared" si="768"/>
        <v>0.549722768267078</v>
      </c>
      <c r="CH275" s="173">
        <f t="shared" si="769"/>
        <v>0.19562009929498284</v>
      </c>
      <c r="CI275" s="170">
        <v>59</v>
      </c>
      <c r="CJ275" s="217">
        <f t="shared" si="712"/>
        <v>0.59</v>
      </c>
      <c r="CK275" s="217">
        <f t="shared" si="654"/>
        <v>0.14749999999999999</v>
      </c>
      <c r="CL275" s="217">
        <f t="shared" si="655"/>
        <v>9.6759999999999984</v>
      </c>
      <c r="CM275" s="217">
        <f t="shared" si="656"/>
        <v>1.18</v>
      </c>
      <c r="CN275" s="541">
        <f t="shared" si="657"/>
        <v>36</v>
      </c>
      <c r="CO275" s="443">
        <f t="shared" si="770"/>
        <v>17.099999999999998</v>
      </c>
      <c r="CP275" s="443">
        <f t="shared" si="771"/>
        <v>53.099999999999994</v>
      </c>
      <c r="CQ275" s="443"/>
      <c r="CR275" s="217">
        <f t="shared" si="660"/>
        <v>0.31818181818181812</v>
      </c>
      <c r="CS275" s="172">
        <f t="shared" si="661"/>
        <v>34.031620553359687</v>
      </c>
      <c r="CT275" s="172">
        <f t="shared" si="662"/>
        <v>4.6563192904656319</v>
      </c>
      <c r="CU275" s="217">
        <f t="shared" si="663"/>
        <v>2.0750988142292495</v>
      </c>
      <c r="CV275" s="217">
        <f t="shared" si="664"/>
        <v>4.2539525691699609</v>
      </c>
      <c r="CW275" s="217">
        <f t="shared" si="665"/>
        <v>16.399999999999999</v>
      </c>
      <c r="CX275" s="217">
        <f t="shared" si="666"/>
        <v>1.8954920634920633</v>
      </c>
      <c r="CY275" s="217">
        <f t="shared" si="667"/>
        <v>0.63183068783068785</v>
      </c>
      <c r="CZ275" s="217">
        <f t="shared" si="668"/>
        <v>1.3301698691172377</v>
      </c>
      <c r="DA275" s="197">
        <f t="shared" si="669"/>
        <v>350</v>
      </c>
      <c r="DB275" s="443">
        <f t="shared" si="670"/>
        <v>350</v>
      </c>
      <c r="DD275" s="217">
        <f t="shared" si="671"/>
        <v>2.7602905569007259</v>
      </c>
      <c r="DE275" s="173">
        <f t="shared" si="672"/>
        <v>1.937046004842615</v>
      </c>
      <c r="DF275" s="173">
        <f t="shared" si="673"/>
        <v>0.83398609309454497</v>
      </c>
      <c r="DG275" s="173"/>
      <c r="DH275" s="173">
        <f t="shared" si="674"/>
        <v>0.93567251461988332</v>
      </c>
      <c r="DI275" s="545">
        <f t="shared" si="675"/>
        <v>945.84374999999955</v>
      </c>
      <c r="DJ275" s="528">
        <f t="shared" si="676"/>
        <v>0.21832358674463945</v>
      </c>
      <c r="DL275" s="173">
        <f t="shared" si="677"/>
        <v>2.2736586836031059</v>
      </c>
      <c r="DM275" s="173">
        <f t="shared" si="678"/>
        <v>2.2736586836031059</v>
      </c>
      <c r="DN275" s="173">
        <f t="shared" si="679"/>
        <v>1.8965372964961276</v>
      </c>
      <c r="DP275" s="545">
        <f t="shared" si="680"/>
        <v>590</v>
      </c>
      <c r="DQ275" s="460">
        <f t="shared" si="681"/>
        <v>350</v>
      </c>
      <c r="DS275">
        <f t="shared" si="682"/>
        <v>590</v>
      </c>
      <c r="DT275">
        <f t="shared" si="683"/>
        <v>350</v>
      </c>
      <c r="DV275" s="5">
        <f t="shared" si="684"/>
        <v>2.8571428571428572</v>
      </c>
      <c r="DW275" s="5">
        <f t="shared" si="685"/>
        <v>0.75788622786770188</v>
      </c>
      <c r="DX275" s="5">
        <f t="shared" si="686"/>
        <v>2.0992566292751551</v>
      </c>
      <c r="DY275" s="173">
        <f t="shared" si="687"/>
        <v>0.26526017975369565</v>
      </c>
      <c r="EA275" s="5">
        <f t="shared" si="713"/>
        <v>2.7265419173289276</v>
      </c>
      <c r="EB275" s="5">
        <f t="shared" si="714"/>
        <v>1.3973527326310753</v>
      </c>
      <c r="EC275" s="5">
        <f t="shared" si="715"/>
        <v>0.47019460983487021</v>
      </c>
      <c r="ED275" s="5"/>
      <c r="EE275" s="173">
        <f t="shared" si="716"/>
        <v>0.67608402213415619</v>
      </c>
      <c r="EF275" s="173">
        <f t="shared" si="717"/>
        <v>1.1252044250666207</v>
      </c>
      <c r="EG275" s="173">
        <f t="shared" si="718"/>
        <v>0.27605445722581368</v>
      </c>
      <c r="EH275" s="173"/>
      <c r="EI275" s="528">
        <f t="shared" si="719"/>
        <v>9.1417920997019647E-3</v>
      </c>
      <c r="EJ275" s="528">
        <f t="shared" si="720"/>
        <v>0.84511893269527427</v>
      </c>
      <c r="EK275" s="528">
        <f t="shared" si="721"/>
        <v>4.3749999999999997E-2</v>
      </c>
      <c r="EL275" s="528">
        <f t="shared" si="722"/>
        <v>9.8686349999999978E-2</v>
      </c>
      <c r="EM275">
        <f t="shared" si="723"/>
        <v>1.6199999999999999E-2</v>
      </c>
      <c r="EN275" s="460">
        <f t="shared" si="724"/>
        <v>59.949999999999996</v>
      </c>
      <c r="EP275" s="460">
        <f t="shared" si="725"/>
        <v>1012.8970747949761</v>
      </c>
      <c r="EQ275" s="173">
        <f t="shared" si="726"/>
        <v>0.41299999999999998</v>
      </c>
      <c r="ER275" s="173">
        <f t="shared" si="772"/>
        <v>6.5453124999999987E-2</v>
      </c>
      <c r="ES275" s="528"/>
      <c r="EU275" s="460">
        <f t="shared" si="727"/>
        <v>478.453125</v>
      </c>
      <c r="EV275" s="528">
        <f t="shared" si="728"/>
        <v>1.3712688149552945E-2</v>
      </c>
      <c r="EW275" s="528">
        <f t="shared" si="729"/>
        <v>3.7982549945685132E-2</v>
      </c>
      <c r="EX275" s="528">
        <f t="shared" si="730"/>
        <v>3.8103031677119296E-4</v>
      </c>
      <c r="EY275" s="528">
        <f t="shared" si="731"/>
        <v>0.89320941076949811</v>
      </c>
      <c r="EZ275" s="528"/>
      <c r="FA275" s="625">
        <f t="shared" si="732"/>
        <v>9.0466666666666647E-3</v>
      </c>
      <c r="FB275" s="460">
        <f t="shared" si="733"/>
        <v>954.3323458481741</v>
      </c>
      <c r="FC275" s="173">
        <f t="shared" si="734"/>
        <v>2.4456825456431504</v>
      </c>
      <c r="FD275" s="5">
        <f t="shared" si="735"/>
        <v>10.855999999999998</v>
      </c>
      <c r="FE275" s="173">
        <f t="shared" si="736"/>
        <v>0.81613735425942691</v>
      </c>
      <c r="FF275" s="5">
        <f t="shared" si="737"/>
        <v>81.613735425942693</v>
      </c>
      <c r="FG275">
        <f t="shared" si="738"/>
        <v>59</v>
      </c>
      <c r="FI275" s="562">
        <f t="shared" si="689"/>
        <v>-50</v>
      </c>
    </row>
    <row r="276" spans="5:165">
      <c r="E276" s="170">
        <v>60</v>
      </c>
      <c r="F276" s="217">
        <f t="shared" si="773"/>
        <v>0.6</v>
      </c>
      <c r="G276" s="217">
        <f t="shared" si="742"/>
        <v>0.15</v>
      </c>
      <c r="H276" s="217">
        <f t="shared" si="743"/>
        <v>9.8399999999999981</v>
      </c>
      <c r="I276" s="217">
        <f t="shared" si="744"/>
        <v>1.2</v>
      </c>
      <c r="J276" s="541">
        <f t="shared" si="745"/>
        <v>35.92698549942132</v>
      </c>
      <c r="K276" s="443">
        <f t="shared" si="746"/>
        <v>17.132469766156927</v>
      </c>
      <c r="L276" s="172">
        <f t="shared" si="747"/>
        <v>53.059455265578251</v>
      </c>
      <c r="M276" s="443"/>
      <c r="N276" s="217">
        <f t="shared" si="748"/>
        <v>0.3228919271862829</v>
      </c>
      <c r="O276" s="172">
        <f t="shared" si="749"/>
        <v>34.465353407389379</v>
      </c>
      <c r="P276" s="172">
        <f t="shared" si="750"/>
        <v>4.7156640593096721</v>
      </c>
      <c r="Q276" s="217">
        <f t="shared" si="626"/>
        <v>2.1015459394749625</v>
      </c>
      <c r="R276" s="217">
        <f t="shared" si="751"/>
        <v>4.3081691759236724</v>
      </c>
      <c r="S276" s="217">
        <f t="shared" si="752"/>
        <v>16.399999999999999</v>
      </c>
      <c r="T276" s="217">
        <f t="shared" si="753"/>
        <v>1.9033607235820575</v>
      </c>
      <c r="U276" s="217">
        <f t="shared" si="630"/>
        <v>0.63574297607998809</v>
      </c>
      <c r="V276" s="217">
        <f t="shared" si="631"/>
        <v>1.3331603087432808</v>
      </c>
      <c r="W276" s="197">
        <f t="shared" si="632"/>
        <v>350</v>
      </c>
      <c r="X276" s="443">
        <f t="shared" si="691"/>
        <v>350</v>
      </c>
      <c r="Z276" s="217">
        <f t="shared" si="633"/>
        <v>2.762031806167093</v>
      </c>
      <c r="AA276" s="173">
        <f t="shared" si="634"/>
        <v>1.9345944937534776</v>
      </c>
      <c r="AB276" s="173">
        <f t="shared" si="754"/>
        <v>0.83345603659003931</v>
      </c>
      <c r="AC276" s="173"/>
      <c r="AD276" s="173">
        <f t="shared" si="636"/>
        <v>0.93389921116954322</v>
      </c>
      <c r="AE276" s="545">
        <f t="shared" si="755"/>
        <v>963.7014243463268</v>
      </c>
      <c r="AF276" s="528">
        <f t="shared" si="756"/>
        <v>0.2179098159395601</v>
      </c>
      <c r="AH276" s="173">
        <f t="shared" si="757"/>
        <v>2.2928460168844431</v>
      </c>
      <c r="AI276" s="173">
        <f t="shared" si="758"/>
        <v>2.2928460168844431</v>
      </c>
      <c r="AJ276" s="173">
        <f t="shared" si="759"/>
        <v>1.9107501359637848</v>
      </c>
      <c r="AL276" s="545">
        <f t="shared" si="760"/>
        <v>600</v>
      </c>
      <c r="AM276" s="460">
        <f t="shared" si="761"/>
        <v>350</v>
      </c>
      <c r="AO276">
        <f t="shared" si="644"/>
        <v>600</v>
      </c>
      <c r="AP276">
        <f t="shared" si="645"/>
        <v>350</v>
      </c>
      <c r="AR276" s="5">
        <f t="shared" si="774"/>
        <v>2.8571428571428572</v>
      </c>
      <c r="AS276" s="5">
        <f t="shared" si="739"/>
        <v>0.76583525781912565</v>
      </c>
      <c r="AT276" s="5">
        <f t="shared" si="740"/>
        <v>2.0913075993237316</v>
      </c>
      <c r="AU276" s="173">
        <f t="shared" si="741"/>
        <v>0.26804234023669399</v>
      </c>
      <c r="BA276" s="173">
        <f t="shared" si="692"/>
        <v>0.685355594901214</v>
      </c>
      <c r="BB276" s="173">
        <f t="shared" si="693"/>
        <v>1.1325496284572059</v>
      </c>
      <c r="BC276" s="173">
        <f t="shared" si="694"/>
        <v>0.27785650855980221</v>
      </c>
      <c r="BD276" s="173"/>
      <c r="BE276" s="528">
        <f t="shared" si="695"/>
        <v>9.3942458292479401E-3</v>
      </c>
      <c r="BF276" s="528">
        <f t="shared" si="762"/>
        <v>0.79837511685578966</v>
      </c>
      <c r="BG276" s="528">
        <f t="shared" si="763"/>
        <v>0.31436112311993653</v>
      </c>
      <c r="BH276" s="528">
        <f t="shared" si="696"/>
        <v>9.8535702757796481E-2</v>
      </c>
      <c r="BI276">
        <f t="shared" si="697"/>
        <v>1.6167143474739593E-2</v>
      </c>
      <c r="BJ276" s="460">
        <f t="shared" si="698"/>
        <v>330.5282665946761</v>
      </c>
      <c r="BK276">
        <f t="shared" si="764"/>
        <v>0.91087465035622517</v>
      </c>
      <c r="BL276" s="460">
        <f t="shared" si="699"/>
        <v>1236.8333320375102</v>
      </c>
      <c r="BM276" s="173">
        <f t="shared" si="765"/>
        <v>0.37274999999999997</v>
      </c>
      <c r="BN276" s="173">
        <f t="shared" si="766"/>
        <v>6.6562499999999997E-2</v>
      </c>
      <c r="BQ276" s="460">
        <f t="shared" si="700"/>
        <v>439.3125</v>
      </c>
      <c r="BR276" s="528">
        <f t="shared" si="701"/>
        <v>1.4091368743871908E-2</v>
      </c>
      <c r="BS276" s="528">
        <f t="shared" si="702"/>
        <v>3.8480059827556652E-2</v>
      </c>
      <c r="BT276" s="528">
        <f t="shared" si="703"/>
        <v>3.8602119674521719E-4</v>
      </c>
      <c r="BU276" s="528">
        <f t="shared" si="704"/>
        <v>0.91217326339421956</v>
      </c>
      <c r="BV276" s="528"/>
      <c r="BW276" s="625">
        <f t="shared" si="705"/>
        <v>9.1999999999999981E-3</v>
      </c>
      <c r="BX276" s="460">
        <f t="shared" si="706"/>
        <v>974.33071316239329</v>
      </c>
      <c r="BY276" s="173">
        <f t="shared" si="707"/>
        <v>2.6504765451999037</v>
      </c>
      <c r="BZ276" s="5">
        <f t="shared" si="708"/>
        <v>11.039999999999997</v>
      </c>
      <c r="CA276" s="173">
        <f t="shared" si="709"/>
        <v>0.80639997910597183</v>
      </c>
      <c r="CB276" s="5">
        <f t="shared" si="710"/>
        <v>80.639997910597188</v>
      </c>
      <c r="CC276">
        <f t="shared" si="711"/>
        <v>60</v>
      </c>
      <c r="CE276" s="562">
        <f t="shared" si="767"/>
        <v>-50</v>
      </c>
      <c r="CG276" s="173">
        <f t="shared" si="768"/>
        <v>0.55436186121587738</v>
      </c>
      <c r="CH276" s="173">
        <f t="shared" si="769"/>
        <v>0.19727093108814933</v>
      </c>
      <c r="CI276" s="170">
        <v>60</v>
      </c>
      <c r="CJ276" s="217">
        <f t="shared" si="712"/>
        <v>0.6</v>
      </c>
      <c r="CK276" s="217">
        <f t="shared" si="654"/>
        <v>0.15</v>
      </c>
      <c r="CL276" s="217">
        <f t="shared" si="655"/>
        <v>9.8399999999999981</v>
      </c>
      <c r="CM276" s="217">
        <f t="shared" si="656"/>
        <v>1.2</v>
      </c>
      <c r="CN276" s="541">
        <f t="shared" si="657"/>
        <v>36</v>
      </c>
      <c r="CO276" s="443">
        <f t="shared" si="770"/>
        <v>17.099999999999998</v>
      </c>
      <c r="CP276" s="443">
        <f t="shared" si="771"/>
        <v>53.099999999999994</v>
      </c>
      <c r="CQ276" s="443"/>
      <c r="CR276" s="217">
        <f t="shared" si="660"/>
        <v>0.31818181818181812</v>
      </c>
      <c r="CS276" s="172">
        <f t="shared" si="661"/>
        <v>34.031620553359687</v>
      </c>
      <c r="CT276" s="172">
        <f t="shared" si="662"/>
        <v>4.6563192904656319</v>
      </c>
      <c r="CU276" s="217">
        <f t="shared" si="663"/>
        <v>2.0750988142292495</v>
      </c>
      <c r="CV276" s="217">
        <f t="shared" si="664"/>
        <v>4.2539525691699609</v>
      </c>
      <c r="CW276" s="217">
        <f t="shared" si="665"/>
        <v>16.399999999999999</v>
      </c>
      <c r="CX276" s="217">
        <f t="shared" si="666"/>
        <v>1.9276190476190473</v>
      </c>
      <c r="CY276" s="217">
        <f t="shared" si="667"/>
        <v>0.64253968253968241</v>
      </c>
      <c r="CZ276" s="217">
        <f t="shared" si="668"/>
        <v>1.3527151211361739</v>
      </c>
      <c r="DA276" s="197">
        <f t="shared" si="669"/>
        <v>350</v>
      </c>
      <c r="DB276" s="443">
        <f t="shared" si="670"/>
        <v>350</v>
      </c>
      <c r="DD276" s="217">
        <f t="shared" si="671"/>
        <v>2.7602905569007259</v>
      </c>
      <c r="DE276" s="173">
        <f t="shared" si="672"/>
        <v>1.937046004842615</v>
      </c>
      <c r="DF276" s="173">
        <f t="shared" si="673"/>
        <v>0.83398609309454497</v>
      </c>
      <c r="DG276" s="173"/>
      <c r="DH276" s="173">
        <f t="shared" si="674"/>
        <v>0.93567251461988332</v>
      </c>
      <c r="DI276" s="545">
        <f t="shared" si="675"/>
        <v>961.87499999999955</v>
      </c>
      <c r="DJ276" s="528">
        <f t="shared" si="676"/>
        <v>0.21832358674463945</v>
      </c>
      <c r="DL276" s="173">
        <f t="shared" si="677"/>
        <v>2.2928460168844431</v>
      </c>
      <c r="DM276" s="173">
        <f t="shared" si="678"/>
        <v>2.2928460168844431</v>
      </c>
      <c r="DN276" s="173">
        <f t="shared" si="679"/>
        <v>1.9107501359637848</v>
      </c>
      <c r="DP276" s="545">
        <f t="shared" si="680"/>
        <v>600</v>
      </c>
      <c r="DQ276" s="460">
        <f t="shared" si="681"/>
        <v>350</v>
      </c>
      <c r="DS276">
        <f t="shared" si="682"/>
        <v>600</v>
      </c>
      <c r="DT276">
        <f t="shared" si="683"/>
        <v>350</v>
      </c>
      <c r="DV276" s="5">
        <f t="shared" si="684"/>
        <v>2.8571428571428572</v>
      </c>
      <c r="DW276" s="5">
        <f t="shared" si="685"/>
        <v>0.76428200562814763</v>
      </c>
      <c r="DX276" s="5">
        <f t="shared" si="686"/>
        <v>2.0928608515147094</v>
      </c>
      <c r="DY276" s="173">
        <f t="shared" si="687"/>
        <v>0.26749870196985165</v>
      </c>
      <c r="EA276" s="5">
        <f t="shared" si="713"/>
        <v>2.7961536791273698</v>
      </c>
      <c r="EB276" s="5">
        <f t="shared" si="714"/>
        <v>1.4330287605527767</v>
      </c>
      <c r="EC276" s="5">
        <f t="shared" si="715"/>
        <v>0.47670719395612804</v>
      </c>
      <c r="ED276" s="5"/>
      <c r="EE276" s="173">
        <f t="shared" si="716"/>
        <v>0.68466022968958629</v>
      </c>
      <c r="EF276" s="173">
        <f t="shared" si="717"/>
        <v>1.1329701329966095</v>
      </c>
      <c r="EG276" s="173">
        <f t="shared" si="718"/>
        <v>0.27795967394895293</v>
      </c>
      <c r="EH276" s="173"/>
      <c r="EI276" s="528">
        <f t="shared" si="719"/>
        <v>9.3751926023719415E-3</v>
      </c>
      <c r="EJ276" s="528">
        <f t="shared" si="720"/>
        <v>0.85225086447594744</v>
      </c>
      <c r="EK276" s="528">
        <f t="shared" si="721"/>
        <v>4.3749999999999997E-2</v>
      </c>
      <c r="EL276" s="528">
        <f t="shared" si="722"/>
        <v>9.8686349999999978E-2</v>
      </c>
      <c r="EM276">
        <f t="shared" si="723"/>
        <v>1.6199999999999999E-2</v>
      </c>
      <c r="EN276" s="460">
        <f t="shared" si="724"/>
        <v>59.949999999999996</v>
      </c>
      <c r="EP276" s="460">
        <f t="shared" si="725"/>
        <v>1020.2624070783193</v>
      </c>
      <c r="EQ276" s="173">
        <f t="shared" si="726"/>
        <v>0.42</v>
      </c>
      <c r="ER276" s="173">
        <f t="shared" si="772"/>
        <v>6.6562499999999997E-2</v>
      </c>
      <c r="ES276" s="528"/>
      <c r="EU276" s="460">
        <f t="shared" si="727"/>
        <v>486.5625</v>
      </c>
      <c r="EV276" s="528">
        <f t="shared" si="728"/>
        <v>1.406278890355791E-2</v>
      </c>
      <c r="EW276" s="528">
        <f t="shared" si="729"/>
        <v>3.8508639667870652E-2</v>
      </c>
      <c r="EX276" s="528">
        <f t="shared" si="730"/>
        <v>3.8630790170904116E-4</v>
      </c>
      <c r="EY276" s="528">
        <f t="shared" si="731"/>
        <v>0.91217326339421956</v>
      </c>
      <c r="EZ276" s="528"/>
      <c r="FA276" s="625">
        <f t="shared" si="732"/>
        <v>9.1999999999999981E-3</v>
      </c>
      <c r="FB276" s="460">
        <f t="shared" si="733"/>
        <v>974.33099986735715</v>
      </c>
      <c r="FC276" s="173">
        <f t="shared" si="734"/>
        <v>2.4811559069456761</v>
      </c>
      <c r="FD276" s="5">
        <f t="shared" si="735"/>
        <v>11.039999999999997</v>
      </c>
      <c r="FE276" s="173">
        <f t="shared" si="736"/>
        <v>0.81649823994181359</v>
      </c>
      <c r="FF276" s="5">
        <f t="shared" si="737"/>
        <v>81.649823994181361</v>
      </c>
      <c r="FG276">
        <f t="shared" si="738"/>
        <v>60</v>
      </c>
      <c r="FI276" s="562">
        <f t="shared" si="689"/>
        <v>-50</v>
      </c>
    </row>
    <row r="277" spans="5:165">
      <c r="E277" s="170">
        <v>61</v>
      </c>
      <c r="F277" s="217">
        <f t="shared" si="773"/>
        <v>0.61</v>
      </c>
      <c r="G277" s="217">
        <f t="shared" si="742"/>
        <v>0.1525</v>
      </c>
      <c r="H277" s="217">
        <f t="shared" si="743"/>
        <v>10.004</v>
      </c>
      <c r="I277" s="217">
        <f t="shared" si="744"/>
        <v>1.22</v>
      </c>
      <c r="J277" s="541">
        <f t="shared" si="745"/>
        <v>35.9263795595662</v>
      </c>
      <c r="K277" s="443">
        <f t="shared" si="746"/>
        <v>17.132739229417581</v>
      </c>
      <c r="L277" s="172">
        <f t="shared" si="747"/>
        <v>53.059118788983781</v>
      </c>
      <c r="M277" s="443"/>
      <c r="N277" s="217">
        <f t="shared" si="748"/>
        <v>0.32289905336638774</v>
      </c>
      <c r="O277" s="172">
        <f t="shared" si="749"/>
        <v>34.465532751977115</v>
      </c>
      <c r="P277" s="172">
        <f t="shared" si="750"/>
        <v>4.715688597831492</v>
      </c>
      <c r="Q277" s="217">
        <f t="shared" si="626"/>
        <v>2.101556875120556</v>
      </c>
      <c r="R277" s="217">
        <f t="shared" si="751"/>
        <v>4.3081915939971394</v>
      </c>
      <c r="S277" s="217">
        <f t="shared" si="752"/>
        <v>16.399999999999999</v>
      </c>
      <c r="T277" s="217">
        <f t="shared" si="753"/>
        <v>1.9350733329229466</v>
      </c>
      <c r="U277" s="217">
        <f t="shared" si="630"/>
        <v>0.64634623025609839</v>
      </c>
      <c r="V277" s="217">
        <f t="shared" si="631"/>
        <v>1.3553512771153491</v>
      </c>
      <c r="W277" s="197">
        <f t="shared" si="632"/>
        <v>350</v>
      </c>
      <c r="X277" s="443">
        <f t="shared" si="691"/>
        <v>350</v>
      </c>
      <c r="Z277" s="217">
        <f t="shared" si="633"/>
        <v>2.7620461787298733</v>
      </c>
      <c r="AA277" s="173">
        <f t="shared" si="634"/>
        <v>1.9345741332388922</v>
      </c>
      <c r="AB277" s="173">
        <f t="shared" si="754"/>
        <v>0.83345160187840961</v>
      </c>
      <c r="AC277" s="173"/>
      <c r="AD277" s="173">
        <f t="shared" si="636"/>
        <v>0.93388452282793044</v>
      </c>
      <c r="AE277" s="545">
        <f t="shared" si="755"/>
        <v>979.77852468231754</v>
      </c>
      <c r="AF277" s="528">
        <f t="shared" si="756"/>
        <v>0.21790638865985049</v>
      </c>
      <c r="AH277" s="173">
        <f t="shared" si="757"/>
        <v>2.3118741109242746</v>
      </c>
      <c r="AI277" s="173">
        <f t="shared" si="758"/>
        <v>2.3118741109242746</v>
      </c>
      <c r="AJ277" s="173">
        <f t="shared" si="759"/>
        <v>1.9248450204377341</v>
      </c>
      <c r="AL277" s="545">
        <f t="shared" si="760"/>
        <v>610</v>
      </c>
      <c r="AM277" s="460">
        <f t="shared" si="761"/>
        <v>350</v>
      </c>
      <c r="AO277">
        <f t="shared" si="644"/>
        <v>610</v>
      </c>
      <c r="AP277">
        <f t="shared" si="645"/>
        <v>350</v>
      </c>
      <c r="AR277" s="5">
        <f t="shared" si="774"/>
        <v>2.8571428571428572</v>
      </c>
      <c r="AS277" s="5">
        <f t="shared" si="739"/>
        <v>0.77220387000293322</v>
      </c>
      <c r="AT277" s="5">
        <f t="shared" si="740"/>
        <v>2.0849389871399238</v>
      </c>
      <c r="AU277" s="173">
        <f t="shared" si="741"/>
        <v>0.27027135450102663</v>
      </c>
      <c r="BA277" s="173">
        <f t="shared" si="692"/>
        <v>0.69391066655717948</v>
      </c>
      <c r="BB277" s="173">
        <f t="shared" si="693"/>
        <v>1.1402084407797868</v>
      </c>
      <c r="BC277" s="173">
        <f t="shared" si="694"/>
        <v>0.27973549981828338</v>
      </c>
      <c r="BD277" s="173"/>
      <c r="BE277" s="528">
        <f t="shared" si="695"/>
        <v>9.6302402632365818E-3</v>
      </c>
      <c r="BF277" s="528">
        <f t="shared" si="762"/>
        <v>0.80499564519089195</v>
      </c>
      <c r="BG277" s="528">
        <f t="shared" si="763"/>
        <v>0.31435582114620425</v>
      </c>
      <c r="BH277" s="528">
        <f t="shared" si="696"/>
        <v>9.8534453033222211E-2</v>
      </c>
      <c r="BI277">
        <f t="shared" si="697"/>
        <v>1.6166870801804789E-2</v>
      </c>
      <c r="BJ277" s="460">
        <f t="shared" si="698"/>
        <v>330.52269194800903</v>
      </c>
      <c r="BK277">
        <f t="shared" si="764"/>
        <v>0.91786070181341173</v>
      </c>
      <c r="BL277" s="460">
        <f t="shared" si="699"/>
        <v>1243.6830304353596</v>
      </c>
      <c r="BM277" s="173">
        <f t="shared" si="765"/>
        <v>0.37896249999999998</v>
      </c>
      <c r="BN277" s="173">
        <f t="shared" si="766"/>
        <v>6.7671874999999992E-2</v>
      </c>
      <c r="BQ277" s="460">
        <f t="shared" si="700"/>
        <v>446.63437499999998</v>
      </c>
      <c r="BR277" s="528">
        <f t="shared" si="701"/>
        <v>1.4445360394854874E-2</v>
      </c>
      <c r="BS277" s="528">
        <f t="shared" si="702"/>
        <v>3.9002258652764174E-2</v>
      </c>
      <c r="BT277" s="528">
        <f t="shared" si="703"/>
        <v>3.9125974929292418E-4</v>
      </c>
      <c r="BU277" s="528">
        <f t="shared" si="704"/>
        <v>0.93121630013175738</v>
      </c>
      <c r="BV277" s="528"/>
      <c r="BW277" s="625">
        <f t="shared" si="705"/>
        <v>9.353333333333335E-3</v>
      </c>
      <c r="BX277" s="460">
        <f t="shared" si="706"/>
        <v>994.40851226200266</v>
      </c>
      <c r="BY277" s="173">
        <f t="shared" si="707"/>
        <v>2.6847259176973624</v>
      </c>
      <c r="BZ277" s="5">
        <f t="shared" si="708"/>
        <v>11.224</v>
      </c>
      <c r="CA277" s="173">
        <f t="shared" si="709"/>
        <v>0.80697542437863878</v>
      </c>
      <c r="CB277" s="5">
        <f t="shared" si="710"/>
        <v>80.697542437863873</v>
      </c>
      <c r="CC277">
        <f t="shared" si="711"/>
        <v>61</v>
      </c>
      <c r="CE277" s="562">
        <f t="shared" si="767"/>
        <v>-50</v>
      </c>
      <c r="CG277" s="173">
        <f t="shared" si="768"/>
        <v>0.5589624534709321</v>
      </c>
      <c r="CH277" s="173">
        <f t="shared" si="769"/>
        <v>0.19890806232174649</v>
      </c>
      <c r="CI277" s="170">
        <v>61</v>
      </c>
      <c r="CJ277" s="217">
        <f t="shared" si="712"/>
        <v>0.61</v>
      </c>
      <c r="CK277" s="217">
        <f t="shared" si="654"/>
        <v>0.1525</v>
      </c>
      <c r="CL277" s="217">
        <f t="shared" si="655"/>
        <v>10.004</v>
      </c>
      <c r="CM277" s="217">
        <f t="shared" si="656"/>
        <v>1.22</v>
      </c>
      <c r="CN277" s="541">
        <f t="shared" si="657"/>
        <v>36</v>
      </c>
      <c r="CO277" s="443">
        <f t="shared" si="770"/>
        <v>17.099999999999998</v>
      </c>
      <c r="CP277" s="443">
        <f t="shared" si="771"/>
        <v>53.099999999999994</v>
      </c>
      <c r="CQ277" s="443"/>
      <c r="CR277" s="217">
        <f t="shared" si="660"/>
        <v>0.31818181818181812</v>
      </c>
      <c r="CS277" s="172">
        <f t="shared" si="661"/>
        <v>34.031620553359687</v>
      </c>
      <c r="CT277" s="172">
        <f t="shared" si="662"/>
        <v>4.6563192904656319</v>
      </c>
      <c r="CU277" s="217">
        <f t="shared" si="663"/>
        <v>2.0750988142292495</v>
      </c>
      <c r="CV277" s="217">
        <f t="shared" si="664"/>
        <v>4.2539525691699609</v>
      </c>
      <c r="CW277" s="217">
        <f t="shared" si="665"/>
        <v>16.399999999999999</v>
      </c>
      <c r="CX277" s="217">
        <f t="shared" si="666"/>
        <v>1.959746031746032</v>
      </c>
      <c r="CY277" s="217">
        <f t="shared" si="667"/>
        <v>0.6532486772486773</v>
      </c>
      <c r="CZ277" s="217">
        <f t="shared" si="668"/>
        <v>1.3752603731551103</v>
      </c>
      <c r="DA277" s="197">
        <f t="shared" si="669"/>
        <v>350</v>
      </c>
      <c r="DB277" s="443">
        <f t="shared" si="670"/>
        <v>350</v>
      </c>
      <c r="DD277" s="217">
        <f t="shared" si="671"/>
        <v>2.7602905569007259</v>
      </c>
      <c r="DE277" s="173">
        <f t="shared" si="672"/>
        <v>1.937046004842615</v>
      </c>
      <c r="DF277" s="173">
        <f t="shared" si="673"/>
        <v>0.83398609309454497</v>
      </c>
      <c r="DG277" s="173"/>
      <c r="DH277" s="173">
        <f t="shared" si="674"/>
        <v>0.93567251461988332</v>
      </c>
      <c r="DI277" s="545">
        <f t="shared" si="675"/>
        <v>977.90624999999966</v>
      </c>
      <c r="DJ277" s="528">
        <f t="shared" si="676"/>
        <v>0.21832358674463945</v>
      </c>
      <c r="DL277" s="173">
        <f t="shared" si="677"/>
        <v>2.3118741109242746</v>
      </c>
      <c r="DM277" s="173">
        <f t="shared" si="678"/>
        <v>2.3118741109242746</v>
      </c>
      <c r="DN277" s="173">
        <f t="shared" si="679"/>
        <v>1.9248450204377341</v>
      </c>
      <c r="DP277" s="545">
        <f t="shared" si="680"/>
        <v>610</v>
      </c>
      <c r="DQ277" s="460">
        <f t="shared" si="681"/>
        <v>350</v>
      </c>
      <c r="DS277">
        <f t="shared" si="682"/>
        <v>610</v>
      </c>
      <c r="DT277">
        <f t="shared" si="683"/>
        <v>350</v>
      </c>
      <c r="DV277" s="5">
        <f t="shared" si="684"/>
        <v>2.8571428571428572</v>
      </c>
      <c r="DW277" s="5">
        <f t="shared" si="685"/>
        <v>0.77062470364142477</v>
      </c>
      <c r="DX277" s="5">
        <f t="shared" si="686"/>
        <v>2.0865181535014323</v>
      </c>
      <c r="DY277" s="173">
        <f t="shared" si="687"/>
        <v>0.26971864627449865</v>
      </c>
      <c r="EA277" s="5">
        <f t="shared" si="713"/>
        <v>2.8663479830565195</v>
      </c>
      <c r="EB277" s="5">
        <f t="shared" si="714"/>
        <v>1.469003341316466</v>
      </c>
      <c r="EC277" s="5">
        <f t="shared" si="715"/>
        <v>0.48318350943584082</v>
      </c>
      <c r="ED277" s="5"/>
      <c r="EE277" s="173">
        <f t="shared" si="716"/>
        <v>0.69320077553618187</v>
      </c>
      <c r="EF277" s="173">
        <f t="shared" si="717"/>
        <v>1.1406401651631148</v>
      </c>
      <c r="EG277" s="173">
        <f t="shared" si="718"/>
        <v>0.27984141785206973</v>
      </c>
      <c r="EH277" s="173"/>
      <c r="EI277" s="528">
        <f t="shared" si="719"/>
        <v>9.6105463040792802E-3</v>
      </c>
      <c r="EJ277" s="528">
        <f t="shared" si="720"/>
        <v>0.85932360703055277</v>
      </c>
      <c r="EK277" s="528">
        <f t="shared" si="721"/>
        <v>4.3749999999999997E-2</v>
      </c>
      <c r="EL277" s="528">
        <f t="shared" si="722"/>
        <v>9.8686349999999978E-2</v>
      </c>
      <c r="EM277">
        <f t="shared" si="723"/>
        <v>1.6199999999999999E-2</v>
      </c>
      <c r="EN277" s="460">
        <f t="shared" si="724"/>
        <v>59.949999999999996</v>
      </c>
      <c r="EP277" s="460">
        <f t="shared" si="725"/>
        <v>1027.5705033346321</v>
      </c>
      <c r="EQ277" s="173">
        <f t="shared" si="726"/>
        <v>0.42699999999999999</v>
      </c>
      <c r="ER277" s="173">
        <f t="shared" si="772"/>
        <v>6.7671874999999992E-2</v>
      </c>
      <c r="ES277" s="528"/>
      <c r="EU277" s="460">
        <f t="shared" si="727"/>
        <v>494.671875</v>
      </c>
      <c r="EV277" s="528">
        <f t="shared" si="728"/>
        <v>1.441581945611892E-2</v>
      </c>
      <c r="EW277" s="528">
        <f t="shared" si="729"/>
        <v>3.9031799591500133E-2</v>
      </c>
      <c r="EX277" s="528">
        <f t="shared" si="730"/>
        <v>3.9155609572728346E-4</v>
      </c>
      <c r="EY277" s="528">
        <f t="shared" si="731"/>
        <v>0.93121630013175738</v>
      </c>
      <c r="EZ277" s="528"/>
      <c r="FA277" s="625">
        <f t="shared" si="732"/>
        <v>9.353333333333335E-3</v>
      </c>
      <c r="FB277" s="460">
        <f t="shared" si="733"/>
        <v>994.40880860843708</v>
      </c>
      <c r="FC277" s="173">
        <f t="shared" si="734"/>
        <v>2.5166511869430694</v>
      </c>
      <c r="FD277" s="5">
        <f t="shared" si="735"/>
        <v>11.224</v>
      </c>
      <c r="FE277" s="173">
        <f t="shared" si="736"/>
        <v>0.81684629405813791</v>
      </c>
      <c r="FF277" s="5">
        <f t="shared" si="737"/>
        <v>81.684629405813794</v>
      </c>
      <c r="FG277">
        <f t="shared" si="738"/>
        <v>61</v>
      </c>
      <c r="FI277" s="562">
        <f t="shared" si="689"/>
        <v>-50</v>
      </c>
    </row>
    <row r="278" spans="5:165">
      <c r="E278" s="170">
        <v>62</v>
      </c>
      <c r="F278" s="217">
        <f t="shared" si="773"/>
        <v>0.62</v>
      </c>
      <c r="G278" s="217">
        <f t="shared" si="742"/>
        <v>0.155</v>
      </c>
      <c r="H278" s="217">
        <f t="shared" si="743"/>
        <v>10.167999999999999</v>
      </c>
      <c r="I278" s="217">
        <f t="shared" si="744"/>
        <v>1.24</v>
      </c>
      <c r="J278" s="541">
        <f t="shared" si="745"/>
        <v>35.925778566407146</v>
      </c>
      <c r="K278" s="443">
        <f t="shared" si="746"/>
        <v>17.133006492867743</v>
      </c>
      <c r="L278" s="172">
        <f t="shared" si="747"/>
        <v>53.058785059274889</v>
      </c>
      <c r="M278" s="443"/>
      <c r="N278" s="217">
        <f t="shared" si="748"/>
        <v>0.32290612145995273</v>
      </c>
      <c r="O278" s="172">
        <f t="shared" si="749"/>
        <v>34.465710616638617</v>
      </c>
      <c r="P278" s="172">
        <f t="shared" si="750"/>
        <v>4.715712933864892</v>
      </c>
      <c r="Q278" s="217">
        <f t="shared" si="626"/>
        <v>2.1015677205267451</v>
      </c>
      <c r="R278" s="217">
        <f t="shared" si="751"/>
        <v>4.3082138270798271</v>
      </c>
      <c r="S278" s="217">
        <f t="shared" si="752"/>
        <v>16.399999999999999</v>
      </c>
      <c r="T278" s="217">
        <f t="shared" si="753"/>
        <v>1.9667856966785437</v>
      </c>
      <c r="U278" s="217">
        <f t="shared" si="630"/>
        <v>0.65694966962278556</v>
      </c>
      <c r="V278" s="217">
        <f t="shared" si="631"/>
        <v>1.3775415523228516</v>
      </c>
      <c r="W278" s="197">
        <f t="shared" si="632"/>
        <v>350</v>
      </c>
      <c r="X278" s="443">
        <f t="shared" si="691"/>
        <v>350</v>
      </c>
      <c r="Z278" s="217">
        <f t="shared" si="633"/>
        <v>2.7620604326922935</v>
      </c>
      <c r="AA278" s="173">
        <f t="shared" si="634"/>
        <v>1.9345539386858495</v>
      </c>
      <c r="AB278" s="173">
        <f t="shared" si="754"/>
        <v>0.8334472027878117</v>
      </c>
      <c r="AC278" s="173"/>
      <c r="AD278" s="173">
        <f t="shared" si="636"/>
        <v>0.9338699548535514</v>
      </c>
      <c r="AE278" s="545">
        <f t="shared" si="755"/>
        <v>995.85600239793735</v>
      </c>
      <c r="AF278" s="528">
        <f t="shared" si="756"/>
        <v>0.21790298946582867</v>
      </c>
      <c r="AH278" s="173">
        <f t="shared" si="757"/>
        <v>2.3307468657880785</v>
      </c>
      <c r="AI278" s="173">
        <f t="shared" si="758"/>
        <v>2.3307468657880785</v>
      </c>
      <c r="AJ278" s="173">
        <f t="shared" si="759"/>
        <v>1.9388248388553666</v>
      </c>
      <c r="AL278" s="545">
        <f t="shared" si="760"/>
        <v>620</v>
      </c>
      <c r="AM278" s="460">
        <f t="shared" si="761"/>
        <v>350</v>
      </c>
      <c r="AO278">
        <f t="shared" si="644"/>
        <v>620</v>
      </c>
      <c r="AP278">
        <f t="shared" si="645"/>
        <v>350</v>
      </c>
      <c r="AR278" s="5">
        <f t="shared" si="774"/>
        <v>2.8571428571428572</v>
      </c>
      <c r="AS278" s="5">
        <f t="shared" si="739"/>
        <v>0.77852070311455057</v>
      </c>
      <c r="AT278" s="5">
        <f t="shared" si="740"/>
        <v>2.0786221540283067</v>
      </c>
      <c r="AU278" s="173">
        <f t="shared" si="741"/>
        <v>0.27248224609009269</v>
      </c>
      <c r="BA278" s="173">
        <f t="shared" si="692"/>
        <v>0.70243086576113167</v>
      </c>
      <c r="BB278" s="173">
        <f t="shared" si="693"/>
        <v>1.1477737275350564</v>
      </c>
      <c r="BC278" s="173">
        <f t="shared" si="694"/>
        <v>0.28159154577976264</v>
      </c>
      <c r="BD278" s="173"/>
      <c r="BE278" s="528">
        <f t="shared" si="695"/>
        <v>9.8681824234786598E-3</v>
      </c>
      <c r="BF278" s="528">
        <f t="shared" si="762"/>
        <v>0.81156204267749821</v>
      </c>
      <c r="BG278" s="528">
        <f t="shared" si="763"/>
        <v>0.31435056245606252</v>
      </c>
      <c r="BH278" s="528">
        <f t="shared" si="696"/>
        <v>9.8533213518821647E-2</v>
      </c>
      <c r="BI278">
        <f t="shared" si="697"/>
        <v>1.6166600354883216E-2</v>
      </c>
      <c r="BJ278" s="460">
        <f t="shared" si="698"/>
        <v>330.51716281094571</v>
      </c>
      <c r="BK278">
        <f t="shared" si="764"/>
        <v>0.9247961991593856</v>
      </c>
      <c r="BL278" s="460">
        <f t="shared" si="699"/>
        <v>1250.4806014307444</v>
      </c>
      <c r="BM278" s="173">
        <f t="shared" si="765"/>
        <v>0.38517499999999999</v>
      </c>
      <c r="BN278" s="173">
        <f t="shared" si="766"/>
        <v>6.8781250000000002E-2</v>
      </c>
      <c r="BQ278" s="460">
        <f t="shared" si="700"/>
        <v>453.95625000000001</v>
      </c>
      <c r="BR278" s="528">
        <f t="shared" si="701"/>
        <v>1.4802273635217989E-2</v>
      </c>
      <c r="BS278" s="528">
        <f t="shared" si="702"/>
        <v>3.952153588859153E-2</v>
      </c>
      <c r="BT278" s="528">
        <f t="shared" si="703"/>
        <v>3.964689932731808E-4</v>
      </c>
      <c r="BU278" s="528">
        <f t="shared" si="704"/>
        <v>0.95033754532088777</v>
      </c>
      <c r="BV278" s="528"/>
      <c r="BW278" s="625">
        <f t="shared" si="705"/>
        <v>9.506666666666665E-3</v>
      </c>
      <c r="BX278" s="460">
        <f t="shared" si="706"/>
        <v>1014.5644905046372</v>
      </c>
      <c r="BY278" s="173">
        <f t="shared" si="707"/>
        <v>2.7190013419353818</v>
      </c>
      <c r="BZ278" s="5">
        <f t="shared" si="708"/>
        <v>11.407999999999999</v>
      </c>
      <c r="CA278" s="173">
        <f t="shared" si="709"/>
        <v>0.80753160022260728</v>
      </c>
      <c r="CB278" s="5">
        <f t="shared" si="710"/>
        <v>80.75316002226073</v>
      </c>
      <c r="CC278">
        <f t="shared" si="711"/>
        <v>62</v>
      </c>
      <c r="CE278" s="562">
        <f t="shared" si="767"/>
        <v>-50</v>
      </c>
      <c r="CG278" s="173">
        <f t="shared" si="768"/>
        <v>0.5635254879859084</v>
      </c>
      <c r="CH278" s="173">
        <f t="shared" si="769"/>
        <v>0.2005318285479844</v>
      </c>
      <c r="CI278" s="170">
        <v>62</v>
      </c>
      <c r="CJ278" s="217">
        <f t="shared" si="712"/>
        <v>0.62</v>
      </c>
      <c r="CK278" s="217">
        <f t="shared" si="654"/>
        <v>0.155</v>
      </c>
      <c r="CL278" s="217">
        <f t="shared" si="655"/>
        <v>10.167999999999999</v>
      </c>
      <c r="CM278" s="217">
        <f t="shared" si="656"/>
        <v>1.24</v>
      </c>
      <c r="CN278" s="541">
        <f t="shared" si="657"/>
        <v>36</v>
      </c>
      <c r="CO278" s="443">
        <f t="shared" si="770"/>
        <v>17.099999999999998</v>
      </c>
      <c r="CP278" s="443">
        <f t="shared" si="771"/>
        <v>53.099999999999994</v>
      </c>
      <c r="CQ278" s="443"/>
      <c r="CR278" s="217">
        <f t="shared" si="660"/>
        <v>0.31818181818181812</v>
      </c>
      <c r="CS278" s="172">
        <f t="shared" si="661"/>
        <v>34.031620553359687</v>
      </c>
      <c r="CT278" s="172">
        <f t="shared" si="662"/>
        <v>4.6563192904656319</v>
      </c>
      <c r="CU278" s="217">
        <f t="shared" si="663"/>
        <v>2.0750988142292495</v>
      </c>
      <c r="CV278" s="217">
        <f t="shared" si="664"/>
        <v>4.2539525691699609</v>
      </c>
      <c r="CW278" s="217">
        <f t="shared" si="665"/>
        <v>16.399999999999999</v>
      </c>
      <c r="CX278" s="217">
        <f t="shared" si="666"/>
        <v>1.991873015873016</v>
      </c>
      <c r="CY278" s="217">
        <f t="shared" si="667"/>
        <v>0.66395767195767208</v>
      </c>
      <c r="CZ278" s="217">
        <f t="shared" si="668"/>
        <v>1.3978056251740465</v>
      </c>
      <c r="DA278" s="197">
        <f t="shared" si="669"/>
        <v>350</v>
      </c>
      <c r="DB278" s="443">
        <f t="shared" si="670"/>
        <v>350</v>
      </c>
      <c r="DD278" s="217">
        <f t="shared" si="671"/>
        <v>2.7602905569007259</v>
      </c>
      <c r="DE278" s="173">
        <f t="shared" si="672"/>
        <v>1.937046004842615</v>
      </c>
      <c r="DF278" s="173">
        <f t="shared" si="673"/>
        <v>0.83398609309454497</v>
      </c>
      <c r="DG278" s="173"/>
      <c r="DH278" s="173">
        <f t="shared" si="674"/>
        <v>0.93567251461988332</v>
      </c>
      <c r="DI278" s="545">
        <f t="shared" si="675"/>
        <v>993.93749999999966</v>
      </c>
      <c r="DJ278" s="528">
        <f t="shared" si="676"/>
        <v>0.21832358674463945</v>
      </c>
      <c r="DL278" s="173">
        <f t="shared" si="677"/>
        <v>2.3307468657880785</v>
      </c>
      <c r="DM278" s="173">
        <f t="shared" si="678"/>
        <v>2.3307468657880785</v>
      </c>
      <c r="DN278" s="173">
        <f t="shared" si="679"/>
        <v>1.9388248388553666</v>
      </c>
      <c r="DP278" s="545">
        <f t="shared" si="680"/>
        <v>620</v>
      </c>
      <c r="DQ278" s="460">
        <f t="shared" si="681"/>
        <v>350</v>
      </c>
      <c r="DS278">
        <f t="shared" si="682"/>
        <v>620</v>
      </c>
      <c r="DT278">
        <f t="shared" si="683"/>
        <v>350</v>
      </c>
      <c r="DV278" s="5">
        <f t="shared" si="684"/>
        <v>2.8571428571428572</v>
      </c>
      <c r="DW278" s="5">
        <f t="shared" si="685"/>
        <v>0.77691562192935948</v>
      </c>
      <c r="DX278" s="5">
        <f t="shared" si="686"/>
        <v>2.0802272352134978</v>
      </c>
      <c r="DY278" s="173">
        <f t="shared" si="687"/>
        <v>0.27192046767527583</v>
      </c>
      <c r="EA278" s="5">
        <f t="shared" si="713"/>
        <v>2.9371200341231889</v>
      </c>
      <c r="EB278" s="5">
        <f t="shared" si="714"/>
        <v>1.5052740174881341</v>
      </c>
      <c r="EC278" s="5">
        <f t="shared" si="715"/>
        <v>0.48962385480673248</v>
      </c>
      <c r="ED278" s="5"/>
      <c r="EE278" s="173">
        <f t="shared" si="716"/>
        <v>0.70170638901696591</v>
      </c>
      <c r="EF278" s="173">
        <f t="shared" si="717"/>
        <v>1.1482167889411916</v>
      </c>
      <c r="EG278" s="173">
        <f t="shared" si="718"/>
        <v>0.28170024520651898</v>
      </c>
      <c r="EH278" s="173"/>
      <c r="EI278" s="528">
        <f t="shared" si="719"/>
        <v>9.8478371277445891E-3</v>
      </c>
      <c r="EJ278" s="528">
        <f t="shared" si="720"/>
        <v>0.8663386100134286</v>
      </c>
      <c r="EK278" s="528">
        <f t="shared" si="721"/>
        <v>4.3749999999999997E-2</v>
      </c>
      <c r="EL278" s="528">
        <f t="shared" si="722"/>
        <v>9.8686349999999978E-2</v>
      </c>
      <c r="EM278">
        <f t="shared" si="723"/>
        <v>1.6199999999999999E-2</v>
      </c>
      <c r="EN278" s="460">
        <f t="shared" si="724"/>
        <v>59.949999999999996</v>
      </c>
      <c r="EP278" s="460">
        <f t="shared" si="725"/>
        <v>1034.8227971411732</v>
      </c>
      <c r="EQ278" s="173">
        <f t="shared" si="726"/>
        <v>0.434</v>
      </c>
      <c r="ER278" s="173">
        <f t="shared" si="772"/>
        <v>6.8781250000000002E-2</v>
      </c>
      <c r="ES278" s="528"/>
      <c r="EU278" s="460">
        <f t="shared" si="727"/>
        <v>502.78124999999994</v>
      </c>
      <c r="EV278" s="528">
        <f t="shared" si="728"/>
        <v>1.4771755691616885E-2</v>
      </c>
      <c r="EW278" s="528">
        <f t="shared" si="729"/>
        <v>3.9552053832192631E-2</v>
      </c>
      <c r="EX278" s="528">
        <f t="shared" si="730"/>
        <v>3.9677514074706459E-4</v>
      </c>
      <c r="EY278" s="528">
        <f t="shared" si="731"/>
        <v>0.95033754532088777</v>
      </c>
      <c r="EZ278" s="528"/>
      <c r="FA278" s="625">
        <f t="shared" si="732"/>
        <v>9.506666666666665E-3</v>
      </c>
      <c r="FB278" s="460">
        <f t="shared" si="733"/>
        <v>1014.5647966521112</v>
      </c>
      <c r="FC278" s="173">
        <f t="shared" si="734"/>
        <v>2.5521688437932841</v>
      </c>
      <c r="FD278" s="5">
        <f t="shared" si="735"/>
        <v>11.407999999999999</v>
      </c>
      <c r="FE278" s="173">
        <f t="shared" si="736"/>
        <v>0.81718209340082715</v>
      </c>
      <c r="FF278" s="5">
        <f t="shared" si="737"/>
        <v>81.718209340082709</v>
      </c>
      <c r="FG278">
        <f t="shared" si="738"/>
        <v>62</v>
      </c>
      <c r="FI278" s="562">
        <f t="shared" si="689"/>
        <v>-50</v>
      </c>
    </row>
    <row r="279" spans="5:165">
      <c r="E279" s="170">
        <v>63</v>
      </c>
      <c r="F279" s="217">
        <f t="shared" si="773"/>
        <v>0.63</v>
      </c>
      <c r="G279" s="217">
        <f t="shared" si="742"/>
        <v>0.1575</v>
      </c>
      <c r="H279" s="217">
        <f t="shared" si="743"/>
        <v>10.331999999999999</v>
      </c>
      <c r="I279" s="217">
        <f t="shared" si="744"/>
        <v>1.26</v>
      </c>
      <c r="J279" s="541">
        <f t="shared" si="745"/>
        <v>35.925182400736915</v>
      </c>
      <c r="K279" s="443">
        <f t="shared" si="746"/>
        <v>17.133271609519227</v>
      </c>
      <c r="L279" s="172">
        <f t="shared" si="747"/>
        <v>53.058454010256142</v>
      </c>
      <c r="M279" s="443"/>
      <c r="N279" s="217">
        <f t="shared" si="748"/>
        <v>0.32291313286676959</v>
      </c>
      <c r="O279" s="172">
        <f t="shared" si="749"/>
        <v>34.465887037037383</v>
      </c>
      <c r="P279" s="172">
        <f t="shared" si="750"/>
        <v>4.7157370722894694</v>
      </c>
      <c r="Q279" s="217">
        <f t="shared" si="626"/>
        <v>2.1015784778681335</v>
      </c>
      <c r="R279" s="217">
        <f t="shared" si="751"/>
        <v>4.3082358796296729</v>
      </c>
      <c r="S279" s="217">
        <f t="shared" si="752"/>
        <v>16.399999999999999</v>
      </c>
      <c r="T279" s="217">
        <f t="shared" si="753"/>
        <v>1.99849781686979</v>
      </c>
      <c r="U279" s="217">
        <f t="shared" si="630"/>
        <v>0.66755329269937258</v>
      </c>
      <c r="V279" s="217">
        <f t="shared" si="631"/>
        <v>1.3997311400300874</v>
      </c>
      <c r="W279" s="197">
        <f t="shared" si="632"/>
        <v>350</v>
      </c>
      <c r="X279" s="443">
        <f t="shared" si="691"/>
        <v>350</v>
      </c>
      <c r="Z279" s="217">
        <f t="shared" si="633"/>
        <v>2.7620745709124028</v>
      </c>
      <c r="AA279" s="173">
        <f t="shared" si="634"/>
        <v>1.9345339060949438</v>
      </c>
      <c r="AB279" s="173">
        <f t="shared" si="754"/>
        <v>0.83344283845983758</v>
      </c>
      <c r="AC279" s="173"/>
      <c r="AD279" s="173">
        <f t="shared" si="636"/>
        <v>0.93385550434573283</v>
      </c>
      <c r="AE279" s="545">
        <f t="shared" si="755"/>
        <v>1011.9338544372291</v>
      </c>
      <c r="AF279" s="528">
        <f t="shared" si="756"/>
        <v>0.21789961768067101</v>
      </c>
      <c r="AH279" s="173">
        <f t="shared" si="757"/>
        <v>2.3494680248941462</v>
      </c>
      <c r="AI279" s="173">
        <f t="shared" si="758"/>
        <v>2.3494680248941462</v>
      </c>
      <c r="AJ279" s="173">
        <f t="shared" si="759"/>
        <v>1.9526923641191205</v>
      </c>
      <c r="AL279" s="545">
        <f t="shared" si="760"/>
        <v>630</v>
      </c>
      <c r="AM279" s="460">
        <f t="shared" si="761"/>
        <v>350</v>
      </c>
      <c r="AO279">
        <f t="shared" si="644"/>
        <v>630</v>
      </c>
      <c r="AP279">
        <f t="shared" si="645"/>
        <v>350</v>
      </c>
      <c r="AR279" s="5">
        <f t="shared" si="774"/>
        <v>2.8571428571428572</v>
      </c>
      <c r="AS279" s="5">
        <f t="shared" si="739"/>
        <v>0.78478700495481502</v>
      </c>
      <c r="AT279" s="5">
        <f t="shared" si="740"/>
        <v>2.0723558521880423</v>
      </c>
      <c r="AU279" s="173">
        <f t="shared" si="741"/>
        <v>0.27467545173418523</v>
      </c>
      <c r="BA279" s="173">
        <f t="shared" si="692"/>
        <v>0.7109168947147767</v>
      </c>
      <c r="BB279" s="173">
        <f t="shared" si="693"/>
        <v>1.1552476655718027</v>
      </c>
      <c r="BC279" s="173">
        <f t="shared" si="694"/>
        <v>0.28342518050613807</v>
      </c>
      <c r="BD279" s="173"/>
      <c r="BE279" s="528">
        <f t="shared" si="695"/>
        <v>1.0108056623818019E-2</v>
      </c>
      <c r="BF279" s="528">
        <f t="shared" si="762"/>
        <v>0.81807561377990046</v>
      </c>
      <c r="BG279" s="528">
        <f t="shared" si="763"/>
        <v>0.31434534600644798</v>
      </c>
      <c r="BH279" s="528">
        <f t="shared" si="696"/>
        <v>9.8531983968546316E-2</v>
      </c>
      <c r="BI279">
        <f t="shared" si="697"/>
        <v>1.6166332080331611E-2</v>
      </c>
      <c r="BJ279" s="460">
        <f t="shared" si="698"/>
        <v>330.51167808677963</v>
      </c>
      <c r="BK279">
        <f t="shared" si="764"/>
        <v>0.93168242735922002</v>
      </c>
      <c r="BL279" s="460">
        <f t="shared" si="699"/>
        <v>1257.2273324590444</v>
      </c>
      <c r="BM279" s="173">
        <f t="shared" si="765"/>
        <v>0.39138749999999994</v>
      </c>
      <c r="BN279" s="173">
        <f t="shared" si="766"/>
        <v>6.9890624999999998E-2</v>
      </c>
      <c r="BQ279" s="460">
        <f t="shared" si="700"/>
        <v>461.27812499999993</v>
      </c>
      <c r="BR279" s="528">
        <f t="shared" si="701"/>
        <v>1.5162084935727026E-2</v>
      </c>
      <c r="BS279" s="528">
        <f t="shared" si="702"/>
        <v>4.003791506427299E-2</v>
      </c>
      <c r="BT279" s="528">
        <f t="shared" si="703"/>
        <v>4.0164916472468476E-4</v>
      </c>
      <c r="BU279" s="528">
        <f t="shared" si="704"/>
        <v>0.9695360508986206</v>
      </c>
      <c r="BV279" s="528"/>
      <c r="BW279" s="625">
        <f t="shared" si="705"/>
        <v>9.6600000000000002E-3</v>
      </c>
      <c r="BX279" s="460">
        <f t="shared" si="706"/>
        <v>1034.7977000633452</v>
      </c>
      <c r="BY279" s="173">
        <f t="shared" si="707"/>
        <v>2.7533031575223892</v>
      </c>
      <c r="BZ279" s="5">
        <f t="shared" si="708"/>
        <v>11.591999999999999</v>
      </c>
      <c r="CA279" s="173">
        <f t="shared" si="709"/>
        <v>0.80806936407763452</v>
      </c>
      <c r="CB279" s="5">
        <f t="shared" si="710"/>
        <v>80.806936407763459</v>
      </c>
      <c r="CC279">
        <f t="shared" si="711"/>
        <v>63</v>
      </c>
      <c r="CE279" s="562">
        <f t="shared" si="767"/>
        <v>-50</v>
      </c>
      <c r="CG279" s="173">
        <f t="shared" si="768"/>
        <v>0.56805186984048239</v>
      </c>
      <c r="CH279" s="173">
        <f t="shared" si="769"/>
        <v>0.20214255184152752</v>
      </c>
      <c r="CI279" s="170">
        <v>63</v>
      </c>
      <c r="CJ279" s="217">
        <f t="shared" si="712"/>
        <v>0.63</v>
      </c>
      <c r="CK279" s="217">
        <f t="shared" si="654"/>
        <v>0.1575</v>
      </c>
      <c r="CL279" s="217">
        <f t="shared" si="655"/>
        <v>10.331999999999999</v>
      </c>
      <c r="CM279" s="217">
        <f t="shared" si="656"/>
        <v>1.26</v>
      </c>
      <c r="CN279" s="541">
        <f t="shared" si="657"/>
        <v>36</v>
      </c>
      <c r="CO279" s="443">
        <f t="shared" si="770"/>
        <v>17.099999999999998</v>
      </c>
      <c r="CP279" s="443">
        <f t="shared" si="771"/>
        <v>53.099999999999994</v>
      </c>
      <c r="CQ279" s="443"/>
      <c r="CR279" s="217">
        <f t="shared" si="660"/>
        <v>0.31818181818181812</v>
      </c>
      <c r="CS279" s="172">
        <f t="shared" si="661"/>
        <v>34.031620553359687</v>
      </c>
      <c r="CT279" s="172">
        <f t="shared" si="662"/>
        <v>4.6563192904656319</v>
      </c>
      <c r="CU279" s="217">
        <f t="shared" si="663"/>
        <v>2.0750988142292495</v>
      </c>
      <c r="CV279" s="217">
        <f t="shared" si="664"/>
        <v>4.2539525691699609</v>
      </c>
      <c r="CW279" s="217">
        <f t="shared" si="665"/>
        <v>16.399999999999999</v>
      </c>
      <c r="CX279" s="217">
        <f t="shared" si="666"/>
        <v>2.024</v>
      </c>
      <c r="CY279" s="217">
        <f t="shared" si="667"/>
        <v>0.67466666666666664</v>
      </c>
      <c r="CZ279" s="217">
        <f t="shared" si="668"/>
        <v>1.4203508771929827</v>
      </c>
      <c r="DA279" s="197">
        <f t="shared" si="669"/>
        <v>350</v>
      </c>
      <c r="DB279" s="443">
        <f t="shared" si="670"/>
        <v>350</v>
      </c>
      <c r="DD279" s="217">
        <f t="shared" si="671"/>
        <v>2.7602905569007259</v>
      </c>
      <c r="DE279" s="173">
        <f t="shared" si="672"/>
        <v>1.937046004842615</v>
      </c>
      <c r="DF279" s="173">
        <f t="shared" si="673"/>
        <v>0.83398609309454497</v>
      </c>
      <c r="DG279" s="173"/>
      <c r="DH279" s="173">
        <f t="shared" si="674"/>
        <v>0.93567251461988332</v>
      </c>
      <c r="DI279" s="545">
        <f t="shared" si="675"/>
        <v>1009.9687499999995</v>
      </c>
      <c r="DJ279" s="528">
        <f t="shared" si="676"/>
        <v>0.21832358674463945</v>
      </c>
      <c r="DL279" s="173">
        <f t="shared" si="677"/>
        <v>2.3494680248941462</v>
      </c>
      <c r="DM279" s="173">
        <f t="shared" si="678"/>
        <v>2.3494680248941462</v>
      </c>
      <c r="DN279" s="173">
        <f t="shared" si="679"/>
        <v>1.9526923641191205</v>
      </c>
      <c r="DP279" s="545">
        <f t="shared" si="680"/>
        <v>630</v>
      </c>
      <c r="DQ279" s="460">
        <f t="shared" si="681"/>
        <v>350</v>
      </c>
      <c r="DS279">
        <f t="shared" si="682"/>
        <v>630</v>
      </c>
      <c r="DT279">
        <f t="shared" si="683"/>
        <v>350</v>
      </c>
      <c r="DV279" s="5">
        <f t="shared" si="684"/>
        <v>2.8571428571428572</v>
      </c>
      <c r="DW279" s="5">
        <f t="shared" si="685"/>
        <v>0.78315600829804877</v>
      </c>
      <c r="DX279" s="5">
        <f t="shared" si="686"/>
        <v>2.0739868488448083</v>
      </c>
      <c r="DY279" s="173">
        <f t="shared" si="687"/>
        <v>0.27410460290431704</v>
      </c>
      <c r="EA279" s="5">
        <f t="shared" si="713"/>
        <v>3.0084651538278706</v>
      </c>
      <c r="EB279" s="5">
        <f t="shared" si="714"/>
        <v>1.5418383913367835</v>
      </c>
      <c r="EC279" s="5">
        <f t="shared" si="715"/>
        <v>0.49602852134871656</v>
      </c>
      <c r="ED279" s="5"/>
      <c r="EE279" s="173">
        <f t="shared" si="716"/>
        <v>0.71017777305681939</v>
      </c>
      <c r="EF279" s="173">
        <f t="shared" si="717"/>
        <v>1.1557021807784464</v>
      </c>
      <c r="EG279" s="173">
        <f t="shared" si="718"/>
        <v>0.28353668997577375</v>
      </c>
      <c r="EH279" s="173"/>
      <c r="EI279" s="528">
        <f t="shared" si="719"/>
        <v>1.0087049386878866E-2</v>
      </c>
      <c r="EJ279" s="528">
        <f t="shared" si="720"/>
        <v>0.87329726485315395</v>
      </c>
      <c r="EK279" s="528">
        <f t="shared" si="721"/>
        <v>4.3749999999999997E-2</v>
      </c>
      <c r="EL279" s="528">
        <f t="shared" si="722"/>
        <v>9.8686349999999978E-2</v>
      </c>
      <c r="EM279">
        <f t="shared" si="723"/>
        <v>1.6199999999999999E-2</v>
      </c>
      <c r="EN279" s="460">
        <f t="shared" si="724"/>
        <v>59.949999999999996</v>
      </c>
      <c r="EP279" s="460">
        <f t="shared" si="725"/>
        <v>1042.0206642400326</v>
      </c>
      <c r="EQ279" s="173">
        <f t="shared" si="726"/>
        <v>0.44099999999999995</v>
      </c>
      <c r="ER279" s="173">
        <f t="shared" si="772"/>
        <v>6.9890624999999998E-2</v>
      </c>
      <c r="ES279" s="528"/>
      <c r="EU279" s="460">
        <f t="shared" si="727"/>
        <v>510.89062499999994</v>
      </c>
      <c r="EV279" s="528">
        <f t="shared" si="728"/>
        <v>1.5130574080318298E-2</v>
      </c>
      <c r="EW279" s="528">
        <f t="shared" si="729"/>
        <v>4.0069425919681705E-2</v>
      </c>
      <c r="EX279" s="528">
        <f t="shared" si="730"/>
        <v>4.019652728120902E-4</v>
      </c>
      <c r="EY279" s="528">
        <f t="shared" si="731"/>
        <v>0.9695360508986206</v>
      </c>
      <c r="EZ279" s="528"/>
      <c r="FA279" s="625">
        <f t="shared" si="732"/>
        <v>9.6600000000000002E-3</v>
      </c>
      <c r="FB279" s="460">
        <f t="shared" si="733"/>
        <v>1034.7980161714327</v>
      </c>
      <c r="FC279" s="173">
        <f t="shared" si="734"/>
        <v>2.5877093054114648</v>
      </c>
      <c r="FD279" s="5">
        <f t="shared" si="735"/>
        <v>11.591999999999999</v>
      </c>
      <c r="FE279" s="173">
        <f t="shared" si="736"/>
        <v>0.81750618086197957</v>
      </c>
      <c r="FF279" s="5">
        <f t="shared" si="737"/>
        <v>81.75061808619796</v>
      </c>
      <c r="FG279">
        <f t="shared" si="738"/>
        <v>63</v>
      </c>
      <c r="FI279" s="562">
        <f t="shared" si="689"/>
        <v>-50</v>
      </c>
    </row>
    <row r="280" spans="5:165">
      <c r="E280" s="170">
        <v>64</v>
      </c>
      <c r="F280" s="217">
        <f t="shared" si="773"/>
        <v>0.64</v>
      </c>
      <c r="G280" s="217">
        <f t="shared" ref="G280:G316" si="775">IF(PLOT_TYPE=1, E280/100*Iout2, min_I*EXP(Q280*rr/100))</f>
        <v>0.16</v>
      </c>
      <c r="H280" s="217">
        <f t="shared" ref="H280:H316" si="776">F280*Vout</f>
        <v>10.495999999999999</v>
      </c>
      <c r="I280" s="217">
        <f t="shared" ref="I280:I316" si="777">Vout2*G280</f>
        <v>1.28</v>
      </c>
      <c r="J280" s="541">
        <f t="shared" ref="J280:J316" si="778">VIN_max-(F280/CG280/Nps+G280/CH280/(Nps/Nsec1sec2))*(Rdcr_pri+RON/1000)</f>
        <v>35.924590948060569</v>
      </c>
      <c r="K280" s="443">
        <f t="shared" ref="K280:K316" si="779">MAX((S280+Vfwd2+Rdcr_sec*F280/CG280)*Nps,(Vout2+Vfwd22+Rdcr_sec2*G280/CH280)*Nps/Nsec1sec2)</f>
        <v>17.133534630288274</v>
      </c>
      <c r="L280" s="172">
        <f t="shared" ref="L280:L316" si="780">MAX((Vout+Vfwd2+F280/CG280*Rdcr_sec)*Nps+J280, (Vout2+Vfwd22+G280/CH280*Rdcr_sec2)*Nps/Nsec1sec2+J280)</f>
        <v>53.058125578348843</v>
      </c>
      <c r="M280" s="443"/>
      <c r="N280" s="217">
        <f t="shared" ref="N280:N316" si="781">MAX((Vout+Vfwd2+F280/CG280*Rdcr_sec)*Nps/((Vout+Vfwd2+F280/CG280*Rdcr_sec)*Nps+J280), (Vout2+Vfwd22+G280/CH280*Rdcr_sec2)*Nps/Nsec1sec2/((Vout2+Vfwd22+G280/CH280*Rdcr_sec2)*Nps/Nsec1sec2+J280))</f>
        <v>0.32292008893129592</v>
      </c>
      <c r="O280" s="172">
        <f t="shared" ref="O280:O311" si="782">N280*J280*Isw_max*0.5*Efficiency*Pout/(Pout+Pout2)</f>
        <v>34.466062047427108</v>
      </c>
      <c r="P280" s="172">
        <f t="shared" ref="P280:P316" si="783">N280*J280*Isw_max*0.5*Efficiency*(Pout2/Pout_total)</f>
        <v>4.7157610177919302</v>
      </c>
      <c r="Q280" s="217">
        <f t="shared" ref="Q280:Q316" si="784">O280/Vout</f>
        <v>2.1015891492333605</v>
      </c>
      <c r="R280" s="217">
        <f t="shared" ref="R280:R316" si="785">O280/Vout2</f>
        <v>4.3082577559283886</v>
      </c>
      <c r="S280" s="217">
        <f t="shared" ref="S280:S316" si="786">MIN(Vout,O280/F280)</f>
        <v>16.399999999999999</v>
      </c>
      <c r="T280" s="217">
        <f t="shared" ref="T280:T316" si="787">MIN(2*(Vout*F280+Vout2*G280)/(Efficiency*J280*N280), Isw_max)</f>
        <v>2.0302096954693098</v>
      </c>
      <c r="U280" s="217">
        <f t="shared" ref="U280:U316" si="788">L*T280/J280*1000000</f>
        <v>0.67815709804058211</v>
      </c>
      <c r="V280" s="217">
        <f t="shared" ref="V280:V316" si="789">L*T280/K280*1000000</f>
        <v>1.421920045765934</v>
      </c>
      <c r="W280" s="197">
        <f t="shared" ref="W280:W316" si="790">IF(1/((350000*L)*(1/J280+1/K280))&gt;Isw_min, 350, 0.001/((Isw_min*L)*(1/J280+1/K280)))</f>
        <v>350</v>
      </c>
      <c r="X280" s="443">
        <f t="shared" si="691"/>
        <v>350</v>
      </c>
      <c r="Z280" s="217">
        <f t="shared" ref="Z280:Z316" si="791">1/((W280*1000*L)*(1/J280+1/K280))</f>
        <v>2.762088596135273</v>
      </c>
      <c r="AA280" s="173">
        <f t="shared" ref="AA280:AA316" si="792">L*Z280/K280*1000000</f>
        <v>1.934514031624869</v>
      </c>
      <c r="AB280" s="173">
        <f t="shared" ref="AB280:AB311" si="793">0.5*AA280*Z280*Nps*W280/1000*(Pout/(Pout+Pout2))</f>
        <v>0.83343850807001352</v>
      </c>
      <c r="AC280" s="173"/>
      <c r="AD280" s="173">
        <f t="shared" ref="AD280:AD316" si="794">L*Isw_min/K280*1000000</f>
        <v>0.93384116851846577</v>
      </c>
      <c r="AE280" s="545">
        <f t="shared" ref="AE280:AE311" si="795">MAX(10, F280/(0.5*AD280/1000000*Isw_min*Nps)/1000*Pout_total/Pout)</f>
        <v>1028.0120778172964</v>
      </c>
      <c r="AF280" s="528">
        <f t="shared" ref="AF280:AF316" si="796">0.5*AD280/1000000*Isw_min*Nps*W280*1000*(Pout/Pout_total)</f>
        <v>0.21789627265430869</v>
      </c>
      <c r="AH280" s="173">
        <f t="shared" ref="AH280:AH315" si="797">SQRT((H280+I280)/(0.5*L*Fsw_DCM))</f>
        <v>2.3680411836830553</v>
      </c>
      <c r="AI280" s="173">
        <f t="shared" ref="AI280:AI311" si="798">MAX(IF(F280&gt;AB280,T280,AH280),Isw_min)</f>
        <v>2.3680411836830553</v>
      </c>
      <c r="AJ280" s="173">
        <f t="shared" ref="AJ280:AJ311" si="799">IF(F280&gt;AF280, (AI280-Isw_min)/1.08*0.8+1.2, AE280*0.2/350+1)</f>
        <v>1.9664502595183124</v>
      </c>
      <c r="AL280" s="545">
        <f t="shared" ref="AL280:AL316" si="800">F280*1000</f>
        <v>640</v>
      </c>
      <c r="AM280" s="460">
        <f t="shared" ref="AM280:AM316" si="801">IF(F280&gt;AF280, X280, AE280)</f>
        <v>350</v>
      </c>
      <c r="AO280">
        <f t="shared" ref="AO280:AO316" si="802">IF(H280&gt;O280, "",AL280)</f>
        <v>640</v>
      </c>
      <c r="AP280">
        <f t="shared" ref="AP280:AP316" si="803">IF(H280&gt;O280, "",AM280)</f>
        <v>350</v>
      </c>
      <c r="AR280" s="5">
        <f t="shared" si="774"/>
        <v>2.8571428571428572</v>
      </c>
      <c r="AS280" s="5">
        <f t="shared" si="739"/>
        <v>0.79100397399878419</v>
      </c>
      <c r="AT280" s="5">
        <f t="shared" si="740"/>
        <v>2.066138883144073</v>
      </c>
      <c r="AU280" s="173">
        <f t="shared" si="741"/>
        <v>0.27685139089957445</v>
      </c>
      <c r="BA280" s="173">
        <f t="shared" si="692"/>
        <v>0.71936943058215452</v>
      </c>
      <c r="BB280" s="173">
        <f t="shared" si="693"/>
        <v>1.162632345821436</v>
      </c>
      <c r="BC280" s="173">
        <f t="shared" si="694"/>
        <v>0.28523691698058184</v>
      </c>
      <c r="BD280" s="173"/>
      <c r="BE280" s="528">
        <f t="shared" si="695"/>
        <v>1.0349847553121865E-2</v>
      </c>
      <c r="BF280" s="528">
        <f t="shared" ref="BF280:BF316" si="804">0.5*L280*AI280*AM280*1000*Tfall</f>
        <v>0.82453761139678272</v>
      </c>
      <c r="BG280" s="528">
        <f t="shared" ref="BG280:BG316" si="805">Qg*Vdd*AM280*1000*0+Qg*J280*AM280*1000</f>
        <v>0.31434017079553001</v>
      </c>
      <c r="BH280" s="528">
        <f t="shared" si="696"/>
        <v>9.8530764146074257E-2</v>
      </c>
      <c r="BI280">
        <f t="shared" si="697"/>
        <v>1.6166065926627254E-2</v>
      </c>
      <c r="BJ280" s="460">
        <f t="shared" si="698"/>
        <v>330.50623672215727</v>
      </c>
      <c r="BK280">
        <f t="shared" ref="BK280:BK316" si="806">(BF280+BG280*0+BH280+BI280*0+BE280*(1+RdsonTC*(Ta-25)))/(1-BE280*RdsonTC*ThetaJA)</f>
        <v>0.9385206203094516</v>
      </c>
      <c r="BL280" s="460">
        <f t="shared" si="699"/>
        <v>1263.924459818136</v>
      </c>
      <c r="BM280" s="173">
        <f t="shared" ref="BM280:BM316" si="807">Vfwd2*F280*(1+Diode_TC/1000*(Ta-25))</f>
        <v>0.39759999999999995</v>
      </c>
      <c r="BN280" s="173">
        <f t="shared" ref="BN280:BN316" si="808">Vfwd22*G280*(1+Diode_TC/1000*(Ta-25))</f>
        <v>7.0999999999999994E-2</v>
      </c>
      <c r="BQ280" s="460">
        <f t="shared" si="700"/>
        <v>468.59999999999997</v>
      </c>
      <c r="BR280" s="528">
        <f t="shared" si="701"/>
        <v>1.5524771329682796E-2</v>
      </c>
      <c r="BS280" s="528">
        <f t="shared" si="702"/>
        <v>4.0551419146507658E-2</v>
      </c>
      <c r="BT280" s="528">
        <f t="shared" si="703"/>
        <v>4.0680049404293674E-4</v>
      </c>
      <c r="BU280" s="528">
        <f t="shared" si="704"/>
        <v>0.98881089519289167</v>
      </c>
      <c r="BV280" s="528"/>
      <c r="BW280" s="625">
        <f t="shared" si="705"/>
        <v>9.8133333333333302E-3</v>
      </c>
      <c r="BX280" s="460">
        <f t="shared" si="706"/>
        <v>1055.1072194964584</v>
      </c>
      <c r="BY280" s="173">
        <f t="shared" si="707"/>
        <v>2.7876316793145945</v>
      </c>
      <c r="BZ280" s="5">
        <f t="shared" si="708"/>
        <v>11.775999999999998</v>
      </c>
      <c r="CA280" s="173">
        <f t="shared" si="709"/>
        <v>0.80858952349955415</v>
      </c>
      <c r="CB280" s="5">
        <f t="shared" si="710"/>
        <v>80.858952349955416</v>
      </c>
      <c r="CC280">
        <f t="shared" si="711"/>
        <v>64</v>
      </c>
      <c r="CE280" s="562">
        <f t="shared" ref="CE280:CE316" si="809">IF(ABS(F280-Ioutmax_Vinmax)&lt;Iout/200, AM280, -50)</f>
        <v>-50</v>
      </c>
      <c r="CG280" s="173">
        <f t="shared" ref="CG280:CG316" si="810">MIN(SQRT(2*DT280*1000*Ls1_*CL280)/CW280, 1-DY280)</f>
        <v>0.57254246833643752</v>
      </c>
      <c r="CH280" s="173">
        <f t="shared" ref="CH280:CH316" si="811">MIN(SQRT(2*DT280*1000*Ls2_*CM280)/Vout2, 1-DY280)</f>
        <v>0.20374054154539556</v>
      </c>
      <c r="CI280" s="170">
        <v>64</v>
      </c>
      <c r="CJ280" s="217">
        <f t="shared" si="712"/>
        <v>0.64</v>
      </c>
      <c r="CK280" s="217">
        <f t="shared" ref="CK280:CK316" si="812">IF(PLOT_TYPE=1, CI280/100*Iout2, min_I*EXP(CU280*rr/100))</f>
        <v>0.16</v>
      </c>
      <c r="CL280" s="217">
        <f t="shared" ref="CL280:CL316" si="813">CJ280*Vout</f>
        <v>10.495999999999999</v>
      </c>
      <c r="CM280" s="217">
        <f t="shared" ref="CM280:CM316" si="814">Vout2*CK280</f>
        <v>1.28</v>
      </c>
      <c r="CN280" s="541">
        <f t="shared" ref="CN280:CN316" si="815">VIN_max</f>
        <v>36</v>
      </c>
      <c r="CO280" s="443">
        <f t="shared" ref="CO280:CO316" si="816">(CW280+Vfwd2)*Nps</f>
        <v>17.099999999999998</v>
      </c>
      <c r="CP280" s="443">
        <f t="shared" ref="CP280:CP316" si="817">(Vout+Vfwd2)*Nps+CN280</f>
        <v>53.099999999999994</v>
      </c>
      <c r="CQ280" s="443"/>
      <c r="CR280" s="217">
        <f t="shared" ref="CR280:CR316" si="818">(Vout+Vfwd1)*Nps/((Vout+Vfwd1)*Nps+CN280)</f>
        <v>0.31818181818181812</v>
      </c>
      <c r="CS280" s="172">
        <f t="shared" ref="CS280:CS316" si="819">CR280*CN280*Isw_max*0.5*Efficiency*Pout/(Pout+Pout2)</f>
        <v>34.031620553359687</v>
      </c>
      <c r="CT280" s="172">
        <f t="shared" ref="CT280:CT316" si="820">CR280*CN280*Isw_max*0.5*Efficiency*(Pout2/Pout_total)</f>
        <v>4.6563192904656319</v>
      </c>
      <c r="CU280" s="217">
        <f t="shared" ref="CU280:CU316" si="821">CS280/Vout</f>
        <v>2.0750988142292495</v>
      </c>
      <c r="CV280" s="217">
        <f t="shared" ref="CV280:CV316" si="822">CS280/Vout2</f>
        <v>4.2539525691699609</v>
      </c>
      <c r="CW280" s="217">
        <f t="shared" ref="CW280:CW316" si="823">MIN(Vout,CS280/CJ280)</f>
        <v>16.399999999999999</v>
      </c>
      <c r="CX280" s="217">
        <f t="shared" ref="CX280:CX316" si="824">MIN(2*(Vout*CJ280+Vout2*CK280)/(Efficiency*CN280*CR280), Isw_max)</f>
        <v>2.0561269841269838</v>
      </c>
      <c r="CY280" s="217">
        <f t="shared" ref="CY280:CY316" si="825">L*CX280/CN280*1000000</f>
        <v>0.6853756613756613</v>
      </c>
      <c r="CZ280" s="217">
        <f t="shared" ref="CZ280:CZ316" si="826">L*CX280/CO280*1000000</f>
        <v>1.4428961292119187</v>
      </c>
      <c r="DA280" s="197">
        <f t="shared" ref="DA280:DA316" si="827">IF(1/((350000*L)*(1/CN280+1/CO280))&gt;Isw_min, 350, 0.001/((Isw_min*L)*(1/CN280+1/CO280)))</f>
        <v>350</v>
      </c>
      <c r="DB280" s="443">
        <f t="shared" ref="DB280:DB316" si="828">MIN(1/(CY280+CZ280)*1000, 350)</f>
        <v>350</v>
      </c>
      <c r="DD280" s="217">
        <f t="shared" ref="DD280:DD316" si="829">1/((DA280*1000*L)*(1/CN280+1/CO280))</f>
        <v>2.7602905569007259</v>
      </c>
      <c r="DE280" s="173">
        <f t="shared" ref="DE280:DE316" si="830">L*DD280/CO280*1000000</f>
        <v>1.937046004842615</v>
      </c>
      <c r="DF280" s="173">
        <f t="shared" ref="DF280:DF316" si="831">0.5*DE280*DD280*Nps*DA280/1000*(Pout/(Pout+Pout2))</f>
        <v>0.83398609309454497</v>
      </c>
      <c r="DG280" s="173"/>
      <c r="DH280" s="173">
        <f t="shared" ref="DH280:DH316" si="832">L*Isw_min/CO280*1000000</f>
        <v>0.93567251461988332</v>
      </c>
      <c r="DI280" s="545">
        <f t="shared" ref="DI280:DI316" si="833">MAX(10, CJ280/(0.5*DH280/1000000*Isw_min*Nps)/1000*Pout_total/Pout)</f>
        <v>1025.9999999999995</v>
      </c>
      <c r="DJ280" s="528">
        <f t="shared" ref="DJ280:DJ316" si="834">0.5*DH280/1000000*Isw_min*Nps*DA280*1000*(Pout/Pout_total)</f>
        <v>0.21832358674463945</v>
      </c>
      <c r="DL280" s="173">
        <f t="shared" ref="DL280:DL316" si="835">SQRT((CL280+CM280)/(0.5*L*Fsw_DCM))</f>
        <v>2.3680411836830553</v>
      </c>
      <c r="DM280" s="173">
        <f t="shared" ref="DM280:DM316" si="836">MAX(IF(CJ280&gt;DF280,CX280,DL280),Isw_min)</f>
        <v>2.3680411836830553</v>
      </c>
      <c r="DN280" s="173">
        <f t="shared" ref="DN280:DN316" si="837">IF(CJ280&gt;DJ280, (DM280-Isw_min)/1.08*0.8+1.2, DI280*0.2/350+1)</f>
        <v>1.9664502595183124</v>
      </c>
      <c r="DP280" s="545">
        <f t="shared" ref="DP280:DP316" si="838">CJ280*1000</f>
        <v>640</v>
      </c>
      <c r="DQ280" s="460">
        <f t="shared" ref="DQ280:DQ316" si="839">IF(CJ280&gt;DJ280, DB280, DI280)</f>
        <v>350</v>
      </c>
      <c r="DS280">
        <f t="shared" ref="DS280:DS316" si="840">IF(CL280&gt;CS280, "",DP280)</f>
        <v>640</v>
      </c>
      <c r="DT280">
        <f t="shared" ref="DT280:DT316" si="841">IF(CL280&gt;CS280, "",DQ280)</f>
        <v>350</v>
      </c>
      <c r="DV280" s="5">
        <f t="shared" si="684"/>
        <v>2.8571428571428572</v>
      </c>
      <c r="DW280" s="5">
        <f t="shared" ref="DW280:DW316" si="842">L*DM280/CN280*1000000</f>
        <v>0.78934706122768517</v>
      </c>
      <c r="DX280" s="5">
        <f t="shared" ref="DX280:DX316" si="843">DV280-DW280</f>
        <v>2.0677957959151723</v>
      </c>
      <c r="DY280" s="173">
        <f t="shared" ref="DY280:DY316" si="844">DW280/DV280</f>
        <v>0.27627147142968977</v>
      </c>
      <c r="EA280" s="5">
        <f t="shared" si="713"/>
        <v>3.0803787755226746</v>
      </c>
      <c r="EB280" s="5">
        <f t="shared" si="714"/>
        <v>1.5786941224553703</v>
      </c>
      <c r="EC280" s="5">
        <f t="shared" si="715"/>
        <v>0.50239779337790835</v>
      </c>
      <c r="ED280" s="5"/>
      <c r="EE280" s="173">
        <f t="shared" si="716"/>
        <v>0.71861560552283887</v>
      </c>
      <c r="EF280" s="173">
        <f t="shared" si="717"/>
        <v>1.163098431219556</v>
      </c>
      <c r="EG280" s="173">
        <f t="shared" si="718"/>
        <v>0.2853512650481263</v>
      </c>
      <c r="EH280" s="173"/>
      <c r="EI280" s="528">
        <f t="shared" si="719"/>
        <v>1.0328167770019128E-2</v>
      </c>
      <c r="EJ280" s="528">
        <f t="shared" si="720"/>
        <v>0.88020090797499151</v>
      </c>
      <c r="EK280" s="528">
        <f t="shared" si="721"/>
        <v>4.3749999999999997E-2</v>
      </c>
      <c r="EL280" s="528">
        <f t="shared" si="722"/>
        <v>9.8686349999999978E-2</v>
      </c>
      <c r="EM280">
        <f t="shared" si="723"/>
        <v>1.6199999999999999E-2</v>
      </c>
      <c r="EN280" s="460">
        <f t="shared" si="724"/>
        <v>59.949999999999996</v>
      </c>
      <c r="EP280" s="460">
        <f t="shared" si="725"/>
        <v>1049.1654257450105</v>
      </c>
      <c r="EQ280" s="173">
        <f t="shared" si="726"/>
        <v>0.44799999999999995</v>
      </c>
      <c r="ER280" s="173">
        <f t="shared" ref="ER280:ER316" si="845">Vfwd22*CK280*(1+Diode_TC/1000*(Ta-25))</f>
        <v>7.0999999999999994E-2</v>
      </c>
      <c r="ES280" s="528"/>
      <c r="EU280" s="460">
        <f t="shared" si="727"/>
        <v>518.99999999999989</v>
      </c>
      <c r="EV280" s="528">
        <f t="shared" si="728"/>
        <v>1.5492251655028691E-2</v>
      </c>
      <c r="EW280" s="528">
        <f t="shared" si="729"/>
        <v>4.058393882116177E-2</v>
      </c>
      <c r="EX280" s="528">
        <f t="shared" si="730"/>
        <v>4.0712672232283013E-4</v>
      </c>
      <c r="EY280" s="528">
        <f t="shared" si="731"/>
        <v>0.98881089519289167</v>
      </c>
      <c r="EZ280" s="528"/>
      <c r="FA280" s="625">
        <f t="shared" si="732"/>
        <v>9.8133333333333302E-3</v>
      </c>
      <c r="FB280" s="460">
        <f t="shared" si="733"/>
        <v>1055.107545724738</v>
      </c>
      <c r="FC280" s="173">
        <f t="shared" si="734"/>
        <v>2.6232729714697487</v>
      </c>
      <c r="FD280" s="5">
        <f t="shared" si="735"/>
        <v>11.775999999999998</v>
      </c>
      <c r="FE280" s="173">
        <f t="shared" si="736"/>
        <v>0.81781906790242698</v>
      </c>
      <c r="FF280" s="5">
        <f t="shared" si="737"/>
        <v>81.781906790242701</v>
      </c>
      <c r="FG280">
        <f t="shared" si="738"/>
        <v>64</v>
      </c>
      <c r="FI280" s="562">
        <f t="shared" ref="FI280:FI316" si="846">IF(ABS(CJ280-Ioutmax_Vinmax)&lt;Iout/200, DQ280, -50)</f>
        <v>-50</v>
      </c>
    </row>
    <row r="281" spans="5:165">
      <c r="E281" s="170">
        <v>65</v>
      </c>
      <c r="F281" s="217">
        <f t="shared" ref="F281:F312" si="847">IF(PLOT_TYPE=1, E281/100*Iout_max, min_I*EXP(O281*rr/100))</f>
        <v>0.65</v>
      </c>
      <c r="G281" s="217">
        <f t="shared" si="775"/>
        <v>0.16250000000000001</v>
      </c>
      <c r="H281" s="217">
        <f t="shared" si="776"/>
        <v>10.66</v>
      </c>
      <c r="I281" s="217">
        <f t="shared" si="777"/>
        <v>1.3</v>
      </c>
      <c r="J281" s="541">
        <f t="shared" si="778"/>
        <v>35.924004098338685</v>
      </c>
      <c r="K281" s="443">
        <f t="shared" si="779"/>
        <v>17.133795604109746</v>
      </c>
      <c r="L281" s="172">
        <f t="shared" si="780"/>
        <v>53.057799702448435</v>
      </c>
      <c r="M281" s="443"/>
      <c r="N281" s="217">
        <f t="shared" si="781"/>
        <v>0.32292699094567018</v>
      </c>
      <c r="O281" s="172">
        <f t="shared" si="782"/>
        <v>34.466235680728538</v>
      </c>
      <c r="P281" s="172">
        <f t="shared" si="783"/>
        <v>4.7157847748766004</v>
      </c>
      <c r="Q281" s="217">
        <f t="shared" si="784"/>
        <v>2.1015997366297889</v>
      </c>
      <c r="R281" s="217">
        <f t="shared" si="785"/>
        <v>4.3082794600910672</v>
      </c>
      <c r="S281" s="217">
        <f t="shared" si="786"/>
        <v>16.399999999999999</v>
      </c>
      <c r="T281" s="217">
        <f t="shared" si="787"/>
        <v>2.0619213344033076</v>
      </c>
      <c r="U281" s="217">
        <f t="shared" si="788"/>
        <v>0.68876108423514915</v>
      </c>
      <c r="V281" s="217">
        <f t="shared" si="789"/>
        <v>1.4441082749291567</v>
      </c>
      <c r="W281" s="197">
        <f t="shared" si="790"/>
        <v>350</v>
      </c>
      <c r="X281" s="443">
        <f t="shared" ref="X281:X316" si="848">MIN(1/(U281+V281+0.2)*1000, 350)</f>
        <v>350</v>
      </c>
      <c r="Z281" s="217">
        <f t="shared" si="791"/>
        <v>2.7621025109991511</v>
      </c>
      <c r="AA281" s="173">
        <f t="shared" si="792"/>
        <v>1.9344943115837998</v>
      </c>
      <c r="AB281" s="173">
        <f t="shared" si="793"/>
        <v>0.83343421082594926</v>
      </c>
      <c r="AC281" s="173"/>
      <c r="AD281" s="173">
        <f t="shared" si="794"/>
        <v>0.93382694469415817</v>
      </c>
      <c r="AE281" s="545">
        <f t="shared" si="795"/>
        <v>1044.0906696254374</v>
      </c>
      <c r="AF281" s="528">
        <f t="shared" si="796"/>
        <v>0.21789295376197026</v>
      </c>
      <c r="AH281" s="173">
        <f t="shared" si="797"/>
        <v>2.3864697976798483</v>
      </c>
      <c r="AI281" s="173">
        <f t="shared" si="798"/>
        <v>2.3864697976798483</v>
      </c>
      <c r="AJ281" s="173">
        <f t="shared" si="799"/>
        <v>1.980101084701122</v>
      </c>
      <c r="AL281" s="545">
        <f t="shared" si="800"/>
        <v>650</v>
      </c>
      <c r="AM281" s="460">
        <f t="shared" si="801"/>
        <v>350</v>
      </c>
      <c r="AO281">
        <f t="shared" si="802"/>
        <v>650</v>
      </c>
      <c r="AP281">
        <f t="shared" si="803"/>
        <v>350</v>
      </c>
      <c r="AR281" s="5">
        <f t="shared" si="774"/>
        <v>2.8571428571428572</v>
      </c>
      <c r="AS281" s="5">
        <f t="shared" si="739"/>
        <v>0.79717276208312582</v>
      </c>
      <c r="AT281" s="5">
        <f t="shared" si="740"/>
        <v>2.0599700950597315</v>
      </c>
      <c r="AU281" s="173">
        <f t="shared" si="741"/>
        <v>0.27901046672909402</v>
      </c>
      <c r="BA281" s="173">
        <f t="shared" ref="BA281:BA316" si="849">AI281*SQRT(AU281/3)</f>
        <v>0.72778912675895746</v>
      </c>
      <c r="BB281" s="173">
        <f t="shared" ref="BB281:BB316" si="850">AI281*Npri_sec1*SQRT((1-AU281)/3)*(Pout/Pout_total)</f>
        <v>1.1699297779713673</v>
      </c>
      <c r="BC281" s="173">
        <f t="shared" ref="BC281:BC316" si="851">AI281*Npri_sec2*SQRT((1-AU281)/3)*(Pout2/Pout_total)</f>
        <v>0.28702724825409442</v>
      </c>
      <c r="BD281" s="173"/>
      <c r="BE281" s="528">
        <f t="shared" ref="BE281:BE315" si="852">Rdson*BA281^2</f>
        <v>1.0593540260571317E-2</v>
      </c>
      <c r="BF281" s="528">
        <f t="shared" si="804"/>
        <v>0.83094923967063772</v>
      </c>
      <c r="BG281" s="528">
        <f t="shared" si="805"/>
        <v>0.31433503586046346</v>
      </c>
      <c r="BH281" s="528">
        <f t="shared" ref="BH281:BH316" si="853">0.5*(Coss+Csw)*L281^2*AM281*1000</f>
        <v>9.8529553824279789E-2</v>
      </c>
      <c r="BI281">
        <f t="shared" ref="BI281:BI316" si="854">J281*IQ</f>
        <v>1.6165801844252408E-2</v>
      </c>
      <c r="BJ281" s="460">
        <f t="shared" ref="BJ281:BJ316" si="855">(BG281+BI281)*1000</f>
        <v>330.50083770471588</v>
      </c>
      <c r="BK281">
        <f t="shared" si="806"/>
        <v>0.94531196362793202</v>
      </c>
      <c r="BL281" s="460">
        <f t="shared" ref="BL281:BL316" si="856">SUM(BE281:BI281)*1000</f>
        <v>1270.5731714602045</v>
      </c>
      <c r="BM281" s="173">
        <f t="shared" si="807"/>
        <v>0.40381249999999996</v>
      </c>
      <c r="BN281" s="173">
        <f t="shared" si="808"/>
        <v>7.2109375000000003E-2</v>
      </c>
      <c r="BQ281" s="460">
        <f t="shared" ref="BQ281:BQ316" si="857">SUM(BM281:BP281)*1000</f>
        <v>475.92187499999994</v>
      </c>
      <c r="BR281" s="528">
        <f t="shared" ref="BR281:BR316" si="858">Rdcr_pri*BA281^2</f>
        <v>1.5890310390856976E-2</v>
      </c>
      <c r="BS281" s="528">
        <f t="shared" ref="BS281:BS316" si="859">Rdcr_sec*BB281^2</f>
        <v>4.1062070561523986E-2</v>
      </c>
      <c r="BT281" s="528">
        <f t="shared" ref="BT281:BT316" si="860">Rdcr_sec2*BC281^2</f>
        <v>4.1192320620158778E-4</v>
      </c>
      <c r="BU281" s="528">
        <f t="shared" ref="BU281:BU316" si="861">AI281^2.5*AM281^2.5*k_core</f>
        <v>1.0081611817861684</v>
      </c>
      <c r="BV281" s="528"/>
      <c r="BW281" s="625">
        <f t="shared" ref="BW281:BW316" si="862">0.5*Lleak*0.000000001*AI281^2*AM281*1000</f>
        <v>9.9666666666666688E-3</v>
      </c>
      <c r="BX281" s="460">
        <f t="shared" ref="BX281:BX316" si="863">SUM(BR281:BW281)*1000</f>
        <v>1075.4921526114176</v>
      </c>
      <c r="BY281" s="173">
        <f t="shared" ref="BY281:BY315" si="864">SUM(BE281:BI281,BM281:BP281,BR281:BW281)</f>
        <v>2.8219871990716219</v>
      </c>
      <c r="BZ281" s="5">
        <f t="shared" ref="BZ281:BZ316" si="865">MIN(H281+I281,O281+P281)</f>
        <v>11.96</v>
      </c>
      <c r="CA281" s="173">
        <f t="shared" ref="CA281:CA316" si="866">BZ281/(BZ281+BY281)</f>
        <v>0.80909283974695534</v>
      </c>
      <c r="CB281" s="5">
        <f t="shared" ref="CB281:CB316" si="867">CA281*100</f>
        <v>80.909283974695541</v>
      </c>
      <c r="CC281">
        <f t="shared" ref="CC281:CC316" si="868">F281/Iout*100</f>
        <v>65</v>
      </c>
      <c r="CE281" s="562">
        <f t="shared" si="809"/>
        <v>-50</v>
      </c>
      <c r="CG281" s="173">
        <f t="shared" si="810"/>
        <v>0.57699811894692754</v>
      </c>
      <c r="CH281" s="173">
        <f t="shared" si="811"/>
        <v>0.20532609496461351</v>
      </c>
      <c r="CI281" s="170">
        <v>65</v>
      </c>
      <c r="CJ281" s="217">
        <f t="shared" ref="CJ281:CJ316" si="869">IF(PLOT_TYPE=1, CI281/100*Iout_max, min_I*EXP(CS281*rr/100))</f>
        <v>0.65</v>
      </c>
      <c r="CK281" s="217">
        <f t="shared" si="812"/>
        <v>0.16250000000000001</v>
      </c>
      <c r="CL281" s="217">
        <f t="shared" si="813"/>
        <v>10.66</v>
      </c>
      <c r="CM281" s="217">
        <f t="shared" si="814"/>
        <v>1.3</v>
      </c>
      <c r="CN281" s="541">
        <f t="shared" si="815"/>
        <v>36</v>
      </c>
      <c r="CO281" s="443">
        <f t="shared" si="816"/>
        <v>17.099999999999998</v>
      </c>
      <c r="CP281" s="443">
        <f t="shared" si="817"/>
        <v>53.099999999999994</v>
      </c>
      <c r="CQ281" s="443"/>
      <c r="CR281" s="217">
        <f t="shared" si="818"/>
        <v>0.31818181818181812</v>
      </c>
      <c r="CS281" s="172">
        <f t="shared" si="819"/>
        <v>34.031620553359687</v>
      </c>
      <c r="CT281" s="172">
        <f t="shared" si="820"/>
        <v>4.6563192904656319</v>
      </c>
      <c r="CU281" s="217">
        <f t="shared" si="821"/>
        <v>2.0750988142292495</v>
      </c>
      <c r="CV281" s="217">
        <f t="shared" si="822"/>
        <v>4.2539525691699609</v>
      </c>
      <c r="CW281" s="217">
        <f t="shared" si="823"/>
        <v>16.399999999999999</v>
      </c>
      <c r="CX281" s="217">
        <f t="shared" si="824"/>
        <v>2.0882539682539685</v>
      </c>
      <c r="CY281" s="217">
        <f t="shared" si="825"/>
        <v>0.69608465608465619</v>
      </c>
      <c r="CZ281" s="217">
        <f t="shared" si="826"/>
        <v>1.4654413812308553</v>
      </c>
      <c r="DA281" s="197">
        <f t="shared" si="827"/>
        <v>350</v>
      </c>
      <c r="DB281" s="443">
        <f t="shared" si="828"/>
        <v>350</v>
      </c>
      <c r="DD281" s="217">
        <f t="shared" si="829"/>
        <v>2.7602905569007259</v>
      </c>
      <c r="DE281" s="173">
        <f t="shared" si="830"/>
        <v>1.937046004842615</v>
      </c>
      <c r="DF281" s="173">
        <f t="shared" si="831"/>
        <v>0.83398609309454497</v>
      </c>
      <c r="DG281" s="173"/>
      <c r="DH281" s="173">
        <f t="shared" si="832"/>
        <v>0.93567251461988332</v>
      </c>
      <c r="DI281" s="545">
        <f t="shared" si="833"/>
        <v>1042.0312499999995</v>
      </c>
      <c r="DJ281" s="528">
        <f t="shared" si="834"/>
        <v>0.21832358674463945</v>
      </c>
      <c r="DL281" s="173">
        <f t="shared" si="835"/>
        <v>2.3864697976798483</v>
      </c>
      <c r="DM281" s="173">
        <f t="shared" si="836"/>
        <v>2.3864697976798483</v>
      </c>
      <c r="DN281" s="173">
        <f t="shared" si="837"/>
        <v>1.980101084701122</v>
      </c>
      <c r="DP281" s="545">
        <f t="shared" si="838"/>
        <v>650</v>
      </c>
      <c r="DQ281" s="460">
        <f t="shared" si="839"/>
        <v>350</v>
      </c>
      <c r="DS281">
        <f t="shared" si="840"/>
        <v>650</v>
      </c>
      <c r="DT281">
        <f t="shared" si="841"/>
        <v>350</v>
      </c>
      <c r="DV281" s="5">
        <f t="shared" ref="DV281:DV316" si="870">1/DQ281*1000</f>
        <v>2.8571428571428572</v>
      </c>
      <c r="DW281" s="5">
        <f t="shared" si="842"/>
        <v>0.79548993255994949</v>
      </c>
      <c r="DX281" s="5">
        <f t="shared" si="843"/>
        <v>2.0616529245829076</v>
      </c>
      <c r="DY281" s="173">
        <f t="shared" si="844"/>
        <v>0.2784214763959823</v>
      </c>
      <c r="EA281" s="5">
        <f t="shared" ref="EA281:EA316" si="871">CJ281*DW281/Vout_ripple*1000</f>
        <v>3.1528564400241912</v>
      </c>
      <c r="EB281" s="5">
        <f t="shared" ref="EB281:EB316" si="872">CK281*DW281/Vout_ripple2*1000</f>
        <v>1.6158389255123977</v>
      </c>
      <c r="EC281" s="5">
        <f t="shared" ref="EC281:EC316" si="873">CL281/Efficiency/CN281*DX281/Vinripple1</f>
        <v>0.50873194851976367</v>
      </c>
      <c r="ED281" s="5"/>
      <c r="EE281" s="173">
        <f t="shared" ref="EE281:EE316" si="874">DM281*SQRT(DY281/3)</f>
        <v>0.72702054049452014</v>
      </c>
      <c r="EF281" s="173">
        <f t="shared" ref="EF281:EF316" si="875">DM281*Npri_sec1*SQRT((1-DY281)/3)*(Pout/Pout_total)</f>
        <v>1.1704075495791006</v>
      </c>
      <c r="EG281" s="173">
        <f t="shared" ref="EG281:EG316" si="876">DM281*Npri_sec2*SQRT((1-DY281)/3)*(Pout2/Pout_total)</f>
        <v>0.28714446338310784</v>
      </c>
      <c r="EH281" s="173"/>
      <c r="EI281" s="528">
        <f t="shared" ref="EI281:EI316" si="877">Rdson*EE281^2</f>
        <v>1.0571177326018883E-2</v>
      </c>
      <c r="EJ281" s="528">
        <f t="shared" ref="EJ281:EJ316" si="878">0.5*CP281*DM281*DQ281*1000*Trise</f>
        <v>0.88705082379759959</v>
      </c>
      <c r="EK281" s="528">
        <f t="shared" ref="EK281:EK316" si="879">Qg*Vdd*DQ281*1000</f>
        <v>4.3749999999999997E-2</v>
      </c>
      <c r="EL281" s="528">
        <f t="shared" ref="EL281:EL316" si="880">0.5*(Coss+Csw)*CP281^2*DQ281*1000</f>
        <v>9.8686349999999978E-2</v>
      </c>
      <c r="EM281">
        <f t="shared" ref="EM281:EM316" si="881">CN281*IQ</f>
        <v>1.6199999999999999E-2</v>
      </c>
      <c r="EN281" s="460">
        <f t="shared" ref="EN281:EN316" si="882">(EK281+EM281)*1000</f>
        <v>59.949999999999996</v>
      </c>
      <c r="EP281" s="460">
        <f t="shared" ref="EP281:EP316" si="883">SUM(EI281:EM281)*1000</f>
        <v>1056.2583511236182</v>
      </c>
      <c r="EQ281" s="173">
        <f t="shared" ref="EQ281:EQ316" si="884">Vfwd2*CJ281</f>
        <v>0.45499999999999996</v>
      </c>
      <c r="ER281" s="173">
        <f t="shared" si="845"/>
        <v>7.2109375000000003E-2</v>
      </c>
      <c r="ES281" s="528"/>
      <c r="EU281" s="460">
        <f t="shared" ref="EU281:EU316" si="885">SUM(EQ281:ET281)*1000</f>
        <v>527.109375</v>
      </c>
      <c r="EV281" s="528">
        <f t="shared" ref="EV281:EV316" si="886">Rdcr_pri*EE281^2</f>
        <v>1.5856765989028326E-2</v>
      </c>
      <c r="EW281" s="528">
        <f t="shared" ref="EW281:EW316" si="887">Rdcr_sec*EF281^2</f>
        <v>4.109561496335265E-2</v>
      </c>
      <c r="EX281" s="528">
        <f t="shared" ref="EX281:EX316" si="888">Rdcr_sec2*EG281^2</f>
        <v>4.1225971425786482E-4</v>
      </c>
      <c r="EY281" s="528">
        <f t="shared" ref="EY281:EY316" si="889">DM281^2.5*DQ281^2.5*k_core</f>
        <v>1.0081611817861684</v>
      </c>
      <c r="EZ281" s="528"/>
      <c r="FA281" s="625">
        <f t="shared" ref="FA281:FA316" si="890">0.5*Lleak*0.000000001*DM281^2*DQ281*1000</f>
        <v>9.9666666666666688E-3</v>
      </c>
      <c r="FB281" s="460">
        <f t="shared" ref="FB281:FB316" si="891">SUM(EV281:FA281)*1000</f>
        <v>1075.4924891194739</v>
      </c>
      <c r="FC281" s="173">
        <f t="shared" ref="FC281:FC316" si="892">SUM(EI281:EM281,EQ281:ET281,EV281:FA281)</f>
        <v>2.658860215243092</v>
      </c>
      <c r="FD281" s="5">
        <f t="shared" ref="FD281:FD316" si="893">MIN(CL281+CM281,CS281+CT281)</f>
        <v>11.96</v>
      </c>
      <c r="FE281" s="173">
        <f t="shared" ref="FE281:FE316" si="894">FD281/(FD281+FC281)</f>
        <v>0.81812123680677262</v>
      </c>
      <c r="FF281" s="5">
        <f t="shared" ref="FF281:FF316" si="895">FE281*100</f>
        <v>81.81212368067726</v>
      </c>
      <c r="FG281">
        <f t="shared" ref="FG281:FG316" si="896">CJ281/Iout*100</f>
        <v>65</v>
      </c>
      <c r="FI281" s="562">
        <f t="shared" si="846"/>
        <v>-50</v>
      </c>
    </row>
    <row r="282" spans="5:165">
      <c r="E282" s="170">
        <v>66</v>
      </c>
      <c r="F282" s="217">
        <f t="shared" si="847"/>
        <v>0.66</v>
      </c>
      <c r="G282" s="217">
        <f t="shared" si="775"/>
        <v>0.16500000000000001</v>
      </c>
      <c r="H282" s="217">
        <f t="shared" si="776"/>
        <v>10.824</v>
      </c>
      <c r="I282" s="217">
        <f t="shared" si="777"/>
        <v>1.32</v>
      </c>
      <c r="J282" s="541">
        <f t="shared" si="778"/>
        <v>35.923421745748357</v>
      </c>
      <c r="K282" s="443">
        <f t="shared" si="779"/>
        <v>17.134054578043401</v>
      </c>
      <c r="L282" s="172">
        <f t="shared" si="780"/>
        <v>53.057476323791761</v>
      </c>
      <c r="M282" s="443"/>
      <c r="N282" s="217">
        <f t="shared" si="781"/>
        <v>0.32293384015251847</v>
      </c>
      <c r="O282" s="172">
        <f t="shared" si="782"/>
        <v>34.466407968600961</v>
      </c>
      <c r="P282" s="172">
        <f t="shared" si="783"/>
        <v>4.715808347875206</v>
      </c>
      <c r="Q282" s="217">
        <f t="shared" si="784"/>
        <v>2.1016102419878635</v>
      </c>
      <c r="R282" s="217">
        <f t="shared" si="785"/>
        <v>4.3083009960751202</v>
      </c>
      <c r="S282" s="217">
        <f t="shared" si="786"/>
        <v>16.399999999999999</v>
      </c>
      <c r="T282" s="217">
        <f t="shared" si="787"/>
        <v>2.0936327355533555</v>
      </c>
      <c r="U282" s="217">
        <f t="shared" si="788"/>
        <v>0.69936524990450599</v>
      </c>
      <c r="V282" s="217">
        <f t="shared" si="789"/>
        <v>1.4662958327934321</v>
      </c>
      <c r="W282" s="197">
        <f t="shared" si="790"/>
        <v>350</v>
      </c>
      <c r="X282" s="443">
        <f t="shared" si="848"/>
        <v>350</v>
      </c>
      <c r="Z282" s="217">
        <f t="shared" si="791"/>
        <v>2.7621163180411918</v>
      </c>
      <c r="AA282" s="173">
        <f t="shared" si="792"/>
        <v>1.934474742421376</v>
      </c>
      <c r="AB282" s="173">
        <f t="shared" si="793"/>
        <v>0.83342994596561748</v>
      </c>
      <c r="AC282" s="173"/>
      <c r="AD282" s="173">
        <f t="shared" si="794"/>
        <v>0.93381283029781847</v>
      </c>
      <c r="AE282" s="545">
        <f t="shared" si="795"/>
        <v>1060.1696270164352</v>
      </c>
      <c r="AF282" s="528">
        <f t="shared" si="796"/>
        <v>0.21788966040282434</v>
      </c>
      <c r="AH282" s="173">
        <f t="shared" si="797"/>
        <v>2.404757190000093</v>
      </c>
      <c r="AI282" s="173">
        <f t="shared" si="798"/>
        <v>2.404757190000093</v>
      </c>
      <c r="AJ282" s="173">
        <f t="shared" si="799"/>
        <v>1.9936473012346365</v>
      </c>
      <c r="AL282" s="545">
        <f t="shared" si="800"/>
        <v>660</v>
      </c>
      <c r="AM282" s="460">
        <f t="shared" si="801"/>
        <v>350</v>
      </c>
      <c r="AO282">
        <f t="shared" si="802"/>
        <v>660</v>
      </c>
      <c r="AP282">
        <f t="shared" si="803"/>
        <v>350</v>
      </c>
      <c r="AR282" s="5">
        <f t="shared" si="774"/>
        <v>2.8571428571428572</v>
      </c>
      <c r="AS282" s="5">
        <f t="shared" si="739"/>
        <v>0.80329447690813127</v>
      </c>
      <c r="AT282" s="5">
        <f t="shared" si="740"/>
        <v>2.0538483802347258</v>
      </c>
      <c r="AU282" s="173">
        <f t="shared" si="741"/>
        <v>0.28115306691784592</v>
      </c>
      <c r="BA282" s="173">
        <f t="shared" si="849"/>
        <v>0.7361766140589856</v>
      </c>
      <c r="BB282" s="173">
        <f t="shared" si="850"/>
        <v>1.1771418948162942</v>
      </c>
      <c r="BC282" s="173">
        <f t="shared" si="851"/>
        <v>0.28879664851303627</v>
      </c>
      <c r="BD282" s="173"/>
      <c r="BE282" s="528">
        <f t="shared" si="852"/>
        <v>1.0839120141747052E-2</v>
      </c>
      <c r="BF282" s="528">
        <f t="shared" si="804"/>
        <v>0.83731165660339268</v>
      </c>
      <c r="BG282" s="528">
        <f t="shared" si="805"/>
        <v>0.31432994027529809</v>
      </c>
      <c r="BH282" s="528">
        <f t="shared" si="853"/>
        <v>9.8528352784740314E-2</v>
      </c>
      <c r="BI282">
        <f t="shared" si="854"/>
        <v>1.6165539785586758E-2</v>
      </c>
      <c r="BJ282" s="460">
        <f t="shared" si="855"/>
        <v>330.49548006088486</v>
      </c>
      <c r="BK282">
        <f t="shared" si="806"/>
        <v>0.95205759725095518</v>
      </c>
      <c r="BL282" s="460">
        <f t="shared" si="856"/>
        <v>1277.1746095907647</v>
      </c>
      <c r="BM282" s="173">
        <f t="shared" si="807"/>
        <v>0.41002499999999997</v>
      </c>
      <c r="BN282" s="173">
        <f t="shared" si="808"/>
        <v>7.3218749999999999E-2</v>
      </c>
      <c r="BQ282" s="460">
        <f t="shared" si="857"/>
        <v>483.24374999999998</v>
      </c>
      <c r="BR282" s="528">
        <f t="shared" si="858"/>
        <v>1.6258680212620578E-2</v>
      </c>
      <c r="BS282" s="528">
        <f t="shared" si="859"/>
        <v>4.1569891215950859E-2</v>
      </c>
      <c r="BT282" s="528">
        <f t="shared" si="860"/>
        <v>4.1701752096181107E-4</v>
      </c>
      <c r="BU282" s="528">
        <f t="shared" si="861"/>
        <v>1.0275860384447371</v>
      </c>
      <c r="BV282" s="528"/>
      <c r="BW282" s="625">
        <f t="shared" si="862"/>
        <v>1.0120000000000001E-2</v>
      </c>
      <c r="BX282" s="460">
        <f t="shared" si="863"/>
        <v>1095.9516273942702</v>
      </c>
      <c r="BY282" s="173">
        <f t="shared" si="864"/>
        <v>2.8563699869850354</v>
      </c>
      <c r="BZ282" s="5">
        <f t="shared" si="865"/>
        <v>12.144</v>
      </c>
      <c r="CA282" s="173">
        <f t="shared" si="866"/>
        <v>0.80958003106167753</v>
      </c>
      <c r="CB282" s="5">
        <f t="shared" si="867"/>
        <v>80.958003106167752</v>
      </c>
      <c r="CC282">
        <f t="shared" si="868"/>
        <v>66</v>
      </c>
      <c r="CE282" s="562">
        <f t="shared" si="809"/>
        <v>-50</v>
      </c>
      <c r="CG282" s="173">
        <f t="shared" si="810"/>
        <v>0.58141962513128587</v>
      </c>
      <c r="CH282" s="173">
        <f t="shared" si="811"/>
        <v>0.20689949801201526</v>
      </c>
      <c r="CI282" s="170">
        <v>66</v>
      </c>
      <c r="CJ282" s="217">
        <f t="shared" si="869"/>
        <v>0.66</v>
      </c>
      <c r="CK282" s="217">
        <f t="shared" si="812"/>
        <v>0.16500000000000001</v>
      </c>
      <c r="CL282" s="217">
        <f t="shared" si="813"/>
        <v>10.824</v>
      </c>
      <c r="CM282" s="217">
        <f t="shared" si="814"/>
        <v>1.32</v>
      </c>
      <c r="CN282" s="541">
        <f t="shared" si="815"/>
        <v>36</v>
      </c>
      <c r="CO282" s="443">
        <f t="shared" si="816"/>
        <v>17.099999999999998</v>
      </c>
      <c r="CP282" s="443">
        <f t="shared" si="817"/>
        <v>53.099999999999994</v>
      </c>
      <c r="CQ282" s="443"/>
      <c r="CR282" s="217">
        <f t="shared" si="818"/>
        <v>0.31818181818181812</v>
      </c>
      <c r="CS282" s="172">
        <f t="shared" si="819"/>
        <v>34.031620553359687</v>
      </c>
      <c r="CT282" s="172">
        <f t="shared" si="820"/>
        <v>4.6563192904656319</v>
      </c>
      <c r="CU282" s="217">
        <f t="shared" si="821"/>
        <v>2.0750988142292495</v>
      </c>
      <c r="CV282" s="217">
        <f t="shared" si="822"/>
        <v>4.2539525691699609</v>
      </c>
      <c r="CW282" s="217">
        <f t="shared" si="823"/>
        <v>16.399999999999999</v>
      </c>
      <c r="CX282" s="217">
        <f t="shared" si="824"/>
        <v>2.1203809523809527</v>
      </c>
      <c r="CY282" s="217">
        <f t="shared" si="825"/>
        <v>0.70679365079365086</v>
      </c>
      <c r="CZ282" s="217">
        <f t="shared" si="826"/>
        <v>1.4879866332497915</v>
      </c>
      <c r="DA282" s="197">
        <f t="shared" si="827"/>
        <v>350</v>
      </c>
      <c r="DB282" s="443">
        <f t="shared" si="828"/>
        <v>350</v>
      </c>
      <c r="DD282" s="217">
        <f t="shared" si="829"/>
        <v>2.7602905569007259</v>
      </c>
      <c r="DE282" s="173">
        <f t="shared" si="830"/>
        <v>1.937046004842615</v>
      </c>
      <c r="DF282" s="173">
        <f t="shared" si="831"/>
        <v>0.83398609309454497</v>
      </c>
      <c r="DG282" s="173"/>
      <c r="DH282" s="173">
        <f t="shared" si="832"/>
        <v>0.93567251461988332</v>
      </c>
      <c r="DI282" s="545">
        <f t="shared" si="833"/>
        <v>1058.0624999999995</v>
      </c>
      <c r="DJ282" s="528">
        <f t="shared" si="834"/>
        <v>0.21832358674463945</v>
      </c>
      <c r="DL282" s="173">
        <f t="shared" si="835"/>
        <v>2.404757190000093</v>
      </c>
      <c r="DM282" s="173">
        <f t="shared" si="836"/>
        <v>2.404757190000093</v>
      </c>
      <c r="DN282" s="173">
        <f t="shared" si="837"/>
        <v>1.9936473012346365</v>
      </c>
      <c r="DP282" s="545">
        <f t="shared" si="838"/>
        <v>660</v>
      </c>
      <c r="DQ282" s="460">
        <f t="shared" si="839"/>
        <v>350</v>
      </c>
      <c r="DS282">
        <f t="shared" si="840"/>
        <v>660</v>
      </c>
      <c r="DT282">
        <f t="shared" si="841"/>
        <v>350</v>
      </c>
      <c r="DV282" s="5">
        <f t="shared" si="870"/>
        <v>2.8571428571428572</v>
      </c>
      <c r="DW282" s="5">
        <f t="shared" si="842"/>
        <v>0.80158573000003097</v>
      </c>
      <c r="DX282" s="5">
        <f t="shared" si="843"/>
        <v>2.0555571271428263</v>
      </c>
      <c r="DY282" s="173">
        <f t="shared" si="844"/>
        <v>0.28055500550001083</v>
      </c>
      <c r="EA282" s="5">
        <f t="shared" si="871"/>
        <v>3.2258937914635402</v>
      </c>
      <c r="EB282" s="5">
        <f t="shared" si="872"/>
        <v>1.6532705681250639</v>
      </c>
      <c r="EC282" s="5">
        <f t="shared" si="873"/>
        <v>0.51503125796745242</v>
      </c>
      <c r="ED282" s="5"/>
      <c r="EE282" s="173">
        <f t="shared" si="874"/>
        <v>0.73539320945103082</v>
      </c>
      <c r="EF282" s="173">
        <f t="shared" si="875"/>
        <v>1.1776314682923348</v>
      </c>
      <c r="EG282" s="173">
        <f t="shared" si="876"/>
        <v>0.28891675907889419</v>
      </c>
      <c r="EH282" s="173"/>
      <c r="EI282" s="528">
        <f t="shared" si="877"/>
        <v>1.0816063450133752E-2</v>
      </c>
      <c r="EJ282" s="528">
        <f t="shared" si="878"/>
        <v>0.89384824752303449</v>
      </c>
      <c r="EK282" s="528">
        <f t="shared" si="879"/>
        <v>4.3749999999999997E-2</v>
      </c>
      <c r="EL282" s="528">
        <f t="shared" si="880"/>
        <v>9.8686349999999978E-2</v>
      </c>
      <c r="EM282">
        <f t="shared" si="881"/>
        <v>1.6199999999999999E-2</v>
      </c>
      <c r="EN282" s="460">
        <f t="shared" si="882"/>
        <v>59.949999999999996</v>
      </c>
      <c r="EP282" s="460">
        <f t="shared" si="883"/>
        <v>1063.3006609731681</v>
      </c>
      <c r="EQ282" s="173">
        <f t="shared" si="884"/>
        <v>0.46199999999999997</v>
      </c>
      <c r="ER282" s="173">
        <f t="shared" si="845"/>
        <v>7.3218749999999999E-2</v>
      </c>
      <c r="ES282" s="528"/>
      <c r="EU282" s="460">
        <f t="shared" si="885"/>
        <v>535.21875</v>
      </c>
      <c r="EV282" s="528">
        <f t="shared" si="886"/>
        <v>1.6224095175200629E-2</v>
      </c>
      <c r="EW282" s="528">
        <f t="shared" si="887"/>
        <v>4.1604476253370805E-2</v>
      </c>
      <c r="EX282" s="528">
        <f t="shared" si="888"/>
        <v>4.1736446838325892E-4</v>
      </c>
      <c r="EY282" s="528">
        <f t="shared" si="889"/>
        <v>1.0275860384447371</v>
      </c>
      <c r="EZ282" s="528"/>
      <c r="FA282" s="625">
        <f t="shared" si="890"/>
        <v>1.0120000000000001E-2</v>
      </c>
      <c r="FB282" s="460">
        <f t="shared" si="891"/>
        <v>1095.9519743416918</v>
      </c>
      <c r="FC282" s="173">
        <f t="shared" si="892"/>
        <v>2.6944713853148596</v>
      </c>
      <c r="FD282" s="5">
        <f t="shared" si="893"/>
        <v>12.144</v>
      </c>
      <c r="FE282" s="173">
        <f t="shared" si="894"/>
        <v>0.81841314274585675</v>
      </c>
      <c r="FF282" s="5">
        <f t="shared" si="895"/>
        <v>81.84131427458567</v>
      </c>
      <c r="FG282">
        <f t="shared" si="896"/>
        <v>66</v>
      </c>
      <c r="FI282" s="562">
        <f t="shared" si="846"/>
        <v>-50</v>
      </c>
    </row>
    <row r="283" spans="5:165">
      <c r="E283" s="170">
        <v>67</v>
      </c>
      <c r="F283" s="217">
        <f t="shared" si="847"/>
        <v>0.67</v>
      </c>
      <c r="G283" s="217">
        <f t="shared" si="775"/>
        <v>0.16750000000000001</v>
      </c>
      <c r="H283" s="217">
        <f t="shared" si="776"/>
        <v>10.988</v>
      </c>
      <c r="I283" s="217">
        <f t="shared" si="777"/>
        <v>1.34</v>
      </c>
      <c r="J283" s="541">
        <f t="shared" si="778"/>
        <v>35.922843788460412</v>
      </c>
      <c r="K283" s="443">
        <f t="shared" si="779"/>
        <v>17.134311597372982</v>
      </c>
      <c r="L283" s="172">
        <f t="shared" si="780"/>
        <v>53.057155385833397</v>
      </c>
      <c r="M283" s="443"/>
      <c r="N283" s="217">
        <f t="shared" si="781"/>
        <v>0.32294063774757048</v>
      </c>
      <c r="O283" s="172">
        <f t="shared" si="782"/>
        <v>34.466578941508835</v>
      </c>
      <c r="P283" s="172">
        <f t="shared" si="783"/>
        <v>4.7158317409559984</v>
      </c>
      <c r="Q283" s="217">
        <f t="shared" si="784"/>
        <v>2.1016206671651729</v>
      </c>
      <c r="R283" s="217">
        <f t="shared" si="785"/>
        <v>4.3083223676886044</v>
      </c>
      <c r="S283" s="217">
        <f t="shared" si="786"/>
        <v>16.399999999999999</v>
      </c>
      <c r="T283" s="217">
        <f t="shared" si="787"/>
        <v>2.1253439007580983</v>
      </c>
      <c r="U283" s="217">
        <f t="shared" si="788"/>
        <v>0.70996959370154145</v>
      </c>
      <c r="V283" s="217">
        <f t="shared" si="789"/>
        <v>1.4884827245121099</v>
      </c>
      <c r="W283" s="197">
        <f t="shared" si="790"/>
        <v>350</v>
      </c>
      <c r="X283" s="443">
        <f t="shared" si="848"/>
        <v>350</v>
      </c>
      <c r="Z283" s="217">
        <f t="shared" si="791"/>
        <v>2.7621300197027994</v>
      </c>
      <c r="AA283" s="173">
        <f t="shared" si="792"/>
        <v>1.9344553207212274</v>
      </c>
      <c r="AB283" s="173">
        <f t="shared" si="793"/>
        <v>0.83342571275574995</v>
      </c>
      <c r="AC283" s="173"/>
      <c r="AD283" s="173">
        <f t="shared" si="794"/>
        <v>0.93379882285163474</v>
      </c>
      <c r="AE283" s="545">
        <f t="shared" si="795"/>
        <v>1076.2489472099901</v>
      </c>
      <c r="AF283" s="528">
        <f t="shared" si="796"/>
        <v>0.21788639199871476</v>
      </c>
      <c r="AH283" s="173">
        <f t="shared" si="797"/>
        <v>2.422906558346027</v>
      </c>
      <c r="AI283" s="173">
        <f t="shared" si="798"/>
        <v>2.422906558346027</v>
      </c>
      <c r="AJ283" s="173">
        <f t="shared" si="799"/>
        <v>2.0070912777871803</v>
      </c>
      <c r="AL283" s="545">
        <f t="shared" si="800"/>
        <v>670</v>
      </c>
      <c r="AM283" s="460">
        <f t="shared" si="801"/>
        <v>350</v>
      </c>
      <c r="AO283">
        <f t="shared" si="802"/>
        <v>670</v>
      </c>
      <c r="AP283">
        <f t="shared" si="803"/>
        <v>350</v>
      </c>
      <c r="AR283" s="5">
        <f t="shared" si="774"/>
        <v>2.8571428571428572</v>
      </c>
      <c r="AS283" s="5">
        <f t="shared" si="739"/>
        <v>0.80937018436976094</v>
      </c>
      <c r="AT283" s="5">
        <f t="shared" si="740"/>
        <v>2.047772672773096</v>
      </c>
      <c r="AU283" s="173">
        <f t="shared" si="741"/>
        <v>0.28327956452941633</v>
      </c>
      <c r="BA283" s="173">
        <f t="shared" si="849"/>
        <v>0.74453250182433306</v>
      </c>
      <c r="BB283" s="173">
        <f t="shared" si="850"/>
        <v>1.1842705563141371</v>
      </c>
      <c r="BC283" s="173">
        <f t="shared" si="851"/>
        <v>0.29054557407420001</v>
      </c>
      <c r="BD283" s="173"/>
      <c r="BE283" s="528">
        <f t="shared" si="852"/>
        <v>1.1086572925456012E-2</v>
      </c>
      <c r="BF283" s="528">
        <f t="shared" si="804"/>
        <v>0.84362597649434956</v>
      </c>
      <c r="BG283" s="528">
        <f t="shared" si="805"/>
        <v>0.31432488314902857</v>
      </c>
      <c r="BH283" s="528">
        <f t="shared" si="853"/>
        <v>9.852716081727643E-2</v>
      </c>
      <c r="BI283">
        <f t="shared" si="854"/>
        <v>1.6165279704807186E-2</v>
      </c>
      <c r="BJ283" s="460">
        <f t="shared" si="855"/>
        <v>330.49016285383578</v>
      </c>
      <c r="BK283">
        <f t="shared" si="806"/>
        <v>0.95875861785369032</v>
      </c>
      <c r="BL283" s="460">
        <f t="shared" si="856"/>
        <v>1283.7298730909176</v>
      </c>
      <c r="BM283" s="173">
        <f t="shared" si="807"/>
        <v>0.41623749999999993</v>
      </c>
      <c r="BN283" s="173">
        <f t="shared" si="808"/>
        <v>7.4328124999999995E-2</v>
      </c>
      <c r="BQ283" s="460">
        <f t="shared" si="857"/>
        <v>490.5656249999999</v>
      </c>
      <c r="BR283" s="528">
        <f t="shared" si="858"/>
        <v>1.6629859388184016E-2</v>
      </c>
      <c r="BS283" s="528">
        <f t="shared" si="859"/>
        <v>4.2074902516577875E-2</v>
      </c>
      <c r="BT283" s="528">
        <f t="shared" si="860"/>
        <v>4.2208365307053224E-4</v>
      </c>
      <c r="BU283" s="528">
        <f t="shared" si="861"/>
        <v>1.0470846161089715</v>
      </c>
      <c r="BV283" s="528"/>
      <c r="BW283" s="625">
        <f t="shared" si="862"/>
        <v>1.0273333333333332E-2</v>
      </c>
      <c r="BX283" s="460">
        <f t="shared" si="863"/>
        <v>1116.4847950001374</v>
      </c>
      <c r="BY283" s="173">
        <f t="shared" si="864"/>
        <v>2.8907802930910549</v>
      </c>
      <c r="BZ283" s="5">
        <f t="shared" si="865"/>
        <v>12.327999999999999</v>
      </c>
      <c r="CA283" s="173">
        <f t="shared" si="866"/>
        <v>0.81005177567328457</v>
      </c>
      <c r="CB283" s="5">
        <f t="shared" si="867"/>
        <v>81.00517756732846</v>
      </c>
      <c r="CC283">
        <f t="shared" si="868"/>
        <v>67</v>
      </c>
      <c r="CE283" s="562">
        <f t="shared" si="809"/>
        <v>-50</v>
      </c>
      <c r="CG283" s="173">
        <f t="shared" si="810"/>
        <v>0.58580776002654411</v>
      </c>
      <c r="CH283" s="173">
        <f t="shared" si="811"/>
        <v>0.2084610258101747</v>
      </c>
      <c r="CI283" s="170">
        <v>67</v>
      </c>
      <c r="CJ283" s="217">
        <f t="shared" si="869"/>
        <v>0.67</v>
      </c>
      <c r="CK283" s="217">
        <f t="shared" si="812"/>
        <v>0.16750000000000001</v>
      </c>
      <c r="CL283" s="217">
        <f t="shared" si="813"/>
        <v>10.988</v>
      </c>
      <c r="CM283" s="217">
        <f t="shared" si="814"/>
        <v>1.34</v>
      </c>
      <c r="CN283" s="541">
        <f t="shared" si="815"/>
        <v>36</v>
      </c>
      <c r="CO283" s="443">
        <f t="shared" si="816"/>
        <v>17.099999999999998</v>
      </c>
      <c r="CP283" s="443">
        <f t="shared" si="817"/>
        <v>53.099999999999994</v>
      </c>
      <c r="CQ283" s="443"/>
      <c r="CR283" s="217">
        <f t="shared" si="818"/>
        <v>0.31818181818181812</v>
      </c>
      <c r="CS283" s="172">
        <f t="shared" si="819"/>
        <v>34.031620553359687</v>
      </c>
      <c r="CT283" s="172">
        <f t="shared" si="820"/>
        <v>4.6563192904656319</v>
      </c>
      <c r="CU283" s="217">
        <f t="shared" si="821"/>
        <v>2.0750988142292495</v>
      </c>
      <c r="CV283" s="217">
        <f t="shared" si="822"/>
        <v>4.2539525691699609</v>
      </c>
      <c r="CW283" s="217">
        <f t="shared" si="823"/>
        <v>16.399999999999999</v>
      </c>
      <c r="CX283" s="217">
        <f t="shared" si="824"/>
        <v>2.1525079365079365</v>
      </c>
      <c r="CY283" s="217">
        <f t="shared" si="825"/>
        <v>0.71750264550264553</v>
      </c>
      <c r="CZ283" s="217">
        <f t="shared" si="826"/>
        <v>1.5105318852687275</v>
      </c>
      <c r="DA283" s="197">
        <f t="shared" si="827"/>
        <v>350</v>
      </c>
      <c r="DB283" s="443">
        <f t="shared" si="828"/>
        <v>350</v>
      </c>
      <c r="DD283" s="217">
        <f t="shared" si="829"/>
        <v>2.7602905569007259</v>
      </c>
      <c r="DE283" s="173">
        <f t="shared" si="830"/>
        <v>1.937046004842615</v>
      </c>
      <c r="DF283" s="173">
        <f t="shared" si="831"/>
        <v>0.83398609309454497</v>
      </c>
      <c r="DG283" s="173"/>
      <c r="DH283" s="173">
        <f t="shared" si="832"/>
        <v>0.93567251461988332</v>
      </c>
      <c r="DI283" s="545">
        <f t="shared" si="833"/>
        <v>1074.0937499999995</v>
      </c>
      <c r="DJ283" s="528">
        <f t="shared" si="834"/>
        <v>0.21832358674463945</v>
      </c>
      <c r="DL283" s="173">
        <f t="shared" si="835"/>
        <v>2.422906558346027</v>
      </c>
      <c r="DM283" s="173">
        <f t="shared" si="836"/>
        <v>2.422906558346027</v>
      </c>
      <c r="DN283" s="173">
        <f t="shared" si="837"/>
        <v>2.0070912777871803</v>
      </c>
      <c r="DP283" s="545">
        <f t="shared" si="838"/>
        <v>670</v>
      </c>
      <c r="DQ283" s="460">
        <f t="shared" si="839"/>
        <v>350</v>
      </c>
      <c r="DS283">
        <f t="shared" si="840"/>
        <v>670</v>
      </c>
      <c r="DT283">
        <f t="shared" si="841"/>
        <v>350</v>
      </c>
      <c r="DV283" s="5">
        <f t="shared" si="870"/>
        <v>2.8571428571428572</v>
      </c>
      <c r="DW283" s="5">
        <f t="shared" si="842"/>
        <v>0.80763551944867573</v>
      </c>
      <c r="DX283" s="5">
        <f t="shared" si="843"/>
        <v>2.0495073376941813</v>
      </c>
      <c r="DY283" s="173">
        <f t="shared" si="844"/>
        <v>0.28267243180703649</v>
      </c>
      <c r="EA283" s="5">
        <f t="shared" si="871"/>
        <v>3.2994865733573957</v>
      </c>
      <c r="EB283" s="5">
        <f t="shared" si="872"/>
        <v>1.6909868688456651</v>
      </c>
      <c r="EC283" s="5">
        <f t="shared" si="873"/>
        <v>0.52129598672647359</v>
      </c>
      <c r="ED283" s="5"/>
      <c r="EE283" s="173">
        <f t="shared" si="874"/>
        <v>0.74373422238216536</v>
      </c>
      <c r="EF283" s="173">
        <f t="shared" si="875"/>
        <v>1.1847720469706366</v>
      </c>
      <c r="EG283" s="173">
        <f t="shared" si="876"/>
        <v>0.290668608367258</v>
      </c>
      <c r="EH283" s="173"/>
      <c r="EI283" s="528">
        <f t="shared" si="877"/>
        <v>1.1062811870848083E-2</v>
      </c>
      <c r="EJ283" s="528">
        <f t="shared" si="878"/>
        <v>0.90059436773721813</v>
      </c>
      <c r="EK283" s="528">
        <f t="shared" si="879"/>
        <v>4.3749999999999997E-2</v>
      </c>
      <c r="EL283" s="528">
        <f t="shared" si="880"/>
        <v>9.8686349999999978E-2</v>
      </c>
      <c r="EM283">
        <f t="shared" si="881"/>
        <v>1.6199999999999999E-2</v>
      </c>
      <c r="EN283" s="460">
        <f t="shared" si="882"/>
        <v>59.949999999999996</v>
      </c>
      <c r="EP283" s="460">
        <f t="shared" si="883"/>
        <v>1070.2935296080661</v>
      </c>
      <c r="EQ283" s="173">
        <f t="shared" si="884"/>
        <v>0.46899999999999997</v>
      </c>
      <c r="ER283" s="173">
        <f t="shared" si="845"/>
        <v>7.4328124999999995E-2</v>
      </c>
      <c r="ES283" s="528"/>
      <c r="EU283" s="460">
        <f t="shared" si="885"/>
        <v>543.32812499999989</v>
      </c>
      <c r="EV283" s="528">
        <f t="shared" si="886"/>
        <v>1.6594217806272127E-2</v>
      </c>
      <c r="EW283" s="528">
        <f t="shared" si="887"/>
        <v>4.2110544098489772E-2</v>
      </c>
      <c r="EX283" s="528">
        <f t="shared" si="888"/>
        <v>4.2244119945079205E-4</v>
      </c>
      <c r="EY283" s="528">
        <f t="shared" si="889"/>
        <v>1.0470846161089715</v>
      </c>
      <c r="EZ283" s="528"/>
      <c r="FA283" s="625">
        <f t="shared" si="890"/>
        <v>1.0273333333333332E-2</v>
      </c>
      <c r="FB283" s="460">
        <f t="shared" si="891"/>
        <v>1116.4851525465176</v>
      </c>
      <c r="FC283" s="173">
        <f t="shared" si="892"/>
        <v>2.7301068071545833</v>
      </c>
      <c r="FD283" s="5">
        <f t="shared" si="893"/>
        <v>12.327999999999999</v>
      </c>
      <c r="FE283" s="173">
        <f t="shared" si="894"/>
        <v>0.81869521566566228</v>
      </c>
      <c r="FF283" s="5">
        <f t="shared" si="895"/>
        <v>81.869521566566235</v>
      </c>
      <c r="FG283">
        <f t="shared" si="896"/>
        <v>67</v>
      </c>
      <c r="FI283" s="562">
        <f t="shared" si="846"/>
        <v>-50</v>
      </c>
    </row>
    <row r="284" spans="5:165">
      <c r="E284" s="170">
        <v>68</v>
      </c>
      <c r="F284" s="217">
        <f t="shared" si="847"/>
        <v>0.68</v>
      </c>
      <c r="G284" s="217">
        <f t="shared" si="775"/>
        <v>0.17</v>
      </c>
      <c r="H284" s="217">
        <f t="shared" si="776"/>
        <v>11.151999999999999</v>
      </c>
      <c r="I284" s="217">
        <f t="shared" si="777"/>
        <v>1.36</v>
      </c>
      <c r="J284" s="541">
        <f t="shared" si="778"/>
        <v>35.922270128431506</v>
      </c>
      <c r="K284" s="443">
        <f t="shared" si="779"/>
        <v>17.134566705698649</v>
      </c>
      <c r="L284" s="172">
        <f t="shared" si="780"/>
        <v>53.056836834130152</v>
      </c>
      <c r="M284" s="443"/>
      <c r="N284" s="217">
        <f t="shared" si="781"/>
        <v>0.32294738488210073</v>
      </c>
      <c r="O284" s="172">
        <f t="shared" si="782"/>
        <v>34.466748628784039</v>
      </c>
      <c r="P284" s="172">
        <f t="shared" si="783"/>
        <v>4.7158549581322609</v>
      </c>
      <c r="Q284" s="217">
        <f t="shared" si="784"/>
        <v>2.1016310139502465</v>
      </c>
      <c r="R284" s="217">
        <f t="shared" si="785"/>
        <v>4.3083435785980049</v>
      </c>
      <c r="S284" s="217">
        <f t="shared" si="786"/>
        <v>16.399999999999999</v>
      </c>
      <c r="T284" s="217">
        <f t="shared" si="787"/>
        <v>2.1570548318148557</v>
      </c>
      <c r="U284" s="217">
        <f t="shared" si="788"/>
        <v>0.72057411430941998</v>
      </c>
      <c r="V284" s="217">
        <f t="shared" si="789"/>
        <v>1.5106689551227168</v>
      </c>
      <c r="W284" s="197">
        <f t="shared" si="790"/>
        <v>350</v>
      </c>
      <c r="X284" s="443">
        <f t="shared" si="848"/>
        <v>350</v>
      </c>
      <c r="Z284" s="217">
        <f t="shared" si="791"/>
        <v>2.7621436183346089</v>
      </c>
      <c r="AA284" s="173">
        <f t="shared" si="792"/>
        <v>1.9344360431939978</v>
      </c>
      <c r="AB284" s="173">
        <f t="shared" si="793"/>
        <v>0.83342151049033908</v>
      </c>
      <c r="AC284" s="173"/>
      <c r="AD284" s="173">
        <f t="shared" si="794"/>
        <v>0.93378491996991608</v>
      </c>
      <c r="AE284" s="545">
        <f t="shared" si="795"/>
        <v>1092.3286274882887</v>
      </c>
      <c r="AF284" s="528">
        <f t="shared" si="796"/>
        <v>0.21788314799298045</v>
      </c>
      <c r="AH284" s="173">
        <f t="shared" si="797"/>
        <v>2.4409209815344775</v>
      </c>
      <c r="AI284" s="173">
        <f t="shared" si="798"/>
        <v>2.4409209815344775</v>
      </c>
      <c r="AJ284" s="173">
        <f t="shared" si="799"/>
        <v>2.0204352949638102</v>
      </c>
      <c r="AL284" s="545">
        <f t="shared" si="800"/>
        <v>680</v>
      </c>
      <c r="AM284" s="460">
        <f t="shared" si="801"/>
        <v>350</v>
      </c>
      <c r="AO284">
        <f t="shared" si="802"/>
        <v>680</v>
      </c>
      <c r="AP284">
        <f t="shared" si="803"/>
        <v>350</v>
      </c>
      <c r="AR284" s="5">
        <f t="shared" si="774"/>
        <v>2.8571428571428572</v>
      </c>
      <c r="AS284" s="5">
        <f t="shared" si="739"/>
        <v>0.81540091073561227</v>
      </c>
      <c r="AT284" s="5">
        <f t="shared" si="740"/>
        <v>2.041741946407245</v>
      </c>
      <c r="AU284" s="173">
        <f t="shared" si="741"/>
        <v>0.28539031875746429</v>
      </c>
      <c r="BA284" s="173">
        <f t="shared" si="849"/>
        <v>0.75285737896526139</v>
      </c>
      <c r="BB284" s="173">
        <f t="shared" si="850"/>
        <v>1.1913175533707638</v>
      </c>
      <c r="BC284" s="173">
        <f t="shared" si="851"/>
        <v>0.29227446431334375</v>
      </c>
      <c r="BD284" s="173"/>
      <c r="BE284" s="528">
        <f t="shared" si="852"/>
        <v>1.1335884661248866E-2</v>
      </c>
      <c r="BF284" s="528">
        <f t="shared" si="804"/>
        <v>0.84989327221495981</v>
      </c>
      <c r="BG284" s="528">
        <f t="shared" si="805"/>
        <v>0.31431986362377567</v>
      </c>
      <c r="BH284" s="528">
        <f t="shared" si="853"/>
        <v>9.8525977719522859E-2</v>
      </c>
      <c r="BI284">
        <f t="shared" si="854"/>
        <v>1.6165021557794177E-2</v>
      </c>
      <c r="BJ284" s="460">
        <f t="shared" si="855"/>
        <v>330.48488518156989</v>
      </c>
      <c r="BK284">
        <f t="shared" si="806"/>
        <v>0.96541608110837362</v>
      </c>
      <c r="BL284" s="460">
        <f t="shared" si="856"/>
        <v>1290.2400197773013</v>
      </c>
      <c r="BM284" s="173">
        <f t="shared" si="807"/>
        <v>0.42244999999999994</v>
      </c>
      <c r="BN284" s="173">
        <f t="shared" si="808"/>
        <v>7.5437500000000005E-2</v>
      </c>
      <c r="BQ284" s="460">
        <f t="shared" si="857"/>
        <v>497.88749999999993</v>
      </c>
      <c r="BR284" s="528">
        <f t="shared" si="858"/>
        <v>1.7003826991873298E-2</v>
      </c>
      <c r="BS284" s="528">
        <f t="shared" si="859"/>
        <v>4.2577125389079082E-2</v>
      </c>
      <c r="BT284" s="528">
        <f t="shared" si="860"/>
        <v>4.2712181244826023E-4</v>
      </c>
      <c r="BU284" s="528">
        <f t="shared" si="861"/>
        <v>1.0666560879402265</v>
      </c>
      <c r="BV284" s="528"/>
      <c r="BW284" s="625">
        <f t="shared" si="862"/>
        <v>1.0426666666666666E-2</v>
      </c>
      <c r="BX284" s="460">
        <f t="shared" si="863"/>
        <v>1137.0908288002936</v>
      </c>
      <c r="BY284" s="173">
        <f t="shared" si="864"/>
        <v>2.9252183485775953</v>
      </c>
      <c r="BZ284" s="5">
        <f t="shared" si="865"/>
        <v>12.511999999999999</v>
      </c>
      <c r="CA284" s="173">
        <f t="shared" si="866"/>
        <v>0.81050871455432061</v>
      </c>
      <c r="CB284" s="5">
        <f t="shared" si="867"/>
        <v>81.050871455432059</v>
      </c>
      <c r="CC284">
        <f t="shared" si="868"/>
        <v>68</v>
      </c>
      <c r="CE284" s="562">
        <f t="shared" si="809"/>
        <v>-50</v>
      </c>
      <c r="CG284" s="173">
        <f t="shared" si="810"/>
        <v>0.5901632680257467</v>
      </c>
      <c r="CH284" s="173">
        <f t="shared" si="811"/>
        <v>0.21001094325305231</v>
      </c>
      <c r="CI284" s="170">
        <v>68</v>
      </c>
      <c r="CJ284" s="217">
        <f t="shared" si="869"/>
        <v>0.68</v>
      </c>
      <c r="CK284" s="217">
        <f t="shared" si="812"/>
        <v>0.17</v>
      </c>
      <c r="CL284" s="217">
        <f t="shared" si="813"/>
        <v>11.151999999999999</v>
      </c>
      <c r="CM284" s="217">
        <f t="shared" si="814"/>
        <v>1.36</v>
      </c>
      <c r="CN284" s="541">
        <f t="shared" si="815"/>
        <v>36</v>
      </c>
      <c r="CO284" s="443">
        <f t="shared" si="816"/>
        <v>17.099999999999998</v>
      </c>
      <c r="CP284" s="443">
        <f t="shared" si="817"/>
        <v>53.099999999999994</v>
      </c>
      <c r="CQ284" s="443"/>
      <c r="CR284" s="217">
        <f t="shared" si="818"/>
        <v>0.31818181818181812</v>
      </c>
      <c r="CS284" s="172">
        <f t="shared" si="819"/>
        <v>34.031620553359687</v>
      </c>
      <c r="CT284" s="172">
        <f t="shared" si="820"/>
        <v>4.6563192904656319</v>
      </c>
      <c r="CU284" s="217">
        <f t="shared" si="821"/>
        <v>2.0750988142292495</v>
      </c>
      <c r="CV284" s="217">
        <f t="shared" si="822"/>
        <v>4.2539525691699609</v>
      </c>
      <c r="CW284" s="217">
        <f t="shared" si="823"/>
        <v>16.399999999999999</v>
      </c>
      <c r="CX284" s="217">
        <f t="shared" si="824"/>
        <v>2.1846349206349207</v>
      </c>
      <c r="CY284" s="217">
        <f t="shared" si="825"/>
        <v>0.7282116402116402</v>
      </c>
      <c r="CZ284" s="217">
        <f t="shared" si="826"/>
        <v>1.5330771372876639</v>
      </c>
      <c r="DA284" s="197">
        <f t="shared" si="827"/>
        <v>350</v>
      </c>
      <c r="DB284" s="443">
        <f t="shared" si="828"/>
        <v>350</v>
      </c>
      <c r="DD284" s="217">
        <f t="shared" si="829"/>
        <v>2.7602905569007259</v>
      </c>
      <c r="DE284" s="173">
        <f t="shared" si="830"/>
        <v>1.937046004842615</v>
      </c>
      <c r="DF284" s="173">
        <f t="shared" si="831"/>
        <v>0.83398609309454497</v>
      </c>
      <c r="DG284" s="173"/>
      <c r="DH284" s="173">
        <f t="shared" si="832"/>
        <v>0.93567251461988332</v>
      </c>
      <c r="DI284" s="545">
        <f t="shared" si="833"/>
        <v>1090.1249999999995</v>
      </c>
      <c r="DJ284" s="528">
        <f t="shared" si="834"/>
        <v>0.21832358674463945</v>
      </c>
      <c r="DL284" s="173">
        <f t="shared" si="835"/>
        <v>2.4409209815344775</v>
      </c>
      <c r="DM284" s="173">
        <f t="shared" si="836"/>
        <v>2.4409209815344775</v>
      </c>
      <c r="DN284" s="173">
        <f t="shared" si="837"/>
        <v>2.0204352949638102</v>
      </c>
      <c r="DP284" s="545">
        <f t="shared" si="838"/>
        <v>680</v>
      </c>
      <c r="DQ284" s="460">
        <f t="shared" si="839"/>
        <v>350</v>
      </c>
      <c r="DS284">
        <f t="shared" si="840"/>
        <v>680</v>
      </c>
      <c r="DT284">
        <f t="shared" si="841"/>
        <v>350</v>
      </c>
      <c r="DV284" s="5">
        <f t="shared" si="870"/>
        <v>2.8571428571428572</v>
      </c>
      <c r="DW284" s="5">
        <f t="shared" si="842"/>
        <v>0.81364032717815915</v>
      </c>
      <c r="DX284" s="5">
        <f t="shared" si="843"/>
        <v>2.0435025299646981</v>
      </c>
      <c r="DY284" s="173">
        <f t="shared" si="844"/>
        <v>0.28477411451235568</v>
      </c>
      <c r="EA284" s="5">
        <f t="shared" si="871"/>
        <v>3.3736306248850507</v>
      </c>
      <c r="EB284" s="5">
        <f t="shared" si="872"/>
        <v>1.7289856952535885</v>
      </c>
      <c r="EC284" s="5">
        <f t="shared" si="873"/>
        <v>0.52752639384644229</v>
      </c>
      <c r="ED284" s="5"/>
      <c r="EE284" s="173">
        <f t="shared" si="874"/>
        <v>0.75204416882894465</v>
      </c>
      <c r="EF284" s="173">
        <f t="shared" si="875"/>
        <v>1.1918310761857687</v>
      </c>
      <c r="EG284" s="173">
        <f t="shared" si="876"/>
        <v>0.29240045054198915</v>
      </c>
      <c r="EH284" s="173"/>
      <c r="EI284" s="528">
        <f t="shared" si="877"/>
        <v>1.1311408637392365E-2</v>
      </c>
      <c r="EJ284" s="528">
        <f t="shared" si="878"/>
        <v>0.90729032883636507</v>
      </c>
      <c r="EK284" s="528">
        <f t="shared" si="879"/>
        <v>4.3749999999999997E-2</v>
      </c>
      <c r="EL284" s="528">
        <f t="shared" si="880"/>
        <v>9.8686349999999978E-2</v>
      </c>
      <c r="EM284">
        <f t="shared" si="881"/>
        <v>1.6199999999999999E-2</v>
      </c>
      <c r="EN284" s="460">
        <f t="shared" si="882"/>
        <v>59.949999999999996</v>
      </c>
      <c r="EP284" s="460">
        <f t="shared" si="883"/>
        <v>1077.2380874737573</v>
      </c>
      <c r="EQ284" s="173">
        <f t="shared" si="884"/>
        <v>0.47599999999999998</v>
      </c>
      <c r="ER284" s="173">
        <f t="shared" si="845"/>
        <v>7.5437500000000005E-2</v>
      </c>
      <c r="ES284" s="528"/>
      <c r="EU284" s="460">
        <f t="shared" si="885"/>
        <v>551.4375</v>
      </c>
      <c r="EV284" s="528">
        <f t="shared" si="886"/>
        <v>1.6967112956088545E-2</v>
      </c>
      <c r="EW284" s="528">
        <f t="shared" si="887"/>
        <v>4.2613839424863825E-2</v>
      </c>
      <c r="EX284" s="528">
        <f t="shared" si="888"/>
        <v>4.2749011738579123E-4</v>
      </c>
      <c r="EY284" s="528">
        <f t="shared" si="889"/>
        <v>1.0666560879402265</v>
      </c>
      <c r="EZ284" s="528"/>
      <c r="FA284" s="625">
        <f t="shared" si="890"/>
        <v>1.0426666666666666E-2</v>
      </c>
      <c r="FB284" s="460">
        <f t="shared" si="891"/>
        <v>1137.0911971052312</v>
      </c>
      <c r="FC284" s="173">
        <f t="shared" si="892"/>
        <v>2.7657667845789886</v>
      </c>
      <c r="FD284" s="5">
        <f t="shared" si="893"/>
        <v>12.511999999999999</v>
      </c>
      <c r="FE284" s="173">
        <f t="shared" si="894"/>
        <v>0.81896786201955341</v>
      </c>
      <c r="FF284" s="5">
        <f t="shared" si="895"/>
        <v>81.896786201955337</v>
      </c>
      <c r="FG284">
        <f t="shared" si="896"/>
        <v>68</v>
      </c>
      <c r="FI284" s="562">
        <f t="shared" si="846"/>
        <v>-50</v>
      </c>
    </row>
    <row r="285" spans="5:165">
      <c r="E285" s="170">
        <v>69</v>
      </c>
      <c r="F285" s="217">
        <f t="shared" si="847"/>
        <v>0.69</v>
      </c>
      <c r="G285" s="217">
        <f t="shared" si="775"/>
        <v>0.17249999999999999</v>
      </c>
      <c r="H285" s="217">
        <f t="shared" si="776"/>
        <v>11.315999999999999</v>
      </c>
      <c r="I285" s="217">
        <f t="shared" si="777"/>
        <v>1.38</v>
      </c>
      <c r="J285" s="541">
        <f t="shared" si="778"/>
        <v>35.921700671209983</v>
      </c>
      <c r="K285" s="443">
        <f t="shared" si="779"/>
        <v>17.134819945023342</v>
      </c>
      <c r="L285" s="172">
        <f t="shared" si="780"/>
        <v>53.056520616233328</v>
      </c>
      <c r="M285" s="443"/>
      <c r="N285" s="217">
        <f t="shared" si="781"/>
        <v>0.3229540826652082</v>
      </c>
      <c r="O285" s="172">
        <f t="shared" si="782"/>
        <v>34.466917058683869</v>
      </c>
      <c r="P285" s="172">
        <f t="shared" si="783"/>
        <v>4.7158780032702508</v>
      </c>
      <c r="Q285" s="217">
        <f t="shared" si="784"/>
        <v>2.1016412840660896</v>
      </c>
      <c r="R285" s="217">
        <f t="shared" si="785"/>
        <v>4.3083646323354836</v>
      </c>
      <c r="S285" s="217">
        <f t="shared" si="786"/>
        <v>16.399999999999999</v>
      </c>
      <c r="T285" s="217">
        <f t="shared" si="787"/>
        <v>2.1887655304811497</v>
      </c>
      <c r="U285" s="217">
        <f t="shared" si="788"/>
        <v>0.73117881044046584</v>
      </c>
      <c r="V285" s="217">
        <f t="shared" si="789"/>
        <v>1.5328545295512306</v>
      </c>
      <c r="W285" s="197">
        <f t="shared" si="790"/>
        <v>350</v>
      </c>
      <c r="X285" s="443">
        <f t="shared" si="848"/>
        <v>350</v>
      </c>
      <c r="Z285" s="217">
        <f t="shared" si="791"/>
        <v>2.7621571162011462</v>
      </c>
      <c r="AA285" s="173">
        <f t="shared" si="792"/>
        <v>1.9344169066708334</v>
      </c>
      <c r="AB285" s="173">
        <f t="shared" si="793"/>
        <v>0.83341733848924282</v>
      </c>
      <c r="AC285" s="173"/>
      <c r="AD285" s="173">
        <f t="shared" si="794"/>
        <v>0.93377111935436841</v>
      </c>
      <c r="AE285" s="545">
        <f t="shared" si="795"/>
        <v>1108.4086651936971</v>
      </c>
      <c r="AF285" s="528">
        <f t="shared" si="796"/>
        <v>0.21787992784935267</v>
      </c>
      <c r="AH285" s="173">
        <f t="shared" si="797"/>
        <v>2.4588034255943039</v>
      </c>
      <c r="AI285" s="173">
        <f t="shared" si="798"/>
        <v>2.4588034255943039</v>
      </c>
      <c r="AJ285" s="173">
        <f t="shared" si="799"/>
        <v>2.033681549822941</v>
      </c>
      <c r="AL285" s="545">
        <f t="shared" si="800"/>
        <v>690</v>
      </c>
      <c r="AM285" s="460">
        <f t="shared" si="801"/>
        <v>350</v>
      </c>
      <c r="AO285">
        <f t="shared" si="802"/>
        <v>690</v>
      </c>
      <c r="AP285">
        <f t="shared" si="803"/>
        <v>350</v>
      </c>
      <c r="AR285" s="5">
        <f t="shared" si="774"/>
        <v>2.8571428571428572</v>
      </c>
      <c r="AS285" s="5">
        <f t="shared" si="739"/>
        <v>0.82138764467739722</v>
      </c>
      <c r="AT285" s="5">
        <f t="shared" si="740"/>
        <v>2.0357552124654599</v>
      </c>
      <c r="AU285" s="173">
        <f t="shared" si="741"/>
        <v>0.28748567563708904</v>
      </c>
      <c r="BA285" s="173">
        <f t="shared" si="849"/>
        <v>0.76115181493518358</v>
      </c>
      <c r="BB285" s="173">
        <f t="shared" si="850"/>
        <v>1.1982846113753487</v>
      </c>
      <c r="BC285" s="173">
        <f t="shared" si="851"/>
        <v>0.29398374253254611</v>
      </c>
      <c r="BD285" s="173"/>
      <c r="BE285" s="528">
        <f t="shared" si="852"/>
        <v>1.158704170758248E-2</v>
      </c>
      <c r="BF285" s="528">
        <f t="shared" si="804"/>
        <v>0.8561145773335922</v>
      </c>
      <c r="BG285" s="528">
        <f t="shared" si="805"/>
        <v>0.31431488087308734</v>
      </c>
      <c r="BH285" s="528">
        <f t="shared" si="853"/>
        <v>9.8524803296527727E-2</v>
      </c>
      <c r="BI285">
        <f t="shared" si="854"/>
        <v>1.6164765302044491E-2</v>
      </c>
      <c r="BJ285" s="460">
        <f t="shared" si="855"/>
        <v>330.47964617513179</v>
      </c>
      <c r="BK285">
        <f t="shared" si="806"/>
        <v>0.97203100379335683</v>
      </c>
      <c r="BL285" s="460">
        <f t="shared" si="856"/>
        <v>1296.7060685128342</v>
      </c>
      <c r="BM285" s="173">
        <f t="shared" si="807"/>
        <v>0.42866249999999989</v>
      </c>
      <c r="BN285" s="173">
        <f t="shared" si="808"/>
        <v>7.6546874999999986E-2</v>
      </c>
      <c r="BQ285" s="460">
        <f t="shared" si="857"/>
        <v>505.20937499999985</v>
      </c>
      <c r="BR285" s="528">
        <f t="shared" si="858"/>
        <v>1.7380562561373717E-2</v>
      </c>
      <c r="BS285" s="528">
        <f t="shared" si="859"/>
        <v>4.3076580295769114E-2</v>
      </c>
      <c r="BT285" s="528">
        <f t="shared" si="860"/>
        <v>4.3213220436721185E-4</v>
      </c>
      <c r="BU285" s="528">
        <f t="shared" si="861"/>
        <v>1.0862996484203942</v>
      </c>
      <c r="BV285" s="528"/>
      <c r="BW285" s="625">
        <f t="shared" si="862"/>
        <v>1.0579999999999997E-2</v>
      </c>
      <c r="BX285" s="460">
        <f t="shared" si="863"/>
        <v>1157.7689234819043</v>
      </c>
      <c r="BY285" s="173">
        <f t="shared" si="864"/>
        <v>2.9596843669947384</v>
      </c>
      <c r="BZ285" s="5">
        <f t="shared" si="865"/>
        <v>12.695999999999998</v>
      </c>
      <c r="CA285" s="173">
        <f t="shared" si="866"/>
        <v>0.81095145395021284</v>
      </c>
      <c r="CB285" s="5">
        <f t="shared" si="867"/>
        <v>81.095145395021291</v>
      </c>
      <c r="CC285">
        <f t="shared" si="868"/>
        <v>69</v>
      </c>
      <c r="CE285" s="562">
        <f t="shared" si="809"/>
        <v>-50</v>
      </c>
      <c r="CG285" s="173">
        <f t="shared" si="810"/>
        <v>0.5944868662521835</v>
      </c>
      <c r="CH285" s="173">
        <f t="shared" si="811"/>
        <v>0.21154950553060428</v>
      </c>
      <c r="CI285" s="170">
        <v>69</v>
      </c>
      <c r="CJ285" s="217">
        <f t="shared" si="869"/>
        <v>0.69</v>
      </c>
      <c r="CK285" s="217">
        <f t="shared" si="812"/>
        <v>0.17249999999999999</v>
      </c>
      <c r="CL285" s="217">
        <f t="shared" si="813"/>
        <v>11.315999999999999</v>
      </c>
      <c r="CM285" s="217">
        <f t="shared" si="814"/>
        <v>1.38</v>
      </c>
      <c r="CN285" s="541">
        <f t="shared" si="815"/>
        <v>36</v>
      </c>
      <c r="CO285" s="443">
        <f t="shared" si="816"/>
        <v>17.099999999999998</v>
      </c>
      <c r="CP285" s="443">
        <f t="shared" si="817"/>
        <v>53.099999999999994</v>
      </c>
      <c r="CQ285" s="443"/>
      <c r="CR285" s="217">
        <f t="shared" si="818"/>
        <v>0.31818181818181812</v>
      </c>
      <c r="CS285" s="172">
        <f t="shared" si="819"/>
        <v>34.031620553359687</v>
      </c>
      <c r="CT285" s="172">
        <f t="shared" si="820"/>
        <v>4.6563192904656319</v>
      </c>
      <c r="CU285" s="217">
        <f t="shared" si="821"/>
        <v>2.0750988142292495</v>
      </c>
      <c r="CV285" s="217">
        <f t="shared" si="822"/>
        <v>4.2539525691699609</v>
      </c>
      <c r="CW285" s="217">
        <f t="shared" si="823"/>
        <v>16.399999999999999</v>
      </c>
      <c r="CX285" s="217">
        <f t="shared" si="824"/>
        <v>2.2167619047619045</v>
      </c>
      <c r="CY285" s="217">
        <f t="shared" si="825"/>
        <v>0.73892063492063487</v>
      </c>
      <c r="CZ285" s="217">
        <f t="shared" si="826"/>
        <v>1.5556223893065999</v>
      </c>
      <c r="DA285" s="197">
        <f t="shared" si="827"/>
        <v>350</v>
      </c>
      <c r="DB285" s="443">
        <f t="shared" si="828"/>
        <v>350</v>
      </c>
      <c r="DD285" s="217">
        <f t="shared" si="829"/>
        <v>2.7602905569007259</v>
      </c>
      <c r="DE285" s="173">
        <f t="shared" si="830"/>
        <v>1.937046004842615</v>
      </c>
      <c r="DF285" s="173">
        <f t="shared" si="831"/>
        <v>0.83398609309454497</v>
      </c>
      <c r="DG285" s="173"/>
      <c r="DH285" s="173">
        <f t="shared" si="832"/>
        <v>0.93567251461988332</v>
      </c>
      <c r="DI285" s="545">
        <f t="shared" si="833"/>
        <v>1106.1562499999995</v>
      </c>
      <c r="DJ285" s="528">
        <f t="shared" si="834"/>
        <v>0.21832358674463945</v>
      </c>
      <c r="DL285" s="173">
        <f t="shared" si="835"/>
        <v>2.4588034255943039</v>
      </c>
      <c r="DM285" s="173">
        <f t="shared" si="836"/>
        <v>2.4588034255943039</v>
      </c>
      <c r="DN285" s="173">
        <f t="shared" si="837"/>
        <v>2.033681549822941</v>
      </c>
      <c r="DP285" s="545">
        <f t="shared" si="838"/>
        <v>690</v>
      </c>
      <c r="DQ285" s="460">
        <f t="shared" si="839"/>
        <v>350</v>
      </c>
      <c r="DS285">
        <f t="shared" si="840"/>
        <v>690</v>
      </c>
      <c r="DT285">
        <f t="shared" si="841"/>
        <v>350</v>
      </c>
      <c r="DV285" s="5">
        <f t="shared" si="870"/>
        <v>2.8571428571428572</v>
      </c>
      <c r="DW285" s="5">
        <f t="shared" si="842"/>
        <v>0.81960114186476796</v>
      </c>
      <c r="DX285" s="5">
        <f t="shared" si="843"/>
        <v>2.0375417152780892</v>
      </c>
      <c r="DY285" s="173">
        <f t="shared" si="844"/>
        <v>0.2868603996526688</v>
      </c>
      <c r="EA285" s="5">
        <f t="shared" si="871"/>
        <v>3.4483218773578654</v>
      </c>
      <c r="EB285" s="5">
        <f t="shared" si="872"/>
        <v>1.7672649621459056</v>
      </c>
      <c r="EC285" s="5">
        <f t="shared" si="873"/>
        <v>0.53372273264089931</v>
      </c>
      <c r="ED285" s="5"/>
      <c r="EE285" s="173">
        <f t="shared" si="874"/>
        <v>0.76032361885928734</v>
      </c>
      <c r="EF285" s="173">
        <f t="shared" si="875"/>
        <v>1.1988102810048018</v>
      </c>
      <c r="EG285" s="173">
        <f t="shared" si="876"/>
        <v>0.2941127088261421</v>
      </c>
      <c r="EH285" s="173"/>
      <c r="EI285" s="528">
        <f t="shared" si="877"/>
        <v>1.1561840107905657E-2</v>
      </c>
      <c r="EJ285" s="528">
        <f t="shared" si="878"/>
        <v>0.91393723329340271</v>
      </c>
      <c r="EK285" s="528">
        <f t="shared" si="879"/>
        <v>4.3749999999999997E-2</v>
      </c>
      <c r="EL285" s="528">
        <f t="shared" si="880"/>
        <v>9.8686349999999978E-2</v>
      </c>
      <c r="EM285">
        <f t="shared" si="881"/>
        <v>1.6199999999999999E-2</v>
      </c>
      <c r="EN285" s="460">
        <f t="shared" si="882"/>
        <v>59.949999999999996</v>
      </c>
      <c r="EP285" s="460">
        <f t="shared" si="883"/>
        <v>1084.1354234013083</v>
      </c>
      <c r="EQ285" s="173">
        <f t="shared" si="884"/>
        <v>0.48299999999999993</v>
      </c>
      <c r="ER285" s="173">
        <f t="shared" si="845"/>
        <v>7.6546874999999986E-2</v>
      </c>
      <c r="ES285" s="528"/>
      <c r="EU285" s="460">
        <f t="shared" si="885"/>
        <v>559.54687499999989</v>
      </c>
      <c r="EV285" s="528">
        <f t="shared" si="886"/>
        <v>1.7342760161858484E-2</v>
      </c>
      <c r="EW285" s="528">
        <f t="shared" si="887"/>
        <v>4.3114382695284358E-2</v>
      </c>
      <c r="EX285" s="528">
        <f t="shared" si="888"/>
        <v>4.325114274652552E-4</v>
      </c>
      <c r="EY285" s="528">
        <f t="shared" si="889"/>
        <v>1.0862996484203942</v>
      </c>
      <c r="EZ285" s="528"/>
      <c r="FA285" s="625">
        <f t="shared" si="890"/>
        <v>1.0579999999999997E-2</v>
      </c>
      <c r="FB285" s="460">
        <f t="shared" si="891"/>
        <v>1157.7693027050022</v>
      </c>
      <c r="FC285" s="173">
        <f t="shared" si="892"/>
        <v>2.8014516011063106</v>
      </c>
      <c r="FD285" s="5">
        <f t="shared" si="893"/>
        <v>12.695999999999998</v>
      </c>
      <c r="FE285" s="173">
        <f t="shared" si="894"/>
        <v>0.81923146635887378</v>
      </c>
      <c r="FF285" s="5">
        <f t="shared" si="895"/>
        <v>81.923146635887377</v>
      </c>
      <c r="FG285">
        <f t="shared" si="896"/>
        <v>69</v>
      </c>
      <c r="FI285" s="562">
        <f t="shared" si="846"/>
        <v>-50</v>
      </c>
    </row>
    <row r="286" spans="5:165">
      <c r="E286" s="170">
        <v>70</v>
      </c>
      <c r="F286" s="217">
        <f t="shared" si="847"/>
        <v>0.7</v>
      </c>
      <c r="G286" s="217">
        <f t="shared" si="775"/>
        <v>0.17499999999999999</v>
      </c>
      <c r="H286" s="217">
        <f t="shared" si="776"/>
        <v>11.479999999999999</v>
      </c>
      <c r="I286" s="217">
        <f t="shared" si="777"/>
        <v>1.4</v>
      </c>
      <c r="J286" s="541">
        <f t="shared" si="778"/>
        <v>35.921135325754307</v>
      </c>
      <c r="K286" s="443">
        <f t="shared" si="779"/>
        <v>17.135071355833499</v>
      </c>
      <c r="L286" s="172">
        <f t="shared" si="780"/>
        <v>53.05620668158781</v>
      </c>
      <c r="M286" s="443"/>
      <c r="N286" s="217">
        <f t="shared" si="781"/>
        <v>0.32296073216594873</v>
      </c>
      <c r="O286" s="172">
        <f t="shared" si="782"/>
        <v>34.467084258445446</v>
      </c>
      <c r="P286" s="172">
        <f t="shared" si="783"/>
        <v>4.7159008800966413</v>
      </c>
      <c r="Q286" s="217">
        <f t="shared" si="784"/>
        <v>2.101651479173503</v>
      </c>
      <c r="R286" s="217">
        <f t="shared" si="785"/>
        <v>4.3083855323056808</v>
      </c>
      <c r="S286" s="217">
        <f t="shared" si="786"/>
        <v>16.399999999999999</v>
      </c>
      <c r="T286" s="217">
        <f t="shared" si="787"/>
        <v>2.2204759984761524</v>
      </c>
      <c r="U286" s="217">
        <f t="shared" si="788"/>
        <v>0.74178368083510171</v>
      </c>
      <c r="V286" s="217">
        <f t="shared" si="789"/>
        <v>1.5550394526161404</v>
      </c>
      <c r="W286" s="197">
        <f t="shared" si="790"/>
        <v>350</v>
      </c>
      <c r="X286" s="443">
        <f t="shared" si="848"/>
        <v>350</v>
      </c>
      <c r="Z286" s="217">
        <f t="shared" si="791"/>
        <v>2.7621705154851752</v>
      </c>
      <c r="AA286" s="173">
        <f t="shared" si="792"/>
        <v>1.9343979080972895</v>
      </c>
      <c r="AB286" s="173">
        <f t="shared" si="793"/>
        <v>0.83341319609687359</v>
      </c>
      <c r="AC286" s="173"/>
      <c r="AD286" s="173">
        <f t="shared" si="794"/>
        <v>0.933757418789676</v>
      </c>
      <c r="AE286" s="545">
        <f t="shared" si="795"/>
        <v>1124.489057726573</v>
      </c>
      <c r="AF286" s="528">
        <f t="shared" si="796"/>
        <v>0.21787673105092442</v>
      </c>
      <c r="AH286" s="173">
        <f t="shared" si="797"/>
        <v>2.4765567494675613</v>
      </c>
      <c r="AI286" s="173">
        <f t="shared" si="798"/>
        <v>2.4765567494675613</v>
      </c>
      <c r="AJ286" s="173">
        <f t="shared" si="799"/>
        <v>2.0468321600994281</v>
      </c>
      <c r="AL286" s="545">
        <f t="shared" si="800"/>
        <v>700</v>
      </c>
      <c r="AM286" s="460">
        <f t="shared" si="801"/>
        <v>350</v>
      </c>
      <c r="AO286">
        <f t="shared" si="802"/>
        <v>700</v>
      </c>
      <c r="AP286">
        <f t="shared" si="803"/>
        <v>350</v>
      </c>
      <c r="AR286" s="5">
        <f t="shared" si="774"/>
        <v>2.8571428571428572</v>
      </c>
      <c r="AS286" s="5">
        <f t="shared" si="739"/>
        <v>0.82733133917132606</v>
      </c>
      <c r="AT286" s="5">
        <f t="shared" si="740"/>
        <v>2.029811517971531</v>
      </c>
      <c r="AU286" s="173">
        <f t="shared" si="741"/>
        <v>0.28956596870996409</v>
      </c>
      <c r="BA286" s="173">
        <f t="shared" si="849"/>
        <v>0.76941636064569097</v>
      </c>
      <c r="BB286" s="173">
        <f t="shared" si="850"/>
        <v>1.2051733935061728</v>
      </c>
      <c r="BC286" s="173">
        <f t="shared" si="851"/>
        <v>0.29567381677124183</v>
      </c>
      <c r="BD286" s="173"/>
      <c r="BE286" s="528">
        <f t="shared" si="852"/>
        <v>1.1840030720585201E-2</v>
      </c>
      <c r="BF286" s="528">
        <f t="shared" si="804"/>
        <v>0.86229088810221122</v>
      </c>
      <c r="BG286" s="528">
        <f t="shared" si="805"/>
        <v>0.31430993410035019</v>
      </c>
      <c r="BH286" s="528">
        <f t="shared" si="853"/>
        <v>9.8523637360377711E-2</v>
      </c>
      <c r="BI286">
        <f t="shared" si="854"/>
        <v>1.6164510896589438E-2</v>
      </c>
      <c r="BJ286" s="460">
        <f t="shared" si="855"/>
        <v>330.47444499693961</v>
      </c>
      <c r="BK286">
        <f t="shared" si="806"/>
        <v>0.97860436576487186</v>
      </c>
      <c r="BL286" s="460">
        <f t="shared" si="856"/>
        <v>1303.1290011801138</v>
      </c>
      <c r="BM286" s="173">
        <f t="shared" si="807"/>
        <v>0.4348749999999999</v>
      </c>
      <c r="BN286" s="173">
        <f t="shared" si="808"/>
        <v>7.7656249999999996E-2</v>
      </c>
      <c r="BQ286" s="460">
        <f t="shared" si="857"/>
        <v>512.53124999999989</v>
      </c>
      <c r="BR286" s="528">
        <f t="shared" si="858"/>
        <v>1.7760046080877799E-2</v>
      </c>
      <c r="BS286" s="528">
        <f t="shared" si="859"/>
        <v>4.3573287252455531E-2</v>
      </c>
      <c r="BT286" s="528">
        <f t="shared" si="860"/>
        <v>4.3711502962036944E-4</v>
      </c>
      <c r="BU286" s="528">
        <f t="shared" si="861"/>
        <v>1.1060145125005099</v>
      </c>
      <c r="BV286" s="528"/>
      <c r="BW286" s="625">
        <f t="shared" si="862"/>
        <v>1.0733333333333334E-2</v>
      </c>
      <c r="BX286" s="460">
        <f t="shared" si="863"/>
        <v>1178.5182941967969</v>
      </c>
      <c r="BY286" s="173">
        <f t="shared" si="864"/>
        <v>2.9941785453769105</v>
      </c>
      <c r="BZ286" s="5">
        <f t="shared" si="865"/>
        <v>12.879999999999999</v>
      </c>
      <c r="CA286" s="173">
        <f t="shared" si="866"/>
        <v>0.8113805677050977</v>
      </c>
      <c r="CB286" s="5">
        <f t="shared" si="867"/>
        <v>81.138056770509763</v>
      </c>
      <c r="CC286">
        <f t="shared" si="868"/>
        <v>70</v>
      </c>
      <c r="CE286" s="562">
        <f t="shared" si="809"/>
        <v>-50</v>
      </c>
      <c r="CG286" s="173">
        <f t="shared" si="810"/>
        <v>0.59877924593781107</v>
      </c>
      <c r="CH286" s="173">
        <f t="shared" si="811"/>
        <v>0.21307695861929699</v>
      </c>
      <c r="CI286" s="170">
        <v>70</v>
      </c>
      <c r="CJ286" s="217">
        <f t="shared" si="869"/>
        <v>0.7</v>
      </c>
      <c r="CK286" s="217">
        <f t="shared" si="812"/>
        <v>0.17499999999999999</v>
      </c>
      <c r="CL286" s="217">
        <f t="shared" si="813"/>
        <v>11.479999999999999</v>
      </c>
      <c r="CM286" s="217">
        <f t="shared" si="814"/>
        <v>1.4</v>
      </c>
      <c r="CN286" s="541">
        <f t="shared" si="815"/>
        <v>36</v>
      </c>
      <c r="CO286" s="443">
        <f t="shared" si="816"/>
        <v>17.099999999999998</v>
      </c>
      <c r="CP286" s="443">
        <f t="shared" si="817"/>
        <v>53.099999999999994</v>
      </c>
      <c r="CQ286" s="443"/>
      <c r="CR286" s="217">
        <f t="shared" si="818"/>
        <v>0.31818181818181812</v>
      </c>
      <c r="CS286" s="172">
        <f t="shared" si="819"/>
        <v>34.031620553359687</v>
      </c>
      <c r="CT286" s="172">
        <f t="shared" si="820"/>
        <v>4.6563192904656319</v>
      </c>
      <c r="CU286" s="217">
        <f t="shared" si="821"/>
        <v>2.0750988142292495</v>
      </c>
      <c r="CV286" s="217">
        <f t="shared" si="822"/>
        <v>4.2539525691699609</v>
      </c>
      <c r="CW286" s="217">
        <f t="shared" si="823"/>
        <v>16.399999999999999</v>
      </c>
      <c r="CX286" s="217">
        <f t="shared" si="824"/>
        <v>2.2488888888888892</v>
      </c>
      <c r="CY286" s="217">
        <f t="shared" si="825"/>
        <v>0.74962962962962976</v>
      </c>
      <c r="CZ286" s="217">
        <f t="shared" si="826"/>
        <v>1.5781676413255363</v>
      </c>
      <c r="DA286" s="197">
        <f t="shared" si="827"/>
        <v>350</v>
      </c>
      <c r="DB286" s="443">
        <f t="shared" si="828"/>
        <v>350</v>
      </c>
      <c r="DD286" s="217">
        <f t="shared" si="829"/>
        <v>2.7602905569007259</v>
      </c>
      <c r="DE286" s="173">
        <f t="shared" si="830"/>
        <v>1.937046004842615</v>
      </c>
      <c r="DF286" s="173">
        <f t="shared" si="831"/>
        <v>0.83398609309454497</v>
      </c>
      <c r="DG286" s="173"/>
      <c r="DH286" s="173">
        <f t="shared" si="832"/>
        <v>0.93567251461988332</v>
      </c>
      <c r="DI286" s="545">
        <f t="shared" si="833"/>
        <v>1122.1874999999995</v>
      </c>
      <c r="DJ286" s="528">
        <f t="shared" si="834"/>
        <v>0.21832358674463945</v>
      </c>
      <c r="DL286" s="173">
        <f t="shared" si="835"/>
        <v>2.4765567494675613</v>
      </c>
      <c r="DM286" s="173">
        <f t="shared" si="836"/>
        <v>2.4765567494675613</v>
      </c>
      <c r="DN286" s="173">
        <f t="shared" si="837"/>
        <v>2.0468321600994281</v>
      </c>
      <c r="DP286" s="545">
        <f t="shared" si="838"/>
        <v>700</v>
      </c>
      <c r="DQ286" s="460">
        <f t="shared" si="839"/>
        <v>350</v>
      </c>
      <c r="DS286">
        <f t="shared" si="840"/>
        <v>700</v>
      </c>
      <c r="DT286">
        <f t="shared" si="841"/>
        <v>350</v>
      </c>
      <c r="DV286" s="5">
        <f t="shared" si="870"/>
        <v>2.8571428571428572</v>
      </c>
      <c r="DW286" s="5">
        <f t="shared" si="842"/>
        <v>0.82551891648918718</v>
      </c>
      <c r="DX286" s="5">
        <f t="shared" si="843"/>
        <v>2.0316239406536702</v>
      </c>
      <c r="DY286" s="173">
        <f t="shared" si="844"/>
        <v>0.28893162077121548</v>
      </c>
      <c r="EA286" s="5">
        <f t="shared" si="871"/>
        <v>3.523556350868482</v>
      </c>
      <c r="EB286" s="5">
        <f t="shared" si="872"/>
        <v>1.8058226298200968</v>
      </c>
      <c r="EC286" s="5">
        <f t="shared" si="873"/>
        <v>0.53988525089592887</v>
      </c>
      <c r="ED286" s="5"/>
      <c r="EE286" s="173">
        <f t="shared" si="874"/>
        <v>0.76857312398368482</v>
      </c>
      <c r="EF286" s="173">
        <f t="shared" si="875"/>
        <v>1.205711324295498</v>
      </c>
      <c r="EG286" s="173">
        <f t="shared" si="876"/>
        <v>0.29580579118297012</v>
      </c>
      <c r="EH286" s="173"/>
      <c r="EI286" s="528">
        <f t="shared" si="877"/>
        <v>1.181409293820081E-2</v>
      </c>
      <c r="EJ286" s="528">
        <f t="shared" si="878"/>
        <v>0.92053614377709236</v>
      </c>
      <c r="EK286" s="528">
        <f t="shared" si="879"/>
        <v>4.3749999999999997E-2</v>
      </c>
      <c r="EL286" s="528">
        <f t="shared" si="880"/>
        <v>9.8686349999999978E-2</v>
      </c>
      <c r="EM286">
        <f t="shared" si="881"/>
        <v>1.6199999999999999E-2</v>
      </c>
      <c r="EN286" s="460">
        <f t="shared" si="882"/>
        <v>59.949999999999996</v>
      </c>
      <c r="EP286" s="460">
        <f t="shared" si="883"/>
        <v>1090.986586715293</v>
      </c>
      <c r="EQ286" s="173">
        <f t="shared" si="884"/>
        <v>0.48999999999999994</v>
      </c>
      <c r="ER286" s="173">
        <f t="shared" si="845"/>
        <v>7.7656249999999996E-2</v>
      </c>
      <c r="ES286" s="528"/>
      <c r="EU286" s="460">
        <f t="shared" si="885"/>
        <v>567.65625</v>
      </c>
      <c r="EV286" s="528">
        <f t="shared" si="886"/>
        <v>1.7721139407301214E-2</v>
      </c>
      <c r="EW286" s="528">
        <f t="shared" si="887"/>
        <v>4.3612193926032106E-2</v>
      </c>
      <c r="EX286" s="528">
        <f t="shared" si="888"/>
        <v>4.3750533048691462E-4</v>
      </c>
      <c r="EY286" s="528">
        <f t="shared" si="889"/>
        <v>1.1060145125005099</v>
      </c>
      <c r="EZ286" s="528"/>
      <c r="FA286" s="625">
        <f t="shared" si="890"/>
        <v>1.0733333333333334E-2</v>
      </c>
      <c r="FB286" s="460">
        <f t="shared" si="891"/>
        <v>1178.5186844976633</v>
      </c>
      <c r="FC286" s="173">
        <f t="shared" si="892"/>
        <v>2.8371615212129564</v>
      </c>
      <c r="FD286" s="5">
        <f t="shared" si="893"/>
        <v>12.879999999999999</v>
      </c>
      <c r="FE286" s="173">
        <f t="shared" si="894"/>
        <v>0.81948639279530666</v>
      </c>
      <c r="FF286" s="5">
        <f t="shared" si="895"/>
        <v>81.948639279530667</v>
      </c>
      <c r="FG286">
        <f t="shared" si="896"/>
        <v>70</v>
      </c>
      <c r="FI286" s="562">
        <f t="shared" si="846"/>
        <v>-50</v>
      </c>
    </row>
    <row r="287" spans="5:165">
      <c r="E287" s="170">
        <v>71</v>
      </c>
      <c r="F287" s="217">
        <f t="shared" si="847"/>
        <v>0.71</v>
      </c>
      <c r="G287" s="217">
        <f t="shared" si="775"/>
        <v>0.17749999999999999</v>
      </c>
      <c r="H287" s="217">
        <f t="shared" si="776"/>
        <v>11.643999999999998</v>
      </c>
      <c r="I287" s="217">
        <f t="shared" si="777"/>
        <v>1.42</v>
      </c>
      <c r="J287" s="541">
        <f t="shared" si="778"/>
        <v>35.920574004263138</v>
      </c>
      <c r="K287" s="443">
        <f t="shared" si="779"/>
        <v>17.135320977174636</v>
      </c>
      <c r="L287" s="172">
        <f t="shared" si="780"/>
        <v>53.055894981437774</v>
      </c>
      <c r="M287" s="443"/>
      <c r="N287" s="217">
        <f t="shared" si="781"/>
        <v>0.32296733441532988</v>
      </c>
      <c r="O287" s="172">
        <f t="shared" si="782"/>
        <v>34.467250254336506</v>
      </c>
      <c r="P287" s="172">
        <f t="shared" si="783"/>
        <v>4.7159235922054714</v>
      </c>
      <c r="Q287" s="217">
        <f t="shared" si="784"/>
        <v>2.1016616008741775</v>
      </c>
      <c r="R287" s="217">
        <f t="shared" si="785"/>
        <v>4.3084062817920632</v>
      </c>
      <c r="S287" s="217">
        <f t="shared" si="786"/>
        <v>16.399999999999999</v>
      </c>
      <c r="T287" s="217">
        <f t="shared" si="787"/>
        <v>2.2521862374820585</v>
      </c>
      <c r="U287" s="217">
        <f t="shared" si="788"/>
        <v>0.7523887242608418</v>
      </c>
      <c r="V287" s="217">
        <f t="shared" si="789"/>
        <v>1.5772237290322957</v>
      </c>
      <c r="W287" s="197">
        <f t="shared" si="790"/>
        <v>350</v>
      </c>
      <c r="X287" s="443">
        <f t="shared" si="848"/>
        <v>350</v>
      </c>
      <c r="Z287" s="217">
        <f t="shared" si="791"/>
        <v>2.7621838182917759</v>
      </c>
      <c r="AA287" s="173">
        <f t="shared" si="792"/>
        <v>1.934379044527629</v>
      </c>
      <c r="AB287" s="173">
        <f t="shared" si="793"/>
        <v>0.83340908268097658</v>
      </c>
      <c r="AC287" s="173"/>
      <c r="AD287" s="173">
        <f t="shared" si="794"/>
        <v>0.93374381613936763</v>
      </c>
      <c r="AE287" s="545">
        <f t="shared" si="795"/>
        <v>1140.5698025431864</v>
      </c>
      <c r="AF287" s="528">
        <f t="shared" si="796"/>
        <v>0.21787355709918579</v>
      </c>
      <c r="AH287" s="173">
        <f t="shared" si="797"/>
        <v>2.4941837103454065</v>
      </c>
      <c r="AI287" s="173">
        <f t="shared" si="798"/>
        <v>2.4941837103454065</v>
      </c>
      <c r="AJ287" s="173">
        <f t="shared" si="799"/>
        <v>2.059889168157091</v>
      </c>
      <c r="AL287" s="545">
        <f t="shared" si="800"/>
        <v>710</v>
      </c>
      <c r="AM287" s="460">
        <f t="shared" si="801"/>
        <v>350</v>
      </c>
      <c r="AO287">
        <f t="shared" si="802"/>
        <v>710</v>
      </c>
      <c r="AP287">
        <f t="shared" si="803"/>
        <v>350</v>
      </c>
      <c r="AR287" s="5">
        <f t="shared" si="774"/>
        <v>2.8571428571428572</v>
      </c>
      <c r="AS287" s="5">
        <f t="shared" si="739"/>
        <v>0.83323291327673921</v>
      </c>
      <c r="AT287" s="5">
        <f t="shared" si="740"/>
        <v>2.0239099438661179</v>
      </c>
      <c r="AU287" s="173">
        <f t="shared" si="741"/>
        <v>0.29163151964685874</v>
      </c>
      <c r="BA287" s="173">
        <f t="shared" si="849"/>
        <v>0.77765154932610747</v>
      </c>
      <c r="BB287" s="173">
        <f t="shared" si="850"/>
        <v>1.2119855038248177</v>
      </c>
      <c r="BC287" s="173">
        <f t="shared" si="851"/>
        <v>0.29734508056534265</v>
      </c>
      <c r="BD287" s="173"/>
      <c r="BE287" s="528">
        <f t="shared" si="852"/>
        <v>1.2094838643385909E-2</v>
      </c>
      <c r="BF287" s="528">
        <f t="shared" si="804"/>
        <v>0.86842316531577268</v>
      </c>
      <c r="BG287" s="528">
        <f t="shared" si="805"/>
        <v>0.31430502253730247</v>
      </c>
      <c r="BH287" s="528">
        <f t="shared" si="853"/>
        <v>9.8522479729847387E-2</v>
      </c>
      <c r="BI287">
        <f t="shared" si="854"/>
        <v>1.6164258301918411E-2</v>
      </c>
      <c r="BJ287" s="460">
        <f t="shared" si="855"/>
        <v>330.46928083922091</v>
      </c>
      <c r="BK287">
        <f t="shared" si="806"/>
        <v>0.98513711180226526</v>
      </c>
      <c r="BL287" s="460">
        <f t="shared" si="856"/>
        <v>1309.5097645282267</v>
      </c>
      <c r="BM287" s="173">
        <f t="shared" si="807"/>
        <v>0.44108749999999991</v>
      </c>
      <c r="BN287" s="173">
        <f t="shared" si="808"/>
        <v>7.8765624999999992E-2</v>
      </c>
      <c r="BQ287" s="460">
        <f t="shared" si="857"/>
        <v>519.85312499999986</v>
      </c>
      <c r="BR287" s="528">
        <f t="shared" si="858"/>
        <v>1.8142257965078862E-2</v>
      </c>
      <c r="BS287" s="528">
        <f t="shared" si="859"/>
        <v>4.4067265844444918E-2</v>
      </c>
      <c r="BT287" s="528">
        <f t="shared" si="860"/>
        <v>4.420704846820506E-4</v>
      </c>
      <c r="BU287" s="528">
        <f t="shared" si="861"/>
        <v>1.1257999147950413</v>
      </c>
      <c r="BV287" s="528"/>
      <c r="BW287" s="625">
        <f t="shared" si="862"/>
        <v>1.0886666666666664E-2</v>
      </c>
      <c r="BX287" s="460">
        <f t="shared" si="863"/>
        <v>1199.3381757559139</v>
      </c>
      <c r="BY287" s="173">
        <f t="shared" si="864"/>
        <v>3.0287010652841402</v>
      </c>
      <c r="BZ287" s="5">
        <f t="shared" si="865"/>
        <v>13.063999999999998</v>
      </c>
      <c r="CA287" s="173">
        <f t="shared" si="866"/>
        <v>0.81179659940258364</v>
      </c>
      <c r="CB287" s="5">
        <f t="shared" si="867"/>
        <v>81.179659940258361</v>
      </c>
      <c r="CC287">
        <f t="shared" si="868"/>
        <v>71</v>
      </c>
      <c r="CE287" s="562">
        <f t="shared" si="809"/>
        <v>-50</v>
      </c>
      <c r="CG287" s="173">
        <f t="shared" si="810"/>
        <v>0.60304107371336313</v>
      </c>
      <c r="CH287" s="173">
        <f t="shared" si="811"/>
        <v>0.21459353974119541</v>
      </c>
      <c r="CI287" s="170">
        <v>71</v>
      </c>
      <c r="CJ287" s="217">
        <f t="shared" si="869"/>
        <v>0.71</v>
      </c>
      <c r="CK287" s="217">
        <f t="shared" si="812"/>
        <v>0.17749999999999999</v>
      </c>
      <c r="CL287" s="217">
        <f t="shared" si="813"/>
        <v>11.643999999999998</v>
      </c>
      <c r="CM287" s="217">
        <f t="shared" si="814"/>
        <v>1.42</v>
      </c>
      <c r="CN287" s="541">
        <f t="shared" si="815"/>
        <v>36</v>
      </c>
      <c r="CO287" s="443">
        <f t="shared" si="816"/>
        <v>17.099999999999998</v>
      </c>
      <c r="CP287" s="443">
        <f t="shared" si="817"/>
        <v>53.099999999999994</v>
      </c>
      <c r="CQ287" s="443"/>
      <c r="CR287" s="217">
        <f t="shared" si="818"/>
        <v>0.31818181818181812</v>
      </c>
      <c r="CS287" s="172">
        <f t="shared" si="819"/>
        <v>34.031620553359687</v>
      </c>
      <c r="CT287" s="172">
        <f t="shared" si="820"/>
        <v>4.6563192904656319</v>
      </c>
      <c r="CU287" s="217">
        <f t="shared" si="821"/>
        <v>2.0750988142292495</v>
      </c>
      <c r="CV287" s="217">
        <f t="shared" si="822"/>
        <v>4.2539525691699609</v>
      </c>
      <c r="CW287" s="217">
        <f t="shared" si="823"/>
        <v>16.399999999999999</v>
      </c>
      <c r="CX287" s="217">
        <f t="shared" si="824"/>
        <v>2.2810158730158729</v>
      </c>
      <c r="CY287" s="217">
        <f t="shared" si="825"/>
        <v>0.76033862433862442</v>
      </c>
      <c r="CZ287" s="217">
        <f t="shared" si="826"/>
        <v>1.6007128933444725</v>
      </c>
      <c r="DA287" s="197">
        <f t="shared" si="827"/>
        <v>350</v>
      </c>
      <c r="DB287" s="443">
        <f t="shared" si="828"/>
        <v>350</v>
      </c>
      <c r="DD287" s="217">
        <f t="shared" si="829"/>
        <v>2.7602905569007259</v>
      </c>
      <c r="DE287" s="173">
        <f t="shared" si="830"/>
        <v>1.937046004842615</v>
      </c>
      <c r="DF287" s="173">
        <f t="shared" si="831"/>
        <v>0.83398609309454497</v>
      </c>
      <c r="DG287" s="173"/>
      <c r="DH287" s="173">
        <f t="shared" si="832"/>
        <v>0.93567251461988332</v>
      </c>
      <c r="DI287" s="545">
        <f t="shared" si="833"/>
        <v>1138.2187499999995</v>
      </c>
      <c r="DJ287" s="528">
        <f t="shared" si="834"/>
        <v>0.21832358674463945</v>
      </c>
      <c r="DL287" s="173">
        <f t="shared" si="835"/>
        <v>2.4941837103454065</v>
      </c>
      <c r="DM287" s="173">
        <f t="shared" si="836"/>
        <v>2.4941837103454065</v>
      </c>
      <c r="DN287" s="173">
        <f t="shared" si="837"/>
        <v>2.059889168157091</v>
      </c>
      <c r="DP287" s="545">
        <f t="shared" si="838"/>
        <v>710</v>
      </c>
      <c r="DQ287" s="460">
        <f t="shared" si="839"/>
        <v>350</v>
      </c>
      <c r="DS287">
        <f t="shared" si="840"/>
        <v>710</v>
      </c>
      <c r="DT287">
        <f t="shared" si="841"/>
        <v>350</v>
      </c>
      <c r="DV287" s="5">
        <f t="shared" si="870"/>
        <v>2.8571428571428572</v>
      </c>
      <c r="DW287" s="5">
        <f t="shared" si="842"/>
        <v>0.83139457011513562</v>
      </c>
      <c r="DX287" s="5">
        <f t="shared" si="843"/>
        <v>2.0257482870277217</v>
      </c>
      <c r="DY287" s="173">
        <f t="shared" si="844"/>
        <v>0.29098809954029747</v>
      </c>
      <c r="EA287" s="5">
        <f t="shared" si="871"/>
        <v>3.5993301511082092</v>
      </c>
      <c r="EB287" s="5">
        <f t="shared" si="872"/>
        <v>1.844656702442957</v>
      </c>
      <c r="EC287" s="5">
        <f t="shared" si="873"/>
        <v>0.54601419106830518</v>
      </c>
      <c r="ED287" s="5"/>
      <c r="EE287" s="173">
        <f t="shared" si="874"/>
        <v>0.77679321801536971</v>
      </c>
      <c r="EF287" s="173">
        <f t="shared" si="875"/>
        <v>1.2125358098201138</v>
      </c>
      <c r="EG287" s="173">
        <f t="shared" si="876"/>
        <v>0.29748009107494894</v>
      </c>
      <c r="EH287" s="173"/>
      <c r="EI287" s="528">
        <f t="shared" si="877"/>
        <v>1.2068154071093474E-2</v>
      </c>
      <c r="EJ287" s="528">
        <f t="shared" si="878"/>
        <v>0.92708808513538754</v>
      </c>
      <c r="EK287" s="528">
        <f t="shared" si="879"/>
        <v>4.3749999999999997E-2</v>
      </c>
      <c r="EL287" s="528">
        <f t="shared" si="880"/>
        <v>9.8686349999999978E-2</v>
      </c>
      <c r="EM287">
        <f t="shared" si="881"/>
        <v>1.6199999999999999E-2</v>
      </c>
      <c r="EN287" s="460">
        <f t="shared" si="882"/>
        <v>59.949999999999996</v>
      </c>
      <c r="EP287" s="460">
        <f t="shared" si="883"/>
        <v>1097.7925892064811</v>
      </c>
      <c r="EQ287" s="173">
        <f t="shared" si="884"/>
        <v>0.49699999999999994</v>
      </c>
      <c r="ER287" s="173">
        <f t="shared" si="845"/>
        <v>7.8765624999999992E-2</v>
      </c>
      <c r="ES287" s="528"/>
      <c r="EU287" s="460">
        <f t="shared" si="885"/>
        <v>575.765625</v>
      </c>
      <c r="EV287" s="528">
        <f t="shared" si="886"/>
        <v>1.810223110664021E-2</v>
      </c>
      <c r="EW287" s="528">
        <f t="shared" si="887"/>
        <v>4.4107292702883577E-2</v>
      </c>
      <c r="EX287" s="528">
        <f t="shared" si="888"/>
        <v>4.4247202292979962E-4</v>
      </c>
      <c r="EY287" s="528">
        <f t="shared" si="889"/>
        <v>1.1257999147950413</v>
      </c>
      <c r="EZ287" s="528"/>
      <c r="FA287" s="625">
        <f t="shared" si="890"/>
        <v>1.0886666666666664E-2</v>
      </c>
      <c r="FB287" s="460">
        <f t="shared" si="891"/>
        <v>1199.3385772941615</v>
      </c>
      <c r="FC287" s="173">
        <f t="shared" si="892"/>
        <v>2.8728967915006423</v>
      </c>
      <c r="FD287" s="5">
        <f t="shared" si="893"/>
        <v>13.063999999999998</v>
      </c>
      <c r="FE287" s="173">
        <f t="shared" si="894"/>
        <v>0.81973298634695335</v>
      </c>
      <c r="FF287" s="5">
        <f t="shared" si="895"/>
        <v>81.97329863469534</v>
      </c>
      <c r="FG287">
        <f t="shared" si="896"/>
        <v>71</v>
      </c>
      <c r="FI287" s="562">
        <f t="shared" si="846"/>
        <v>-50</v>
      </c>
    </row>
    <row r="288" spans="5:165">
      <c r="E288" s="170">
        <v>72</v>
      </c>
      <c r="F288" s="217">
        <f t="shared" si="847"/>
        <v>0.72</v>
      </c>
      <c r="G288" s="217">
        <f t="shared" si="775"/>
        <v>0.18</v>
      </c>
      <c r="H288" s="217">
        <f t="shared" si="776"/>
        <v>11.807999999999998</v>
      </c>
      <c r="I288" s="217">
        <f t="shared" si="777"/>
        <v>1.44</v>
      </c>
      <c r="J288" s="541">
        <f t="shared" si="778"/>
        <v>35.920016622016171</v>
      </c>
      <c r="K288" s="443">
        <f t="shared" si="779"/>
        <v>17.135568846722133</v>
      </c>
      <c r="L288" s="172">
        <f t="shared" si="780"/>
        <v>53.0555854687383</v>
      </c>
      <c r="M288" s="443"/>
      <c r="N288" s="217">
        <f t="shared" si="781"/>
        <v>0.32297389040818042</v>
      </c>
      <c r="O288" s="172">
        <f t="shared" si="782"/>
        <v>34.46741507170303</v>
      </c>
      <c r="P288" s="172">
        <f t="shared" si="783"/>
        <v>4.715946143064663</v>
      </c>
      <c r="Q288" s="217">
        <f t="shared" si="784"/>
        <v>2.1016716507135995</v>
      </c>
      <c r="R288" s="217">
        <f t="shared" si="785"/>
        <v>4.3084268839628788</v>
      </c>
      <c r="S288" s="217">
        <f t="shared" si="786"/>
        <v>16.399999999999999</v>
      </c>
      <c r="T288" s="217">
        <f t="shared" si="787"/>
        <v>2.283896249145394</v>
      </c>
      <c r="U288" s="217">
        <f t="shared" si="788"/>
        <v>0.76299393951133432</v>
      </c>
      <c r="V288" s="217">
        <f t="shared" si="789"/>
        <v>1.5994073634145722</v>
      </c>
      <c r="W288" s="197">
        <f t="shared" si="790"/>
        <v>350</v>
      </c>
      <c r="X288" s="443">
        <f t="shared" si="848"/>
        <v>350</v>
      </c>
      <c r="Z288" s="217">
        <f t="shared" si="791"/>
        <v>2.7621970266521592</v>
      </c>
      <c r="AA288" s="173">
        <f t="shared" si="792"/>
        <v>1.9343603131194846</v>
      </c>
      <c r="AB288" s="173">
        <f t="shared" si="793"/>
        <v>0.8334049976314839</v>
      </c>
      <c r="AC288" s="173"/>
      <c r="AD288" s="173">
        <f t="shared" si="794"/>
        <v>0.93373030934194201</v>
      </c>
      <c r="AE288" s="545">
        <f t="shared" si="795"/>
        <v>1156.6508971537437</v>
      </c>
      <c r="AF288" s="528">
        <f t="shared" si="796"/>
        <v>0.21787040551311981</v>
      </c>
      <c r="AH288" s="173">
        <f t="shared" si="797"/>
        <v>2.511686968666961</v>
      </c>
      <c r="AI288" s="173">
        <f t="shared" si="798"/>
        <v>2.511686968666961</v>
      </c>
      <c r="AJ288" s="173">
        <f t="shared" si="799"/>
        <v>2.0728545446915758</v>
      </c>
      <c r="AL288" s="545">
        <f t="shared" si="800"/>
        <v>720</v>
      </c>
      <c r="AM288" s="460">
        <f t="shared" si="801"/>
        <v>350</v>
      </c>
      <c r="AO288">
        <f t="shared" si="802"/>
        <v>720</v>
      </c>
      <c r="AP288">
        <f t="shared" si="803"/>
        <v>350</v>
      </c>
      <c r="AR288" s="5">
        <f t="shared" si="774"/>
        <v>2.8571428571428572</v>
      </c>
      <c r="AS288" s="5">
        <f t="shared" si="739"/>
        <v>0.83909325380239141</v>
      </c>
      <c r="AT288" s="5">
        <f t="shared" si="740"/>
        <v>2.018049603340466</v>
      </c>
      <c r="AU288" s="173">
        <f t="shared" si="741"/>
        <v>0.29368263883083701</v>
      </c>
      <c r="BA288" s="173">
        <f t="shared" si="849"/>
        <v>0.7858578973316741</v>
      </c>
      <c r="BB288" s="173">
        <f t="shared" si="850"/>
        <v>1.2187224901750942</v>
      </c>
      <c r="BC288" s="173">
        <f t="shared" si="851"/>
        <v>0.29899791365845202</v>
      </c>
      <c r="BD288" s="173"/>
      <c r="BE288" s="528">
        <f t="shared" si="852"/>
        <v>1.2351452695971201E-2</v>
      </c>
      <c r="BF288" s="528">
        <f t="shared" si="804"/>
        <v>0.87451233605417167</v>
      </c>
      <c r="BG288" s="528">
        <f t="shared" si="805"/>
        <v>0.31430014544264145</v>
      </c>
      <c r="BH288" s="528">
        <f t="shared" si="853"/>
        <v>9.8521330230070814E-2</v>
      </c>
      <c r="BI288">
        <f t="shared" si="854"/>
        <v>1.6164007479907275E-2</v>
      </c>
      <c r="BJ288" s="460">
        <f t="shared" si="855"/>
        <v>330.46415292254869</v>
      </c>
      <c r="BK288">
        <f t="shared" si="806"/>
        <v>0.99163015333649207</v>
      </c>
      <c r="BL288" s="460">
        <f t="shared" si="856"/>
        <v>1315.8492719027622</v>
      </c>
      <c r="BM288" s="173">
        <f t="shared" si="807"/>
        <v>0.44729999999999998</v>
      </c>
      <c r="BN288" s="173">
        <f t="shared" si="808"/>
        <v>7.9874999999999988E-2</v>
      </c>
      <c r="BQ288" s="460">
        <f t="shared" si="857"/>
        <v>527.17499999999995</v>
      </c>
      <c r="BR288" s="528">
        <f t="shared" si="858"/>
        <v>1.8527179043956801E-2</v>
      </c>
      <c r="BS288" s="528">
        <f t="shared" si="859"/>
        <v>4.4558535241757471E-2</v>
      </c>
      <c r="BT288" s="528">
        <f t="shared" si="860"/>
        <v>4.4699876186053564E-4</v>
      </c>
      <c r="BU288" s="528">
        <f t="shared" si="861"/>
        <v>1.1456551088188327</v>
      </c>
      <c r="BV288" s="528"/>
      <c r="BW288" s="625">
        <f t="shared" si="862"/>
        <v>1.1039999999999996E-2</v>
      </c>
      <c r="BX288" s="460">
        <f t="shared" si="863"/>
        <v>1220.2278218664076</v>
      </c>
      <c r="BY288" s="173">
        <f t="shared" si="864"/>
        <v>3.0632520937691692</v>
      </c>
      <c r="BZ288" s="5">
        <f t="shared" si="865"/>
        <v>13.247999999999998</v>
      </c>
      <c r="CA288" s="173">
        <f t="shared" si="866"/>
        <v>0.81220006433845016</v>
      </c>
      <c r="CB288" s="5">
        <f t="shared" si="867"/>
        <v>81.220006433845015</v>
      </c>
      <c r="CC288">
        <f t="shared" si="868"/>
        <v>72</v>
      </c>
      <c r="CE288" s="562">
        <f t="shared" si="809"/>
        <v>-50</v>
      </c>
      <c r="CG288" s="173">
        <f t="shared" si="810"/>
        <v>0.60727299281696867</v>
      </c>
      <c r="CH288" s="173">
        <f t="shared" si="811"/>
        <v>0.21609947779405306</v>
      </c>
      <c r="CI288" s="170">
        <v>72</v>
      </c>
      <c r="CJ288" s="217">
        <f t="shared" si="869"/>
        <v>0.72</v>
      </c>
      <c r="CK288" s="217">
        <f t="shared" si="812"/>
        <v>0.18</v>
      </c>
      <c r="CL288" s="217">
        <f t="shared" si="813"/>
        <v>11.807999999999998</v>
      </c>
      <c r="CM288" s="217">
        <f t="shared" si="814"/>
        <v>1.44</v>
      </c>
      <c r="CN288" s="541">
        <f t="shared" si="815"/>
        <v>36</v>
      </c>
      <c r="CO288" s="443">
        <f t="shared" si="816"/>
        <v>17.099999999999998</v>
      </c>
      <c r="CP288" s="443">
        <f t="shared" si="817"/>
        <v>53.099999999999994</v>
      </c>
      <c r="CQ288" s="443"/>
      <c r="CR288" s="217">
        <f t="shared" si="818"/>
        <v>0.31818181818181812</v>
      </c>
      <c r="CS288" s="172">
        <f t="shared" si="819"/>
        <v>34.031620553359687</v>
      </c>
      <c r="CT288" s="172">
        <f t="shared" si="820"/>
        <v>4.6563192904656319</v>
      </c>
      <c r="CU288" s="217">
        <f t="shared" si="821"/>
        <v>2.0750988142292495</v>
      </c>
      <c r="CV288" s="217">
        <f t="shared" si="822"/>
        <v>4.2539525691699609</v>
      </c>
      <c r="CW288" s="217">
        <f t="shared" si="823"/>
        <v>16.399999999999999</v>
      </c>
      <c r="CX288" s="217">
        <f t="shared" si="824"/>
        <v>2.3131428571428572</v>
      </c>
      <c r="CY288" s="217">
        <f t="shared" si="825"/>
        <v>0.77104761904761909</v>
      </c>
      <c r="CZ288" s="217">
        <f t="shared" si="826"/>
        <v>1.6232581453634087</v>
      </c>
      <c r="DA288" s="197">
        <f t="shared" si="827"/>
        <v>350</v>
      </c>
      <c r="DB288" s="443">
        <f t="shared" si="828"/>
        <v>350</v>
      </c>
      <c r="DD288" s="217">
        <f t="shared" si="829"/>
        <v>2.7602905569007259</v>
      </c>
      <c r="DE288" s="173">
        <f t="shared" si="830"/>
        <v>1.937046004842615</v>
      </c>
      <c r="DF288" s="173">
        <f t="shared" si="831"/>
        <v>0.83398609309454497</v>
      </c>
      <c r="DG288" s="173"/>
      <c r="DH288" s="173">
        <f t="shared" si="832"/>
        <v>0.93567251461988332</v>
      </c>
      <c r="DI288" s="545">
        <f t="shared" si="833"/>
        <v>1154.2499999999995</v>
      </c>
      <c r="DJ288" s="528">
        <f t="shared" si="834"/>
        <v>0.21832358674463945</v>
      </c>
      <c r="DL288" s="173">
        <f t="shared" si="835"/>
        <v>2.511686968666961</v>
      </c>
      <c r="DM288" s="173">
        <f t="shared" si="836"/>
        <v>2.511686968666961</v>
      </c>
      <c r="DN288" s="173">
        <f t="shared" si="837"/>
        <v>2.0728545446915758</v>
      </c>
      <c r="DP288" s="545">
        <f t="shared" si="838"/>
        <v>720</v>
      </c>
      <c r="DQ288" s="460">
        <f t="shared" si="839"/>
        <v>350</v>
      </c>
      <c r="DS288">
        <f t="shared" si="840"/>
        <v>720</v>
      </c>
      <c r="DT288">
        <f t="shared" si="841"/>
        <v>350</v>
      </c>
      <c r="DV288" s="5">
        <f t="shared" si="870"/>
        <v>2.8571428571428572</v>
      </c>
      <c r="DW288" s="5">
        <f t="shared" si="842"/>
        <v>0.83722898955565361</v>
      </c>
      <c r="DX288" s="5">
        <f t="shared" si="843"/>
        <v>2.0199138675872037</v>
      </c>
      <c r="DY288" s="173">
        <f t="shared" si="844"/>
        <v>0.29303014634447877</v>
      </c>
      <c r="EA288" s="5">
        <f t="shared" si="871"/>
        <v>3.6756394663418939</v>
      </c>
      <c r="EB288" s="5">
        <f t="shared" si="872"/>
        <v>1.8837652265002205</v>
      </c>
      <c r="EC288" s="5">
        <f t="shared" si="873"/>
        <v>0.55210979047383557</v>
      </c>
      <c r="ED288" s="5"/>
      <c r="EE288" s="173">
        <f t="shared" si="874"/>
        <v>0.78498441787908191</v>
      </c>
      <c r="EF288" s="173">
        <f t="shared" si="875"/>
        <v>1.2192852851339515</v>
      </c>
      <c r="EG288" s="173">
        <f t="shared" si="876"/>
        <v>0.29913598817490056</v>
      </c>
      <c r="EH288" s="173"/>
      <c r="EI288" s="528">
        <f t="shared" si="877"/>
        <v>1.2324010726259223E-2</v>
      </c>
      <c r="EJ288" s="528">
        <f t="shared" si="878"/>
        <v>0.93359404625350928</v>
      </c>
      <c r="EK288" s="528">
        <f t="shared" si="879"/>
        <v>4.3749999999999997E-2</v>
      </c>
      <c r="EL288" s="528">
        <f t="shared" si="880"/>
        <v>9.8686349999999978E-2</v>
      </c>
      <c r="EM288">
        <f t="shared" si="881"/>
        <v>1.6199999999999999E-2</v>
      </c>
      <c r="EN288" s="460">
        <f t="shared" si="882"/>
        <v>59.949999999999996</v>
      </c>
      <c r="EP288" s="460">
        <f t="shared" si="883"/>
        <v>1104.5544069797684</v>
      </c>
      <c r="EQ288" s="173">
        <f t="shared" si="884"/>
        <v>0.504</v>
      </c>
      <c r="ER288" s="173">
        <f t="shared" si="845"/>
        <v>7.9874999999999988E-2</v>
      </c>
      <c r="ES288" s="528"/>
      <c r="EU288" s="460">
        <f t="shared" si="885"/>
        <v>583.875</v>
      </c>
      <c r="EV288" s="528">
        <f t="shared" si="886"/>
        <v>1.8486016089388834E-2</v>
      </c>
      <c r="EW288" s="528">
        <f t="shared" si="887"/>
        <v>4.4599698196325442E-2</v>
      </c>
      <c r="EX288" s="528">
        <f t="shared" si="888"/>
        <v>4.4741169710687124E-4</v>
      </c>
      <c r="EY288" s="528">
        <f t="shared" si="889"/>
        <v>1.1456551088188327</v>
      </c>
      <c r="EZ288" s="528"/>
      <c r="FA288" s="625">
        <f t="shared" si="890"/>
        <v>1.1039999999999996E-2</v>
      </c>
      <c r="FB288" s="460">
        <f t="shared" si="891"/>
        <v>1220.2282348016538</v>
      </c>
      <c r="FC288" s="173">
        <f t="shared" si="892"/>
        <v>2.9086576417814221</v>
      </c>
      <c r="FD288" s="5">
        <f t="shared" si="893"/>
        <v>13.247999999999998</v>
      </c>
      <c r="FE288" s="173">
        <f t="shared" si="894"/>
        <v>0.81997157417883404</v>
      </c>
      <c r="FF288" s="5">
        <f t="shared" si="895"/>
        <v>81.9971574178834</v>
      </c>
      <c r="FG288">
        <f t="shared" si="896"/>
        <v>72</v>
      </c>
      <c r="FI288" s="562">
        <f t="shared" si="846"/>
        <v>-50</v>
      </c>
    </row>
    <row r="289" spans="5:165">
      <c r="E289" s="170">
        <v>73</v>
      </c>
      <c r="F289" s="217">
        <f t="shared" si="847"/>
        <v>0.73</v>
      </c>
      <c r="G289" s="217">
        <f t="shared" si="775"/>
        <v>0.1825</v>
      </c>
      <c r="H289" s="217">
        <f t="shared" si="776"/>
        <v>11.972</v>
      </c>
      <c r="I289" s="217">
        <f t="shared" si="777"/>
        <v>1.46</v>
      </c>
      <c r="J289" s="541">
        <f t="shared" si="778"/>
        <v>35.919463097224828</v>
      </c>
      <c r="K289" s="443">
        <f t="shared" si="779"/>
        <v>17.135815000847607</v>
      </c>
      <c r="L289" s="172">
        <f t="shared" si="780"/>
        <v>53.055278098072435</v>
      </c>
      <c r="M289" s="443"/>
      <c r="N289" s="217">
        <f t="shared" si="781"/>
        <v>0.32298040110490295</v>
      </c>
      <c r="O289" s="172">
        <f t="shared" si="782"/>
        <v>34.467578735013902</v>
      </c>
      <c r="P289" s="172">
        <f t="shared" si="783"/>
        <v>4.7159685360221282</v>
      </c>
      <c r="Q289" s="217">
        <f t="shared" si="784"/>
        <v>2.1016816301837746</v>
      </c>
      <c r="R289" s="217">
        <f t="shared" si="785"/>
        <v>4.3084473418767377</v>
      </c>
      <c r="S289" s="217">
        <f t="shared" si="786"/>
        <v>16.399999999999999</v>
      </c>
      <c r="T289" s="217">
        <f t="shared" si="787"/>
        <v>2.3156060350782615</v>
      </c>
      <c r="U289" s="217">
        <f t="shared" si="788"/>
        <v>0.77359932540545162</v>
      </c>
      <c r="V289" s="217">
        <f t="shared" si="789"/>
        <v>1.6215903602813562</v>
      </c>
      <c r="W289" s="197">
        <f t="shared" si="790"/>
        <v>350</v>
      </c>
      <c r="X289" s="443">
        <f t="shared" si="848"/>
        <v>350</v>
      </c>
      <c r="Z289" s="217">
        <f t="shared" si="791"/>
        <v>2.7622101425272465</v>
      </c>
      <c r="AA289" s="173">
        <f t="shared" si="792"/>
        <v>1.934341711128849</v>
      </c>
      <c r="AB289" s="173">
        <f t="shared" si="793"/>
        <v>0.8334009403594389</v>
      </c>
      <c r="AC289" s="173"/>
      <c r="AD289" s="173">
        <f t="shared" si="794"/>
        <v>0.93371689640723698</v>
      </c>
      <c r="AE289" s="545">
        <f t="shared" si="795"/>
        <v>1172.7323391205077</v>
      </c>
      <c r="AF289" s="528">
        <f t="shared" si="796"/>
        <v>0.21786727582835533</v>
      </c>
      <c r="AH289" s="173">
        <f t="shared" si="797"/>
        <v>2.5290690928067732</v>
      </c>
      <c r="AI289" s="173">
        <f t="shared" si="798"/>
        <v>2.5290690928067732</v>
      </c>
      <c r="AJ289" s="173">
        <f t="shared" si="799"/>
        <v>2.085730192202548</v>
      </c>
      <c r="AL289" s="545">
        <f t="shared" si="800"/>
        <v>730</v>
      </c>
      <c r="AM289" s="460">
        <f t="shared" si="801"/>
        <v>350</v>
      </c>
      <c r="AO289">
        <f t="shared" si="802"/>
        <v>730</v>
      </c>
      <c r="AP289">
        <f t="shared" si="803"/>
        <v>350</v>
      </c>
      <c r="AR289" s="5">
        <f t="shared" si="774"/>
        <v>2.8571428571428572</v>
      </c>
      <c r="AS289" s="5">
        <f t="shared" si="739"/>
        <v>0.84491321686893639</v>
      </c>
      <c r="AT289" s="5">
        <f t="shared" si="740"/>
        <v>2.0122296402739206</v>
      </c>
      <c r="AU289" s="173">
        <f t="shared" si="741"/>
        <v>0.2957196259041277</v>
      </c>
      <c r="BA289" s="173">
        <f t="shared" si="849"/>
        <v>0.79403590490409437</v>
      </c>
      <c r="BB289" s="173">
        <f t="shared" si="850"/>
        <v>1.2253858469015495</v>
      </c>
      <c r="BC289" s="173">
        <f t="shared" si="851"/>
        <v>0.30063268266881626</v>
      </c>
      <c r="BD289" s="173"/>
      <c r="BE289" s="528">
        <f t="shared" si="852"/>
        <v>1.260986036553728E-2</v>
      </c>
      <c r="BF289" s="528">
        <f t="shared" si="804"/>
        <v>0.88055929531567667</v>
      </c>
      <c r="BG289" s="528">
        <f t="shared" si="805"/>
        <v>0.31429530210071727</v>
      </c>
      <c r="BH289" s="528">
        <f t="shared" si="853"/>
        <v>9.8520188692233154E-2</v>
      </c>
      <c r="BI289">
        <f t="shared" si="854"/>
        <v>1.6163758393751171E-2</v>
      </c>
      <c r="BJ289" s="460">
        <f t="shared" si="855"/>
        <v>330.45906049446842</v>
      </c>
      <c r="BK289">
        <f t="shared" si="806"/>
        <v>0.99808437007075523</v>
      </c>
      <c r="BL289" s="460">
        <f t="shared" si="856"/>
        <v>1322.1484048679156</v>
      </c>
      <c r="BM289" s="173">
        <f t="shared" si="807"/>
        <v>0.45351249999999999</v>
      </c>
      <c r="BN289" s="173">
        <f t="shared" si="808"/>
        <v>8.0984374999999997E-2</v>
      </c>
      <c r="BQ289" s="460">
        <f t="shared" si="857"/>
        <v>534.49687499999993</v>
      </c>
      <c r="BR289" s="528">
        <f t="shared" si="858"/>
        <v>1.8914790548305919E-2</v>
      </c>
      <c r="BS289" s="528">
        <f t="shared" si="859"/>
        <v>4.5047114213598832E-2</v>
      </c>
      <c r="BT289" s="528">
        <f t="shared" si="860"/>
        <v>4.5190004944324592E-4</v>
      </c>
      <c r="BU289" s="528">
        <f t="shared" si="861"/>
        <v>1.1655793662638547</v>
      </c>
      <c r="BV289" s="528"/>
      <c r="BW289" s="625">
        <f t="shared" si="862"/>
        <v>1.1193333333333329E-2</v>
      </c>
      <c r="BX289" s="460">
        <f t="shared" si="863"/>
        <v>1241.1865044085362</v>
      </c>
      <c r="BY289" s="173">
        <f t="shared" si="864"/>
        <v>3.0978317842764516</v>
      </c>
      <c r="BZ289" s="5">
        <f t="shared" si="865"/>
        <v>13.431999999999999</v>
      </c>
      <c r="CA289" s="173">
        <f t="shared" si="866"/>
        <v>0.81259145134052857</v>
      </c>
      <c r="CB289" s="5">
        <f t="shared" si="867"/>
        <v>81.259145134052858</v>
      </c>
      <c r="CC289">
        <f t="shared" si="868"/>
        <v>73</v>
      </c>
      <c r="CE289" s="562">
        <f t="shared" si="809"/>
        <v>-50</v>
      </c>
      <c r="CG289" s="173">
        <f t="shared" si="810"/>
        <v>0.61147562422748325</v>
      </c>
      <c r="CH289" s="173">
        <f t="shared" si="811"/>
        <v>0.21759499375461022</v>
      </c>
      <c r="CI289" s="170">
        <v>73</v>
      </c>
      <c r="CJ289" s="217">
        <f t="shared" si="869"/>
        <v>0.73</v>
      </c>
      <c r="CK289" s="217">
        <f t="shared" si="812"/>
        <v>0.1825</v>
      </c>
      <c r="CL289" s="217">
        <f t="shared" si="813"/>
        <v>11.972</v>
      </c>
      <c r="CM289" s="217">
        <f t="shared" si="814"/>
        <v>1.46</v>
      </c>
      <c r="CN289" s="541">
        <f t="shared" si="815"/>
        <v>36</v>
      </c>
      <c r="CO289" s="443">
        <f t="shared" si="816"/>
        <v>17.099999999999998</v>
      </c>
      <c r="CP289" s="443">
        <f t="shared" si="817"/>
        <v>53.099999999999994</v>
      </c>
      <c r="CQ289" s="443"/>
      <c r="CR289" s="217">
        <f t="shared" si="818"/>
        <v>0.31818181818181812</v>
      </c>
      <c r="CS289" s="172">
        <f t="shared" si="819"/>
        <v>34.031620553359687</v>
      </c>
      <c r="CT289" s="172">
        <f t="shared" si="820"/>
        <v>4.6563192904656319</v>
      </c>
      <c r="CU289" s="217">
        <f t="shared" si="821"/>
        <v>2.0750988142292495</v>
      </c>
      <c r="CV289" s="217">
        <f t="shared" si="822"/>
        <v>4.2539525691699609</v>
      </c>
      <c r="CW289" s="217">
        <f t="shared" si="823"/>
        <v>16.399999999999999</v>
      </c>
      <c r="CX289" s="217">
        <f t="shared" si="824"/>
        <v>2.3452698412698414</v>
      </c>
      <c r="CY289" s="217">
        <f t="shared" si="825"/>
        <v>0.78175661375661376</v>
      </c>
      <c r="CZ289" s="217">
        <f t="shared" si="826"/>
        <v>1.6458033973823452</v>
      </c>
      <c r="DA289" s="197">
        <f t="shared" si="827"/>
        <v>350</v>
      </c>
      <c r="DB289" s="443">
        <f t="shared" si="828"/>
        <v>350</v>
      </c>
      <c r="DD289" s="217">
        <f t="shared" si="829"/>
        <v>2.7602905569007259</v>
      </c>
      <c r="DE289" s="173">
        <f t="shared" si="830"/>
        <v>1.937046004842615</v>
      </c>
      <c r="DF289" s="173">
        <f t="shared" si="831"/>
        <v>0.83398609309454497</v>
      </c>
      <c r="DG289" s="173"/>
      <c r="DH289" s="173">
        <f t="shared" si="832"/>
        <v>0.93567251461988332</v>
      </c>
      <c r="DI289" s="545">
        <f t="shared" si="833"/>
        <v>1170.2812499999995</v>
      </c>
      <c r="DJ289" s="528">
        <f t="shared" si="834"/>
        <v>0.21832358674463945</v>
      </c>
      <c r="DL289" s="173">
        <f t="shared" si="835"/>
        <v>2.5290690928067732</v>
      </c>
      <c r="DM289" s="173">
        <f t="shared" si="836"/>
        <v>2.5290690928067732</v>
      </c>
      <c r="DN289" s="173">
        <f t="shared" si="837"/>
        <v>2.085730192202548</v>
      </c>
      <c r="DP289" s="545">
        <f t="shared" si="838"/>
        <v>730</v>
      </c>
      <c r="DQ289" s="460">
        <f t="shared" si="839"/>
        <v>350</v>
      </c>
      <c r="DS289">
        <f t="shared" si="840"/>
        <v>730</v>
      </c>
      <c r="DT289">
        <f t="shared" si="841"/>
        <v>350</v>
      </c>
      <c r="DV289" s="5">
        <f t="shared" si="870"/>
        <v>2.8571428571428572</v>
      </c>
      <c r="DW289" s="5">
        <f t="shared" si="842"/>
        <v>0.84302303093559106</v>
      </c>
      <c r="DX289" s="5">
        <f t="shared" si="843"/>
        <v>2.0141198262072662</v>
      </c>
      <c r="DY289" s="173">
        <f t="shared" si="844"/>
        <v>0.29505806082745684</v>
      </c>
      <c r="EA289" s="5">
        <f t="shared" si="871"/>
        <v>3.7524805645303756</v>
      </c>
      <c r="EB289" s="5">
        <f t="shared" si="872"/>
        <v>1.9231462893218172</v>
      </c>
      <c r="EC289" s="5">
        <f t="shared" si="873"/>
        <v>0.55817228146651354</v>
      </c>
      <c r="ED289" s="5"/>
      <c r="EE289" s="173">
        <f t="shared" si="874"/>
        <v>0.79314722437216512</v>
      </c>
      <c r="EF289" s="173">
        <f t="shared" si="875"/>
        <v>1.2259612443035146</v>
      </c>
      <c r="EG289" s="173">
        <f t="shared" si="876"/>
        <v>0.30077384903285648</v>
      </c>
      <c r="EH289" s="173"/>
      <c r="EI289" s="528">
        <f t="shared" si="877"/>
        <v>1.2581650390585394E-2</v>
      </c>
      <c r="EJ289" s="528">
        <f t="shared" si="878"/>
        <v>0.94005498179627744</v>
      </c>
      <c r="EK289" s="528">
        <f t="shared" si="879"/>
        <v>4.3749999999999997E-2</v>
      </c>
      <c r="EL289" s="528">
        <f t="shared" si="880"/>
        <v>9.8686349999999978E-2</v>
      </c>
      <c r="EM289">
        <f t="shared" si="881"/>
        <v>1.6199999999999999E-2</v>
      </c>
      <c r="EN289" s="460">
        <f t="shared" si="882"/>
        <v>59.949999999999996</v>
      </c>
      <c r="EP289" s="460">
        <f t="shared" si="883"/>
        <v>1111.2729821868627</v>
      </c>
      <c r="EQ289" s="173">
        <f t="shared" si="884"/>
        <v>0.51100000000000001</v>
      </c>
      <c r="ER289" s="173">
        <f t="shared" si="845"/>
        <v>8.0984374999999997E-2</v>
      </c>
      <c r="ES289" s="528"/>
      <c r="EU289" s="460">
        <f t="shared" si="885"/>
        <v>591.984375</v>
      </c>
      <c r="EV289" s="528">
        <f t="shared" si="886"/>
        <v>1.8872475585878089E-2</v>
      </c>
      <c r="EW289" s="528">
        <f t="shared" si="887"/>
        <v>4.5089429176026652E-2</v>
      </c>
      <c r="EX289" s="528">
        <f t="shared" si="888"/>
        <v>4.5232454131019772E-4</v>
      </c>
      <c r="EY289" s="528">
        <f t="shared" si="889"/>
        <v>1.1655793662638547</v>
      </c>
      <c r="EZ289" s="528"/>
      <c r="FA289" s="625">
        <f t="shared" si="890"/>
        <v>1.1193333333333329E-2</v>
      </c>
      <c r="FB289" s="460">
        <f t="shared" si="891"/>
        <v>1241.1869289004032</v>
      </c>
      <c r="FC289" s="173">
        <f t="shared" si="892"/>
        <v>2.9444442860872653</v>
      </c>
      <c r="FD289" s="5">
        <f t="shared" si="893"/>
        <v>13.431999999999999</v>
      </c>
      <c r="FE289" s="173">
        <f t="shared" si="894"/>
        <v>0.8202024667473915</v>
      </c>
      <c r="FF289" s="5">
        <f t="shared" si="895"/>
        <v>82.020246674739155</v>
      </c>
      <c r="FG289">
        <f t="shared" si="896"/>
        <v>73</v>
      </c>
      <c r="FI289" s="562">
        <f t="shared" si="846"/>
        <v>-50</v>
      </c>
    </row>
    <row r="290" spans="5:165">
      <c r="E290" s="170">
        <v>74</v>
      </c>
      <c r="F290" s="217">
        <f t="shared" si="847"/>
        <v>0.74</v>
      </c>
      <c r="G290" s="217">
        <f t="shared" si="775"/>
        <v>0.185</v>
      </c>
      <c r="H290" s="217">
        <f t="shared" si="776"/>
        <v>12.135999999999999</v>
      </c>
      <c r="I290" s="217">
        <f t="shared" si="777"/>
        <v>1.48</v>
      </c>
      <c r="J290" s="541">
        <f t="shared" si="778"/>
        <v>35.918913350892211</v>
      </c>
      <c r="K290" s="443">
        <f t="shared" si="779"/>
        <v>17.136059474681222</v>
      </c>
      <c r="L290" s="172">
        <f t="shared" si="780"/>
        <v>53.054972825573429</v>
      </c>
      <c r="M290" s="443"/>
      <c r="N290" s="217">
        <f t="shared" si="781"/>
        <v>0.32298686743311911</v>
      </c>
      <c r="O290" s="172">
        <f t="shared" si="782"/>
        <v>34.467741267902824</v>
      </c>
      <c r="P290" s="172">
        <f t="shared" si="783"/>
        <v>4.7159907743115106</v>
      </c>
      <c r="Q290" s="217">
        <f t="shared" si="784"/>
        <v>2.1016915407257821</v>
      </c>
      <c r="R290" s="217">
        <f t="shared" si="785"/>
        <v>4.308467658487853</v>
      </c>
      <c r="S290" s="217">
        <f t="shared" si="786"/>
        <v>16.399999999999999</v>
      </c>
      <c r="T290" s="217">
        <f t="shared" si="787"/>
        <v>2.3473155968595156</v>
      </c>
      <c r="U290" s="217">
        <f t="shared" si="788"/>
        <v>0.78420488078642037</v>
      </c>
      <c r="V290" s="217">
        <f t="shared" si="789"/>
        <v>1.6437727240578561</v>
      </c>
      <c r="W290" s="197">
        <f t="shared" si="790"/>
        <v>350</v>
      </c>
      <c r="X290" s="443">
        <f t="shared" si="848"/>
        <v>350</v>
      </c>
      <c r="Z290" s="217">
        <f t="shared" si="791"/>
        <v>2.7622231678110274</v>
      </c>
      <c r="AA290" s="173">
        <f t="shared" si="792"/>
        <v>1.9343232359053739</v>
      </c>
      <c r="AB290" s="173">
        <f t="shared" si="793"/>
        <v>0.83339691029598728</v>
      </c>
      <c r="AC290" s="173"/>
      <c r="AD290" s="173">
        <f t="shared" si="794"/>
        <v>0.93370357541301929</v>
      </c>
      <c r="AE290" s="545">
        <f t="shared" si="795"/>
        <v>1188.8141260560094</v>
      </c>
      <c r="AF290" s="528">
        <f t="shared" si="796"/>
        <v>0.2178641675963712</v>
      </c>
      <c r="AH290" s="173">
        <f t="shared" si="797"/>
        <v>2.546332563474285</v>
      </c>
      <c r="AI290" s="173">
        <f t="shared" si="798"/>
        <v>2.546332563474285</v>
      </c>
      <c r="AJ290" s="173">
        <f t="shared" si="799"/>
        <v>2.0985179482525567</v>
      </c>
      <c r="AL290" s="545">
        <f t="shared" si="800"/>
        <v>740</v>
      </c>
      <c r="AM290" s="460">
        <f t="shared" si="801"/>
        <v>350</v>
      </c>
      <c r="AO290">
        <f t="shared" si="802"/>
        <v>740</v>
      </c>
      <c r="AP290">
        <f t="shared" si="803"/>
        <v>350</v>
      </c>
      <c r="AR290" s="5">
        <f t="shared" si="774"/>
        <v>2.8571428571428572</v>
      </c>
      <c r="AS290" s="5">
        <f t="shared" si="739"/>
        <v>0.85069362937541149</v>
      </c>
      <c r="AT290" s="5">
        <f t="shared" si="740"/>
        <v>2.0064492277674457</v>
      </c>
      <c r="AU290" s="173">
        <f t="shared" si="741"/>
        <v>0.29774277028139401</v>
      </c>
      <c r="BA290" s="173">
        <f t="shared" si="849"/>
        <v>0.80218605688787148</v>
      </c>
      <c r="BB290" s="173">
        <f t="shared" si="850"/>
        <v>1.2319770174011082</v>
      </c>
      <c r="BC290" s="173">
        <f t="shared" si="851"/>
        <v>0.30224974171533636</v>
      </c>
      <c r="BD290" s="173"/>
      <c r="BE290" s="528">
        <f t="shared" si="852"/>
        <v>1.2870049397306228E-2</v>
      </c>
      <c r="BF290" s="528">
        <f t="shared" si="804"/>
        <v>0.88656490755000583</v>
      </c>
      <c r="BG290" s="528">
        <f t="shared" si="805"/>
        <v>0.31429049182030683</v>
      </c>
      <c r="BH290" s="528">
        <f t="shared" si="853"/>
        <v>9.8519054953281726E-2</v>
      </c>
      <c r="BI290">
        <f t="shared" si="854"/>
        <v>1.6163511007901494E-2</v>
      </c>
      <c r="BJ290" s="460">
        <f t="shared" si="855"/>
        <v>330.45400282820833</v>
      </c>
      <c r="BK290">
        <f t="shared" si="806"/>
        <v>1.0045006115014068</v>
      </c>
      <c r="BL290" s="460">
        <f t="shared" si="856"/>
        <v>1328.4080147288021</v>
      </c>
      <c r="BM290" s="173">
        <f t="shared" si="807"/>
        <v>0.45972499999999999</v>
      </c>
      <c r="BN290" s="173">
        <f t="shared" si="808"/>
        <v>8.2093749999999993E-2</v>
      </c>
      <c r="BQ290" s="460">
        <f t="shared" si="857"/>
        <v>541.81875000000002</v>
      </c>
      <c r="BR290" s="528">
        <f t="shared" si="858"/>
        <v>1.930507409595934E-2</v>
      </c>
      <c r="BS290" s="528">
        <f t="shared" si="859"/>
        <v>4.5533021142135914E-2</v>
      </c>
      <c r="BT290" s="528">
        <f t="shared" si="860"/>
        <v>4.567745318349377E-4</v>
      </c>
      <c r="BU290" s="528">
        <f t="shared" si="861"/>
        <v>1.1855719763131851</v>
      </c>
      <c r="BV290" s="528"/>
      <c r="BW290" s="625">
        <f t="shared" si="862"/>
        <v>1.1346666666666666E-2</v>
      </c>
      <c r="BX290" s="460">
        <f t="shared" si="863"/>
        <v>1262.213512749782</v>
      </c>
      <c r="BY290" s="173">
        <f t="shared" si="864"/>
        <v>3.132440277478584</v>
      </c>
      <c r="BZ290" s="5">
        <f t="shared" si="865"/>
        <v>13.616</v>
      </c>
      <c r="CA290" s="173">
        <f t="shared" si="866"/>
        <v>0.81297122444943504</v>
      </c>
      <c r="CB290" s="5">
        <f t="shared" si="867"/>
        <v>81.297122444943497</v>
      </c>
      <c r="CC290">
        <f t="shared" si="868"/>
        <v>74</v>
      </c>
      <c r="CE290" s="562">
        <f t="shared" si="809"/>
        <v>-50</v>
      </c>
      <c r="CG290" s="173">
        <f t="shared" si="810"/>
        <v>0.61564956772818613</v>
      </c>
      <c r="CH290" s="173">
        <f t="shared" si="811"/>
        <v>0.21908030105711304</v>
      </c>
      <c r="CI290" s="170">
        <v>74</v>
      </c>
      <c r="CJ290" s="217">
        <f t="shared" si="869"/>
        <v>0.74</v>
      </c>
      <c r="CK290" s="217">
        <f t="shared" si="812"/>
        <v>0.185</v>
      </c>
      <c r="CL290" s="217">
        <f t="shared" si="813"/>
        <v>12.135999999999999</v>
      </c>
      <c r="CM290" s="217">
        <f t="shared" si="814"/>
        <v>1.48</v>
      </c>
      <c r="CN290" s="541">
        <f t="shared" si="815"/>
        <v>36</v>
      </c>
      <c r="CO290" s="443">
        <f t="shared" si="816"/>
        <v>17.099999999999998</v>
      </c>
      <c r="CP290" s="443">
        <f t="shared" si="817"/>
        <v>53.099999999999994</v>
      </c>
      <c r="CQ290" s="443"/>
      <c r="CR290" s="217">
        <f t="shared" si="818"/>
        <v>0.31818181818181812</v>
      </c>
      <c r="CS290" s="172">
        <f t="shared" si="819"/>
        <v>34.031620553359687</v>
      </c>
      <c r="CT290" s="172">
        <f t="shared" si="820"/>
        <v>4.6563192904656319</v>
      </c>
      <c r="CU290" s="217">
        <f t="shared" si="821"/>
        <v>2.0750988142292495</v>
      </c>
      <c r="CV290" s="217">
        <f t="shared" si="822"/>
        <v>4.2539525691699609</v>
      </c>
      <c r="CW290" s="217">
        <f t="shared" si="823"/>
        <v>16.399999999999999</v>
      </c>
      <c r="CX290" s="217">
        <f t="shared" si="824"/>
        <v>2.3773968253968256</v>
      </c>
      <c r="CY290" s="217">
        <f t="shared" si="825"/>
        <v>0.79246560846560865</v>
      </c>
      <c r="CZ290" s="217">
        <f t="shared" si="826"/>
        <v>1.6683486494012814</v>
      </c>
      <c r="DA290" s="197">
        <f t="shared" si="827"/>
        <v>350</v>
      </c>
      <c r="DB290" s="443">
        <f t="shared" si="828"/>
        <v>350</v>
      </c>
      <c r="DD290" s="217">
        <f t="shared" si="829"/>
        <v>2.7602905569007259</v>
      </c>
      <c r="DE290" s="173">
        <f t="shared" si="830"/>
        <v>1.937046004842615</v>
      </c>
      <c r="DF290" s="173">
        <f t="shared" si="831"/>
        <v>0.83398609309454497</v>
      </c>
      <c r="DG290" s="173"/>
      <c r="DH290" s="173">
        <f t="shared" si="832"/>
        <v>0.93567251461988332</v>
      </c>
      <c r="DI290" s="545">
        <f t="shared" si="833"/>
        <v>1186.3124999999995</v>
      </c>
      <c r="DJ290" s="528">
        <f t="shared" si="834"/>
        <v>0.21832358674463945</v>
      </c>
      <c r="DL290" s="173">
        <f t="shared" si="835"/>
        <v>2.546332563474285</v>
      </c>
      <c r="DM290" s="173">
        <f t="shared" si="836"/>
        <v>2.546332563474285</v>
      </c>
      <c r="DN290" s="173">
        <f t="shared" si="837"/>
        <v>2.0985179482525567</v>
      </c>
      <c r="DP290" s="545">
        <f t="shared" si="838"/>
        <v>740</v>
      </c>
      <c r="DQ290" s="460">
        <f t="shared" si="839"/>
        <v>350</v>
      </c>
      <c r="DS290">
        <f t="shared" si="840"/>
        <v>740</v>
      </c>
      <c r="DT290">
        <f t="shared" si="841"/>
        <v>350</v>
      </c>
      <c r="DV290" s="5">
        <f t="shared" si="870"/>
        <v>2.8571428571428572</v>
      </c>
      <c r="DW290" s="5">
        <f t="shared" si="842"/>
        <v>0.84877752115809502</v>
      </c>
      <c r="DX290" s="5">
        <f t="shared" si="843"/>
        <v>2.0083653359847622</v>
      </c>
      <c r="DY290" s="173">
        <f t="shared" si="844"/>
        <v>0.29707213240533326</v>
      </c>
      <c r="EA290" s="5">
        <f t="shared" si="871"/>
        <v>3.8298497905914051</v>
      </c>
      <c r="EB290" s="5">
        <f t="shared" si="872"/>
        <v>1.9627980176780946</v>
      </c>
      <c r="EC290" s="5">
        <f t="shared" si="873"/>
        <v>0.56420189160905254</v>
      </c>
      <c r="ED290" s="5"/>
      <c r="EE290" s="173">
        <f t="shared" si="874"/>
        <v>0.80128212288142797</v>
      </c>
      <c r="EF290" s="173">
        <f t="shared" si="875"/>
        <v>1.232565130457808</v>
      </c>
      <c r="EG290" s="173">
        <f t="shared" si="876"/>
        <v>0.30239402770198726</v>
      </c>
      <c r="EH290" s="173"/>
      <c r="EI290" s="528">
        <f t="shared" si="877"/>
        <v>1.2841060808987358E-2</v>
      </c>
      <c r="EJ290" s="528">
        <f t="shared" si="878"/>
        <v>0.94647181384339174</v>
      </c>
      <c r="EK290" s="528">
        <f t="shared" si="879"/>
        <v>4.3749999999999997E-2</v>
      </c>
      <c r="EL290" s="528">
        <f t="shared" si="880"/>
        <v>9.8686349999999978E-2</v>
      </c>
      <c r="EM290">
        <f t="shared" si="881"/>
        <v>1.6199999999999999E-2</v>
      </c>
      <c r="EN290" s="460">
        <f t="shared" si="882"/>
        <v>59.949999999999996</v>
      </c>
      <c r="EP290" s="460">
        <f t="shared" si="883"/>
        <v>1117.9492246523789</v>
      </c>
      <c r="EQ290" s="173">
        <f t="shared" si="884"/>
        <v>0.51800000000000002</v>
      </c>
      <c r="ER290" s="173">
        <f t="shared" si="845"/>
        <v>8.2093749999999993E-2</v>
      </c>
      <c r="ES290" s="528"/>
      <c r="EU290" s="460">
        <f t="shared" si="885"/>
        <v>600.09375</v>
      </c>
      <c r="EV290" s="528">
        <f t="shared" si="886"/>
        <v>1.9261591213481033E-2</v>
      </c>
      <c r="EW290" s="528">
        <f t="shared" si="887"/>
        <v>4.5576504024614203E-2</v>
      </c>
      <c r="EX290" s="528">
        <f t="shared" si="888"/>
        <v>4.5721073994915115E-4</v>
      </c>
      <c r="EY290" s="528">
        <f t="shared" si="889"/>
        <v>1.1855719763131851</v>
      </c>
      <c r="EZ290" s="528"/>
      <c r="FA290" s="625">
        <f t="shared" si="890"/>
        <v>1.1346666666666666E-2</v>
      </c>
      <c r="FB290" s="460">
        <f t="shared" si="891"/>
        <v>1262.213948957896</v>
      </c>
      <c r="FC290" s="173">
        <f t="shared" si="892"/>
        <v>2.9802569236102756</v>
      </c>
      <c r="FD290" s="5">
        <f t="shared" si="893"/>
        <v>13.616</v>
      </c>
      <c r="FE290" s="173">
        <f t="shared" si="894"/>
        <v>0.82042595885759728</v>
      </c>
      <c r="FF290" s="5">
        <f t="shared" si="895"/>
        <v>82.042595885759724</v>
      </c>
      <c r="FG290">
        <f t="shared" si="896"/>
        <v>74</v>
      </c>
      <c r="FI290" s="562">
        <f t="shared" si="846"/>
        <v>-50</v>
      </c>
    </row>
    <row r="291" spans="5:165">
      <c r="E291" s="170">
        <v>75</v>
      </c>
      <c r="F291" s="217">
        <f t="shared" si="847"/>
        <v>0.75</v>
      </c>
      <c r="G291" s="217">
        <f t="shared" si="775"/>
        <v>0.1875</v>
      </c>
      <c r="H291" s="217">
        <f t="shared" si="776"/>
        <v>12.299999999999999</v>
      </c>
      <c r="I291" s="217">
        <f t="shared" si="777"/>
        <v>1.5</v>
      </c>
      <c r="J291" s="541">
        <f t="shared" si="778"/>
        <v>35.918367306681439</v>
      </c>
      <c r="K291" s="443">
        <f t="shared" si="779"/>
        <v>17.136302302170208</v>
      </c>
      <c r="L291" s="172">
        <f t="shared" si="780"/>
        <v>53.054669608851647</v>
      </c>
      <c r="M291" s="443"/>
      <c r="N291" s="217">
        <f t="shared" si="781"/>
        <v>0.32299329028921492</v>
      </c>
      <c r="O291" s="172">
        <f t="shared" si="782"/>
        <v>34.46790269320767</v>
      </c>
      <c r="P291" s="172">
        <f t="shared" si="783"/>
        <v>4.7160128610575631</v>
      </c>
      <c r="Q291" s="217">
        <f t="shared" si="784"/>
        <v>2.1017013837321752</v>
      </c>
      <c r="R291" s="217">
        <f t="shared" si="785"/>
        <v>4.3084878366509587</v>
      </c>
      <c r="S291" s="217">
        <f t="shared" si="786"/>
        <v>16.399999999999999</v>
      </c>
      <c r="T291" s="217">
        <f t="shared" si="787"/>
        <v>2.3790249360359002</v>
      </c>
      <c r="U291" s="217">
        <f t="shared" si="788"/>
        <v>0.79481060452100016</v>
      </c>
      <c r="V291" s="217">
        <f t="shared" si="789"/>
        <v>1.6659544590792692</v>
      </c>
      <c r="W291" s="197">
        <f t="shared" si="790"/>
        <v>350</v>
      </c>
      <c r="X291" s="443">
        <f t="shared" si="848"/>
        <v>350</v>
      </c>
      <c r="Z291" s="217">
        <f t="shared" si="791"/>
        <v>2.7622361043337156</v>
      </c>
      <c r="AA291" s="173">
        <f t="shared" si="792"/>
        <v>1.934304884887958</v>
      </c>
      <c r="AB291" s="173">
        <f t="shared" si="793"/>
        <v>0.83339290689142986</v>
      </c>
      <c r="AC291" s="173"/>
      <c r="AD291" s="173">
        <f t="shared" si="794"/>
        <v>0.93369034450178323</v>
      </c>
      <c r="AE291" s="545">
        <f t="shared" si="795"/>
        <v>1204.8962556213426</v>
      </c>
      <c r="AF291" s="528">
        <f t="shared" si="796"/>
        <v>0.21786108038374943</v>
      </c>
      <c r="AH291" s="173">
        <f t="shared" si="797"/>
        <v>2.5634797778466227</v>
      </c>
      <c r="AI291" s="173">
        <f t="shared" si="798"/>
        <v>2.5634797778466227</v>
      </c>
      <c r="AJ291" s="173">
        <f t="shared" si="799"/>
        <v>2.1112195885283622</v>
      </c>
      <c r="AL291" s="545">
        <f t="shared" si="800"/>
        <v>750</v>
      </c>
      <c r="AM291" s="460">
        <f t="shared" si="801"/>
        <v>350</v>
      </c>
      <c r="AO291">
        <f t="shared" si="802"/>
        <v>750</v>
      </c>
      <c r="AP291">
        <f t="shared" si="803"/>
        <v>350</v>
      </c>
      <c r="AR291" s="5">
        <f t="shared" si="774"/>
        <v>2.8571428571428572</v>
      </c>
      <c r="AS291" s="5">
        <f t="shared" si="739"/>
        <v>0.8564352903768333</v>
      </c>
      <c r="AT291" s="5">
        <f t="shared" si="740"/>
        <v>2.0007075667660237</v>
      </c>
      <c r="AU291" s="173">
        <f t="shared" si="741"/>
        <v>0.29975235163189162</v>
      </c>
      <c r="BA291" s="173">
        <f t="shared" si="849"/>
        <v>0.81030882340556143</v>
      </c>
      <c r="BB291" s="173">
        <f t="shared" si="850"/>
        <v>1.2384973965201884</v>
      </c>
      <c r="BC291" s="173">
        <f t="shared" si="851"/>
        <v>0.30384943300567024</v>
      </c>
      <c r="BD291" s="173"/>
      <c r="BE291" s="528">
        <f t="shared" si="852"/>
        <v>1.3132007785778107E-2</v>
      </c>
      <c r="BF291" s="528">
        <f t="shared" si="804"/>
        <v>0.89253000809847638</v>
      </c>
      <c r="BG291" s="528">
        <f t="shared" si="805"/>
        <v>0.31428571393346261</v>
      </c>
      <c r="BH291" s="528">
        <f t="shared" si="853"/>
        <v>9.8517928855654233E-2</v>
      </c>
      <c r="BI291">
        <f t="shared" si="854"/>
        <v>1.6163265288006646E-2</v>
      </c>
      <c r="BJ291" s="460">
        <f t="shared" si="855"/>
        <v>330.44897922146924</v>
      </c>
      <c r="BK291">
        <f t="shared" si="806"/>
        <v>1.010879698346504</v>
      </c>
      <c r="BL291" s="460">
        <f t="shared" si="856"/>
        <v>1334.6289239613777</v>
      </c>
      <c r="BM291" s="173">
        <f t="shared" si="807"/>
        <v>0.46593749999999989</v>
      </c>
      <c r="BN291" s="173">
        <f t="shared" si="808"/>
        <v>8.3203124999999989E-2</v>
      </c>
      <c r="BQ291" s="460">
        <f t="shared" si="857"/>
        <v>549.14062499999989</v>
      </c>
      <c r="BR291" s="528">
        <f t="shared" si="858"/>
        <v>1.9698011678667159E-2</v>
      </c>
      <c r="BS291" s="528">
        <f t="shared" si="859"/>
        <v>4.6016274035618546E-2</v>
      </c>
      <c r="BT291" s="528">
        <f t="shared" si="860"/>
        <v>4.6162238968933643E-4</v>
      </c>
      <c r="BU291" s="528">
        <f t="shared" si="861"/>
        <v>1.2056322449898107</v>
      </c>
      <c r="BV291" s="528"/>
      <c r="BW291" s="625">
        <f t="shared" si="862"/>
        <v>1.1499999999999998E-2</v>
      </c>
      <c r="BX291" s="460">
        <f t="shared" si="863"/>
        <v>1283.3081530937857</v>
      </c>
      <c r="BY291" s="173">
        <f t="shared" si="864"/>
        <v>3.1670777020551633</v>
      </c>
      <c r="BZ291" s="5">
        <f t="shared" si="865"/>
        <v>13.799999999999999</v>
      </c>
      <c r="CA291" s="173">
        <f t="shared" si="866"/>
        <v>0.8133398244724519</v>
      </c>
      <c r="CB291" s="5">
        <f t="shared" si="867"/>
        <v>81.333982447245191</v>
      </c>
      <c r="CC291">
        <f t="shared" si="868"/>
        <v>75</v>
      </c>
      <c r="CE291" s="562">
        <f t="shared" si="809"/>
        <v>-50</v>
      </c>
      <c r="CG291" s="173">
        <f t="shared" si="810"/>
        <v>0.61979540290600299</v>
      </c>
      <c r="CH291" s="173">
        <f t="shared" si="811"/>
        <v>0.22055560594888926</v>
      </c>
      <c r="CI291" s="170">
        <v>75</v>
      </c>
      <c r="CJ291" s="217">
        <f t="shared" si="869"/>
        <v>0.75</v>
      </c>
      <c r="CK291" s="217">
        <f t="shared" si="812"/>
        <v>0.1875</v>
      </c>
      <c r="CL291" s="217">
        <f t="shared" si="813"/>
        <v>12.299999999999999</v>
      </c>
      <c r="CM291" s="217">
        <f t="shared" si="814"/>
        <v>1.5</v>
      </c>
      <c r="CN291" s="541">
        <f t="shared" si="815"/>
        <v>36</v>
      </c>
      <c r="CO291" s="443">
        <f t="shared" si="816"/>
        <v>17.099999999999998</v>
      </c>
      <c r="CP291" s="443">
        <f t="shared" si="817"/>
        <v>53.099999999999994</v>
      </c>
      <c r="CQ291" s="443"/>
      <c r="CR291" s="217">
        <f t="shared" si="818"/>
        <v>0.31818181818181812</v>
      </c>
      <c r="CS291" s="172">
        <f t="shared" si="819"/>
        <v>34.031620553359687</v>
      </c>
      <c r="CT291" s="172">
        <f t="shared" si="820"/>
        <v>4.6563192904656319</v>
      </c>
      <c r="CU291" s="217">
        <f t="shared" si="821"/>
        <v>2.0750988142292495</v>
      </c>
      <c r="CV291" s="217">
        <f t="shared" si="822"/>
        <v>4.2539525691699609</v>
      </c>
      <c r="CW291" s="217">
        <f t="shared" si="823"/>
        <v>16.399999999999999</v>
      </c>
      <c r="CX291" s="217">
        <f t="shared" si="824"/>
        <v>2.4095238095238094</v>
      </c>
      <c r="CY291" s="217">
        <f t="shared" si="825"/>
        <v>0.80317460317460321</v>
      </c>
      <c r="CZ291" s="217">
        <f t="shared" si="826"/>
        <v>1.6908939014202176</v>
      </c>
      <c r="DA291" s="197">
        <f t="shared" si="827"/>
        <v>350</v>
      </c>
      <c r="DB291" s="443">
        <f t="shared" si="828"/>
        <v>350</v>
      </c>
      <c r="DD291" s="217">
        <f t="shared" si="829"/>
        <v>2.7602905569007259</v>
      </c>
      <c r="DE291" s="173">
        <f t="shared" si="830"/>
        <v>1.937046004842615</v>
      </c>
      <c r="DF291" s="173">
        <f t="shared" si="831"/>
        <v>0.83398609309454497</v>
      </c>
      <c r="DG291" s="173"/>
      <c r="DH291" s="173">
        <f t="shared" si="832"/>
        <v>0.93567251461988332</v>
      </c>
      <c r="DI291" s="545">
        <f t="shared" si="833"/>
        <v>1202.3437499999995</v>
      </c>
      <c r="DJ291" s="528">
        <f t="shared" si="834"/>
        <v>0.21832358674463945</v>
      </c>
      <c r="DL291" s="173">
        <f t="shared" si="835"/>
        <v>2.5634797778466227</v>
      </c>
      <c r="DM291" s="173">
        <f t="shared" si="836"/>
        <v>2.5634797778466227</v>
      </c>
      <c r="DN291" s="173">
        <f t="shared" si="837"/>
        <v>2.1112195885283622</v>
      </c>
      <c r="DP291" s="545">
        <f t="shared" si="838"/>
        <v>750</v>
      </c>
      <c r="DQ291" s="460">
        <f t="shared" si="839"/>
        <v>350</v>
      </c>
      <c r="DS291">
        <f t="shared" si="840"/>
        <v>750</v>
      </c>
      <c r="DT291">
        <f t="shared" si="841"/>
        <v>350</v>
      </c>
      <c r="DV291" s="5">
        <f t="shared" si="870"/>
        <v>2.8571428571428572</v>
      </c>
      <c r="DW291" s="5">
        <f t="shared" si="842"/>
        <v>0.85449325928220754</v>
      </c>
      <c r="DX291" s="5">
        <f t="shared" si="843"/>
        <v>2.0026495978606498</v>
      </c>
      <c r="DY291" s="173">
        <f t="shared" si="844"/>
        <v>0.29907264074877266</v>
      </c>
      <c r="EA291" s="5">
        <f t="shared" si="871"/>
        <v>3.9077435637905844</v>
      </c>
      <c r="EB291" s="5">
        <f t="shared" si="872"/>
        <v>2.0027185764426743</v>
      </c>
      <c r="EC291" s="5">
        <f t="shared" si="873"/>
        <v>0.57019884383532371</v>
      </c>
      <c r="ED291" s="5"/>
      <c r="EE291" s="173">
        <f t="shared" si="874"/>
        <v>0.80938958405889172</v>
      </c>
      <c r="EF291" s="173">
        <f t="shared" si="875"/>
        <v>1.2390983381851355</v>
      </c>
      <c r="EG291" s="173">
        <f t="shared" si="876"/>
        <v>0.30399686632662576</v>
      </c>
      <c r="EH291" s="173"/>
      <c r="EI291" s="528">
        <f t="shared" si="877"/>
        <v>1.3102229975660516E-2</v>
      </c>
      <c r="EJ291" s="528">
        <f t="shared" si="878"/>
        <v>0.95284543342558969</v>
      </c>
      <c r="EK291" s="528">
        <f t="shared" si="879"/>
        <v>4.3749999999999997E-2</v>
      </c>
      <c r="EL291" s="528">
        <f t="shared" si="880"/>
        <v>9.8686349999999978E-2</v>
      </c>
      <c r="EM291">
        <f t="shared" si="881"/>
        <v>1.6199999999999999E-2</v>
      </c>
      <c r="EN291" s="460">
        <f t="shared" si="882"/>
        <v>59.949999999999996</v>
      </c>
      <c r="EP291" s="460">
        <f t="shared" si="883"/>
        <v>1124.5840134012501</v>
      </c>
      <c r="EQ291" s="173">
        <f t="shared" si="884"/>
        <v>0.52499999999999991</v>
      </c>
      <c r="ER291" s="173">
        <f t="shared" si="845"/>
        <v>8.3203124999999989E-2</v>
      </c>
      <c r="ES291" s="528"/>
      <c r="EU291" s="460">
        <f t="shared" si="885"/>
        <v>608.203125</v>
      </c>
      <c r="EV291" s="528">
        <f t="shared" si="886"/>
        <v>1.9653344963490773E-2</v>
      </c>
      <c r="EW291" s="528">
        <f t="shared" si="887"/>
        <v>4.6060940750794935E-2</v>
      </c>
      <c r="EX291" s="528">
        <f t="shared" si="888"/>
        <v>4.6207047368204186E-4</v>
      </c>
      <c r="EY291" s="528">
        <f t="shared" si="889"/>
        <v>1.2056322449898107</v>
      </c>
      <c r="EZ291" s="528"/>
      <c r="FA291" s="625">
        <f t="shared" si="890"/>
        <v>1.1499999999999998E-2</v>
      </c>
      <c r="FB291" s="460">
        <f t="shared" si="891"/>
        <v>1283.3086011777787</v>
      </c>
      <c r="FC291" s="173">
        <f t="shared" si="892"/>
        <v>3.0160957395790282</v>
      </c>
      <c r="FD291" s="5">
        <f t="shared" si="893"/>
        <v>13.799999999999999</v>
      </c>
      <c r="FE291" s="173">
        <f t="shared" si="894"/>
        <v>0.82064233064038605</v>
      </c>
      <c r="FF291" s="5">
        <f t="shared" si="895"/>
        <v>82.064233064038604</v>
      </c>
      <c r="FG291">
        <f t="shared" si="896"/>
        <v>75</v>
      </c>
      <c r="FI291" s="562">
        <f t="shared" si="846"/>
        <v>-50</v>
      </c>
    </row>
    <row r="292" spans="5:165">
      <c r="E292" s="170">
        <v>76</v>
      </c>
      <c r="F292" s="217">
        <f t="shared" si="847"/>
        <v>0.76</v>
      </c>
      <c r="G292" s="217">
        <f t="shared" si="775"/>
        <v>0.19</v>
      </c>
      <c r="H292" s="217">
        <f t="shared" si="776"/>
        <v>12.463999999999999</v>
      </c>
      <c r="I292" s="217">
        <f t="shared" si="777"/>
        <v>1.52</v>
      </c>
      <c r="J292" s="541">
        <f t="shared" si="778"/>
        <v>35.917824890791948</v>
      </c>
      <c r="K292" s="443">
        <f t="shared" si="779"/>
        <v>17.136543516133898</v>
      </c>
      <c r="L292" s="172">
        <f t="shared" si="780"/>
        <v>53.054368406925846</v>
      </c>
      <c r="M292" s="443"/>
      <c r="N292" s="217">
        <f t="shared" si="781"/>
        <v>0.32299967053979389</v>
      </c>
      <c r="O292" s="172">
        <f t="shared" si="782"/>
        <v>34.468063033007546</v>
      </c>
      <c r="P292" s="172">
        <f t="shared" si="783"/>
        <v>4.716034799281223</v>
      </c>
      <c r="Q292" s="217">
        <f t="shared" si="784"/>
        <v>2.1017111605492409</v>
      </c>
      <c r="R292" s="217">
        <f t="shared" si="785"/>
        <v>4.3085078791259432</v>
      </c>
      <c r="S292" s="217">
        <f t="shared" si="786"/>
        <v>16.399999999999999</v>
      </c>
      <c r="T292" s="217">
        <f t="shared" si="787"/>
        <v>2.4107340541231141</v>
      </c>
      <c r="U292" s="217">
        <f t="shared" si="788"/>
        <v>0.80541649549869287</v>
      </c>
      <c r="V292" s="217">
        <f t="shared" si="789"/>
        <v>1.6881355695937845</v>
      </c>
      <c r="W292" s="197">
        <f t="shared" si="790"/>
        <v>350</v>
      </c>
      <c r="X292" s="443">
        <f t="shared" si="848"/>
        <v>350</v>
      </c>
      <c r="Z292" s="217">
        <f t="shared" si="791"/>
        <v>2.7622489538647161</v>
      </c>
      <c r="AA292" s="173">
        <f t="shared" si="792"/>
        <v>1.9342866556005889</v>
      </c>
      <c r="AB292" s="173">
        <f t="shared" si="793"/>
        <v>0.83338892961433053</v>
      </c>
      <c r="AC292" s="173"/>
      <c r="AD292" s="173">
        <f t="shared" si="794"/>
        <v>0.93367720187773873</v>
      </c>
      <c r="AE292" s="545">
        <f t="shared" si="795"/>
        <v>1220.9787255245399</v>
      </c>
      <c r="AF292" s="528">
        <f t="shared" si="796"/>
        <v>0.2178580137714724</v>
      </c>
      <c r="AH292" s="173">
        <f t="shared" si="797"/>
        <v>2.5805130534542191</v>
      </c>
      <c r="AI292" s="173">
        <f t="shared" si="798"/>
        <v>2.5805130534542191</v>
      </c>
      <c r="AJ292" s="173">
        <f t="shared" si="799"/>
        <v>2.1238368297191745</v>
      </c>
      <c r="AL292" s="545">
        <f t="shared" si="800"/>
        <v>760</v>
      </c>
      <c r="AM292" s="460">
        <f t="shared" si="801"/>
        <v>350</v>
      </c>
      <c r="AO292">
        <f t="shared" si="802"/>
        <v>760</v>
      </c>
      <c r="AP292">
        <f t="shared" si="803"/>
        <v>350</v>
      </c>
      <c r="AR292" s="5">
        <f t="shared" si="774"/>
        <v>2.8571428571428572</v>
      </c>
      <c r="AS292" s="5">
        <f t="shared" si="739"/>
        <v>0.86213897237940074</v>
      </c>
      <c r="AT292" s="5">
        <f t="shared" si="740"/>
        <v>1.9950038847634564</v>
      </c>
      <c r="AU292" s="173">
        <f t="shared" si="741"/>
        <v>0.30174864033279025</v>
      </c>
      <c r="BA292" s="173">
        <f t="shared" si="849"/>
        <v>0.81840466049481964</v>
      </c>
      <c r="BB292" s="173">
        <f t="shared" si="850"/>
        <v>1.2449483328085942</v>
      </c>
      <c r="BC292" s="173">
        <f t="shared" si="851"/>
        <v>0.30543208738919597</v>
      </c>
      <c r="BD292" s="173"/>
      <c r="BE292" s="528">
        <f t="shared" si="852"/>
        <v>1.3395723766392821E-2</v>
      </c>
      <c r="BF292" s="528">
        <f t="shared" si="804"/>
        <v>0.89845540454802075</v>
      </c>
      <c r="BG292" s="528">
        <f t="shared" si="805"/>
        <v>0.31428096779442949</v>
      </c>
      <c r="BH292" s="528">
        <f t="shared" si="853"/>
        <v>9.8516810247023412E-2</v>
      </c>
      <c r="BI292">
        <f t="shared" si="854"/>
        <v>1.6163021200856376E-2</v>
      </c>
      <c r="BJ292" s="460">
        <f t="shared" si="855"/>
        <v>330.44398899528585</v>
      </c>
      <c r="BK292">
        <f t="shared" si="806"/>
        <v>1.0172224238887793</v>
      </c>
      <c r="BL292" s="460">
        <f t="shared" si="856"/>
        <v>1340.811927556723</v>
      </c>
      <c r="BM292" s="173">
        <f t="shared" si="807"/>
        <v>0.4721499999999999</v>
      </c>
      <c r="BN292" s="173">
        <f t="shared" si="808"/>
        <v>8.4312499999999999E-2</v>
      </c>
      <c r="BQ292" s="460">
        <f t="shared" si="857"/>
        <v>556.46249999999986</v>
      </c>
      <c r="BR292" s="528">
        <f t="shared" si="858"/>
        <v>2.009358564958923E-2</v>
      </c>
      <c r="BS292" s="528">
        <f t="shared" si="859"/>
        <v>4.6496890540886945E-2</v>
      </c>
      <c r="BT292" s="528">
        <f t="shared" si="860"/>
        <v>4.6644380003460723E-4</v>
      </c>
      <c r="BU292" s="528">
        <f t="shared" si="861"/>
        <v>1.2257594945380628</v>
      </c>
      <c r="BV292" s="528"/>
      <c r="BW292" s="625">
        <f t="shared" si="862"/>
        <v>1.1653333333333333E-2</v>
      </c>
      <c r="BX292" s="460">
        <f t="shared" si="863"/>
        <v>1304.4697478619066</v>
      </c>
      <c r="BY292" s="173">
        <f t="shared" si="864"/>
        <v>3.2017441754186295</v>
      </c>
      <c r="BZ292" s="5">
        <f t="shared" si="865"/>
        <v>13.983999999999998</v>
      </c>
      <c r="CA292" s="173">
        <f t="shared" si="866"/>
        <v>0.81369767042161634</v>
      </c>
      <c r="CB292" s="5">
        <f t="shared" si="867"/>
        <v>81.369767042161641</v>
      </c>
      <c r="CC292">
        <f t="shared" si="868"/>
        <v>76</v>
      </c>
      <c r="CE292" s="562">
        <f t="shared" si="809"/>
        <v>-50</v>
      </c>
      <c r="CG292" s="173">
        <f t="shared" si="810"/>
        <v>0.62391369009096675</v>
      </c>
      <c r="CH292" s="173">
        <f t="shared" si="811"/>
        <v>0.22202110782465737</v>
      </c>
      <c r="CI292" s="170">
        <v>76</v>
      </c>
      <c r="CJ292" s="217">
        <f t="shared" si="869"/>
        <v>0.76</v>
      </c>
      <c r="CK292" s="217">
        <f t="shared" si="812"/>
        <v>0.19</v>
      </c>
      <c r="CL292" s="217">
        <f t="shared" si="813"/>
        <v>12.463999999999999</v>
      </c>
      <c r="CM292" s="217">
        <f t="shared" si="814"/>
        <v>1.52</v>
      </c>
      <c r="CN292" s="541">
        <f t="shared" si="815"/>
        <v>36</v>
      </c>
      <c r="CO292" s="443">
        <f t="shared" si="816"/>
        <v>17.099999999999998</v>
      </c>
      <c r="CP292" s="443">
        <f t="shared" si="817"/>
        <v>53.099999999999994</v>
      </c>
      <c r="CQ292" s="443"/>
      <c r="CR292" s="217">
        <f t="shared" si="818"/>
        <v>0.31818181818181812</v>
      </c>
      <c r="CS292" s="172">
        <f t="shared" si="819"/>
        <v>34.031620553359687</v>
      </c>
      <c r="CT292" s="172">
        <f t="shared" si="820"/>
        <v>4.6563192904656319</v>
      </c>
      <c r="CU292" s="217">
        <f t="shared" si="821"/>
        <v>2.0750988142292495</v>
      </c>
      <c r="CV292" s="217">
        <f t="shared" si="822"/>
        <v>4.2539525691699609</v>
      </c>
      <c r="CW292" s="217">
        <f t="shared" si="823"/>
        <v>16.399999999999999</v>
      </c>
      <c r="CX292" s="217">
        <f t="shared" si="824"/>
        <v>2.4416507936507936</v>
      </c>
      <c r="CY292" s="217">
        <f t="shared" si="825"/>
        <v>0.81388359788359788</v>
      </c>
      <c r="CZ292" s="217">
        <f t="shared" si="826"/>
        <v>1.7134391534391535</v>
      </c>
      <c r="DA292" s="197">
        <f t="shared" si="827"/>
        <v>350</v>
      </c>
      <c r="DB292" s="443">
        <f t="shared" si="828"/>
        <v>350</v>
      </c>
      <c r="DD292" s="217">
        <f t="shared" si="829"/>
        <v>2.7602905569007259</v>
      </c>
      <c r="DE292" s="173">
        <f t="shared" si="830"/>
        <v>1.937046004842615</v>
      </c>
      <c r="DF292" s="173">
        <f t="shared" si="831"/>
        <v>0.83398609309454497</v>
      </c>
      <c r="DG292" s="173"/>
      <c r="DH292" s="173">
        <f t="shared" si="832"/>
        <v>0.93567251461988332</v>
      </c>
      <c r="DI292" s="545">
        <f t="shared" si="833"/>
        <v>1218.3749999999995</v>
      </c>
      <c r="DJ292" s="528">
        <f t="shared" si="834"/>
        <v>0.21832358674463945</v>
      </c>
      <c r="DL292" s="173">
        <f t="shared" si="835"/>
        <v>2.5805130534542191</v>
      </c>
      <c r="DM292" s="173">
        <f t="shared" si="836"/>
        <v>2.5805130534542191</v>
      </c>
      <c r="DN292" s="173">
        <f t="shared" si="837"/>
        <v>2.1238368297191745</v>
      </c>
      <c r="DP292" s="545">
        <f t="shared" si="838"/>
        <v>760</v>
      </c>
      <c r="DQ292" s="460">
        <f t="shared" si="839"/>
        <v>350</v>
      </c>
      <c r="DS292">
        <f t="shared" si="840"/>
        <v>760</v>
      </c>
      <c r="DT292">
        <f t="shared" si="841"/>
        <v>350</v>
      </c>
      <c r="DV292" s="5">
        <f t="shared" si="870"/>
        <v>2.8571428571428572</v>
      </c>
      <c r="DW292" s="5">
        <f t="shared" si="842"/>
        <v>0.86017101781807315</v>
      </c>
      <c r="DX292" s="5">
        <f t="shared" si="843"/>
        <v>1.9969718393247842</v>
      </c>
      <c r="DY292" s="173">
        <f t="shared" si="844"/>
        <v>0.30105985623632558</v>
      </c>
      <c r="EA292" s="5">
        <f t="shared" si="871"/>
        <v>3.9861583752544854</v>
      </c>
      <c r="EB292" s="5">
        <f t="shared" si="872"/>
        <v>2.0429061673179234</v>
      </c>
      <c r="EC292" s="5">
        <f t="shared" si="873"/>
        <v>0.57616335660518758</v>
      </c>
      <c r="ED292" s="5"/>
      <c r="EE292" s="173">
        <f t="shared" si="874"/>
        <v>0.81747006445930936</v>
      </c>
      <c r="EF292" s="173">
        <f t="shared" si="875"/>
        <v>1.2455622157866832</v>
      </c>
      <c r="EG292" s="173">
        <f t="shared" si="876"/>
        <v>0.30558269569515467</v>
      </c>
      <c r="EH292" s="173"/>
      <c r="EI292" s="528">
        <f t="shared" si="877"/>
        <v>1.3365146125742149E-2</v>
      </c>
      <c r="EJ292" s="528">
        <f t="shared" si="878"/>
        <v>0.95917670196893323</v>
      </c>
      <c r="EK292" s="528">
        <f t="shared" si="879"/>
        <v>4.3749999999999997E-2</v>
      </c>
      <c r="EL292" s="528">
        <f t="shared" si="880"/>
        <v>9.8686349999999978E-2</v>
      </c>
      <c r="EM292">
        <f t="shared" si="881"/>
        <v>1.6199999999999999E-2</v>
      </c>
      <c r="EN292" s="460">
        <f t="shared" si="882"/>
        <v>59.949999999999996</v>
      </c>
      <c r="EP292" s="460">
        <f t="shared" si="883"/>
        <v>1131.1781980946753</v>
      </c>
      <c r="EQ292" s="173">
        <f t="shared" si="884"/>
        <v>0.53199999999999992</v>
      </c>
      <c r="ER292" s="173">
        <f t="shared" si="845"/>
        <v>8.4312499999999999E-2</v>
      </c>
      <c r="ES292" s="528"/>
      <c r="EU292" s="460">
        <f t="shared" si="885"/>
        <v>616.31249999999989</v>
      </c>
      <c r="EV292" s="528">
        <f t="shared" si="886"/>
        <v>2.0047719188613224E-2</v>
      </c>
      <c r="EW292" s="528">
        <f t="shared" si="887"/>
        <v>4.6542757001862965E-2</v>
      </c>
      <c r="EX292" s="528">
        <f t="shared" si="888"/>
        <v>4.6690391954158753E-4</v>
      </c>
      <c r="EY292" s="528">
        <f t="shared" si="889"/>
        <v>1.2257594945380628</v>
      </c>
      <c r="EZ292" s="528"/>
      <c r="FA292" s="625">
        <f t="shared" si="890"/>
        <v>1.1653333333333333E-2</v>
      </c>
      <c r="FB292" s="460">
        <f t="shared" si="891"/>
        <v>1304.470207981414</v>
      </c>
      <c r="FC292" s="173">
        <f t="shared" si="892"/>
        <v>3.0519609060760891</v>
      </c>
      <c r="FD292" s="5">
        <f t="shared" si="893"/>
        <v>13.983999999999998</v>
      </c>
      <c r="FE292" s="173">
        <f t="shared" si="894"/>
        <v>0.82085184845736703</v>
      </c>
      <c r="FF292" s="5">
        <f t="shared" si="895"/>
        <v>82.085184845736705</v>
      </c>
      <c r="FG292">
        <f t="shared" si="896"/>
        <v>76</v>
      </c>
      <c r="FI292" s="562">
        <f t="shared" si="846"/>
        <v>-50</v>
      </c>
    </row>
    <row r="293" spans="5:165">
      <c r="E293" s="170">
        <v>77</v>
      </c>
      <c r="F293" s="217">
        <f t="shared" si="847"/>
        <v>0.77</v>
      </c>
      <c r="G293" s="217">
        <f t="shared" si="775"/>
        <v>0.1925</v>
      </c>
      <c r="H293" s="217">
        <f t="shared" si="776"/>
        <v>12.627999999999998</v>
      </c>
      <c r="I293" s="217">
        <f t="shared" si="777"/>
        <v>1.54</v>
      </c>
      <c r="J293" s="541">
        <f t="shared" si="778"/>
        <v>35.917286031843062</v>
      </c>
      <c r="K293" s="443">
        <f t="shared" si="779"/>
        <v>17.136783148315498</v>
      </c>
      <c r="L293" s="172">
        <f t="shared" si="780"/>
        <v>53.054069180158564</v>
      </c>
      <c r="M293" s="443"/>
      <c r="N293" s="217">
        <f t="shared" si="781"/>
        <v>0.32300600902304399</v>
      </c>
      <c r="O293" s="172">
        <f t="shared" si="782"/>
        <v>34.468222308657595</v>
      </c>
      <c r="P293" s="172">
        <f t="shared" si="783"/>
        <v>4.7160565919043718</v>
      </c>
      <c r="Q293" s="217">
        <f t="shared" si="784"/>
        <v>2.1017208724791216</v>
      </c>
      <c r="R293" s="217">
        <f t="shared" si="785"/>
        <v>4.3085277885821993</v>
      </c>
      <c r="S293" s="217">
        <f t="shared" si="786"/>
        <v>16.399999999999999</v>
      </c>
      <c r="T293" s="217">
        <f t="shared" si="787"/>
        <v>2.4424429526068416</v>
      </c>
      <c r="U293" s="217">
        <f t="shared" si="788"/>
        <v>0.81602255263099344</v>
      </c>
      <c r="V293" s="217">
        <f t="shared" si="789"/>
        <v>1.7103160597654601</v>
      </c>
      <c r="W293" s="197">
        <f t="shared" si="790"/>
        <v>350</v>
      </c>
      <c r="X293" s="443">
        <f t="shared" si="848"/>
        <v>350</v>
      </c>
      <c r="Z293" s="217">
        <f t="shared" si="791"/>
        <v>2.7622617181154174</v>
      </c>
      <c r="AA293" s="173">
        <f t="shared" si="792"/>
        <v>1.9342685456484456</v>
      </c>
      <c r="AB293" s="173">
        <f t="shared" si="793"/>
        <v>0.83338497795068045</v>
      </c>
      <c r="AC293" s="173"/>
      <c r="AD293" s="173">
        <f t="shared" si="794"/>
        <v>0.9336641458039785</v>
      </c>
      <c r="AE293" s="545">
        <f t="shared" si="795"/>
        <v>1237.0615335190248</v>
      </c>
      <c r="AF293" s="528">
        <f t="shared" si="796"/>
        <v>0.21785496735426169</v>
      </c>
      <c r="AH293" s="173">
        <f t="shared" si="797"/>
        <v>2.5974346318370873</v>
      </c>
      <c r="AI293" s="173">
        <f t="shared" si="798"/>
        <v>2.5974346318370873</v>
      </c>
      <c r="AJ293" s="173">
        <f t="shared" si="799"/>
        <v>2.1363713322250026</v>
      </c>
      <c r="AL293" s="545">
        <f t="shared" si="800"/>
        <v>770</v>
      </c>
      <c r="AM293" s="460">
        <f t="shared" si="801"/>
        <v>350</v>
      </c>
      <c r="AO293">
        <f t="shared" si="802"/>
        <v>770</v>
      </c>
      <c r="AP293">
        <f t="shared" si="803"/>
        <v>350</v>
      </c>
      <c r="AR293" s="5">
        <f t="shared" si="774"/>
        <v>2.8571428571428572</v>
      </c>
      <c r="AS293" s="5">
        <f t="shared" si="739"/>
        <v>0.86780542255925086</v>
      </c>
      <c r="AT293" s="5">
        <f t="shared" si="740"/>
        <v>1.9893374345836063</v>
      </c>
      <c r="AU293" s="173">
        <f t="shared" si="741"/>
        <v>0.30373189789573779</v>
      </c>
      <c r="BA293" s="173">
        <f t="shared" si="849"/>
        <v>0.82647401070987037</v>
      </c>
      <c r="BB293" s="173">
        <f t="shared" si="850"/>
        <v>1.2513311306404988</v>
      </c>
      <c r="BC293" s="173">
        <f t="shared" si="851"/>
        <v>0.30699802487736771</v>
      </c>
      <c r="BD293" s="173"/>
      <c r="BE293" s="528">
        <f t="shared" si="852"/>
        <v>1.3661185807577178E-2</v>
      </c>
      <c r="BF293" s="528">
        <f t="shared" si="804"/>
        <v>0.90434187800528587</v>
      </c>
      <c r="BG293" s="528">
        <f t="shared" si="805"/>
        <v>0.31427625277862675</v>
      </c>
      <c r="BH293" s="528">
        <f t="shared" si="853"/>
        <v>9.8515698980056798E-2</v>
      </c>
      <c r="BI293">
        <f t="shared" si="854"/>
        <v>1.6162778714329376E-2</v>
      </c>
      <c r="BJ293" s="460">
        <f t="shared" si="855"/>
        <v>330.43903149295613</v>
      </c>
      <c r="BK293">
        <f t="shared" si="806"/>
        <v>1.0235295552392054</v>
      </c>
      <c r="BL293" s="460">
        <f t="shared" si="856"/>
        <v>1346.9577942858762</v>
      </c>
      <c r="BM293" s="173">
        <f t="shared" si="807"/>
        <v>0.47836249999999991</v>
      </c>
      <c r="BN293" s="173">
        <f t="shared" si="808"/>
        <v>8.5421874999999994E-2</v>
      </c>
      <c r="BQ293" s="460">
        <f t="shared" si="857"/>
        <v>563.78437499999984</v>
      </c>
      <c r="BR293" s="528">
        <f t="shared" si="858"/>
        <v>2.0491778711365767E-2</v>
      </c>
      <c r="BS293" s="528">
        <f t="shared" si="859"/>
        <v>4.6974887955300873E-2</v>
      </c>
      <c r="BT293" s="528">
        <f t="shared" si="860"/>
        <v>4.7123893639302444E-4</v>
      </c>
      <c r="BU293" s="528">
        <f t="shared" si="861"/>
        <v>1.2459530628356137</v>
      </c>
      <c r="BV293" s="528"/>
      <c r="BW293" s="625">
        <f t="shared" si="862"/>
        <v>1.1806666666666663E-2</v>
      </c>
      <c r="BX293" s="460">
        <f t="shared" si="863"/>
        <v>1325.6976351053402</v>
      </c>
      <c r="BY293" s="173">
        <f t="shared" si="864"/>
        <v>3.2364398043912166</v>
      </c>
      <c r="BZ293" s="5">
        <f t="shared" si="865"/>
        <v>14.167999999999999</v>
      </c>
      <c r="CA293" s="173">
        <f t="shared" si="866"/>
        <v>0.81404516084598999</v>
      </c>
      <c r="CB293" s="5">
        <f t="shared" si="867"/>
        <v>81.404516084598995</v>
      </c>
      <c r="CC293">
        <f t="shared" si="868"/>
        <v>77</v>
      </c>
      <c r="CE293" s="562">
        <f t="shared" si="809"/>
        <v>-50</v>
      </c>
      <c r="CG293" s="173">
        <f t="shared" si="810"/>
        <v>0.62800497124022758</v>
      </c>
      <c r="CH293" s="173">
        <f t="shared" si="811"/>
        <v>0.22347699954110389</v>
      </c>
      <c r="CI293" s="170">
        <v>77</v>
      </c>
      <c r="CJ293" s="217">
        <f t="shared" si="869"/>
        <v>0.77</v>
      </c>
      <c r="CK293" s="217">
        <f t="shared" si="812"/>
        <v>0.1925</v>
      </c>
      <c r="CL293" s="217">
        <f t="shared" si="813"/>
        <v>12.627999999999998</v>
      </c>
      <c r="CM293" s="217">
        <f t="shared" si="814"/>
        <v>1.54</v>
      </c>
      <c r="CN293" s="541">
        <f t="shared" si="815"/>
        <v>36</v>
      </c>
      <c r="CO293" s="443">
        <f t="shared" si="816"/>
        <v>17.099999999999998</v>
      </c>
      <c r="CP293" s="443">
        <f t="shared" si="817"/>
        <v>53.099999999999994</v>
      </c>
      <c r="CQ293" s="443"/>
      <c r="CR293" s="217">
        <f t="shared" si="818"/>
        <v>0.31818181818181812</v>
      </c>
      <c r="CS293" s="172">
        <f t="shared" si="819"/>
        <v>34.031620553359687</v>
      </c>
      <c r="CT293" s="172">
        <f t="shared" si="820"/>
        <v>4.6563192904656319</v>
      </c>
      <c r="CU293" s="217">
        <f t="shared" si="821"/>
        <v>2.0750988142292495</v>
      </c>
      <c r="CV293" s="217">
        <f t="shared" si="822"/>
        <v>4.2539525691699609</v>
      </c>
      <c r="CW293" s="217">
        <f t="shared" si="823"/>
        <v>16.399999999999999</v>
      </c>
      <c r="CX293" s="217">
        <f t="shared" si="824"/>
        <v>2.4737777777777779</v>
      </c>
      <c r="CY293" s="217">
        <f t="shared" si="825"/>
        <v>0.82459259259259265</v>
      </c>
      <c r="CZ293" s="217">
        <f t="shared" si="826"/>
        <v>1.7359844054580902</v>
      </c>
      <c r="DA293" s="197">
        <f t="shared" si="827"/>
        <v>350</v>
      </c>
      <c r="DB293" s="443">
        <f t="shared" si="828"/>
        <v>350</v>
      </c>
      <c r="DD293" s="217">
        <f t="shared" si="829"/>
        <v>2.7602905569007259</v>
      </c>
      <c r="DE293" s="173">
        <f t="shared" si="830"/>
        <v>1.937046004842615</v>
      </c>
      <c r="DF293" s="173">
        <f t="shared" si="831"/>
        <v>0.83398609309454497</v>
      </c>
      <c r="DG293" s="173"/>
      <c r="DH293" s="173">
        <f t="shared" si="832"/>
        <v>0.93567251461988332</v>
      </c>
      <c r="DI293" s="545">
        <f t="shared" si="833"/>
        <v>1234.4062499999995</v>
      </c>
      <c r="DJ293" s="528">
        <f t="shared" si="834"/>
        <v>0.21832358674463945</v>
      </c>
      <c r="DL293" s="173">
        <f t="shared" si="835"/>
        <v>2.5974346318370873</v>
      </c>
      <c r="DM293" s="173">
        <f t="shared" si="836"/>
        <v>2.5974346318370873</v>
      </c>
      <c r="DN293" s="173">
        <f t="shared" si="837"/>
        <v>2.1363713322250026</v>
      </c>
      <c r="DP293" s="545">
        <f t="shared" si="838"/>
        <v>770</v>
      </c>
      <c r="DQ293" s="460">
        <f t="shared" si="839"/>
        <v>350</v>
      </c>
      <c r="DS293">
        <f t="shared" si="840"/>
        <v>770</v>
      </c>
      <c r="DT293">
        <f t="shared" si="841"/>
        <v>350</v>
      </c>
      <c r="DV293" s="5">
        <f t="shared" si="870"/>
        <v>2.8571428571428572</v>
      </c>
      <c r="DW293" s="5">
        <f t="shared" si="842"/>
        <v>0.86581154394569571</v>
      </c>
      <c r="DX293" s="5">
        <f t="shared" si="843"/>
        <v>1.9913313131971615</v>
      </c>
      <c r="DY293" s="173">
        <f t="shared" si="844"/>
        <v>0.30303404038099346</v>
      </c>
      <c r="EA293" s="5">
        <f t="shared" si="871"/>
        <v>4.0650907855986942</v>
      </c>
      <c r="EB293" s="5">
        <f t="shared" si="872"/>
        <v>2.0833590276193306</v>
      </c>
      <c r="EC293" s="5">
        <f t="shared" si="873"/>
        <v>0.58209564405217007</v>
      </c>
      <c r="ED293" s="5"/>
      <c r="EE293" s="173">
        <f t="shared" si="874"/>
        <v>0.82552400714208363</v>
      </c>
      <c r="EF293" s="173">
        <f t="shared" si="875"/>
        <v>1.2519580673972135</v>
      </c>
      <c r="EG293" s="173">
        <f t="shared" si="876"/>
        <v>0.30715183576029192</v>
      </c>
      <c r="EH293" s="173"/>
      <c r="EI293" s="528">
        <f t="shared" si="877"/>
        <v>1.3629797727358459E-2</v>
      </c>
      <c r="EJ293" s="528">
        <f t="shared" si="878"/>
        <v>0.96546645265384523</v>
      </c>
      <c r="EK293" s="528">
        <f t="shared" si="879"/>
        <v>4.3749999999999997E-2</v>
      </c>
      <c r="EL293" s="528">
        <f t="shared" si="880"/>
        <v>9.8686349999999978E-2</v>
      </c>
      <c r="EM293">
        <f t="shared" si="881"/>
        <v>1.6199999999999999E-2</v>
      </c>
      <c r="EN293" s="460">
        <f t="shared" si="882"/>
        <v>59.949999999999996</v>
      </c>
      <c r="EP293" s="460">
        <f t="shared" si="883"/>
        <v>1137.7326003812036</v>
      </c>
      <c r="EQ293" s="173">
        <f t="shared" si="884"/>
        <v>0.53899999999999992</v>
      </c>
      <c r="ER293" s="173">
        <f t="shared" si="845"/>
        <v>8.5421874999999994E-2</v>
      </c>
      <c r="ES293" s="528"/>
      <c r="EU293" s="460">
        <f t="shared" si="885"/>
        <v>624.42187499999989</v>
      </c>
      <c r="EV293" s="528">
        <f t="shared" si="886"/>
        <v>2.0444696591037689E-2</v>
      </c>
      <c r="EW293" s="528">
        <f t="shared" si="887"/>
        <v>4.7021970075628972E-2</v>
      </c>
      <c r="EX293" s="528">
        <f t="shared" si="888"/>
        <v>4.7171125105458672E-4</v>
      </c>
      <c r="EY293" s="528">
        <f t="shared" si="889"/>
        <v>1.2459530628356137</v>
      </c>
      <c r="EZ293" s="528"/>
      <c r="FA293" s="625">
        <f t="shared" si="890"/>
        <v>1.1806666666666663E-2</v>
      </c>
      <c r="FB293" s="460">
        <f t="shared" si="891"/>
        <v>1325.6981074200016</v>
      </c>
      <c r="FC293" s="173">
        <f t="shared" si="892"/>
        <v>3.0878525828012053</v>
      </c>
      <c r="FD293" s="5">
        <f t="shared" si="893"/>
        <v>14.167999999999999</v>
      </c>
      <c r="FE293" s="173">
        <f t="shared" si="894"/>
        <v>0.82105476573908343</v>
      </c>
      <c r="FF293" s="5">
        <f t="shared" si="895"/>
        <v>82.105476573908348</v>
      </c>
      <c r="FG293">
        <f t="shared" si="896"/>
        <v>77</v>
      </c>
      <c r="FI293" s="562">
        <f t="shared" si="846"/>
        <v>-50</v>
      </c>
    </row>
    <row r="294" spans="5:165">
      <c r="E294" s="170">
        <v>78</v>
      </c>
      <c r="F294" s="217">
        <f t="shared" si="847"/>
        <v>0.78</v>
      </c>
      <c r="G294" s="217">
        <f t="shared" si="775"/>
        <v>0.19500000000000001</v>
      </c>
      <c r="H294" s="217">
        <f t="shared" si="776"/>
        <v>12.792</v>
      </c>
      <c r="I294" s="217">
        <f t="shared" si="777"/>
        <v>1.56</v>
      </c>
      <c r="J294" s="541">
        <f t="shared" si="778"/>
        <v>35.916750660764308</v>
      </c>
      <c r="K294" s="443">
        <f t="shared" si="779"/>
        <v>17.137021229430847</v>
      </c>
      <c r="L294" s="172">
        <f t="shared" si="780"/>
        <v>53.053771890195151</v>
      </c>
      <c r="M294" s="443"/>
      <c r="N294" s="217">
        <f t="shared" si="781"/>
        <v>0.32301230655002561</v>
      </c>
      <c r="O294" s="172">
        <f t="shared" si="782"/>
        <v>34.468380540821819</v>
      </c>
      <c r="P294" s="172">
        <f t="shared" si="783"/>
        <v>4.7160782417543246</v>
      </c>
      <c r="Q294" s="217">
        <f t="shared" si="784"/>
        <v>2.1017305207818184</v>
      </c>
      <c r="R294" s="217">
        <f t="shared" si="785"/>
        <v>4.3085475676027274</v>
      </c>
      <c r="S294" s="217">
        <f t="shared" si="786"/>
        <v>16.399999999999999</v>
      </c>
      <c r="T294" s="217">
        <f t="shared" si="787"/>
        <v>2.4741516329437245</v>
      </c>
      <c r="U294" s="217">
        <f t="shared" si="788"/>
        <v>0.82662877485067288</v>
      </c>
      <c r="V294" s="217">
        <f t="shared" si="789"/>
        <v>1.732495933676961</v>
      </c>
      <c r="W294" s="197">
        <f t="shared" si="790"/>
        <v>350</v>
      </c>
      <c r="X294" s="443">
        <f t="shared" si="848"/>
        <v>350</v>
      </c>
      <c r="Z294" s="217">
        <f t="shared" si="791"/>
        <v>2.7622743987418175</v>
      </c>
      <c r="AA294" s="173">
        <f t="shared" si="792"/>
        <v>1.9342505527142126</v>
      </c>
      <c r="AB294" s="173">
        <f t="shared" si="793"/>
        <v>0.83338105140310481</v>
      </c>
      <c r="AC294" s="173"/>
      <c r="AD294" s="173">
        <f t="shared" si="794"/>
        <v>0.93365117459981084</v>
      </c>
      <c r="AE294" s="545">
        <f t="shared" si="795"/>
        <v>1253.1446774021301</v>
      </c>
      <c r="AF294" s="528">
        <f t="shared" si="796"/>
        <v>0.2178519407399559</v>
      </c>
      <c r="AH294" s="173">
        <f t="shared" si="797"/>
        <v>2.6142466819880856</v>
      </c>
      <c r="AI294" s="173">
        <f t="shared" si="798"/>
        <v>2.6142466819880856</v>
      </c>
      <c r="AJ294" s="173">
        <f t="shared" si="799"/>
        <v>2.1488247027072238</v>
      </c>
      <c r="AL294" s="545">
        <f t="shared" si="800"/>
        <v>780</v>
      </c>
      <c r="AM294" s="460">
        <f t="shared" si="801"/>
        <v>350</v>
      </c>
      <c r="AO294">
        <f t="shared" si="802"/>
        <v>780</v>
      </c>
      <c r="AP294">
        <f t="shared" si="803"/>
        <v>350</v>
      </c>
      <c r="AR294" s="5">
        <f t="shared" si="774"/>
        <v>2.8571428571428572</v>
      </c>
      <c r="AS294" s="5">
        <f t="shared" si="739"/>
        <v>0.87343536391021237</v>
      </c>
      <c r="AT294" s="5">
        <f t="shared" si="740"/>
        <v>1.9837074932326448</v>
      </c>
      <c r="AU294" s="173">
        <f t="shared" si="741"/>
        <v>0.30570237736857431</v>
      </c>
      <c r="BA294" s="173">
        <f t="shared" si="849"/>
        <v>0.83451730368982924</v>
      </c>
      <c r="BB294" s="173">
        <f t="shared" si="850"/>
        <v>1.2576470522119851</v>
      </c>
      <c r="BC294" s="173">
        <f t="shared" si="851"/>
        <v>0.30854755513378684</v>
      </c>
      <c r="BD294" s="173"/>
      <c r="BE294" s="528">
        <f t="shared" si="852"/>
        <v>1.3928382603154854E-2</v>
      </c>
      <c r="BF294" s="528">
        <f t="shared" si="804"/>
        <v>0.91019018429650145</v>
      </c>
      <c r="BG294" s="528">
        <f t="shared" si="805"/>
        <v>0.31427156828168767</v>
      </c>
      <c r="BH294" s="528">
        <f t="shared" si="853"/>
        <v>9.8514594912190154E-2</v>
      </c>
      <c r="BI294">
        <f t="shared" si="854"/>
        <v>1.6162537797343939E-2</v>
      </c>
      <c r="BJ294" s="460">
        <f t="shared" si="855"/>
        <v>330.43410607903161</v>
      </c>
      <c r="BK294">
        <f t="shared" si="806"/>
        <v>1.029801834526815</v>
      </c>
      <c r="BL294" s="460">
        <f t="shared" si="856"/>
        <v>1353.0672678908782</v>
      </c>
      <c r="BM294" s="173">
        <f t="shared" si="807"/>
        <v>0.48457499999999992</v>
      </c>
      <c r="BN294" s="173">
        <f t="shared" si="808"/>
        <v>8.6531250000000004E-2</v>
      </c>
      <c r="BQ294" s="460">
        <f t="shared" si="857"/>
        <v>571.10624999999993</v>
      </c>
      <c r="BR294" s="528">
        <f t="shared" si="858"/>
        <v>2.089257390473228E-2</v>
      </c>
      <c r="BS294" s="528">
        <f t="shared" si="859"/>
        <v>4.745028323812487E-2</v>
      </c>
      <c r="BT294" s="528">
        <f t="shared" si="860"/>
        <v>4.7600796889518622E-4</v>
      </c>
      <c r="BU294" s="528">
        <f t="shared" si="861"/>
        <v>1.266212302834171</v>
      </c>
      <c r="BV294" s="528"/>
      <c r="BW294" s="625">
        <f t="shared" si="862"/>
        <v>1.1960000000000002E-2</v>
      </c>
      <c r="BX294" s="460">
        <f t="shared" si="863"/>
        <v>1346.9911679459233</v>
      </c>
      <c r="BY294" s="173">
        <f t="shared" si="864"/>
        <v>3.2711646858368018</v>
      </c>
      <c r="BZ294" s="5">
        <f t="shared" si="865"/>
        <v>14.352</v>
      </c>
      <c r="CA294" s="173">
        <f t="shared" si="866"/>
        <v>0.81438267506711004</v>
      </c>
      <c r="CB294" s="5">
        <f t="shared" si="867"/>
        <v>81.438267506711</v>
      </c>
      <c r="CC294">
        <f t="shared" si="868"/>
        <v>78</v>
      </c>
      <c r="CE294" s="562">
        <f t="shared" si="809"/>
        <v>-50</v>
      </c>
      <c r="CG294" s="173">
        <f t="shared" si="810"/>
        <v>0.63206977077056248</v>
      </c>
      <c r="CH294" s="173">
        <f t="shared" si="811"/>
        <v>0.22492346771313343</v>
      </c>
      <c r="CI294" s="170">
        <v>78</v>
      </c>
      <c r="CJ294" s="217">
        <f t="shared" si="869"/>
        <v>0.78</v>
      </c>
      <c r="CK294" s="217">
        <f t="shared" si="812"/>
        <v>0.19500000000000001</v>
      </c>
      <c r="CL294" s="217">
        <f t="shared" si="813"/>
        <v>12.792</v>
      </c>
      <c r="CM294" s="217">
        <f t="shared" si="814"/>
        <v>1.56</v>
      </c>
      <c r="CN294" s="541">
        <f t="shared" si="815"/>
        <v>36</v>
      </c>
      <c r="CO294" s="443">
        <f t="shared" si="816"/>
        <v>17.099999999999998</v>
      </c>
      <c r="CP294" s="443">
        <f t="shared" si="817"/>
        <v>53.099999999999994</v>
      </c>
      <c r="CQ294" s="443"/>
      <c r="CR294" s="217">
        <f t="shared" si="818"/>
        <v>0.31818181818181812</v>
      </c>
      <c r="CS294" s="172">
        <f t="shared" si="819"/>
        <v>34.031620553359687</v>
      </c>
      <c r="CT294" s="172">
        <f t="shared" si="820"/>
        <v>4.6563192904656319</v>
      </c>
      <c r="CU294" s="217">
        <f t="shared" si="821"/>
        <v>2.0750988142292495</v>
      </c>
      <c r="CV294" s="217">
        <f t="shared" si="822"/>
        <v>4.2539525691699609</v>
      </c>
      <c r="CW294" s="217">
        <f t="shared" si="823"/>
        <v>16.399999999999999</v>
      </c>
      <c r="CX294" s="217">
        <f t="shared" si="824"/>
        <v>2.5059047619047621</v>
      </c>
      <c r="CY294" s="217">
        <f t="shared" si="825"/>
        <v>0.83530158730158732</v>
      </c>
      <c r="CZ294" s="217">
        <f t="shared" si="826"/>
        <v>1.7585296574770262</v>
      </c>
      <c r="DA294" s="197">
        <f t="shared" si="827"/>
        <v>350</v>
      </c>
      <c r="DB294" s="443">
        <f t="shared" si="828"/>
        <v>350</v>
      </c>
      <c r="DD294" s="217">
        <f t="shared" si="829"/>
        <v>2.7602905569007259</v>
      </c>
      <c r="DE294" s="173">
        <f t="shared" si="830"/>
        <v>1.937046004842615</v>
      </c>
      <c r="DF294" s="173">
        <f t="shared" si="831"/>
        <v>0.83398609309454497</v>
      </c>
      <c r="DG294" s="173"/>
      <c r="DH294" s="173">
        <f t="shared" si="832"/>
        <v>0.93567251461988332</v>
      </c>
      <c r="DI294" s="545">
        <f t="shared" si="833"/>
        <v>1250.4374999999995</v>
      </c>
      <c r="DJ294" s="528">
        <f t="shared" si="834"/>
        <v>0.21832358674463945</v>
      </c>
      <c r="DL294" s="173">
        <f t="shared" si="835"/>
        <v>2.6142466819880856</v>
      </c>
      <c r="DM294" s="173">
        <f t="shared" si="836"/>
        <v>2.6142466819880856</v>
      </c>
      <c r="DN294" s="173">
        <f t="shared" si="837"/>
        <v>2.1488247027072238</v>
      </c>
      <c r="DP294" s="545">
        <f t="shared" si="838"/>
        <v>780</v>
      </c>
      <c r="DQ294" s="460">
        <f t="shared" si="839"/>
        <v>350</v>
      </c>
      <c r="DS294">
        <f t="shared" si="840"/>
        <v>780</v>
      </c>
      <c r="DT294">
        <f t="shared" si="841"/>
        <v>350</v>
      </c>
      <c r="DV294" s="5">
        <f t="shared" si="870"/>
        <v>2.8571428571428572</v>
      </c>
      <c r="DW294" s="5">
        <f t="shared" si="842"/>
        <v>0.87141556066269532</v>
      </c>
      <c r="DX294" s="5">
        <f t="shared" si="843"/>
        <v>1.985727296480162</v>
      </c>
      <c r="DY294" s="173">
        <f t="shared" si="844"/>
        <v>0.30499544623194336</v>
      </c>
      <c r="EA294" s="5">
        <f t="shared" si="871"/>
        <v>4.1445374226640395</v>
      </c>
      <c r="EB294" s="5">
        <f t="shared" si="872"/>
        <v>2.1240754291153201</v>
      </c>
      <c r="EC294" s="5">
        <f t="shared" si="873"/>
        <v>0.58799591612440338</v>
      </c>
      <c r="ED294" s="5"/>
      <c r="EE294" s="173">
        <f t="shared" si="874"/>
        <v>0.83355184224001477</v>
      </c>
      <c r="EF294" s="173">
        <f t="shared" si="875"/>
        <v>1.2582871549823258</v>
      </c>
      <c r="EG294" s="173">
        <f t="shared" si="876"/>
        <v>0.30870459612909279</v>
      </c>
      <c r="EH294" s="173"/>
      <c r="EI294" s="528">
        <f t="shared" si="877"/>
        <v>1.389617347403445E-2</v>
      </c>
      <c r="EJ294" s="528">
        <f t="shared" si="878"/>
        <v>0.97171549169497129</v>
      </c>
      <c r="EK294" s="528">
        <f t="shared" si="879"/>
        <v>4.3749999999999997E-2</v>
      </c>
      <c r="EL294" s="528">
        <f t="shared" si="880"/>
        <v>9.8686349999999978E-2</v>
      </c>
      <c r="EM294">
        <f t="shared" si="881"/>
        <v>1.6199999999999999E-2</v>
      </c>
      <c r="EN294" s="460">
        <f t="shared" si="882"/>
        <v>59.949999999999996</v>
      </c>
      <c r="EP294" s="460">
        <f t="shared" si="883"/>
        <v>1144.2480151690058</v>
      </c>
      <c r="EQ294" s="173">
        <f t="shared" si="884"/>
        <v>0.54599999999999993</v>
      </c>
      <c r="ER294" s="173">
        <f t="shared" si="845"/>
        <v>8.6531250000000004E-2</v>
      </c>
      <c r="ES294" s="528"/>
      <c r="EU294" s="460">
        <f t="shared" si="885"/>
        <v>632.53125</v>
      </c>
      <c r="EV294" s="528">
        <f t="shared" si="886"/>
        <v>2.0844260211051673E-2</v>
      </c>
      <c r="EW294" s="528">
        <f t="shared" si="887"/>
        <v>4.749859693180547E-2</v>
      </c>
      <c r="EX294" s="528">
        <f t="shared" si="888"/>
        <v>4.7649263835613148E-4</v>
      </c>
      <c r="EY294" s="528">
        <f t="shared" si="889"/>
        <v>1.266212302834171</v>
      </c>
      <c r="EZ294" s="528"/>
      <c r="FA294" s="625">
        <f t="shared" si="890"/>
        <v>1.1960000000000002E-2</v>
      </c>
      <c r="FB294" s="460">
        <f t="shared" si="891"/>
        <v>1346.9916526153843</v>
      </c>
      <c r="FC294" s="173">
        <f t="shared" si="892"/>
        <v>3.1237709177843902</v>
      </c>
      <c r="FD294" s="5">
        <f t="shared" si="893"/>
        <v>14.352</v>
      </c>
      <c r="FE294" s="173">
        <f t="shared" si="894"/>
        <v>0.8212513237624639</v>
      </c>
      <c r="FF294" s="5">
        <f t="shared" si="895"/>
        <v>82.125132376246384</v>
      </c>
      <c r="FG294">
        <f t="shared" si="896"/>
        <v>78</v>
      </c>
      <c r="FI294" s="562">
        <f t="shared" si="846"/>
        <v>-50</v>
      </c>
    </row>
    <row r="295" spans="5:165">
      <c r="E295" s="170">
        <v>79</v>
      </c>
      <c r="F295" s="217">
        <f t="shared" si="847"/>
        <v>0.79</v>
      </c>
      <c r="G295" s="217">
        <f t="shared" si="775"/>
        <v>0.19750000000000001</v>
      </c>
      <c r="H295" s="217">
        <f t="shared" si="776"/>
        <v>12.956</v>
      </c>
      <c r="I295" s="217">
        <f t="shared" si="777"/>
        <v>1.58</v>
      </c>
      <c r="J295" s="541">
        <f t="shared" si="778"/>
        <v>35.916218710692107</v>
      </c>
      <c r="K295" s="443">
        <f t="shared" si="779"/>
        <v>17.137257789214374</v>
      </c>
      <c r="L295" s="172">
        <f t="shared" si="780"/>
        <v>53.053476499906481</v>
      </c>
      <c r="M295" s="443"/>
      <c r="N295" s="217">
        <f t="shared" si="781"/>
        <v>0.32301856390588435</v>
      </c>
      <c r="O295" s="172">
        <f t="shared" si="782"/>
        <v>34.468537749503923</v>
      </c>
      <c r="P295" s="172">
        <f t="shared" si="783"/>
        <v>4.7160997515680565</v>
      </c>
      <c r="Q295" s="217">
        <f t="shared" si="784"/>
        <v>2.1017401066770689</v>
      </c>
      <c r="R295" s="217">
        <f t="shared" si="785"/>
        <v>4.3085672186879904</v>
      </c>
      <c r="S295" s="217">
        <f t="shared" si="786"/>
        <v>16.399999999999999</v>
      </c>
      <c r="T295" s="217">
        <f t="shared" si="787"/>
        <v>2.5058600965623046</v>
      </c>
      <c r="U295" s="217">
        <f t="shared" si="788"/>
        <v>0.83723516111109564</v>
      </c>
      <c r="V295" s="217">
        <f t="shared" si="789"/>
        <v>1.7546751953321802</v>
      </c>
      <c r="W295" s="197">
        <f t="shared" si="790"/>
        <v>350</v>
      </c>
      <c r="X295" s="443">
        <f t="shared" si="848"/>
        <v>350</v>
      </c>
      <c r="Z295" s="217">
        <f t="shared" si="791"/>
        <v>2.7622869973470037</v>
      </c>
      <c r="AA295" s="173">
        <f t="shared" si="792"/>
        <v>1.9342326745546161</v>
      </c>
      <c r="AB295" s="173">
        <f t="shared" si="793"/>
        <v>0.83337714949012132</v>
      </c>
      <c r="AC295" s="173"/>
      <c r="AD295" s="173">
        <f t="shared" si="794"/>
        <v>0.93363828663824355</v>
      </c>
      <c r="AE295" s="545">
        <f t="shared" si="795"/>
        <v>1269.2281550136893</v>
      </c>
      <c r="AF295" s="528">
        <f t="shared" si="796"/>
        <v>0.21784893354892354</v>
      </c>
      <c r="AH295" s="173">
        <f t="shared" si="797"/>
        <v>2.6309513035981418</v>
      </c>
      <c r="AI295" s="173">
        <f t="shared" si="798"/>
        <v>2.6309513035981418</v>
      </c>
      <c r="AJ295" s="173">
        <f t="shared" si="799"/>
        <v>2.1611984964924504</v>
      </c>
      <c r="AL295" s="545">
        <f t="shared" si="800"/>
        <v>790</v>
      </c>
      <c r="AM295" s="460">
        <f t="shared" si="801"/>
        <v>350</v>
      </c>
      <c r="AO295">
        <f t="shared" si="802"/>
        <v>790</v>
      </c>
      <c r="AP295">
        <f t="shared" si="803"/>
        <v>350</v>
      </c>
      <c r="AR295" s="5">
        <f t="shared" si="774"/>
        <v>2.8571428571428572</v>
      </c>
      <c r="AS295" s="5">
        <f t="shared" si="739"/>
        <v>0.87902949632554217</v>
      </c>
      <c r="AT295" s="5">
        <f t="shared" si="740"/>
        <v>1.9781133608173151</v>
      </c>
      <c r="AU295" s="173">
        <f t="shared" si="741"/>
        <v>0.30766032371393975</v>
      </c>
      <c r="BA295" s="173">
        <f t="shared" si="849"/>
        <v>0.84253495669609668</v>
      </c>
      <c r="BB295" s="173">
        <f t="shared" si="850"/>
        <v>1.2638973194238106</v>
      </c>
      <c r="BC295" s="173">
        <f t="shared" si="851"/>
        <v>0.31008097793611417</v>
      </c>
      <c r="BD295" s="173"/>
      <c r="BE295" s="528">
        <f t="shared" si="852"/>
        <v>1.4197303065097871E-2</v>
      </c>
      <c r="BF295" s="528">
        <f t="shared" si="804"/>
        <v>0.91600105509834029</v>
      </c>
      <c r="BG295" s="528">
        <f t="shared" si="805"/>
        <v>0.31426691371855592</v>
      </c>
      <c r="BH295" s="528">
        <f t="shared" si="853"/>
        <v>9.8513497905414513E-2</v>
      </c>
      <c r="BI295">
        <f t="shared" si="854"/>
        <v>1.6162298419811448E-2</v>
      </c>
      <c r="BJ295" s="460">
        <f t="shared" si="855"/>
        <v>330.42921213836735</v>
      </c>
      <c r="BK295">
        <f t="shared" si="806"/>
        <v>1.036039980019964</v>
      </c>
      <c r="BL295" s="460">
        <f t="shared" si="856"/>
        <v>1359.1410682072203</v>
      </c>
      <c r="BM295" s="173">
        <f t="shared" si="807"/>
        <v>0.49078749999999993</v>
      </c>
      <c r="BN295" s="173">
        <f t="shared" si="808"/>
        <v>8.7640625E-2</v>
      </c>
      <c r="BQ295" s="460">
        <f t="shared" si="857"/>
        <v>578.42812499999991</v>
      </c>
      <c r="BR295" s="528">
        <f t="shared" si="858"/>
        <v>2.1295954597646806E-2</v>
      </c>
      <c r="BS295" s="528">
        <f t="shared" si="859"/>
        <v>4.7923093021400812E-2</v>
      </c>
      <c r="BT295" s="528">
        <f t="shared" si="860"/>
        <v>4.8075106438908458E-4</v>
      </c>
      <c r="BU295" s="528">
        <f t="shared" si="861"/>
        <v>1.286536582027102</v>
      </c>
      <c r="BV295" s="528"/>
      <c r="BW295" s="625">
        <f t="shared" si="862"/>
        <v>1.2113333333333334E-2</v>
      </c>
      <c r="BX295" s="460">
        <f t="shared" si="863"/>
        <v>1368.3497140438722</v>
      </c>
      <c r="BY295" s="173">
        <f t="shared" si="864"/>
        <v>3.3059189072510917</v>
      </c>
      <c r="BZ295" s="5">
        <f t="shared" si="865"/>
        <v>14.536</v>
      </c>
      <c r="CA295" s="173">
        <f t="shared" si="866"/>
        <v>0.81471057432575023</v>
      </c>
      <c r="CB295" s="5">
        <f t="shared" si="867"/>
        <v>81.471057432575023</v>
      </c>
      <c r="CC295">
        <f t="shared" si="868"/>
        <v>79</v>
      </c>
      <c r="CE295" s="562">
        <f t="shared" si="809"/>
        <v>-50</v>
      </c>
      <c r="CG295" s="173">
        <f t="shared" si="810"/>
        <v>0.63610859634300143</v>
      </c>
      <c r="CH295" s="173">
        <f t="shared" si="811"/>
        <v>0.22636069299307995</v>
      </c>
      <c r="CI295" s="170">
        <v>79</v>
      </c>
      <c r="CJ295" s="217">
        <f t="shared" si="869"/>
        <v>0.79</v>
      </c>
      <c r="CK295" s="217">
        <f t="shared" si="812"/>
        <v>0.19750000000000001</v>
      </c>
      <c r="CL295" s="217">
        <f t="shared" si="813"/>
        <v>12.956</v>
      </c>
      <c r="CM295" s="217">
        <f t="shared" si="814"/>
        <v>1.58</v>
      </c>
      <c r="CN295" s="541">
        <f t="shared" si="815"/>
        <v>36</v>
      </c>
      <c r="CO295" s="443">
        <f t="shared" si="816"/>
        <v>17.099999999999998</v>
      </c>
      <c r="CP295" s="443">
        <f t="shared" si="817"/>
        <v>53.099999999999994</v>
      </c>
      <c r="CQ295" s="443"/>
      <c r="CR295" s="217">
        <f t="shared" si="818"/>
        <v>0.31818181818181812</v>
      </c>
      <c r="CS295" s="172">
        <f t="shared" si="819"/>
        <v>34.031620553359687</v>
      </c>
      <c r="CT295" s="172">
        <f t="shared" si="820"/>
        <v>4.6563192904656319</v>
      </c>
      <c r="CU295" s="217">
        <f t="shared" si="821"/>
        <v>2.0750988142292495</v>
      </c>
      <c r="CV295" s="217">
        <f t="shared" si="822"/>
        <v>4.2539525691699609</v>
      </c>
      <c r="CW295" s="217">
        <f t="shared" si="823"/>
        <v>16.399999999999999</v>
      </c>
      <c r="CX295" s="217">
        <f t="shared" si="824"/>
        <v>2.5380317460317463</v>
      </c>
      <c r="CY295" s="217">
        <f t="shared" si="825"/>
        <v>0.8460105820105821</v>
      </c>
      <c r="CZ295" s="217">
        <f t="shared" si="826"/>
        <v>1.7810749094959626</v>
      </c>
      <c r="DA295" s="197">
        <f t="shared" si="827"/>
        <v>350</v>
      </c>
      <c r="DB295" s="443">
        <f t="shared" si="828"/>
        <v>350</v>
      </c>
      <c r="DD295" s="217">
        <f t="shared" si="829"/>
        <v>2.7602905569007259</v>
      </c>
      <c r="DE295" s="173">
        <f t="shared" si="830"/>
        <v>1.937046004842615</v>
      </c>
      <c r="DF295" s="173">
        <f t="shared" si="831"/>
        <v>0.83398609309454497</v>
      </c>
      <c r="DG295" s="173"/>
      <c r="DH295" s="173">
        <f t="shared" si="832"/>
        <v>0.93567251461988332</v>
      </c>
      <c r="DI295" s="545">
        <f t="shared" si="833"/>
        <v>1266.4687499999995</v>
      </c>
      <c r="DJ295" s="528">
        <f t="shared" si="834"/>
        <v>0.21832358674463945</v>
      </c>
      <c r="DL295" s="173">
        <f t="shared" si="835"/>
        <v>2.6309513035981418</v>
      </c>
      <c r="DM295" s="173">
        <f t="shared" si="836"/>
        <v>2.6309513035981418</v>
      </c>
      <c r="DN295" s="173">
        <f t="shared" si="837"/>
        <v>2.1611984964924504</v>
      </c>
      <c r="DP295" s="545">
        <f t="shared" si="838"/>
        <v>790</v>
      </c>
      <c r="DQ295" s="460">
        <f t="shared" si="839"/>
        <v>350</v>
      </c>
      <c r="DS295">
        <f t="shared" si="840"/>
        <v>790</v>
      </c>
      <c r="DT295">
        <f t="shared" si="841"/>
        <v>350</v>
      </c>
      <c r="DV295" s="5">
        <f t="shared" si="870"/>
        <v>2.8571428571428572</v>
      </c>
      <c r="DW295" s="5">
        <f t="shared" si="842"/>
        <v>0.87698376786604715</v>
      </c>
      <c r="DX295" s="5">
        <f t="shared" si="843"/>
        <v>1.9801590892768099</v>
      </c>
      <c r="DY295" s="173">
        <f t="shared" si="844"/>
        <v>0.30694431875311651</v>
      </c>
      <c r="EA295" s="5">
        <f t="shared" si="871"/>
        <v>4.2244949793547404</v>
      </c>
      <c r="EB295" s="5">
        <f t="shared" si="872"/>
        <v>2.1650536769193041</v>
      </c>
      <c r="EC295" s="5">
        <f t="shared" si="873"/>
        <v>0.59386437871922093</v>
      </c>
      <c r="ED295" s="5"/>
      <c r="EE295" s="173">
        <f t="shared" si="874"/>
        <v>0.84155398749710064</v>
      </c>
      <c r="EF295" s="173">
        <f t="shared" si="875"/>
        <v>1.2645507002209588</v>
      </c>
      <c r="EG295" s="173">
        <f t="shared" si="876"/>
        <v>0.31024127652479755</v>
      </c>
      <c r="EH295" s="173"/>
      <c r="EI295" s="528">
        <f t="shared" si="877"/>
        <v>1.4164262277445406E-2</v>
      </c>
      <c r="EJ295" s="528">
        <f t="shared" si="878"/>
        <v>0.97792459954742927</v>
      </c>
      <c r="EK295" s="528">
        <f t="shared" si="879"/>
        <v>4.3749999999999997E-2</v>
      </c>
      <c r="EL295" s="528">
        <f t="shared" si="880"/>
        <v>9.8686349999999978E-2</v>
      </c>
      <c r="EM295">
        <f t="shared" si="881"/>
        <v>1.6199999999999999E-2</v>
      </c>
      <c r="EN295" s="460">
        <f t="shared" si="882"/>
        <v>59.949999999999996</v>
      </c>
      <c r="EP295" s="460">
        <f t="shared" si="883"/>
        <v>1150.7252118248746</v>
      </c>
      <c r="EQ295" s="173">
        <f t="shared" si="884"/>
        <v>0.55299999999999994</v>
      </c>
      <c r="ER295" s="173">
        <f t="shared" si="845"/>
        <v>8.7640625E-2</v>
      </c>
      <c r="ES295" s="528"/>
      <c r="EU295" s="460">
        <f t="shared" si="885"/>
        <v>640.640625</v>
      </c>
      <c r="EV295" s="528">
        <f t="shared" si="886"/>
        <v>2.1246393416168106E-2</v>
      </c>
      <c r="EW295" s="528">
        <f t="shared" si="887"/>
        <v>4.7972654202879522E-2</v>
      </c>
      <c r="EX295" s="528">
        <f t="shared" si="888"/>
        <v>4.8124824829867951E-4</v>
      </c>
      <c r="EY295" s="528">
        <f t="shared" si="889"/>
        <v>1.286536582027102</v>
      </c>
      <c r="EZ295" s="528"/>
      <c r="FA295" s="625">
        <f t="shared" si="890"/>
        <v>1.2113333333333334E-2</v>
      </c>
      <c r="FB295" s="460">
        <f t="shared" si="891"/>
        <v>1368.3502112277818</v>
      </c>
      <c r="FC295" s="173">
        <f t="shared" si="892"/>
        <v>3.159716048052656</v>
      </c>
      <c r="FD295" s="5">
        <f t="shared" si="893"/>
        <v>14.536</v>
      </c>
      <c r="FE295" s="173">
        <f t="shared" si="894"/>
        <v>0.82144175237258221</v>
      </c>
      <c r="FF295" s="5">
        <f t="shared" si="895"/>
        <v>82.144175237258224</v>
      </c>
      <c r="FG295">
        <f t="shared" si="896"/>
        <v>79</v>
      </c>
      <c r="FI295" s="562">
        <f t="shared" si="846"/>
        <v>-50</v>
      </c>
    </row>
    <row r="296" spans="5:165">
      <c r="E296" s="170">
        <v>80</v>
      </c>
      <c r="F296" s="217">
        <f t="shared" si="847"/>
        <v>0.8</v>
      </c>
      <c r="G296" s="217">
        <f t="shared" si="775"/>
        <v>0.2</v>
      </c>
      <c r="H296" s="217">
        <f t="shared" si="776"/>
        <v>13.12</v>
      </c>
      <c r="I296" s="217">
        <f t="shared" si="777"/>
        <v>1.6</v>
      </c>
      <c r="J296" s="541">
        <f t="shared" si="778"/>
        <v>35.915690116872305</v>
      </c>
      <c r="K296" s="443">
        <f t="shared" si="779"/>
        <v>17.137492856462455</v>
      </c>
      <c r="L296" s="172">
        <f t="shared" si="780"/>
        <v>53.053182973334756</v>
      </c>
      <c r="M296" s="443"/>
      <c r="N296" s="217">
        <f t="shared" si="781"/>
        <v>0.32302478185099637</v>
      </c>
      <c r="O296" s="172">
        <f t="shared" si="782"/>
        <v>34.468693954076606</v>
      </c>
      <c r="P296" s="172">
        <f t="shared" si="783"/>
        <v>4.7161211239962046</v>
      </c>
      <c r="Q296" s="217">
        <f t="shared" si="784"/>
        <v>2.1017496313461348</v>
      </c>
      <c r="R296" s="217">
        <f t="shared" si="785"/>
        <v>4.3085867442595758</v>
      </c>
      <c r="S296" s="217">
        <f t="shared" si="786"/>
        <v>16.399999999999999</v>
      </c>
      <c r="T296" s="217">
        <f t="shared" si="787"/>
        <v>2.5375683448639048</v>
      </c>
      <c r="U296" s="217">
        <f t="shared" si="788"/>
        <v>0.84784171038556244</v>
      </c>
      <c r="V296" s="217">
        <f t="shared" si="789"/>
        <v>1.7768538486587331</v>
      </c>
      <c r="W296" s="197">
        <f t="shared" si="790"/>
        <v>350</v>
      </c>
      <c r="X296" s="443">
        <f t="shared" si="848"/>
        <v>350</v>
      </c>
      <c r="Z296" s="217">
        <f t="shared" si="791"/>
        <v>2.7622995154834906</v>
      </c>
      <c r="AA296" s="173">
        <f t="shared" si="792"/>
        <v>1.934214908997153</v>
      </c>
      <c r="AB296" s="173">
        <f t="shared" si="793"/>
        <v>0.83337327174543741</v>
      </c>
      <c r="AC296" s="173"/>
      <c r="AD296" s="173">
        <f t="shared" si="794"/>
        <v>0.93362548034361337</v>
      </c>
      <c r="AE296" s="545">
        <f t="shared" si="795"/>
        <v>1285.311964234684</v>
      </c>
      <c r="AF296" s="528">
        <f t="shared" si="796"/>
        <v>0.2178459454135098</v>
      </c>
      <c r="AH296" s="173">
        <f t="shared" si="797"/>
        <v>2.6475505301171891</v>
      </c>
      <c r="AI296" s="173">
        <f t="shared" si="798"/>
        <v>2.6475505301171891</v>
      </c>
      <c r="AJ296" s="173">
        <f t="shared" si="799"/>
        <v>2.1734942198398928</v>
      </c>
      <c r="AL296" s="545">
        <f t="shared" si="800"/>
        <v>800</v>
      </c>
      <c r="AM296" s="460">
        <f t="shared" si="801"/>
        <v>350</v>
      </c>
      <c r="AO296">
        <f t="shared" si="802"/>
        <v>800</v>
      </c>
      <c r="AP296">
        <f t="shared" si="803"/>
        <v>350</v>
      </c>
      <c r="AR296" s="5">
        <f t="shared" si="774"/>
        <v>2.8571428571428572</v>
      </c>
      <c r="AS296" s="5">
        <f t="shared" si="739"/>
        <v>0.88458849761823799</v>
      </c>
      <c r="AT296" s="5">
        <f t="shared" si="740"/>
        <v>1.9725543595246191</v>
      </c>
      <c r="AU296" s="173">
        <f t="shared" si="741"/>
        <v>0.3096059741663833</v>
      </c>
      <c r="BA296" s="173">
        <f t="shared" si="849"/>
        <v>0.85052737512088683</v>
      </c>
      <c r="BB296" s="173">
        <f t="shared" si="850"/>
        <v>1.2700831156573615</v>
      </c>
      <c r="BC296" s="173">
        <f t="shared" si="851"/>
        <v>0.31159858361177728</v>
      </c>
      <c r="BD296" s="173"/>
      <c r="BE296" s="528">
        <f t="shared" si="852"/>
        <v>1.4467936316600516E-2</v>
      </c>
      <c r="BF296" s="528">
        <f t="shared" si="804"/>
        <v>0.9217751990045594</v>
      </c>
      <c r="BG296" s="528">
        <f t="shared" si="805"/>
        <v>0.31426228852263266</v>
      </c>
      <c r="BH296" s="528">
        <f t="shared" si="853"/>
        <v>9.8512407826074788E-2</v>
      </c>
      <c r="BI296">
        <f t="shared" si="854"/>
        <v>1.6162060552592537E-2</v>
      </c>
      <c r="BJ296" s="460">
        <f t="shared" si="855"/>
        <v>330.42434907522522</v>
      </c>
      <c r="BK296">
        <f t="shared" si="806"/>
        <v>1.0422446871838094</v>
      </c>
      <c r="BL296" s="460">
        <f t="shared" si="856"/>
        <v>1365.1798922224598</v>
      </c>
      <c r="BM296" s="173">
        <f t="shared" si="807"/>
        <v>0.49699999999999994</v>
      </c>
      <c r="BN296" s="173">
        <f t="shared" si="808"/>
        <v>8.8749999999999996E-2</v>
      </c>
      <c r="BQ296" s="460">
        <f t="shared" si="857"/>
        <v>585.75</v>
      </c>
      <c r="BR296" s="528">
        <f t="shared" si="858"/>
        <v>2.1701904474900773E-2</v>
      </c>
      <c r="BS296" s="528">
        <f t="shared" si="859"/>
        <v>4.839333362033732E-2</v>
      </c>
      <c r="BT296" s="528">
        <f t="shared" si="860"/>
        <v>4.8546838654432879E-4</v>
      </c>
      <c r="BU296" s="528">
        <f t="shared" si="861"/>
        <v>1.3069252819423791</v>
      </c>
      <c r="BV296" s="528"/>
      <c r="BW296" s="625">
        <f t="shared" si="862"/>
        <v>1.2266666666666665E-2</v>
      </c>
      <c r="BX296" s="460">
        <f t="shared" si="863"/>
        <v>1389.7726550908283</v>
      </c>
      <c r="BY296" s="173">
        <f t="shared" si="864"/>
        <v>3.3407025473132879</v>
      </c>
      <c r="BZ296" s="5">
        <f t="shared" si="865"/>
        <v>14.719999999999999</v>
      </c>
      <c r="CA296" s="173">
        <f t="shared" si="866"/>
        <v>0.81502920284735814</v>
      </c>
      <c r="CB296" s="5">
        <f t="shared" si="867"/>
        <v>81.502920284735808</v>
      </c>
      <c r="CC296">
        <f t="shared" si="868"/>
        <v>80</v>
      </c>
      <c r="CE296" s="562">
        <f t="shared" si="809"/>
        <v>-50</v>
      </c>
      <c r="CG296" s="173">
        <f t="shared" si="810"/>
        <v>0.64012193960289754</v>
      </c>
      <c r="CH296" s="173">
        <f t="shared" si="811"/>
        <v>0.22778885033406227</v>
      </c>
      <c r="CI296" s="170">
        <v>80</v>
      </c>
      <c r="CJ296" s="217">
        <f t="shared" si="869"/>
        <v>0.8</v>
      </c>
      <c r="CK296" s="217">
        <f t="shared" si="812"/>
        <v>0.2</v>
      </c>
      <c r="CL296" s="217">
        <f t="shared" si="813"/>
        <v>13.12</v>
      </c>
      <c r="CM296" s="217">
        <f t="shared" si="814"/>
        <v>1.6</v>
      </c>
      <c r="CN296" s="541">
        <f t="shared" si="815"/>
        <v>36</v>
      </c>
      <c r="CO296" s="443">
        <f t="shared" si="816"/>
        <v>17.099999999999998</v>
      </c>
      <c r="CP296" s="443">
        <f t="shared" si="817"/>
        <v>53.099999999999994</v>
      </c>
      <c r="CQ296" s="443"/>
      <c r="CR296" s="217">
        <f t="shared" si="818"/>
        <v>0.31818181818181812</v>
      </c>
      <c r="CS296" s="172">
        <f t="shared" si="819"/>
        <v>34.031620553359687</v>
      </c>
      <c r="CT296" s="172">
        <f t="shared" si="820"/>
        <v>4.6563192904656319</v>
      </c>
      <c r="CU296" s="217">
        <f t="shared" si="821"/>
        <v>2.0750988142292495</v>
      </c>
      <c r="CV296" s="217">
        <f t="shared" si="822"/>
        <v>4.2539525691699609</v>
      </c>
      <c r="CW296" s="217">
        <f t="shared" si="823"/>
        <v>16.399999999999999</v>
      </c>
      <c r="CX296" s="217">
        <f t="shared" si="824"/>
        <v>2.5701587301587301</v>
      </c>
      <c r="CY296" s="217">
        <f t="shared" si="825"/>
        <v>0.85671957671957677</v>
      </c>
      <c r="CZ296" s="217">
        <f t="shared" si="826"/>
        <v>1.8036201615148988</v>
      </c>
      <c r="DA296" s="197">
        <f t="shared" si="827"/>
        <v>350</v>
      </c>
      <c r="DB296" s="443">
        <f t="shared" si="828"/>
        <v>350</v>
      </c>
      <c r="DD296" s="217">
        <f t="shared" si="829"/>
        <v>2.7602905569007259</v>
      </c>
      <c r="DE296" s="173">
        <f t="shared" si="830"/>
        <v>1.937046004842615</v>
      </c>
      <c r="DF296" s="173">
        <f t="shared" si="831"/>
        <v>0.83398609309454497</v>
      </c>
      <c r="DG296" s="173"/>
      <c r="DH296" s="173">
        <f t="shared" si="832"/>
        <v>0.93567251461988332</v>
      </c>
      <c r="DI296" s="545">
        <f t="shared" si="833"/>
        <v>1282.4999999999995</v>
      </c>
      <c r="DJ296" s="528">
        <f t="shared" si="834"/>
        <v>0.21832358674463945</v>
      </c>
      <c r="DL296" s="173">
        <f t="shared" si="835"/>
        <v>2.6475505301171891</v>
      </c>
      <c r="DM296" s="173">
        <f t="shared" si="836"/>
        <v>2.6475505301171891</v>
      </c>
      <c r="DN296" s="173">
        <f t="shared" si="837"/>
        <v>2.1734942198398928</v>
      </c>
      <c r="DP296" s="545">
        <f t="shared" si="838"/>
        <v>800</v>
      </c>
      <c r="DQ296" s="460">
        <f t="shared" si="839"/>
        <v>350</v>
      </c>
      <c r="DS296">
        <f t="shared" si="840"/>
        <v>800</v>
      </c>
      <c r="DT296">
        <f t="shared" si="841"/>
        <v>350</v>
      </c>
      <c r="DV296" s="5">
        <f t="shared" si="870"/>
        <v>2.8571428571428572</v>
      </c>
      <c r="DW296" s="5">
        <f t="shared" si="842"/>
        <v>0.88251684337239644</v>
      </c>
      <c r="DX296" s="5">
        <f t="shared" si="843"/>
        <v>1.9746260137704608</v>
      </c>
      <c r="DY296" s="173">
        <f t="shared" si="844"/>
        <v>0.30888089518033873</v>
      </c>
      <c r="EA296" s="5">
        <f t="shared" si="871"/>
        <v>4.3049602115726664</v>
      </c>
      <c r="EB296" s="5">
        <f t="shared" si="872"/>
        <v>2.2062921084309912</v>
      </c>
      <c r="EC296" s="5">
        <f t="shared" si="873"/>
        <v>0.59970123381176943</v>
      </c>
      <c r="ED296" s="5"/>
      <c r="EE296" s="173">
        <f t="shared" si="874"/>
        <v>0.84953084877745155</v>
      </c>
      <c r="EF296" s="173">
        <f t="shared" si="875"/>
        <v>1.2707498862810882</v>
      </c>
      <c r="EG296" s="173">
        <f t="shared" si="876"/>
        <v>0.31176216722247641</v>
      </c>
      <c r="EH296" s="173"/>
      <c r="EI296" s="528">
        <f t="shared" si="877"/>
        <v>1.4434053260490744E-2</v>
      </c>
      <c r="EJ296" s="528">
        <f t="shared" si="878"/>
        <v>0.9840945320445591</v>
      </c>
      <c r="EK296" s="528">
        <f t="shared" si="879"/>
        <v>4.3749999999999997E-2</v>
      </c>
      <c r="EL296" s="528">
        <f t="shared" si="880"/>
        <v>9.8686349999999978E-2</v>
      </c>
      <c r="EM296">
        <f t="shared" si="881"/>
        <v>1.6199999999999999E-2</v>
      </c>
      <c r="EN296" s="460">
        <f t="shared" si="882"/>
        <v>59.949999999999996</v>
      </c>
      <c r="EP296" s="460">
        <f t="shared" si="883"/>
        <v>1157.1649353050498</v>
      </c>
      <c r="EQ296" s="173">
        <f t="shared" si="884"/>
        <v>0.55999999999999994</v>
      </c>
      <c r="ER296" s="173">
        <f t="shared" si="845"/>
        <v>8.8749999999999996E-2</v>
      </c>
      <c r="ES296" s="528"/>
      <c r="EU296" s="460">
        <f t="shared" si="885"/>
        <v>648.74999999999989</v>
      </c>
      <c r="EV296" s="528">
        <f t="shared" si="886"/>
        <v>2.1651079890736117E-2</v>
      </c>
      <c r="EW296" s="528">
        <f t="shared" si="887"/>
        <v>4.8444158204501958E-2</v>
      </c>
      <c r="EX296" s="528">
        <f t="shared" si="888"/>
        <v>4.8597824455627673E-4</v>
      </c>
      <c r="EY296" s="528">
        <f t="shared" si="889"/>
        <v>1.3069252819423791</v>
      </c>
      <c r="EZ296" s="528"/>
      <c r="FA296" s="625">
        <f t="shared" si="890"/>
        <v>1.2266666666666665E-2</v>
      </c>
      <c r="FB296" s="460">
        <f t="shared" si="891"/>
        <v>1389.7731649488401</v>
      </c>
      <c r="FC296" s="173">
        <f t="shared" si="892"/>
        <v>3.1956881002538897</v>
      </c>
      <c r="FD296" s="5">
        <f t="shared" si="893"/>
        <v>14.719999999999999</v>
      </c>
      <c r="FE296" s="173">
        <f t="shared" si="894"/>
        <v>0.8216262706533386</v>
      </c>
      <c r="FF296" s="5">
        <f t="shared" si="895"/>
        <v>82.162627065333865</v>
      </c>
      <c r="FG296">
        <f t="shared" si="896"/>
        <v>80</v>
      </c>
      <c r="FI296" s="562">
        <f t="shared" si="846"/>
        <v>-50</v>
      </c>
    </row>
    <row r="297" spans="5:165">
      <c r="E297" s="170">
        <v>81</v>
      </c>
      <c r="F297" s="217">
        <f t="shared" si="847"/>
        <v>0.81</v>
      </c>
      <c r="G297" s="217">
        <f t="shared" si="775"/>
        <v>0.20250000000000001</v>
      </c>
      <c r="H297" s="217">
        <f t="shared" si="776"/>
        <v>13.283999999999999</v>
      </c>
      <c r="I297" s="217">
        <f t="shared" si="777"/>
        <v>1.62</v>
      </c>
      <c r="J297" s="541">
        <f t="shared" si="778"/>
        <v>35.915164816568137</v>
      </c>
      <c r="K297" s="443">
        <f t="shared" si="779"/>
        <v>17.137726459074308</v>
      </c>
      <c r="L297" s="172">
        <f t="shared" si="780"/>
        <v>53.052891275642445</v>
      </c>
      <c r="M297" s="443"/>
      <c r="N297" s="217">
        <f t="shared" si="781"/>
        <v>0.32303096112204827</v>
      </c>
      <c r="O297" s="172">
        <f t="shared" si="782"/>
        <v>34.468849173308982</v>
      </c>
      <c r="P297" s="172">
        <f t="shared" si="783"/>
        <v>4.7161423616068214</v>
      </c>
      <c r="Q297" s="217">
        <f t="shared" si="784"/>
        <v>2.1017590959334749</v>
      </c>
      <c r="R297" s="217">
        <f t="shared" si="785"/>
        <v>4.3086061466636227</v>
      </c>
      <c r="S297" s="217">
        <f t="shared" si="786"/>
        <v>16.399999999999999</v>
      </c>
      <c r="T297" s="217">
        <f t="shared" si="787"/>
        <v>2.5692763792234938</v>
      </c>
      <c r="U297" s="217">
        <f t="shared" si="788"/>
        <v>0.85844842166668922</v>
      </c>
      <c r="V297" s="217">
        <f t="shared" si="789"/>
        <v>1.7990318975103581</v>
      </c>
      <c r="W297" s="197">
        <f t="shared" si="790"/>
        <v>350</v>
      </c>
      <c r="X297" s="443">
        <f t="shared" si="848"/>
        <v>349.95866578286689</v>
      </c>
      <c r="Z297" s="217">
        <f t="shared" si="791"/>
        <v>2.7623119546554231</v>
      </c>
      <c r="AA297" s="173">
        <f t="shared" si="792"/>
        <v>1.9341972539370049</v>
      </c>
      <c r="AB297" s="173">
        <f t="shared" si="793"/>
        <v>0.83336941771728779</v>
      </c>
      <c r="AC297" s="173"/>
      <c r="AD297" s="173">
        <f t="shared" si="794"/>
        <v>0.93361275418934653</v>
      </c>
      <c r="AE297" s="545">
        <f t="shared" si="795"/>
        <v>1301.3961029859552</v>
      </c>
      <c r="AF297" s="528">
        <f t="shared" si="796"/>
        <v>0.21784297597751423</v>
      </c>
      <c r="AH297" s="173">
        <f t="shared" si="797"/>
        <v>2.6640463316434375</v>
      </c>
      <c r="AI297" s="173">
        <f t="shared" si="798"/>
        <v>2.6640463316434375</v>
      </c>
      <c r="AJ297" s="173">
        <f t="shared" si="799"/>
        <v>2.1857133320815585</v>
      </c>
      <c r="AL297" s="545">
        <f t="shared" si="800"/>
        <v>810</v>
      </c>
      <c r="AM297" s="460">
        <f t="shared" si="801"/>
        <v>349.95866578286689</v>
      </c>
      <c r="AO297">
        <f t="shared" si="802"/>
        <v>810</v>
      </c>
      <c r="AP297">
        <f t="shared" si="803"/>
        <v>349.95866578286689</v>
      </c>
      <c r="AR297" s="5">
        <f t="shared" si="774"/>
        <v>2.8574803191770473</v>
      </c>
      <c r="AS297" s="5">
        <f t="shared" si="739"/>
        <v>0.89011302448412366</v>
      </c>
      <c r="AT297" s="5">
        <f t="shared" si="740"/>
        <v>1.9673672946929237</v>
      </c>
      <c r="AU297" s="173">
        <f t="shared" si="741"/>
        <v>0.31150276644441621</v>
      </c>
      <c r="BA297" s="173">
        <f t="shared" si="849"/>
        <v>0.85844425830514814</v>
      </c>
      <c r="BB297" s="173">
        <f t="shared" si="850"/>
        <v>1.2762396879494109</v>
      </c>
      <c r="BC297" s="173">
        <f t="shared" si="851"/>
        <v>0.31310901956865023</v>
      </c>
      <c r="BD297" s="173"/>
      <c r="BE297" s="528">
        <f t="shared" si="852"/>
        <v>1.473853089234152E-2</v>
      </c>
      <c r="BF297" s="528">
        <f t="shared" si="804"/>
        <v>0.92740376528641688</v>
      </c>
      <c r="BG297" s="528">
        <f t="shared" si="805"/>
        <v>0.31422057901444866</v>
      </c>
      <c r="BH297" s="528">
        <f t="shared" si="853"/>
        <v>9.8499690577597554E-2</v>
      </c>
      <c r="BI297">
        <f t="shared" si="854"/>
        <v>1.6161824167455662E-2</v>
      </c>
      <c r="BJ297" s="460">
        <f t="shared" si="855"/>
        <v>330.38240318190429</v>
      </c>
      <c r="BK297">
        <f t="shared" si="806"/>
        <v>1.0482923789088032</v>
      </c>
      <c r="BL297" s="460">
        <f t="shared" si="856"/>
        <v>1371.0243899382604</v>
      </c>
      <c r="BM297" s="173">
        <f t="shared" si="807"/>
        <v>0.50321249999999995</v>
      </c>
      <c r="BN297" s="173">
        <f t="shared" si="808"/>
        <v>8.9859375000000005E-2</v>
      </c>
      <c r="BQ297" s="460">
        <f t="shared" si="857"/>
        <v>593.07187499999986</v>
      </c>
      <c r="BR297" s="528">
        <f t="shared" si="858"/>
        <v>2.210779633851228E-2</v>
      </c>
      <c r="BS297" s="528">
        <f t="shared" si="859"/>
        <v>4.8863632232916294E-2</v>
      </c>
      <c r="BT297" s="528">
        <f t="shared" si="860"/>
        <v>4.9018629067620694E-4</v>
      </c>
      <c r="BU297" s="528">
        <f t="shared" si="861"/>
        <v>1.3269859314984265</v>
      </c>
      <c r="BV297" s="528"/>
      <c r="BW297" s="625">
        <f t="shared" si="862"/>
        <v>1.2418533225780589E-2</v>
      </c>
      <c r="BX297" s="460">
        <f t="shared" si="863"/>
        <v>1410.866079586312</v>
      </c>
      <c r="BY297" s="173">
        <f t="shared" si="864"/>
        <v>3.3749623445245724</v>
      </c>
      <c r="BZ297" s="5">
        <f t="shared" si="865"/>
        <v>14.904</v>
      </c>
      <c r="CA297" s="173">
        <f t="shared" si="866"/>
        <v>0.81536357037599916</v>
      </c>
      <c r="CB297" s="5">
        <f t="shared" si="867"/>
        <v>81.536357037599913</v>
      </c>
      <c r="CC297">
        <f t="shared" si="868"/>
        <v>81</v>
      </c>
      <c r="CE297" s="562">
        <f t="shared" si="809"/>
        <v>-50</v>
      </c>
      <c r="CG297" s="173">
        <f t="shared" si="810"/>
        <v>0.64411027687849221</v>
      </c>
      <c r="CH297" s="173">
        <f t="shared" si="811"/>
        <v>0.22920810923857002</v>
      </c>
      <c r="CI297" s="170">
        <v>81</v>
      </c>
      <c r="CJ297" s="217">
        <f t="shared" si="869"/>
        <v>0.81</v>
      </c>
      <c r="CK297" s="217">
        <f t="shared" si="812"/>
        <v>0.20250000000000001</v>
      </c>
      <c r="CL297" s="217">
        <f t="shared" si="813"/>
        <v>13.283999999999999</v>
      </c>
      <c r="CM297" s="217">
        <f t="shared" si="814"/>
        <v>1.62</v>
      </c>
      <c r="CN297" s="541">
        <f t="shared" si="815"/>
        <v>36</v>
      </c>
      <c r="CO297" s="443">
        <f t="shared" si="816"/>
        <v>17.099999999999998</v>
      </c>
      <c r="CP297" s="443">
        <f t="shared" si="817"/>
        <v>53.099999999999994</v>
      </c>
      <c r="CQ297" s="443"/>
      <c r="CR297" s="217">
        <f t="shared" si="818"/>
        <v>0.31818181818181812</v>
      </c>
      <c r="CS297" s="172">
        <f t="shared" si="819"/>
        <v>34.031620553359687</v>
      </c>
      <c r="CT297" s="172">
        <f t="shared" si="820"/>
        <v>4.6563192904656319</v>
      </c>
      <c r="CU297" s="217">
        <f t="shared" si="821"/>
        <v>2.0750988142292495</v>
      </c>
      <c r="CV297" s="217">
        <f t="shared" si="822"/>
        <v>4.2539525691699609</v>
      </c>
      <c r="CW297" s="217">
        <f t="shared" si="823"/>
        <v>16.399999999999999</v>
      </c>
      <c r="CX297" s="217">
        <f t="shared" si="824"/>
        <v>2.6022857142857148</v>
      </c>
      <c r="CY297" s="217">
        <f t="shared" si="825"/>
        <v>0.86742857142857166</v>
      </c>
      <c r="CZ297" s="217">
        <f t="shared" si="826"/>
        <v>1.8261654135338352</v>
      </c>
      <c r="DA297" s="197">
        <f t="shared" si="827"/>
        <v>350</v>
      </c>
      <c r="DB297" s="443">
        <f t="shared" si="828"/>
        <v>350</v>
      </c>
      <c r="DD297" s="217">
        <f t="shared" si="829"/>
        <v>2.7602905569007259</v>
      </c>
      <c r="DE297" s="173">
        <f t="shared" si="830"/>
        <v>1.937046004842615</v>
      </c>
      <c r="DF297" s="173">
        <f t="shared" si="831"/>
        <v>0.83398609309454497</v>
      </c>
      <c r="DG297" s="173"/>
      <c r="DH297" s="173">
        <f t="shared" si="832"/>
        <v>0.93567251461988332</v>
      </c>
      <c r="DI297" s="545">
        <f t="shared" si="833"/>
        <v>1298.5312499999995</v>
      </c>
      <c r="DJ297" s="528">
        <f t="shared" si="834"/>
        <v>0.21832358674463945</v>
      </c>
      <c r="DL297" s="173">
        <f t="shared" si="835"/>
        <v>2.6640463316434375</v>
      </c>
      <c r="DM297" s="173">
        <f t="shared" si="836"/>
        <v>2.6640463316434375</v>
      </c>
      <c r="DN297" s="173">
        <f t="shared" si="837"/>
        <v>2.1857133320815585</v>
      </c>
      <c r="DP297" s="545">
        <f t="shared" si="838"/>
        <v>810</v>
      </c>
      <c r="DQ297" s="460">
        <f t="shared" si="839"/>
        <v>350</v>
      </c>
      <c r="DS297">
        <f t="shared" si="840"/>
        <v>810</v>
      </c>
      <c r="DT297">
        <f t="shared" si="841"/>
        <v>350</v>
      </c>
      <c r="DV297" s="5">
        <f t="shared" si="870"/>
        <v>2.8571428571428572</v>
      </c>
      <c r="DW297" s="5">
        <f t="shared" si="842"/>
        <v>0.88801544388114584</v>
      </c>
      <c r="DX297" s="5">
        <f t="shared" si="843"/>
        <v>1.9691274132617114</v>
      </c>
      <c r="DY297" s="173">
        <f t="shared" si="844"/>
        <v>0.31080540535840101</v>
      </c>
      <c r="EA297" s="5">
        <f t="shared" si="871"/>
        <v>4.3859299362422455</v>
      </c>
      <c r="EB297" s="5">
        <f t="shared" si="872"/>
        <v>2.2477890923241506</v>
      </c>
      <c r="EC297" s="5">
        <f t="shared" si="873"/>
        <v>0.6055066795779761</v>
      </c>
      <c r="ED297" s="5"/>
      <c r="EE297" s="173">
        <f t="shared" si="874"/>
        <v>0.85748282054720404</v>
      </c>
      <c r="EF297" s="173">
        <f t="shared" si="875"/>
        <v>1.2768858594959445</v>
      </c>
      <c r="EG297" s="173">
        <f t="shared" si="876"/>
        <v>0.31326754946026752</v>
      </c>
      <c r="EH297" s="173"/>
      <c r="EI297" s="528">
        <f t="shared" si="877"/>
        <v>1.470553575067177E-2</v>
      </c>
      <c r="EJ297" s="528">
        <f t="shared" si="878"/>
        <v>0.99022602147186545</v>
      </c>
      <c r="EK297" s="528">
        <f t="shared" si="879"/>
        <v>4.3749999999999997E-2</v>
      </c>
      <c r="EL297" s="528">
        <f t="shared" si="880"/>
        <v>9.8686349999999978E-2</v>
      </c>
      <c r="EM297">
        <f t="shared" si="881"/>
        <v>1.6199999999999999E-2</v>
      </c>
      <c r="EN297" s="460">
        <f t="shared" si="882"/>
        <v>59.949999999999996</v>
      </c>
      <c r="EP297" s="460">
        <f t="shared" si="883"/>
        <v>1163.5679072225371</v>
      </c>
      <c r="EQ297" s="173">
        <f t="shared" si="884"/>
        <v>0.56699999999999995</v>
      </c>
      <c r="ER297" s="173">
        <f t="shared" si="845"/>
        <v>8.9859375000000005E-2</v>
      </c>
      <c r="ES297" s="528"/>
      <c r="EU297" s="460">
        <f t="shared" si="885"/>
        <v>656.85937499999989</v>
      </c>
      <c r="EV297" s="528">
        <f t="shared" si="886"/>
        <v>2.2058303626007653E-2</v>
      </c>
      <c r="EW297" s="528">
        <f t="shared" si="887"/>
        <v>4.8913124945420904E-2</v>
      </c>
      <c r="EX297" s="528">
        <f t="shared" si="888"/>
        <v>4.9068278772420584E-4</v>
      </c>
      <c r="EY297" s="528">
        <f t="shared" si="889"/>
        <v>1.3273777976593308</v>
      </c>
      <c r="EZ297" s="528"/>
      <c r="FA297" s="625">
        <f t="shared" si="890"/>
        <v>1.242E-2</v>
      </c>
      <c r="FB297" s="460">
        <f t="shared" si="891"/>
        <v>1411.2599090184835</v>
      </c>
      <c r="FC297" s="173">
        <f t="shared" si="892"/>
        <v>3.2316871912410208</v>
      </c>
      <c r="FD297" s="5">
        <f t="shared" si="893"/>
        <v>14.904</v>
      </c>
      <c r="FE297" s="173">
        <f t="shared" si="894"/>
        <v>0.82180508755125492</v>
      </c>
      <c r="FF297" s="5">
        <f t="shared" si="895"/>
        <v>82.180508755125487</v>
      </c>
      <c r="FG297">
        <f t="shared" si="896"/>
        <v>81</v>
      </c>
      <c r="FI297" s="562">
        <f t="shared" si="846"/>
        <v>-50</v>
      </c>
    </row>
    <row r="298" spans="5:165">
      <c r="E298" s="170">
        <v>82</v>
      </c>
      <c r="F298" s="217">
        <f t="shared" si="847"/>
        <v>0.82</v>
      </c>
      <c r="G298" s="217">
        <f t="shared" si="775"/>
        <v>0.20499999999999999</v>
      </c>
      <c r="H298" s="217">
        <f t="shared" si="776"/>
        <v>13.447999999999999</v>
      </c>
      <c r="I298" s="217">
        <f t="shared" si="777"/>
        <v>1.64</v>
      </c>
      <c r="J298" s="541">
        <f t="shared" si="778"/>
        <v>35.914642748973328</v>
      </c>
      <c r="K298" s="443">
        <f t="shared" si="779"/>
        <v>17.137958624090672</v>
      </c>
      <c r="L298" s="172">
        <f t="shared" si="780"/>
        <v>53.052601373064</v>
      </c>
      <c r="M298" s="443"/>
      <c r="N298" s="217">
        <f t="shared" si="781"/>
        <v>0.32303710243305805</v>
      </c>
      <c r="O298" s="172">
        <f t="shared" si="782"/>
        <v>34.469003425392614</v>
      </c>
      <c r="P298" s="172">
        <f t="shared" si="783"/>
        <v>4.7161634668889363</v>
      </c>
      <c r="Q298" s="217">
        <f t="shared" si="784"/>
        <v>2.1017685015483303</v>
      </c>
      <c r="R298" s="217">
        <f t="shared" si="785"/>
        <v>4.3086254281740768</v>
      </c>
      <c r="S298" s="217">
        <f t="shared" si="786"/>
        <v>16.399999999999999</v>
      </c>
      <c r="T298" s="217">
        <f t="shared" si="787"/>
        <v>2.6009842009904913</v>
      </c>
      <c r="U298" s="217">
        <f t="shared" si="788"/>
        <v>0.86905529396580539</v>
      </c>
      <c r="V298" s="217">
        <f t="shared" si="789"/>
        <v>1.8212093456691942</v>
      </c>
      <c r="W298" s="197">
        <f t="shared" si="790"/>
        <v>350</v>
      </c>
      <c r="X298" s="443">
        <f t="shared" si="848"/>
        <v>345.98907874618919</v>
      </c>
      <c r="Z298" s="217">
        <f t="shared" si="791"/>
        <v>2.7623243163206626</v>
      </c>
      <c r="AA298" s="173">
        <f t="shared" si="792"/>
        <v>1.9341797073341196</v>
      </c>
      <c r="AB298" s="173">
        <f t="shared" si="793"/>
        <v>0.83336558696780816</v>
      </c>
      <c r="AC298" s="173"/>
      <c r="AD298" s="173">
        <f t="shared" si="794"/>
        <v>0.93360010669584348</v>
      </c>
      <c r="AE298" s="545">
        <f t="shared" si="795"/>
        <v>1317.4805692269699</v>
      </c>
      <c r="AF298" s="528">
        <f t="shared" si="796"/>
        <v>0.21784002489569684</v>
      </c>
      <c r="AH298" s="173">
        <f t="shared" si="797"/>
        <v>2.6804406176526099</v>
      </c>
      <c r="AI298" s="173">
        <f t="shared" si="798"/>
        <v>2.6804406176526099</v>
      </c>
      <c r="AJ298" s="173">
        <f t="shared" si="799"/>
        <v>2.1978572476439084</v>
      </c>
      <c r="AL298" s="545">
        <f t="shared" si="800"/>
        <v>820</v>
      </c>
      <c r="AM298" s="460">
        <f t="shared" si="801"/>
        <v>345.98907874618919</v>
      </c>
      <c r="AO298">
        <f t="shared" si="802"/>
        <v>820</v>
      </c>
      <c r="AP298">
        <f t="shared" si="803"/>
        <v>345.98907874618919</v>
      </c>
      <c r="AR298" s="5">
        <f t="shared" si="774"/>
        <v>2.8902646396349994</v>
      </c>
      <c r="AS298" s="5">
        <f t="shared" si="739"/>
        <v>0.89560371341159484</v>
      </c>
      <c r="AT298" s="5">
        <f t="shared" si="740"/>
        <v>1.9946609262234045</v>
      </c>
      <c r="AU298" s="173">
        <f t="shared" si="741"/>
        <v>0.30986910372494375</v>
      </c>
      <c r="BA298" s="173">
        <f t="shared" si="849"/>
        <v>0.86145917525744098</v>
      </c>
      <c r="BB298" s="173">
        <f t="shared" si="850"/>
        <v>1.2856160874403386</v>
      </c>
      <c r="BC298" s="173">
        <f t="shared" si="851"/>
        <v>0.3154093987837846</v>
      </c>
      <c r="BD298" s="173"/>
      <c r="BE298" s="528">
        <f t="shared" si="852"/>
        <v>1.4842238212704608E-2</v>
      </c>
      <c r="BF298" s="528">
        <f t="shared" si="804"/>
        <v>0.92252158532305584</v>
      </c>
      <c r="BG298" s="528">
        <f t="shared" si="805"/>
        <v>0.31065185395539463</v>
      </c>
      <c r="BH298" s="528">
        <f t="shared" si="853"/>
        <v>9.7381342658112949E-2</v>
      </c>
      <c r="BI298">
        <f t="shared" si="854"/>
        <v>1.6161589237037997E-2</v>
      </c>
      <c r="BJ298" s="460">
        <f t="shared" si="855"/>
        <v>326.8134431924326</v>
      </c>
      <c r="BK298">
        <f t="shared" si="806"/>
        <v>1.0424287118332678</v>
      </c>
      <c r="BL298" s="460">
        <f t="shared" si="856"/>
        <v>1361.558609386306</v>
      </c>
      <c r="BM298" s="173">
        <f t="shared" si="807"/>
        <v>0.50942499999999991</v>
      </c>
      <c r="BN298" s="173">
        <f t="shared" si="808"/>
        <v>9.0968749999999987E-2</v>
      </c>
      <c r="BQ298" s="460">
        <f t="shared" si="857"/>
        <v>600.39374999999984</v>
      </c>
      <c r="BR298" s="528">
        <f t="shared" si="858"/>
        <v>2.226335731905691E-2</v>
      </c>
      <c r="BS298" s="528">
        <f t="shared" si="859"/>
        <v>4.9584261728562132E-2</v>
      </c>
      <c r="BT298" s="528">
        <f t="shared" si="860"/>
        <v>4.9741544420574236E-4</v>
      </c>
      <c r="BU298" s="528">
        <f t="shared" si="861"/>
        <v>1.3096084121962215</v>
      </c>
      <c r="BV298" s="528"/>
      <c r="BW298" s="625">
        <f t="shared" si="862"/>
        <v>1.2429245762196435E-2</v>
      </c>
      <c r="BX298" s="460">
        <f t="shared" si="863"/>
        <v>1394.3826924502428</v>
      </c>
      <c r="BY298" s="173">
        <f t="shared" si="864"/>
        <v>3.3563350518365485</v>
      </c>
      <c r="BZ298" s="5">
        <f t="shared" si="865"/>
        <v>15.087999999999999</v>
      </c>
      <c r="CA298" s="173">
        <f t="shared" si="866"/>
        <v>0.81802894805349191</v>
      </c>
      <c r="CB298" s="5">
        <f t="shared" si="867"/>
        <v>81.802894805349197</v>
      </c>
      <c r="CC298">
        <f t="shared" si="868"/>
        <v>82</v>
      </c>
      <c r="CE298" s="562">
        <f t="shared" si="809"/>
        <v>-50</v>
      </c>
      <c r="CG298" s="173">
        <f t="shared" si="810"/>
        <v>0.64807406984078597</v>
      </c>
      <c r="CH298" s="173">
        <f t="shared" si="811"/>
        <v>0.23061863399328048</v>
      </c>
      <c r="CI298" s="170">
        <v>82</v>
      </c>
      <c r="CJ298" s="217">
        <f t="shared" si="869"/>
        <v>0.82</v>
      </c>
      <c r="CK298" s="217">
        <f t="shared" si="812"/>
        <v>0.20499999999999999</v>
      </c>
      <c r="CL298" s="217">
        <f t="shared" si="813"/>
        <v>13.447999999999999</v>
      </c>
      <c r="CM298" s="217">
        <f t="shared" si="814"/>
        <v>1.64</v>
      </c>
      <c r="CN298" s="541">
        <f t="shared" si="815"/>
        <v>36</v>
      </c>
      <c r="CO298" s="443">
        <f t="shared" si="816"/>
        <v>17.099999999999998</v>
      </c>
      <c r="CP298" s="443">
        <f t="shared" si="817"/>
        <v>53.099999999999994</v>
      </c>
      <c r="CQ298" s="443"/>
      <c r="CR298" s="217">
        <f t="shared" si="818"/>
        <v>0.31818181818181812</v>
      </c>
      <c r="CS298" s="172">
        <f t="shared" si="819"/>
        <v>34.031620553359687</v>
      </c>
      <c r="CT298" s="172">
        <f t="shared" si="820"/>
        <v>4.6563192904656319</v>
      </c>
      <c r="CU298" s="217">
        <f t="shared" si="821"/>
        <v>2.0750988142292495</v>
      </c>
      <c r="CV298" s="217">
        <f t="shared" si="822"/>
        <v>4.2539525691699609</v>
      </c>
      <c r="CW298" s="217">
        <f t="shared" si="823"/>
        <v>16.399999999999999</v>
      </c>
      <c r="CX298" s="217">
        <f t="shared" si="824"/>
        <v>2.6344126984126985</v>
      </c>
      <c r="CY298" s="217">
        <f t="shared" si="825"/>
        <v>0.87813756613756622</v>
      </c>
      <c r="CZ298" s="217">
        <f t="shared" si="826"/>
        <v>1.8487106655527712</v>
      </c>
      <c r="DA298" s="197">
        <f t="shared" si="827"/>
        <v>350</v>
      </c>
      <c r="DB298" s="443">
        <f t="shared" si="828"/>
        <v>350</v>
      </c>
      <c r="DD298" s="217">
        <f t="shared" si="829"/>
        <v>2.7602905569007259</v>
      </c>
      <c r="DE298" s="173">
        <f t="shared" si="830"/>
        <v>1.937046004842615</v>
      </c>
      <c r="DF298" s="173">
        <f t="shared" si="831"/>
        <v>0.83398609309454497</v>
      </c>
      <c r="DG298" s="173"/>
      <c r="DH298" s="173">
        <f t="shared" si="832"/>
        <v>0.93567251461988332</v>
      </c>
      <c r="DI298" s="545">
        <f t="shared" si="833"/>
        <v>1314.5624999999993</v>
      </c>
      <c r="DJ298" s="528">
        <f t="shared" si="834"/>
        <v>0.21832358674463945</v>
      </c>
      <c r="DL298" s="173">
        <f t="shared" si="835"/>
        <v>2.6804406176526099</v>
      </c>
      <c r="DM298" s="173">
        <f t="shared" si="836"/>
        <v>2.6804406176526099</v>
      </c>
      <c r="DN298" s="173">
        <f t="shared" si="837"/>
        <v>2.1978572476439084</v>
      </c>
      <c r="DP298" s="545">
        <f t="shared" si="838"/>
        <v>820</v>
      </c>
      <c r="DQ298" s="460">
        <f t="shared" si="839"/>
        <v>350</v>
      </c>
      <c r="DS298">
        <f t="shared" si="840"/>
        <v>820</v>
      </c>
      <c r="DT298">
        <f t="shared" si="841"/>
        <v>350</v>
      </c>
      <c r="DV298" s="5">
        <f t="shared" si="870"/>
        <v>2.8571428571428572</v>
      </c>
      <c r="DW298" s="5">
        <f t="shared" si="842"/>
        <v>0.8934802058842034</v>
      </c>
      <c r="DX298" s="5">
        <f t="shared" si="843"/>
        <v>1.9636626512586539</v>
      </c>
      <c r="DY298" s="173">
        <f t="shared" si="844"/>
        <v>0.31271807205947116</v>
      </c>
      <c r="EA298" s="5">
        <f t="shared" si="871"/>
        <v>4.4674010294210182</v>
      </c>
      <c r="EB298" s="5">
        <f t="shared" si="872"/>
        <v>2.2895430275782709</v>
      </c>
      <c r="EC298" s="5">
        <f t="shared" si="873"/>
        <v>0.61128091051218447</v>
      </c>
      <c r="ED298" s="5"/>
      <c r="EE298" s="173">
        <f t="shared" si="874"/>
        <v>0.86541028633118611</v>
      </c>
      <c r="EF298" s="173">
        <f t="shared" si="875"/>
        <v>1.2829597309474718</v>
      </c>
      <c r="EG298" s="173">
        <f t="shared" si="876"/>
        <v>0.3147576958278589</v>
      </c>
      <c r="EH298" s="173"/>
      <c r="EI298" s="528">
        <f t="shared" si="877"/>
        <v>1.497869927375651E-2</v>
      </c>
      <c r="EJ298" s="528">
        <f t="shared" si="878"/>
        <v>0.99631977758147494</v>
      </c>
      <c r="EK298" s="528">
        <f t="shared" si="879"/>
        <v>4.3749999999999997E-2</v>
      </c>
      <c r="EL298" s="528">
        <f t="shared" si="880"/>
        <v>9.8686349999999978E-2</v>
      </c>
      <c r="EM298">
        <f t="shared" si="881"/>
        <v>1.6199999999999999E-2</v>
      </c>
      <c r="EN298" s="460">
        <f t="shared" si="882"/>
        <v>59.949999999999996</v>
      </c>
      <c r="EP298" s="460">
        <f t="shared" si="883"/>
        <v>1169.9348268552314</v>
      </c>
      <c r="EQ298" s="173">
        <f t="shared" si="884"/>
        <v>0.57399999999999995</v>
      </c>
      <c r="ER298" s="173">
        <f t="shared" si="845"/>
        <v>9.0968749999999987E-2</v>
      </c>
      <c r="ES298" s="528"/>
      <c r="EU298" s="460">
        <f t="shared" si="885"/>
        <v>664.96874999999989</v>
      </c>
      <c r="EV298" s="528">
        <f t="shared" si="886"/>
        <v>2.2468048910634766E-2</v>
      </c>
      <c r="EW298" s="528">
        <f t="shared" si="887"/>
        <v>4.9379570136984276E-2</v>
      </c>
      <c r="EX298" s="528">
        <f t="shared" si="888"/>
        <v>4.9536203541431466E-4</v>
      </c>
      <c r="EY298" s="528">
        <f t="shared" si="889"/>
        <v>1.3478935373478018</v>
      </c>
      <c r="EZ298" s="528"/>
      <c r="FA298" s="625">
        <f t="shared" si="890"/>
        <v>1.2573333333333332E-2</v>
      </c>
      <c r="FB298" s="460">
        <f t="shared" si="891"/>
        <v>1432.8098517641686</v>
      </c>
      <c r="FC298" s="173">
        <f t="shared" si="892"/>
        <v>3.2677134286194001</v>
      </c>
      <c r="FD298" s="5">
        <f t="shared" si="893"/>
        <v>15.087999999999999</v>
      </c>
      <c r="FE298" s="173">
        <f t="shared" si="894"/>
        <v>0.82197840245617859</v>
      </c>
      <c r="FF298" s="5">
        <f t="shared" si="895"/>
        <v>82.197840245617854</v>
      </c>
      <c r="FG298">
        <f t="shared" si="896"/>
        <v>82</v>
      </c>
      <c r="FI298" s="562">
        <f t="shared" si="846"/>
        <v>-50</v>
      </c>
    </row>
    <row r="299" spans="5:165">
      <c r="E299" s="170">
        <v>83</v>
      </c>
      <c r="F299" s="217">
        <f t="shared" si="847"/>
        <v>0.83</v>
      </c>
      <c r="G299" s="217">
        <f t="shared" si="775"/>
        <v>0.20749999999999999</v>
      </c>
      <c r="H299" s="217">
        <f t="shared" si="776"/>
        <v>13.611999999999998</v>
      </c>
      <c r="I299" s="217">
        <f t="shared" si="777"/>
        <v>1.66</v>
      </c>
      <c r="J299" s="541">
        <f t="shared" si="778"/>
        <v>35.914123855129944</v>
      </c>
      <c r="K299" s="443">
        <f t="shared" si="779"/>
        <v>17.13818937773031</v>
      </c>
      <c r="L299" s="172">
        <f t="shared" si="780"/>
        <v>53.052313232860257</v>
      </c>
      <c r="M299" s="443"/>
      <c r="N299" s="217">
        <f t="shared" si="781"/>
        <v>0.32304320647633944</v>
      </c>
      <c r="O299" s="172">
        <f t="shared" si="782"/>
        <v>34.469156727966116</v>
      </c>
      <c r="P299" s="172">
        <f t="shared" si="783"/>
        <v>4.7161844422559236</v>
      </c>
      <c r="Q299" s="217">
        <f t="shared" si="784"/>
        <v>2.1017778492662269</v>
      </c>
      <c r="R299" s="217">
        <f t="shared" si="785"/>
        <v>4.3086445909957645</v>
      </c>
      <c r="S299" s="217">
        <f t="shared" si="786"/>
        <v>16.399999999999999</v>
      </c>
      <c r="T299" s="217">
        <f t="shared" si="787"/>
        <v>2.6326918114895599</v>
      </c>
      <c r="U299" s="217">
        <f t="shared" si="788"/>
        <v>0.87966232631238483</v>
      </c>
      <c r="V299" s="217">
        <f t="shared" si="789"/>
        <v>1.8433861968479799</v>
      </c>
      <c r="W299" s="197">
        <f t="shared" si="790"/>
        <v>350</v>
      </c>
      <c r="X299" s="443">
        <f t="shared" si="848"/>
        <v>342.10858700313742</v>
      </c>
      <c r="Z299" s="217">
        <f t="shared" si="791"/>
        <v>2.7623366018927542</v>
      </c>
      <c r="AA299" s="173">
        <f t="shared" si="792"/>
        <v>1.9341622672104586</v>
      </c>
      <c r="AB299" s="173">
        <f t="shared" si="793"/>
        <v>0.83336177907244435</v>
      </c>
      <c r="AC299" s="173"/>
      <c r="AD299" s="173">
        <f t="shared" si="794"/>
        <v>0.93358753642848114</v>
      </c>
      <c r="AE299" s="545">
        <f t="shared" si="795"/>
        <v>1333.5653609546393</v>
      </c>
      <c r="AF299" s="528">
        <f t="shared" si="796"/>
        <v>0.21783709183331229</v>
      </c>
      <c r="AH299" s="173">
        <f t="shared" si="797"/>
        <v>2.6967352395778401</v>
      </c>
      <c r="AI299" s="173">
        <f t="shared" si="798"/>
        <v>2.6967352395778401</v>
      </c>
      <c r="AJ299" s="173">
        <f t="shared" si="799"/>
        <v>2.2099273379588937</v>
      </c>
      <c r="AL299" s="545">
        <f t="shared" si="800"/>
        <v>830</v>
      </c>
      <c r="AM299" s="460">
        <f t="shared" si="801"/>
        <v>342.10858700313742</v>
      </c>
      <c r="AO299">
        <f t="shared" si="802"/>
        <v>830</v>
      </c>
      <c r="AP299">
        <f t="shared" si="803"/>
        <v>342.10858700313742</v>
      </c>
      <c r="AR299" s="5">
        <f t="shared" si="774"/>
        <v>2.9230485231603649</v>
      </c>
      <c r="AS299" s="5">
        <f t="shared" si="739"/>
        <v>0.90106118154158132</v>
      </c>
      <c r="AT299" s="5">
        <f t="shared" si="740"/>
        <v>2.0219873416187837</v>
      </c>
      <c r="AU299" s="173">
        <f t="shared" si="741"/>
        <v>0.30826076762056787</v>
      </c>
      <c r="BA299" s="173">
        <f t="shared" si="849"/>
        <v>0.86444389345793637</v>
      </c>
      <c r="BB299" s="173">
        <f t="shared" si="850"/>
        <v>1.294937735642246</v>
      </c>
      <c r="BC299" s="173">
        <f t="shared" si="851"/>
        <v>0.31769634547320524</v>
      </c>
      <c r="BD299" s="173"/>
      <c r="BE299" s="528">
        <f t="shared" si="852"/>
        <v>1.4945264898734321E-2</v>
      </c>
      <c r="BF299" s="528">
        <f t="shared" si="804"/>
        <v>0.91771511084187729</v>
      </c>
      <c r="BG299" s="528">
        <f t="shared" si="805"/>
        <v>0.30716325413835432</v>
      </c>
      <c r="BH299" s="528">
        <f t="shared" si="853"/>
        <v>9.6288101858619315E-2</v>
      </c>
      <c r="BI299">
        <f t="shared" si="854"/>
        <v>1.6161355734808473E-2</v>
      </c>
      <c r="BJ299" s="460">
        <f t="shared" si="855"/>
        <v>323.32460987316279</v>
      </c>
      <c r="BK299">
        <f t="shared" si="806"/>
        <v>1.0366648909039016</v>
      </c>
      <c r="BL299" s="460">
        <f t="shared" si="856"/>
        <v>1352.2730874723934</v>
      </c>
      <c r="BM299" s="173">
        <f t="shared" si="807"/>
        <v>0.51563749999999997</v>
      </c>
      <c r="BN299" s="173">
        <f t="shared" si="808"/>
        <v>9.2078124999999997E-2</v>
      </c>
      <c r="BQ299" s="460">
        <f t="shared" si="857"/>
        <v>607.71562499999993</v>
      </c>
      <c r="BR299" s="528">
        <f t="shared" si="858"/>
        <v>2.2417897348101481E-2</v>
      </c>
      <c r="BS299" s="528">
        <f t="shared" si="859"/>
        <v>5.0305912175708019E-2</v>
      </c>
      <c r="BT299" s="528">
        <f t="shared" si="860"/>
        <v>5.046548396351509E-4</v>
      </c>
      <c r="BU299" s="528">
        <f t="shared" si="861"/>
        <v>1.2926344263598055</v>
      </c>
      <c r="BV299" s="528"/>
      <c r="BW299" s="625">
        <f t="shared" si="862"/>
        <v>1.2439719858837888E-2</v>
      </c>
      <c r="BX299" s="460">
        <f t="shared" si="863"/>
        <v>1378.3026105820882</v>
      </c>
      <c r="BY299" s="173">
        <f t="shared" si="864"/>
        <v>3.3382913230544817</v>
      </c>
      <c r="BZ299" s="5">
        <f t="shared" si="865"/>
        <v>15.271999999999998</v>
      </c>
      <c r="CA299" s="173">
        <f t="shared" si="866"/>
        <v>0.82062122160769202</v>
      </c>
      <c r="CB299" s="5">
        <f t="shared" si="867"/>
        <v>82.062122160769206</v>
      </c>
      <c r="CC299">
        <f t="shared" si="868"/>
        <v>83</v>
      </c>
      <c r="CE299" s="562">
        <f t="shared" si="809"/>
        <v>-50</v>
      </c>
      <c r="CG299" s="173">
        <f t="shared" si="810"/>
        <v>0.65201376612730511</v>
      </c>
      <c r="CH299" s="173">
        <f t="shared" si="811"/>
        <v>0.23202058389102698</v>
      </c>
      <c r="CI299" s="170">
        <v>83</v>
      </c>
      <c r="CJ299" s="217">
        <f t="shared" si="869"/>
        <v>0.83</v>
      </c>
      <c r="CK299" s="217">
        <f t="shared" si="812"/>
        <v>0.20749999999999999</v>
      </c>
      <c r="CL299" s="217">
        <f t="shared" si="813"/>
        <v>13.611999999999998</v>
      </c>
      <c r="CM299" s="217">
        <f t="shared" si="814"/>
        <v>1.66</v>
      </c>
      <c r="CN299" s="541">
        <f t="shared" si="815"/>
        <v>36</v>
      </c>
      <c r="CO299" s="443">
        <f t="shared" si="816"/>
        <v>17.099999999999998</v>
      </c>
      <c r="CP299" s="443">
        <f t="shared" si="817"/>
        <v>53.099999999999994</v>
      </c>
      <c r="CQ299" s="443"/>
      <c r="CR299" s="217">
        <f t="shared" si="818"/>
        <v>0.31818181818181812</v>
      </c>
      <c r="CS299" s="172">
        <f t="shared" si="819"/>
        <v>34.031620553359687</v>
      </c>
      <c r="CT299" s="172">
        <f t="shared" si="820"/>
        <v>4.6563192904656319</v>
      </c>
      <c r="CU299" s="217">
        <f t="shared" si="821"/>
        <v>2.0750988142292495</v>
      </c>
      <c r="CV299" s="217">
        <f t="shared" si="822"/>
        <v>4.2539525691699609</v>
      </c>
      <c r="CW299" s="217">
        <f t="shared" si="823"/>
        <v>16.399999999999999</v>
      </c>
      <c r="CX299" s="217">
        <f t="shared" si="824"/>
        <v>2.6665396825396828</v>
      </c>
      <c r="CY299" s="217">
        <f t="shared" si="825"/>
        <v>0.88884656084656088</v>
      </c>
      <c r="CZ299" s="217">
        <f t="shared" si="826"/>
        <v>1.8712559175717072</v>
      </c>
      <c r="DA299" s="197">
        <f t="shared" si="827"/>
        <v>350</v>
      </c>
      <c r="DB299" s="443">
        <f t="shared" si="828"/>
        <v>350</v>
      </c>
      <c r="DD299" s="217">
        <f t="shared" si="829"/>
        <v>2.7602905569007259</v>
      </c>
      <c r="DE299" s="173">
        <f t="shared" si="830"/>
        <v>1.937046004842615</v>
      </c>
      <c r="DF299" s="173">
        <f t="shared" si="831"/>
        <v>0.83398609309454497</v>
      </c>
      <c r="DG299" s="173"/>
      <c r="DH299" s="173">
        <f t="shared" si="832"/>
        <v>0.93567251461988332</v>
      </c>
      <c r="DI299" s="545">
        <f t="shared" si="833"/>
        <v>1330.5937499999993</v>
      </c>
      <c r="DJ299" s="528">
        <f t="shared" si="834"/>
        <v>0.21832358674463945</v>
      </c>
      <c r="DL299" s="173">
        <f t="shared" si="835"/>
        <v>2.6967352395778401</v>
      </c>
      <c r="DM299" s="173">
        <f t="shared" si="836"/>
        <v>2.6967352395778401</v>
      </c>
      <c r="DN299" s="173">
        <f t="shared" si="837"/>
        <v>2.2099273379588937</v>
      </c>
      <c r="DP299" s="545">
        <f t="shared" si="838"/>
        <v>830</v>
      </c>
      <c r="DQ299" s="460">
        <f t="shared" si="839"/>
        <v>350</v>
      </c>
      <c r="DS299">
        <f t="shared" si="840"/>
        <v>830</v>
      </c>
      <c r="DT299">
        <f t="shared" si="841"/>
        <v>350</v>
      </c>
      <c r="DV299" s="5">
        <f t="shared" si="870"/>
        <v>2.8571428571428572</v>
      </c>
      <c r="DW299" s="5">
        <f t="shared" si="842"/>
        <v>0.89891174652594674</v>
      </c>
      <c r="DX299" s="5">
        <f t="shared" si="843"/>
        <v>1.9582311106169104</v>
      </c>
      <c r="DY299" s="173">
        <f t="shared" si="844"/>
        <v>0.31461911128408138</v>
      </c>
      <c r="EA299" s="5">
        <f t="shared" si="871"/>
        <v>4.5493704244910722</v>
      </c>
      <c r="EB299" s="5">
        <f t="shared" si="872"/>
        <v>2.3315523425516744</v>
      </c>
      <c r="EC299" s="5">
        <f t="shared" si="873"/>
        <v>0.61702411753975406</v>
      </c>
      <c r="ED299" s="5"/>
      <c r="EE299" s="173">
        <f t="shared" si="874"/>
        <v>0.87331361914594685</v>
      </c>
      <c r="EF299" s="173">
        <f t="shared" si="875"/>
        <v>1.2889725779632364</v>
      </c>
      <c r="EG299" s="173">
        <f t="shared" si="876"/>
        <v>0.31623287063373512</v>
      </c>
      <c r="EH299" s="173"/>
      <c r="EI299" s="528">
        <f t="shared" si="877"/>
        <v>1.5253533547715839E-2</v>
      </c>
      <c r="EJ299" s="528">
        <f t="shared" si="878"/>
        <v>1.0023764885510831</v>
      </c>
      <c r="EK299" s="528">
        <f t="shared" si="879"/>
        <v>4.3749999999999997E-2</v>
      </c>
      <c r="EL299" s="528">
        <f t="shared" si="880"/>
        <v>9.8686349999999978E-2</v>
      </c>
      <c r="EM299">
        <f t="shared" si="881"/>
        <v>1.6199999999999999E-2</v>
      </c>
      <c r="EN299" s="460">
        <f t="shared" si="882"/>
        <v>59.949999999999996</v>
      </c>
      <c r="EP299" s="460">
        <f t="shared" si="883"/>
        <v>1176.2663720987987</v>
      </c>
      <c r="EQ299" s="173">
        <f t="shared" si="884"/>
        <v>0.58099999999999996</v>
      </c>
      <c r="ER299" s="173">
        <f t="shared" si="845"/>
        <v>9.2078124999999997E-2</v>
      </c>
      <c r="ES299" s="528"/>
      <c r="EU299" s="460">
        <f t="shared" si="885"/>
        <v>673.078125</v>
      </c>
      <c r="EV299" s="528">
        <f t="shared" si="886"/>
        <v>2.2880300321573756E-2</v>
      </c>
      <c r="EW299" s="528">
        <f t="shared" si="887"/>
        <v>4.9843509202235743E-2</v>
      </c>
      <c r="EX299" s="528">
        <f t="shared" si="888"/>
        <v>5.0001614234626329E-4</v>
      </c>
      <c r="EY299" s="528">
        <f t="shared" si="889"/>
        <v>1.3684719218284247</v>
      </c>
      <c r="EZ299" s="528"/>
      <c r="FA299" s="625">
        <f t="shared" si="890"/>
        <v>1.2726666666666664E-2</v>
      </c>
      <c r="FB299" s="460">
        <f t="shared" si="891"/>
        <v>1454.4224141612472</v>
      </c>
      <c r="FC299" s="173">
        <f t="shared" si="892"/>
        <v>3.3037669112600456</v>
      </c>
      <c r="FD299" s="5">
        <f t="shared" si="893"/>
        <v>15.271999999999998</v>
      </c>
      <c r="FE299" s="173">
        <f t="shared" si="894"/>
        <v>0.82214640574234354</v>
      </c>
      <c r="FF299" s="5">
        <f t="shared" si="895"/>
        <v>82.214640574234352</v>
      </c>
      <c r="FG299">
        <f t="shared" si="896"/>
        <v>83</v>
      </c>
      <c r="FI299" s="562">
        <f t="shared" si="846"/>
        <v>-50</v>
      </c>
    </row>
    <row r="300" spans="5:165">
      <c r="E300" s="170">
        <v>84</v>
      </c>
      <c r="F300" s="217">
        <f t="shared" si="847"/>
        <v>0.84</v>
      </c>
      <c r="G300" s="217">
        <f t="shared" si="775"/>
        <v>0.21</v>
      </c>
      <c r="H300" s="217">
        <f t="shared" si="776"/>
        <v>13.775999999999998</v>
      </c>
      <c r="I300" s="217">
        <f t="shared" si="777"/>
        <v>1.68</v>
      </c>
      <c r="J300" s="541">
        <f t="shared" si="778"/>
        <v>35.913608077850675</v>
      </c>
      <c r="K300" s="443">
        <f t="shared" si="779"/>
        <v>17.138418745424595</v>
      </c>
      <c r="L300" s="172">
        <f t="shared" si="780"/>
        <v>53.05202682327527</v>
      </c>
      <c r="M300" s="443"/>
      <c r="N300" s="217">
        <f t="shared" si="781"/>
        <v>0.32304927392341465</v>
      </c>
      <c r="O300" s="172">
        <f t="shared" si="782"/>
        <v>34.469309098138361</v>
      </c>
      <c r="P300" s="172">
        <f t="shared" si="783"/>
        <v>4.7162052900486753</v>
      </c>
      <c r="Q300" s="217">
        <f t="shared" si="784"/>
        <v>2.101787140130388</v>
      </c>
      <c r="R300" s="217">
        <f t="shared" si="785"/>
        <v>4.3086636372672951</v>
      </c>
      <c r="S300" s="217">
        <f t="shared" si="786"/>
        <v>16.399999999999999</v>
      </c>
      <c r="T300" s="217">
        <f t="shared" si="787"/>
        <v>2.664399212021344</v>
      </c>
      <c r="U300" s="217">
        <f t="shared" si="788"/>
        <v>0.8902695177534945</v>
      </c>
      <c r="V300" s="217">
        <f t="shared" si="789"/>
        <v>1.8655624546921419</v>
      </c>
      <c r="W300" s="197">
        <f t="shared" si="790"/>
        <v>350</v>
      </c>
      <c r="X300" s="443">
        <f t="shared" si="848"/>
        <v>338.31422398906062</v>
      </c>
      <c r="Z300" s="217">
        <f t="shared" si="791"/>
        <v>2.7623488127427955</v>
      </c>
      <c r="AA300" s="173">
        <f t="shared" si="792"/>
        <v>1.9341449316473867</v>
      </c>
      <c r="AB300" s="173">
        <f t="shared" si="793"/>
        <v>0.83335799361939333</v>
      </c>
      <c r="AC300" s="173"/>
      <c r="AD300" s="173">
        <f t="shared" si="794"/>
        <v>0.93357504199572006</v>
      </c>
      <c r="AE300" s="545">
        <f t="shared" si="795"/>
        <v>1349.6504762021864</v>
      </c>
      <c r="AF300" s="528">
        <f t="shared" si="796"/>
        <v>0.21783417646566802</v>
      </c>
      <c r="AH300" s="173">
        <f t="shared" si="797"/>
        <v>2.7129319932501068</v>
      </c>
      <c r="AI300" s="173">
        <f t="shared" si="798"/>
        <v>2.664399212021344</v>
      </c>
      <c r="AJ300" s="173">
        <f t="shared" si="799"/>
        <v>2.185974724954082</v>
      </c>
      <c r="AL300" s="545">
        <f t="shared" si="800"/>
        <v>840</v>
      </c>
      <c r="AM300" s="460">
        <f t="shared" si="801"/>
        <v>338.31422398906062</v>
      </c>
      <c r="AO300">
        <f t="shared" si="802"/>
        <v>840</v>
      </c>
      <c r="AP300">
        <f t="shared" si="803"/>
        <v>338.31422398906062</v>
      </c>
      <c r="AR300" s="5">
        <f t="shared" si="774"/>
        <v>2.9558319724456363</v>
      </c>
      <c r="AS300" s="5">
        <f t="shared" si="739"/>
        <v>0.8902695177534945</v>
      </c>
      <c r="AT300" s="5">
        <f t="shared" si="740"/>
        <v>2.0655624546921416</v>
      </c>
      <c r="AU300" s="173">
        <f t="shared" si="741"/>
        <v>0.30119084103988875</v>
      </c>
      <c r="BA300" s="173">
        <f t="shared" si="849"/>
        <v>0.84422760683543385</v>
      </c>
      <c r="BB300" s="173">
        <f t="shared" si="850"/>
        <v>1.285931880594861</v>
      </c>
      <c r="BC300" s="173">
        <f t="shared" si="851"/>
        <v>0.31548687457922697</v>
      </c>
      <c r="BD300" s="173"/>
      <c r="BE300" s="528">
        <f t="shared" si="852"/>
        <v>1.4254405042861677E-2</v>
      </c>
      <c r="BF300" s="528">
        <f t="shared" si="804"/>
        <v>0.89664969826022611</v>
      </c>
      <c r="BG300" s="528">
        <f t="shared" si="805"/>
        <v>0.30375211118763273</v>
      </c>
      <c r="BH300" s="528">
        <f t="shared" si="853"/>
        <v>9.5219132085130151E-2</v>
      </c>
      <c r="BI300">
        <f t="shared" si="854"/>
        <v>1.6161123635032804E-2</v>
      </c>
      <c r="BJ300" s="460">
        <f t="shared" si="855"/>
        <v>319.91323482266552</v>
      </c>
      <c r="BK300">
        <f t="shared" si="806"/>
        <v>1.0134041692535485</v>
      </c>
      <c r="BL300" s="460">
        <f t="shared" si="856"/>
        <v>1326.0364702108834</v>
      </c>
      <c r="BM300" s="173">
        <f t="shared" si="807"/>
        <v>0.52184999999999993</v>
      </c>
      <c r="BN300" s="173">
        <f t="shared" si="808"/>
        <v>9.3187499999999993E-2</v>
      </c>
      <c r="BQ300" s="460">
        <f t="shared" si="857"/>
        <v>615.03749999999991</v>
      </c>
      <c r="BR300" s="528">
        <f t="shared" si="858"/>
        <v>2.1381607564292516E-2</v>
      </c>
      <c r="BS300" s="528">
        <f t="shared" si="859"/>
        <v>4.9608624045907074E-2</v>
      </c>
      <c r="BT300" s="528">
        <f t="shared" si="860"/>
        <v>4.9765984015884442E-4</v>
      </c>
      <c r="BU300" s="528">
        <f t="shared" si="861"/>
        <v>1.2197445590513611</v>
      </c>
      <c r="BV300" s="528"/>
      <c r="BW300" s="625">
        <f t="shared" si="862"/>
        <v>1.2008502559004179E-2</v>
      </c>
      <c r="BX300" s="460">
        <f t="shared" si="863"/>
        <v>1303.2409530607238</v>
      </c>
      <c r="BY300" s="173">
        <f t="shared" si="864"/>
        <v>3.2443149232716069</v>
      </c>
      <c r="BZ300" s="5">
        <f t="shared" si="865"/>
        <v>15.455999999999998</v>
      </c>
      <c r="CA300" s="173">
        <f t="shared" si="866"/>
        <v>0.82651014506529941</v>
      </c>
      <c r="CB300" s="5">
        <f t="shared" si="867"/>
        <v>82.651014506529947</v>
      </c>
      <c r="CC300">
        <f t="shared" si="868"/>
        <v>84</v>
      </c>
      <c r="CE300" s="562">
        <f t="shared" si="809"/>
        <v>-50</v>
      </c>
      <c r="CG300" s="173">
        <f t="shared" si="810"/>
        <v>0.65592979993214551</v>
      </c>
      <c r="CH300" s="173">
        <f t="shared" si="811"/>
        <v>0.23341411344076757</v>
      </c>
      <c r="CI300" s="170">
        <v>84</v>
      </c>
      <c r="CJ300" s="217">
        <f t="shared" si="869"/>
        <v>0.84</v>
      </c>
      <c r="CK300" s="217">
        <f t="shared" si="812"/>
        <v>0.21</v>
      </c>
      <c r="CL300" s="217">
        <f t="shared" si="813"/>
        <v>13.775999999999998</v>
      </c>
      <c r="CM300" s="217">
        <f t="shared" si="814"/>
        <v>1.68</v>
      </c>
      <c r="CN300" s="541">
        <f t="shared" si="815"/>
        <v>36</v>
      </c>
      <c r="CO300" s="443">
        <f t="shared" si="816"/>
        <v>17.099999999999998</v>
      </c>
      <c r="CP300" s="443">
        <f t="shared" si="817"/>
        <v>53.099999999999994</v>
      </c>
      <c r="CQ300" s="443"/>
      <c r="CR300" s="217">
        <f t="shared" si="818"/>
        <v>0.31818181818181812</v>
      </c>
      <c r="CS300" s="172">
        <f t="shared" si="819"/>
        <v>34.031620553359687</v>
      </c>
      <c r="CT300" s="172">
        <f t="shared" si="820"/>
        <v>4.6563192904656319</v>
      </c>
      <c r="CU300" s="217">
        <f t="shared" si="821"/>
        <v>2.0750988142292495</v>
      </c>
      <c r="CV300" s="217">
        <f t="shared" si="822"/>
        <v>4.2539525691699609</v>
      </c>
      <c r="CW300" s="217">
        <f t="shared" si="823"/>
        <v>16.399999999999999</v>
      </c>
      <c r="CX300" s="217">
        <f t="shared" si="824"/>
        <v>2.6986666666666665</v>
      </c>
      <c r="CY300" s="217">
        <f t="shared" si="825"/>
        <v>0.89955555555555555</v>
      </c>
      <c r="CZ300" s="217">
        <f t="shared" si="826"/>
        <v>1.8938011695906436</v>
      </c>
      <c r="DA300" s="197">
        <f t="shared" si="827"/>
        <v>350</v>
      </c>
      <c r="DB300" s="443">
        <f t="shared" si="828"/>
        <v>350</v>
      </c>
      <c r="DD300" s="217">
        <f t="shared" si="829"/>
        <v>2.7602905569007259</v>
      </c>
      <c r="DE300" s="173">
        <f t="shared" si="830"/>
        <v>1.937046004842615</v>
      </c>
      <c r="DF300" s="173">
        <f t="shared" si="831"/>
        <v>0.83398609309454497</v>
      </c>
      <c r="DG300" s="173"/>
      <c r="DH300" s="173">
        <f t="shared" si="832"/>
        <v>0.93567251461988332</v>
      </c>
      <c r="DI300" s="545">
        <f t="shared" si="833"/>
        <v>1346.6249999999995</v>
      </c>
      <c r="DJ300" s="528">
        <f t="shared" si="834"/>
        <v>0.21832358674463945</v>
      </c>
      <c r="DL300" s="173">
        <f t="shared" si="835"/>
        <v>2.7129319932501068</v>
      </c>
      <c r="DM300" s="173">
        <f t="shared" si="836"/>
        <v>2.6986666666666665</v>
      </c>
      <c r="DN300" s="173">
        <f t="shared" si="837"/>
        <v>2.211358024691358</v>
      </c>
      <c r="DP300" s="545">
        <f t="shared" si="838"/>
        <v>840</v>
      </c>
      <c r="DQ300" s="460">
        <f t="shared" si="839"/>
        <v>350</v>
      </c>
      <c r="DS300">
        <f t="shared" si="840"/>
        <v>840</v>
      </c>
      <c r="DT300">
        <f t="shared" si="841"/>
        <v>350</v>
      </c>
      <c r="DV300" s="5">
        <f t="shared" si="870"/>
        <v>2.8571428571428572</v>
      </c>
      <c r="DW300" s="5">
        <f t="shared" si="842"/>
        <v>0.89955555555555555</v>
      </c>
      <c r="DX300" s="5">
        <f t="shared" si="843"/>
        <v>1.9575873015873015</v>
      </c>
      <c r="DY300" s="173">
        <f t="shared" si="844"/>
        <v>0.31484444444444443</v>
      </c>
      <c r="EA300" s="5">
        <f t="shared" si="871"/>
        <v>4.6074796747967488</v>
      </c>
      <c r="EB300" s="5">
        <f t="shared" si="872"/>
        <v>2.3613333333333335</v>
      </c>
      <c r="EC300" s="5">
        <f t="shared" si="873"/>
        <v>0.62425283950617261</v>
      </c>
      <c r="ED300" s="5"/>
      <c r="EE300" s="173">
        <f t="shared" si="874"/>
        <v>0.87425200023095095</v>
      </c>
      <c r="EF300" s="173">
        <f t="shared" si="875"/>
        <v>1.2896836948200801</v>
      </c>
      <c r="EG300" s="173">
        <f t="shared" si="876"/>
        <v>0.31640733402329074</v>
      </c>
      <c r="EH300" s="173"/>
      <c r="EI300" s="528">
        <f t="shared" si="877"/>
        <v>1.5286331198156373E-2</v>
      </c>
      <c r="EJ300" s="528">
        <f t="shared" si="878"/>
        <v>1.0030943999999999</v>
      </c>
      <c r="EK300" s="528">
        <f t="shared" si="879"/>
        <v>4.3749999999999997E-2</v>
      </c>
      <c r="EL300" s="528">
        <f t="shared" si="880"/>
        <v>9.8686349999999978E-2</v>
      </c>
      <c r="EM300">
        <f t="shared" si="881"/>
        <v>1.6199999999999999E-2</v>
      </c>
      <c r="EN300" s="460">
        <f t="shared" si="882"/>
        <v>59.949999999999996</v>
      </c>
      <c r="EP300" s="460">
        <f t="shared" si="883"/>
        <v>1177.0170811981561</v>
      </c>
      <c r="EQ300" s="173">
        <f t="shared" si="884"/>
        <v>0.58799999999999997</v>
      </c>
      <c r="ER300" s="173">
        <f t="shared" si="845"/>
        <v>9.3187499999999993E-2</v>
      </c>
      <c r="ES300" s="528"/>
      <c r="EU300" s="460">
        <f t="shared" si="885"/>
        <v>681.1875</v>
      </c>
      <c r="EV300" s="528">
        <f t="shared" si="886"/>
        <v>2.292949679723456E-2</v>
      </c>
      <c r="EW300" s="528">
        <f t="shared" si="887"/>
        <v>4.9898520980543197E-2</v>
      </c>
      <c r="EX300" s="528">
        <f t="shared" si="888"/>
        <v>5.0056800511863138E-4</v>
      </c>
      <c r="EY300" s="528">
        <f t="shared" si="889"/>
        <v>1.3709235192568126</v>
      </c>
      <c r="EZ300" s="528"/>
      <c r="FA300" s="625">
        <f t="shared" si="890"/>
        <v>1.2744903111111112E-2</v>
      </c>
      <c r="FB300" s="460">
        <f t="shared" si="891"/>
        <v>1456.9970081508202</v>
      </c>
      <c r="FC300" s="173">
        <f t="shared" si="892"/>
        <v>3.3152015893489764</v>
      </c>
      <c r="FD300" s="5">
        <f t="shared" si="893"/>
        <v>15.455999999999998</v>
      </c>
      <c r="FE300" s="173">
        <f t="shared" si="894"/>
        <v>0.82338895176374516</v>
      </c>
      <c r="FF300" s="5">
        <f t="shared" si="895"/>
        <v>82.338895176374521</v>
      </c>
      <c r="FG300">
        <f t="shared" si="896"/>
        <v>84</v>
      </c>
      <c r="FI300" s="562">
        <f t="shared" si="846"/>
        <v>-50</v>
      </c>
    </row>
    <row r="301" spans="5:165">
      <c r="E301" s="170">
        <v>85</v>
      </c>
      <c r="F301" s="217">
        <f t="shared" si="847"/>
        <v>0.85</v>
      </c>
      <c r="G301" s="217">
        <f t="shared" si="775"/>
        <v>0.21249999999999999</v>
      </c>
      <c r="H301" s="217">
        <f t="shared" si="776"/>
        <v>13.939999999999998</v>
      </c>
      <c r="I301" s="217">
        <f t="shared" si="777"/>
        <v>1.7</v>
      </c>
      <c r="J301" s="541">
        <f t="shared" si="778"/>
        <v>35.913095361645262</v>
      </c>
      <c r="K301" s="443">
        <f t="shared" si="779"/>
        <v>17.138646751850203</v>
      </c>
      <c r="L301" s="172">
        <f t="shared" si="780"/>
        <v>53.051742113495465</v>
      </c>
      <c r="M301" s="443"/>
      <c r="N301" s="217">
        <f t="shared" si="781"/>
        <v>0.32305530542587824</v>
      </c>
      <c r="O301" s="172">
        <f t="shared" si="782"/>
        <v>34.469460552510512</v>
      </c>
      <c r="P301" s="172">
        <f t="shared" si="783"/>
        <v>4.7162260125386188</v>
      </c>
      <c r="Q301" s="217">
        <f t="shared" si="784"/>
        <v>2.1017963751530804</v>
      </c>
      <c r="R301" s="217">
        <f t="shared" si="785"/>
        <v>4.308682569063814</v>
      </c>
      <c r="S301" s="217">
        <f t="shared" si="786"/>
        <v>16.399999999999999</v>
      </c>
      <c r="T301" s="217">
        <f t="shared" si="787"/>
        <v>2.6961064038631934</v>
      </c>
      <c r="U301" s="217">
        <f t="shared" si="788"/>
        <v>0.90087686735327255</v>
      </c>
      <c r="V301" s="217">
        <f t="shared" si="789"/>
        <v>1.8877381227818133</v>
      </c>
      <c r="W301" s="197">
        <f t="shared" si="790"/>
        <v>350</v>
      </c>
      <c r="X301" s="443">
        <f t="shared" si="848"/>
        <v>334.60315340076636</v>
      </c>
      <c r="Z301" s="217">
        <f t="shared" si="791"/>
        <v>2.7623609502011903</v>
      </c>
      <c r="AA301" s="173">
        <f t="shared" si="792"/>
        <v>1.934127698783205</v>
      </c>
      <c r="AB301" s="173">
        <f t="shared" si="793"/>
        <v>0.83335423020906996</v>
      </c>
      <c r="AC301" s="173"/>
      <c r="AD301" s="173">
        <f t="shared" si="794"/>
        <v>0.93356262204731666</v>
      </c>
      <c r="AE301" s="545">
        <f t="shared" si="795"/>
        <v>1365.7359130380626</v>
      </c>
      <c r="AF301" s="528">
        <f t="shared" si="796"/>
        <v>0.21783127847770725</v>
      </c>
      <c r="AH301" s="173">
        <f t="shared" si="797"/>
        <v>2.7290326212083</v>
      </c>
      <c r="AI301" s="173">
        <f t="shared" si="798"/>
        <v>2.6961064038631934</v>
      </c>
      <c r="AJ301" s="173">
        <f t="shared" si="799"/>
        <v>2.2094615337258219</v>
      </c>
      <c r="AL301" s="545">
        <f t="shared" si="800"/>
        <v>850</v>
      </c>
      <c r="AM301" s="460">
        <f t="shared" si="801"/>
        <v>334.60315340076636</v>
      </c>
      <c r="AO301">
        <f t="shared" si="802"/>
        <v>850</v>
      </c>
      <c r="AP301">
        <f t="shared" si="803"/>
        <v>334.60315340076636</v>
      </c>
      <c r="AR301" s="5">
        <f t="shared" si="774"/>
        <v>2.988614990135086</v>
      </c>
      <c r="AS301" s="5">
        <f t="shared" si="739"/>
        <v>0.90087686735327255</v>
      </c>
      <c r="AT301" s="5">
        <f t="shared" si="740"/>
        <v>2.0877381227818135</v>
      </c>
      <c r="AU301" s="173">
        <f t="shared" si="741"/>
        <v>0.30143624064220892</v>
      </c>
      <c r="BA301" s="173">
        <f t="shared" si="849"/>
        <v>0.85462212717656516</v>
      </c>
      <c r="BB301" s="173">
        <f t="shared" si="850"/>
        <v>1.3010063797144029</v>
      </c>
      <c r="BC301" s="173">
        <f t="shared" si="851"/>
        <v>0.31918520937039147</v>
      </c>
      <c r="BD301" s="173"/>
      <c r="BE301" s="528">
        <f t="shared" si="852"/>
        <v>1.4607579605195943E-2</v>
      </c>
      <c r="BF301" s="528">
        <f t="shared" si="804"/>
        <v>0.89736262943132983</v>
      </c>
      <c r="BG301" s="528">
        <f t="shared" si="805"/>
        <v>0.30041587390972352</v>
      </c>
      <c r="BH301" s="528">
        <f t="shared" si="853"/>
        <v>9.417363395977657E-2</v>
      </c>
      <c r="BI301">
        <f t="shared" si="854"/>
        <v>1.6160892912740366E-2</v>
      </c>
      <c r="BJ301" s="460">
        <f t="shared" si="855"/>
        <v>316.57676682246387</v>
      </c>
      <c r="BK301">
        <f t="shared" si="806"/>
        <v>1.0136058731365858</v>
      </c>
      <c r="BL301" s="460">
        <f t="shared" si="856"/>
        <v>1322.7206098187662</v>
      </c>
      <c r="BM301" s="173">
        <f t="shared" si="807"/>
        <v>0.52806249999999999</v>
      </c>
      <c r="BN301" s="173">
        <f t="shared" si="808"/>
        <v>9.4296874999999988E-2</v>
      </c>
      <c r="BQ301" s="460">
        <f t="shared" si="857"/>
        <v>622.35937499999989</v>
      </c>
      <c r="BR301" s="528">
        <f t="shared" si="858"/>
        <v>2.1911369407793913E-2</v>
      </c>
      <c r="BS301" s="528">
        <f t="shared" si="859"/>
        <v>5.0778528001727316E-2</v>
      </c>
      <c r="BT301" s="528">
        <f t="shared" si="860"/>
        <v>5.0939598940410319E-4</v>
      </c>
      <c r="BU301" s="528">
        <f t="shared" si="861"/>
        <v>1.2221869667691869</v>
      </c>
      <c r="BV301" s="528"/>
      <c r="BW301" s="625">
        <f t="shared" si="862"/>
        <v>1.2161134446802E-2</v>
      </c>
      <c r="BX301" s="460">
        <f t="shared" si="863"/>
        <v>1307.5473946149143</v>
      </c>
      <c r="BY301" s="173">
        <f t="shared" si="864"/>
        <v>3.2526273794336804</v>
      </c>
      <c r="BZ301" s="5">
        <f t="shared" si="865"/>
        <v>15.639999999999997</v>
      </c>
      <c r="CA301" s="173">
        <f t="shared" si="866"/>
        <v>0.82783615459570981</v>
      </c>
      <c r="CB301" s="5">
        <f t="shared" si="867"/>
        <v>82.783615459570981</v>
      </c>
      <c r="CC301">
        <f t="shared" si="868"/>
        <v>85</v>
      </c>
      <c r="CE301" s="562">
        <f t="shared" si="809"/>
        <v>-50</v>
      </c>
      <c r="CG301" s="173">
        <f t="shared" si="810"/>
        <v>0.65982259256449882</v>
      </c>
      <c r="CH301" s="173">
        <f t="shared" si="811"/>
        <v>0.23479937256633787</v>
      </c>
      <c r="CI301" s="170">
        <v>85</v>
      </c>
      <c r="CJ301" s="217">
        <f t="shared" si="869"/>
        <v>0.85</v>
      </c>
      <c r="CK301" s="217">
        <f t="shared" si="812"/>
        <v>0.21249999999999999</v>
      </c>
      <c r="CL301" s="217">
        <f t="shared" si="813"/>
        <v>13.939999999999998</v>
      </c>
      <c r="CM301" s="217">
        <f t="shared" si="814"/>
        <v>1.7</v>
      </c>
      <c r="CN301" s="541">
        <f t="shared" si="815"/>
        <v>36</v>
      </c>
      <c r="CO301" s="443">
        <f t="shared" si="816"/>
        <v>17.099999999999998</v>
      </c>
      <c r="CP301" s="443">
        <f t="shared" si="817"/>
        <v>53.099999999999994</v>
      </c>
      <c r="CQ301" s="443"/>
      <c r="CR301" s="217">
        <f t="shared" si="818"/>
        <v>0.31818181818181812</v>
      </c>
      <c r="CS301" s="172">
        <f t="shared" si="819"/>
        <v>34.031620553359687</v>
      </c>
      <c r="CT301" s="172">
        <f t="shared" si="820"/>
        <v>4.6563192904656319</v>
      </c>
      <c r="CU301" s="217">
        <f t="shared" si="821"/>
        <v>2.0750988142292495</v>
      </c>
      <c r="CV301" s="217">
        <f t="shared" si="822"/>
        <v>4.2539525691699609</v>
      </c>
      <c r="CW301" s="217">
        <f t="shared" si="823"/>
        <v>16.399999999999999</v>
      </c>
      <c r="CX301" s="217">
        <f t="shared" si="824"/>
        <v>2.7307936507936508</v>
      </c>
      <c r="CY301" s="217">
        <f t="shared" si="825"/>
        <v>0.91026455026455022</v>
      </c>
      <c r="CZ301" s="217">
        <f t="shared" si="826"/>
        <v>1.9163464216095798</v>
      </c>
      <c r="DA301" s="197">
        <f t="shared" si="827"/>
        <v>350</v>
      </c>
      <c r="DB301" s="443">
        <f t="shared" si="828"/>
        <v>350</v>
      </c>
      <c r="DD301" s="217">
        <f t="shared" si="829"/>
        <v>2.7602905569007259</v>
      </c>
      <c r="DE301" s="173">
        <f t="shared" si="830"/>
        <v>1.937046004842615</v>
      </c>
      <c r="DF301" s="173">
        <f t="shared" si="831"/>
        <v>0.83398609309454497</v>
      </c>
      <c r="DG301" s="173"/>
      <c r="DH301" s="173">
        <f t="shared" si="832"/>
        <v>0.93567251461988332</v>
      </c>
      <c r="DI301" s="545">
        <f t="shared" si="833"/>
        <v>1362.6562499999995</v>
      </c>
      <c r="DJ301" s="528">
        <f t="shared" si="834"/>
        <v>0.21832358674463945</v>
      </c>
      <c r="DL301" s="173">
        <f t="shared" si="835"/>
        <v>2.7290326212083</v>
      </c>
      <c r="DM301" s="173">
        <f t="shared" si="836"/>
        <v>2.7307936507936508</v>
      </c>
      <c r="DN301" s="173">
        <f t="shared" si="837"/>
        <v>2.235155790711346</v>
      </c>
      <c r="DP301" s="545">
        <f t="shared" si="838"/>
        <v>850</v>
      </c>
      <c r="DQ301" s="460">
        <f t="shared" si="839"/>
        <v>350</v>
      </c>
      <c r="DS301">
        <f t="shared" si="840"/>
        <v>850</v>
      </c>
      <c r="DT301">
        <f t="shared" si="841"/>
        <v>350</v>
      </c>
      <c r="DV301" s="5">
        <f t="shared" si="870"/>
        <v>2.8571428571428572</v>
      </c>
      <c r="DW301" s="5">
        <f t="shared" si="842"/>
        <v>0.91026455026455022</v>
      </c>
      <c r="DX301" s="5">
        <f t="shared" si="843"/>
        <v>1.9468783068783071</v>
      </c>
      <c r="DY301" s="173">
        <f t="shared" si="844"/>
        <v>0.31859259259259259</v>
      </c>
      <c r="EA301" s="5">
        <f t="shared" si="871"/>
        <v>4.7178345592979749</v>
      </c>
      <c r="EB301" s="5">
        <f t="shared" si="872"/>
        <v>2.4178902116402115</v>
      </c>
      <c r="EC301" s="5">
        <f t="shared" si="873"/>
        <v>0.62822878698804607</v>
      </c>
      <c r="ED301" s="5"/>
      <c r="EE301" s="173">
        <f t="shared" si="874"/>
        <v>0.88991001453521024</v>
      </c>
      <c r="EF301" s="173">
        <f t="shared" si="875"/>
        <v>1.3014625697402573</v>
      </c>
      <c r="EG301" s="173">
        <f t="shared" si="876"/>
        <v>0.31929712973541452</v>
      </c>
      <c r="EH301" s="173"/>
      <c r="EI301" s="528">
        <f t="shared" si="877"/>
        <v>1.5838796679401163E-2</v>
      </c>
      <c r="EJ301" s="528">
        <f t="shared" si="878"/>
        <v>1.0150359999999998</v>
      </c>
      <c r="EK301" s="528">
        <f t="shared" si="879"/>
        <v>4.3749999999999997E-2</v>
      </c>
      <c r="EL301" s="528">
        <f t="shared" si="880"/>
        <v>9.8686349999999978E-2</v>
      </c>
      <c r="EM301">
        <f t="shared" si="881"/>
        <v>1.6199999999999999E-2</v>
      </c>
      <c r="EN301" s="460">
        <f t="shared" si="882"/>
        <v>59.949999999999996</v>
      </c>
      <c r="EP301" s="460">
        <f t="shared" si="883"/>
        <v>1189.5111466794008</v>
      </c>
      <c r="EQ301" s="173">
        <f t="shared" si="884"/>
        <v>0.59499999999999997</v>
      </c>
      <c r="ER301" s="173">
        <f t="shared" si="845"/>
        <v>9.4296874999999988E-2</v>
      </c>
      <c r="ES301" s="528"/>
      <c r="EU301" s="460">
        <f t="shared" si="885"/>
        <v>689.29687499999989</v>
      </c>
      <c r="EV301" s="528">
        <f t="shared" si="886"/>
        <v>2.375819501910174E-2</v>
      </c>
      <c r="EW301" s="528">
        <f t="shared" si="887"/>
        <v>5.0814144613047424E-2</v>
      </c>
      <c r="EX301" s="528">
        <f t="shared" si="888"/>
        <v>5.0975328528637064E-4</v>
      </c>
      <c r="EY301" s="528">
        <f t="shared" si="889"/>
        <v>1.4120898334917737</v>
      </c>
      <c r="EZ301" s="528"/>
      <c r="FA301" s="625">
        <f t="shared" si="890"/>
        <v>1.3050159435626103E-2</v>
      </c>
      <c r="FB301" s="460">
        <f t="shared" si="891"/>
        <v>1500.2220858448354</v>
      </c>
      <c r="FC301" s="173">
        <f t="shared" si="892"/>
        <v>3.3790301075242364</v>
      </c>
      <c r="FD301" s="5">
        <f t="shared" si="893"/>
        <v>15.639999999999997</v>
      </c>
      <c r="FE301" s="173">
        <f t="shared" si="894"/>
        <v>0.82233425740319754</v>
      </c>
      <c r="FF301" s="5">
        <f t="shared" si="895"/>
        <v>82.23342574031976</v>
      </c>
      <c r="FG301">
        <f t="shared" si="896"/>
        <v>85</v>
      </c>
      <c r="FI301" s="562">
        <f t="shared" si="846"/>
        <v>-50</v>
      </c>
    </row>
    <row r="302" spans="5:165">
      <c r="E302" s="170">
        <v>86</v>
      </c>
      <c r="F302" s="217">
        <f t="shared" si="847"/>
        <v>0.86</v>
      </c>
      <c r="G302" s="217">
        <f t="shared" si="775"/>
        <v>0.215</v>
      </c>
      <c r="H302" s="217">
        <f t="shared" si="776"/>
        <v>14.103999999999999</v>
      </c>
      <c r="I302" s="217">
        <f t="shared" si="777"/>
        <v>1.72</v>
      </c>
      <c r="J302" s="541">
        <f t="shared" si="778"/>
        <v>35.912544017212525</v>
      </c>
      <c r="K302" s="443">
        <f t="shared" si="779"/>
        <v>17.138891936363706</v>
      </c>
      <c r="L302" s="172">
        <f t="shared" si="780"/>
        <v>53.051435953576231</v>
      </c>
      <c r="M302" s="443"/>
      <c r="N302" s="217">
        <f t="shared" si="781"/>
        <v>0.32306179141619185</v>
      </c>
      <c r="O302" s="172">
        <f t="shared" si="782"/>
        <v>34.469623404714085</v>
      </c>
      <c r="P302" s="172">
        <f t="shared" si="783"/>
        <v>4.7162482945176922</v>
      </c>
      <c r="Q302" s="217">
        <f t="shared" si="784"/>
        <v>2.1018063051654932</v>
      </c>
      <c r="R302" s="217">
        <f t="shared" si="785"/>
        <v>4.3087029255892606</v>
      </c>
      <c r="S302" s="217">
        <f t="shared" si="786"/>
        <v>16.399999999999999</v>
      </c>
      <c r="T302" s="217">
        <f t="shared" si="787"/>
        <v>2.72781241508451</v>
      </c>
      <c r="U302" s="217">
        <f t="shared" si="788"/>
        <v>0.91148510574258279</v>
      </c>
      <c r="V302" s="217">
        <f t="shared" si="789"/>
        <v>1.9099104599383521</v>
      </c>
      <c r="W302" s="197">
        <f t="shared" si="790"/>
        <v>350</v>
      </c>
      <c r="X302" s="443">
        <f t="shared" si="848"/>
        <v>330.97288265021632</v>
      </c>
      <c r="Z302" s="217">
        <f t="shared" si="791"/>
        <v>2.7623740010746478</v>
      </c>
      <c r="AA302" s="173">
        <f t="shared" si="792"/>
        <v>1.934109167382309</v>
      </c>
      <c r="AB302" s="173">
        <f t="shared" si="793"/>
        <v>0.83335018279091633</v>
      </c>
      <c r="AC302" s="173"/>
      <c r="AD302" s="173">
        <f t="shared" si="794"/>
        <v>0.9335492667441756</v>
      </c>
      <c r="AE302" s="545">
        <f t="shared" si="795"/>
        <v>1381.8231623693234</v>
      </c>
      <c r="AF302" s="528">
        <f t="shared" si="796"/>
        <v>0.21782816224030768</v>
      </c>
      <c r="AH302" s="173">
        <f t="shared" si="797"/>
        <v>2.7450388148873404</v>
      </c>
      <c r="AI302" s="173">
        <f t="shared" si="798"/>
        <v>2.72781241508451</v>
      </c>
      <c r="AJ302" s="173">
        <f t="shared" si="799"/>
        <v>2.2329474679638341</v>
      </c>
      <c r="AL302" s="545">
        <f t="shared" si="800"/>
        <v>860</v>
      </c>
      <c r="AM302" s="460">
        <f t="shared" si="801"/>
        <v>330.97288265021632</v>
      </c>
      <c r="AO302">
        <f t="shared" si="802"/>
        <v>860</v>
      </c>
      <c r="AP302">
        <f t="shared" si="803"/>
        <v>330.97288265021632</v>
      </c>
      <c r="AR302" s="5">
        <f t="shared" si="774"/>
        <v>3.021395565680935</v>
      </c>
      <c r="AS302" s="5">
        <f t="shared" si="739"/>
        <v>0.91148510574258279</v>
      </c>
      <c r="AT302" s="5">
        <f t="shared" si="740"/>
        <v>2.1099104599383525</v>
      </c>
      <c r="AU302" s="173">
        <f t="shared" si="741"/>
        <v>0.30167685294035984</v>
      </c>
      <c r="BA302" s="173">
        <f t="shared" si="849"/>
        <v>0.8650174503405178</v>
      </c>
      <c r="BB302" s="173">
        <f t="shared" si="850"/>
        <v>1.3160794053688853</v>
      </c>
      <c r="BC302" s="173">
        <f t="shared" si="851"/>
        <v>0.32288318266582405</v>
      </c>
      <c r="BD302" s="173"/>
      <c r="BE302" s="528">
        <f t="shared" si="852"/>
        <v>1.4965103787872204E-2</v>
      </c>
      <c r="BF302" s="528">
        <f t="shared" si="804"/>
        <v>0.89805995164116048</v>
      </c>
      <c r="BG302" s="528">
        <f t="shared" si="805"/>
        <v>0.29715195541699019</v>
      </c>
      <c r="BH302" s="528">
        <f t="shared" si="853"/>
        <v>9.3150823702294827E-2</v>
      </c>
      <c r="BI302">
        <f t="shared" si="854"/>
        <v>1.6160644807745636E-2</v>
      </c>
      <c r="BJ302" s="460">
        <f t="shared" si="855"/>
        <v>313.31260022473583</v>
      </c>
      <c r="BK302">
        <f t="shared" si="806"/>
        <v>1.0138213103670159</v>
      </c>
      <c r="BL302" s="460">
        <f t="shared" si="856"/>
        <v>1319.4884793560632</v>
      </c>
      <c r="BM302" s="173">
        <f t="shared" si="807"/>
        <v>0.53427499999999994</v>
      </c>
      <c r="BN302" s="173">
        <f t="shared" si="808"/>
        <v>9.5406249999999998E-2</v>
      </c>
      <c r="BQ302" s="460">
        <f t="shared" si="857"/>
        <v>629.68124999999998</v>
      </c>
      <c r="BR302" s="528">
        <f t="shared" si="858"/>
        <v>2.2447655681808305E-2</v>
      </c>
      <c r="BS302" s="528">
        <f t="shared" si="859"/>
        <v>5.1961950037083565E-2</v>
      </c>
      <c r="BT302" s="528">
        <f t="shared" si="860"/>
        <v>5.2126774824205952E-4</v>
      </c>
      <c r="BU302" s="528">
        <f t="shared" si="861"/>
        <v>1.2245803596521219</v>
      </c>
      <c r="BV302" s="528"/>
      <c r="BW302" s="625">
        <f t="shared" si="862"/>
        <v>1.2313780850823831E-2</v>
      </c>
      <c r="BX302" s="460">
        <f t="shared" si="863"/>
        <v>1311.8250139700795</v>
      </c>
      <c r="BY302" s="173">
        <f t="shared" si="864"/>
        <v>3.2609947433261426</v>
      </c>
      <c r="BZ302" s="5">
        <f t="shared" si="865"/>
        <v>15.824</v>
      </c>
      <c r="CA302" s="173">
        <f t="shared" si="866"/>
        <v>0.829133055199479</v>
      </c>
      <c r="CB302" s="5">
        <f t="shared" si="867"/>
        <v>82.913305519947897</v>
      </c>
      <c r="CC302">
        <f t="shared" si="868"/>
        <v>86</v>
      </c>
      <c r="CE302" s="562">
        <f t="shared" si="809"/>
        <v>-50</v>
      </c>
      <c r="CG302" s="173">
        <f t="shared" si="810"/>
        <v>0.66337658682574552</v>
      </c>
      <c r="CH302" s="173">
        <f t="shared" si="811"/>
        <v>0.23606406951980494</v>
      </c>
      <c r="CI302" s="170">
        <v>86</v>
      </c>
      <c r="CJ302" s="217">
        <f t="shared" si="869"/>
        <v>0.86</v>
      </c>
      <c r="CK302" s="217">
        <f t="shared" si="812"/>
        <v>0.215</v>
      </c>
      <c r="CL302" s="217">
        <f t="shared" si="813"/>
        <v>14.103999999999999</v>
      </c>
      <c r="CM302" s="217">
        <f t="shared" si="814"/>
        <v>1.72</v>
      </c>
      <c r="CN302" s="541">
        <f t="shared" si="815"/>
        <v>36</v>
      </c>
      <c r="CO302" s="443">
        <f t="shared" si="816"/>
        <v>17.099999999999998</v>
      </c>
      <c r="CP302" s="443">
        <f t="shared" si="817"/>
        <v>53.099999999999994</v>
      </c>
      <c r="CQ302" s="443"/>
      <c r="CR302" s="217">
        <f t="shared" si="818"/>
        <v>0.31818181818181812</v>
      </c>
      <c r="CS302" s="172">
        <f t="shared" si="819"/>
        <v>34.031620553359687</v>
      </c>
      <c r="CT302" s="172">
        <f t="shared" si="820"/>
        <v>4.6563192904656319</v>
      </c>
      <c r="CU302" s="217">
        <f t="shared" si="821"/>
        <v>2.0750988142292495</v>
      </c>
      <c r="CV302" s="217">
        <f t="shared" si="822"/>
        <v>4.2539525691699609</v>
      </c>
      <c r="CW302" s="217">
        <f t="shared" si="823"/>
        <v>16.399999999999999</v>
      </c>
      <c r="CX302" s="217">
        <f t="shared" si="824"/>
        <v>2.762920634920635</v>
      </c>
      <c r="CY302" s="217">
        <f t="shared" si="825"/>
        <v>0.920973544973545</v>
      </c>
      <c r="CZ302" s="217">
        <f t="shared" si="826"/>
        <v>1.9388916736285158</v>
      </c>
      <c r="DA302" s="197">
        <f t="shared" si="827"/>
        <v>350</v>
      </c>
      <c r="DB302" s="443">
        <f t="shared" si="828"/>
        <v>349.66682817619386</v>
      </c>
      <c r="DD302" s="217">
        <f t="shared" si="829"/>
        <v>2.7602905569007259</v>
      </c>
      <c r="DE302" s="173">
        <f t="shared" si="830"/>
        <v>1.937046004842615</v>
      </c>
      <c r="DF302" s="173">
        <f t="shared" si="831"/>
        <v>0.83398609309454497</v>
      </c>
      <c r="DG302" s="173"/>
      <c r="DH302" s="173">
        <f t="shared" si="832"/>
        <v>0.93567251461988332</v>
      </c>
      <c r="DI302" s="545">
        <f t="shared" si="833"/>
        <v>1378.6874999999995</v>
      </c>
      <c r="DJ302" s="528">
        <f t="shared" si="834"/>
        <v>0.21832358674463945</v>
      </c>
      <c r="DL302" s="173">
        <f t="shared" si="835"/>
        <v>2.7450388148873404</v>
      </c>
      <c r="DM302" s="173">
        <f t="shared" si="836"/>
        <v>2.762920634920635</v>
      </c>
      <c r="DN302" s="173">
        <f t="shared" si="837"/>
        <v>2.2589535567313344</v>
      </c>
      <c r="DP302" s="545">
        <f t="shared" si="838"/>
        <v>860</v>
      </c>
      <c r="DQ302" s="460">
        <f t="shared" si="839"/>
        <v>349.66682817619386</v>
      </c>
      <c r="DS302">
        <f t="shared" si="840"/>
        <v>860</v>
      </c>
      <c r="DT302">
        <f t="shared" si="841"/>
        <v>349.66682817619386</v>
      </c>
      <c r="DV302" s="5">
        <f t="shared" si="870"/>
        <v>2.859865218602061</v>
      </c>
      <c r="DW302" s="5">
        <f t="shared" si="842"/>
        <v>0.920973544973545</v>
      </c>
      <c r="DX302" s="5">
        <f t="shared" si="843"/>
        <v>1.938891673628516</v>
      </c>
      <c r="DY302" s="173">
        <f t="shared" si="844"/>
        <v>0.32203389830508472</v>
      </c>
      <c r="EA302" s="5">
        <f t="shared" si="871"/>
        <v>4.8294954187637122</v>
      </c>
      <c r="EB302" s="5">
        <f t="shared" si="872"/>
        <v>2.4751164021164023</v>
      </c>
      <c r="EC302" s="5">
        <f t="shared" si="873"/>
        <v>0.63301222603834684</v>
      </c>
      <c r="ED302" s="5"/>
      <c r="EE302" s="173">
        <f t="shared" si="874"/>
        <v>0.90522924730910648</v>
      </c>
      <c r="EF302" s="173">
        <f t="shared" si="875"/>
        <v>1.313444639655438</v>
      </c>
      <c r="EG302" s="173">
        <f t="shared" si="876"/>
        <v>0.32223677673038714</v>
      </c>
      <c r="EH302" s="173"/>
      <c r="EI302" s="528">
        <f t="shared" si="877"/>
        <v>1.6388799803676229E-2</v>
      </c>
      <c r="EJ302" s="528">
        <f t="shared" si="878"/>
        <v>1.0259999999999998</v>
      </c>
      <c r="EK302" s="528">
        <f t="shared" si="879"/>
        <v>4.3708353522024235E-2</v>
      </c>
      <c r="EL302" s="528">
        <f t="shared" si="880"/>
        <v>9.8592408539387777E-2</v>
      </c>
      <c r="EM302">
        <f t="shared" si="881"/>
        <v>1.6199999999999999E-2</v>
      </c>
      <c r="EN302" s="460">
        <f t="shared" si="882"/>
        <v>59.908353522024235</v>
      </c>
      <c r="EP302" s="460">
        <f t="shared" si="883"/>
        <v>1200.8895618650879</v>
      </c>
      <c r="EQ302" s="173">
        <f t="shared" si="884"/>
        <v>0.60199999999999998</v>
      </c>
      <c r="ER302" s="173">
        <f t="shared" si="845"/>
        <v>9.5406249999999998E-2</v>
      </c>
      <c r="ES302" s="528"/>
      <c r="EU302" s="460">
        <f t="shared" si="885"/>
        <v>697.40625</v>
      </c>
      <c r="EV302" s="528">
        <f t="shared" si="886"/>
        <v>2.4583199705514341E-2</v>
      </c>
      <c r="EW302" s="528">
        <f t="shared" si="887"/>
        <v>5.1754104643188102E-2</v>
      </c>
      <c r="EX302" s="528">
        <f t="shared" si="888"/>
        <v>5.1918270138794683E-4</v>
      </c>
      <c r="EY302" s="528">
        <f t="shared" si="889"/>
        <v>1.4505313328497615</v>
      </c>
      <c r="EZ302" s="528"/>
      <c r="FA302" s="625">
        <f t="shared" si="890"/>
        <v>1.3346311541565776E-2</v>
      </c>
      <c r="FB302" s="460">
        <f t="shared" si="891"/>
        <v>1540.7341314414175</v>
      </c>
      <c r="FC302" s="173">
        <f t="shared" si="892"/>
        <v>3.4390299433065055</v>
      </c>
      <c r="FD302" s="5">
        <f t="shared" si="893"/>
        <v>15.824</v>
      </c>
      <c r="FE302" s="173">
        <f t="shared" si="894"/>
        <v>0.8214699373137041</v>
      </c>
      <c r="FF302" s="5">
        <f t="shared" si="895"/>
        <v>82.146993731370415</v>
      </c>
      <c r="FG302">
        <f t="shared" si="896"/>
        <v>86</v>
      </c>
      <c r="FI302" s="562">
        <f t="shared" si="846"/>
        <v>-50</v>
      </c>
    </row>
    <row r="303" spans="5:165">
      <c r="E303" s="170">
        <v>87</v>
      </c>
      <c r="F303" s="217">
        <f t="shared" si="847"/>
        <v>0.87</v>
      </c>
      <c r="G303" s="217">
        <f t="shared" si="775"/>
        <v>0.2175</v>
      </c>
      <c r="H303" s="217">
        <f t="shared" si="776"/>
        <v>14.267999999999999</v>
      </c>
      <c r="I303" s="217">
        <f t="shared" si="777"/>
        <v>1.74</v>
      </c>
      <c r="J303" s="541">
        <f t="shared" si="778"/>
        <v>35.911527087180112</v>
      </c>
      <c r="K303" s="443">
        <f t="shared" si="779"/>
        <v>17.139344168181886</v>
      </c>
      <c r="L303" s="172">
        <f t="shared" si="780"/>
        <v>53.050871255361997</v>
      </c>
      <c r="M303" s="443"/>
      <c r="N303" s="217">
        <f t="shared" si="781"/>
        <v>0.32307375473026878</v>
      </c>
      <c r="O303" s="172">
        <f t="shared" si="782"/>
        <v>34.469923743498136</v>
      </c>
      <c r="P303" s="172">
        <f t="shared" si="783"/>
        <v>4.7162893878670866</v>
      </c>
      <c r="Q303" s="217">
        <f t="shared" si="784"/>
        <v>2.1018246185059839</v>
      </c>
      <c r="R303" s="217">
        <f t="shared" si="785"/>
        <v>4.3087404679372669</v>
      </c>
      <c r="S303" s="217">
        <f t="shared" si="786"/>
        <v>16.399999999999999</v>
      </c>
      <c r="T303" s="217">
        <f t="shared" si="787"/>
        <v>2.7595071201148778</v>
      </c>
      <c r="U303" s="217">
        <f t="shared" si="788"/>
        <v>0.92210184660177763</v>
      </c>
      <c r="V303" s="217">
        <f t="shared" si="789"/>
        <v>1.9320509067583085</v>
      </c>
      <c r="W303" s="197">
        <f t="shared" si="790"/>
        <v>350</v>
      </c>
      <c r="X303" s="443">
        <f t="shared" si="848"/>
        <v>327.42304683347294</v>
      </c>
      <c r="Z303" s="217">
        <f t="shared" si="791"/>
        <v>2.7623980700364354</v>
      </c>
      <c r="AA303" s="173">
        <f t="shared" si="792"/>
        <v>1.9340749864849467</v>
      </c>
      <c r="AB303" s="173">
        <f t="shared" si="793"/>
        <v>0.83334271622929101</v>
      </c>
      <c r="AC303" s="173"/>
      <c r="AD303" s="173">
        <f t="shared" si="794"/>
        <v>0.93352463448998224</v>
      </c>
      <c r="AE303" s="545">
        <f t="shared" si="795"/>
        <v>1397.9277587173347</v>
      </c>
      <c r="AF303" s="528">
        <f t="shared" si="796"/>
        <v>0.2178224147143292</v>
      </c>
      <c r="AH303" s="173">
        <f t="shared" si="797"/>
        <v>2.7609522166921221</v>
      </c>
      <c r="AI303" s="173">
        <f t="shared" si="798"/>
        <v>2.7595071201148778</v>
      </c>
      <c r="AJ303" s="173">
        <f t="shared" si="799"/>
        <v>2.2564250272455881</v>
      </c>
      <c r="AL303" s="545">
        <f t="shared" si="800"/>
        <v>870</v>
      </c>
      <c r="AM303" s="460">
        <f t="shared" si="801"/>
        <v>327.42304683347294</v>
      </c>
      <c r="AO303">
        <f t="shared" si="802"/>
        <v>870</v>
      </c>
      <c r="AP303">
        <f t="shared" si="803"/>
        <v>327.42304683347294</v>
      </c>
      <c r="AR303" s="5">
        <f t="shared" si="774"/>
        <v>3.0541527533600865</v>
      </c>
      <c r="AS303" s="5">
        <f t="shared" si="739"/>
        <v>0.92210184660177763</v>
      </c>
      <c r="AT303" s="5">
        <f t="shared" si="740"/>
        <v>2.1320509067583089</v>
      </c>
      <c r="AU303" s="173">
        <f t="shared" si="741"/>
        <v>0.30191739610512575</v>
      </c>
      <c r="BA303" s="173">
        <f t="shared" si="849"/>
        <v>0.87541696811135783</v>
      </c>
      <c r="BB303" s="173">
        <f t="shared" si="850"/>
        <v>1.3311417332241346</v>
      </c>
      <c r="BC303" s="173">
        <f t="shared" si="851"/>
        <v>0.32657853139358245</v>
      </c>
      <c r="BD303" s="173"/>
      <c r="BE303" s="528">
        <f t="shared" si="852"/>
        <v>1.5327097361145643E-2</v>
      </c>
      <c r="BF303" s="528">
        <f t="shared" si="804"/>
        <v>0.89874100597381668</v>
      </c>
      <c r="BG303" s="528">
        <f t="shared" si="805"/>
        <v>0.29395654038318264</v>
      </c>
      <c r="BH303" s="528">
        <f t="shared" si="853"/>
        <v>9.2149776655954141E-2</v>
      </c>
      <c r="BI303">
        <f t="shared" si="854"/>
        <v>1.616018718923105E-2</v>
      </c>
      <c r="BJ303" s="460">
        <f t="shared" si="855"/>
        <v>310.11672757241371</v>
      </c>
      <c r="BK303">
        <f t="shared" si="806"/>
        <v>1.014049077394142</v>
      </c>
      <c r="BL303" s="460">
        <f t="shared" si="856"/>
        <v>1316.3346075633301</v>
      </c>
      <c r="BM303" s="173">
        <f t="shared" si="807"/>
        <v>0.54048750000000001</v>
      </c>
      <c r="BN303" s="173">
        <f t="shared" si="808"/>
        <v>9.6515624999999994E-2</v>
      </c>
      <c r="BQ303" s="460">
        <f t="shared" si="857"/>
        <v>637.00312499999995</v>
      </c>
      <c r="BR303" s="528">
        <f t="shared" si="858"/>
        <v>2.2990646041718462E-2</v>
      </c>
      <c r="BS303" s="528">
        <f t="shared" si="859"/>
        <v>5.3158149417928596E-2</v>
      </c>
      <c r="BT303" s="528">
        <f t="shared" si="860"/>
        <v>5.3326768583594557E-4</v>
      </c>
      <c r="BU303" s="528">
        <f t="shared" si="861"/>
        <v>1.2269360172342547</v>
      </c>
      <c r="BV303" s="528"/>
      <c r="BW303" s="625">
        <f t="shared" si="862"/>
        <v>1.2466435311048284E-2</v>
      </c>
      <c r="BX303" s="460">
        <f t="shared" si="863"/>
        <v>1316.0845156907858</v>
      </c>
      <c r="BY303" s="173">
        <f t="shared" si="864"/>
        <v>3.2694222482541164</v>
      </c>
      <c r="BZ303" s="5">
        <f t="shared" si="865"/>
        <v>16.007999999999999</v>
      </c>
      <c r="CA303" s="173">
        <f t="shared" si="866"/>
        <v>0.83040148178783524</v>
      </c>
      <c r="CB303" s="5">
        <f t="shared" si="867"/>
        <v>83.040148178783525</v>
      </c>
      <c r="CC303">
        <f t="shared" si="868"/>
        <v>87</v>
      </c>
      <c r="CE303" s="562">
        <f t="shared" si="809"/>
        <v>-50</v>
      </c>
      <c r="CG303" s="173">
        <f t="shared" si="810"/>
        <v>0.66337658682574541</v>
      </c>
      <c r="CH303" s="173">
        <f t="shared" si="811"/>
        <v>0.23606406951980491</v>
      </c>
      <c r="CI303" s="170">
        <v>87</v>
      </c>
      <c r="CJ303" s="217">
        <f t="shared" si="869"/>
        <v>0.87</v>
      </c>
      <c r="CK303" s="217">
        <f t="shared" si="812"/>
        <v>0.2175</v>
      </c>
      <c r="CL303" s="217">
        <f t="shared" si="813"/>
        <v>14.267999999999999</v>
      </c>
      <c r="CM303" s="217">
        <f t="shared" si="814"/>
        <v>1.74</v>
      </c>
      <c r="CN303" s="541">
        <f t="shared" si="815"/>
        <v>36</v>
      </c>
      <c r="CO303" s="443">
        <f t="shared" si="816"/>
        <v>17.099999999999998</v>
      </c>
      <c r="CP303" s="443">
        <f t="shared" si="817"/>
        <v>53.099999999999994</v>
      </c>
      <c r="CQ303" s="443"/>
      <c r="CR303" s="217">
        <f t="shared" si="818"/>
        <v>0.31818181818181812</v>
      </c>
      <c r="CS303" s="172">
        <f t="shared" si="819"/>
        <v>34.031620553359687</v>
      </c>
      <c r="CT303" s="172">
        <f t="shared" si="820"/>
        <v>4.6563192904656319</v>
      </c>
      <c r="CU303" s="217">
        <f t="shared" si="821"/>
        <v>2.0750988142292495</v>
      </c>
      <c r="CV303" s="217">
        <f t="shared" si="822"/>
        <v>4.2539525691699609</v>
      </c>
      <c r="CW303" s="217">
        <f t="shared" si="823"/>
        <v>16.399999999999999</v>
      </c>
      <c r="CX303" s="217">
        <f t="shared" si="824"/>
        <v>2.7950476190476192</v>
      </c>
      <c r="CY303" s="217">
        <f t="shared" si="825"/>
        <v>0.93168253968253978</v>
      </c>
      <c r="CZ303" s="217">
        <f t="shared" si="826"/>
        <v>1.9614369256474524</v>
      </c>
      <c r="DA303" s="197">
        <f t="shared" si="827"/>
        <v>350</v>
      </c>
      <c r="DB303" s="443">
        <f t="shared" si="828"/>
        <v>345.64766923163984</v>
      </c>
      <c r="DD303" s="217">
        <f t="shared" si="829"/>
        <v>2.7602905569007259</v>
      </c>
      <c r="DE303" s="173">
        <f t="shared" si="830"/>
        <v>1.937046004842615</v>
      </c>
      <c r="DF303" s="173">
        <f t="shared" si="831"/>
        <v>0.83398609309454497</v>
      </c>
      <c r="DG303" s="173"/>
      <c r="DH303" s="173">
        <f t="shared" si="832"/>
        <v>0.93567251461988332</v>
      </c>
      <c r="DI303" s="545">
        <f t="shared" si="833"/>
        <v>1394.7187499999995</v>
      </c>
      <c r="DJ303" s="528">
        <f t="shared" si="834"/>
        <v>0.21832358674463945</v>
      </c>
      <c r="DL303" s="173">
        <f t="shared" si="835"/>
        <v>2.7609522166921221</v>
      </c>
      <c r="DM303" s="173">
        <f t="shared" si="836"/>
        <v>2.7950476190476192</v>
      </c>
      <c r="DN303" s="173">
        <f t="shared" si="837"/>
        <v>2.2827513227513228</v>
      </c>
      <c r="DP303" s="545">
        <f t="shared" si="838"/>
        <v>870</v>
      </c>
      <c r="DQ303" s="460">
        <f t="shared" si="839"/>
        <v>345.64766923163984</v>
      </c>
      <c r="DS303">
        <f t="shared" si="840"/>
        <v>870</v>
      </c>
      <c r="DT303">
        <f t="shared" si="841"/>
        <v>345.64766923163984</v>
      </c>
      <c r="DV303" s="5">
        <f t="shared" si="870"/>
        <v>2.8931194653299928</v>
      </c>
      <c r="DW303" s="5">
        <f t="shared" si="842"/>
        <v>0.93168253968253978</v>
      </c>
      <c r="DX303" s="5">
        <f t="shared" si="843"/>
        <v>1.9614369256474529</v>
      </c>
      <c r="DY303" s="173">
        <f t="shared" si="844"/>
        <v>0.32203389830508466</v>
      </c>
      <c r="EA303" s="5">
        <f t="shared" si="871"/>
        <v>4.9424622531939617</v>
      </c>
      <c r="EB303" s="5">
        <f t="shared" si="872"/>
        <v>2.5330119047619051</v>
      </c>
      <c r="EC303" s="5">
        <f t="shared" si="873"/>
        <v>0.64781902905411692</v>
      </c>
      <c r="ED303" s="5"/>
      <c r="EE303" s="173">
        <f t="shared" si="874"/>
        <v>0.91575516878944496</v>
      </c>
      <c r="EF303" s="173">
        <f t="shared" si="875"/>
        <v>1.3287172517444548</v>
      </c>
      <c r="EG303" s="173">
        <f t="shared" si="876"/>
        <v>0.32598371599469406</v>
      </c>
      <c r="EH303" s="173"/>
      <c r="EI303" s="528">
        <f t="shared" si="877"/>
        <v>1.6772150583291696E-2</v>
      </c>
      <c r="EJ303" s="528">
        <f t="shared" si="878"/>
        <v>1.0259999999999998</v>
      </c>
      <c r="EK303" s="528">
        <f t="shared" si="879"/>
        <v>4.3205958653954976E-2</v>
      </c>
      <c r="EL303" s="528">
        <f t="shared" si="880"/>
        <v>9.7459162464222371E-2</v>
      </c>
      <c r="EM303">
        <f t="shared" si="881"/>
        <v>1.6199999999999999E-2</v>
      </c>
      <c r="EN303" s="460">
        <f t="shared" si="882"/>
        <v>59.405958653954976</v>
      </c>
      <c r="EP303" s="460">
        <f t="shared" si="883"/>
        <v>1199.637271701469</v>
      </c>
      <c r="EQ303" s="173">
        <f t="shared" si="884"/>
        <v>0.60899999999999999</v>
      </c>
      <c r="ER303" s="173">
        <f t="shared" si="845"/>
        <v>9.6515624999999994E-2</v>
      </c>
      <c r="ES303" s="528"/>
      <c r="EU303" s="460">
        <f t="shared" si="885"/>
        <v>705.515625</v>
      </c>
      <c r="EV303" s="528">
        <f t="shared" si="886"/>
        <v>2.5158225874937542E-2</v>
      </c>
      <c r="EW303" s="528">
        <f t="shared" si="887"/>
        <v>5.2964686052500105E-2</v>
      </c>
      <c r="EX303" s="528">
        <f t="shared" si="888"/>
        <v>5.3132691546854671E-4</v>
      </c>
      <c r="EY303" s="528">
        <f t="shared" si="889"/>
        <v>1.4505313328497569</v>
      </c>
      <c r="EZ303" s="528"/>
      <c r="FA303" s="625">
        <f t="shared" si="890"/>
        <v>1.350150121065375E-2</v>
      </c>
      <c r="FB303" s="460">
        <f t="shared" si="891"/>
        <v>1542.6870729033169</v>
      </c>
      <c r="FC303" s="173">
        <f t="shared" si="892"/>
        <v>3.4478399696047854</v>
      </c>
      <c r="FD303" s="5">
        <f t="shared" si="893"/>
        <v>16.007999999999999</v>
      </c>
      <c r="FE303" s="173">
        <f t="shared" si="894"/>
        <v>0.82278637288386247</v>
      </c>
      <c r="FF303" s="5">
        <f t="shared" si="895"/>
        <v>82.27863728838625</v>
      </c>
      <c r="FG303">
        <f t="shared" si="896"/>
        <v>87</v>
      </c>
      <c r="FI303" s="562">
        <f t="shared" si="846"/>
        <v>-50</v>
      </c>
    </row>
    <row r="304" spans="5:165">
      <c r="E304" s="170">
        <v>88</v>
      </c>
      <c r="F304" s="217">
        <f t="shared" si="847"/>
        <v>0.88</v>
      </c>
      <c r="G304" s="217">
        <f t="shared" si="775"/>
        <v>0.22</v>
      </c>
      <c r="H304" s="217">
        <f t="shared" si="776"/>
        <v>14.431999999999999</v>
      </c>
      <c r="I304" s="217">
        <f t="shared" si="777"/>
        <v>1.76</v>
      </c>
      <c r="J304" s="541">
        <f t="shared" si="778"/>
        <v>35.910510157147698</v>
      </c>
      <c r="K304" s="443">
        <f t="shared" si="779"/>
        <v>17.139796400000069</v>
      </c>
      <c r="L304" s="172">
        <f t="shared" si="780"/>
        <v>53.050306557147763</v>
      </c>
      <c r="M304" s="443"/>
      <c r="N304" s="217">
        <f t="shared" si="781"/>
        <v>0.3230857182990346</v>
      </c>
      <c r="O304" s="172">
        <f t="shared" si="782"/>
        <v>34.470224037165259</v>
      </c>
      <c r="P304" s="172">
        <f t="shared" si="783"/>
        <v>4.7163304750434323</v>
      </c>
      <c r="Q304" s="217">
        <f t="shared" si="784"/>
        <v>2.1018429290954428</v>
      </c>
      <c r="R304" s="217">
        <f t="shared" si="785"/>
        <v>4.3087780046456574</v>
      </c>
      <c r="S304" s="217">
        <f t="shared" si="786"/>
        <v>16.399999999999999</v>
      </c>
      <c r="T304" s="217">
        <f t="shared" si="787"/>
        <v>2.7912012764871394</v>
      </c>
      <c r="U304" s="217">
        <f t="shared" si="788"/>
        <v>0.93271900541849817</v>
      </c>
      <c r="V304" s="217">
        <f t="shared" si="789"/>
        <v>1.9541898011020447</v>
      </c>
      <c r="W304" s="197">
        <f t="shared" si="790"/>
        <v>350</v>
      </c>
      <c r="X304" s="443">
        <f t="shared" si="848"/>
        <v>323.94866926022524</v>
      </c>
      <c r="Z304" s="217">
        <f t="shared" si="791"/>
        <v>2.7624221353825806</v>
      </c>
      <c r="AA304" s="173">
        <f t="shared" si="792"/>
        <v>1.9340408048599014</v>
      </c>
      <c r="AB304" s="173">
        <f t="shared" si="793"/>
        <v>0.8333352480067524</v>
      </c>
      <c r="AC304" s="173"/>
      <c r="AD304" s="173">
        <f t="shared" si="794"/>
        <v>0.93350000353562768</v>
      </c>
      <c r="AE304" s="545">
        <f t="shared" si="795"/>
        <v>1414.0332030000054</v>
      </c>
      <c r="AF304" s="528">
        <f t="shared" si="796"/>
        <v>0.21781666749164649</v>
      </c>
      <c r="AH304" s="173">
        <f t="shared" si="797"/>
        <v>2.7767744219644834</v>
      </c>
      <c r="AI304" s="173">
        <f t="shared" si="798"/>
        <v>2.7912012764871394</v>
      </c>
      <c r="AJ304" s="173">
        <f t="shared" si="799"/>
        <v>2.2799021801139303</v>
      </c>
      <c r="AL304" s="545">
        <f t="shared" si="800"/>
        <v>880</v>
      </c>
      <c r="AM304" s="460">
        <f t="shared" si="801"/>
        <v>323.94866926022524</v>
      </c>
      <c r="AO304">
        <f t="shared" si="802"/>
        <v>880</v>
      </c>
      <c r="AP304">
        <f t="shared" si="803"/>
        <v>323.94866926022524</v>
      </c>
      <c r="AR304" s="5">
        <f t="shared" si="774"/>
        <v>3.086908806520543</v>
      </c>
      <c r="AS304" s="5">
        <f t="shared" si="739"/>
        <v>0.93271900541849817</v>
      </c>
      <c r="AT304" s="5">
        <f t="shared" si="740"/>
        <v>2.1541898011020448</v>
      </c>
      <c r="AU304" s="173">
        <f t="shared" si="741"/>
        <v>0.30215308059904328</v>
      </c>
      <c r="BA304" s="173">
        <f t="shared" si="849"/>
        <v>0.88581706161049023</v>
      </c>
      <c r="BB304" s="173">
        <f t="shared" si="850"/>
        <v>1.3462031750993493</v>
      </c>
      <c r="BC304" s="173">
        <f t="shared" si="851"/>
        <v>0.33027366275751607</v>
      </c>
      <c r="BD304" s="173"/>
      <c r="BE304" s="528">
        <f t="shared" si="852"/>
        <v>1.5693437332804861E-2</v>
      </c>
      <c r="BF304" s="528">
        <f t="shared" si="804"/>
        <v>0.89940754243106924</v>
      </c>
      <c r="BG304" s="528">
        <f t="shared" si="805"/>
        <v>0.29082904944659499</v>
      </c>
      <c r="BH304" s="528">
        <f t="shared" si="853"/>
        <v>9.1170008646273448E-2</v>
      </c>
      <c r="BI304">
        <f t="shared" si="854"/>
        <v>1.6159729570716465E-2</v>
      </c>
      <c r="BJ304" s="460">
        <f t="shared" si="855"/>
        <v>306.98877901731146</v>
      </c>
      <c r="BK304">
        <f t="shared" si="806"/>
        <v>1.0142902621683922</v>
      </c>
      <c r="BL304" s="460">
        <f t="shared" si="856"/>
        <v>1313.2597674274591</v>
      </c>
      <c r="BM304" s="173">
        <f t="shared" si="807"/>
        <v>0.54669999999999996</v>
      </c>
      <c r="BN304" s="173">
        <f t="shared" si="808"/>
        <v>9.762499999999999E-2</v>
      </c>
      <c r="BQ304" s="460">
        <f t="shared" si="857"/>
        <v>644.32499999999993</v>
      </c>
      <c r="BR304" s="528">
        <f t="shared" si="858"/>
        <v>2.354015599920729E-2</v>
      </c>
      <c r="BS304" s="528">
        <f t="shared" si="859"/>
        <v>5.4367889659427071E-2</v>
      </c>
      <c r="BT304" s="528">
        <f t="shared" si="860"/>
        <v>5.4540346155632731E-4</v>
      </c>
      <c r="BU304" s="528">
        <f t="shared" si="861"/>
        <v>1.2292448362902235</v>
      </c>
      <c r="BV304" s="528"/>
      <c r="BW304" s="625">
        <f t="shared" si="862"/>
        <v>1.2619103857889736E-2</v>
      </c>
      <c r="BX304" s="460">
        <f t="shared" si="863"/>
        <v>1320.3173892683039</v>
      </c>
      <c r="BY304" s="173">
        <f t="shared" si="864"/>
        <v>3.2779021566957627</v>
      </c>
      <c r="BZ304" s="5">
        <f t="shared" si="865"/>
        <v>16.192</v>
      </c>
      <c r="CA304" s="173">
        <f t="shared" si="866"/>
        <v>0.83164259736310586</v>
      </c>
      <c r="CB304" s="5">
        <f t="shared" si="867"/>
        <v>83.164259736310584</v>
      </c>
      <c r="CC304">
        <f t="shared" si="868"/>
        <v>88</v>
      </c>
      <c r="CE304" s="562">
        <f t="shared" si="809"/>
        <v>-50</v>
      </c>
      <c r="CG304" s="173">
        <f t="shared" si="810"/>
        <v>0.66337658682574541</v>
      </c>
      <c r="CH304" s="173">
        <f t="shared" si="811"/>
        <v>0.23606406951980494</v>
      </c>
      <c r="CI304" s="170">
        <v>88</v>
      </c>
      <c r="CJ304" s="217">
        <f t="shared" si="869"/>
        <v>0.88</v>
      </c>
      <c r="CK304" s="217">
        <f t="shared" si="812"/>
        <v>0.22</v>
      </c>
      <c r="CL304" s="217">
        <f t="shared" si="813"/>
        <v>14.431999999999999</v>
      </c>
      <c r="CM304" s="217">
        <f t="shared" si="814"/>
        <v>1.76</v>
      </c>
      <c r="CN304" s="541">
        <f t="shared" si="815"/>
        <v>36</v>
      </c>
      <c r="CO304" s="443">
        <f t="shared" si="816"/>
        <v>17.099999999999998</v>
      </c>
      <c r="CP304" s="443">
        <f t="shared" si="817"/>
        <v>53.099999999999994</v>
      </c>
      <c r="CQ304" s="443"/>
      <c r="CR304" s="217">
        <f t="shared" si="818"/>
        <v>0.31818181818181812</v>
      </c>
      <c r="CS304" s="172">
        <f t="shared" si="819"/>
        <v>34.031620553359687</v>
      </c>
      <c r="CT304" s="172">
        <f t="shared" si="820"/>
        <v>4.6563192904656319</v>
      </c>
      <c r="CU304" s="217">
        <f t="shared" si="821"/>
        <v>2.0750988142292495</v>
      </c>
      <c r="CV304" s="217">
        <f t="shared" si="822"/>
        <v>4.2539525691699609</v>
      </c>
      <c r="CW304" s="217">
        <f t="shared" si="823"/>
        <v>16.399999999999999</v>
      </c>
      <c r="CX304" s="217">
        <f t="shared" si="824"/>
        <v>2.8271746031746035</v>
      </c>
      <c r="CY304" s="217">
        <f t="shared" si="825"/>
        <v>0.94239153439153445</v>
      </c>
      <c r="CZ304" s="217">
        <f t="shared" si="826"/>
        <v>1.9839821776663888</v>
      </c>
      <c r="DA304" s="197">
        <f t="shared" si="827"/>
        <v>350</v>
      </c>
      <c r="DB304" s="443">
        <f t="shared" si="828"/>
        <v>341.71985480855307</v>
      </c>
      <c r="DD304" s="217">
        <f t="shared" si="829"/>
        <v>2.7602905569007259</v>
      </c>
      <c r="DE304" s="173">
        <f t="shared" si="830"/>
        <v>1.937046004842615</v>
      </c>
      <c r="DF304" s="173">
        <f t="shared" si="831"/>
        <v>0.83398609309454497</v>
      </c>
      <c r="DG304" s="173"/>
      <c r="DH304" s="173">
        <f t="shared" si="832"/>
        <v>0.93567251461988332</v>
      </c>
      <c r="DI304" s="545">
        <f t="shared" si="833"/>
        <v>1410.7499999999995</v>
      </c>
      <c r="DJ304" s="528">
        <f t="shared" si="834"/>
        <v>0.21832358674463945</v>
      </c>
      <c r="DL304" s="173">
        <f t="shared" si="835"/>
        <v>2.7767744219644834</v>
      </c>
      <c r="DM304" s="173">
        <f t="shared" si="836"/>
        <v>2.8271746031746035</v>
      </c>
      <c r="DN304" s="173">
        <f t="shared" si="837"/>
        <v>2.3065490887713112</v>
      </c>
      <c r="DP304" s="545">
        <f t="shared" si="838"/>
        <v>880</v>
      </c>
      <c r="DQ304" s="460">
        <f t="shared" si="839"/>
        <v>341.71985480855307</v>
      </c>
      <c r="DS304">
        <f t="shared" si="840"/>
        <v>880</v>
      </c>
      <c r="DT304">
        <f t="shared" si="841"/>
        <v>341.71985480855307</v>
      </c>
      <c r="DV304" s="5">
        <f t="shared" si="870"/>
        <v>2.9263737120579232</v>
      </c>
      <c r="DW304" s="5">
        <f t="shared" si="842"/>
        <v>0.94239153439153445</v>
      </c>
      <c r="DX304" s="5">
        <f t="shared" si="843"/>
        <v>1.9839821776663888</v>
      </c>
      <c r="DY304" s="173">
        <f t="shared" si="844"/>
        <v>0.32203389830508472</v>
      </c>
      <c r="EA304" s="5">
        <f t="shared" si="871"/>
        <v>5.0567350625887224</v>
      </c>
      <c r="EB304" s="5">
        <f t="shared" si="872"/>
        <v>2.5915767195767199</v>
      </c>
      <c r="EC304" s="5">
        <f t="shared" si="873"/>
        <v>0.6627970089833638</v>
      </c>
      <c r="ED304" s="5"/>
      <c r="EE304" s="173">
        <f t="shared" si="874"/>
        <v>0.92628109026978345</v>
      </c>
      <c r="EF304" s="173">
        <f t="shared" si="875"/>
        <v>1.3439898638334715</v>
      </c>
      <c r="EG304" s="173">
        <f t="shared" si="876"/>
        <v>0.32973065525900086</v>
      </c>
      <c r="EH304" s="173"/>
      <c r="EI304" s="528">
        <f t="shared" si="877"/>
        <v>1.7159933163827575E-2</v>
      </c>
      <c r="EJ304" s="528">
        <f t="shared" si="878"/>
        <v>1.0259999999999998</v>
      </c>
      <c r="EK304" s="528">
        <f t="shared" si="879"/>
        <v>4.2714981851069131E-2</v>
      </c>
      <c r="EL304" s="528">
        <f t="shared" si="880"/>
        <v>9.6351671981674408E-2</v>
      </c>
      <c r="EM304">
        <f t="shared" si="881"/>
        <v>1.6199999999999999E-2</v>
      </c>
      <c r="EN304" s="460">
        <f t="shared" si="882"/>
        <v>58.914981851069129</v>
      </c>
      <c r="EP304" s="460">
        <f t="shared" si="883"/>
        <v>1198.4265869965707</v>
      </c>
      <c r="EQ304" s="173">
        <f t="shared" si="884"/>
        <v>0.61599999999999999</v>
      </c>
      <c r="ER304" s="173">
        <f t="shared" si="845"/>
        <v>9.762499999999999E-2</v>
      </c>
      <c r="ES304" s="528"/>
      <c r="EU304" s="460">
        <f t="shared" si="885"/>
        <v>713.625</v>
      </c>
      <c r="EV304" s="528">
        <f t="shared" si="886"/>
        <v>2.5739899745741361E-2</v>
      </c>
      <c r="EW304" s="528">
        <f t="shared" si="887"/>
        <v>5.4189262622613393E-2</v>
      </c>
      <c r="EX304" s="528">
        <f t="shared" si="888"/>
        <v>5.4361152508765039E-4</v>
      </c>
      <c r="EY304" s="528">
        <f t="shared" si="889"/>
        <v>1.4505313328497571</v>
      </c>
      <c r="EZ304" s="528"/>
      <c r="FA304" s="625">
        <f t="shared" si="890"/>
        <v>1.3656690879741728E-2</v>
      </c>
      <c r="FB304" s="460">
        <f t="shared" si="891"/>
        <v>1544.6607976229411</v>
      </c>
      <c r="FC304" s="173">
        <f t="shared" si="892"/>
        <v>3.4567123846195118</v>
      </c>
      <c r="FD304" s="5">
        <f t="shared" si="893"/>
        <v>16.192</v>
      </c>
      <c r="FE304" s="173">
        <f t="shared" si="894"/>
        <v>0.82407435576667443</v>
      </c>
      <c r="FF304" s="5">
        <f t="shared" si="895"/>
        <v>82.407435576667439</v>
      </c>
      <c r="FG304">
        <f t="shared" si="896"/>
        <v>88</v>
      </c>
      <c r="FI304" s="562">
        <f t="shared" si="846"/>
        <v>-50</v>
      </c>
    </row>
    <row r="305" spans="5:169">
      <c r="E305" s="170">
        <v>89</v>
      </c>
      <c r="F305" s="217">
        <f t="shared" si="847"/>
        <v>0.89</v>
      </c>
      <c r="G305" s="217">
        <f t="shared" si="775"/>
        <v>0.2225</v>
      </c>
      <c r="H305" s="217">
        <f t="shared" si="776"/>
        <v>14.595999999999998</v>
      </c>
      <c r="I305" s="217">
        <f t="shared" si="777"/>
        <v>1.78</v>
      </c>
      <c r="J305" s="541">
        <f t="shared" si="778"/>
        <v>35.909493227115291</v>
      </c>
      <c r="K305" s="443">
        <f t="shared" si="779"/>
        <v>17.140248631818253</v>
      </c>
      <c r="L305" s="172">
        <f t="shared" si="780"/>
        <v>53.049741858933544</v>
      </c>
      <c r="M305" s="443"/>
      <c r="N305" s="217">
        <f t="shared" si="781"/>
        <v>0.32309768212249734</v>
      </c>
      <c r="O305" s="172">
        <f t="shared" si="782"/>
        <v>34.470524285714006</v>
      </c>
      <c r="P305" s="172">
        <f t="shared" si="783"/>
        <v>4.7163715560465329</v>
      </c>
      <c r="Q305" s="217">
        <f t="shared" si="784"/>
        <v>2.101861236933781</v>
      </c>
      <c r="R305" s="217">
        <f t="shared" si="785"/>
        <v>4.3088155357142508</v>
      </c>
      <c r="S305" s="217">
        <f t="shared" si="786"/>
        <v>16.399999999999999</v>
      </c>
      <c r="T305" s="217">
        <f t="shared" si="787"/>
        <v>2.8228948843401991</v>
      </c>
      <c r="U305" s="217">
        <f t="shared" si="788"/>
        <v>0.94333658227467121</v>
      </c>
      <c r="V305" s="217">
        <f t="shared" si="789"/>
        <v>1.976327143189692</v>
      </c>
      <c r="W305" s="197">
        <f t="shared" si="790"/>
        <v>350</v>
      </c>
      <c r="X305" s="443">
        <f t="shared" si="848"/>
        <v>320.54736920440024</v>
      </c>
      <c r="Z305" s="217">
        <f t="shared" si="791"/>
        <v>2.7624461971129688</v>
      </c>
      <c r="AA305" s="173">
        <f t="shared" si="792"/>
        <v>1.9340066225071506</v>
      </c>
      <c r="AB305" s="173">
        <f t="shared" si="793"/>
        <v>0.8333277781233055</v>
      </c>
      <c r="AC305" s="173"/>
      <c r="AD305" s="173">
        <f t="shared" si="794"/>
        <v>0.93347537388100943</v>
      </c>
      <c r="AE305" s="545">
        <f t="shared" si="795"/>
        <v>1430.139495217335</v>
      </c>
      <c r="AF305" s="528">
        <f t="shared" si="796"/>
        <v>0.21781092057223558</v>
      </c>
      <c r="AH305" s="173">
        <f t="shared" si="797"/>
        <v>2.7925069808498666</v>
      </c>
      <c r="AI305" s="173">
        <f t="shared" si="798"/>
        <v>2.8228948843401991</v>
      </c>
      <c r="AJ305" s="173">
        <f t="shared" si="799"/>
        <v>2.3033789266717521</v>
      </c>
      <c r="AL305" s="545">
        <f t="shared" si="800"/>
        <v>890</v>
      </c>
      <c r="AM305" s="460">
        <f t="shared" si="801"/>
        <v>320.54736920440024</v>
      </c>
      <c r="AO305">
        <f t="shared" si="802"/>
        <v>890</v>
      </c>
      <c r="AP305">
        <f t="shared" si="803"/>
        <v>320.54736920440024</v>
      </c>
      <c r="AR305" s="5">
        <f t="shared" si="774"/>
        <v>3.1196637254643633</v>
      </c>
      <c r="AS305" s="5">
        <f t="shared" si="739"/>
        <v>0.94333658227467121</v>
      </c>
      <c r="AT305" s="5">
        <f t="shared" si="740"/>
        <v>2.1763271431896922</v>
      </c>
      <c r="AU305" s="173">
        <f t="shared" si="741"/>
        <v>0.30238405972241611</v>
      </c>
      <c r="BA305" s="173">
        <f t="shared" si="849"/>
        <v>0.8962177190506766</v>
      </c>
      <c r="BB305" s="173">
        <f t="shared" si="850"/>
        <v>1.3612637422891121</v>
      </c>
      <c r="BC305" s="173">
        <f t="shared" si="851"/>
        <v>0.33396857952860565</v>
      </c>
      <c r="BD305" s="173"/>
      <c r="BE305" s="528">
        <f t="shared" si="852"/>
        <v>1.6064123998807949E-2</v>
      </c>
      <c r="BF305" s="528">
        <f t="shared" si="804"/>
        <v>0.90006001901010602</v>
      </c>
      <c r="BG305" s="528">
        <f t="shared" si="805"/>
        <v>0.28776733958537587</v>
      </c>
      <c r="BH305" s="528">
        <f t="shared" si="853"/>
        <v>9.0210848314447076E-2</v>
      </c>
      <c r="BI305">
        <f t="shared" si="854"/>
        <v>1.6159271952201879E-2</v>
      </c>
      <c r="BJ305" s="460">
        <f t="shared" si="855"/>
        <v>303.9266115375778</v>
      </c>
      <c r="BK305">
        <f t="shared" si="806"/>
        <v>1.0145446552268278</v>
      </c>
      <c r="BL305" s="460">
        <f t="shared" si="856"/>
        <v>1310.2616028609389</v>
      </c>
      <c r="BM305" s="173">
        <f t="shared" si="807"/>
        <v>0.55291249999999992</v>
      </c>
      <c r="BN305" s="173">
        <f t="shared" si="808"/>
        <v>9.8734374999999999E-2</v>
      </c>
      <c r="BQ305" s="460">
        <f t="shared" si="857"/>
        <v>651.64687499999991</v>
      </c>
      <c r="BR305" s="528">
        <f t="shared" si="858"/>
        <v>2.4096185998211922E-2</v>
      </c>
      <c r="BS305" s="528">
        <f t="shared" si="859"/>
        <v>5.559116928212874E-2</v>
      </c>
      <c r="BT305" s="528">
        <f t="shared" si="860"/>
        <v>5.5767506056177303E-4</v>
      </c>
      <c r="BU305" s="528">
        <f t="shared" si="861"/>
        <v>1.2315082152538666</v>
      </c>
      <c r="BV305" s="528"/>
      <c r="BW305" s="625">
        <f t="shared" si="862"/>
        <v>1.2771786046984786E-2</v>
      </c>
      <c r="BX305" s="460">
        <f t="shared" si="863"/>
        <v>1324.5250316417537</v>
      </c>
      <c r="BY305" s="173">
        <f t="shared" si="864"/>
        <v>3.2864335095026926</v>
      </c>
      <c r="BZ305" s="5">
        <f t="shared" si="865"/>
        <v>16.375999999999998</v>
      </c>
      <c r="CA305" s="173">
        <f t="shared" si="866"/>
        <v>0.83285723468997941</v>
      </c>
      <c r="CB305" s="5">
        <f t="shared" si="867"/>
        <v>83.285723468997944</v>
      </c>
      <c r="CC305">
        <f t="shared" si="868"/>
        <v>89</v>
      </c>
      <c r="CE305" s="562">
        <f t="shared" si="809"/>
        <v>-50</v>
      </c>
      <c r="CG305" s="173">
        <f t="shared" si="810"/>
        <v>0.66337658682574552</v>
      </c>
      <c r="CH305" s="173">
        <f t="shared" si="811"/>
        <v>0.23606406951980496</v>
      </c>
      <c r="CI305" s="170">
        <v>89</v>
      </c>
      <c r="CJ305" s="217">
        <f t="shared" si="869"/>
        <v>0.89</v>
      </c>
      <c r="CK305" s="217">
        <f t="shared" si="812"/>
        <v>0.2225</v>
      </c>
      <c r="CL305" s="217">
        <f t="shared" si="813"/>
        <v>14.595999999999998</v>
      </c>
      <c r="CM305" s="217">
        <f t="shared" si="814"/>
        <v>1.78</v>
      </c>
      <c r="CN305" s="541">
        <f t="shared" si="815"/>
        <v>36</v>
      </c>
      <c r="CO305" s="443">
        <f t="shared" si="816"/>
        <v>17.099999999999998</v>
      </c>
      <c r="CP305" s="443">
        <f t="shared" si="817"/>
        <v>53.099999999999994</v>
      </c>
      <c r="CQ305" s="443"/>
      <c r="CR305" s="217">
        <f t="shared" si="818"/>
        <v>0.31818181818181812</v>
      </c>
      <c r="CS305" s="172">
        <f t="shared" si="819"/>
        <v>34.031620553359687</v>
      </c>
      <c r="CT305" s="172">
        <f t="shared" si="820"/>
        <v>4.6563192904656319</v>
      </c>
      <c r="CU305" s="217">
        <f t="shared" si="821"/>
        <v>2.0750988142292495</v>
      </c>
      <c r="CV305" s="217">
        <f t="shared" si="822"/>
        <v>4.2539525691699609</v>
      </c>
      <c r="CW305" s="217">
        <f t="shared" si="823"/>
        <v>16.399999999999999</v>
      </c>
      <c r="CX305" s="217">
        <f t="shared" si="824"/>
        <v>2.8593015873015872</v>
      </c>
      <c r="CY305" s="217">
        <f t="shared" si="825"/>
        <v>0.953100529100529</v>
      </c>
      <c r="CZ305" s="217">
        <f t="shared" si="826"/>
        <v>2.0065274296853248</v>
      </c>
      <c r="DA305" s="197">
        <f t="shared" si="827"/>
        <v>350</v>
      </c>
      <c r="DB305" s="443">
        <f t="shared" si="828"/>
        <v>337.88030587811994</v>
      </c>
      <c r="DD305" s="217">
        <f t="shared" si="829"/>
        <v>2.7602905569007259</v>
      </c>
      <c r="DE305" s="173">
        <f t="shared" si="830"/>
        <v>1.937046004842615</v>
      </c>
      <c r="DF305" s="173">
        <f t="shared" si="831"/>
        <v>0.83398609309454497</v>
      </c>
      <c r="DG305" s="173"/>
      <c r="DH305" s="173">
        <f t="shared" si="832"/>
        <v>0.93567251461988332</v>
      </c>
      <c r="DI305" s="545">
        <f t="shared" si="833"/>
        <v>1426.7812499999995</v>
      </c>
      <c r="DJ305" s="528">
        <f t="shared" si="834"/>
        <v>0.21832358674463945</v>
      </c>
      <c r="DL305" s="173">
        <f t="shared" si="835"/>
        <v>2.7925069808498666</v>
      </c>
      <c r="DM305" s="173">
        <f t="shared" si="836"/>
        <v>2.8593015873015872</v>
      </c>
      <c r="DN305" s="173">
        <f t="shared" si="837"/>
        <v>2.3303468547912991</v>
      </c>
      <c r="DP305" s="545">
        <f t="shared" si="838"/>
        <v>890</v>
      </c>
      <c r="DQ305" s="460">
        <f t="shared" si="839"/>
        <v>337.88030587811994</v>
      </c>
      <c r="DS305">
        <f t="shared" si="840"/>
        <v>890</v>
      </c>
      <c r="DT305">
        <f t="shared" si="841"/>
        <v>337.88030587811994</v>
      </c>
      <c r="DV305" s="5">
        <f t="shared" si="870"/>
        <v>2.9596279587858536</v>
      </c>
      <c r="DW305" s="5">
        <f t="shared" si="842"/>
        <v>0.953100529100529</v>
      </c>
      <c r="DX305" s="5">
        <f t="shared" si="843"/>
        <v>2.0065274296853248</v>
      </c>
      <c r="DY305" s="173">
        <f t="shared" si="844"/>
        <v>0.32203389830508472</v>
      </c>
      <c r="EA305" s="5">
        <f t="shared" si="871"/>
        <v>5.1723138469479943</v>
      </c>
      <c r="EB305" s="5">
        <f t="shared" si="872"/>
        <v>2.6508108465608466</v>
      </c>
      <c r="EC305" s="5">
        <f t="shared" si="873"/>
        <v>0.6779461658260878</v>
      </c>
      <c r="ED305" s="5"/>
      <c r="EE305" s="173">
        <f t="shared" si="874"/>
        <v>0.93680701175012182</v>
      </c>
      <c r="EF305" s="173">
        <f t="shared" si="875"/>
        <v>1.3592624759224881</v>
      </c>
      <c r="EG305" s="173">
        <f t="shared" si="876"/>
        <v>0.33347759452330766</v>
      </c>
      <c r="EH305" s="173"/>
      <c r="EI305" s="528">
        <f t="shared" si="877"/>
        <v>1.755214754528386E-2</v>
      </c>
      <c r="EJ305" s="528">
        <f t="shared" si="878"/>
        <v>1.0259999999999998</v>
      </c>
      <c r="EK305" s="528">
        <f t="shared" si="879"/>
        <v>4.2235038234764988E-2</v>
      </c>
      <c r="EL305" s="528">
        <f t="shared" si="880"/>
        <v>9.5269068925700556E-2</v>
      </c>
      <c r="EM305">
        <f t="shared" si="881"/>
        <v>1.6199999999999999E-2</v>
      </c>
      <c r="EN305" s="460">
        <f t="shared" si="882"/>
        <v>58.435038234764988</v>
      </c>
      <c r="EP305" s="460">
        <f t="shared" si="883"/>
        <v>1197.2562547057491</v>
      </c>
      <c r="EQ305" s="173">
        <f t="shared" si="884"/>
        <v>0.623</v>
      </c>
      <c r="ER305" s="173">
        <f t="shared" si="845"/>
        <v>9.8734374999999999E-2</v>
      </c>
      <c r="ES305" s="528"/>
      <c r="EU305" s="460">
        <f t="shared" si="885"/>
        <v>721.734375</v>
      </c>
      <c r="EV305" s="528">
        <f t="shared" si="886"/>
        <v>2.6328221317925785E-2</v>
      </c>
      <c r="EW305" s="528">
        <f t="shared" si="887"/>
        <v>5.5427834353527973E-2</v>
      </c>
      <c r="EX305" s="528">
        <f t="shared" si="888"/>
        <v>5.5603653024525806E-4</v>
      </c>
      <c r="EY305" s="528">
        <f t="shared" si="889"/>
        <v>1.4505313328497604</v>
      </c>
      <c r="EZ305" s="528"/>
      <c r="FA305" s="625">
        <f t="shared" si="890"/>
        <v>1.3811880548829703E-2</v>
      </c>
      <c r="FB305" s="460">
        <f t="shared" si="891"/>
        <v>1546.6553056002892</v>
      </c>
      <c r="FC305" s="173">
        <f t="shared" si="892"/>
        <v>3.4656459353060383</v>
      </c>
      <c r="FD305" s="5">
        <f t="shared" si="893"/>
        <v>16.375999999999998</v>
      </c>
      <c r="FE305" s="173">
        <f t="shared" si="894"/>
        <v>0.82533475566463455</v>
      </c>
      <c r="FF305" s="5">
        <f t="shared" si="895"/>
        <v>82.533475566463451</v>
      </c>
      <c r="FG305">
        <f t="shared" si="896"/>
        <v>89</v>
      </c>
      <c r="FI305" s="562">
        <f t="shared" si="846"/>
        <v>-50</v>
      </c>
    </row>
    <row r="306" spans="5:169">
      <c r="E306" s="170">
        <v>90</v>
      </c>
      <c r="F306" s="217">
        <f t="shared" si="847"/>
        <v>0.9</v>
      </c>
      <c r="G306" s="217">
        <f t="shared" si="775"/>
        <v>0.22500000000000001</v>
      </c>
      <c r="H306" s="217">
        <f t="shared" si="776"/>
        <v>14.76</v>
      </c>
      <c r="I306" s="217">
        <f t="shared" si="777"/>
        <v>1.8</v>
      </c>
      <c r="J306" s="541">
        <f t="shared" si="778"/>
        <v>35.908476297082878</v>
      </c>
      <c r="K306" s="443">
        <f t="shared" si="779"/>
        <v>17.140700863636436</v>
      </c>
      <c r="L306" s="172">
        <f t="shared" si="780"/>
        <v>53.04917716071931</v>
      </c>
      <c r="M306" s="443"/>
      <c r="N306" s="217">
        <f t="shared" si="781"/>
        <v>0.3231096462006654</v>
      </c>
      <c r="O306" s="172">
        <f t="shared" si="782"/>
        <v>34.470824489142942</v>
      </c>
      <c r="P306" s="172">
        <f t="shared" si="783"/>
        <v>4.7164126308761913</v>
      </c>
      <c r="Q306" s="217">
        <f t="shared" si="784"/>
        <v>2.1018795420209111</v>
      </c>
      <c r="R306" s="217">
        <f t="shared" si="785"/>
        <v>4.3088530611428677</v>
      </c>
      <c r="S306" s="217">
        <f t="shared" si="786"/>
        <v>16.399999999999999</v>
      </c>
      <c r="T306" s="217">
        <f t="shared" si="787"/>
        <v>2.8545879438129607</v>
      </c>
      <c r="U306" s="217">
        <f t="shared" si="788"/>
        <v>0.95395457725223309</v>
      </c>
      <c r="V306" s="217">
        <f t="shared" si="789"/>
        <v>1.9984629332413566</v>
      </c>
      <c r="W306" s="197">
        <f t="shared" si="790"/>
        <v>350</v>
      </c>
      <c r="X306" s="443">
        <f t="shared" si="848"/>
        <v>317.21686504762022</v>
      </c>
      <c r="Z306" s="217">
        <f t="shared" si="791"/>
        <v>2.7624702552274827</v>
      </c>
      <c r="AA306" s="173">
        <f t="shared" si="792"/>
        <v>1.9339724394266704</v>
      </c>
      <c r="AB306" s="173">
        <f t="shared" si="793"/>
        <v>0.83332030657895473</v>
      </c>
      <c r="AC306" s="173"/>
      <c r="AD306" s="173">
        <f t="shared" si="794"/>
        <v>0.93345074552602447</v>
      </c>
      <c r="AE306" s="545">
        <f t="shared" si="795"/>
        <v>1446.2466353693239</v>
      </c>
      <c r="AF306" s="528">
        <f t="shared" si="796"/>
        <v>0.21780517395607241</v>
      </c>
      <c r="AH306" s="173">
        <f t="shared" si="797"/>
        <v>2.8081514000698546</v>
      </c>
      <c r="AI306" s="173">
        <f t="shared" si="798"/>
        <v>2.8545879438129607</v>
      </c>
      <c r="AJ306" s="173">
        <f t="shared" si="799"/>
        <v>2.326855267021946</v>
      </c>
      <c r="AL306" s="545">
        <f t="shared" si="800"/>
        <v>900</v>
      </c>
      <c r="AM306" s="460">
        <f t="shared" si="801"/>
        <v>317.21686504762022</v>
      </c>
      <c r="AO306">
        <f t="shared" si="802"/>
        <v>900</v>
      </c>
      <c r="AP306">
        <f t="shared" si="803"/>
        <v>317.21686504762022</v>
      </c>
      <c r="AR306" s="5">
        <f t="shared" si="774"/>
        <v>3.1524175104935899</v>
      </c>
      <c r="AS306" s="5">
        <f t="shared" si="739"/>
        <v>0.95395457725223309</v>
      </c>
      <c r="AT306" s="5">
        <f t="shared" si="740"/>
        <v>2.1984629332413568</v>
      </c>
      <c r="AU306" s="173">
        <f t="shared" si="741"/>
        <v>0.30261048039378124</v>
      </c>
      <c r="BA306" s="173">
        <f t="shared" si="849"/>
        <v>0.90661892914255804</v>
      </c>
      <c r="BB306" s="173">
        <f t="shared" si="850"/>
        <v>1.3763234456240667</v>
      </c>
      <c r="BC306" s="173">
        <f t="shared" si="851"/>
        <v>0.33766328436401061</v>
      </c>
      <c r="BD306" s="173"/>
      <c r="BE306" s="528">
        <f t="shared" si="852"/>
        <v>1.6439157653591975E-2</v>
      </c>
      <c r="BF306" s="528">
        <f t="shared" si="804"/>
        <v>0.900698874642063</v>
      </c>
      <c r="BG306" s="528">
        <f t="shared" si="805"/>
        <v>0.28476935698993522</v>
      </c>
      <c r="BH306" s="528">
        <f t="shared" si="853"/>
        <v>8.9271652249791861E-2</v>
      </c>
      <c r="BI306">
        <f t="shared" si="854"/>
        <v>1.6158814333687294E-2</v>
      </c>
      <c r="BJ306" s="460">
        <f t="shared" si="855"/>
        <v>300.92817132362251</v>
      </c>
      <c r="BK306">
        <f t="shared" si="806"/>
        <v>1.0148120560296909</v>
      </c>
      <c r="BL306" s="460">
        <f t="shared" si="856"/>
        <v>1307.3378558690695</v>
      </c>
      <c r="BM306" s="173">
        <f t="shared" si="807"/>
        <v>0.55912499999999998</v>
      </c>
      <c r="BN306" s="173">
        <f t="shared" si="808"/>
        <v>9.9843749999999995E-2</v>
      </c>
      <c r="BQ306" s="460">
        <f t="shared" si="857"/>
        <v>658.96875</v>
      </c>
      <c r="BR306" s="528">
        <f t="shared" si="858"/>
        <v>2.4658736480387959E-2</v>
      </c>
      <c r="BS306" s="528">
        <f t="shared" si="859"/>
        <v>5.68279868092351E-2</v>
      </c>
      <c r="BT306" s="528">
        <f t="shared" si="860"/>
        <v>5.7008246803745349E-4</v>
      </c>
      <c r="BU306" s="528">
        <f t="shared" si="861"/>
        <v>1.2337274975682915</v>
      </c>
      <c r="BV306" s="528"/>
      <c r="BW306" s="625">
        <f t="shared" si="862"/>
        <v>1.2924481452468568E-2</v>
      </c>
      <c r="BX306" s="460">
        <f t="shared" si="863"/>
        <v>1328.7087847784205</v>
      </c>
      <c r="BY306" s="173">
        <f t="shared" si="864"/>
        <v>3.2950153906474897</v>
      </c>
      <c r="BZ306" s="5">
        <f t="shared" si="865"/>
        <v>16.559999999999999</v>
      </c>
      <c r="CA306" s="173">
        <f t="shared" si="866"/>
        <v>0.83404619307424088</v>
      </c>
      <c r="CB306" s="5">
        <f t="shared" si="867"/>
        <v>83.404619307424085</v>
      </c>
      <c r="CC306">
        <f t="shared" si="868"/>
        <v>90</v>
      </c>
      <c r="CE306" s="562">
        <f t="shared" si="809"/>
        <v>-50</v>
      </c>
      <c r="CG306" s="173">
        <f t="shared" si="810"/>
        <v>0.66337658682574552</v>
      </c>
      <c r="CH306" s="173">
        <f t="shared" si="811"/>
        <v>0.23606406951980494</v>
      </c>
      <c r="CI306" s="170">
        <v>90</v>
      </c>
      <c r="CJ306" s="217">
        <f t="shared" si="869"/>
        <v>0.9</v>
      </c>
      <c r="CK306" s="217">
        <f t="shared" si="812"/>
        <v>0.22500000000000001</v>
      </c>
      <c r="CL306" s="217">
        <f t="shared" si="813"/>
        <v>14.76</v>
      </c>
      <c r="CM306" s="217">
        <f t="shared" si="814"/>
        <v>1.8</v>
      </c>
      <c r="CN306" s="541">
        <f t="shared" si="815"/>
        <v>36</v>
      </c>
      <c r="CO306" s="443">
        <f t="shared" si="816"/>
        <v>17.099999999999998</v>
      </c>
      <c r="CP306" s="443">
        <f t="shared" si="817"/>
        <v>53.099999999999994</v>
      </c>
      <c r="CQ306" s="443"/>
      <c r="CR306" s="217">
        <f t="shared" si="818"/>
        <v>0.31818181818181812</v>
      </c>
      <c r="CS306" s="172">
        <f t="shared" si="819"/>
        <v>34.031620553359687</v>
      </c>
      <c r="CT306" s="172">
        <f t="shared" si="820"/>
        <v>4.6563192904656319</v>
      </c>
      <c r="CU306" s="217">
        <f t="shared" si="821"/>
        <v>2.0750988142292495</v>
      </c>
      <c r="CV306" s="217">
        <f t="shared" si="822"/>
        <v>4.2539525691699609</v>
      </c>
      <c r="CW306" s="217">
        <f t="shared" si="823"/>
        <v>16.399999999999999</v>
      </c>
      <c r="CX306" s="217">
        <f t="shared" si="824"/>
        <v>2.8914285714285715</v>
      </c>
      <c r="CY306" s="217">
        <f t="shared" si="825"/>
        <v>0.96380952380952389</v>
      </c>
      <c r="CZ306" s="217">
        <f t="shared" si="826"/>
        <v>2.0290726817042608</v>
      </c>
      <c r="DA306" s="197">
        <f t="shared" si="827"/>
        <v>350</v>
      </c>
      <c r="DB306" s="443">
        <f t="shared" si="828"/>
        <v>334.12608025725194</v>
      </c>
      <c r="DD306" s="217">
        <f t="shared" si="829"/>
        <v>2.7602905569007259</v>
      </c>
      <c r="DE306" s="173">
        <f t="shared" si="830"/>
        <v>1.937046004842615</v>
      </c>
      <c r="DF306" s="173">
        <f t="shared" si="831"/>
        <v>0.83398609309454497</v>
      </c>
      <c r="DG306" s="173"/>
      <c r="DH306" s="173">
        <f t="shared" si="832"/>
        <v>0.93567251461988332</v>
      </c>
      <c r="DI306" s="545">
        <f t="shared" si="833"/>
        <v>1442.8124999999995</v>
      </c>
      <c r="DJ306" s="528">
        <f t="shared" si="834"/>
        <v>0.21832358674463945</v>
      </c>
      <c r="DL306" s="173">
        <f t="shared" si="835"/>
        <v>2.8081514000698546</v>
      </c>
      <c r="DM306" s="173">
        <f t="shared" si="836"/>
        <v>2.8914285714285715</v>
      </c>
      <c r="DN306" s="173">
        <f t="shared" si="837"/>
        <v>2.3541446208112875</v>
      </c>
      <c r="DP306" s="545">
        <f t="shared" si="838"/>
        <v>900</v>
      </c>
      <c r="DQ306" s="460">
        <f t="shared" si="839"/>
        <v>334.12608025725194</v>
      </c>
      <c r="DS306">
        <f t="shared" si="840"/>
        <v>900</v>
      </c>
      <c r="DT306">
        <f t="shared" si="841"/>
        <v>334.12608025725194</v>
      </c>
      <c r="DV306" s="5">
        <f t="shared" si="870"/>
        <v>2.9928822055137845</v>
      </c>
      <c r="DW306" s="5">
        <f t="shared" si="842"/>
        <v>0.96380952380952389</v>
      </c>
      <c r="DX306" s="5">
        <f t="shared" si="843"/>
        <v>2.0290726817042604</v>
      </c>
      <c r="DY306" s="173">
        <f t="shared" si="844"/>
        <v>0.32203389830508478</v>
      </c>
      <c r="EA306" s="5">
        <f t="shared" si="871"/>
        <v>5.2891986062717784</v>
      </c>
      <c r="EB306" s="5">
        <f t="shared" si="872"/>
        <v>2.7107142857142859</v>
      </c>
      <c r="EC306" s="5">
        <f t="shared" si="873"/>
        <v>0.69326649958228881</v>
      </c>
      <c r="ED306" s="5"/>
      <c r="EE306" s="173">
        <f t="shared" si="874"/>
        <v>0.94733293323046042</v>
      </c>
      <c r="EF306" s="173">
        <f t="shared" si="875"/>
        <v>1.3745350880115048</v>
      </c>
      <c r="EG306" s="173">
        <f t="shared" si="876"/>
        <v>0.33722453378761452</v>
      </c>
      <c r="EH306" s="173"/>
      <c r="EI306" s="528">
        <f t="shared" si="877"/>
        <v>1.7948793727660558E-2</v>
      </c>
      <c r="EJ306" s="528">
        <f t="shared" si="878"/>
        <v>1.0259999999999998</v>
      </c>
      <c r="EK306" s="528">
        <f t="shared" si="879"/>
        <v>4.1765760032156492E-2</v>
      </c>
      <c r="EL306" s="528">
        <f t="shared" si="880"/>
        <v>9.4210523715414995E-2</v>
      </c>
      <c r="EM306">
        <f t="shared" si="881"/>
        <v>1.6199999999999999E-2</v>
      </c>
      <c r="EN306" s="460">
        <f t="shared" si="882"/>
        <v>57.965760032156489</v>
      </c>
      <c r="EP306" s="460">
        <f t="shared" si="883"/>
        <v>1196.1250774752318</v>
      </c>
      <c r="EQ306" s="173">
        <f t="shared" si="884"/>
        <v>0.63</v>
      </c>
      <c r="ER306" s="173">
        <f t="shared" si="845"/>
        <v>9.9843749999999995E-2</v>
      </c>
      <c r="ES306" s="528"/>
      <c r="EU306" s="460">
        <f t="shared" si="885"/>
        <v>729.84375</v>
      </c>
      <c r="EV306" s="528">
        <f t="shared" si="886"/>
        <v>2.6923190591490839E-2</v>
      </c>
      <c r="EW306" s="528">
        <f t="shared" si="887"/>
        <v>5.6680401245243851E-2</v>
      </c>
      <c r="EX306" s="528">
        <f t="shared" si="888"/>
        <v>5.6860193094136985E-4</v>
      </c>
      <c r="EY306" s="528">
        <f t="shared" si="889"/>
        <v>1.4505313328497587</v>
      </c>
      <c r="EZ306" s="528"/>
      <c r="FA306" s="625">
        <f t="shared" si="890"/>
        <v>1.3967070217917675E-2</v>
      </c>
      <c r="FB306" s="460">
        <f t="shared" si="891"/>
        <v>1548.6705968353524</v>
      </c>
      <c r="FC306" s="173">
        <f t="shared" si="892"/>
        <v>3.4746394243105843</v>
      </c>
      <c r="FD306" s="5">
        <f t="shared" si="893"/>
        <v>16.559999999999999</v>
      </c>
      <c r="FE306" s="173">
        <f t="shared" si="894"/>
        <v>0.82656840731087167</v>
      </c>
      <c r="FF306" s="5">
        <f t="shared" si="895"/>
        <v>82.656840731087172</v>
      </c>
      <c r="FG306">
        <f t="shared" si="896"/>
        <v>90</v>
      </c>
      <c r="FI306" s="562">
        <f t="shared" si="846"/>
        <v>-50</v>
      </c>
    </row>
    <row r="307" spans="5:169">
      <c r="E307" s="170">
        <v>91</v>
      </c>
      <c r="F307" s="217">
        <f t="shared" si="847"/>
        <v>0.91</v>
      </c>
      <c r="G307" s="217">
        <f t="shared" si="775"/>
        <v>0.22750000000000001</v>
      </c>
      <c r="H307" s="217">
        <f t="shared" si="776"/>
        <v>14.923999999999999</v>
      </c>
      <c r="I307" s="217">
        <f t="shared" si="777"/>
        <v>1.82</v>
      </c>
      <c r="J307" s="541">
        <f t="shared" si="778"/>
        <v>35.907459367050464</v>
      </c>
      <c r="K307" s="443">
        <f t="shared" si="779"/>
        <v>17.141153095454619</v>
      </c>
      <c r="L307" s="172">
        <f t="shared" si="780"/>
        <v>53.048612462505083</v>
      </c>
      <c r="M307" s="443"/>
      <c r="N307" s="217">
        <f t="shared" si="781"/>
        <v>0.32312161053354671</v>
      </c>
      <c r="O307" s="172">
        <f t="shared" si="782"/>
        <v>34.471124647450623</v>
      </c>
      <c r="P307" s="172">
        <f t="shared" si="783"/>
        <v>4.7164536995322095</v>
      </c>
      <c r="Q307" s="217">
        <f t="shared" si="784"/>
        <v>2.1018978443567455</v>
      </c>
      <c r="R307" s="217">
        <f t="shared" si="785"/>
        <v>4.3088905809313278</v>
      </c>
      <c r="S307" s="217">
        <f t="shared" si="786"/>
        <v>16.399999999999999</v>
      </c>
      <c r="T307" s="217">
        <f t="shared" si="787"/>
        <v>2.886280455044322</v>
      </c>
      <c r="U307" s="217">
        <f t="shared" si="788"/>
        <v>0.96457299043312705</v>
      </c>
      <c r="V307" s="217">
        <f t="shared" si="789"/>
        <v>2.0205971714771187</v>
      </c>
      <c r="W307" s="197">
        <f t="shared" si="790"/>
        <v>350</v>
      </c>
      <c r="X307" s="443">
        <f t="shared" si="848"/>
        <v>313.95496917510638</v>
      </c>
      <c r="Z307" s="217">
        <f t="shared" si="791"/>
        <v>2.7624943097260082</v>
      </c>
      <c r="AA307" s="173">
        <f t="shared" si="792"/>
        <v>1.9339382556184384</v>
      </c>
      <c r="AB307" s="173">
        <f t="shared" si="793"/>
        <v>0.8333128333737051</v>
      </c>
      <c r="AC307" s="173"/>
      <c r="AD307" s="173">
        <f t="shared" si="794"/>
        <v>0.93342611847057011</v>
      </c>
      <c r="AE307" s="545">
        <f t="shared" si="795"/>
        <v>1462.3546234559717</v>
      </c>
      <c r="AF307" s="528">
        <f t="shared" si="796"/>
        <v>0.21779942764313306</v>
      </c>
      <c r="AH307" s="173">
        <f t="shared" si="797"/>
        <v>2.8237091446063158</v>
      </c>
      <c r="AI307" s="173">
        <f t="shared" si="798"/>
        <v>2.886280455044322</v>
      </c>
      <c r="AJ307" s="173">
        <f t="shared" si="799"/>
        <v>2.3503312012673989</v>
      </c>
      <c r="AL307" s="545">
        <f t="shared" si="800"/>
        <v>910</v>
      </c>
      <c r="AM307" s="460">
        <f t="shared" si="801"/>
        <v>313.95496917510638</v>
      </c>
      <c r="AO307">
        <f t="shared" si="802"/>
        <v>910</v>
      </c>
      <c r="AP307">
        <f t="shared" si="803"/>
        <v>313.95496917510638</v>
      </c>
      <c r="AR307" s="5">
        <f t="shared" si="774"/>
        <v>3.1851701619102464</v>
      </c>
      <c r="AS307" s="5">
        <f t="shared" ref="AS307:AS316" si="897">L*AI307/J307*1000000</f>
        <v>0.96457299043312705</v>
      </c>
      <c r="AT307" s="5">
        <f t="shared" ref="AT307:AT316" si="898">AR307-AS307</f>
        <v>2.2205971714771193</v>
      </c>
      <c r="AU307" s="173">
        <f t="shared" ref="AU307:AU316" si="899">AS307/AR307</f>
        <v>0.30283248347857261</v>
      </c>
      <c r="BA307" s="173">
        <f t="shared" si="849"/>
        <v>0.91702068106871781</v>
      </c>
      <c r="BB307" s="173">
        <f t="shared" si="850"/>
        <v>1.3913822954946222</v>
      </c>
      <c r="BC307" s="173">
        <f t="shared" si="851"/>
        <v>0.34135777981288434</v>
      </c>
      <c r="BD307" s="173"/>
      <c r="BE307" s="528">
        <f t="shared" si="852"/>
        <v>1.68185385901547E-2</v>
      </c>
      <c r="BF307" s="528">
        <f t="shared" si="804"/>
        <v>0.90132453017393677</v>
      </c>
      <c r="BG307" s="528">
        <f t="shared" si="805"/>
        <v>0.28183313246846781</v>
      </c>
      <c r="BH307" s="528">
        <f t="shared" si="853"/>
        <v>8.8351803550404756E-2</v>
      </c>
      <c r="BI307">
        <f t="shared" si="854"/>
        <v>1.6158356715172708E-2</v>
      </c>
      <c r="BJ307" s="460">
        <f t="shared" si="855"/>
        <v>297.99148918364051</v>
      </c>
      <c r="BK307">
        <f t="shared" si="806"/>
        <v>1.0150922725031384</v>
      </c>
      <c r="BL307" s="460">
        <f t="shared" si="856"/>
        <v>1304.4863614981366</v>
      </c>
      <c r="BM307" s="173">
        <f t="shared" si="807"/>
        <v>0.56533749999999994</v>
      </c>
      <c r="BN307" s="173">
        <f t="shared" si="808"/>
        <v>0.100953125</v>
      </c>
      <c r="BQ307" s="460">
        <f t="shared" si="857"/>
        <v>666.29062499999986</v>
      </c>
      <c r="BR307" s="528">
        <f t="shared" si="858"/>
        <v>2.5227807885232052E-2</v>
      </c>
      <c r="BS307" s="528">
        <f t="shared" si="859"/>
        <v>5.8078340766476527E-2</v>
      </c>
      <c r="BT307" s="528">
        <f t="shared" si="860"/>
        <v>5.8262566919390821E-4</v>
      </c>
      <c r="BU307" s="528">
        <f t="shared" si="861"/>
        <v>1.2359039743554885</v>
      </c>
      <c r="BV307" s="528"/>
      <c r="BW307" s="625">
        <f t="shared" si="862"/>
        <v>1.3077189666021999E-2</v>
      </c>
      <c r="BX307" s="460">
        <f t="shared" si="863"/>
        <v>1332.869938342413</v>
      </c>
      <c r="BY307" s="173">
        <f t="shared" si="864"/>
        <v>3.30364692484055</v>
      </c>
      <c r="BZ307" s="5">
        <f t="shared" si="865"/>
        <v>16.744</v>
      </c>
      <c r="CA307" s="173">
        <f t="shared" si="866"/>
        <v>0.8352102400233774</v>
      </c>
      <c r="CB307" s="5">
        <f t="shared" si="867"/>
        <v>83.521024002337739</v>
      </c>
      <c r="CC307">
        <f t="shared" si="868"/>
        <v>91</v>
      </c>
      <c r="CE307" s="562">
        <f t="shared" si="809"/>
        <v>-50</v>
      </c>
      <c r="CG307" s="173">
        <f t="shared" si="810"/>
        <v>0.66337658682574552</v>
      </c>
      <c r="CH307" s="173">
        <f t="shared" si="811"/>
        <v>0.23606406951980496</v>
      </c>
      <c r="CI307" s="170">
        <v>91</v>
      </c>
      <c r="CJ307" s="217">
        <f t="shared" si="869"/>
        <v>0.91</v>
      </c>
      <c r="CK307" s="217">
        <f t="shared" si="812"/>
        <v>0.22750000000000001</v>
      </c>
      <c r="CL307" s="217">
        <f t="shared" si="813"/>
        <v>14.923999999999999</v>
      </c>
      <c r="CM307" s="217">
        <f t="shared" si="814"/>
        <v>1.82</v>
      </c>
      <c r="CN307" s="541">
        <f t="shared" si="815"/>
        <v>36</v>
      </c>
      <c r="CO307" s="443">
        <f t="shared" si="816"/>
        <v>17.099999999999998</v>
      </c>
      <c r="CP307" s="443">
        <f t="shared" si="817"/>
        <v>53.099999999999994</v>
      </c>
      <c r="CQ307" s="443"/>
      <c r="CR307" s="217">
        <f t="shared" si="818"/>
        <v>0.31818181818181812</v>
      </c>
      <c r="CS307" s="172">
        <f t="shared" si="819"/>
        <v>34.031620553359687</v>
      </c>
      <c r="CT307" s="172">
        <f t="shared" si="820"/>
        <v>4.6563192904656319</v>
      </c>
      <c r="CU307" s="217">
        <f t="shared" si="821"/>
        <v>2.0750988142292495</v>
      </c>
      <c r="CV307" s="217">
        <f t="shared" si="822"/>
        <v>4.2539525691699609</v>
      </c>
      <c r="CW307" s="217">
        <f t="shared" si="823"/>
        <v>16.399999999999999</v>
      </c>
      <c r="CX307" s="217">
        <f t="shared" si="824"/>
        <v>2.9235555555555557</v>
      </c>
      <c r="CY307" s="217">
        <f t="shared" si="825"/>
        <v>0.97451851851851867</v>
      </c>
      <c r="CZ307" s="217">
        <f t="shared" si="826"/>
        <v>2.0516179337231972</v>
      </c>
      <c r="DA307" s="197">
        <f t="shared" si="827"/>
        <v>350</v>
      </c>
      <c r="DB307" s="443">
        <f t="shared" si="828"/>
        <v>330.45436508958983</v>
      </c>
      <c r="DD307" s="217">
        <f t="shared" si="829"/>
        <v>2.7602905569007259</v>
      </c>
      <c r="DE307" s="173">
        <f t="shared" si="830"/>
        <v>1.937046004842615</v>
      </c>
      <c r="DF307" s="173">
        <f t="shared" si="831"/>
        <v>0.83398609309454497</v>
      </c>
      <c r="DG307" s="173"/>
      <c r="DH307" s="173">
        <f t="shared" si="832"/>
        <v>0.93567251461988332</v>
      </c>
      <c r="DI307" s="545">
        <f t="shared" si="833"/>
        <v>1458.8437499999995</v>
      </c>
      <c r="DJ307" s="528">
        <f t="shared" si="834"/>
        <v>0.21832358674463945</v>
      </c>
      <c r="DL307" s="173">
        <f t="shared" si="835"/>
        <v>2.8237091446063158</v>
      </c>
      <c r="DM307" s="173">
        <f t="shared" si="836"/>
        <v>2.9235555555555557</v>
      </c>
      <c r="DN307" s="173">
        <f t="shared" si="837"/>
        <v>2.3779423868312755</v>
      </c>
      <c r="DP307" s="545">
        <f t="shared" si="838"/>
        <v>910</v>
      </c>
      <c r="DQ307" s="460">
        <f t="shared" si="839"/>
        <v>330.45436508958983</v>
      </c>
      <c r="DS307">
        <f t="shared" si="840"/>
        <v>910</v>
      </c>
      <c r="DT307">
        <f t="shared" si="841"/>
        <v>330.45436508958983</v>
      </c>
      <c r="DV307" s="5">
        <f t="shared" si="870"/>
        <v>3.0261364522417153</v>
      </c>
      <c r="DW307" s="5">
        <f t="shared" si="842"/>
        <v>0.97451851851851867</v>
      </c>
      <c r="DX307" s="5">
        <f t="shared" si="843"/>
        <v>2.0516179337231968</v>
      </c>
      <c r="DY307" s="173">
        <f t="shared" si="844"/>
        <v>0.32203389830508478</v>
      </c>
      <c r="EA307" s="5">
        <f t="shared" si="871"/>
        <v>5.4073893405600746</v>
      </c>
      <c r="EB307" s="5">
        <f t="shared" si="872"/>
        <v>2.7712870370370379</v>
      </c>
      <c r="EC307" s="5">
        <f t="shared" si="873"/>
        <v>0.70875801025196716</v>
      </c>
      <c r="ED307" s="5"/>
      <c r="EE307" s="173">
        <f t="shared" si="874"/>
        <v>0.9578588547107989</v>
      </c>
      <c r="EF307" s="173">
        <f t="shared" si="875"/>
        <v>1.3898077001005218</v>
      </c>
      <c r="EG307" s="173">
        <f t="shared" si="876"/>
        <v>0.34097147305192133</v>
      </c>
      <c r="EH307" s="173"/>
      <c r="EI307" s="528">
        <f t="shared" si="877"/>
        <v>1.8349871710957668E-2</v>
      </c>
      <c r="EJ307" s="528">
        <f t="shared" si="878"/>
        <v>1.0259999999999998</v>
      </c>
      <c r="EK307" s="528">
        <f t="shared" si="879"/>
        <v>4.1306795636198726E-2</v>
      </c>
      <c r="EL307" s="528">
        <f t="shared" si="880"/>
        <v>9.3175243235025823E-2</v>
      </c>
      <c r="EM307">
        <f t="shared" si="881"/>
        <v>1.6199999999999999E-2</v>
      </c>
      <c r="EN307" s="460">
        <f t="shared" si="882"/>
        <v>57.506795636198724</v>
      </c>
      <c r="EP307" s="460">
        <f t="shared" si="883"/>
        <v>1195.031910582182</v>
      </c>
      <c r="EQ307" s="173">
        <f t="shared" si="884"/>
        <v>0.63700000000000001</v>
      </c>
      <c r="ER307" s="173">
        <f t="shared" si="845"/>
        <v>0.100953125</v>
      </c>
      <c r="ES307" s="528"/>
      <c r="EU307" s="460">
        <f t="shared" si="885"/>
        <v>737.953125</v>
      </c>
      <c r="EV307" s="528">
        <f t="shared" si="886"/>
        <v>2.75248075664365E-2</v>
      </c>
      <c r="EW307" s="528">
        <f t="shared" si="887"/>
        <v>5.7946963297761056E-2</v>
      </c>
      <c r="EX307" s="528">
        <f t="shared" si="888"/>
        <v>5.8130772717598553E-4</v>
      </c>
      <c r="EY307" s="528">
        <f t="shared" si="889"/>
        <v>1.4505313328497604</v>
      </c>
      <c r="EZ307" s="528"/>
      <c r="FA307" s="625">
        <f t="shared" si="890"/>
        <v>1.4122259887005651E-2</v>
      </c>
      <c r="FB307" s="460">
        <f t="shared" si="891"/>
        <v>1550.7066713281397</v>
      </c>
      <c r="FC307" s="173">
        <f t="shared" si="892"/>
        <v>3.4836917069103217</v>
      </c>
      <c r="FD307" s="5">
        <f t="shared" si="893"/>
        <v>16.744</v>
      </c>
      <c r="FE307" s="173">
        <f t="shared" si="894"/>
        <v>0.82777611220363823</v>
      </c>
      <c r="FF307" s="5">
        <f t="shared" si="895"/>
        <v>82.777611220363823</v>
      </c>
      <c r="FG307">
        <f t="shared" si="896"/>
        <v>91</v>
      </c>
      <c r="FI307" s="562">
        <f t="shared" si="846"/>
        <v>-50</v>
      </c>
    </row>
    <row r="308" spans="5:169">
      <c r="E308" s="170">
        <v>92</v>
      </c>
      <c r="F308" s="217">
        <f t="shared" si="847"/>
        <v>0.92</v>
      </c>
      <c r="G308" s="217">
        <f t="shared" si="775"/>
        <v>0.23</v>
      </c>
      <c r="H308" s="217">
        <f t="shared" si="776"/>
        <v>15.087999999999999</v>
      </c>
      <c r="I308" s="217">
        <f t="shared" si="777"/>
        <v>1.84</v>
      </c>
      <c r="J308" s="541">
        <f t="shared" si="778"/>
        <v>35.90644243701805</v>
      </c>
      <c r="K308" s="443">
        <f t="shared" si="779"/>
        <v>17.141605327272799</v>
      </c>
      <c r="L308" s="172">
        <f t="shared" si="780"/>
        <v>53.04804776429085</v>
      </c>
      <c r="M308" s="443"/>
      <c r="N308" s="217">
        <f t="shared" si="781"/>
        <v>0.32313357512114943</v>
      </c>
      <c r="O308" s="172">
        <f t="shared" si="782"/>
        <v>34.471424760635607</v>
      </c>
      <c r="P308" s="172">
        <f t="shared" si="783"/>
        <v>4.7164947620143902</v>
      </c>
      <c r="Q308" s="217">
        <f t="shared" si="784"/>
        <v>2.1019161439411955</v>
      </c>
      <c r="R308" s="217">
        <f t="shared" si="785"/>
        <v>4.3089280950794508</v>
      </c>
      <c r="S308" s="217">
        <f t="shared" si="786"/>
        <v>16.399999999999999</v>
      </c>
      <c r="T308" s="217">
        <f t="shared" si="787"/>
        <v>2.9179724181731785</v>
      </c>
      <c r="U308" s="217">
        <f t="shared" si="788"/>
        <v>0.97519182189930476</v>
      </c>
      <c r="V308" s="217">
        <f t="shared" si="789"/>
        <v>2.042729858117033</v>
      </c>
      <c r="W308" s="197">
        <f t="shared" si="790"/>
        <v>350</v>
      </c>
      <c r="X308" s="443">
        <f t="shared" si="848"/>
        <v>310.75958318380293</v>
      </c>
      <c r="Z308" s="217">
        <f t="shared" si="791"/>
        <v>2.762518360608428</v>
      </c>
      <c r="AA308" s="173">
        <f t="shared" si="792"/>
        <v>1.9339040710824298</v>
      </c>
      <c r="AB308" s="173">
        <f t="shared" si="793"/>
        <v>0.83330535850756082</v>
      </c>
      <c r="AC308" s="173"/>
      <c r="AD308" s="173">
        <f t="shared" si="794"/>
        <v>0.93340149271454365</v>
      </c>
      <c r="AE308" s="545">
        <f t="shared" si="795"/>
        <v>1478.4634594772783</v>
      </c>
      <c r="AF308" s="528">
        <f t="shared" si="796"/>
        <v>0.21779368163339352</v>
      </c>
      <c r="AH308" s="173">
        <f t="shared" si="797"/>
        <v>2.8391816393024913</v>
      </c>
      <c r="AI308" s="173">
        <f t="shared" si="798"/>
        <v>2.9179724181731785</v>
      </c>
      <c r="AJ308" s="173">
        <f t="shared" si="799"/>
        <v>2.3738067295109961</v>
      </c>
      <c r="AL308" s="545">
        <f t="shared" si="800"/>
        <v>920</v>
      </c>
      <c r="AM308" s="460">
        <f t="shared" si="801"/>
        <v>310.75958318380293</v>
      </c>
      <c r="AO308">
        <f t="shared" si="802"/>
        <v>920</v>
      </c>
      <c r="AP308">
        <f t="shared" si="803"/>
        <v>310.75958318380293</v>
      </c>
      <c r="AR308" s="5">
        <f t="shared" si="774"/>
        <v>3.2179216800163379</v>
      </c>
      <c r="AS308" s="5">
        <f t="shared" si="897"/>
        <v>0.97519182189930476</v>
      </c>
      <c r="AT308" s="5">
        <f t="shared" si="898"/>
        <v>2.2427298581170332</v>
      </c>
      <c r="AU308" s="173">
        <f t="shared" si="899"/>
        <v>0.3030502040976813</v>
      </c>
      <c r="BA308" s="173">
        <f t="shared" si="849"/>
        <v>0.92742296445935235</v>
      </c>
      <c r="BB308" s="173">
        <f t="shared" si="850"/>
        <v>1.4064403018732206</v>
      </c>
      <c r="BC308" s="173">
        <f t="shared" si="851"/>
        <v>0.34505206832183744</v>
      </c>
      <c r="BD308" s="173"/>
      <c r="BE308" s="528">
        <f t="shared" si="852"/>
        <v>1.7202267100131462E-2</v>
      </c>
      <c r="BF308" s="528">
        <f t="shared" si="804"/>
        <v>0.90193738929043099</v>
      </c>
      <c r="BG308" s="528">
        <f t="shared" si="805"/>
        <v>0.27895677713352357</v>
      </c>
      <c r="BH308" s="528">
        <f t="shared" si="853"/>
        <v>8.7450710471865672E-2</v>
      </c>
      <c r="BI308">
        <f t="shared" si="854"/>
        <v>1.6157899096658122E-2</v>
      </c>
      <c r="BJ308" s="460">
        <f t="shared" si="855"/>
        <v>295.11467623018166</v>
      </c>
      <c r="BK308">
        <f t="shared" si="806"/>
        <v>1.0153851206099491</v>
      </c>
      <c r="BL308" s="460">
        <f t="shared" si="856"/>
        <v>1301.7050430926099</v>
      </c>
      <c r="BM308" s="173">
        <f t="shared" si="807"/>
        <v>0.57155</v>
      </c>
      <c r="BN308" s="173">
        <f t="shared" si="808"/>
        <v>0.1020625</v>
      </c>
      <c r="BQ308" s="460">
        <f t="shared" si="857"/>
        <v>673.61249999999995</v>
      </c>
      <c r="BR308" s="528">
        <f t="shared" si="858"/>
        <v>2.5803400650197195E-2</v>
      </c>
      <c r="BS308" s="528">
        <f t="shared" si="859"/>
        <v>5.9342229681997073E-2</v>
      </c>
      <c r="BT308" s="528">
        <f t="shared" si="860"/>
        <v>5.9530464926588981E-4</v>
      </c>
      <c r="BU308" s="528">
        <f t="shared" si="861"/>
        <v>1.2380388869323224</v>
      </c>
      <c r="BV308" s="528"/>
      <c r="BW308" s="625">
        <f t="shared" si="862"/>
        <v>1.3229910295977433E-2</v>
      </c>
      <c r="BX308" s="460">
        <f t="shared" si="863"/>
        <v>1337.0097322097602</v>
      </c>
      <c r="BY308" s="173">
        <f t="shared" si="864"/>
        <v>3.3123272753023696</v>
      </c>
      <c r="BZ308" s="5">
        <f t="shared" si="865"/>
        <v>16.928000000000001</v>
      </c>
      <c r="CA308" s="173">
        <f t="shared" si="866"/>
        <v>0.83635011280948335</v>
      </c>
      <c r="CB308" s="5">
        <f t="shared" si="867"/>
        <v>83.635011280948333</v>
      </c>
      <c r="CC308">
        <f t="shared" si="868"/>
        <v>92</v>
      </c>
      <c r="CE308" s="562">
        <f t="shared" si="809"/>
        <v>-50</v>
      </c>
      <c r="CG308" s="173">
        <f t="shared" si="810"/>
        <v>0.66337658682574541</v>
      </c>
      <c r="CH308" s="173">
        <f t="shared" si="811"/>
        <v>0.23606406951980491</v>
      </c>
      <c r="CI308" s="170">
        <v>92</v>
      </c>
      <c r="CJ308" s="217">
        <f t="shared" si="869"/>
        <v>0.92</v>
      </c>
      <c r="CK308" s="217">
        <f t="shared" si="812"/>
        <v>0.23</v>
      </c>
      <c r="CL308" s="217">
        <f t="shared" si="813"/>
        <v>15.087999999999999</v>
      </c>
      <c r="CM308" s="217">
        <f t="shared" si="814"/>
        <v>1.84</v>
      </c>
      <c r="CN308" s="541">
        <f t="shared" si="815"/>
        <v>36</v>
      </c>
      <c r="CO308" s="443">
        <f t="shared" si="816"/>
        <v>17.099999999999998</v>
      </c>
      <c r="CP308" s="443">
        <f t="shared" si="817"/>
        <v>53.099999999999994</v>
      </c>
      <c r="CQ308" s="443"/>
      <c r="CR308" s="217">
        <f t="shared" si="818"/>
        <v>0.31818181818181812</v>
      </c>
      <c r="CS308" s="172">
        <f t="shared" si="819"/>
        <v>34.031620553359687</v>
      </c>
      <c r="CT308" s="172">
        <f t="shared" si="820"/>
        <v>4.6563192904656319</v>
      </c>
      <c r="CU308" s="217">
        <f t="shared" si="821"/>
        <v>2.0750988142292495</v>
      </c>
      <c r="CV308" s="217">
        <f t="shared" si="822"/>
        <v>4.2539525691699609</v>
      </c>
      <c r="CW308" s="217">
        <f t="shared" si="823"/>
        <v>16.399999999999999</v>
      </c>
      <c r="CX308" s="217">
        <f t="shared" si="824"/>
        <v>2.9556825396825404</v>
      </c>
      <c r="CY308" s="217">
        <f t="shared" si="825"/>
        <v>0.98522751322751356</v>
      </c>
      <c r="CZ308" s="217">
        <f t="shared" si="826"/>
        <v>2.0741631857421341</v>
      </c>
      <c r="DA308" s="197">
        <f t="shared" si="827"/>
        <v>350</v>
      </c>
      <c r="DB308" s="443">
        <f t="shared" si="828"/>
        <v>326.8624698168768</v>
      </c>
      <c r="DD308" s="217">
        <f t="shared" si="829"/>
        <v>2.7602905569007259</v>
      </c>
      <c r="DE308" s="173">
        <f t="shared" si="830"/>
        <v>1.937046004842615</v>
      </c>
      <c r="DF308" s="173">
        <f t="shared" si="831"/>
        <v>0.83398609309454497</v>
      </c>
      <c r="DG308" s="173"/>
      <c r="DH308" s="173">
        <f t="shared" si="832"/>
        <v>0.93567251461988332</v>
      </c>
      <c r="DI308" s="545">
        <f t="shared" si="833"/>
        <v>1474.8749999999995</v>
      </c>
      <c r="DJ308" s="528">
        <f t="shared" si="834"/>
        <v>0.21832358674463945</v>
      </c>
      <c r="DL308" s="173">
        <f t="shared" si="835"/>
        <v>2.8391816393024913</v>
      </c>
      <c r="DM308" s="173">
        <f t="shared" si="836"/>
        <v>2.9556825396825404</v>
      </c>
      <c r="DN308" s="173">
        <f t="shared" si="837"/>
        <v>2.4017401528512643</v>
      </c>
      <c r="DP308" s="545">
        <f t="shared" si="838"/>
        <v>920</v>
      </c>
      <c r="DQ308" s="460">
        <f t="shared" si="839"/>
        <v>326.8624698168768</v>
      </c>
      <c r="DS308">
        <f t="shared" si="840"/>
        <v>920</v>
      </c>
      <c r="DT308">
        <f t="shared" si="841"/>
        <v>326.8624698168768</v>
      </c>
      <c r="DV308" s="5">
        <f t="shared" si="870"/>
        <v>3.0593906989696471</v>
      </c>
      <c r="DW308" s="5">
        <f t="shared" si="842"/>
        <v>0.98522751322751356</v>
      </c>
      <c r="DX308" s="5">
        <f t="shared" si="843"/>
        <v>2.0741631857421337</v>
      </c>
      <c r="DY308" s="173">
        <f t="shared" si="844"/>
        <v>0.32203389830508478</v>
      </c>
      <c r="EA308" s="5">
        <f t="shared" si="871"/>
        <v>5.526886049812882</v>
      </c>
      <c r="EB308" s="5">
        <f t="shared" si="872"/>
        <v>2.832529100529102</v>
      </c>
      <c r="EC308" s="5">
        <f t="shared" si="873"/>
        <v>0.72442069783512286</v>
      </c>
      <c r="ED308" s="5"/>
      <c r="EE308" s="173">
        <f t="shared" si="874"/>
        <v>0.9683847761911375</v>
      </c>
      <c r="EF308" s="173">
        <f t="shared" si="875"/>
        <v>1.4050803121895388</v>
      </c>
      <c r="EG308" s="173">
        <f t="shared" si="876"/>
        <v>0.34471841231622824</v>
      </c>
      <c r="EH308" s="173"/>
      <c r="EI308" s="528">
        <f t="shared" si="877"/>
        <v>1.8755381495175191E-2</v>
      </c>
      <c r="EJ308" s="528">
        <f t="shared" si="878"/>
        <v>1.0259999999999998</v>
      </c>
      <c r="EK308" s="528">
        <f t="shared" si="879"/>
        <v>4.0857808727109597E-2</v>
      </c>
      <c r="EL308" s="528">
        <f t="shared" si="880"/>
        <v>9.2162468852036383E-2</v>
      </c>
      <c r="EM308">
        <f t="shared" si="881"/>
        <v>1.6199999999999999E-2</v>
      </c>
      <c r="EN308" s="460">
        <f t="shared" si="882"/>
        <v>57.057808727109595</v>
      </c>
      <c r="EP308" s="460">
        <f t="shared" si="883"/>
        <v>1193.9756590743209</v>
      </c>
      <c r="EQ308" s="173">
        <f t="shared" si="884"/>
        <v>0.64400000000000002</v>
      </c>
      <c r="ER308" s="173">
        <f t="shared" si="845"/>
        <v>0.1020625</v>
      </c>
      <c r="ES308" s="528"/>
      <c r="EU308" s="460">
        <f t="shared" si="885"/>
        <v>746.06250000000011</v>
      </c>
      <c r="EV308" s="528">
        <f t="shared" si="886"/>
        <v>2.8133072242762784E-2</v>
      </c>
      <c r="EW308" s="528">
        <f t="shared" si="887"/>
        <v>5.9227520511079546E-2</v>
      </c>
      <c r="EX308" s="528">
        <f t="shared" si="888"/>
        <v>5.9415391894910565E-4</v>
      </c>
      <c r="EY308" s="528">
        <f t="shared" si="889"/>
        <v>1.4505313328497587</v>
      </c>
      <c r="EZ308" s="528"/>
      <c r="FA308" s="625">
        <f t="shared" si="890"/>
        <v>1.4277449556093625E-2</v>
      </c>
      <c r="FB308" s="460">
        <f t="shared" si="891"/>
        <v>1552.7635290786436</v>
      </c>
      <c r="FC308" s="173">
        <f t="shared" si="892"/>
        <v>3.4928016881529649</v>
      </c>
      <c r="FD308" s="5">
        <f t="shared" si="893"/>
        <v>16.928000000000001</v>
      </c>
      <c r="FE308" s="173">
        <f t="shared" si="894"/>
        <v>0.82895864023892374</v>
      </c>
      <c r="FF308" s="5">
        <f t="shared" si="895"/>
        <v>82.895864023892372</v>
      </c>
      <c r="FG308">
        <f t="shared" si="896"/>
        <v>92</v>
      </c>
      <c r="FI308" s="562">
        <f t="shared" si="846"/>
        <v>-50</v>
      </c>
    </row>
    <row r="309" spans="5:169">
      <c r="E309" s="170">
        <v>93</v>
      </c>
      <c r="F309" s="217">
        <f t="shared" si="847"/>
        <v>0.93</v>
      </c>
      <c r="G309" s="217">
        <f t="shared" si="775"/>
        <v>0.23250000000000001</v>
      </c>
      <c r="H309" s="217">
        <f t="shared" si="776"/>
        <v>15.251999999999999</v>
      </c>
      <c r="I309" s="217">
        <f t="shared" si="777"/>
        <v>1.86</v>
      </c>
      <c r="J309" s="541">
        <f t="shared" si="778"/>
        <v>35.905425506985637</v>
      </c>
      <c r="K309" s="443">
        <f t="shared" si="779"/>
        <v>17.142057559090983</v>
      </c>
      <c r="L309" s="172">
        <f t="shared" si="780"/>
        <v>53.047483066076623</v>
      </c>
      <c r="M309" s="443"/>
      <c r="N309" s="217">
        <f t="shared" si="781"/>
        <v>0.32314553996348172</v>
      </c>
      <c r="O309" s="172">
        <f t="shared" si="782"/>
        <v>34.471724828696466</v>
      </c>
      <c r="P309" s="172">
        <f t="shared" si="783"/>
        <v>4.7165358183225381</v>
      </c>
      <c r="Q309" s="217">
        <f t="shared" si="784"/>
        <v>2.1019344407741749</v>
      </c>
      <c r="R309" s="217">
        <f t="shared" si="785"/>
        <v>4.3089656035870583</v>
      </c>
      <c r="S309" s="217">
        <f t="shared" si="786"/>
        <v>16.399999999999999</v>
      </c>
      <c r="T309" s="217">
        <f t="shared" si="787"/>
        <v>2.9496638333384197</v>
      </c>
      <c r="U309" s="217">
        <f t="shared" si="788"/>
        <v>0.9858110717327252</v>
      </c>
      <c r="V309" s="217">
        <f t="shared" si="789"/>
        <v>2.0648609933811257</v>
      </c>
      <c r="W309" s="197">
        <f t="shared" si="790"/>
        <v>350</v>
      </c>
      <c r="X309" s="443">
        <f t="shared" si="848"/>
        <v>307.6286933806644</v>
      </c>
      <c r="Z309" s="217">
        <f t="shared" si="791"/>
        <v>2.7625424078746295</v>
      </c>
      <c r="AA309" s="173">
        <f t="shared" si="792"/>
        <v>1.9338698858186236</v>
      </c>
      <c r="AB309" s="173">
        <f t="shared" si="793"/>
        <v>0.83329788198052801</v>
      </c>
      <c r="AC309" s="173"/>
      <c r="AD309" s="173">
        <f t="shared" si="794"/>
        <v>0.93337686825784172</v>
      </c>
      <c r="AE309" s="545">
        <f t="shared" si="795"/>
        <v>1494.5731434332447</v>
      </c>
      <c r="AF309" s="528">
        <f t="shared" si="796"/>
        <v>0.21778793592682974</v>
      </c>
      <c r="AH309" s="173">
        <f t="shared" si="797"/>
        <v>2.8545702703859694</v>
      </c>
      <c r="AI309" s="173">
        <f t="shared" si="798"/>
        <v>2.9496638333384197</v>
      </c>
      <c r="AJ309" s="173">
        <f t="shared" si="799"/>
        <v>2.3972818518556194</v>
      </c>
      <c r="AL309" s="545">
        <f t="shared" si="800"/>
        <v>930</v>
      </c>
      <c r="AM309" s="460">
        <f t="shared" si="801"/>
        <v>307.6286933806644</v>
      </c>
      <c r="AO309">
        <f t="shared" si="802"/>
        <v>930</v>
      </c>
      <c r="AP309">
        <f t="shared" si="803"/>
        <v>307.6286933806644</v>
      </c>
      <c r="AR309" s="5">
        <f t="shared" si="774"/>
        <v>3.250672065113851</v>
      </c>
      <c r="AS309" s="5">
        <f t="shared" si="897"/>
        <v>0.9858110717327252</v>
      </c>
      <c r="AT309" s="5">
        <f t="shared" si="898"/>
        <v>2.2648609933811259</v>
      </c>
      <c r="AU309" s="173">
        <f t="shared" si="899"/>
        <v>0.30326377191733067</v>
      </c>
      <c r="BA309" s="173">
        <f t="shared" si="849"/>
        <v>0.9378257693694293</v>
      </c>
      <c r="BB309" s="173">
        <f t="shared" si="850"/>
        <v>1.4214974743352653</v>
      </c>
      <c r="BC309" s="173">
        <f t="shared" si="851"/>
        <v>0.34874615224007216</v>
      </c>
      <c r="BD309" s="173"/>
      <c r="BE309" s="528">
        <f t="shared" si="852"/>
        <v>1.7590343473867242E-2</v>
      </c>
      <c r="BF309" s="528">
        <f t="shared" si="804"/>
        <v>0.90253783937998266</v>
      </c>
      <c r="BG309" s="528">
        <f t="shared" si="805"/>
        <v>0.27613847834976923</v>
      </c>
      <c r="BH309" s="528">
        <f t="shared" si="853"/>
        <v>8.6567805157765979E-2</v>
      </c>
      <c r="BI309">
        <f t="shared" si="854"/>
        <v>1.6157441478143537E-2</v>
      </c>
      <c r="BJ309" s="460">
        <f t="shared" si="855"/>
        <v>292.29591982791277</v>
      </c>
      <c r="BK309">
        <f t="shared" si="806"/>
        <v>1.015690423946231</v>
      </c>
      <c r="BL309" s="460">
        <f t="shared" si="856"/>
        <v>1298.9919078395287</v>
      </c>
      <c r="BM309" s="173">
        <f t="shared" si="807"/>
        <v>0.57776249999999996</v>
      </c>
      <c r="BN309" s="173">
        <f t="shared" si="808"/>
        <v>0.103171875</v>
      </c>
      <c r="BQ309" s="460">
        <f t="shared" si="857"/>
        <v>680.93437499999993</v>
      </c>
      <c r="BR309" s="528">
        <f t="shared" si="858"/>
        <v>2.6385515210800861E-2</v>
      </c>
      <c r="BS309" s="528">
        <f t="shared" si="859"/>
        <v>6.0619652086246152E-2</v>
      </c>
      <c r="BT309" s="528">
        <f t="shared" si="860"/>
        <v>6.0811939351127799E-4</v>
      </c>
      <c r="BU309" s="528">
        <f t="shared" si="861"/>
        <v>1.240133429183125</v>
      </c>
      <c r="BV309" s="528"/>
      <c r="BW309" s="625">
        <f t="shared" si="862"/>
        <v>1.3382642966478342E-2</v>
      </c>
      <c r="BX309" s="460">
        <f t="shared" si="863"/>
        <v>1341.1293588401616</v>
      </c>
      <c r="BY309" s="173">
        <f t="shared" si="864"/>
        <v>3.3210556416796901</v>
      </c>
      <c r="BZ309" s="5">
        <f t="shared" si="865"/>
        <v>17.111999999999998</v>
      </c>
      <c r="CA309" s="173">
        <f t="shared" si="866"/>
        <v>0.8374665199410829</v>
      </c>
      <c r="CB309" s="5">
        <f t="shared" si="867"/>
        <v>83.746651994108291</v>
      </c>
      <c r="CC309">
        <f t="shared" si="868"/>
        <v>93</v>
      </c>
      <c r="CE309" s="562">
        <f t="shared" si="809"/>
        <v>-50</v>
      </c>
      <c r="CG309" s="173">
        <f t="shared" si="810"/>
        <v>0.66337658682574552</v>
      </c>
      <c r="CH309" s="173">
        <f t="shared" si="811"/>
        <v>0.23606406951980496</v>
      </c>
      <c r="CI309" s="170">
        <v>93</v>
      </c>
      <c r="CJ309" s="217">
        <f t="shared" si="869"/>
        <v>0.93</v>
      </c>
      <c r="CK309" s="217">
        <f t="shared" si="812"/>
        <v>0.23250000000000001</v>
      </c>
      <c r="CL309" s="217">
        <f t="shared" si="813"/>
        <v>15.251999999999999</v>
      </c>
      <c r="CM309" s="217">
        <f t="shared" si="814"/>
        <v>1.86</v>
      </c>
      <c r="CN309" s="541">
        <f t="shared" si="815"/>
        <v>36</v>
      </c>
      <c r="CO309" s="443">
        <f t="shared" si="816"/>
        <v>17.099999999999998</v>
      </c>
      <c r="CP309" s="443">
        <f t="shared" si="817"/>
        <v>53.099999999999994</v>
      </c>
      <c r="CQ309" s="443"/>
      <c r="CR309" s="217">
        <f t="shared" si="818"/>
        <v>0.31818181818181812</v>
      </c>
      <c r="CS309" s="172">
        <f t="shared" si="819"/>
        <v>34.031620553359687</v>
      </c>
      <c r="CT309" s="172">
        <f t="shared" si="820"/>
        <v>4.6563192904656319</v>
      </c>
      <c r="CU309" s="217">
        <f t="shared" si="821"/>
        <v>2.0750988142292495</v>
      </c>
      <c r="CV309" s="217">
        <f t="shared" si="822"/>
        <v>4.2539525691699609</v>
      </c>
      <c r="CW309" s="217">
        <f t="shared" si="823"/>
        <v>16.399999999999999</v>
      </c>
      <c r="CX309" s="217">
        <f t="shared" si="824"/>
        <v>2.9878095238095237</v>
      </c>
      <c r="CY309" s="217">
        <f t="shared" si="825"/>
        <v>0.99593650793650801</v>
      </c>
      <c r="CZ309" s="217">
        <f t="shared" si="826"/>
        <v>2.0967084377610696</v>
      </c>
      <c r="DA309" s="197">
        <f t="shared" si="827"/>
        <v>350</v>
      </c>
      <c r="DB309" s="443">
        <f t="shared" si="828"/>
        <v>323.34781960379223</v>
      </c>
      <c r="DD309" s="217">
        <f t="shared" si="829"/>
        <v>2.7602905569007259</v>
      </c>
      <c r="DE309" s="173">
        <f t="shared" si="830"/>
        <v>1.937046004842615</v>
      </c>
      <c r="DF309" s="173">
        <f t="shared" si="831"/>
        <v>0.83398609309454497</v>
      </c>
      <c r="DG309" s="173"/>
      <c r="DH309" s="173">
        <f t="shared" si="832"/>
        <v>0.93567251461988332</v>
      </c>
      <c r="DI309" s="545">
        <f t="shared" si="833"/>
        <v>1490.9062499999995</v>
      </c>
      <c r="DJ309" s="528">
        <f t="shared" si="834"/>
        <v>0.21832358674463945</v>
      </c>
      <c r="DL309" s="173">
        <f t="shared" si="835"/>
        <v>2.8545702703859694</v>
      </c>
      <c r="DM309" s="173">
        <f t="shared" si="836"/>
        <v>2.9878095238095237</v>
      </c>
      <c r="DN309" s="173">
        <f t="shared" si="837"/>
        <v>2.4255379188712523</v>
      </c>
      <c r="DP309" s="545">
        <f t="shared" si="838"/>
        <v>930</v>
      </c>
      <c r="DQ309" s="460">
        <f t="shared" si="839"/>
        <v>323.34781960379223</v>
      </c>
      <c r="DS309">
        <f t="shared" si="840"/>
        <v>930</v>
      </c>
      <c r="DT309">
        <f t="shared" si="841"/>
        <v>323.34781960379223</v>
      </c>
      <c r="DV309" s="5">
        <f t="shared" si="870"/>
        <v>3.0926449456975771</v>
      </c>
      <c r="DW309" s="5">
        <f t="shared" si="842"/>
        <v>0.99593650793650801</v>
      </c>
      <c r="DX309" s="5">
        <f t="shared" si="843"/>
        <v>2.0967084377610692</v>
      </c>
      <c r="DY309" s="173">
        <f t="shared" si="844"/>
        <v>0.32203389830508478</v>
      </c>
      <c r="EA309" s="5">
        <f t="shared" si="871"/>
        <v>5.6476887340301989</v>
      </c>
      <c r="EB309" s="5">
        <f t="shared" si="872"/>
        <v>2.8944404761904767</v>
      </c>
      <c r="EC309" s="5">
        <f t="shared" si="873"/>
        <v>0.74025456233175513</v>
      </c>
      <c r="ED309" s="5"/>
      <c r="EE309" s="173">
        <f t="shared" si="874"/>
        <v>0.97891069767147576</v>
      </c>
      <c r="EF309" s="173">
        <f t="shared" si="875"/>
        <v>1.4203529242785551</v>
      </c>
      <c r="EG309" s="173">
        <f t="shared" si="876"/>
        <v>0.34846535158053499</v>
      </c>
      <c r="EH309" s="173"/>
      <c r="EI309" s="528">
        <f t="shared" si="877"/>
        <v>1.9165323080313108E-2</v>
      </c>
      <c r="EJ309" s="528">
        <f t="shared" si="878"/>
        <v>1.0259999999999998</v>
      </c>
      <c r="EK309" s="528">
        <f t="shared" si="879"/>
        <v>4.0418477450474027E-2</v>
      </c>
      <c r="EL309" s="528">
        <f t="shared" si="880"/>
        <v>9.117147456330485E-2</v>
      </c>
      <c r="EM309">
        <f t="shared" si="881"/>
        <v>1.6199999999999999E-2</v>
      </c>
      <c r="EN309" s="460">
        <f t="shared" si="882"/>
        <v>56.618477450474025</v>
      </c>
      <c r="EP309" s="460">
        <f t="shared" si="883"/>
        <v>1192.9552750940918</v>
      </c>
      <c r="EQ309" s="173">
        <f t="shared" si="884"/>
        <v>0.65100000000000002</v>
      </c>
      <c r="ER309" s="173">
        <f t="shared" si="845"/>
        <v>0.103171875</v>
      </c>
      <c r="ES309" s="528"/>
      <c r="EU309" s="460">
        <f t="shared" si="885"/>
        <v>754.171875</v>
      </c>
      <c r="EV309" s="528">
        <f t="shared" si="886"/>
        <v>2.8747984620469662E-2</v>
      </c>
      <c r="EW309" s="528">
        <f t="shared" si="887"/>
        <v>6.0522072885199285E-2</v>
      </c>
      <c r="EX309" s="528">
        <f t="shared" si="888"/>
        <v>6.0714050626072935E-4</v>
      </c>
      <c r="EY309" s="528">
        <f t="shared" si="889"/>
        <v>1.4505313328497598</v>
      </c>
      <c r="EZ309" s="528"/>
      <c r="FA309" s="625">
        <f t="shared" si="890"/>
        <v>1.44326392251816E-2</v>
      </c>
      <c r="FB309" s="460">
        <f t="shared" si="891"/>
        <v>1554.8411700868712</v>
      </c>
      <c r="FC309" s="173">
        <f t="shared" si="892"/>
        <v>3.5019683201809624</v>
      </c>
      <c r="FD309" s="5">
        <f t="shared" si="893"/>
        <v>17.111999999999998</v>
      </c>
      <c r="FE309" s="173">
        <f t="shared" si="894"/>
        <v>0.83011673124807539</v>
      </c>
      <c r="FF309" s="5">
        <f t="shared" si="895"/>
        <v>83.011673124807544</v>
      </c>
      <c r="FG309">
        <f t="shared" si="896"/>
        <v>93</v>
      </c>
      <c r="FI309" s="562">
        <f t="shared" si="846"/>
        <v>-50</v>
      </c>
    </row>
    <row r="310" spans="5:169">
      <c r="E310" s="170">
        <v>94</v>
      </c>
      <c r="F310" s="217">
        <f t="shared" si="847"/>
        <v>0.94</v>
      </c>
      <c r="G310" s="217">
        <f t="shared" si="775"/>
        <v>0.23499999999999999</v>
      </c>
      <c r="H310" s="217">
        <f t="shared" si="776"/>
        <v>15.415999999999999</v>
      </c>
      <c r="I310" s="217">
        <f t="shared" si="777"/>
        <v>1.88</v>
      </c>
      <c r="J310" s="541">
        <f t="shared" si="778"/>
        <v>35.904408576953223</v>
      </c>
      <c r="K310" s="443">
        <f t="shared" si="779"/>
        <v>17.142509790909166</v>
      </c>
      <c r="L310" s="172">
        <f t="shared" si="780"/>
        <v>53.046918367862389</v>
      </c>
      <c r="M310" s="443"/>
      <c r="N310" s="217">
        <f t="shared" si="781"/>
        <v>0.32315750506055174</v>
      </c>
      <c r="O310" s="172">
        <f t="shared" si="782"/>
        <v>34.472024851631744</v>
      </c>
      <c r="P310" s="172">
        <f t="shared" si="783"/>
        <v>4.716576868456456</v>
      </c>
      <c r="Q310" s="217">
        <f t="shared" si="784"/>
        <v>2.1019527348555944</v>
      </c>
      <c r="R310" s="217">
        <f t="shared" si="785"/>
        <v>4.309003106453968</v>
      </c>
      <c r="S310" s="217">
        <f t="shared" si="786"/>
        <v>16.399999999999999</v>
      </c>
      <c r="T310" s="217">
        <f t="shared" si="787"/>
        <v>2.981354700678934</v>
      </c>
      <c r="U310" s="217">
        <f t="shared" si="788"/>
        <v>0.99643074001535625</v>
      </c>
      <c r="V310" s="217">
        <f t="shared" si="789"/>
        <v>2.0869905774893995</v>
      </c>
      <c r="W310" s="197">
        <f t="shared" si="790"/>
        <v>350</v>
      </c>
      <c r="X310" s="443">
        <f t="shared" si="848"/>
        <v>304.56036655081243</v>
      </c>
      <c r="Z310" s="217">
        <f t="shared" si="791"/>
        <v>2.7625664515244948</v>
      </c>
      <c r="AA310" s="173">
        <f t="shared" si="792"/>
        <v>1.9338356998269948</v>
      </c>
      <c r="AB310" s="173">
        <f t="shared" si="793"/>
        <v>0.83329040379261021</v>
      </c>
      <c r="AC310" s="173"/>
      <c r="AD310" s="173">
        <f t="shared" si="794"/>
        <v>0.93335224510036163</v>
      </c>
      <c r="AE310" s="545">
        <f t="shared" si="795"/>
        <v>1510.6836753238697</v>
      </c>
      <c r="AF310" s="528">
        <f t="shared" si="796"/>
        <v>0.21778219052341777</v>
      </c>
      <c r="AH310" s="173">
        <f t="shared" si="797"/>
        <v>2.8698763869181678</v>
      </c>
      <c r="AI310" s="173">
        <f t="shared" si="798"/>
        <v>2.981354700678934</v>
      </c>
      <c r="AJ310" s="173">
        <f t="shared" si="799"/>
        <v>2.4207565684041485</v>
      </c>
      <c r="AL310" s="545">
        <f t="shared" si="800"/>
        <v>940</v>
      </c>
      <c r="AM310" s="460">
        <f t="shared" si="801"/>
        <v>304.56036655081243</v>
      </c>
      <c r="AO310">
        <f t="shared" si="802"/>
        <v>940</v>
      </c>
      <c r="AP310">
        <f t="shared" si="803"/>
        <v>304.56036655081243</v>
      </c>
      <c r="AR310" s="5">
        <f t="shared" si="774"/>
        <v>3.283421317504756</v>
      </c>
      <c r="AS310" s="5">
        <f t="shared" si="897"/>
        <v>0.99643074001535625</v>
      </c>
      <c r="AT310" s="5">
        <f t="shared" si="898"/>
        <v>2.2869905774893997</v>
      </c>
      <c r="AU310" s="173">
        <f t="shared" si="899"/>
        <v>0.30347331142157419</v>
      </c>
      <c r="BA310" s="173">
        <f t="shared" si="849"/>
        <v>0.94822908625723312</v>
      </c>
      <c r="BB310" s="173">
        <f t="shared" si="850"/>
        <v>1.4365538220788079</v>
      </c>
      <c r="BC310" s="173">
        <f t="shared" si="851"/>
        <v>0.35244003382421252</v>
      </c>
      <c r="BD310" s="173"/>
      <c r="BE310" s="528">
        <f t="shared" si="852"/>
        <v>1.7982768000484546E-2</v>
      </c>
      <c r="BF310" s="528">
        <f t="shared" si="804"/>
        <v>0.90312625234887201</v>
      </c>
      <c r="BG310" s="528">
        <f t="shared" si="805"/>
        <v>0.27337649592467517</v>
      </c>
      <c r="BH310" s="528">
        <f t="shared" si="853"/>
        <v>8.5702542446338972E-2</v>
      </c>
      <c r="BI310">
        <f t="shared" si="854"/>
        <v>1.6156983859628951E-2</v>
      </c>
      <c r="BJ310" s="460">
        <f t="shared" si="855"/>
        <v>289.53347978430412</v>
      </c>
      <c r="BK310">
        <f t="shared" si="806"/>
        <v>1.0160080133623108</v>
      </c>
      <c r="BL310" s="460">
        <f t="shared" si="856"/>
        <v>1296.3450425799997</v>
      </c>
      <c r="BM310" s="173">
        <f t="shared" si="807"/>
        <v>0.58397499999999991</v>
      </c>
      <c r="BN310" s="173">
        <f t="shared" si="808"/>
        <v>0.10428124999999999</v>
      </c>
      <c r="BQ310" s="460">
        <f t="shared" si="857"/>
        <v>688.25624999999991</v>
      </c>
      <c r="BR310" s="528">
        <f t="shared" si="858"/>
        <v>2.6974152000726819E-2</v>
      </c>
      <c r="BS310" s="528">
        <f t="shared" si="859"/>
        <v>6.1910606511876937E-2</v>
      </c>
      <c r="BT310" s="528">
        <f t="shared" si="860"/>
        <v>6.2106988721006033E-4</v>
      </c>
      <c r="BU310" s="528">
        <f t="shared" si="861"/>
        <v>1.2421887497983486</v>
      </c>
      <c r="BV310" s="528"/>
      <c r="BW310" s="625">
        <f t="shared" si="862"/>
        <v>1.3535387316689525E-2</v>
      </c>
      <c r="BX310" s="460">
        <f t="shared" si="863"/>
        <v>1345.2299655148518</v>
      </c>
      <c r="BY310" s="173">
        <f t="shared" si="864"/>
        <v>3.3298312580948513</v>
      </c>
      <c r="BZ310" s="5">
        <f t="shared" si="865"/>
        <v>17.295999999999999</v>
      </c>
      <c r="CA310" s="173">
        <f t="shared" si="866"/>
        <v>0.83856014254998712</v>
      </c>
      <c r="CB310" s="5">
        <f t="shared" si="867"/>
        <v>83.856014254998712</v>
      </c>
      <c r="CC310">
        <f t="shared" si="868"/>
        <v>94</v>
      </c>
      <c r="CE310" s="562">
        <f t="shared" si="809"/>
        <v>-50</v>
      </c>
      <c r="CG310" s="173">
        <f t="shared" si="810"/>
        <v>0.66337658682574552</v>
      </c>
      <c r="CH310" s="173">
        <f t="shared" si="811"/>
        <v>0.23606406951980494</v>
      </c>
      <c r="CI310" s="170">
        <v>94</v>
      </c>
      <c r="CJ310" s="217">
        <f t="shared" si="869"/>
        <v>0.94</v>
      </c>
      <c r="CK310" s="217">
        <f t="shared" si="812"/>
        <v>0.23499999999999999</v>
      </c>
      <c r="CL310" s="217">
        <f t="shared" si="813"/>
        <v>15.415999999999999</v>
      </c>
      <c r="CM310" s="217">
        <f t="shared" si="814"/>
        <v>1.88</v>
      </c>
      <c r="CN310" s="541">
        <f t="shared" si="815"/>
        <v>36</v>
      </c>
      <c r="CO310" s="443">
        <f t="shared" si="816"/>
        <v>17.099999999999998</v>
      </c>
      <c r="CP310" s="443">
        <f t="shared" si="817"/>
        <v>53.099999999999994</v>
      </c>
      <c r="CQ310" s="443"/>
      <c r="CR310" s="217">
        <f t="shared" si="818"/>
        <v>0.31818181818181812</v>
      </c>
      <c r="CS310" s="172">
        <f t="shared" si="819"/>
        <v>34.031620553359687</v>
      </c>
      <c r="CT310" s="172">
        <f t="shared" si="820"/>
        <v>4.6563192904656319</v>
      </c>
      <c r="CU310" s="217">
        <f t="shared" si="821"/>
        <v>2.0750988142292495</v>
      </c>
      <c r="CV310" s="217">
        <f t="shared" si="822"/>
        <v>4.2539525691699609</v>
      </c>
      <c r="CW310" s="217">
        <f t="shared" si="823"/>
        <v>16.399999999999999</v>
      </c>
      <c r="CX310" s="217">
        <f t="shared" si="824"/>
        <v>3.0199365079365084</v>
      </c>
      <c r="CY310" s="217">
        <f t="shared" si="825"/>
        <v>1.0066455026455028</v>
      </c>
      <c r="CZ310" s="217">
        <f t="shared" si="826"/>
        <v>2.1192536897800061</v>
      </c>
      <c r="DA310" s="197">
        <f t="shared" si="827"/>
        <v>350</v>
      </c>
      <c r="DB310" s="443">
        <f t="shared" si="828"/>
        <v>319.90794918247525</v>
      </c>
      <c r="DD310" s="217">
        <f t="shared" si="829"/>
        <v>2.7602905569007259</v>
      </c>
      <c r="DE310" s="173">
        <f t="shared" si="830"/>
        <v>1.937046004842615</v>
      </c>
      <c r="DF310" s="173">
        <f t="shared" si="831"/>
        <v>0.83398609309454497</v>
      </c>
      <c r="DG310" s="173"/>
      <c r="DH310" s="173">
        <f t="shared" si="832"/>
        <v>0.93567251461988332</v>
      </c>
      <c r="DI310" s="545">
        <f t="shared" si="833"/>
        <v>1506.9374999999993</v>
      </c>
      <c r="DJ310" s="528">
        <f t="shared" si="834"/>
        <v>0.21832358674463945</v>
      </c>
      <c r="DL310" s="173">
        <f t="shared" si="835"/>
        <v>2.8698763869181678</v>
      </c>
      <c r="DM310" s="173">
        <f t="shared" si="836"/>
        <v>3.0199365079365084</v>
      </c>
      <c r="DN310" s="173">
        <f t="shared" si="837"/>
        <v>2.4493356848912406</v>
      </c>
      <c r="DP310" s="545">
        <f t="shared" si="838"/>
        <v>940</v>
      </c>
      <c r="DQ310" s="460">
        <f t="shared" si="839"/>
        <v>319.90794918247525</v>
      </c>
      <c r="DS310">
        <f t="shared" si="840"/>
        <v>940</v>
      </c>
      <c r="DT310">
        <f t="shared" si="841"/>
        <v>319.90794918247525</v>
      </c>
      <c r="DV310" s="5">
        <f t="shared" si="870"/>
        <v>3.1258991924255084</v>
      </c>
      <c r="DW310" s="5">
        <f t="shared" si="842"/>
        <v>1.0066455026455028</v>
      </c>
      <c r="DX310" s="5">
        <f t="shared" si="843"/>
        <v>2.1192536897800056</v>
      </c>
      <c r="DY310" s="173">
        <f t="shared" si="844"/>
        <v>0.32203389830508478</v>
      </c>
      <c r="EA310" s="5">
        <f t="shared" si="871"/>
        <v>5.7697973932120288</v>
      </c>
      <c r="EB310" s="5">
        <f t="shared" si="872"/>
        <v>2.9570211640211643</v>
      </c>
      <c r="EC310" s="5">
        <f t="shared" si="873"/>
        <v>0.75625960374186474</v>
      </c>
      <c r="ED310" s="5"/>
      <c r="EE310" s="173">
        <f t="shared" si="874"/>
        <v>0.98943661915181436</v>
      </c>
      <c r="EF310" s="173">
        <f t="shared" si="875"/>
        <v>1.4356255363675721</v>
      </c>
      <c r="EG310" s="173">
        <f t="shared" si="876"/>
        <v>0.35221229084484185</v>
      </c>
      <c r="EH310" s="173"/>
      <c r="EI310" s="528">
        <f t="shared" si="877"/>
        <v>1.9579696466371449E-2</v>
      </c>
      <c r="EJ310" s="528">
        <f t="shared" si="878"/>
        <v>1.0259999999999998</v>
      </c>
      <c r="EK310" s="528">
        <f t="shared" si="879"/>
        <v>3.9988493647809403E-2</v>
      </c>
      <c r="EL310" s="528">
        <f t="shared" si="880"/>
        <v>9.0201565259439884E-2</v>
      </c>
      <c r="EM310">
        <f t="shared" si="881"/>
        <v>1.6199999999999999E-2</v>
      </c>
      <c r="EN310" s="460">
        <f t="shared" si="882"/>
        <v>56.188493647809402</v>
      </c>
      <c r="EP310" s="460">
        <f t="shared" si="883"/>
        <v>1191.9697553736205</v>
      </c>
      <c r="EQ310" s="173">
        <f t="shared" si="884"/>
        <v>0.65799999999999992</v>
      </c>
      <c r="ER310" s="173">
        <f t="shared" si="845"/>
        <v>0.10428124999999999</v>
      </c>
      <c r="ES310" s="528"/>
      <c r="EU310" s="460">
        <f t="shared" si="885"/>
        <v>762.28124999999989</v>
      </c>
      <c r="EV310" s="528">
        <f t="shared" si="886"/>
        <v>2.9369544699557174E-2</v>
      </c>
      <c r="EW310" s="528">
        <f t="shared" si="887"/>
        <v>6.1830620420120365E-2</v>
      </c>
      <c r="EX310" s="528">
        <f t="shared" si="888"/>
        <v>6.2026748911085737E-4</v>
      </c>
      <c r="EY310" s="528">
        <f t="shared" si="889"/>
        <v>1.4505313328497604</v>
      </c>
      <c r="EZ310" s="528"/>
      <c r="FA310" s="625">
        <f t="shared" si="890"/>
        <v>1.4587828894269577E-2</v>
      </c>
      <c r="FB310" s="460">
        <f t="shared" si="891"/>
        <v>1556.9395943528184</v>
      </c>
      <c r="FC310" s="173">
        <f t="shared" si="892"/>
        <v>3.5111905997264392</v>
      </c>
      <c r="FD310" s="5">
        <f t="shared" si="893"/>
        <v>17.295999999999999</v>
      </c>
      <c r="FE310" s="173">
        <f t="shared" si="894"/>
        <v>0.83125109644679263</v>
      </c>
      <c r="FF310" s="5">
        <f t="shared" si="895"/>
        <v>83.125109644679256</v>
      </c>
      <c r="FG310">
        <f t="shared" si="896"/>
        <v>94</v>
      </c>
      <c r="FI310" s="562">
        <f t="shared" si="846"/>
        <v>-50</v>
      </c>
    </row>
    <row r="311" spans="5:169">
      <c r="E311" s="170">
        <v>95</v>
      </c>
      <c r="F311" s="217">
        <f t="shared" si="847"/>
        <v>0.95</v>
      </c>
      <c r="G311" s="217">
        <f t="shared" si="775"/>
        <v>0.23749999999999999</v>
      </c>
      <c r="H311" s="217">
        <f t="shared" si="776"/>
        <v>15.579999999999998</v>
      </c>
      <c r="I311" s="217">
        <f t="shared" si="777"/>
        <v>1.9</v>
      </c>
      <c r="J311" s="541">
        <f t="shared" si="778"/>
        <v>35.903391646920817</v>
      </c>
      <c r="K311" s="443">
        <f t="shared" si="779"/>
        <v>17.14296202272735</v>
      </c>
      <c r="L311" s="172">
        <f t="shared" si="780"/>
        <v>53.04635366964817</v>
      </c>
      <c r="M311" s="443"/>
      <c r="N311" s="217">
        <f t="shared" si="781"/>
        <v>0.32316947041236754</v>
      </c>
      <c r="O311" s="172">
        <f t="shared" si="782"/>
        <v>34.472324829440005</v>
      </c>
      <c r="P311" s="172">
        <f t="shared" si="783"/>
        <v>4.716617912415944</v>
      </c>
      <c r="Q311" s="217">
        <f t="shared" si="784"/>
        <v>2.1019710261853661</v>
      </c>
      <c r="R311" s="217">
        <f t="shared" si="785"/>
        <v>4.3090406036800006</v>
      </c>
      <c r="S311" s="217">
        <f t="shared" si="786"/>
        <v>16.399999999999999</v>
      </c>
      <c r="T311" s="217">
        <f t="shared" si="787"/>
        <v>3.0130450203336037</v>
      </c>
      <c r="U311" s="217">
        <f t="shared" si="788"/>
        <v>1.0070508268291734</v>
      </c>
      <c r="V311" s="217">
        <f t="shared" si="789"/>
        <v>2.1091186106618309</v>
      </c>
      <c r="W311" s="197">
        <f t="shared" si="790"/>
        <v>350</v>
      </c>
      <c r="X311" s="443">
        <f t="shared" si="848"/>
        <v>301.55274597687458</v>
      </c>
      <c r="Z311" s="217">
        <f t="shared" si="791"/>
        <v>2.7625904915579103</v>
      </c>
      <c r="AA311" s="173">
        <f t="shared" si="792"/>
        <v>1.9338015131075215</v>
      </c>
      <c r="AB311" s="173">
        <f t="shared" si="793"/>
        <v>0.83328292394381331</v>
      </c>
      <c r="AC311" s="173"/>
      <c r="AD311" s="173">
        <f t="shared" si="794"/>
        <v>0.93332762324200103</v>
      </c>
      <c r="AE311" s="545">
        <f t="shared" si="795"/>
        <v>1526.795055149154</v>
      </c>
      <c r="AF311" s="528">
        <f t="shared" si="796"/>
        <v>0.21777644542313357</v>
      </c>
      <c r="AH311" s="173">
        <f t="shared" si="797"/>
        <v>2.8851013021745913</v>
      </c>
      <c r="AI311" s="173">
        <f t="shared" si="798"/>
        <v>3.0130450203336037</v>
      </c>
      <c r="AJ311" s="173">
        <f t="shared" si="799"/>
        <v>2.4442308792594591</v>
      </c>
      <c r="AL311" s="545">
        <f t="shared" si="800"/>
        <v>950</v>
      </c>
      <c r="AM311" s="460">
        <f t="shared" si="801"/>
        <v>301.55274597687458</v>
      </c>
      <c r="AO311">
        <f t="shared" si="802"/>
        <v>950</v>
      </c>
      <c r="AP311">
        <f t="shared" si="803"/>
        <v>301.55274597687458</v>
      </c>
      <c r="AR311" s="5">
        <f t="shared" si="774"/>
        <v>3.3161694374910047</v>
      </c>
      <c r="AS311" s="5">
        <f t="shared" si="897"/>
        <v>1.0070508268291734</v>
      </c>
      <c r="AT311" s="5">
        <f t="shared" si="898"/>
        <v>2.3091186106618311</v>
      </c>
      <c r="AU311" s="173">
        <f t="shared" si="899"/>
        <v>0.30367894216861924</v>
      </c>
      <c r="BA311" s="173">
        <f t="shared" si="849"/>
        <v>0.95863290596419581</v>
      </c>
      <c r="BB311" s="173">
        <f t="shared" si="850"/>
        <v>1.4516093539430699</v>
      </c>
      <c r="BC311" s="173">
        <f t="shared" si="851"/>
        <v>0.35613371524284781</v>
      </c>
      <c r="BD311" s="173"/>
      <c r="BE311" s="528">
        <f t="shared" si="852"/>
        <v>1.8379540967947174E-2</v>
      </c>
      <c r="BF311" s="528">
        <f t="shared" si="804"/>
        <v>0.9037029853870111</v>
      </c>
      <c r="BG311" s="528">
        <f t="shared" si="805"/>
        <v>0.27066915852530382</v>
      </c>
      <c r="BH311" s="528">
        <f t="shared" si="853"/>
        <v>8.4854398747923707E-2</v>
      </c>
      <c r="BI311">
        <f t="shared" si="854"/>
        <v>1.6156526241114365E-2</v>
      </c>
      <c r="BJ311" s="460">
        <f t="shared" si="855"/>
        <v>286.82568476641819</v>
      </c>
      <c r="BK311">
        <f t="shared" si="806"/>
        <v>1.0163377266061302</v>
      </c>
      <c r="BL311" s="460">
        <f t="shared" si="856"/>
        <v>1293.7626098693001</v>
      </c>
      <c r="BM311" s="173">
        <f t="shared" si="807"/>
        <v>0.59018749999999986</v>
      </c>
      <c r="BN311" s="173">
        <f t="shared" si="808"/>
        <v>0.10539062499999999</v>
      </c>
      <c r="BQ311" s="460">
        <f t="shared" si="857"/>
        <v>695.57812499999977</v>
      </c>
      <c r="BR311" s="528">
        <f t="shared" si="858"/>
        <v>2.756931145192076E-2</v>
      </c>
      <c r="BS311" s="528">
        <f t="shared" si="859"/>
        <v>6.321509149365051E-2</v>
      </c>
      <c r="BT311" s="528">
        <f t="shared" si="860"/>
        <v>6.3415611566336905E-4</v>
      </c>
      <c r="BU311" s="528">
        <f t="shared" si="861"/>
        <v>1.2442059543878936</v>
      </c>
      <c r="BV311" s="528"/>
      <c r="BW311" s="625">
        <f t="shared" si="862"/>
        <v>1.3688143000054036E-2</v>
      </c>
      <c r="BX311" s="460">
        <f t="shared" si="863"/>
        <v>1349.3126564491822</v>
      </c>
      <c r="BY311" s="173">
        <f t="shared" si="864"/>
        <v>3.3386533913184824</v>
      </c>
      <c r="BZ311" s="5">
        <f t="shared" si="865"/>
        <v>17.479999999999997</v>
      </c>
      <c r="CA311" s="173">
        <f t="shared" si="866"/>
        <v>0.83963163569884292</v>
      </c>
      <c r="CB311" s="5">
        <f t="shared" si="867"/>
        <v>83.963163569884287</v>
      </c>
      <c r="CC311">
        <f t="shared" si="868"/>
        <v>95</v>
      </c>
      <c r="CE311" s="562">
        <f t="shared" si="809"/>
        <v>-50</v>
      </c>
      <c r="CG311" s="173">
        <f t="shared" si="810"/>
        <v>0.66337658682574552</v>
      </c>
      <c r="CH311" s="173">
        <f t="shared" si="811"/>
        <v>0.23606406951980494</v>
      </c>
      <c r="CI311" s="170">
        <v>95</v>
      </c>
      <c r="CJ311" s="217">
        <f t="shared" si="869"/>
        <v>0.95</v>
      </c>
      <c r="CK311" s="217">
        <f t="shared" si="812"/>
        <v>0.23749999999999999</v>
      </c>
      <c r="CL311" s="217">
        <f t="shared" si="813"/>
        <v>15.579999999999998</v>
      </c>
      <c r="CM311" s="217">
        <f t="shared" si="814"/>
        <v>1.9</v>
      </c>
      <c r="CN311" s="541">
        <f t="shared" si="815"/>
        <v>36</v>
      </c>
      <c r="CO311" s="443">
        <f t="shared" si="816"/>
        <v>17.099999999999998</v>
      </c>
      <c r="CP311" s="443">
        <f t="shared" si="817"/>
        <v>53.099999999999994</v>
      </c>
      <c r="CQ311" s="443"/>
      <c r="CR311" s="217">
        <f t="shared" si="818"/>
        <v>0.31818181818181812</v>
      </c>
      <c r="CS311" s="172">
        <f t="shared" si="819"/>
        <v>34.031620553359687</v>
      </c>
      <c r="CT311" s="172">
        <f t="shared" si="820"/>
        <v>4.6563192904656319</v>
      </c>
      <c r="CU311" s="217">
        <f t="shared" si="821"/>
        <v>2.0750988142292495</v>
      </c>
      <c r="CV311" s="217">
        <f t="shared" si="822"/>
        <v>4.2539525691699609</v>
      </c>
      <c r="CW311" s="217">
        <f t="shared" si="823"/>
        <v>16.399999999999999</v>
      </c>
      <c r="CX311" s="217">
        <f t="shared" si="824"/>
        <v>3.0520634920634917</v>
      </c>
      <c r="CY311" s="217">
        <f t="shared" si="825"/>
        <v>1.0173544973544972</v>
      </c>
      <c r="CZ311" s="217">
        <f t="shared" si="826"/>
        <v>2.141798941798942</v>
      </c>
      <c r="DA311" s="197">
        <f t="shared" si="827"/>
        <v>350</v>
      </c>
      <c r="DB311" s="443">
        <f t="shared" si="828"/>
        <v>316.54049708581761</v>
      </c>
      <c r="DD311" s="217">
        <f t="shared" si="829"/>
        <v>2.7602905569007259</v>
      </c>
      <c r="DE311" s="173">
        <f t="shared" si="830"/>
        <v>1.937046004842615</v>
      </c>
      <c r="DF311" s="173">
        <f t="shared" si="831"/>
        <v>0.83398609309454497</v>
      </c>
      <c r="DG311" s="173"/>
      <c r="DH311" s="173">
        <f t="shared" si="832"/>
        <v>0.93567251461988332</v>
      </c>
      <c r="DI311" s="545">
        <f t="shared" si="833"/>
        <v>1522.9687499999993</v>
      </c>
      <c r="DJ311" s="528">
        <f t="shared" si="834"/>
        <v>0.21832358674463945</v>
      </c>
      <c r="DL311" s="173">
        <f t="shared" si="835"/>
        <v>2.8851013021745913</v>
      </c>
      <c r="DM311" s="173">
        <f t="shared" si="836"/>
        <v>3.0520634920634917</v>
      </c>
      <c r="DN311" s="173">
        <f t="shared" si="837"/>
        <v>2.4731334509112282</v>
      </c>
      <c r="DP311" s="545">
        <f t="shared" si="838"/>
        <v>950</v>
      </c>
      <c r="DQ311" s="460">
        <f t="shared" si="839"/>
        <v>316.54049708581761</v>
      </c>
      <c r="DS311">
        <f t="shared" si="840"/>
        <v>950</v>
      </c>
      <c r="DT311">
        <f t="shared" si="841"/>
        <v>316.54049708581761</v>
      </c>
      <c r="DV311" s="5">
        <f t="shared" si="870"/>
        <v>3.1591534391534393</v>
      </c>
      <c r="DW311" s="5">
        <f t="shared" si="842"/>
        <v>1.0173544973544972</v>
      </c>
      <c r="DX311" s="5">
        <f t="shared" si="843"/>
        <v>2.141798941798942</v>
      </c>
      <c r="DY311" s="173">
        <f t="shared" si="844"/>
        <v>0.32203389830508472</v>
      </c>
      <c r="EA311" s="5">
        <f t="shared" si="871"/>
        <v>5.8932120273583681</v>
      </c>
      <c r="EB311" s="5">
        <f t="shared" si="872"/>
        <v>3.0202711640211635</v>
      </c>
      <c r="EC311" s="5">
        <f t="shared" si="873"/>
        <v>0.77243582206545158</v>
      </c>
      <c r="ED311" s="5"/>
      <c r="EE311" s="173">
        <f t="shared" si="874"/>
        <v>0.9999625406321524</v>
      </c>
      <c r="EF311" s="173">
        <f t="shared" si="875"/>
        <v>1.4508981484565884</v>
      </c>
      <c r="EG311" s="173">
        <f t="shared" si="876"/>
        <v>0.35595923010914865</v>
      </c>
      <c r="EH311" s="173"/>
      <c r="EI311" s="528">
        <f t="shared" si="877"/>
        <v>1.9998501653350181E-2</v>
      </c>
      <c r="EJ311" s="528">
        <f t="shared" si="878"/>
        <v>1.0259999999999996</v>
      </c>
      <c r="EK311" s="528">
        <f t="shared" si="879"/>
        <v>3.9567562135727194E-2</v>
      </c>
      <c r="EL311" s="528">
        <f t="shared" si="880"/>
        <v>8.9252075098814207E-2</v>
      </c>
      <c r="EM311">
        <f t="shared" si="881"/>
        <v>1.6199999999999999E-2</v>
      </c>
      <c r="EN311" s="460">
        <f t="shared" si="882"/>
        <v>55.767562135727196</v>
      </c>
      <c r="EP311" s="460">
        <f t="shared" si="883"/>
        <v>1191.0181388878912</v>
      </c>
      <c r="EQ311" s="173">
        <f t="shared" si="884"/>
        <v>0.66499999999999992</v>
      </c>
      <c r="ER311" s="173">
        <f t="shared" si="845"/>
        <v>0.10539062499999999</v>
      </c>
      <c r="ES311" s="528"/>
      <c r="EU311" s="460">
        <f t="shared" si="885"/>
        <v>770.39062499999989</v>
      </c>
      <c r="EV311" s="528">
        <f t="shared" si="886"/>
        <v>2.9997752480025269E-2</v>
      </c>
      <c r="EW311" s="528">
        <f t="shared" si="887"/>
        <v>6.3153163115842695E-2</v>
      </c>
      <c r="EX311" s="528">
        <f t="shared" si="888"/>
        <v>6.3353486749948929E-4</v>
      </c>
      <c r="EY311" s="528">
        <f t="shared" si="889"/>
        <v>1.4505313328497578</v>
      </c>
      <c r="EZ311" s="528"/>
      <c r="FA311" s="625">
        <f t="shared" si="890"/>
        <v>1.4743018563357541E-2</v>
      </c>
      <c r="FB311" s="460">
        <f t="shared" si="891"/>
        <v>1559.0588018764827</v>
      </c>
      <c r="FC311" s="173">
        <f t="shared" si="892"/>
        <v>3.520467565764374</v>
      </c>
      <c r="FD311" s="5">
        <f t="shared" si="893"/>
        <v>17.479999999999997</v>
      </c>
      <c r="FE311" s="173">
        <f t="shared" si="894"/>
        <v>0.83236241980137848</v>
      </c>
      <c r="FF311" s="5">
        <f t="shared" si="895"/>
        <v>83.236241980137848</v>
      </c>
      <c r="FG311">
        <f t="shared" si="896"/>
        <v>95</v>
      </c>
      <c r="FI311" s="562">
        <f t="shared" si="846"/>
        <v>-50</v>
      </c>
    </row>
    <row r="312" spans="5:169">
      <c r="E312" s="170">
        <v>96</v>
      </c>
      <c r="F312" s="217">
        <f t="shared" si="847"/>
        <v>0.96</v>
      </c>
      <c r="G312" s="217">
        <f t="shared" si="775"/>
        <v>0.24</v>
      </c>
      <c r="H312" s="217">
        <f t="shared" si="776"/>
        <v>15.743999999999998</v>
      </c>
      <c r="I312" s="217">
        <f t="shared" si="777"/>
        <v>1.92</v>
      </c>
      <c r="J312" s="541">
        <f t="shared" si="778"/>
        <v>35.902374716888403</v>
      </c>
      <c r="K312" s="443">
        <f t="shared" si="779"/>
        <v>17.143414254545529</v>
      </c>
      <c r="L312" s="172">
        <f t="shared" si="780"/>
        <v>53.045788971433936</v>
      </c>
      <c r="M312" s="443"/>
      <c r="N312" s="217">
        <f t="shared" si="781"/>
        <v>0.32318143601893734</v>
      </c>
      <c r="O312" s="172">
        <f>N312*J312*Isw_max*0.5*Efficiency*Pout/(Pout+Pout2)</f>
        <v>34.4726247621198</v>
      </c>
      <c r="P312" s="172">
        <f t="shared" si="783"/>
        <v>4.7166589502008067</v>
      </c>
      <c r="Q312" s="217">
        <f t="shared" si="784"/>
        <v>2.1019893147634026</v>
      </c>
      <c r="R312" s="217">
        <f t="shared" si="785"/>
        <v>4.309078095264975</v>
      </c>
      <c r="S312" s="217">
        <f t="shared" si="786"/>
        <v>16.399999999999999</v>
      </c>
      <c r="T312" s="217">
        <f t="shared" si="787"/>
        <v>3.0447347924413095</v>
      </c>
      <c r="U312" s="217">
        <f t="shared" si="788"/>
        <v>1.0176713322561606</v>
      </c>
      <c r="V312" s="217">
        <f t="shared" si="789"/>
        <v>2.131245093118372</v>
      </c>
      <c r="W312" s="197">
        <f t="shared" si="790"/>
        <v>350</v>
      </c>
      <c r="X312" s="443">
        <f t="shared" si="848"/>
        <v>298.60404769228091</v>
      </c>
      <c r="Z312" s="217">
        <f t="shared" si="791"/>
        <v>2.7626145279747578</v>
      </c>
      <c r="AA312" s="173">
        <f t="shared" si="792"/>
        <v>1.9337673256601786</v>
      </c>
      <c r="AB312" s="173">
        <f>0.5*AA312*Z312*Nps*W312/1000*(Pout/(Pout+Pout2))</f>
        <v>0.83327544243414076</v>
      </c>
      <c r="AC312" s="173"/>
      <c r="AD312" s="173">
        <f t="shared" si="794"/>
        <v>0.93330300268265676</v>
      </c>
      <c r="AE312" s="545">
        <f>MAX(10, F312/(0.5*AD312/1000000*Isw_min*Nps)/1000*Pout_total/Pout)</f>
        <v>1542.9072829090971</v>
      </c>
      <c r="AF312" s="528">
        <f t="shared" si="796"/>
        <v>0.2177707006259533</v>
      </c>
      <c r="AH312" s="173">
        <f t="shared" si="797"/>
        <v>2.9002462949598899</v>
      </c>
      <c r="AI312" s="173">
        <f>MAX(IF(F312&gt;AB312,T312,AH312),Isw_min)</f>
        <v>3.0447347924413095</v>
      </c>
      <c r="AJ312" s="173">
        <f>IF(F312&gt;AF312, (AI312-Isw_min)/1.08*0.8+1.2, AE312*0.2/350+1)</f>
        <v>2.4677047845244267</v>
      </c>
      <c r="AL312" s="545">
        <f t="shared" si="800"/>
        <v>960</v>
      </c>
      <c r="AM312" s="460">
        <f t="shared" si="801"/>
        <v>298.60404769228091</v>
      </c>
      <c r="AO312">
        <f t="shared" si="802"/>
        <v>960</v>
      </c>
      <c r="AP312">
        <f t="shared" si="803"/>
        <v>298.60404769228091</v>
      </c>
      <c r="AR312" s="5">
        <f t="shared" si="774"/>
        <v>3.3489164253745334</v>
      </c>
      <c r="AS312" s="5">
        <f t="shared" si="897"/>
        <v>1.0176713322561606</v>
      </c>
      <c r="AT312" s="5">
        <f t="shared" si="898"/>
        <v>2.3312450931183726</v>
      </c>
      <c r="AU312" s="173">
        <f t="shared" si="899"/>
        <v>0.3038807790320856</v>
      </c>
      <c r="BA312" s="173">
        <f t="shared" si="849"/>
        <v>0.96903721969592826</v>
      </c>
      <c r="BB312" s="173">
        <f t="shared" si="850"/>
        <v>1.4666640784258882</v>
      </c>
      <c r="BC312" s="173">
        <f t="shared" si="851"/>
        <v>0.35982719858081325</v>
      </c>
      <c r="BD312" s="173"/>
      <c r="BE312" s="528">
        <f t="shared" si="852"/>
        <v>1.8780662663120295E-2</v>
      </c>
      <c r="BF312" s="528">
        <f t="shared" si="804"/>
        <v>0.90426838168872159</v>
      </c>
      <c r="BG312" s="528">
        <f t="shared" si="805"/>
        <v>0.26801486030569716</v>
      </c>
      <c r="BH312" s="528">
        <f t="shared" si="853"/>
        <v>8.4022870988403622E-2</v>
      </c>
      <c r="BI312">
        <f t="shared" si="854"/>
        <v>1.615606862259978E-2</v>
      </c>
      <c r="BJ312" s="460">
        <f t="shared" si="855"/>
        <v>284.17092892829692</v>
      </c>
      <c r="BK312">
        <f t="shared" si="806"/>
        <v>1.0166794079876023</v>
      </c>
      <c r="BL312" s="460">
        <f t="shared" si="856"/>
        <v>1291.2428442685427</v>
      </c>
      <c r="BM312" s="173">
        <f t="shared" si="807"/>
        <v>0.59639999999999993</v>
      </c>
      <c r="BN312" s="173">
        <f t="shared" si="808"/>
        <v>0.1065</v>
      </c>
      <c r="BQ312" s="460">
        <f t="shared" si="857"/>
        <v>702.9</v>
      </c>
      <c r="BR312" s="528">
        <f t="shared" si="858"/>
        <v>2.8170993994680441E-2</v>
      </c>
      <c r="BS312" s="528">
        <f t="shared" si="859"/>
        <v>6.4533105568345794E-2</v>
      </c>
      <c r="BT312" s="528">
        <f t="shared" si="860"/>
        <v>6.4737806419257996E-4</v>
      </c>
      <c r="BU312" s="528">
        <f t="shared" si="861"/>
        <v>1.2461861074772795</v>
      </c>
      <c r="BV312" s="528"/>
      <c r="BW312" s="625">
        <f t="shared" si="862"/>
        <v>1.3840909683593923E-2</v>
      </c>
      <c r="BX312" s="460">
        <f t="shared" si="863"/>
        <v>1353.3784947880922</v>
      </c>
      <c r="BY312" s="173">
        <f t="shared" si="864"/>
        <v>3.3475213390566352</v>
      </c>
      <c r="BZ312" s="5">
        <f t="shared" si="865"/>
        <v>17.663999999999998</v>
      </c>
      <c r="CA312" s="173">
        <f t="shared" si="866"/>
        <v>0.84068162961459647</v>
      </c>
      <c r="CB312" s="5">
        <f t="shared" si="867"/>
        <v>84.068162961459649</v>
      </c>
      <c r="CC312">
        <f t="shared" si="868"/>
        <v>96</v>
      </c>
      <c r="CE312" s="562">
        <f t="shared" si="809"/>
        <v>-50</v>
      </c>
      <c r="CG312" s="173">
        <f t="shared" si="810"/>
        <v>0.66337658682574541</v>
      </c>
      <c r="CH312" s="173">
        <f t="shared" si="811"/>
        <v>0.23606406951980491</v>
      </c>
      <c r="CI312" s="170">
        <v>96</v>
      </c>
      <c r="CJ312" s="217">
        <f t="shared" si="869"/>
        <v>0.96</v>
      </c>
      <c r="CK312" s="217">
        <f t="shared" si="812"/>
        <v>0.24</v>
      </c>
      <c r="CL312" s="217">
        <f t="shared" si="813"/>
        <v>15.743999999999998</v>
      </c>
      <c r="CM312" s="217">
        <f t="shared" si="814"/>
        <v>1.92</v>
      </c>
      <c r="CN312" s="541">
        <f t="shared" si="815"/>
        <v>36</v>
      </c>
      <c r="CO312" s="443">
        <f t="shared" si="816"/>
        <v>17.099999999999998</v>
      </c>
      <c r="CP312" s="443">
        <f t="shared" si="817"/>
        <v>53.099999999999994</v>
      </c>
      <c r="CQ312" s="443"/>
      <c r="CR312" s="217">
        <f t="shared" si="818"/>
        <v>0.31818181818181812</v>
      </c>
      <c r="CS312" s="172">
        <f t="shared" si="819"/>
        <v>34.031620553359687</v>
      </c>
      <c r="CT312" s="172">
        <f t="shared" si="820"/>
        <v>4.6563192904656319</v>
      </c>
      <c r="CU312" s="217">
        <f t="shared" si="821"/>
        <v>2.0750988142292495</v>
      </c>
      <c r="CV312" s="217">
        <f t="shared" si="822"/>
        <v>4.2539525691699609</v>
      </c>
      <c r="CW312" s="217">
        <f t="shared" si="823"/>
        <v>16.399999999999999</v>
      </c>
      <c r="CX312" s="217">
        <f t="shared" si="824"/>
        <v>3.0841904761904764</v>
      </c>
      <c r="CY312" s="217">
        <f t="shared" si="825"/>
        <v>1.0280634920634921</v>
      </c>
      <c r="CZ312" s="217">
        <f t="shared" si="826"/>
        <v>2.1643441938178789</v>
      </c>
      <c r="DA312" s="197">
        <f t="shared" si="827"/>
        <v>350</v>
      </c>
      <c r="DB312" s="443">
        <f t="shared" si="828"/>
        <v>313.24320024117361</v>
      </c>
      <c r="DD312" s="217">
        <f t="shared" si="829"/>
        <v>2.7602905569007259</v>
      </c>
      <c r="DE312" s="173">
        <f t="shared" si="830"/>
        <v>1.937046004842615</v>
      </c>
      <c r="DF312" s="173">
        <f t="shared" si="831"/>
        <v>0.83398609309454497</v>
      </c>
      <c r="DG312" s="173"/>
      <c r="DH312" s="173">
        <f t="shared" si="832"/>
        <v>0.93567251461988332</v>
      </c>
      <c r="DI312" s="545">
        <f t="shared" si="833"/>
        <v>1538.9999999999993</v>
      </c>
      <c r="DJ312" s="528">
        <f t="shared" si="834"/>
        <v>0.21832358674463945</v>
      </c>
      <c r="DL312" s="173">
        <f t="shared" si="835"/>
        <v>2.9002462949598899</v>
      </c>
      <c r="DM312" s="173">
        <f t="shared" si="836"/>
        <v>3.0841904761904764</v>
      </c>
      <c r="DN312" s="173">
        <f t="shared" si="837"/>
        <v>2.496931216931217</v>
      </c>
      <c r="DP312" s="545">
        <f t="shared" si="838"/>
        <v>960</v>
      </c>
      <c r="DQ312" s="460">
        <f t="shared" si="839"/>
        <v>313.24320024117361</v>
      </c>
      <c r="DS312">
        <f t="shared" si="840"/>
        <v>960</v>
      </c>
      <c r="DT312">
        <f t="shared" si="841"/>
        <v>313.24320024117361</v>
      </c>
      <c r="DV312" s="5">
        <f t="shared" si="870"/>
        <v>3.192407685881371</v>
      </c>
      <c r="DW312" s="5">
        <f t="shared" si="842"/>
        <v>1.0280634920634921</v>
      </c>
      <c r="DX312" s="5">
        <f t="shared" si="843"/>
        <v>2.1643441938178789</v>
      </c>
      <c r="DY312" s="173">
        <f t="shared" si="844"/>
        <v>0.32203389830508466</v>
      </c>
      <c r="EA312" s="5">
        <f t="shared" si="871"/>
        <v>6.0179326364692232</v>
      </c>
      <c r="EB312" s="5">
        <f t="shared" si="872"/>
        <v>3.0841904761904759</v>
      </c>
      <c r="EC312" s="5">
        <f t="shared" si="873"/>
        <v>0.78878321730251566</v>
      </c>
      <c r="ED312" s="5"/>
      <c r="EE312" s="173">
        <f t="shared" si="874"/>
        <v>1.010488462112491</v>
      </c>
      <c r="EF312" s="173">
        <f t="shared" si="875"/>
        <v>1.4661707605456054</v>
      </c>
      <c r="EG312" s="173">
        <f t="shared" si="876"/>
        <v>0.35970616937345545</v>
      </c>
      <c r="EH312" s="173"/>
      <c r="EI312" s="528">
        <f t="shared" si="877"/>
        <v>2.0421738641249344E-2</v>
      </c>
      <c r="EJ312" s="528">
        <f t="shared" si="878"/>
        <v>1.0259999999999998</v>
      </c>
      <c r="EK312" s="528">
        <f t="shared" si="879"/>
        <v>3.9155400030146698E-2</v>
      </c>
      <c r="EL312" s="528">
        <f t="shared" si="880"/>
        <v>8.8322365983201534E-2</v>
      </c>
      <c r="EM312">
        <f t="shared" si="881"/>
        <v>1.6199999999999999E-2</v>
      </c>
      <c r="EN312" s="460">
        <f t="shared" si="882"/>
        <v>55.355400030146697</v>
      </c>
      <c r="EP312" s="460">
        <f t="shared" si="883"/>
        <v>1190.0995046545972</v>
      </c>
      <c r="EQ312" s="173">
        <f t="shared" si="884"/>
        <v>0.67199999999999993</v>
      </c>
      <c r="ER312" s="173">
        <f t="shared" si="845"/>
        <v>0.1065</v>
      </c>
      <c r="ES312" s="528"/>
      <c r="EU312" s="460">
        <f t="shared" si="885"/>
        <v>778.5</v>
      </c>
      <c r="EV312" s="528">
        <f t="shared" si="886"/>
        <v>3.0632607961874014E-2</v>
      </c>
      <c r="EW312" s="528">
        <f t="shared" si="887"/>
        <v>6.4489700972366365E-2</v>
      </c>
      <c r="EX312" s="528">
        <f t="shared" si="888"/>
        <v>6.469426414266251E-4</v>
      </c>
      <c r="EY312" s="528">
        <f t="shared" si="889"/>
        <v>1.4505313328497591</v>
      </c>
      <c r="EZ312" s="528"/>
      <c r="FA312" s="625">
        <f t="shared" si="890"/>
        <v>1.4898208232445519E-2</v>
      </c>
      <c r="FB312" s="460">
        <f t="shared" si="891"/>
        <v>1561.1987926578715</v>
      </c>
      <c r="FC312" s="173">
        <f t="shared" si="892"/>
        <v>3.5297982973124689</v>
      </c>
      <c r="FD312" s="5">
        <f t="shared" si="893"/>
        <v>17.663999999999998</v>
      </c>
      <c r="FE312" s="173">
        <f t="shared" si="894"/>
        <v>0.8334513593176891</v>
      </c>
      <c r="FF312" s="5">
        <f t="shared" si="895"/>
        <v>83.345135931768908</v>
      </c>
      <c r="FG312">
        <f t="shared" si="896"/>
        <v>96</v>
      </c>
      <c r="FI312" s="562">
        <f t="shared" si="846"/>
        <v>-50</v>
      </c>
    </row>
    <row r="313" spans="5:169">
      <c r="E313" s="170">
        <v>97</v>
      </c>
      <c r="F313" s="217">
        <f>IF(PLOT_TYPE=1, E313/100*Iout_max, min_I*EXP(O313*rr/100))</f>
        <v>0.97</v>
      </c>
      <c r="G313" s="217">
        <f t="shared" si="775"/>
        <v>0.24249999999999999</v>
      </c>
      <c r="H313" s="217">
        <f t="shared" si="776"/>
        <v>15.907999999999998</v>
      </c>
      <c r="I313" s="217">
        <f t="shared" si="777"/>
        <v>1.94</v>
      </c>
      <c r="J313" s="541">
        <f t="shared" si="778"/>
        <v>35.901357786855989</v>
      </c>
      <c r="K313" s="443">
        <f t="shared" si="779"/>
        <v>17.143866486363713</v>
      </c>
      <c r="L313" s="172">
        <f t="shared" si="780"/>
        <v>53.045224273219702</v>
      </c>
      <c r="M313" s="443"/>
      <c r="N313" s="217">
        <f t="shared" si="781"/>
        <v>0.32319340188026935</v>
      </c>
      <c r="O313" s="172">
        <f>N313*J313*Isw_max*0.5*Efficiency*Pout/(Pout+Pout2)</f>
        <v>34.472924649669721</v>
      </c>
      <c r="P313" s="172">
        <f t="shared" si="783"/>
        <v>4.7166999818108479</v>
      </c>
      <c r="Q313" s="217">
        <f t="shared" si="784"/>
        <v>2.1020076005896176</v>
      </c>
      <c r="R313" s="217">
        <f t="shared" si="785"/>
        <v>4.3091155812087152</v>
      </c>
      <c r="S313" s="217">
        <f t="shared" si="786"/>
        <v>16.399999999999999</v>
      </c>
      <c r="T313" s="217">
        <f t="shared" si="787"/>
        <v>3.0764240171409249</v>
      </c>
      <c r="U313" s="217">
        <f t="shared" si="788"/>
        <v>1.0282922563783083</v>
      </c>
      <c r="V313" s="217">
        <f t="shared" si="789"/>
        <v>2.1533700250789445</v>
      </c>
      <c r="W313" s="197">
        <f t="shared" si="790"/>
        <v>350</v>
      </c>
      <c r="X313" s="443">
        <f t="shared" si="848"/>
        <v>295.71255695263335</v>
      </c>
      <c r="Z313" s="217">
        <f t="shared" si="791"/>
        <v>2.7626385607749242</v>
      </c>
      <c r="AA313" s="173">
        <f t="shared" si="792"/>
        <v>1.9337331374849447</v>
      </c>
      <c r="AB313" s="173">
        <f>0.5*AA313*Z313*Nps*W313/1000*(Pout/(Pout+Pout2))</f>
        <v>0.83326795926359853</v>
      </c>
      <c r="AC313" s="173"/>
      <c r="AD313" s="173">
        <f t="shared" si="794"/>
        <v>0.93327838342222602</v>
      </c>
      <c r="AE313" s="545">
        <f>MAX(10, F313/(0.5*AD313/1000000*Isw_min*Nps)/1000*Pout_total/Pout)</f>
        <v>1559.0203586036996</v>
      </c>
      <c r="AF313" s="528">
        <f t="shared" si="796"/>
        <v>0.21776495613185276</v>
      </c>
      <c r="AH313" s="173">
        <f t="shared" si="797"/>
        <v>2.915312610861418</v>
      </c>
      <c r="AI313" s="173">
        <f>MAX(IF(F313&gt;AB313,T313,AH313),Isw_min)</f>
        <v>3.0764240171409249</v>
      </c>
      <c r="AJ313" s="173">
        <f>IF(F313&gt;AF313, (AI313-Isw_min)/1.08*0.8+1.2, AE313*0.2/350+1)</f>
        <v>2.4911782843019195</v>
      </c>
      <c r="AL313" s="545">
        <f t="shared" si="800"/>
        <v>970</v>
      </c>
      <c r="AM313" s="460">
        <f t="shared" si="801"/>
        <v>295.71255695263335</v>
      </c>
      <c r="AO313">
        <f t="shared" si="802"/>
        <v>970</v>
      </c>
      <c r="AP313">
        <f t="shared" si="803"/>
        <v>295.71255695263335</v>
      </c>
      <c r="AR313" s="5">
        <f t="shared" si="774"/>
        <v>3.381662281457253</v>
      </c>
      <c r="AS313" s="5">
        <f t="shared" si="897"/>
        <v>1.0282922563783083</v>
      </c>
      <c r="AT313" s="5">
        <f t="shared" si="898"/>
        <v>2.3533700250789447</v>
      </c>
      <c r="AU313" s="173">
        <f t="shared" si="899"/>
        <v>0.30407893242822237</v>
      </c>
      <c r="BA313" s="173">
        <f t="shared" si="849"/>
        <v>0.97944201900436545</v>
      </c>
      <c r="BB313" s="173">
        <f t="shared" si="850"/>
        <v>1.4817180037001487</v>
      </c>
      <c r="BC313" s="173">
        <f t="shared" si="851"/>
        <v>0.3635204858432215</v>
      </c>
      <c r="BD313" s="173"/>
      <c r="BE313" s="528">
        <f t="shared" si="852"/>
        <v>1.9186133371826956E-2</v>
      </c>
      <c r="BF313" s="528">
        <f t="shared" si="804"/>
        <v>0.90482277113156639</v>
      </c>
      <c r="BG313" s="528">
        <f t="shared" si="805"/>
        <v>0.26541205773056292</v>
      </c>
      <c r="BH313" s="528">
        <f t="shared" si="853"/>
        <v>8.3207475614141851E-2</v>
      </c>
      <c r="BI313">
        <f t="shared" si="854"/>
        <v>1.6155611004085194E-2</v>
      </c>
      <c r="BJ313" s="460">
        <f t="shared" si="855"/>
        <v>281.56766873464812</v>
      </c>
      <c r="BK313">
        <f t="shared" si="806"/>
        <v>1.017032908062516</v>
      </c>
      <c r="BL313" s="460">
        <f t="shared" si="856"/>
        <v>1288.7840488521833</v>
      </c>
      <c r="BM313" s="173">
        <f t="shared" si="807"/>
        <v>0.60261249999999988</v>
      </c>
      <c r="BN313" s="173">
        <f t="shared" si="808"/>
        <v>0.10760937499999999</v>
      </c>
      <c r="BQ313" s="460">
        <f t="shared" si="857"/>
        <v>710.22187499999984</v>
      </c>
      <c r="BR313" s="528">
        <f t="shared" si="858"/>
        <v>2.8779200057740432E-2</v>
      </c>
      <c r="BS313" s="528">
        <f t="shared" si="859"/>
        <v>6.5864647274674615E-2</v>
      </c>
      <c r="BT313" s="528">
        <f t="shared" si="860"/>
        <v>6.6073571813845904E-4</v>
      </c>
      <c r="BU313" s="528">
        <f t="shared" si="861"/>
        <v>1.2481302343941518</v>
      </c>
      <c r="BV313" s="528"/>
      <c r="BW313" s="625">
        <f t="shared" si="862"/>
        <v>1.3993687047251563E-2</v>
      </c>
      <c r="BX313" s="460">
        <f t="shared" si="863"/>
        <v>1357.4285044919568</v>
      </c>
      <c r="BY313" s="173">
        <f t="shared" si="864"/>
        <v>3.3564344283441399</v>
      </c>
      <c r="BZ313" s="5">
        <f t="shared" si="865"/>
        <v>17.847999999999999</v>
      </c>
      <c r="CA313" s="173">
        <f t="shared" si="866"/>
        <v>0.84171073085271408</v>
      </c>
      <c r="CB313" s="5">
        <f t="shared" si="867"/>
        <v>84.171073085271402</v>
      </c>
      <c r="CC313">
        <f t="shared" si="868"/>
        <v>97</v>
      </c>
      <c r="CE313" s="562">
        <f t="shared" si="809"/>
        <v>-50</v>
      </c>
      <c r="CG313" s="173">
        <f t="shared" si="810"/>
        <v>0.66337658682574541</v>
      </c>
      <c r="CH313" s="173">
        <f t="shared" si="811"/>
        <v>0.23606406951980494</v>
      </c>
      <c r="CI313" s="170">
        <v>97</v>
      </c>
      <c r="CJ313" s="217">
        <f t="shared" si="869"/>
        <v>0.97</v>
      </c>
      <c r="CK313" s="217">
        <f t="shared" si="812"/>
        <v>0.24249999999999999</v>
      </c>
      <c r="CL313" s="217">
        <f t="shared" si="813"/>
        <v>15.907999999999998</v>
      </c>
      <c r="CM313" s="217">
        <f t="shared" si="814"/>
        <v>1.94</v>
      </c>
      <c r="CN313" s="541">
        <f t="shared" si="815"/>
        <v>36</v>
      </c>
      <c r="CO313" s="443">
        <f t="shared" si="816"/>
        <v>17.099999999999998</v>
      </c>
      <c r="CP313" s="443">
        <f t="shared" si="817"/>
        <v>53.099999999999994</v>
      </c>
      <c r="CQ313" s="443"/>
      <c r="CR313" s="217">
        <f t="shared" si="818"/>
        <v>0.31818181818181812</v>
      </c>
      <c r="CS313" s="172">
        <f t="shared" si="819"/>
        <v>34.031620553359687</v>
      </c>
      <c r="CT313" s="172">
        <f t="shared" si="820"/>
        <v>4.6563192904656319</v>
      </c>
      <c r="CU313" s="217">
        <f t="shared" si="821"/>
        <v>2.0750988142292495</v>
      </c>
      <c r="CV313" s="217">
        <f t="shared" si="822"/>
        <v>4.2539525691699609</v>
      </c>
      <c r="CW313" s="217">
        <f t="shared" si="823"/>
        <v>16.399999999999999</v>
      </c>
      <c r="CX313" s="217">
        <f t="shared" si="824"/>
        <v>3.1163174603174606</v>
      </c>
      <c r="CY313" s="217">
        <f t="shared" si="825"/>
        <v>1.0387724867724868</v>
      </c>
      <c r="CZ313" s="217">
        <f t="shared" si="826"/>
        <v>2.1868894458368149</v>
      </c>
      <c r="DA313" s="197">
        <f t="shared" si="827"/>
        <v>350</v>
      </c>
      <c r="DB313" s="443">
        <f t="shared" si="828"/>
        <v>310.01388889848113</v>
      </c>
      <c r="DD313" s="217">
        <f t="shared" si="829"/>
        <v>2.7602905569007259</v>
      </c>
      <c r="DE313" s="173">
        <f t="shared" si="830"/>
        <v>1.937046004842615</v>
      </c>
      <c r="DF313" s="173">
        <f t="shared" si="831"/>
        <v>0.83398609309454497</v>
      </c>
      <c r="DG313" s="173"/>
      <c r="DH313" s="173">
        <f t="shared" si="832"/>
        <v>0.93567251461988332</v>
      </c>
      <c r="DI313" s="545">
        <f t="shared" si="833"/>
        <v>1555.0312499999993</v>
      </c>
      <c r="DJ313" s="528">
        <f t="shared" si="834"/>
        <v>0.21832358674463945</v>
      </c>
      <c r="DL313" s="173">
        <f t="shared" si="835"/>
        <v>2.915312610861418</v>
      </c>
      <c r="DM313" s="173">
        <f t="shared" si="836"/>
        <v>3.1163174603174606</v>
      </c>
      <c r="DN313" s="173">
        <f t="shared" si="837"/>
        <v>2.520728982951205</v>
      </c>
      <c r="DP313" s="545">
        <f t="shared" si="838"/>
        <v>970</v>
      </c>
      <c r="DQ313" s="460">
        <f t="shared" si="839"/>
        <v>310.01388889848113</v>
      </c>
      <c r="DS313">
        <f t="shared" si="840"/>
        <v>970</v>
      </c>
      <c r="DT313">
        <f t="shared" si="841"/>
        <v>310.01388889848113</v>
      </c>
      <c r="DV313" s="5">
        <f t="shared" si="870"/>
        <v>3.2256619326093019</v>
      </c>
      <c r="DW313" s="5">
        <f t="shared" si="842"/>
        <v>1.0387724867724868</v>
      </c>
      <c r="DX313" s="5">
        <f t="shared" si="843"/>
        <v>2.1868894458368153</v>
      </c>
      <c r="DY313" s="173">
        <f t="shared" si="844"/>
        <v>0.32203389830508466</v>
      </c>
      <c r="EA313" s="5">
        <f t="shared" si="871"/>
        <v>6.1439592205445868</v>
      </c>
      <c r="EB313" s="5">
        <f t="shared" si="872"/>
        <v>3.1487791005291008</v>
      </c>
      <c r="EC313" s="5">
        <f t="shared" si="873"/>
        <v>0.80530178945305675</v>
      </c>
      <c r="ED313" s="5"/>
      <c r="EE313" s="173">
        <f t="shared" si="874"/>
        <v>1.0210143835928296</v>
      </c>
      <c r="EF313" s="173">
        <f t="shared" si="875"/>
        <v>1.4814433726346221</v>
      </c>
      <c r="EG313" s="173">
        <f t="shared" si="876"/>
        <v>0.36345310863776231</v>
      </c>
      <c r="EH313" s="173"/>
      <c r="EI313" s="528">
        <f t="shared" si="877"/>
        <v>2.0849407430068915E-2</v>
      </c>
      <c r="EJ313" s="528">
        <f t="shared" si="878"/>
        <v>1.0259999999999998</v>
      </c>
      <c r="EK313" s="528">
        <f t="shared" si="879"/>
        <v>3.8751736112310142E-2</v>
      </c>
      <c r="EL313" s="528">
        <f t="shared" si="880"/>
        <v>8.7411826127704623E-2</v>
      </c>
      <c r="EM313">
        <f t="shared" si="881"/>
        <v>1.6199999999999999E-2</v>
      </c>
      <c r="EN313" s="460">
        <f t="shared" si="882"/>
        <v>54.951736112310144</v>
      </c>
      <c r="EP313" s="460">
        <f t="shared" si="883"/>
        <v>1189.2129696700836</v>
      </c>
      <c r="EQ313" s="173">
        <f t="shared" si="884"/>
        <v>0.67899999999999994</v>
      </c>
      <c r="ER313" s="173">
        <f t="shared" si="845"/>
        <v>0.10760937499999999</v>
      </c>
      <c r="ES313" s="528"/>
      <c r="EU313" s="460">
        <f t="shared" si="885"/>
        <v>786.609375</v>
      </c>
      <c r="EV313" s="528">
        <f t="shared" si="886"/>
        <v>3.1274111145103374E-2</v>
      </c>
      <c r="EW313" s="528">
        <f t="shared" si="887"/>
        <v>6.5840233989691313E-2</v>
      </c>
      <c r="EX313" s="528">
        <f t="shared" si="888"/>
        <v>6.6049081089226524E-4</v>
      </c>
      <c r="EY313" s="528">
        <f t="shared" si="889"/>
        <v>1.4505313328497587</v>
      </c>
      <c r="EZ313" s="528"/>
      <c r="FA313" s="625">
        <f t="shared" si="890"/>
        <v>1.5053397901533493E-2</v>
      </c>
      <c r="FB313" s="460">
        <f t="shared" si="891"/>
        <v>1563.3595666969791</v>
      </c>
      <c r="FC313" s="173">
        <f t="shared" si="892"/>
        <v>3.5391819113670628</v>
      </c>
      <c r="FD313" s="5">
        <f t="shared" si="893"/>
        <v>17.847999999999999</v>
      </c>
      <c r="FE313" s="173">
        <f t="shared" si="894"/>
        <v>0.83451854825782235</v>
      </c>
      <c r="FF313" s="5">
        <f t="shared" si="895"/>
        <v>83.451854825782235</v>
      </c>
      <c r="FG313">
        <f t="shared" si="896"/>
        <v>97</v>
      </c>
      <c r="FI313" s="562">
        <f t="shared" si="846"/>
        <v>-50</v>
      </c>
    </row>
    <row r="314" spans="5:169">
      <c r="E314" s="170">
        <v>98</v>
      </c>
      <c r="F314" s="217">
        <f>IF(PLOT_TYPE=1, E314/100*Iout_max, min_I*EXP(O314*rr/100))</f>
        <v>0.98</v>
      </c>
      <c r="G314" s="217">
        <f t="shared" si="775"/>
        <v>0.245</v>
      </c>
      <c r="H314" s="217">
        <f t="shared" si="776"/>
        <v>16.071999999999999</v>
      </c>
      <c r="I314" s="217">
        <f t="shared" si="777"/>
        <v>1.96</v>
      </c>
      <c r="J314" s="541">
        <f t="shared" si="778"/>
        <v>35.900340856823576</v>
      </c>
      <c r="K314" s="443">
        <f t="shared" si="779"/>
        <v>17.144318718181896</v>
      </c>
      <c r="L314" s="172">
        <f t="shared" si="780"/>
        <v>53.044659575005468</v>
      </c>
      <c r="M314" s="443"/>
      <c r="N314" s="217">
        <f t="shared" si="781"/>
        <v>0.32320536799637156</v>
      </c>
      <c r="O314" s="172">
        <f>N314*J314*Isw_max*0.5*Efficiency*Pout/(Pout+Pout2)</f>
        <v>34.473224492088285</v>
      </c>
      <c r="P314" s="172">
        <f t="shared" si="783"/>
        <v>4.7167410072458695</v>
      </c>
      <c r="Q314" s="217">
        <f t="shared" si="784"/>
        <v>2.1020258836639201</v>
      </c>
      <c r="R314" s="217">
        <f t="shared" si="785"/>
        <v>4.3091530615110356</v>
      </c>
      <c r="S314" s="217">
        <f t="shared" si="786"/>
        <v>16.399999999999999</v>
      </c>
      <c r="T314" s="217">
        <f t="shared" si="787"/>
        <v>3.1081126945713238</v>
      </c>
      <c r="U314" s="217">
        <f t="shared" si="788"/>
        <v>1.0389135992776173</v>
      </c>
      <c r="V314" s="217">
        <f t="shared" si="789"/>
        <v>2.1754934067634477</v>
      </c>
      <c r="W314" s="197">
        <f t="shared" si="790"/>
        <v>350</v>
      </c>
      <c r="X314" s="443">
        <f t="shared" si="848"/>
        <v>292.87662491047882</v>
      </c>
      <c r="Z314" s="217">
        <f t="shared" si="791"/>
        <v>2.7626625899582944</v>
      </c>
      <c r="AA314" s="173">
        <f t="shared" si="792"/>
        <v>1.9336989485817959</v>
      </c>
      <c r="AB314" s="173">
        <f>0.5*AA314*Z314*Nps*W314/1000*(Pout/(Pout+Pout2))</f>
        <v>0.83326047443219164</v>
      </c>
      <c r="AC314" s="173"/>
      <c r="AD314" s="173">
        <f t="shared" si="794"/>
        <v>0.9332537654606059</v>
      </c>
      <c r="AE314" s="545">
        <f>MAX(10, F314/(0.5*AD314/1000000*Isw_min*Nps)/1000*Pout_total/Pout)</f>
        <v>1575.1342822329611</v>
      </c>
      <c r="AF314" s="528">
        <f t="shared" si="796"/>
        <v>0.21775921194080808</v>
      </c>
      <c r="AH314" s="173">
        <f t="shared" si="797"/>
        <v>2.9303014634447879</v>
      </c>
      <c r="AI314" s="173">
        <f>MAX(IF(F314&gt;AB314,T314,AH314),Isw_min)</f>
        <v>3.1081126945713238</v>
      </c>
      <c r="AJ314" s="173">
        <f>IF(F314&gt;AF314, (AI314-Isw_min)/1.08*0.8+1.2, AE314*0.2/350+1)</f>
        <v>2.5146513786948077</v>
      </c>
      <c r="AL314" s="545">
        <f t="shared" si="800"/>
        <v>980</v>
      </c>
      <c r="AM314" s="460">
        <f t="shared" si="801"/>
        <v>292.87662491047882</v>
      </c>
      <c r="AO314">
        <f t="shared" si="802"/>
        <v>980</v>
      </c>
      <c r="AP314">
        <f t="shared" si="803"/>
        <v>292.87662491047882</v>
      </c>
      <c r="AR314" s="5">
        <f t="shared" si="774"/>
        <v>3.4144070060410652</v>
      </c>
      <c r="AS314" s="5">
        <f t="shared" si="897"/>
        <v>1.0389135992776173</v>
      </c>
      <c r="AT314" s="5">
        <f t="shared" si="898"/>
        <v>2.3754934067634479</v>
      </c>
      <c r="AU314" s="173">
        <f t="shared" si="899"/>
        <v>0.30427350853002622</v>
      </c>
      <c r="BA314" s="173">
        <f t="shared" si="849"/>
        <v>0.9898472957709552</v>
      </c>
      <c r="BB314" s="173">
        <f t="shared" si="850"/>
        <v>1.4967711376292854</v>
      </c>
      <c r="BC314" s="173">
        <f t="shared" si="851"/>
        <v>0.36721357895926504</v>
      </c>
      <c r="BD314" s="173"/>
      <c r="BE314" s="528">
        <f t="shared" si="852"/>
        <v>1.9595953378901458E-2</v>
      </c>
      <c r="BF314" s="528">
        <f t="shared" si="804"/>
        <v>0.90536647091604405</v>
      </c>
      <c r="BG314" s="528">
        <f t="shared" si="805"/>
        <v>0.26285926658205638</v>
      </c>
      <c r="BH314" s="528">
        <f t="shared" si="853"/>
        <v>8.240774765427536E-2</v>
      </c>
      <c r="BI314">
        <f t="shared" si="854"/>
        <v>1.6155153385570609E-2</v>
      </c>
      <c r="BJ314" s="460">
        <f t="shared" si="855"/>
        <v>279.01441996762696</v>
      </c>
      <c r="BK314">
        <f t="shared" si="806"/>
        <v>1.0173980833346574</v>
      </c>
      <c r="BL314" s="460">
        <f t="shared" si="856"/>
        <v>1286.3845919168477</v>
      </c>
      <c r="BM314" s="173">
        <f t="shared" si="807"/>
        <v>0.60882499999999995</v>
      </c>
      <c r="BN314" s="173">
        <f t="shared" si="808"/>
        <v>0.10871874999999999</v>
      </c>
      <c r="BQ314" s="460">
        <f t="shared" si="857"/>
        <v>717.54374999999993</v>
      </c>
      <c r="BR314" s="528">
        <f t="shared" si="858"/>
        <v>2.9393930068352187E-2</v>
      </c>
      <c r="BS314" s="528">
        <f t="shared" si="859"/>
        <v>6.7209715153201954E-2</v>
      </c>
      <c r="BT314" s="528">
        <f t="shared" si="860"/>
        <v>6.7422906286036192E-4</v>
      </c>
      <c r="BU314" s="528">
        <f t="shared" si="861"/>
        <v>1.2500393230519675</v>
      </c>
      <c r="BV314" s="528"/>
      <c r="BW314" s="625">
        <f t="shared" si="862"/>
        <v>1.4146474783269043E-2</v>
      </c>
      <c r="BX314" s="460">
        <f t="shared" si="863"/>
        <v>1361.4636721196512</v>
      </c>
      <c r="BY314" s="173">
        <f t="shared" si="864"/>
        <v>3.365392014036499</v>
      </c>
      <c r="BZ314" s="5">
        <f t="shared" si="865"/>
        <v>18.032</v>
      </c>
      <c r="CA314" s="173">
        <f t="shared" si="866"/>
        <v>0.84271952339664424</v>
      </c>
      <c r="CB314" s="5">
        <f t="shared" si="867"/>
        <v>84.271952339664423</v>
      </c>
      <c r="CC314">
        <f t="shared" si="868"/>
        <v>98</v>
      </c>
      <c r="CE314" s="562">
        <f t="shared" si="809"/>
        <v>-50</v>
      </c>
      <c r="CG314" s="173">
        <f t="shared" si="810"/>
        <v>0.66337658682574552</v>
      </c>
      <c r="CH314" s="173">
        <f t="shared" si="811"/>
        <v>0.23606406951980494</v>
      </c>
      <c r="CI314" s="170">
        <v>98</v>
      </c>
      <c r="CJ314" s="217">
        <f t="shared" si="869"/>
        <v>0.98</v>
      </c>
      <c r="CK314" s="217">
        <f t="shared" si="812"/>
        <v>0.245</v>
      </c>
      <c r="CL314" s="217">
        <f t="shared" si="813"/>
        <v>16.071999999999999</v>
      </c>
      <c r="CM314" s="217">
        <f t="shared" si="814"/>
        <v>1.96</v>
      </c>
      <c r="CN314" s="541">
        <f t="shared" si="815"/>
        <v>36</v>
      </c>
      <c r="CO314" s="443">
        <f t="shared" si="816"/>
        <v>17.099999999999998</v>
      </c>
      <c r="CP314" s="443">
        <f t="shared" si="817"/>
        <v>53.099999999999994</v>
      </c>
      <c r="CQ314" s="443"/>
      <c r="CR314" s="217">
        <f t="shared" si="818"/>
        <v>0.31818181818181812</v>
      </c>
      <c r="CS314" s="172">
        <f t="shared" si="819"/>
        <v>34.031620553359687</v>
      </c>
      <c r="CT314" s="172">
        <f t="shared" si="820"/>
        <v>4.6563192904656319</v>
      </c>
      <c r="CU314" s="217">
        <f t="shared" si="821"/>
        <v>2.0750988142292495</v>
      </c>
      <c r="CV314" s="217">
        <f t="shared" si="822"/>
        <v>4.2539525691699609</v>
      </c>
      <c r="CW314" s="217">
        <f t="shared" si="823"/>
        <v>16.399999999999999</v>
      </c>
      <c r="CX314" s="217">
        <f t="shared" si="824"/>
        <v>3.1484444444444448</v>
      </c>
      <c r="CY314" s="217">
        <f t="shared" si="825"/>
        <v>1.0494814814814817</v>
      </c>
      <c r="CZ314" s="217">
        <f t="shared" si="826"/>
        <v>2.2094346978557509</v>
      </c>
      <c r="DA314" s="197">
        <f t="shared" si="827"/>
        <v>350</v>
      </c>
      <c r="DB314" s="443">
        <f t="shared" si="828"/>
        <v>306.85048186890486</v>
      </c>
      <c r="DD314" s="217">
        <f t="shared" si="829"/>
        <v>2.7602905569007259</v>
      </c>
      <c r="DE314" s="173">
        <f t="shared" si="830"/>
        <v>1.937046004842615</v>
      </c>
      <c r="DF314" s="173">
        <f t="shared" si="831"/>
        <v>0.83398609309454497</v>
      </c>
      <c r="DG314" s="173"/>
      <c r="DH314" s="173">
        <f t="shared" si="832"/>
        <v>0.93567251461988332</v>
      </c>
      <c r="DI314" s="545">
        <f t="shared" si="833"/>
        <v>1571.0624999999993</v>
      </c>
      <c r="DJ314" s="528">
        <f t="shared" si="834"/>
        <v>0.21832358674463945</v>
      </c>
      <c r="DL314" s="173">
        <f t="shared" si="835"/>
        <v>2.9303014634447879</v>
      </c>
      <c r="DM314" s="173">
        <f t="shared" si="836"/>
        <v>3.1484444444444448</v>
      </c>
      <c r="DN314" s="173">
        <f t="shared" si="837"/>
        <v>2.5445267489711938</v>
      </c>
      <c r="DP314" s="545">
        <f t="shared" si="838"/>
        <v>980</v>
      </c>
      <c r="DQ314" s="460">
        <f t="shared" si="839"/>
        <v>306.85048186890486</v>
      </c>
      <c r="DS314">
        <f t="shared" si="840"/>
        <v>980</v>
      </c>
      <c r="DT314">
        <f t="shared" si="841"/>
        <v>306.85048186890486</v>
      </c>
      <c r="DV314" s="5">
        <f t="shared" si="870"/>
        <v>3.2589161793372319</v>
      </c>
      <c r="DW314" s="5">
        <f t="shared" si="842"/>
        <v>1.0494814814814817</v>
      </c>
      <c r="DX314" s="5">
        <f t="shared" si="843"/>
        <v>2.20943469785575</v>
      </c>
      <c r="DY314" s="173">
        <f t="shared" si="844"/>
        <v>0.32203389830508483</v>
      </c>
      <c r="EA314" s="5">
        <f t="shared" si="871"/>
        <v>6.2712917795844643</v>
      </c>
      <c r="EB314" s="5">
        <f t="shared" si="872"/>
        <v>3.2140370370370372</v>
      </c>
      <c r="EC314" s="5">
        <f t="shared" si="873"/>
        <v>0.82199153851707418</v>
      </c>
      <c r="ED314" s="5"/>
      <c r="EE314" s="173">
        <f t="shared" si="874"/>
        <v>1.0315403050731682</v>
      </c>
      <c r="EF314" s="173">
        <f t="shared" si="875"/>
        <v>1.4967159847236389</v>
      </c>
      <c r="EG314" s="173">
        <f t="shared" si="876"/>
        <v>0.36720004790206917</v>
      </c>
      <c r="EH314" s="173"/>
      <c r="EI314" s="528">
        <f t="shared" si="877"/>
        <v>2.1281508019808899E-2</v>
      </c>
      <c r="EJ314" s="528">
        <f t="shared" si="878"/>
        <v>1.026</v>
      </c>
      <c r="EK314" s="528">
        <f t="shared" si="879"/>
        <v>3.8356310233613106E-2</v>
      </c>
      <c r="EL314" s="528">
        <f t="shared" si="880"/>
        <v>8.6519868718238274E-2</v>
      </c>
      <c r="EM314">
        <f t="shared" si="881"/>
        <v>1.6199999999999999E-2</v>
      </c>
      <c r="EN314" s="460">
        <f t="shared" si="882"/>
        <v>54.556310233613104</v>
      </c>
      <c r="EP314" s="460">
        <f t="shared" si="883"/>
        <v>1188.3576869716603</v>
      </c>
      <c r="EQ314" s="173">
        <f t="shared" si="884"/>
        <v>0.68599999999999994</v>
      </c>
      <c r="ER314" s="173">
        <f t="shared" si="845"/>
        <v>0.10871874999999999</v>
      </c>
      <c r="ES314" s="528"/>
      <c r="EU314" s="460">
        <f t="shared" si="885"/>
        <v>794.71874999999989</v>
      </c>
      <c r="EV314" s="528">
        <f t="shared" si="886"/>
        <v>3.192226202971335E-2</v>
      </c>
      <c r="EW314" s="528">
        <f t="shared" si="887"/>
        <v>6.7204762167817553E-2</v>
      </c>
      <c r="EX314" s="528">
        <f t="shared" si="888"/>
        <v>6.741793758964095E-4</v>
      </c>
      <c r="EY314" s="528">
        <f t="shared" si="889"/>
        <v>1.450531332849762</v>
      </c>
      <c r="EZ314" s="528"/>
      <c r="FA314" s="625">
        <f t="shared" si="890"/>
        <v>1.5208587570621473E-2</v>
      </c>
      <c r="FB314" s="460">
        <f t="shared" si="891"/>
        <v>1565.5411239938105</v>
      </c>
      <c r="FC314" s="173">
        <f t="shared" si="892"/>
        <v>3.5486175609654711</v>
      </c>
      <c r="FD314" s="5">
        <f t="shared" si="893"/>
        <v>18.032</v>
      </c>
      <c r="FE314" s="173">
        <f t="shared" si="894"/>
        <v>0.83556459628921231</v>
      </c>
      <c r="FF314" s="5">
        <f t="shared" si="895"/>
        <v>83.556459628921232</v>
      </c>
      <c r="FG314">
        <f t="shared" si="896"/>
        <v>98</v>
      </c>
      <c r="FI314" s="562">
        <f t="shared" si="846"/>
        <v>-50</v>
      </c>
    </row>
    <row r="315" spans="5:169">
      <c r="E315" s="170">
        <v>99</v>
      </c>
      <c r="F315" s="217">
        <f>IF(PLOT_TYPE=1, E315/100*Iout_max, min_I*EXP(O315*rr/100))</f>
        <v>0.99</v>
      </c>
      <c r="G315" s="217">
        <f t="shared" si="775"/>
        <v>0.2475</v>
      </c>
      <c r="H315" s="217">
        <f t="shared" si="776"/>
        <v>16.235999999999997</v>
      </c>
      <c r="I315" s="217">
        <f t="shared" si="777"/>
        <v>1.98</v>
      </c>
      <c r="J315" s="541">
        <f t="shared" si="778"/>
        <v>35.899323926791162</v>
      </c>
      <c r="K315" s="443">
        <f t="shared" si="779"/>
        <v>17.14477095000008</v>
      </c>
      <c r="L315" s="172">
        <f t="shared" si="780"/>
        <v>53.044094876791242</v>
      </c>
      <c r="M315" s="443"/>
      <c r="N315" s="217">
        <f t="shared" si="781"/>
        <v>0.32321733436725214</v>
      </c>
      <c r="O315" s="172">
        <f>N315*J315*Isw_max*0.5*Efficiency*Pout/(Pout+Pout2)</f>
        <v>34.473524289374069</v>
      </c>
      <c r="P315" s="172">
        <f t="shared" si="783"/>
        <v>4.7167820265056735</v>
      </c>
      <c r="Q315" s="217">
        <f t="shared" si="784"/>
        <v>2.102044163986224</v>
      </c>
      <c r="R315" s="217">
        <f t="shared" si="785"/>
        <v>4.3091905361717586</v>
      </c>
      <c r="S315" s="217">
        <f t="shared" si="786"/>
        <v>16.399999999999999</v>
      </c>
      <c r="T315" s="217">
        <f t="shared" si="787"/>
        <v>3.1398008248713722</v>
      </c>
      <c r="U315" s="217">
        <f t="shared" si="788"/>
        <v>1.0495353610360945</v>
      </c>
      <c r="V315" s="217">
        <f t="shared" si="789"/>
        <v>2.1976152383917555</v>
      </c>
      <c r="W315" s="197">
        <f t="shared" si="790"/>
        <v>350</v>
      </c>
      <c r="X315" s="443">
        <f t="shared" si="848"/>
        <v>290.09466547994089</v>
      </c>
      <c r="Z315" s="217">
        <f t="shared" si="791"/>
        <v>2.7626866155247507</v>
      </c>
      <c r="AA315" s="173">
        <f t="shared" si="792"/>
        <v>1.9336647589507081</v>
      </c>
      <c r="AB315" s="173">
        <f>0.5*AA315*Z315*Nps*W315/1000*(Pout/(Pout+Pout2))</f>
        <v>0.83325298793992342</v>
      </c>
      <c r="AC315" s="173"/>
      <c r="AD315" s="173">
        <f t="shared" si="794"/>
        <v>0.93322914879769381</v>
      </c>
      <c r="AE315" s="545">
        <f>MAX(10, F315/(0.5*AD315/1000000*Isw_min*Nps)/1000*Pout_total/Pout)</f>
        <v>1591.2490537968818</v>
      </c>
      <c r="AF315" s="528">
        <f t="shared" si="796"/>
        <v>0.21775346805279525</v>
      </c>
      <c r="AH315" s="173">
        <f t="shared" si="797"/>
        <v>2.9452140353946628</v>
      </c>
      <c r="AI315" s="173">
        <f>MAX(IF(F315&gt;AB315,T315,AH315),Isw_min)</f>
        <v>3.1398008248713722</v>
      </c>
      <c r="AJ315" s="173">
        <f>IF(F315&gt;AF315, (AI315-Isw_min)/1.08*0.8+1.2, AE315*0.2/350+1)</f>
        <v>2.5381240678059545</v>
      </c>
      <c r="AL315" s="545">
        <f t="shared" si="800"/>
        <v>990</v>
      </c>
      <c r="AM315" s="460">
        <f t="shared" si="801"/>
        <v>290.09466547994089</v>
      </c>
      <c r="AO315">
        <f t="shared" si="802"/>
        <v>990</v>
      </c>
      <c r="AP315">
        <f t="shared" si="803"/>
        <v>290.09466547994089</v>
      </c>
      <c r="AR315" s="5">
        <f t="shared" si="774"/>
        <v>3.4471505994278506</v>
      </c>
      <c r="AS315" s="5">
        <f t="shared" si="897"/>
        <v>1.0495353610360945</v>
      </c>
      <c r="AT315" s="5">
        <f t="shared" si="898"/>
        <v>2.3976152383917562</v>
      </c>
      <c r="AU315" s="173">
        <f t="shared" si="899"/>
        <v>0.30446460946913478</v>
      </c>
      <c r="BA315" s="173">
        <f t="shared" si="849"/>
        <v>1.000253042190812</v>
      </c>
      <c r="BB315" s="173">
        <f t="shared" si="850"/>
        <v>1.5118234877818935</v>
      </c>
      <c r="BC315" s="173">
        <f t="shared" si="851"/>
        <v>0.3709064797858016</v>
      </c>
      <c r="BD315" s="173"/>
      <c r="BE315" s="528">
        <f t="shared" si="852"/>
        <v>2.0010122968239487E-2</v>
      </c>
      <c r="BF315" s="528">
        <f t="shared" si="804"/>
        <v>0.90589978616876166</v>
      </c>
      <c r="BG315" s="528">
        <f t="shared" si="805"/>
        <v>0.26035505913746299</v>
      </c>
      <c r="BH315" s="528">
        <f t="shared" si="853"/>
        <v>8.1623239836549011E-2</v>
      </c>
      <c r="BI315">
        <f t="shared" si="854"/>
        <v>1.6154695767056023E-2</v>
      </c>
      <c r="BJ315" s="460">
        <f t="shared" si="855"/>
        <v>276.50975490451901</v>
      </c>
      <c r="BK315">
        <f t="shared" si="806"/>
        <v>1.0177747959749472</v>
      </c>
      <c r="BL315" s="460">
        <f t="shared" si="856"/>
        <v>1284.0429038780692</v>
      </c>
      <c r="BM315" s="173">
        <f t="shared" si="807"/>
        <v>0.6150374999999999</v>
      </c>
      <c r="BN315" s="173">
        <f t="shared" si="808"/>
        <v>0.109828125</v>
      </c>
      <c r="BQ315" s="460">
        <f t="shared" si="857"/>
        <v>724.8656249999998</v>
      </c>
      <c r="BR315" s="528">
        <f t="shared" si="858"/>
        <v>3.001518445235923E-2</v>
      </c>
      <c r="BS315" s="528">
        <f t="shared" si="859"/>
        <v>6.8568307746270263E-2</v>
      </c>
      <c r="BT315" s="528">
        <f t="shared" si="860"/>
        <v>6.878580837354763E-4</v>
      </c>
      <c r="BU315" s="528">
        <f t="shared" si="861"/>
        <v>1.251914325637459</v>
      </c>
      <c r="BV315" s="528"/>
      <c r="BW315" s="625">
        <f t="shared" si="862"/>
        <v>1.4299272595602893E-2</v>
      </c>
      <c r="BX315" s="460">
        <f t="shared" si="863"/>
        <v>1365.4849485154268</v>
      </c>
      <c r="BY315" s="173">
        <f t="shared" si="864"/>
        <v>3.3743934773934958</v>
      </c>
      <c r="BZ315" s="5">
        <f t="shared" si="865"/>
        <v>18.215999999999998</v>
      </c>
      <c r="CA315" s="173">
        <f t="shared" si="866"/>
        <v>0.84370856969667085</v>
      </c>
      <c r="CB315" s="5">
        <f t="shared" si="867"/>
        <v>84.370856969667088</v>
      </c>
      <c r="CC315">
        <f t="shared" si="868"/>
        <v>99</v>
      </c>
      <c r="CE315" s="562">
        <f t="shared" si="809"/>
        <v>-50</v>
      </c>
      <c r="CG315" s="173">
        <f t="shared" si="810"/>
        <v>0.66337658682574541</v>
      </c>
      <c r="CH315" s="173">
        <f t="shared" si="811"/>
        <v>0.23606406951980494</v>
      </c>
      <c r="CI315" s="170">
        <v>99</v>
      </c>
      <c r="CJ315" s="217">
        <f t="shared" si="869"/>
        <v>0.99</v>
      </c>
      <c r="CK315" s="217">
        <f t="shared" si="812"/>
        <v>0.2475</v>
      </c>
      <c r="CL315" s="217">
        <f t="shared" si="813"/>
        <v>16.235999999999997</v>
      </c>
      <c r="CM315" s="217">
        <f t="shared" si="814"/>
        <v>1.98</v>
      </c>
      <c r="CN315" s="541">
        <f t="shared" si="815"/>
        <v>36</v>
      </c>
      <c r="CO315" s="443">
        <f t="shared" si="816"/>
        <v>17.099999999999998</v>
      </c>
      <c r="CP315" s="443">
        <f t="shared" si="817"/>
        <v>53.099999999999994</v>
      </c>
      <c r="CQ315" s="443"/>
      <c r="CR315" s="217">
        <f t="shared" si="818"/>
        <v>0.31818181818181812</v>
      </c>
      <c r="CS315" s="172">
        <f t="shared" si="819"/>
        <v>34.031620553359687</v>
      </c>
      <c r="CT315" s="172">
        <f t="shared" si="820"/>
        <v>4.6563192904656319</v>
      </c>
      <c r="CU315" s="217">
        <f t="shared" si="821"/>
        <v>2.0750988142292495</v>
      </c>
      <c r="CV315" s="217">
        <f t="shared" si="822"/>
        <v>4.2539525691699609</v>
      </c>
      <c r="CW315" s="217">
        <f t="shared" si="823"/>
        <v>16.399999999999999</v>
      </c>
      <c r="CX315" s="217">
        <f t="shared" si="824"/>
        <v>3.1805714285714286</v>
      </c>
      <c r="CY315" s="217">
        <f t="shared" si="825"/>
        <v>1.0601904761904763</v>
      </c>
      <c r="CZ315" s="217">
        <f t="shared" si="826"/>
        <v>2.2319799498746873</v>
      </c>
      <c r="DA315" s="197">
        <f t="shared" si="827"/>
        <v>350</v>
      </c>
      <c r="DB315" s="443">
        <f t="shared" si="828"/>
        <v>303.75098205204716</v>
      </c>
      <c r="DD315" s="217">
        <f t="shared" si="829"/>
        <v>2.7602905569007259</v>
      </c>
      <c r="DE315" s="173">
        <f t="shared" si="830"/>
        <v>1.937046004842615</v>
      </c>
      <c r="DF315" s="173">
        <f t="shared" si="831"/>
        <v>0.83398609309454497</v>
      </c>
      <c r="DG315" s="173"/>
      <c r="DH315" s="173">
        <f t="shared" si="832"/>
        <v>0.93567251461988332</v>
      </c>
      <c r="DI315" s="545">
        <f t="shared" si="833"/>
        <v>1587.0937499999993</v>
      </c>
      <c r="DJ315" s="528">
        <f t="shared" si="834"/>
        <v>0.21832358674463945</v>
      </c>
      <c r="DL315" s="173">
        <f t="shared" si="835"/>
        <v>2.9452140353946628</v>
      </c>
      <c r="DM315" s="173">
        <f t="shared" si="836"/>
        <v>3.1805714285714286</v>
      </c>
      <c r="DN315" s="173">
        <f t="shared" si="837"/>
        <v>2.5683245149911818</v>
      </c>
      <c r="DP315" s="545">
        <f t="shared" si="838"/>
        <v>990</v>
      </c>
      <c r="DQ315" s="460">
        <f t="shared" si="839"/>
        <v>303.75098205204716</v>
      </c>
      <c r="DS315">
        <f t="shared" si="840"/>
        <v>990</v>
      </c>
      <c r="DT315">
        <f t="shared" si="841"/>
        <v>303.75098205204716</v>
      </c>
      <c r="DV315" s="5">
        <f t="shared" si="870"/>
        <v>3.2921704260651636</v>
      </c>
      <c r="DW315" s="5">
        <f t="shared" si="842"/>
        <v>1.0601904761904763</v>
      </c>
      <c r="DX315" s="5">
        <f t="shared" si="843"/>
        <v>2.2319799498746873</v>
      </c>
      <c r="DY315" s="173">
        <f t="shared" si="844"/>
        <v>0.32203389830508472</v>
      </c>
      <c r="EA315" s="5">
        <f t="shared" si="871"/>
        <v>6.3999303135888521</v>
      </c>
      <c r="EB315" s="5">
        <f t="shared" si="872"/>
        <v>3.2799642857142861</v>
      </c>
      <c r="EC315" s="5">
        <f t="shared" si="873"/>
        <v>0.83885246449456963</v>
      </c>
      <c r="ED315" s="5"/>
      <c r="EE315" s="173">
        <f t="shared" si="874"/>
        <v>1.0420662265535063</v>
      </c>
      <c r="EF315" s="173">
        <f t="shared" si="875"/>
        <v>1.5119885968126554</v>
      </c>
      <c r="EG315" s="173">
        <f t="shared" si="876"/>
        <v>0.37094698716637592</v>
      </c>
      <c r="EH315" s="173"/>
      <c r="EI315" s="528">
        <f t="shared" si="877"/>
        <v>2.1718040410469271E-2</v>
      </c>
      <c r="EJ315" s="528">
        <f t="shared" si="878"/>
        <v>1.0259999999999998</v>
      </c>
      <c r="EK315" s="528">
        <f t="shared" si="879"/>
        <v>3.7968872756505893E-2</v>
      </c>
      <c r="EL315" s="528">
        <f t="shared" si="880"/>
        <v>8.5645930650377247E-2</v>
      </c>
      <c r="EM315">
        <f t="shared" si="881"/>
        <v>1.6199999999999999E-2</v>
      </c>
      <c r="EN315" s="460">
        <f t="shared" si="882"/>
        <v>54.168872756505891</v>
      </c>
      <c r="EP315" s="460">
        <f t="shared" si="883"/>
        <v>1187.5328438173522</v>
      </c>
      <c r="EQ315" s="173">
        <f t="shared" si="884"/>
        <v>0.69299999999999995</v>
      </c>
      <c r="ER315" s="173">
        <f t="shared" si="845"/>
        <v>0.109828125</v>
      </c>
      <c r="ES315" s="528"/>
      <c r="EU315" s="460">
        <f t="shared" si="885"/>
        <v>802.828125</v>
      </c>
      <c r="EV315" s="528">
        <f t="shared" si="886"/>
        <v>3.2577060615703902E-2</v>
      </c>
      <c r="EW315" s="528">
        <f t="shared" si="887"/>
        <v>6.858328550674507E-2</v>
      </c>
      <c r="EX315" s="528">
        <f t="shared" si="888"/>
        <v>6.8800833643905732E-4</v>
      </c>
      <c r="EY315" s="528">
        <f t="shared" si="889"/>
        <v>1.4505313328497578</v>
      </c>
      <c r="EZ315" s="528"/>
      <c r="FA315" s="625">
        <f t="shared" si="890"/>
        <v>1.5363777239709437E-2</v>
      </c>
      <c r="FB315" s="460">
        <f t="shared" si="891"/>
        <v>1567.7434645483552</v>
      </c>
      <c r="FC315" s="173">
        <f t="shared" si="892"/>
        <v>3.558104433365707</v>
      </c>
      <c r="FD315" s="5">
        <f t="shared" si="893"/>
        <v>18.215999999999998</v>
      </c>
      <c r="FE315" s="173">
        <f t="shared" si="894"/>
        <v>0.83659009057045675</v>
      </c>
      <c r="FF315" s="5">
        <f t="shared" si="895"/>
        <v>83.659009057045679</v>
      </c>
      <c r="FG315">
        <f t="shared" si="896"/>
        <v>99</v>
      </c>
      <c r="FI315" s="562">
        <f t="shared" si="846"/>
        <v>-50</v>
      </c>
    </row>
    <row r="316" spans="5:169">
      <c r="E316" s="170">
        <v>100</v>
      </c>
      <c r="F316" s="217">
        <f>IF(PLOT_TYPE=1, E316/100*Iout_max, min_I*EXP(O316*rr/100))</f>
        <v>1</v>
      </c>
      <c r="G316" s="217">
        <f t="shared" si="775"/>
        <v>0.25</v>
      </c>
      <c r="H316" s="217">
        <f t="shared" si="776"/>
        <v>16.399999999999999</v>
      </c>
      <c r="I316" s="217">
        <f t="shared" si="777"/>
        <v>2</v>
      </c>
      <c r="J316" s="541">
        <f t="shared" si="778"/>
        <v>35.898306996758748</v>
      </c>
      <c r="K316" s="443">
        <f t="shared" si="779"/>
        <v>17.145223181818263</v>
      </c>
      <c r="L316" s="172">
        <f t="shared" si="780"/>
        <v>53.043530178577015</v>
      </c>
      <c r="M316" s="443"/>
      <c r="N316" s="217">
        <f t="shared" si="781"/>
        <v>0.32322930099291919</v>
      </c>
      <c r="O316" s="172">
        <f>N316*J316*Isw_max*0.5*Efficiency*Pout/(Pout+Pout2)</f>
        <v>34.473824041525631</v>
      </c>
      <c r="P316" s="172">
        <f t="shared" si="783"/>
        <v>4.7168230395900625</v>
      </c>
      <c r="Q316" s="217">
        <f t="shared" si="784"/>
        <v>2.1020624415564413</v>
      </c>
      <c r="R316" s="217">
        <f t="shared" si="785"/>
        <v>4.3092280051907039</v>
      </c>
      <c r="S316" s="217">
        <f t="shared" si="786"/>
        <v>16.399999999999999</v>
      </c>
      <c r="T316" s="217">
        <f t="shared" si="787"/>
        <v>3.1714884081799366</v>
      </c>
      <c r="U316" s="217">
        <f t="shared" si="788"/>
        <v>1.0601575417357558</v>
      </c>
      <c r="V316" s="217">
        <f t="shared" si="789"/>
        <v>2.2197355201837139</v>
      </c>
      <c r="W316" s="197">
        <f t="shared" si="790"/>
        <v>350</v>
      </c>
      <c r="X316" s="443">
        <f t="shared" si="848"/>
        <v>287.36515237868002</v>
      </c>
      <c r="Z316" s="217">
        <f t="shared" si="791"/>
        <v>2.762710637474179</v>
      </c>
      <c r="AA316" s="173">
        <f t="shared" si="792"/>
        <v>1.9336305685916593</v>
      </c>
      <c r="AB316" s="173">
        <f>0.5*AA316*Z316*Nps*W316/1000*(Pout/(Pout+Pout2))</f>
        <v>0.83324549978680007</v>
      </c>
      <c r="AC316" s="173"/>
      <c r="AD316" s="173">
        <f t="shared" si="794"/>
        <v>0.93320453343338705</v>
      </c>
      <c r="AE316" s="545">
        <f>MAX(10, F316/(0.5*AD316/1000000*Isw_min*Nps)/1000*Pout_total/Pout)</f>
        <v>1607.3646732954619</v>
      </c>
      <c r="AF316" s="528">
        <f t="shared" si="796"/>
        <v>0.21774772446779034</v>
      </c>
      <c r="AH316" s="173">
        <f>SQRT((H316+I316)/(0.5*L*Fsw_DCM))</f>
        <v>2.9600514796038193</v>
      </c>
      <c r="AI316" s="173">
        <f>MAX(IF(F316&gt;AB316,T316,AH316),Isw_min)</f>
        <v>3.1714884081799366</v>
      </c>
      <c r="AJ316" s="173">
        <f>IF(F316&gt;AF316, (AI316-Isw_min)/1.08*0.8+1.2, AE316*0.2/350+1)</f>
        <v>2.5615963517382245</v>
      </c>
      <c r="AL316" s="545">
        <f t="shared" si="800"/>
        <v>1000</v>
      </c>
      <c r="AM316" s="460">
        <f t="shared" si="801"/>
        <v>287.36515237868002</v>
      </c>
      <c r="AO316">
        <f t="shared" si="802"/>
        <v>1000</v>
      </c>
      <c r="AP316">
        <f t="shared" si="803"/>
        <v>287.36515237868002</v>
      </c>
      <c r="AR316" s="5">
        <f t="shared" si="774"/>
        <v>3.4798930619194706</v>
      </c>
      <c r="AS316" s="5">
        <f t="shared" si="897"/>
        <v>1.0601575417357558</v>
      </c>
      <c r="AT316" s="5">
        <f t="shared" si="898"/>
        <v>2.419735520183715</v>
      </c>
      <c r="AU316" s="173">
        <f t="shared" si="899"/>
        <v>0.30465233352630228</v>
      </c>
      <c r="BA316" s="173">
        <f t="shared" si="849"/>
        <v>1.0106592507577834</v>
      </c>
      <c r="BB316" s="173">
        <f t="shared" si="850"/>
        <v>1.5268750614455282</v>
      </c>
      <c r="BC316" s="173">
        <f t="shared" si="851"/>
        <v>0.37459919011073928</v>
      </c>
      <c r="BD316" s="173"/>
      <c r="BE316" s="528">
        <f>Rdson*BA316^2</f>
        <v>2.0428642422845682E-2</v>
      </c>
      <c r="BF316" s="528">
        <f t="shared" si="804"/>
        <v>0.90642301051149721</v>
      </c>
      <c r="BG316" s="528">
        <f t="shared" si="805"/>
        <v>0.25789806150650529</v>
      </c>
      <c r="BH316" s="528">
        <f t="shared" si="853"/>
        <v>8.0853521753155563E-2</v>
      </c>
      <c r="BI316">
        <f t="shared" si="854"/>
        <v>1.6154238148541437E-2</v>
      </c>
      <c r="BJ316" s="460">
        <f t="shared" si="855"/>
        <v>274.05229965504674</v>
      </c>
      <c r="BK316">
        <f t="shared" si="806"/>
        <v>1.018162913556472</v>
      </c>
      <c r="BL316" s="460">
        <f t="shared" si="856"/>
        <v>1281.7574743425453</v>
      </c>
      <c r="BM316" s="173">
        <f t="shared" si="807"/>
        <v>0.62124999999999997</v>
      </c>
      <c r="BN316" s="173">
        <f t="shared" si="808"/>
        <v>0.11093749999999999</v>
      </c>
      <c r="BQ316" s="460">
        <f t="shared" si="857"/>
        <v>732.1875</v>
      </c>
      <c r="BR316" s="528">
        <f t="shared" si="858"/>
        <v>3.0642963634268522E-2</v>
      </c>
      <c r="BS316" s="528">
        <f t="shared" si="859"/>
        <v>6.9940423597928569E-2</v>
      </c>
      <c r="BT316" s="528">
        <f t="shared" si="860"/>
        <v>7.0162276615810901E-4</v>
      </c>
      <c r="BU316" s="528">
        <f t="shared" si="861"/>
        <v>1.2537561602077572</v>
      </c>
      <c r="BV316" s="528"/>
      <c r="BW316" s="625">
        <f t="shared" si="862"/>
        <v>1.4452080199372049E-2</v>
      </c>
      <c r="BX316" s="460">
        <f t="shared" si="863"/>
        <v>1369.4932504054841</v>
      </c>
      <c r="BY316" s="173">
        <f>SUM(BE316:BI316,BM316:BP316,BR316:BW316)</f>
        <v>3.3834382247480299</v>
      </c>
      <c r="BZ316" s="5">
        <f t="shared" si="865"/>
        <v>18.399999999999999</v>
      </c>
      <c r="CA316" s="173">
        <f t="shared" si="866"/>
        <v>0.84467841165201707</v>
      </c>
      <c r="CB316" s="5">
        <f t="shared" si="867"/>
        <v>84.467841165201705</v>
      </c>
      <c r="CC316">
        <f t="shared" si="868"/>
        <v>100</v>
      </c>
      <c r="CE316" s="562">
        <f t="shared" si="809"/>
        <v>-50</v>
      </c>
      <c r="CG316" s="173">
        <f t="shared" si="810"/>
        <v>0.66337658682574552</v>
      </c>
      <c r="CH316" s="173">
        <f t="shared" si="811"/>
        <v>0.23606406951980494</v>
      </c>
      <c r="CI316" s="170">
        <v>100</v>
      </c>
      <c r="CJ316" s="217">
        <f t="shared" si="869"/>
        <v>1</v>
      </c>
      <c r="CK316" s="217">
        <f t="shared" si="812"/>
        <v>0.25</v>
      </c>
      <c r="CL316" s="217">
        <f t="shared" si="813"/>
        <v>16.399999999999999</v>
      </c>
      <c r="CM316" s="217">
        <f t="shared" si="814"/>
        <v>2</v>
      </c>
      <c r="CN316" s="541">
        <f t="shared" si="815"/>
        <v>36</v>
      </c>
      <c r="CO316" s="443">
        <f t="shared" si="816"/>
        <v>17.099999999999998</v>
      </c>
      <c r="CP316" s="443">
        <f t="shared" si="817"/>
        <v>53.099999999999994</v>
      </c>
      <c r="CQ316" s="443"/>
      <c r="CR316" s="217">
        <f t="shared" si="818"/>
        <v>0.31818181818181812</v>
      </c>
      <c r="CS316" s="172">
        <f t="shared" si="819"/>
        <v>34.031620553359687</v>
      </c>
      <c r="CT316" s="172">
        <f t="shared" si="820"/>
        <v>4.6563192904656319</v>
      </c>
      <c r="CU316" s="217">
        <f t="shared" si="821"/>
        <v>2.0750988142292495</v>
      </c>
      <c r="CV316" s="217">
        <f t="shared" si="822"/>
        <v>4.2539525691699609</v>
      </c>
      <c r="CW316" s="217">
        <f t="shared" si="823"/>
        <v>16.399999999999999</v>
      </c>
      <c r="CX316" s="217">
        <f t="shared" si="824"/>
        <v>3.2126984126984128</v>
      </c>
      <c r="CY316" s="217">
        <f t="shared" si="825"/>
        <v>1.070899470899471</v>
      </c>
      <c r="CZ316" s="217">
        <f t="shared" si="826"/>
        <v>2.2545252018936233</v>
      </c>
      <c r="DA316" s="197">
        <f t="shared" si="827"/>
        <v>350</v>
      </c>
      <c r="DB316" s="443">
        <f t="shared" si="828"/>
        <v>300.71347223152674</v>
      </c>
      <c r="DD316" s="217">
        <f t="shared" si="829"/>
        <v>2.7602905569007259</v>
      </c>
      <c r="DE316" s="173">
        <f t="shared" si="830"/>
        <v>1.937046004842615</v>
      </c>
      <c r="DF316" s="173">
        <f t="shared" si="831"/>
        <v>0.83398609309454497</v>
      </c>
      <c r="DG316" s="173"/>
      <c r="DH316" s="173">
        <f t="shared" si="832"/>
        <v>0.93567251461988332</v>
      </c>
      <c r="DI316" s="545">
        <f t="shared" si="833"/>
        <v>1603.1249999999993</v>
      </c>
      <c r="DJ316" s="528">
        <f t="shared" si="834"/>
        <v>0.21832358674463945</v>
      </c>
      <c r="DL316" s="173">
        <f t="shared" si="835"/>
        <v>2.9600514796038193</v>
      </c>
      <c r="DM316" s="173">
        <f t="shared" si="836"/>
        <v>3.2126984126984128</v>
      </c>
      <c r="DN316" s="173">
        <f t="shared" si="837"/>
        <v>2.5921222810111697</v>
      </c>
      <c r="DP316" s="545">
        <f t="shared" si="838"/>
        <v>1000</v>
      </c>
      <c r="DQ316" s="460">
        <f t="shared" si="839"/>
        <v>300.71347223152674</v>
      </c>
      <c r="DS316">
        <f t="shared" si="840"/>
        <v>1000</v>
      </c>
      <c r="DT316">
        <f t="shared" si="841"/>
        <v>300.71347223152674</v>
      </c>
      <c r="DV316" s="5">
        <f t="shared" si="870"/>
        <v>3.3254246727930941</v>
      </c>
      <c r="DW316" s="5">
        <f t="shared" si="842"/>
        <v>1.070899470899471</v>
      </c>
      <c r="DX316" s="5">
        <f t="shared" si="843"/>
        <v>2.2545252018936228</v>
      </c>
      <c r="DY316" s="173">
        <f t="shared" si="844"/>
        <v>0.32203389830508478</v>
      </c>
      <c r="EA316" s="5">
        <f t="shared" si="871"/>
        <v>6.5298748225577512</v>
      </c>
      <c r="EB316" s="5">
        <f t="shared" si="872"/>
        <v>3.346560846560847</v>
      </c>
      <c r="EC316" s="5">
        <f t="shared" si="873"/>
        <v>0.85588456738554164</v>
      </c>
      <c r="ED316" s="5"/>
      <c r="EE316" s="173">
        <f t="shared" si="874"/>
        <v>1.0525921480338449</v>
      </c>
      <c r="EF316" s="173">
        <f t="shared" si="875"/>
        <v>1.5272612089016722</v>
      </c>
      <c r="EG316" s="173">
        <f t="shared" si="876"/>
        <v>0.37469392643068283</v>
      </c>
      <c r="EH316" s="173"/>
      <c r="EI316" s="528">
        <f t="shared" si="877"/>
        <v>2.2159004602050076E-2</v>
      </c>
      <c r="EJ316" s="528">
        <f t="shared" si="878"/>
        <v>1.0259999999999998</v>
      </c>
      <c r="EK316" s="528">
        <f t="shared" si="879"/>
        <v>3.758918402894084E-2</v>
      </c>
      <c r="EL316" s="528">
        <f t="shared" si="880"/>
        <v>8.478947134387349E-2</v>
      </c>
      <c r="EM316">
        <f t="shared" si="881"/>
        <v>1.6199999999999999E-2</v>
      </c>
      <c r="EN316" s="460">
        <f t="shared" si="882"/>
        <v>53.789184028940838</v>
      </c>
      <c r="EP316" s="460">
        <f t="shared" si="883"/>
        <v>1186.7376599748643</v>
      </c>
      <c r="EQ316" s="173">
        <f t="shared" si="884"/>
        <v>0.7</v>
      </c>
      <c r="ER316" s="173">
        <f t="shared" si="845"/>
        <v>0.11093749999999999</v>
      </c>
      <c r="ES316" s="528"/>
      <c r="EU316" s="460">
        <f t="shared" si="885"/>
        <v>810.9375</v>
      </c>
      <c r="EV316" s="528">
        <f t="shared" si="886"/>
        <v>3.3238506903075109E-2</v>
      </c>
      <c r="EW316" s="528">
        <f t="shared" si="887"/>
        <v>6.9975804006473921E-2</v>
      </c>
      <c r="EX316" s="528">
        <f t="shared" si="888"/>
        <v>7.019776925202098E-4</v>
      </c>
      <c r="EY316" s="528">
        <f t="shared" si="889"/>
        <v>1.4505313328497613</v>
      </c>
      <c r="EZ316" s="528"/>
      <c r="FA316" s="625">
        <f t="shared" si="890"/>
        <v>1.5518966908797416E-2</v>
      </c>
      <c r="FB316" s="460">
        <f t="shared" si="891"/>
        <v>1569.9665883606281</v>
      </c>
      <c r="FC316" s="173">
        <f t="shared" si="892"/>
        <v>3.5676417483354919</v>
      </c>
      <c r="FD316" s="5">
        <f t="shared" si="893"/>
        <v>18.399999999999999</v>
      </c>
      <c r="FE316" s="173">
        <f t="shared" si="894"/>
        <v>0.83759559677789186</v>
      </c>
      <c r="FF316" s="5">
        <f t="shared" si="895"/>
        <v>83.759559677789184</v>
      </c>
      <c r="FG316">
        <f t="shared" si="896"/>
        <v>100</v>
      </c>
      <c r="FI316" s="562">
        <f t="shared" si="846"/>
        <v>-50</v>
      </c>
    </row>
    <row r="317" spans="5:169">
      <c r="E317" s="170"/>
      <c r="F317" s="217"/>
      <c r="G317" s="217"/>
      <c r="CI317" s="170"/>
      <c r="CJ317" s="217"/>
      <c r="CK317" s="217"/>
    </row>
    <row r="318" spans="5:169" ht="45" customHeight="1" thickBot="1">
      <c r="E318" s="241" t="s">
        <v>25</v>
      </c>
      <c r="F318" s="602" t="s">
        <v>580</v>
      </c>
      <c r="G318" s="444" t="s">
        <v>579</v>
      </c>
      <c r="H318" s="603" t="s">
        <v>581</v>
      </c>
      <c r="I318" s="604" t="s">
        <v>582</v>
      </c>
      <c r="J318" s="242" t="s">
        <v>412</v>
      </c>
      <c r="K318" s="243" t="s">
        <v>586</v>
      </c>
      <c r="L318" s="605" t="s">
        <v>413</v>
      </c>
      <c r="M318" s="606"/>
      <c r="N318" s="244" t="s">
        <v>48</v>
      </c>
      <c r="O318" s="606" t="s">
        <v>590</v>
      </c>
      <c r="P318" s="606" t="s">
        <v>606</v>
      </c>
      <c r="Q318" s="606" t="s">
        <v>583</v>
      </c>
      <c r="R318" s="606" t="s">
        <v>584</v>
      </c>
      <c r="S318" s="606" t="s">
        <v>585</v>
      </c>
      <c r="T318" s="606" t="s">
        <v>414</v>
      </c>
      <c r="U318" s="606" t="s">
        <v>466</v>
      </c>
      <c r="V318" s="606" t="s">
        <v>465</v>
      </c>
      <c r="W318" s="607" t="s">
        <v>420</v>
      </c>
      <c r="X318" s="608" t="s">
        <v>425</v>
      </c>
      <c r="Z318" s="245" t="s">
        <v>417</v>
      </c>
      <c r="AA318" s="245" t="s">
        <v>464</v>
      </c>
      <c r="AB318" s="245" t="s">
        <v>587</v>
      </c>
      <c r="AC318" s="544"/>
      <c r="AD318" s="245" t="s">
        <v>463</v>
      </c>
      <c r="AE318" s="607" t="s">
        <v>426</v>
      </c>
      <c r="AF318" s="245" t="s">
        <v>588</v>
      </c>
      <c r="AG318" s="544"/>
      <c r="AH318" s="245" t="s">
        <v>429</v>
      </c>
      <c r="AI318" s="547" t="s">
        <v>430</v>
      </c>
      <c r="AJ318" s="547" t="s">
        <v>431</v>
      </c>
      <c r="AL318" s="543" t="s">
        <v>275</v>
      </c>
      <c r="AM318" s="543" t="s">
        <v>432</v>
      </c>
      <c r="AO318" s="245" t="s">
        <v>275</v>
      </c>
      <c r="AP318" s="245" t="s">
        <v>432</v>
      </c>
      <c r="AQ318" s="548"/>
      <c r="AR318" s="245" t="s">
        <v>467</v>
      </c>
      <c r="AS318" s="245" t="s">
        <v>461</v>
      </c>
      <c r="AT318" s="245" t="s">
        <v>462</v>
      </c>
      <c r="AU318" s="245" t="s">
        <v>48</v>
      </c>
      <c r="AV318" s="544"/>
      <c r="AW318" s="245" t="s">
        <v>591</v>
      </c>
      <c r="AX318" s="245" t="s">
        <v>592</v>
      </c>
      <c r="AY318" s="245" t="s">
        <v>514</v>
      </c>
      <c r="AZ318" s="544"/>
      <c r="BA318" s="557" t="s">
        <v>456</v>
      </c>
      <c r="BB318" s="245" t="s">
        <v>599</v>
      </c>
      <c r="BC318" s="245" t="s">
        <v>598</v>
      </c>
      <c r="BD318" s="544"/>
      <c r="BE318" s="557" t="s">
        <v>474</v>
      </c>
      <c r="BF318" s="245" t="s">
        <v>475</v>
      </c>
      <c r="BG318" s="245" t="s">
        <v>473</v>
      </c>
      <c r="BH318" s="245" t="s">
        <v>469</v>
      </c>
      <c r="BI318" s="245" t="s">
        <v>478</v>
      </c>
      <c r="BJ318" s="245" t="s">
        <v>491</v>
      </c>
      <c r="BK318" s="245" t="s">
        <v>776</v>
      </c>
      <c r="BL318" s="245" t="s">
        <v>778</v>
      </c>
      <c r="BM318" s="557" t="s">
        <v>601</v>
      </c>
      <c r="BN318" s="245" t="s">
        <v>600</v>
      </c>
      <c r="BO318" s="245" t="s">
        <v>477</v>
      </c>
      <c r="BP318" s="245" t="s">
        <v>483</v>
      </c>
      <c r="BQ318" s="245" t="s">
        <v>487</v>
      </c>
      <c r="BR318" s="557" t="s">
        <v>458</v>
      </c>
      <c r="BS318" s="245" t="s">
        <v>603</v>
      </c>
      <c r="BT318" s="245" t="s">
        <v>602</v>
      </c>
      <c r="BU318" s="245" t="s">
        <v>468</v>
      </c>
      <c r="BV318" s="245" t="s">
        <v>673</v>
      </c>
      <c r="BW318" s="245" t="s">
        <v>484</v>
      </c>
      <c r="BX318" s="245" t="s">
        <v>486</v>
      </c>
      <c r="BY318" s="557" t="s">
        <v>482</v>
      </c>
      <c r="BZ318" s="245" t="s">
        <v>223</v>
      </c>
      <c r="CA318" s="245" t="s">
        <v>47</v>
      </c>
      <c r="CB318" s="245" t="s">
        <v>485</v>
      </c>
      <c r="CC318" s="245" t="s">
        <v>604</v>
      </c>
      <c r="CE318" s="569" t="s">
        <v>497</v>
      </c>
      <c r="CG318" s="782" t="s">
        <v>829</v>
      </c>
      <c r="CH318" s="783" t="s">
        <v>830</v>
      </c>
      <c r="CI318" s="241" t="s">
        <v>25</v>
      </c>
      <c r="CJ318" s="602" t="s">
        <v>580</v>
      </c>
      <c r="CK318" s="444" t="s">
        <v>579</v>
      </c>
      <c r="CL318" s="603" t="s">
        <v>581</v>
      </c>
      <c r="CM318" s="604" t="s">
        <v>582</v>
      </c>
      <c r="CN318" s="242" t="s">
        <v>412</v>
      </c>
      <c r="CO318" s="243" t="s">
        <v>586</v>
      </c>
      <c r="CP318" s="605" t="s">
        <v>413</v>
      </c>
      <c r="CQ318" s="606"/>
      <c r="CR318" s="244" t="s">
        <v>48</v>
      </c>
      <c r="CS318" s="606" t="s">
        <v>590</v>
      </c>
      <c r="CT318" s="606" t="s">
        <v>606</v>
      </c>
      <c r="CU318" s="606" t="s">
        <v>583</v>
      </c>
      <c r="CV318" s="606" t="s">
        <v>584</v>
      </c>
      <c r="CW318" s="606" t="s">
        <v>585</v>
      </c>
      <c r="CX318" s="606" t="s">
        <v>414</v>
      </c>
      <c r="CY318" s="606" t="s">
        <v>466</v>
      </c>
      <c r="CZ318" s="606" t="s">
        <v>465</v>
      </c>
      <c r="DA318" s="607" t="s">
        <v>420</v>
      </c>
      <c r="DB318" s="608" t="s">
        <v>425</v>
      </c>
      <c r="DD318" s="245" t="s">
        <v>417</v>
      </c>
      <c r="DE318" s="245" t="s">
        <v>464</v>
      </c>
      <c r="DF318" s="245" t="s">
        <v>587</v>
      </c>
      <c r="DG318" s="544"/>
      <c r="DH318" s="245" t="s">
        <v>463</v>
      </c>
      <c r="DI318" s="607" t="s">
        <v>426</v>
      </c>
      <c r="DJ318" s="245" t="s">
        <v>588</v>
      </c>
      <c r="DK318" s="544"/>
      <c r="DL318" s="245" t="s">
        <v>429</v>
      </c>
      <c r="DM318" s="547" t="s">
        <v>430</v>
      </c>
      <c r="DN318" s="547" t="s">
        <v>431</v>
      </c>
      <c r="DP318" s="543" t="s">
        <v>275</v>
      </c>
      <c r="DQ318" s="543" t="s">
        <v>432</v>
      </c>
      <c r="DS318" s="245" t="s">
        <v>275</v>
      </c>
      <c r="DT318" s="245" t="s">
        <v>432</v>
      </c>
      <c r="DU318" s="548"/>
      <c r="DV318" s="245" t="s">
        <v>467</v>
      </c>
      <c r="DW318" s="245" t="s">
        <v>461</v>
      </c>
      <c r="DX318" s="245" t="s">
        <v>462</v>
      </c>
      <c r="DY318" s="245" t="s">
        <v>48</v>
      </c>
      <c r="DZ318" s="544"/>
      <c r="EA318" s="245" t="s">
        <v>591</v>
      </c>
      <c r="EB318" s="245" t="s">
        <v>592</v>
      </c>
      <c r="EC318" s="245" t="s">
        <v>514</v>
      </c>
      <c r="ED318" s="544"/>
      <c r="EE318" s="557" t="s">
        <v>456</v>
      </c>
      <c r="EF318" s="245" t="s">
        <v>599</v>
      </c>
      <c r="EG318" s="245" t="s">
        <v>598</v>
      </c>
      <c r="EH318" s="544"/>
      <c r="EI318" s="557" t="s">
        <v>474</v>
      </c>
      <c r="EJ318" s="245" t="s">
        <v>475</v>
      </c>
      <c r="EK318" s="245" t="s">
        <v>473</v>
      </c>
      <c r="EL318" s="245" t="s">
        <v>469</v>
      </c>
      <c r="EM318" s="245" t="s">
        <v>478</v>
      </c>
      <c r="EN318" s="245" t="s">
        <v>491</v>
      </c>
      <c r="EO318" s="245" t="s">
        <v>776</v>
      </c>
      <c r="EP318" s="245" t="s">
        <v>778</v>
      </c>
      <c r="EQ318" s="557" t="s">
        <v>601</v>
      </c>
      <c r="ER318" s="245" t="s">
        <v>600</v>
      </c>
      <c r="ES318" s="245" t="s">
        <v>477</v>
      </c>
      <c r="ET318" s="245" t="s">
        <v>483</v>
      </c>
      <c r="EU318" s="245" t="s">
        <v>487</v>
      </c>
      <c r="EV318" s="557" t="s">
        <v>458</v>
      </c>
      <c r="EW318" s="245" t="s">
        <v>603</v>
      </c>
      <c r="EX318" s="245" t="s">
        <v>602</v>
      </c>
      <c r="EY318" s="245" t="s">
        <v>468</v>
      </c>
      <c r="EZ318" s="245" t="s">
        <v>673</v>
      </c>
      <c r="FA318" s="245" t="s">
        <v>484</v>
      </c>
      <c r="FB318" s="245" t="s">
        <v>486</v>
      </c>
      <c r="FC318" s="557" t="s">
        <v>482</v>
      </c>
      <c r="FD318" s="245" t="s">
        <v>223</v>
      </c>
      <c r="FE318" s="245" t="s">
        <v>47</v>
      </c>
      <c r="FF318" s="245" t="s">
        <v>485</v>
      </c>
      <c r="FG318" s="245" t="s">
        <v>604</v>
      </c>
      <c r="FI318" s="569" t="s">
        <v>497</v>
      </c>
      <c r="FL318" s="782" t="s">
        <v>876</v>
      </c>
      <c r="FM318" s="782" t="s">
        <v>875</v>
      </c>
    </row>
    <row r="320" spans="5:169">
      <c r="E320" s="76" t="s">
        <v>913</v>
      </c>
      <c r="K320" s="76"/>
      <c r="L320" s="76" t="s">
        <v>914</v>
      </c>
    </row>
    <row r="321" spans="5:20">
      <c r="F321" s="76" t="s">
        <v>915</v>
      </c>
      <c r="G321" s="76" t="s">
        <v>916</v>
      </c>
      <c r="M321" s="76" t="s">
        <v>917</v>
      </c>
      <c r="N321" s="76" t="s">
        <v>918</v>
      </c>
    </row>
    <row r="322" spans="5:20">
      <c r="F322">
        <f>'Design Converter'!E73</f>
        <v>1E-3</v>
      </c>
      <c r="G322" s="884">
        <f>F322*Vout</f>
        <v>1.6399999999999998E-2</v>
      </c>
      <c r="M322">
        <f>'Design Converter'!L73</f>
        <v>5.0000000000000001E-4</v>
      </c>
      <c r="N322" s="884">
        <f>M322*Vout2</f>
        <v>4.0000000000000001E-3</v>
      </c>
      <c r="T322">
        <f>Vout*F316+Vout2*G316</f>
        <v>18.399999999999999</v>
      </c>
    </row>
    <row r="323" spans="5:20">
      <c r="E323" t="s">
        <v>907</v>
      </c>
      <c r="L323" t="s">
        <v>907</v>
      </c>
    </row>
    <row r="324" spans="5:20">
      <c r="F324" t="s">
        <v>908</v>
      </c>
      <c r="G324" t="s">
        <v>909</v>
      </c>
      <c r="H324" t="s">
        <v>910</v>
      </c>
      <c r="I324" s="76" t="s">
        <v>660</v>
      </c>
      <c r="M324" t="s">
        <v>908</v>
      </c>
      <c r="N324" t="s">
        <v>909</v>
      </c>
      <c r="O324" t="s">
        <v>910</v>
      </c>
      <c r="P324" s="76" t="s">
        <v>660</v>
      </c>
    </row>
    <row r="325" spans="5:20">
      <c r="F325" s="885">
        <v>1.9999999999999999E-7</v>
      </c>
      <c r="G325">
        <f>VIN_max</f>
        <v>36</v>
      </c>
      <c r="H325">
        <f>15000</f>
        <v>15000</v>
      </c>
      <c r="I325">
        <f>L*0.9</f>
        <v>1.08E-5</v>
      </c>
      <c r="M325" s="885">
        <v>1.9999999999999999E-7</v>
      </c>
      <c r="N325">
        <f>VIN_max</f>
        <v>36</v>
      </c>
      <c r="O325">
        <f>15000</f>
        <v>15000</v>
      </c>
      <c r="P325">
        <f>L*0.9</f>
        <v>1.08E-5</v>
      </c>
    </row>
    <row r="326" spans="5:20">
      <c r="G326" s="76" t="s">
        <v>911</v>
      </c>
      <c r="N326" s="76" t="s">
        <v>911</v>
      </c>
    </row>
    <row r="327" spans="5:20">
      <c r="G327" s="884">
        <f>0.5*(G325/I325*F325)^2*H325*I325</f>
        <v>3.5999999999999997E-2</v>
      </c>
      <c r="N327" s="884">
        <f>0.5*(N325/P325*M325)^2*O325*P325</f>
        <v>3.5999999999999997E-2</v>
      </c>
    </row>
    <row r="328" spans="5:20">
      <c r="E328" s="76" t="s">
        <v>919</v>
      </c>
      <c r="K328" s="76"/>
      <c r="L328" s="76" t="s">
        <v>920</v>
      </c>
    </row>
    <row r="329" spans="5:20">
      <c r="G329" t="str">
        <f>IF(G322+N322&lt;G327, "Yes", IF(G322&lt;G327, "Yes", "No"))</f>
        <v>Yes</v>
      </c>
      <c r="H329">
        <f>(Vout*1.05)^2/(G327-G322)</f>
        <v>15129</v>
      </c>
      <c r="N329" t="str">
        <f>IF(G322+N322&lt;N327, "Yes", IF(N322&lt;N327, "Yes", "No"))</f>
        <v>Yes</v>
      </c>
      <c r="O329">
        <f>(Vout2*1.05)^2/(N327-N322)</f>
        <v>2205</v>
      </c>
    </row>
  </sheetData>
  <sheetProtection algorithmName="SHA-512" hashValue="UtFeTGMjuV5UCpnZm+pfUsg6mgbxGknJ7UlwZbVIwvh5M3ivI7AM0VyBK+6HHZzOE63EnWpi4CqIIbodLKpn8w==" saltValue="GY0CJtGDyMdTsyujrreLCg==" spinCount="100000" sheet="1" selectLockedCells="1" selectUnlockedCells="1"/>
  <mergeCells count="2">
    <mergeCell ref="N3:Z3"/>
    <mergeCell ref="CR3:DD3"/>
  </mergeCells>
  <phoneticPr fontId="83"/>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0000"/>
  </sheetPr>
  <dimension ref="C3:S106"/>
  <sheetViews>
    <sheetView workbookViewId="0">
      <selection activeCell="V6" sqref="V6"/>
    </sheetView>
  </sheetViews>
  <sheetFormatPr defaultRowHeight="12.5"/>
  <cols>
    <col min="3" max="3" width="7.7265625" customWidth="1"/>
    <col min="5" max="5" width="10.26953125" customWidth="1"/>
    <col min="7" max="7" width="10.7265625" customWidth="1"/>
    <col min="8" max="8" width="9.7265625" customWidth="1"/>
    <col min="9" max="9" width="9.54296875" customWidth="1"/>
    <col min="10" max="10" width="8.7265625" customWidth="1"/>
    <col min="11" max="11" width="9.81640625" customWidth="1"/>
    <col min="12" max="12" width="10.7265625" customWidth="1"/>
    <col min="13" max="13" width="15" customWidth="1"/>
    <col min="14" max="14" width="11.453125" customWidth="1"/>
    <col min="15" max="16" width="11" customWidth="1"/>
    <col min="17" max="17" width="11.1796875" customWidth="1"/>
    <col min="18" max="18" width="11.26953125" customWidth="1"/>
    <col min="19" max="19" width="5.1796875" customWidth="1"/>
  </cols>
  <sheetData>
    <row r="3" spans="3:19" ht="13" thickBot="1"/>
    <row r="4" spans="3:19" ht="13">
      <c r="C4" s="220" t="s">
        <v>421</v>
      </c>
      <c r="D4" s="221"/>
      <c r="E4" s="222"/>
      <c r="F4" s="947" t="s">
        <v>189</v>
      </c>
      <c r="G4" s="948"/>
      <c r="H4" s="947"/>
      <c r="I4" s="947"/>
      <c r="J4" s="947"/>
      <c r="K4" s="948"/>
      <c r="L4" s="948"/>
      <c r="M4" s="948"/>
      <c r="N4" s="947"/>
      <c r="O4" s="949"/>
      <c r="P4" s="533"/>
      <c r="Q4" s="533"/>
      <c r="R4" s="533"/>
      <c r="S4" s="533"/>
    </row>
    <row r="5" spans="3:19" ht="45" customHeight="1" thickBot="1">
      <c r="C5" s="241" t="s">
        <v>25</v>
      </c>
      <c r="D5" s="242" t="s">
        <v>412</v>
      </c>
      <c r="E5" s="243" t="s">
        <v>418</v>
      </c>
      <c r="F5" s="244" t="s">
        <v>48</v>
      </c>
      <c r="G5" s="527" t="s">
        <v>402</v>
      </c>
      <c r="H5" s="527" t="s">
        <v>403</v>
      </c>
      <c r="I5" s="527" t="s">
        <v>413</v>
      </c>
      <c r="J5" s="527" t="s">
        <v>414</v>
      </c>
      <c r="K5" s="527" t="s">
        <v>415</v>
      </c>
      <c r="L5" s="527" t="s">
        <v>416</v>
      </c>
      <c r="M5" s="246" t="s">
        <v>419</v>
      </c>
      <c r="N5" s="245" t="s">
        <v>420</v>
      </c>
      <c r="O5" s="245" t="s">
        <v>417</v>
      </c>
      <c r="P5" s="245" t="s">
        <v>422</v>
      </c>
      <c r="Q5" s="245" t="s">
        <v>423</v>
      </c>
      <c r="R5" s="245" t="s">
        <v>424</v>
      </c>
      <c r="S5" s="245"/>
    </row>
    <row r="6" spans="3:19">
      <c r="C6" s="170">
        <v>0.1</v>
      </c>
      <c r="D6" s="529">
        <f>VIN_min</f>
        <v>10</v>
      </c>
      <c r="E6" s="443">
        <f t="shared" ref="E6:E37" si="0">(Vout+Vfwd1)*Nps</f>
        <v>16.799999999999997</v>
      </c>
      <c r="F6" s="217">
        <f t="shared" ref="F6:F37" si="1">(Vout+Vfwd1)*Nps/((Vout+Vfwd1)*Nps+D6)</f>
        <v>0.62686567164179097</v>
      </c>
      <c r="G6" s="172">
        <f t="shared" ref="G6:G37" si="2">F6*D6*Isw_max*0.5*Efficiency</f>
        <v>20.8955223880597</v>
      </c>
      <c r="H6" s="217">
        <f t="shared" ref="H6:H37" si="3">G6/Vout</f>
        <v>1.2741172187841281</v>
      </c>
      <c r="I6" s="443">
        <f t="shared" ref="I6:I37" si="4">(Vout+Vfwd1)*Nps+D6</f>
        <v>26.799999999999997</v>
      </c>
      <c r="J6" s="172">
        <f t="shared" ref="J6:J37" si="5">MIN(2*Vout*Iout/(Efficiency*D6*F6), 1.35)</f>
        <v>1.35</v>
      </c>
      <c r="K6" s="172">
        <f t="shared" ref="K6:K37" si="6">L*J6/D6*1000000</f>
        <v>1.62</v>
      </c>
      <c r="L6" s="172">
        <f t="shared" ref="L6:L37" si="7">L*J6/((Vout+Vfwd1)*Nps)*1000000</f>
        <v>0.96428571428571441</v>
      </c>
      <c r="M6" s="443">
        <f>MIN(1/(K6+L6)*1000, 350)</f>
        <v>350</v>
      </c>
      <c r="N6" s="197">
        <f t="shared" ref="N6:N37" si="8">IF(1/((350000*L)*(1/D6+1/E6))&gt;Isw_min, 350, 0.001/((Isw_min*L)*(1/D6+1/E6)))</f>
        <v>350</v>
      </c>
      <c r="O6" s="217">
        <f t="shared" ref="O6:O37" si="9">1/((N6*1000*L)*(1/D6+1/E6))</f>
        <v>1.4925373134328355</v>
      </c>
      <c r="P6" s="173">
        <f t="shared" ref="P6:P37" si="10">L*O6/E6*1000000</f>
        <v>1.0660980810234544</v>
      </c>
      <c r="Q6" s="173">
        <f t="shared" ref="Q6:Q37" si="11">0.5*P6*O6*Nps*N6/1000</f>
        <v>0.27845845399866342</v>
      </c>
      <c r="R6" s="173">
        <f t="shared" ref="R6:R37" si="12">L*Isw_min/E6*1000000</f>
        <v>0.95238095238095266</v>
      </c>
    </row>
    <row r="7" spans="3:19">
      <c r="C7" s="170">
        <v>1</v>
      </c>
      <c r="D7" s="5">
        <f t="shared" ref="D7:D38" si="13">C7/100*(VIN_max-VIN_min)+VIN_min</f>
        <v>10.26</v>
      </c>
      <c r="E7" s="443">
        <f t="shared" si="0"/>
        <v>16.799999999999997</v>
      </c>
      <c r="F7" s="217">
        <f t="shared" si="1"/>
        <v>0.62084257206208426</v>
      </c>
      <c r="G7" s="172">
        <f t="shared" si="2"/>
        <v>21.232815964523283</v>
      </c>
      <c r="H7" s="217">
        <f t="shared" si="3"/>
        <v>1.2946839002758102</v>
      </c>
      <c r="I7" s="443">
        <f t="shared" si="4"/>
        <v>27.059999999999995</v>
      </c>
      <c r="J7" s="172">
        <f t="shared" si="5"/>
        <v>1.35</v>
      </c>
      <c r="K7" s="172">
        <f t="shared" si="6"/>
        <v>1.5789473684210529</v>
      </c>
      <c r="L7" s="172">
        <f t="shared" si="7"/>
        <v>0.96428571428571441</v>
      </c>
      <c r="M7" s="443">
        <f t="shared" ref="M7:M70" si="14">MIN(1/(K7+L7)*1000, 350)</f>
        <v>350</v>
      </c>
      <c r="N7" s="197">
        <f t="shared" si="8"/>
        <v>350</v>
      </c>
      <c r="O7" s="217">
        <f t="shared" si="9"/>
        <v>1.5166297117516627</v>
      </c>
      <c r="P7" s="173">
        <f t="shared" si="10"/>
        <v>1.0833069369654735</v>
      </c>
      <c r="Q7" s="173">
        <f t="shared" si="11"/>
        <v>0.28752071032099152</v>
      </c>
      <c r="R7" s="173">
        <f t="shared" si="12"/>
        <v>0.95238095238095266</v>
      </c>
    </row>
    <row r="8" spans="3:19">
      <c r="C8" s="170">
        <v>2</v>
      </c>
      <c r="D8" s="5">
        <f t="shared" si="13"/>
        <v>10.52</v>
      </c>
      <c r="E8" s="443">
        <f t="shared" si="0"/>
        <v>16.799999999999997</v>
      </c>
      <c r="F8" s="217">
        <f t="shared" si="1"/>
        <v>0.6149341142020498</v>
      </c>
      <c r="G8" s="172">
        <f t="shared" si="2"/>
        <v>21.563689604685212</v>
      </c>
      <c r="H8" s="217">
        <f t="shared" si="3"/>
        <v>1.3148591222369033</v>
      </c>
      <c r="I8" s="443">
        <f t="shared" si="4"/>
        <v>27.319999999999997</v>
      </c>
      <c r="J8" s="172">
        <f t="shared" si="5"/>
        <v>1.35</v>
      </c>
      <c r="K8" s="172">
        <f t="shared" si="6"/>
        <v>1.5399239543726237</v>
      </c>
      <c r="L8" s="172">
        <f t="shared" si="7"/>
        <v>0.96428571428571441</v>
      </c>
      <c r="M8" s="443">
        <f t="shared" si="14"/>
        <v>350</v>
      </c>
      <c r="N8" s="197">
        <f t="shared" si="8"/>
        <v>350</v>
      </c>
      <c r="O8" s="217">
        <f t="shared" si="9"/>
        <v>1.5402635431918006</v>
      </c>
      <c r="P8" s="173">
        <f t="shared" si="10"/>
        <v>1.1001882451370006</v>
      </c>
      <c r="Q8" s="173">
        <f t="shared" si="11"/>
        <v>0.29655147281072003</v>
      </c>
      <c r="R8" s="173">
        <f t="shared" si="12"/>
        <v>0.95238095238095266</v>
      </c>
    </row>
    <row r="9" spans="3:19">
      <c r="C9" s="170">
        <v>3</v>
      </c>
      <c r="D9" s="5">
        <f t="shared" si="13"/>
        <v>10.78</v>
      </c>
      <c r="E9" s="443">
        <f t="shared" si="0"/>
        <v>16.799999999999997</v>
      </c>
      <c r="F9" s="217">
        <f t="shared" si="1"/>
        <v>0.60913705583756339</v>
      </c>
      <c r="G9" s="172">
        <f t="shared" si="2"/>
        <v>21.888324873096444</v>
      </c>
      <c r="H9" s="217">
        <f t="shared" si="3"/>
        <v>1.3346539556766126</v>
      </c>
      <c r="I9" s="443">
        <f t="shared" si="4"/>
        <v>27.58</v>
      </c>
      <c r="J9" s="172">
        <f t="shared" si="5"/>
        <v>1.35</v>
      </c>
      <c r="K9" s="172">
        <f t="shared" si="6"/>
        <v>1.5027829313543601</v>
      </c>
      <c r="L9" s="172">
        <f t="shared" si="7"/>
        <v>0.96428571428571441</v>
      </c>
      <c r="M9" s="443">
        <f t="shared" si="14"/>
        <v>350</v>
      </c>
      <c r="N9" s="197">
        <f t="shared" si="8"/>
        <v>350</v>
      </c>
      <c r="O9" s="217">
        <f t="shared" si="9"/>
        <v>1.5634517766497458</v>
      </c>
      <c r="P9" s="173">
        <f t="shared" si="10"/>
        <v>1.116751269035533</v>
      </c>
      <c r="Q9" s="173">
        <f t="shared" si="11"/>
        <v>0.30554768223865592</v>
      </c>
      <c r="R9" s="173">
        <f t="shared" si="12"/>
        <v>0.95238095238095266</v>
      </c>
    </row>
    <row r="10" spans="3:19">
      <c r="C10" s="170">
        <v>4</v>
      </c>
      <c r="D10" s="5">
        <f t="shared" si="13"/>
        <v>11.04</v>
      </c>
      <c r="E10" s="443">
        <f t="shared" si="0"/>
        <v>16.799999999999997</v>
      </c>
      <c r="F10" s="217">
        <f t="shared" si="1"/>
        <v>0.60344827586206895</v>
      </c>
      <c r="G10" s="172">
        <f t="shared" si="2"/>
        <v>22.206896551724139</v>
      </c>
      <c r="H10" s="217">
        <f t="shared" si="3"/>
        <v>1.3540790580319597</v>
      </c>
      <c r="I10" s="443">
        <f t="shared" si="4"/>
        <v>27.839999999999996</v>
      </c>
      <c r="J10" s="172">
        <f t="shared" si="5"/>
        <v>1.35</v>
      </c>
      <c r="K10" s="172">
        <f t="shared" si="6"/>
        <v>1.4673913043478262</v>
      </c>
      <c r="L10" s="172">
        <f t="shared" si="7"/>
        <v>0.96428571428571441</v>
      </c>
      <c r="M10" s="443">
        <f t="shared" si="14"/>
        <v>350</v>
      </c>
      <c r="N10" s="197">
        <f t="shared" si="8"/>
        <v>350</v>
      </c>
      <c r="O10" s="217">
        <f t="shared" si="9"/>
        <v>1.5862068965517238</v>
      </c>
      <c r="P10" s="173">
        <f t="shared" si="10"/>
        <v>1.1330049261083743</v>
      </c>
      <c r="Q10" s="173">
        <f t="shared" si="11"/>
        <v>0.31450653983353138</v>
      </c>
      <c r="R10" s="173">
        <f t="shared" si="12"/>
        <v>0.95238095238095266</v>
      </c>
    </row>
    <row r="11" spans="3:19">
      <c r="C11" s="170">
        <v>5</v>
      </c>
      <c r="D11" s="5">
        <f t="shared" si="13"/>
        <v>11.3</v>
      </c>
      <c r="E11" s="443">
        <f t="shared" si="0"/>
        <v>16.799999999999997</v>
      </c>
      <c r="F11" s="217">
        <f t="shared" si="1"/>
        <v>0.59786476868327398</v>
      </c>
      <c r="G11" s="172">
        <f t="shared" si="2"/>
        <v>22.519572953736656</v>
      </c>
      <c r="H11" s="217">
        <f t="shared" si="3"/>
        <v>1.3731446923010158</v>
      </c>
      <c r="I11" s="443">
        <f t="shared" si="4"/>
        <v>28.099999999999998</v>
      </c>
      <c r="J11" s="172">
        <f t="shared" si="5"/>
        <v>1.35</v>
      </c>
      <c r="K11" s="172">
        <f t="shared" si="6"/>
        <v>1.4336283185840708</v>
      </c>
      <c r="L11" s="172">
        <f t="shared" si="7"/>
        <v>0.96428571428571441</v>
      </c>
      <c r="M11" s="443">
        <f t="shared" si="14"/>
        <v>350</v>
      </c>
      <c r="N11" s="197">
        <f t="shared" si="8"/>
        <v>350</v>
      </c>
      <c r="O11" s="217">
        <f t="shared" si="9"/>
        <v>1.6085409252669038</v>
      </c>
      <c r="P11" s="173">
        <f t="shared" si="10"/>
        <v>1.1489578037620742</v>
      </c>
      <c r="Q11" s="173">
        <f t="shared" si="11"/>
        <v>0.3234254885323134</v>
      </c>
      <c r="R11" s="173">
        <f t="shared" si="12"/>
        <v>0.95238095238095266</v>
      </c>
    </row>
    <row r="12" spans="3:19">
      <c r="C12" s="170">
        <v>6</v>
      </c>
      <c r="D12" s="5">
        <f t="shared" si="13"/>
        <v>11.56</v>
      </c>
      <c r="E12" s="443">
        <f t="shared" si="0"/>
        <v>16.799999999999997</v>
      </c>
      <c r="F12" s="217">
        <f t="shared" si="1"/>
        <v>0.59238363892806756</v>
      </c>
      <c r="G12" s="172">
        <f t="shared" si="2"/>
        <v>22.826516220028203</v>
      </c>
      <c r="H12" s="217">
        <f t="shared" si="3"/>
        <v>1.3918607451236711</v>
      </c>
      <c r="I12" s="443">
        <f t="shared" si="4"/>
        <v>28.36</v>
      </c>
      <c r="J12" s="172">
        <f t="shared" si="5"/>
        <v>1.35</v>
      </c>
      <c r="K12" s="172">
        <f t="shared" si="6"/>
        <v>1.4013840830449829</v>
      </c>
      <c r="L12" s="172">
        <f t="shared" si="7"/>
        <v>0.96428571428571441</v>
      </c>
      <c r="M12" s="443">
        <f t="shared" si="14"/>
        <v>350</v>
      </c>
      <c r="N12" s="197">
        <f t="shared" si="8"/>
        <v>350</v>
      </c>
      <c r="O12" s="217">
        <f t="shared" si="9"/>
        <v>1.6304654442877291</v>
      </c>
      <c r="P12" s="173">
        <f t="shared" si="10"/>
        <v>1.1646181744912354</v>
      </c>
      <c r="Q12" s="173">
        <f t="shared" si="11"/>
        <v>0.33230219562704782</v>
      </c>
      <c r="R12" s="173">
        <f t="shared" si="12"/>
        <v>0.95238095238095266</v>
      </c>
    </row>
    <row r="13" spans="3:19">
      <c r="C13" s="170">
        <v>7</v>
      </c>
      <c r="D13" s="5">
        <f t="shared" si="13"/>
        <v>11.82</v>
      </c>
      <c r="E13" s="443">
        <f t="shared" si="0"/>
        <v>16.799999999999997</v>
      </c>
      <c r="F13" s="217">
        <f t="shared" si="1"/>
        <v>0.58700209643605861</v>
      </c>
      <c r="G13" s="172">
        <f t="shared" si="2"/>
        <v>23.127882599580712</v>
      </c>
      <c r="H13" s="217">
        <f t="shared" si="3"/>
        <v>1.4102367438768728</v>
      </c>
      <c r="I13" s="443">
        <f t="shared" si="4"/>
        <v>28.619999999999997</v>
      </c>
      <c r="J13" s="172">
        <f t="shared" si="5"/>
        <v>1.35</v>
      </c>
      <c r="K13" s="172">
        <f t="shared" si="6"/>
        <v>1.3705583756345179</v>
      </c>
      <c r="L13" s="172">
        <f t="shared" si="7"/>
        <v>0.96428571428571441</v>
      </c>
      <c r="M13" s="443">
        <f t="shared" si="14"/>
        <v>350</v>
      </c>
      <c r="N13" s="197">
        <f t="shared" si="8"/>
        <v>350</v>
      </c>
      <c r="O13" s="217">
        <f t="shared" si="9"/>
        <v>1.6519916142557647</v>
      </c>
      <c r="P13" s="173">
        <f t="shared" si="10"/>
        <v>1.1799940101826891</v>
      </c>
      <c r="Q13" s="173">
        <f t="shared" si="11"/>
        <v>0.34113453669642091</v>
      </c>
      <c r="R13" s="173">
        <f t="shared" si="12"/>
        <v>0.95238095238095266</v>
      </c>
    </row>
    <row r="14" spans="3:19" s="76" customFormat="1">
      <c r="C14" s="189">
        <v>8</v>
      </c>
      <c r="D14" s="534">
        <f t="shared" si="13"/>
        <v>12.08</v>
      </c>
      <c r="E14" s="535">
        <f t="shared" si="0"/>
        <v>16.799999999999997</v>
      </c>
      <c r="F14" s="329">
        <f t="shared" si="1"/>
        <v>0.5817174515235457</v>
      </c>
      <c r="G14" s="536">
        <f t="shared" si="2"/>
        <v>23.423822714681442</v>
      </c>
      <c r="H14" s="329">
        <f t="shared" si="3"/>
        <v>1.4282818728464295</v>
      </c>
      <c r="I14" s="535">
        <f t="shared" si="4"/>
        <v>28.879999999999995</v>
      </c>
      <c r="J14" s="172">
        <f t="shared" si="5"/>
        <v>1.35</v>
      </c>
      <c r="K14" s="536">
        <f t="shared" si="6"/>
        <v>1.3410596026490067</v>
      </c>
      <c r="L14" s="536">
        <f t="shared" si="7"/>
        <v>0.96428571428571441</v>
      </c>
      <c r="M14" s="535">
        <f t="shared" si="14"/>
        <v>350</v>
      </c>
      <c r="N14" s="537">
        <f t="shared" si="8"/>
        <v>350</v>
      </c>
      <c r="O14" s="329">
        <f t="shared" si="9"/>
        <v>1.673130193905817</v>
      </c>
      <c r="P14" s="173">
        <f t="shared" si="10"/>
        <v>1.1950929956470124</v>
      </c>
      <c r="Q14" s="538">
        <f t="shared" si="11"/>
        <v>0.34992058071991466</v>
      </c>
      <c r="R14" s="173">
        <f t="shared" si="12"/>
        <v>0.95238095238095266</v>
      </c>
    </row>
    <row r="15" spans="3:19">
      <c r="C15" s="170">
        <v>9</v>
      </c>
      <c r="D15" s="5">
        <f t="shared" si="13"/>
        <v>12.34</v>
      </c>
      <c r="E15" s="443">
        <f t="shared" si="0"/>
        <v>16.799999999999997</v>
      </c>
      <c r="F15" s="217">
        <f t="shared" si="1"/>
        <v>0.57652711050102945</v>
      </c>
      <c r="G15" s="172">
        <f t="shared" si="2"/>
        <v>23.714481811942346</v>
      </c>
      <c r="H15" s="217">
        <f t="shared" si="3"/>
        <v>1.4460049885330699</v>
      </c>
      <c r="I15" s="443">
        <f t="shared" si="4"/>
        <v>29.139999999999997</v>
      </c>
      <c r="J15" s="172">
        <f t="shared" si="5"/>
        <v>1.35</v>
      </c>
      <c r="K15" s="172">
        <f t="shared" si="6"/>
        <v>1.3128038897893033</v>
      </c>
      <c r="L15" s="172">
        <f t="shared" si="7"/>
        <v>0.96428571428571441</v>
      </c>
      <c r="M15" s="443">
        <f t="shared" si="14"/>
        <v>350</v>
      </c>
      <c r="N15" s="197">
        <f t="shared" si="8"/>
        <v>350</v>
      </c>
      <c r="O15" s="217">
        <f t="shared" si="9"/>
        <v>1.6938915579958818</v>
      </c>
      <c r="P15" s="173">
        <f t="shared" si="10"/>
        <v>1.20992254142563</v>
      </c>
      <c r="Q15" s="173">
        <f t="shared" si="11"/>
        <v>0.35865857628121456</v>
      </c>
      <c r="R15" s="173">
        <f t="shared" si="12"/>
        <v>0.95238095238095266</v>
      </c>
    </row>
    <row r="16" spans="3:19">
      <c r="C16" s="170">
        <v>10</v>
      </c>
      <c r="D16" s="5">
        <f t="shared" si="13"/>
        <v>12.6</v>
      </c>
      <c r="E16" s="443">
        <f t="shared" si="0"/>
        <v>16.799999999999997</v>
      </c>
      <c r="F16" s="217">
        <f t="shared" si="1"/>
        <v>0.5714285714285714</v>
      </c>
      <c r="G16" s="172">
        <f t="shared" si="2"/>
        <v>24</v>
      </c>
      <c r="H16" s="217">
        <f t="shared" si="3"/>
        <v>1.4634146341463417</v>
      </c>
      <c r="I16" s="443">
        <f t="shared" si="4"/>
        <v>29.4</v>
      </c>
      <c r="J16" s="172">
        <f t="shared" si="5"/>
        <v>1.35</v>
      </c>
      <c r="K16" s="172">
        <f t="shared" si="6"/>
        <v>1.2857142857142858</v>
      </c>
      <c r="L16" s="172">
        <f t="shared" si="7"/>
        <v>0.96428571428571441</v>
      </c>
      <c r="M16" s="443">
        <f t="shared" si="14"/>
        <v>350</v>
      </c>
      <c r="N16" s="197">
        <f t="shared" si="8"/>
        <v>350</v>
      </c>
      <c r="O16" s="217">
        <f t="shared" si="9"/>
        <v>1.7142857142857142</v>
      </c>
      <c r="P16" s="173">
        <f t="shared" si="10"/>
        <v>1.2244897959183676</v>
      </c>
      <c r="Q16" s="173">
        <f t="shared" si="11"/>
        <v>0.36734693877551022</v>
      </c>
      <c r="R16" s="173">
        <f t="shared" si="12"/>
        <v>0.95238095238095266</v>
      </c>
    </row>
    <row r="17" spans="3:18">
      <c r="C17" s="170">
        <v>11</v>
      </c>
      <c r="D17" s="5">
        <f t="shared" si="13"/>
        <v>12.86</v>
      </c>
      <c r="E17" s="443">
        <f t="shared" si="0"/>
        <v>16.799999999999997</v>
      </c>
      <c r="F17" s="217">
        <f t="shared" si="1"/>
        <v>0.56641942009440316</v>
      </c>
      <c r="G17" s="172">
        <f t="shared" si="2"/>
        <v>24.280512474713415</v>
      </c>
      <c r="H17" s="217">
        <f t="shared" si="3"/>
        <v>1.4805190533361841</v>
      </c>
      <c r="I17" s="443">
        <f t="shared" si="4"/>
        <v>29.659999999999997</v>
      </c>
      <c r="J17" s="172">
        <f t="shared" si="5"/>
        <v>1.35</v>
      </c>
      <c r="K17" s="172">
        <f t="shared" si="6"/>
        <v>1.2597200622083982</v>
      </c>
      <c r="L17" s="172">
        <f t="shared" si="7"/>
        <v>0.96428571428571441</v>
      </c>
      <c r="M17" s="443">
        <f t="shared" si="14"/>
        <v>350</v>
      </c>
      <c r="N17" s="197">
        <f t="shared" si="8"/>
        <v>350</v>
      </c>
      <c r="O17" s="217">
        <f t="shared" si="9"/>
        <v>1.7343223196223869</v>
      </c>
      <c r="P17" s="173">
        <f t="shared" si="10"/>
        <v>1.2388016568731339</v>
      </c>
      <c r="Q17" s="173">
        <f t="shared" si="11"/>
        <v>0.3759842385425472</v>
      </c>
      <c r="R17" s="173">
        <f t="shared" si="12"/>
        <v>0.95238095238095266</v>
      </c>
    </row>
    <row r="18" spans="3:18">
      <c r="C18" s="170">
        <v>12</v>
      </c>
      <c r="D18" s="5">
        <f t="shared" si="13"/>
        <v>13.120000000000001</v>
      </c>
      <c r="E18" s="443">
        <f t="shared" si="0"/>
        <v>16.799999999999997</v>
      </c>
      <c r="F18" s="217">
        <f t="shared" si="1"/>
        <v>0.56149732620320847</v>
      </c>
      <c r="G18" s="172">
        <f t="shared" si="2"/>
        <v>24.55614973262032</v>
      </c>
      <c r="H18" s="217">
        <f t="shared" si="3"/>
        <v>1.4973262032085561</v>
      </c>
      <c r="I18" s="443">
        <f t="shared" si="4"/>
        <v>29.919999999999998</v>
      </c>
      <c r="J18" s="172">
        <f t="shared" si="5"/>
        <v>1.35</v>
      </c>
      <c r="K18" s="172">
        <f t="shared" si="6"/>
        <v>1.2347560975609757</v>
      </c>
      <c r="L18" s="172">
        <f t="shared" si="7"/>
        <v>0.96428571428571441</v>
      </c>
      <c r="M18" s="443">
        <f t="shared" si="14"/>
        <v>350</v>
      </c>
      <c r="N18" s="197">
        <f t="shared" si="8"/>
        <v>350</v>
      </c>
      <c r="O18" s="217">
        <f t="shared" si="9"/>
        <v>1.7540106951871652</v>
      </c>
      <c r="P18" s="173">
        <f t="shared" si="10"/>
        <v>1.2528647822765469</v>
      </c>
      <c r="Q18" s="173">
        <f t="shared" si="11"/>
        <v>0.3845691898538704</v>
      </c>
      <c r="R18" s="173">
        <f t="shared" si="12"/>
        <v>0.95238095238095266</v>
      </c>
    </row>
    <row r="19" spans="3:18">
      <c r="C19" s="170">
        <v>13</v>
      </c>
      <c r="D19" s="5">
        <f t="shared" si="13"/>
        <v>13.379999999999999</v>
      </c>
      <c r="E19" s="443">
        <f t="shared" si="0"/>
        <v>16.799999999999997</v>
      </c>
      <c r="F19" s="217">
        <f t="shared" si="1"/>
        <v>0.55666003976143141</v>
      </c>
      <c r="G19" s="172">
        <f t="shared" si="2"/>
        <v>24.827037773359841</v>
      </c>
      <c r="H19" s="217">
        <f t="shared" si="3"/>
        <v>1.5138437666682831</v>
      </c>
      <c r="I19" s="443">
        <f t="shared" si="4"/>
        <v>30.179999999999996</v>
      </c>
      <c r="J19" s="172">
        <f t="shared" si="5"/>
        <v>1.35</v>
      </c>
      <c r="K19" s="172">
        <f t="shared" si="6"/>
        <v>1.2107623318385652</v>
      </c>
      <c r="L19" s="172">
        <f t="shared" si="7"/>
        <v>0.96428571428571441</v>
      </c>
      <c r="M19" s="443">
        <f t="shared" si="14"/>
        <v>350</v>
      </c>
      <c r="N19" s="197">
        <f t="shared" si="8"/>
        <v>350</v>
      </c>
      <c r="O19" s="217">
        <f t="shared" si="9"/>
        <v>1.7733598409542739</v>
      </c>
      <c r="P19" s="173">
        <f t="shared" si="10"/>
        <v>1.2666856006816245</v>
      </c>
      <c r="Q19" s="173">
        <f t="shared" si="11"/>
        <v>0.39310064068867107</v>
      </c>
      <c r="R19" s="173">
        <f t="shared" si="12"/>
        <v>0.95238095238095266</v>
      </c>
    </row>
    <row r="20" spans="3:18">
      <c r="C20" s="170">
        <v>14</v>
      </c>
      <c r="D20" s="5">
        <f t="shared" si="13"/>
        <v>13.64</v>
      </c>
      <c r="E20" s="443">
        <f t="shared" si="0"/>
        <v>16.799999999999997</v>
      </c>
      <c r="F20" s="217">
        <f t="shared" si="1"/>
        <v>0.5519053876478317</v>
      </c>
      <c r="G20" s="172">
        <f t="shared" si="2"/>
        <v>25.093298291721414</v>
      </c>
      <c r="H20" s="217">
        <f t="shared" si="3"/>
        <v>1.5300791641293547</v>
      </c>
      <c r="I20" s="443">
        <f t="shared" si="4"/>
        <v>30.439999999999998</v>
      </c>
      <c r="J20" s="172">
        <f t="shared" si="5"/>
        <v>1.35</v>
      </c>
      <c r="K20" s="172">
        <f t="shared" si="6"/>
        <v>1.1876832844574781</v>
      </c>
      <c r="L20" s="172">
        <f t="shared" si="7"/>
        <v>0.96428571428571441</v>
      </c>
      <c r="M20" s="443">
        <f t="shared" si="14"/>
        <v>350</v>
      </c>
      <c r="N20" s="197">
        <f t="shared" si="8"/>
        <v>350</v>
      </c>
      <c r="O20" s="217">
        <f t="shared" si="9"/>
        <v>1.7923784494086725</v>
      </c>
      <c r="P20" s="173">
        <f t="shared" si="10"/>
        <v>1.2802703210061948</v>
      </c>
      <c r="Q20" s="173">
        <f t="shared" si="11"/>
        <v>0.40157756323807969</v>
      </c>
      <c r="R20" s="173">
        <f t="shared" si="12"/>
        <v>0.95238095238095266</v>
      </c>
    </row>
    <row r="21" spans="3:18">
      <c r="C21" s="170">
        <v>15</v>
      </c>
      <c r="D21" s="5">
        <f t="shared" si="13"/>
        <v>13.9</v>
      </c>
      <c r="E21" s="443">
        <f t="shared" si="0"/>
        <v>16.799999999999997</v>
      </c>
      <c r="F21" s="217">
        <f t="shared" si="1"/>
        <v>0.54723127035830621</v>
      </c>
      <c r="G21" s="172">
        <f t="shared" si="2"/>
        <v>25.355048859934858</v>
      </c>
      <c r="H21" s="217">
        <f t="shared" si="3"/>
        <v>1.5460395646301743</v>
      </c>
      <c r="I21" s="443">
        <f t="shared" si="4"/>
        <v>30.699999999999996</v>
      </c>
      <c r="J21" s="172">
        <f t="shared" si="5"/>
        <v>1.35</v>
      </c>
      <c r="K21" s="172">
        <f t="shared" si="6"/>
        <v>1.1654676258992807</v>
      </c>
      <c r="L21" s="172">
        <f t="shared" si="7"/>
        <v>0.96428571428571441</v>
      </c>
      <c r="M21" s="443">
        <f t="shared" si="14"/>
        <v>350</v>
      </c>
      <c r="N21" s="197">
        <f t="shared" si="8"/>
        <v>350</v>
      </c>
      <c r="O21" s="217">
        <f t="shared" si="9"/>
        <v>1.8110749185667752</v>
      </c>
      <c r="P21" s="173">
        <f t="shared" si="10"/>
        <v>1.2936249418334111</v>
      </c>
      <c r="Q21" s="173">
        <f t="shared" si="11"/>
        <v>0.40999904508270651</v>
      </c>
      <c r="R21" s="173">
        <f t="shared" si="12"/>
        <v>0.95238095238095266</v>
      </c>
    </row>
    <row r="22" spans="3:18" s="3" customFormat="1" ht="13">
      <c r="C22" s="333">
        <v>16</v>
      </c>
      <c r="D22" s="530">
        <f t="shared" si="13"/>
        <v>14.16</v>
      </c>
      <c r="E22" s="531">
        <f t="shared" si="0"/>
        <v>16.799999999999997</v>
      </c>
      <c r="F22" s="532">
        <f t="shared" si="1"/>
        <v>0.54263565891472865</v>
      </c>
      <c r="G22" s="332">
        <f t="shared" si="2"/>
        <v>25.612403100775193</v>
      </c>
      <c r="H22" s="532">
        <f t="shared" si="3"/>
        <v>1.5617318963887314</v>
      </c>
      <c r="I22" s="531">
        <f t="shared" si="4"/>
        <v>30.959999999999997</v>
      </c>
      <c r="J22" s="172">
        <f t="shared" si="5"/>
        <v>1.35</v>
      </c>
      <c r="K22" s="332">
        <f t="shared" si="6"/>
        <v>1.1440677966101696</v>
      </c>
      <c r="L22" s="332">
        <f t="shared" si="7"/>
        <v>0.96428571428571441</v>
      </c>
      <c r="M22" s="531">
        <f t="shared" si="14"/>
        <v>350</v>
      </c>
      <c r="N22" s="335">
        <f t="shared" si="8"/>
        <v>350</v>
      </c>
      <c r="O22" s="532">
        <f t="shared" si="9"/>
        <v>1.829457364341085</v>
      </c>
      <c r="P22" s="173">
        <f t="shared" si="10"/>
        <v>1.3067552602436325</v>
      </c>
      <c r="Q22" s="539">
        <f t="shared" si="11"/>
        <v>0.41836428099272882</v>
      </c>
      <c r="R22" s="173">
        <f t="shared" si="12"/>
        <v>0.95238095238095266</v>
      </c>
    </row>
    <row r="23" spans="3:18">
      <c r="C23" s="170">
        <v>17</v>
      </c>
      <c r="D23" s="5">
        <f t="shared" si="13"/>
        <v>14.42</v>
      </c>
      <c r="E23" s="443">
        <f t="shared" si="0"/>
        <v>16.799999999999997</v>
      </c>
      <c r="F23" s="217">
        <f t="shared" si="1"/>
        <v>0.53811659192825101</v>
      </c>
      <c r="G23" s="172">
        <f t="shared" si="2"/>
        <v>25.865470852017932</v>
      </c>
      <c r="H23" s="217">
        <f t="shared" si="3"/>
        <v>1.5771628568303619</v>
      </c>
      <c r="I23" s="443">
        <f t="shared" si="4"/>
        <v>31.22</v>
      </c>
      <c r="J23" s="172">
        <f t="shared" si="5"/>
        <v>1.35</v>
      </c>
      <c r="K23" s="172">
        <f t="shared" si="6"/>
        <v>1.1234396671289875</v>
      </c>
      <c r="L23" s="172">
        <f t="shared" si="7"/>
        <v>0.96428571428571441</v>
      </c>
      <c r="M23" s="443">
        <f t="shared" si="14"/>
        <v>350</v>
      </c>
      <c r="N23" s="197">
        <f t="shared" si="8"/>
        <v>350</v>
      </c>
      <c r="O23" s="217">
        <f t="shared" si="9"/>
        <v>1.8475336322869953</v>
      </c>
      <c r="P23" s="173">
        <f t="shared" si="10"/>
        <v>1.3196668802049969</v>
      </c>
      <c r="Q23" s="173">
        <f t="shared" si="11"/>
        <v>0.42667256530394743</v>
      </c>
      <c r="R23" s="173">
        <f t="shared" si="12"/>
        <v>0.95238095238095266</v>
      </c>
    </row>
    <row r="24" spans="3:18">
      <c r="C24" s="170">
        <v>18</v>
      </c>
      <c r="D24" s="5">
        <f t="shared" si="13"/>
        <v>14.68</v>
      </c>
      <c r="E24" s="443">
        <f t="shared" si="0"/>
        <v>16.799999999999997</v>
      </c>
      <c r="F24" s="217">
        <f t="shared" si="1"/>
        <v>0.53367217280813206</v>
      </c>
      <c r="G24" s="172">
        <f t="shared" si="2"/>
        <v>26.114358322744597</v>
      </c>
      <c r="H24" s="217">
        <f t="shared" si="3"/>
        <v>1.5923389221185731</v>
      </c>
      <c r="I24" s="443">
        <f t="shared" si="4"/>
        <v>31.479999999999997</v>
      </c>
      <c r="J24" s="172">
        <f t="shared" si="5"/>
        <v>1.35</v>
      </c>
      <c r="K24" s="172">
        <f t="shared" si="6"/>
        <v>1.103542234332425</v>
      </c>
      <c r="L24" s="172">
        <f t="shared" si="7"/>
        <v>0.96428571428571441</v>
      </c>
      <c r="M24" s="443">
        <f t="shared" si="14"/>
        <v>350</v>
      </c>
      <c r="N24" s="197">
        <f t="shared" si="8"/>
        <v>350</v>
      </c>
      <c r="O24" s="217">
        <f t="shared" si="9"/>
        <v>1.8653113087674711</v>
      </c>
      <c r="P24" s="173">
        <f t="shared" si="10"/>
        <v>1.3323652205481937</v>
      </c>
      <c r="Q24" s="173">
        <f t="shared" si="11"/>
        <v>0.43492328482697701</v>
      </c>
      <c r="R24" s="173">
        <f t="shared" si="12"/>
        <v>0.95238095238095266</v>
      </c>
    </row>
    <row r="25" spans="3:18">
      <c r="C25" s="170">
        <v>19</v>
      </c>
      <c r="D25" s="5">
        <f t="shared" si="13"/>
        <v>14.940000000000001</v>
      </c>
      <c r="E25" s="443">
        <f t="shared" si="0"/>
        <v>16.799999999999997</v>
      </c>
      <c r="F25" s="217">
        <f t="shared" si="1"/>
        <v>0.52930056710775042</v>
      </c>
      <c r="G25" s="172">
        <f t="shared" si="2"/>
        <v>26.359168241965975</v>
      </c>
      <c r="H25" s="217">
        <f t="shared" si="3"/>
        <v>1.6072663562174376</v>
      </c>
      <c r="I25" s="443">
        <f t="shared" si="4"/>
        <v>31.74</v>
      </c>
      <c r="J25" s="172">
        <f t="shared" si="5"/>
        <v>1.35</v>
      </c>
      <c r="K25" s="172">
        <f t="shared" si="6"/>
        <v>1.0843373493975903</v>
      </c>
      <c r="L25" s="172">
        <f t="shared" si="7"/>
        <v>0.96428571428571441</v>
      </c>
      <c r="M25" s="443">
        <f t="shared" si="14"/>
        <v>350</v>
      </c>
      <c r="N25" s="197">
        <f t="shared" si="8"/>
        <v>350</v>
      </c>
      <c r="O25" s="217">
        <f t="shared" si="9"/>
        <v>1.8827977315689979</v>
      </c>
      <c r="P25" s="173">
        <f t="shared" si="10"/>
        <v>1.3448555225492844</v>
      </c>
      <c r="Q25" s="173">
        <f t="shared" si="11"/>
        <v>0.44311591225017061</v>
      </c>
      <c r="R25" s="173">
        <f t="shared" si="12"/>
        <v>0.95238095238095266</v>
      </c>
    </row>
    <row r="26" spans="3:18">
      <c r="C26" s="170">
        <v>20</v>
      </c>
      <c r="D26" s="5">
        <f t="shared" si="13"/>
        <v>15.2</v>
      </c>
      <c r="E26" s="443">
        <f t="shared" si="0"/>
        <v>16.799999999999997</v>
      </c>
      <c r="F26" s="217">
        <f t="shared" si="1"/>
        <v>0.52500000000000002</v>
      </c>
      <c r="G26" s="172">
        <f t="shared" si="2"/>
        <v>26.599999999999998</v>
      </c>
      <c r="H26" s="217">
        <f t="shared" si="3"/>
        <v>1.6219512195121952</v>
      </c>
      <c r="I26" s="443">
        <f t="shared" si="4"/>
        <v>31.999999999999996</v>
      </c>
      <c r="J26" s="172">
        <f t="shared" si="5"/>
        <v>1.35</v>
      </c>
      <c r="K26" s="172">
        <f t="shared" si="6"/>
        <v>1.0657894736842106</v>
      </c>
      <c r="L26" s="172">
        <f t="shared" si="7"/>
        <v>0.96428571428571441</v>
      </c>
      <c r="M26" s="443">
        <f t="shared" si="14"/>
        <v>350</v>
      </c>
      <c r="N26" s="197">
        <f t="shared" si="8"/>
        <v>350</v>
      </c>
      <c r="O26" s="217">
        <f t="shared" si="9"/>
        <v>1.9000000000000001</v>
      </c>
      <c r="P26" s="173">
        <f t="shared" si="10"/>
        <v>1.3571428571428574</v>
      </c>
      <c r="Q26" s="173">
        <f t="shared" si="11"/>
        <v>0.4512500000000001</v>
      </c>
      <c r="R26" s="173">
        <f t="shared" si="12"/>
        <v>0.95238095238095266</v>
      </c>
    </row>
    <row r="27" spans="3:18">
      <c r="C27" s="170">
        <v>21</v>
      </c>
      <c r="D27" s="5">
        <f t="shared" si="13"/>
        <v>15.46</v>
      </c>
      <c r="E27" s="443">
        <f t="shared" si="0"/>
        <v>16.799999999999997</v>
      </c>
      <c r="F27" s="217">
        <f t="shared" si="1"/>
        <v>0.52076875387476751</v>
      </c>
      <c r="G27" s="172">
        <f t="shared" si="2"/>
        <v>26.836949783013022</v>
      </c>
      <c r="H27" s="217">
        <f t="shared" si="3"/>
        <v>1.6363993770129892</v>
      </c>
      <c r="I27" s="443">
        <f t="shared" si="4"/>
        <v>32.26</v>
      </c>
      <c r="J27" s="172">
        <f t="shared" si="5"/>
        <v>1.35</v>
      </c>
      <c r="K27" s="172">
        <f t="shared" si="6"/>
        <v>1.0478654592496766</v>
      </c>
      <c r="L27" s="172">
        <f t="shared" si="7"/>
        <v>0.96428571428571441</v>
      </c>
      <c r="M27" s="443">
        <f t="shared" si="14"/>
        <v>350</v>
      </c>
      <c r="N27" s="197">
        <f t="shared" si="8"/>
        <v>350</v>
      </c>
      <c r="O27" s="217">
        <f t="shared" si="9"/>
        <v>1.9169249845009297</v>
      </c>
      <c r="P27" s="173">
        <f t="shared" si="10"/>
        <v>1.3692321317863787</v>
      </c>
      <c r="Q27" s="173">
        <f t="shared" si="11"/>
        <v>0.45932517452548632</v>
      </c>
      <c r="R27" s="173">
        <f t="shared" si="12"/>
        <v>0.95238095238095266</v>
      </c>
    </row>
    <row r="28" spans="3:18">
      <c r="C28" s="170">
        <v>22</v>
      </c>
      <c r="D28" s="5">
        <f t="shared" si="13"/>
        <v>15.719999999999999</v>
      </c>
      <c r="E28" s="443">
        <f t="shared" si="0"/>
        <v>16.799999999999997</v>
      </c>
      <c r="F28" s="217">
        <f t="shared" si="1"/>
        <v>0.51660516605166051</v>
      </c>
      <c r="G28" s="172">
        <f t="shared" si="2"/>
        <v>27.070110701107009</v>
      </c>
      <c r="H28" s="217">
        <f t="shared" si="3"/>
        <v>1.6506165061650617</v>
      </c>
      <c r="I28" s="443">
        <f t="shared" si="4"/>
        <v>32.519999999999996</v>
      </c>
      <c r="J28" s="172">
        <f t="shared" si="5"/>
        <v>1.35</v>
      </c>
      <c r="K28" s="172">
        <f t="shared" si="6"/>
        <v>1.0305343511450382</v>
      </c>
      <c r="L28" s="172">
        <f t="shared" si="7"/>
        <v>0.96428571428571441</v>
      </c>
      <c r="M28" s="443">
        <f t="shared" si="14"/>
        <v>350</v>
      </c>
      <c r="N28" s="197">
        <f t="shared" si="8"/>
        <v>350</v>
      </c>
      <c r="O28" s="217">
        <f t="shared" si="9"/>
        <v>1.9335793357933575</v>
      </c>
      <c r="P28" s="173">
        <f t="shared" si="10"/>
        <v>1.3811280969952557</v>
      </c>
      <c r="Q28" s="173">
        <f t="shared" si="11"/>
        <v>0.46734113097588531</v>
      </c>
      <c r="R28" s="173">
        <f t="shared" si="12"/>
        <v>0.95238095238095266</v>
      </c>
    </row>
    <row r="29" spans="3:18">
      <c r="C29" s="170">
        <v>23</v>
      </c>
      <c r="D29" s="5">
        <f t="shared" si="13"/>
        <v>15.98</v>
      </c>
      <c r="E29" s="443">
        <f t="shared" si="0"/>
        <v>16.799999999999997</v>
      </c>
      <c r="F29" s="217">
        <f t="shared" si="1"/>
        <v>0.51250762660158622</v>
      </c>
      <c r="G29" s="172">
        <f t="shared" si="2"/>
        <v>27.299572910311163</v>
      </c>
      <c r="H29" s="217">
        <f t="shared" si="3"/>
        <v>1.6646081042872662</v>
      </c>
      <c r="I29" s="443">
        <f t="shared" si="4"/>
        <v>32.78</v>
      </c>
      <c r="J29" s="172">
        <f t="shared" si="5"/>
        <v>1.35</v>
      </c>
      <c r="K29" s="172">
        <f t="shared" si="6"/>
        <v>1.0137672090112642</v>
      </c>
      <c r="L29" s="172">
        <f t="shared" si="7"/>
        <v>0.96428571428571441</v>
      </c>
      <c r="M29" s="443">
        <f t="shared" si="14"/>
        <v>350</v>
      </c>
      <c r="N29" s="197">
        <f t="shared" si="8"/>
        <v>350</v>
      </c>
      <c r="O29" s="217">
        <f t="shared" si="9"/>
        <v>1.9499694935936542</v>
      </c>
      <c r="P29" s="173">
        <f t="shared" si="10"/>
        <v>1.3928353525668959</v>
      </c>
      <c r="Q29" s="173">
        <f t="shared" si="11"/>
        <v>0.47529762824323657</v>
      </c>
      <c r="R29" s="173">
        <f t="shared" si="12"/>
        <v>0.95238095238095266</v>
      </c>
    </row>
    <row r="30" spans="3:18">
      <c r="C30" s="170">
        <v>24</v>
      </c>
      <c r="D30" s="5">
        <f t="shared" si="13"/>
        <v>16.240000000000002</v>
      </c>
      <c r="E30" s="443">
        <f t="shared" si="0"/>
        <v>16.799999999999997</v>
      </c>
      <c r="F30" s="217">
        <f t="shared" si="1"/>
        <v>0.50847457627118642</v>
      </c>
      <c r="G30" s="172">
        <f t="shared" si="2"/>
        <v>27.525423728813561</v>
      </c>
      <c r="H30" s="217">
        <f t="shared" si="3"/>
        <v>1.6783794956593636</v>
      </c>
      <c r="I30" s="443">
        <f t="shared" si="4"/>
        <v>33.04</v>
      </c>
      <c r="J30" s="172">
        <f t="shared" si="5"/>
        <v>1.35</v>
      </c>
      <c r="K30" s="172">
        <f t="shared" si="6"/>
        <v>0.99753694581280783</v>
      </c>
      <c r="L30" s="172">
        <f t="shared" si="7"/>
        <v>0.96428571428571441</v>
      </c>
      <c r="M30" s="443">
        <f t="shared" si="14"/>
        <v>350</v>
      </c>
      <c r="N30" s="197">
        <f t="shared" si="8"/>
        <v>350</v>
      </c>
      <c r="O30" s="217">
        <f t="shared" si="9"/>
        <v>1.9661016949152539</v>
      </c>
      <c r="P30" s="173">
        <f t="shared" si="10"/>
        <v>1.4043583535108959</v>
      </c>
      <c r="Q30" s="173">
        <f t="shared" si="11"/>
        <v>0.48319448434357937</v>
      </c>
      <c r="R30" s="173">
        <f t="shared" si="12"/>
        <v>0.95238095238095266</v>
      </c>
    </row>
    <row r="31" spans="3:18">
      <c r="C31" s="170">
        <v>25</v>
      </c>
      <c r="D31" s="5">
        <f t="shared" si="13"/>
        <v>16.5</v>
      </c>
      <c r="E31" s="443">
        <f t="shared" si="0"/>
        <v>16.799999999999997</v>
      </c>
      <c r="F31" s="217">
        <f t="shared" si="1"/>
        <v>0.50450450450450446</v>
      </c>
      <c r="G31" s="172">
        <f t="shared" si="2"/>
        <v>27.747747747747745</v>
      </c>
      <c r="H31" s="217">
        <f t="shared" si="3"/>
        <v>1.6919358382773018</v>
      </c>
      <c r="I31" s="443">
        <f t="shared" si="4"/>
        <v>33.299999999999997</v>
      </c>
      <c r="J31" s="172">
        <f t="shared" si="5"/>
        <v>1.35</v>
      </c>
      <c r="K31" s="172">
        <f t="shared" si="6"/>
        <v>0.98181818181818181</v>
      </c>
      <c r="L31" s="172">
        <f t="shared" si="7"/>
        <v>0.96428571428571441</v>
      </c>
      <c r="M31" s="443">
        <f t="shared" si="14"/>
        <v>350</v>
      </c>
      <c r="N31" s="197">
        <f t="shared" si="8"/>
        <v>350</v>
      </c>
      <c r="O31" s="217">
        <f t="shared" si="9"/>
        <v>1.9819819819819817</v>
      </c>
      <c r="P31" s="173">
        <f t="shared" si="10"/>
        <v>1.4157014157014158</v>
      </c>
      <c r="Q31" s="173">
        <f t="shared" si="11"/>
        <v>0.49103157211265319</v>
      </c>
      <c r="R31" s="173">
        <f t="shared" si="12"/>
        <v>0.95238095238095266</v>
      </c>
    </row>
    <row r="32" spans="3:18">
      <c r="C32" s="170">
        <v>26</v>
      </c>
      <c r="D32" s="5">
        <f t="shared" si="13"/>
        <v>16.759999999999998</v>
      </c>
      <c r="E32" s="443">
        <f t="shared" si="0"/>
        <v>16.799999999999997</v>
      </c>
      <c r="F32" s="217">
        <f t="shared" si="1"/>
        <v>0.50059594755661496</v>
      </c>
      <c r="G32" s="172">
        <f t="shared" si="2"/>
        <v>27.966626936829556</v>
      </c>
      <c r="H32" s="217">
        <f t="shared" si="3"/>
        <v>1.7052821302944852</v>
      </c>
      <c r="I32" s="443">
        <f t="shared" si="4"/>
        <v>33.559999999999995</v>
      </c>
      <c r="J32" s="172">
        <f t="shared" si="5"/>
        <v>1.35</v>
      </c>
      <c r="K32" s="172">
        <f t="shared" si="6"/>
        <v>0.96658711217183779</v>
      </c>
      <c r="L32" s="172">
        <f t="shared" si="7"/>
        <v>0.96428571428571441</v>
      </c>
      <c r="M32" s="443">
        <f t="shared" si="14"/>
        <v>350</v>
      </c>
      <c r="N32" s="197">
        <f t="shared" si="8"/>
        <v>350</v>
      </c>
      <c r="O32" s="217">
        <f t="shared" si="9"/>
        <v>1.9976162097735395</v>
      </c>
      <c r="P32" s="173">
        <f t="shared" si="10"/>
        <v>1.4268687212668143</v>
      </c>
      <c r="Q32" s="173">
        <f t="shared" si="11"/>
        <v>0.49880881519375031</v>
      </c>
      <c r="R32" s="173">
        <f t="shared" si="12"/>
        <v>0.95238095238095266</v>
      </c>
    </row>
    <row r="33" spans="3:18">
      <c r="C33" s="170">
        <v>27</v>
      </c>
      <c r="D33" s="5">
        <f t="shared" si="13"/>
        <v>17.02</v>
      </c>
      <c r="E33" s="443">
        <f t="shared" si="0"/>
        <v>16.799999999999997</v>
      </c>
      <c r="F33" s="217">
        <f t="shared" si="1"/>
        <v>0.49674748669426377</v>
      </c>
      <c r="G33" s="172">
        <f t="shared" si="2"/>
        <v>28.182140745121234</v>
      </c>
      <c r="H33" s="217">
        <f t="shared" si="3"/>
        <v>1.7184232161659292</v>
      </c>
      <c r="I33" s="443">
        <f t="shared" si="4"/>
        <v>33.819999999999993</v>
      </c>
      <c r="J33" s="172">
        <f t="shared" si="5"/>
        <v>1.35</v>
      </c>
      <c r="K33" s="172">
        <f t="shared" si="6"/>
        <v>0.9518213866039954</v>
      </c>
      <c r="L33" s="172">
        <f t="shared" si="7"/>
        <v>0.96428571428571441</v>
      </c>
      <c r="M33" s="443">
        <f t="shared" si="14"/>
        <v>350</v>
      </c>
      <c r="N33" s="197">
        <f t="shared" si="8"/>
        <v>350</v>
      </c>
      <c r="O33" s="217">
        <f t="shared" si="9"/>
        <v>2.0130100532229447</v>
      </c>
      <c r="P33" s="173">
        <f t="shared" si="10"/>
        <v>1.437864323730675</v>
      </c>
      <c r="Q33" s="173">
        <f t="shared" si="11"/>
        <v>0.50652618429708041</v>
      </c>
      <c r="R33" s="173">
        <f t="shared" si="12"/>
        <v>0.95238095238095266</v>
      </c>
    </row>
    <row r="34" spans="3:18">
      <c r="C34" s="170">
        <v>28</v>
      </c>
      <c r="D34" s="5">
        <f t="shared" si="13"/>
        <v>17.28</v>
      </c>
      <c r="E34" s="443">
        <f t="shared" si="0"/>
        <v>16.799999999999997</v>
      </c>
      <c r="F34" s="217">
        <f t="shared" si="1"/>
        <v>0.49295774647887319</v>
      </c>
      <c r="G34" s="172">
        <f t="shared" si="2"/>
        <v>28.394366197183096</v>
      </c>
      <c r="H34" s="217">
        <f t="shared" si="3"/>
        <v>1.7313637925111645</v>
      </c>
      <c r="I34" s="443">
        <f t="shared" si="4"/>
        <v>34.08</v>
      </c>
      <c r="J34" s="172">
        <f t="shared" si="5"/>
        <v>1.35</v>
      </c>
      <c r="K34" s="172">
        <f t="shared" si="6"/>
        <v>0.9375</v>
      </c>
      <c r="L34" s="172">
        <f t="shared" si="7"/>
        <v>0.96428571428571441</v>
      </c>
      <c r="M34" s="443">
        <f t="shared" si="14"/>
        <v>350</v>
      </c>
      <c r="N34" s="197">
        <f t="shared" si="8"/>
        <v>350</v>
      </c>
      <c r="O34" s="217">
        <f t="shared" si="9"/>
        <v>2.028169014084507</v>
      </c>
      <c r="P34" s="173">
        <f t="shared" si="10"/>
        <v>1.4486921529175054</v>
      </c>
      <c r="Q34" s="173">
        <f t="shared" si="11"/>
        <v>0.51418369371156525</v>
      </c>
      <c r="R34" s="173">
        <f t="shared" si="12"/>
        <v>0.95238095238095266</v>
      </c>
    </row>
    <row r="35" spans="3:18">
      <c r="C35" s="170">
        <v>29</v>
      </c>
      <c r="D35" s="5">
        <f t="shared" si="13"/>
        <v>17.54</v>
      </c>
      <c r="E35" s="443">
        <f t="shared" si="0"/>
        <v>16.799999999999997</v>
      </c>
      <c r="F35" s="217">
        <f t="shared" si="1"/>
        <v>0.48922539312754804</v>
      </c>
      <c r="G35" s="172">
        <f t="shared" si="2"/>
        <v>28.60337798485731</v>
      </c>
      <c r="H35" s="217">
        <f t="shared" si="3"/>
        <v>1.7441084137108118</v>
      </c>
      <c r="I35" s="443">
        <f t="shared" si="4"/>
        <v>34.339999999999996</v>
      </c>
      <c r="J35" s="172">
        <f t="shared" si="5"/>
        <v>1.35</v>
      </c>
      <c r="K35" s="172">
        <f t="shared" si="6"/>
        <v>0.92360319270239466</v>
      </c>
      <c r="L35" s="172">
        <f t="shared" si="7"/>
        <v>0.96428571428571441</v>
      </c>
      <c r="M35" s="443">
        <f t="shared" si="14"/>
        <v>350</v>
      </c>
      <c r="N35" s="197">
        <f t="shared" si="8"/>
        <v>350</v>
      </c>
      <c r="O35" s="217">
        <f t="shared" si="9"/>
        <v>2.0430984274898076</v>
      </c>
      <c r="P35" s="173">
        <f t="shared" si="10"/>
        <v>1.459356019635577</v>
      </c>
      <c r="Q35" s="173">
        <f t="shared" si="11"/>
        <v>0.52178139805141566</v>
      </c>
      <c r="R35" s="173">
        <f t="shared" si="12"/>
        <v>0.95238095238095266</v>
      </c>
    </row>
    <row r="36" spans="3:18">
      <c r="C36" s="170">
        <v>30</v>
      </c>
      <c r="D36" s="5">
        <f t="shared" si="13"/>
        <v>17.8</v>
      </c>
      <c r="E36" s="443">
        <f t="shared" si="0"/>
        <v>16.799999999999997</v>
      </c>
      <c r="F36" s="217">
        <f t="shared" si="1"/>
        <v>0.48554913294797686</v>
      </c>
      <c r="G36" s="172">
        <f t="shared" si="2"/>
        <v>28.809248554913296</v>
      </c>
      <c r="H36" s="217">
        <f t="shared" si="3"/>
        <v>1.7566614972508108</v>
      </c>
      <c r="I36" s="443">
        <f t="shared" si="4"/>
        <v>34.599999999999994</v>
      </c>
      <c r="J36" s="172">
        <f t="shared" si="5"/>
        <v>1.35</v>
      </c>
      <c r="K36" s="172">
        <f t="shared" si="6"/>
        <v>0.9101123595505618</v>
      </c>
      <c r="L36" s="172">
        <f t="shared" si="7"/>
        <v>0.96428571428571441</v>
      </c>
      <c r="M36" s="443">
        <f t="shared" si="14"/>
        <v>350</v>
      </c>
      <c r="N36" s="197">
        <f t="shared" si="8"/>
        <v>350</v>
      </c>
      <c r="O36" s="217">
        <f t="shared" si="9"/>
        <v>2.0578034682080921</v>
      </c>
      <c r="P36" s="173">
        <f t="shared" si="10"/>
        <v>1.4698596201486378</v>
      </c>
      <c r="Q36" s="173">
        <f t="shared" si="11"/>
        <v>0.52931938922115684</v>
      </c>
      <c r="R36" s="173">
        <f t="shared" si="12"/>
        <v>0.95238095238095266</v>
      </c>
    </row>
    <row r="37" spans="3:18">
      <c r="C37" s="170">
        <v>31</v>
      </c>
      <c r="D37" s="5">
        <f t="shared" si="13"/>
        <v>18.060000000000002</v>
      </c>
      <c r="E37" s="443">
        <f t="shared" si="0"/>
        <v>16.799999999999997</v>
      </c>
      <c r="F37" s="217">
        <f t="shared" si="1"/>
        <v>0.48192771084337344</v>
      </c>
      <c r="G37" s="172">
        <f t="shared" si="2"/>
        <v>29.012048192771083</v>
      </c>
      <c r="H37" s="217">
        <f t="shared" si="3"/>
        <v>1.7690273288275051</v>
      </c>
      <c r="I37" s="443">
        <f t="shared" si="4"/>
        <v>34.86</v>
      </c>
      <c r="J37" s="172">
        <f t="shared" si="5"/>
        <v>1.35</v>
      </c>
      <c r="K37" s="172">
        <f t="shared" si="6"/>
        <v>0.89700996677740852</v>
      </c>
      <c r="L37" s="172">
        <f t="shared" si="7"/>
        <v>0.96428571428571441</v>
      </c>
      <c r="M37" s="443">
        <f t="shared" si="14"/>
        <v>350</v>
      </c>
      <c r="N37" s="197">
        <f t="shared" si="8"/>
        <v>350</v>
      </c>
      <c r="O37" s="217">
        <f t="shared" si="9"/>
        <v>2.072289156626506</v>
      </c>
      <c r="P37" s="173">
        <f t="shared" si="10"/>
        <v>1.4802065404475047</v>
      </c>
      <c r="Q37" s="173">
        <f t="shared" si="11"/>
        <v>0.53679779358397461</v>
      </c>
      <c r="R37" s="173">
        <f t="shared" si="12"/>
        <v>0.95238095238095266</v>
      </c>
    </row>
    <row r="38" spans="3:18">
      <c r="C38" s="170">
        <v>32</v>
      </c>
      <c r="D38" s="5">
        <f t="shared" si="13"/>
        <v>18.32</v>
      </c>
      <c r="E38" s="443">
        <f t="shared" ref="E38:E69" si="15">(Vout+Vfwd1)*Nps</f>
        <v>16.799999999999997</v>
      </c>
      <c r="F38" s="217">
        <f t="shared" ref="F38:F69" si="16">(Vout+Vfwd1)*Nps/((Vout+Vfwd1)*Nps+D38)</f>
        <v>0.47835990888382685</v>
      </c>
      <c r="G38" s="172">
        <f t="shared" ref="G38:G69" si="17">F38*D38*Isw_max*0.5*Efficiency</f>
        <v>29.211845102505691</v>
      </c>
      <c r="H38" s="217">
        <f t="shared" ref="H38:H69" si="18">G38/Vout</f>
        <v>1.781210067225957</v>
      </c>
      <c r="I38" s="443">
        <f t="shared" ref="I38:I69" si="19">(Vout+Vfwd1)*Nps+D38</f>
        <v>35.119999999999997</v>
      </c>
      <c r="J38" s="172">
        <f t="shared" ref="J38:J69" si="20">MIN(2*Vout*Iout/(Efficiency*D38*F38), 1.35)</f>
        <v>1.35</v>
      </c>
      <c r="K38" s="172">
        <f t="shared" ref="K38:K69" si="21">L*J38/D38*1000000</f>
        <v>0.88427947598253276</v>
      </c>
      <c r="L38" s="172">
        <f t="shared" ref="L38:L69" si="22">L*J38/((Vout+Vfwd1)*Nps)*1000000</f>
        <v>0.96428571428571441</v>
      </c>
      <c r="M38" s="443">
        <f t="shared" si="14"/>
        <v>350</v>
      </c>
      <c r="N38" s="197">
        <f t="shared" ref="N38:N69" si="23">IF(1/((350000*L)*(1/D38+1/E38))&gt;Isw_min, 350, 0.001/((Isw_min*L)*(1/D38+1/E38)))</f>
        <v>350</v>
      </c>
      <c r="O38" s="217">
        <f t="shared" ref="O38:O69" si="24">1/((N38*1000*L)*(1/D38+1/E38))</f>
        <v>2.0865603644646922</v>
      </c>
      <c r="P38" s="173">
        <f t="shared" ref="P38:P69" si="25">L*O38/E38*1000000</f>
        <v>1.4904002603319233</v>
      </c>
      <c r="Q38" s="173">
        <f t="shared" ref="Q38:Q69" si="26">0.5*P38*O38*Nps*N38/1000</f>
        <v>0.54421676931937868</v>
      </c>
      <c r="R38" s="173">
        <f t="shared" ref="R38:R69" si="27">L*Isw_min/E38*1000000</f>
        <v>0.95238095238095266</v>
      </c>
    </row>
    <row r="39" spans="3:18">
      <c r="C39" s="170">
        <v>33</v>
      </c>
      <c r="D39" s="5">
        <f t="shared" ref="D39:D70" si="28">C39/100*(VIN_max-VIN_min)+VIN_min</f>
        <v>18.579999999999998</v>
      </c>
      <c r="E39" s="443">
        <f t="shared" si="15"/>
        <v>16.799999999999997</v>
      </c>
      <c r="F39" s="217">
        <f t="shared" si="16"/>
        <v>0.47484454494064443</v>
      </c>
      <c r="G39" s="172">
        <f t="shared" si="17"/>
        <v>29.40870548332391</v>
      </c>
      <c r="H39" s="217">
        <f t="shared" si="18"/>
        <v>1.7932137489831654</v>
      </c>
      <c r="I39" s="443">
        <f t="shared" si="19"/>
        <v>35.379999999999995</v>
      </c>
      <c r="J39" s="172">
        <f t="shared" si="20"/>
        <v>1.35</v>
      </c>
      <c r="K39" s="172">
        <f t="shared" si="21"/>
        <v>0.87190527448869759</v>
      </c>
      <c r="L39" s="172">
        <f t="shared" si="22"/>
        <v>0.96428571428571441</v>
      </c>
      <c r="M39" s="443">
        <f t="shared" si="14"/>
        <v>350</v>
      </c>
      <c r="N39" s="197">
        <f t="shared" si="23"/>
        <v>350</v>
      </c>
      <c r="O39" s="217">
        <f t="shared" si="24"/>
        <v>2.1006218202374218</v>
      </c>
      <c r="P39" s="173">
        <f t="shared" si="25"/>
        <v>1.5004441573124445</v>
      </c>
      <c r="Q39" s="173">
        <f t="shared" si="26"/>
        <v>0.55157650395719759</v>
      </c>
      <c r="R39" s="173">
        <f t="shared" si="27"/>
        <v>0.95238095238095266</v>
      </c>
    </row>
    <row r="40" spans="3:18">
      <c r="C40" s="170">
        <v>34</v>
      </c>
      <c r="D40" s="5">
        <f t="shared" si="28"/>
        <v>18.84</v>
      </c>
      <c r="E40" s="443">
        <f t="shared" si="15"/>
        <v>16.799999999999997</v>
      </c>
      <c r="F40" s="217">
        <f t="shared" si="16"/>
        <v>0.47138047138047129</v>
      </c>
      <c r="G40" s="172">
        <f t="shared" si="17"/>
        <v>29.602693602693595</v>
      </c>
      <c r="H40" s="217">
        <f t="shared" si="18"/>
        <v>1.8050422928471705</v>
      </c>
      <c r="I40" s="443">
        <f t="shared" si="19"/>
        <v>35.64</v>
      </c>
      <c r="J40" s="172">
        <f t="shared" si="20"/>
        <v>1.35</v>
      </c>
      <c r="K40" s="172">
        <f t="shared" si="21"/>
        <v>0.85987261146496818</v>
      </c>
      <c r="L40" s="172">
        <f t="shared" si="22"/>
        <v>0.96428571428571441</v>
      </c>
      <c r="M40" s="443">
        <f t="shared" si="14"/>
        <v>350</v>
      </c>
      <c r="N40" s="197">
        <f t="shared" si="23"/>
        <v>350</v>
      </c>
      <c r="O40" s="217">
        <f t="shared" si="24"/>
        <v>2.1144781144781142</v>
      </c>
      <c r="P40" s="173">
        <f t="shared" si="25"/>
        <v>1.5103415103415105</v>
      </c>
      <c r="Q40" s="173">
        <f t="shared" si="26"/>
        <v>0.55887721207586527</v>
      </c>
      <c r="R40" s="173">
        <f t="shared" si="27"/>
        <v>0.95238095238095266</v>
      </c>
    </row>
    <row r="41" spans="3:18">
      <c r="C41" s="170">
        <v>35</v>
      </c>
      <c r="D41" s="5">
        <f t="shared" si="28"/>
        <v>19.100000000000001</v>
      </c>
      <c r="E41" s="443">
        <f t="shared" si="15"/>
        <v>16.799999999999997</v>
      </c>
      <c r="F41" s="217">
        <f t="shared" si="16"/>
        <v>0.46796657381615592</v>
      </c>
      <c r="G41" s="172">
        <f t="shared" si="17"/>
        <v>29.793871866295266</v>
      </c>
      <c r="H41" s="217">
        <f t="shared" si="18"/>
        <v>1.8166995040423943</v>
      </c>
      <c r="I41" s="443">
        <f t="shared" si="19"/>
        <v>35.9</v>
      </c>
      <c r="J41" s="172">
        <f t="shared" si="20"/>
        <v>1.35</v>
      </c>
      <c r="K41" s="172">
        <f t="shared" si="21"/>
        <v>0.84816753926701571</v>
      </c>
      <c r="L41" s="172">
        <f t="shared" si="22"/>
        <v>0.96428571428571441</v>
      </c>
      <c r="M41" s="443">
        <f t="shared" si="14"/>
        <v>350</v>
      </c>
      <c r="N41" s="197">
        <f t="shared" si="23"/>
        <v>350</v>
      </c>
      <c r="O41" s="217">
        <f t="shared" si="24"/>
        <v>2.1281337047353759</v>
      </c>
      <c r="P41" s="173">
        <f t="shared" si="25"/>
        <v>1.5200955033824115</v>
      </c>
      <c r="Q41" s="173">
        <f t="shared" si="26"/>
        <v>0.56611913315383944</v>
      </c>
      <c r="R41" s="173">
        <f t="shared" si="27"/>
        <v>0.95238095238095266</v>
      </c>
    </row>
    <row r="42" spans="3:18">
      <c r="C42" s="170">
        <v>36</v>
      </c>
      <c r="D42" s="5">
        <f t="shared" si="28"/>
        <v>19.36</v>
      </c>
      <c r="E42" s="443">
        <f t="shared" si="15"/>
        <v>16.799999999999997</v>
      </c>
      <c r="F42" s="217">
        <f t="shared" si="16"/>
        <v>0.46460176991150437</v>
      </c>
      <c r="G42" s="172">
        <f t="shared" si="17"/>
        <v>29.982300884955748</v>
      </c>
      <c r="H42" s="217">
        <f t="shared" si="18"/>
        <v>1.8281890783509605</v>
      </c>
      <c r="I42" s="443">
        <f t="shared" si="19"/>
        <v>36.159999999999997</v>
      </c>
      <c r="J42" s="172">
        <f t="shared" si="20"/>
        <v>1.35</v>
      </c>
      <c r="K42" s="172">
        <f t="shared" si="21"/>
        <v>0.83677685950413228</v>
      </c>
      <c r="L42" s="172">
        <f t="shared" si="22"/>
        <v>0.96428571428571441</v>
      </c>
      <c r="M42" s="443">
        <f t="shared" si="14"/>
        <v>350</v>
      </c>
      <c r="N42" s="197">
        <f t="shared" si="23"/>
        <v>350</v>
      </c>
      <c r="O42" s="217">
        <f t="shared" si="24"/>
        <v>2.1415929203539821</v>
      </c>
      <c r="P42" s="173">
        <f t="shared" si="25"/>
        <v>1.5297092288242731</v>
      </c>
      <c r="Q42" s="173">
        <f t="shared" si="26"/>
        <v>0.57330252956378713</v>
      </c>
      <c r="R42" s="173">
        <f t="shared" si="27"/>
        <v>0.95238095238095266</v>
      </c>
    </row>
    <row r="43" spans="3:18">
      <c r="C43" s="170">
        <v>37</v>
      </c>
      <c r="D43" s="5">
        <f t="shared" si="28"/>
        <v>19.619999999999997</v>
      </c>
      <c r="E43" s="443">
        <f t="shared" si="15"/>
        <v>16.799999999999997</v>
      </c>
      <c r="F43" s="217">
        <f t="shared" si="16"/>
        <v>0.46128500823723229</v>
      </c>
      <c r="G43" s="172">
        <f t="shared" si="17"/>
        <v>30.168039538714986</v>
      </c>
      <c r="H43" s="217">
        <f t="shared" si="18"/>
        <v>1.8395146060192067</v>
      </c>
      <c r="I43" s="443">
        <f t="shared" si="19"/>
        <v>36.419999999999995</v>
      </c>
      <c r="J43" s="172">
        <f t="shared" si="20"/>
        <v>1.35</v>
      </c>
      <c r="K43" s="172">
        <f t="shared" si="21"/>
        <v>0.82568807339449557</v>
      </c>
      <c r="L43" s="172">
        <f t="shared" si="22"/>
        <v>0.96428571428571441</v>
      </c>
      <c r="M43" s="443">
        <f t="shared" si="14"/>
        <v>350</v>
      </c>
      <c r="N43" s="197">
        <f t="shared" si="23"/>
        <v>350</v>
      </c>
      <c r="O43" s="217">
        <f t="shared" si="24"/>
        <v>2.1548599670510709</v>
      </c>
      <c r="P43" s="173">
        <f t="shared" si="25"/>
        <v>1.5391856907507651</v>
      </c>
      <c r="Q43" s="173">
        <f t="shared" si="26"/>
        <v>0.58042768469991779</v>
      </c>
      <c r="R43" s="173">
        <f t="shared" si="27"/>
        <v>0.95238095238095266</v>
      </c>
    </row>
    <row r="44" spans="3:18">
      <c r="C44" s="170">
        <v>38</v>
      </c>
      <c r="D44" s="5">
        <f t="shared" si="28"/>
        <v>19.880000000000003</v>
      </c>
      <c r="E44" s="443">
        <f t="shared" si="15"/>
        <v>16.799999999999997</v>
      </c>
      <c r="F44" s="217">
        <f t="shared" si="16"/>
        <v>0.45801526717557245</v>
      </c>
      <c r="G44" s="172">
        <f t="shared" si="17"/>
        <v>30.351145038167942</v>
      </c>
      <c r="H44" s="217">
        <f t="shared" si="18"/>
        <v>1.8506795754980454</v>
      </c>
      <c r="I44" s="443">
        <f t="shared" si="19"/>
        <v>36.68</v>
      </c>
      <c r="J44" s="172">
        <f t="shared" si="20"/>
        <v>1.35</v>
      </c>
      <c r="K44" s="172">
        <f t="shared" si="21"/>
        <v>0.81488933601609648</v>
      </c>
      <c r="L44" s="172">
        <f t="shared" si="22"/>
        <v>0.96428571428571441</v>
      </c>
      <c r="M44" s="443">
        <f t="shared" si="14"/>
        <v>350</v>
      </c>
      <c r="N44" s="197">
        <f t="shared" si="23"/>
        <v>350</v>
      </c>
      <c r="O44" s="217">
        <f t="shared" si="24"/>
        <v>2.1679389312977095</v>
      </c>
      <c r="P44" s="173">
        <f t="shared" si="25"/>
        <v>1.5485278080697928</v>
      </c>
      <c r="Q44" s="173">
        <f t="shared" si="26"/>
        <v>0.58749490122953196</v>
      </c>
      <c r="R44" s="173">
        <f t="shared" si="27"/>
        <v>0.95238095238095266</v>
      </c>
    </row>
    <row r="45" spans="3:18">
      <c r="C45" s="170">
        <v>39</v>
      </c>
      <c r="D45" s="5">
        <f t="shared" si="28"/>
        <v>20.14</v>
      </c>
      <c r="E45" s="443">
        <f t="shared" si="15"/>
        <v>16.799999999999997</v>
      </c>
      <c r="F45" s="217">
        <f t="shared" si="16"/>
        <v>0.45479155387114234</v>
      </c>
      <c r="G45" s="172">
        <f t="shared" si="17"/>
        <v>30.531672983216023</v>
      </c>
      <c r="H45" s="217">
        <f t="shared" si="18"/>
        <v>1.8616873770253675</v>
      </c>
      <c r="I45" s="443">
        <f t="shared" si="19"/>
        <v>36.94</v>
      </c>
      <c r="J45" s="172">
        <f t="shared" si="20"/>
        <v>1.35</v>
      </c>
      <c r="K45" s="172">
        <f t="shared" si="21"/>
        <v>0.80436941410129092</v>
      </c>
      <c r="L45" s="172">
        <f t="shared" si="22"/>
        <v>0.96428571428571441</v>
      </c>
      <c r="M45" s="443">
        <f t="shared" si="14"/>
        <v>350</v>
      </c>
      <c r="N45" s="197">
        <f t="shared" si="23"/>
        <v>350</v>
      </c>
      <c r="O45" s="217">
        <f t="shared" si="24"/>
        <v>2.1808337845154302</v>
      </c>
      <c r="P45" s="173">
        <f t="shared" si="25"/>
        <v>1.557738417511022</v>
      </c>
      <c r="Q45" s="173">
        <f t="shared" si="26"/>
        <v>0.594504499460487</v>
      </c>
      <c r="R45" s="173">
        <f t="shared" si="27"/>
        <v>0.95238095238095266</v>
      </c>
    </row>
    <row r="46" spans="3:18">
      <c r="C46" s="170">
        <v>40</v>
      </c>
      <c r="D46" s="5">
        <f t="shared" si="28"/>
        <v>20.399999999999999</v>
      </c>
      <c r="E46" s="443">
        <f t="shared" si="15"/>
        <v>16.799999999999997</v>
      </c>
      <c r="F46" s="217">
        <f t="shared" si="16"/>
        <v>0.45161290322580644</v>
      </c>
      <c r="G46" s="172">
        <f t="shared" si="17"/>
        <v>30.70967741935484</v>
      </c>
      <c r="H46" s="217">
        <f t="shared" si="18"/>
        <v>1.8725413060582221</v>
      </c>
      <c r="I46" s="443">
        <f t="shared" si="19"/>
        <v>37.199999999999996</v>
      </c>
      <c r="J46" s="172">
        <f t="shared" si="20"/>
        <v>1.35</v>
      </c>
      <c r="K46" s="172">
        <f t="shared" si="21"/>
        <v>0.79411764705882359</v>
      </c>
      <c r="L46" s="172">
        <f t="shared" si="22"/>
        <v>0.96428571428571441</v>
      </c>
      <c r="M46" s="443">
        <f t="shared" si="14"/>
        <v>350</v>
      </c>
      <c r="N46" s="197">
        <f t="shared" si="23"/>
        <v>350</v>
      </c>
      <c r="O46" s="217">
        <f t="shared" si="24"/>
        <v>2.1935483870967736</v>
      </c>
      <c r="P46" s="173">
        <f t="shared" si="25"/>
        <v>1.5668202764976957</v>
      </c>
      <c r="Q46" s="173">
        <f t="shared" si="26"/>
        <v>0.60145681581685717</v>
      </c>
      <c r="R46" s="173">
        <f t="shared" si="27"/>
        <v>0.95238095238095266</v>
      </c>
    </row>
    <row r="47" spans="3:18">
      <c r="C47" s="170">
        <v>41</v>
      </c>
      <c r="D47" s="5">
        <f t="shared" si="28"/>
        <v>20.66</v>
      </c>
      <c r="E47" s="443">
        <f t="shared" si="15"/>
        <v>16.799999999999997</v>
      </c>
      <c r="F47" s="217">
        <f t="shared" si="16"/>
        <v>0.44847837693539777</v>
      </c>
      <c r="G47" s="172">
        <f t="shared" si="17"/>
        <v>30.885210891617728</v>
      </c>
      <c r="H47" s="217">
        <f t="shared" si="18"/>
        <v>1.8832445665620567</v>
      </c>
      <c r="I47" s="443">
        <f t="shared" si="19"/>
        <v>37.459999999999994</v>
      </c>
      <c r="J47" s="172">
        <f t="shared" si="20"/>
        <v>1.35</v>
      </c>
      <c r="K47" s="172">
        <f t="shared" si="21"/>
        <v>0.78412391093901268</v>
      </c>
      <c r="L47" s="172">
        <f t="shared" si="22"/>
        <v>0.96428571428571441</v>
      </c>
      <c r="M47" s="443">
        <f t="shared" si="14"/>
        <v>350</v>
      </c>
      <c r="N47" s="197">
        <f t="shared" si="23"/>
        <v>350</v>
      </c>
      <c r="O47" s="217">
        <f t="shared" si="24"/>
        <v>2.2060864922584087</v>
      </c>
      <c r="P47" s="173">
        <f t="shared" si="25"/>
        <v>1.5757760658988635</v>
      </c>
      <c r="Q47" s="173">
        <f t="shared" si="26"/>
        <v>0.6083522014156264</v>
      </c>
      <c r="R47" s="173">
        <f t="shared" si="27"/>
        <v>0.95238095238095266</v>
      </c>
    </row>
    <row r="48" spans="3:18">
      <c r="C48" s="170">
        <v>42</v>
      </c>
      <c r="D48" s="5">
        <f t="shared" si="28"/>
        <v>20.92</v>
      </c>
      <c r="E48" s="443">
        <f t="shared" si="15"/>
        <v>16.799999999999997</v>
      </c>
      <c r="F48" s="217">
        <f t="shared" si="16"/>
        <v>0.44538706256627775</v>
      </c>
      <c r="G48" s="172">
        <f t="shared" si="17"/>
        <v>31.058324496288439</v>
      </c>
      <c r="H48" s="217">
        <f t="shared" si="18"/>
        <v>1.8938002741639293</v>
      </c>
      <c r="I48" s="443">
        <f t="shared" si="19"/>
        <v>37.72</v>
      </c>
      <c r="J48" s="172">
        <f t="shared" si="20"/>
        <v>1.35</v>
      </c>
      <c r="K48" s="172">
        <f t="shared" si="21"/>
        <v>0.77437858508604196</v>
      </c>
      <c r="L48" s="172">
        <f t="shared" si="22"/>
        <v>0.96428571428571441</v>
      </c>
      <c r="M48" s="443">
        <f t="shared" si="14"/>
        <v>350</v>
      </c>
      <c r="N48" s="197">
        <f t="shared" si="23"/>
        <v>350</v>
      </c>
      <c r="O48" s="217">
        <f t="shared" si="24"/>
        <v>2.2184517497348883</v>
      </c>
      <c r="P48" s="173">
        <f t="shared" si="25"/>
        <v>1.5846083926677776</v>
      </c>
      <c r="Q48" s="173">
        <f t="shared" si="26"/>
        <v>0.61519102073772358</v>
      </c>
      <c r="R48" s="173">
        <f t="shared" si="27"/>
        <v>0.95238095238095266</v>
      </c>
    </row>
    <row r="49" spans="3:18">
      <c r="C49" s="170">
        <v>43</v>
      </c>
      <c r="D49" s="5">
        <f t="shared" si="28"/>
        <v>21.18</v>
      </c>
      <c r="E49" s="443">
        <f t="shared" si="15"/>
        <v>16.799999999999997</v>
      </c>
      <c r="F49" s="217">
        <f t="shared" si="16"/>
        <v>0.44233807266982617</v>
      </c>
      <c r="G49" s="172">
        <f t="shared" si="17"/>
        <v>31.229067930489727</v>
      </c>
      <c r="H49" s="217">
        <f t="shared" si="18"/>
        <v>1.9042114591762029</v>
      </c>
      <c r="I49" s="443">
        <f t="shared" si="19"/>
        <v>37.979999999999997</v>
      </c>
      <c r="J49" s="172">
        <f t="shared" si="20"/>
        <v>1.35</v>
      </c>
      <c r="K49" s="172">
        <f t="shared" si="21"/>
        <v>0.76487252124645899</v>
      </c>
      <c r="L49" s="172">
        <f t="shared" si="22"/>
        <v>0.96428571428571441</v>
      </c>
      <c r="M49" s="443">
        <f t="shared" si="14"/>
        <v>350</v>
      </c>
      <c r="N49" s="197">
        <f t="shared" si="23"/>
        <v>350</v>
      </c>
      <c r="O49" s="217">
        <f t="shared" si="24"/>
        <v>2.2306477093206944</v>
      </c>
      <c r="P49" s="173">
        <f t="shared" si="25"/>
        <v>1.5933197923719249</v>
      </c>
      <c r="Q49" s="173">
        <f t="shared" si="26"/>
        <v>0.62197365038720787</v>
      </c>
      <c r="R49" s="173">
        <f t="shared" si="27"/>
        <v>0.95238095238095266</v>
      </c>
    </row>
    <row r="50" spans="3:18">
      <c r="C50" s="170">
        <v>44</v>
      </c>
      <c r="D50" s="5">
        <f t="shared" si="28"/>
        <v>21.439999999999998</v>
      </c>
      <c r="E50" s="443">
        <f t="shared" si="15"/>
        <v>16.799999999999997</v>
      </c>
      <c r="F50" s="217">
        <f t="shared" si="16"/>
        <v>0.43933054393305437</v>
      </c>
      <c r="G50" s="172">
        <f t="shared" si="17"/>
        <v>31.397489539748953</v>
      </c>
      <c r="H50" s="217">
        <f t="shared" si="18"/>
        <v>1.9144810694968875</v>
      </c>
      <c r="I50" s="443">
        <f t="shared" si="19"/>
        <v>38.239999999999995</v>
      </c>
      <c r="J50" s="172">
        <f t="shared" si="20"/>
        <v>1.35</v>
      </c>
      <c r="K50" s="172">
        <f t="shared" si="21"/>
        <v>0.75559701492537323</v>
      </c>
      <c r="L50" s="172">
        <f t="shared" si="22"/>
        <v>0.96428571428571441</v>
      </c>
      <c r="M50" s="443">
        <f t="shared" si="14"/>
        <v>350</v>
      </c>
      <c r="N50" s="197">
        <f t="shared" si="23"/>
        <v>350</v>
      </c>
      <c r="O50" s="217">
        <f t="shared" si="24"/>
        <v>2.2426778242677821</v>
      </c>
      <c r="P50" s="173">
        <f t="shared" si="25"/>
        <v>1.6019127316198447</v>
      </c>
      <c r="Q50" s="173">
        <f t="shared" si="26"/>
        <v>0.62870047793280925</v>
      </c>
      <c r="R50" s="173">
        <f t="shared" si="27"/>
        <v>0.95238095238095266</v>
      </c>
    </row>
    <row r="51" spans="3:18">
      <c r="C51" s="170">
        <v>45</v>
      </c>
      <c r="D51" s="5">
        <f t="shared" si="28"/>
        <v>21.700000000000003</v>
      </c>
      <c r="E51" s="443">
        <f t="shared" si="15"/>
        <v>16.799999999999997</v>
      </c>
      <c r="F51" s="217">
        <f t="shared" si="16"/>
        <v>0.43636363636363629</v>
      </c>
      <c r="G51" s="172">
        <f t="shared" si="17"/>
        <v>31.563636363636363</v>
      </c>
      <c r="H51" s="217">
        <f t="shared" si="18"/>
        <v>1.9246119733924614</v>
      </c>
      <c r="I51" s="443">
        <f t="shared" si="19"/>
        <v>38.5</v>
      </c>
      <c r="J51" s="172">
        <f t="shared" si="20"/>
        <v>1.35</v>
      </c>
      <c r="K51" s="172">
        <f t="shared" si="21"/>
        <v>0.74654377880184331</v>
      </c>
      <c r="L51" s="172">
        <f t="shared" si="22"/>
        <v>0.96428571428571441</v>
      </c>
      <c r="M51" s="443">
        <f t="shared" si="14"/>
        <v>350</v>
      </c>
      <c r="N51" s="197">
        <f t="shared" si="23"/>
        <v>350</v>
      </c>
      <c r="O51" s="217">
        <f t="shared" si="24"/>
        <v>2.2545454545454544</v>
      </c>
      <c r="P51" s="173">
        <f t="shared" si="25"/>
        <v>1.6103896103896107</v>
      </c>
      <c r="Q51" s="173">
        <f t="shared" si="26"/>
        <v>0.63537190082644646</v>
      </c>
      <c r="R51" s="173">
        <f t="shared" si="27"/>
        <v>0.95238095238095266</v>
      </c>
    </row>
    <row r="52" spans="3:18">
      <c r="C52" s="170">
        <v>46</v>
      </c>
      <c r="D52" s="5">
        <f t="shared" si="28"/>
        <v>21.96</v>
      </c>
      <c r="E52" s="443">
        <f t="shared" si="15"/>
        <v>16.799999999999997</v>
      </c>
      <c r="F52" s="217">
        <f t="shared" si="16"/>
        <v>0.43343653250773989</v>
      </c>
      <c r="G52" s="172">
        <f t="shared" si="17"/>
        <v>31.727554179566564</v>
      </c>
      <c r="H52" s="217">
        <f t="shared" si="18"/>
        <v>1.934606962168693</v>
      </c>
      <c r="I52" s="443">
        <f t="shared" si="19"/>
        <v>38.76</v>
      </c>
      <c r="J52" s="172">
        <f t="shared" si="20"/>
        <v>1.35</v>
      </c>
      <c r="K52" s="172">
        <f t="shared" si="21"/>
        <v>0.73770491803278682</v>
      </c>
      <c r="L52" s="172">
        <f t="shared" si="22"/>
        <v>0.96428571428571441</v>
      </c>
      <c r="M52" s="443">
        <f t="shared" si="14"/>
        <v>350</v>
      </c>
      <c r="N52" s="197">
        <f t="shared" si="23"/>
        <v>350</v>
      </c>
      <c r="O52" s="217">
        <f t="shared" si="24"/>
        <v>2.2662538699690398</v>
      </c>
      <c r="P52" s="173">
        <f t="shared" si="25"/>
        <v>1.6187527642636004</v>
      </c>
      <c r="Q52" s="173">
        <f t="shared" si="26"/>
        <v>0.64198832539370643</v>
      </c>
      <c r="R52" s="173">
        <f t="shared" si="27"/>
        <v>0.95238095238095266</v>
      </c>
    </row>
    <row r="53" spans="3:18">
      <c r="C53" s="170">
        <v>47</v>
      </c>
      <c r="D53" s="5">
        <f t="shared" si="28"/>
        <v>22.22</v>
      </c>
      <c r="E53" s="443">
        <f t="shared" si="15"/>
        <v>16.799999999999997</v>
      </c>
      <c r="F53" s="217">
        <f t="shared" si="16"/>
        <v>0.43054843669912862</v>
      </c>
      <c r="G53" s="172">
        <f t="shared" si="17"/>
        <v>31.889287544848795</v>
      </c>
      <c r="H53" s="217">
        <f t="shared" si="18"/>
        <v>1.9444687527346829</v>
      </c>
      <c r="I53" s="443">
        <f t="shared" si="19"/>
        <v>39.019999999999996</v>
      </c>
      <c r="J53" s="172">
        <f t="shared" si="20"/>
        <v>1.35</v>
      </c>
      <c r="K53" s="172">
        <f t="shared" si="21"/>
        <v>0.72907290729072916</v>
      </c>
      <c r="L53" s="172">
        <f t="shared" si="22"/>
        <v>0.96428571428571441</v>
      </c>
      <c r="M53" s="443">
        <f t="shared" si="14"/>
        <v>350</v>
      </c>
      <c r="N53" s="197">
        <f t="shared" si="23"/>
        <v>350</v>
      </c>
      <c r="O53" s="217">
        <f t="shared" si="24"/>
        <v>2.2778062532034848</v>
      </c>
      <c r="P53" s="173">
        <f t="shared" si="25"/>
        <v>1.6270044665739181</v>
      </c>
      <c r="Q53" s="173">
        <f t="shared" si="26"/>
        <v>0.6485501658916123</v>
      </c>
      <c r="R53" s="173">
        <f t="shared" si="27"/>
        <v>0.95238095238095266</v>
      </c>
    </row>
    <row r="54" spans="3:18">
      <c r="C54" s="170">
        <v>48</v>
      </c>
      <c r="D54" s="5">
        <f t="shared" si="28"/>
        <v>22.48</v>
      </c>
      <c r="E54" s="443">
        <f t="shared" si="15"/>
        <v>16.799999999999997</v>
      </c>
      <c r="F54" s="217">
        <f t="shared" si="16"/>
        <v>0.42769857433808545</v>
      </c>
      <c r="G54" s="172">
        <f t="shared" si="17"/>
        <v>32.048879837067204</v>
      </c>
      <c r="H54" s="217">
        <f t="shared" si="18"/>
        <v>1.9541999900650735</v>
      </c>
      <c r="I54" s="443">
        <f t="shared" si="19"/>
        <v>39.28</v>
      </c>
      <c r="J54" s="172">
        <f t="shared" si="20"/>
        <v>1.35</v>
      </c>
      <c r="K54" s="172">
        <f t="shared" si="21"/>
        <v>0.72064056939501786</v>
      </c>
      <c r="L54" s="172">
        <f t="shared" si="22"/>
        <v>0.96428571428571441</v>
      </c>
      <c r="M54" s="443">
        <f t="shared" si="14"/>
        <v>350</v>
      </c>
      <c r="N54" s="197">
        <f t="shared" si="23"/>
        <v>350</v>
      </c>
      <c r="O54" s="217">
        <f t="shared" si="24"/>
        <v>2.2892057026476573</v>
      </c>
      <c r="P54" s="173">
        <f t="shared" si="25"/>
        <v>1.6351469304626125</v>
      </c>
      <c r="Q54" s="173">
        <f t="shared" si="26"/>
        <v>0.65505784362931929</v>
      </c>
      <c r="R54" s="173">
        <f t="shared" si="27"/>
        <v>0.95238095238095266</v>
      </c>
    </row>
    <row r="55" spans="3:18">
      <c r="C55" s="170">
        <v>49</v>
      </c>
      <c r="D55" s="5">
        <f t="shared" si="28"/>
        <v>22.740000000000002</v>
      </c>
      <c r="E55" s="443">
        <f t="shared" si="15"/>
        <v>16.799999999999997</v>
      </c>
      <c r="F55" s="217">
        <f t="shared" si="16"/>
        <v>0.42488619119878596</v>
      </c>
      <c r="G55" s="172">
        <f t="shared" si="17"/>
        <v>32.20637329286798</v>
      </c>
      <c r="H55" s="217">
        <f t="shared" si="18"/>
        <v>1.963803249565121</v>
      </c>
      <c r="I55" s="443">
        <f t="shared" si="19"/>
        <v>39.54</v>
      </c>
      <c r="J55" s="172">
        <f t="shared" si="20"/>
        <v>1.35</v>
      </c>
      <c r="K55" s="172">
        <f t="shared" si="21"/>
        <v>0.71240105540897103</v>
      </c>
      <c r="L55" s="172">
        <f t="shared" si="22"/>
        <v>0.96428571428571441</v>
      </c>
      <c r="M55" s="443">
        <f t="shared" si="14"/>
        <v>350</v>
      </c>
      <c r="N55" s="197">
        <f t="shared" si="23"/>
        <v>350</v>
      </c>
      <c r="O55" s="217">
        <f t="shared" si="24"/>
        <v>2.3004552352048555</v>
      </c>
      <c r="P55" s="173">
        <f t="shared" si="25"/>
        <v>1.6431823108606114</v>
      </c>
      <c r="Q55" s="173">
        <f t="shared" si="26"/>
        <v>0.66151178614767858</v>
      </c>
      <c r="R55" s="173">
        <f t="shared" si="27"/>
        <v>0.95238095238095266</v>
      </c>
    </row>
    <row r="56" spans="3:18">
      <c r="C56" s="170">
        <v>50</v>
      </c>
      <c r="D56" s="5">
        <f t="shared" si="28"/>
        <v>23</v>
      </c>
      <c r="E56" s="443">
        <f t="shared" si="15"/>
        <v>16.799999999999997</v>
      </c>
      <c r="F56" s="217">
        <f t="shared" si="16"/>
        <v>0.42211055276381904</v>
      </c>
      <c r="G56" s="172">
        <f t="shared" si="17"/>
        <v>32.361809045226124</v>
      </c>
      <c r="H56" s="217">
        <f t="shared" si="18"/>
        <v>1.9732810393430564</v>
      </c>
      <c r="I56" s="443">
        <f t="shared" si="19"/>
        <v>39.799999999999997</v>
      </c>
      <c r="J56" s="172">
        <f t="shared" si="20"/>
        <v>1.35</v>
      </c>
      <c r="K56" s="172">
        <f t="shared" si="21"/>
        <v>0.70434782608695656</v>
      </c>
      <c r="L56" s="172">
        <f t="shared" si="22"/>
        <v>0.96428571428571441</v>
      </c>
      <c r="M56" s="443">
        <f t="shared" si="14"/>
        <v>350</v>
      </c>
      <c r="N56" s="197">
        <f t="shared" si="23"/>
        <v>350</v>
      </c>
      <c r="O56" s="217">
        <f t="shared" si="24"/>
        <v>2.3115577889447234</v>
      </c>
      <c r="P56" s="173">
        <f t="shared" si="25"/>
        <v>1.6511127063890885</v>
      </c>
      <c r="Q56" s="173">
        <f t="shared" si="26"/>
        <v>0.66791242645387738</v>
      </c>
      <c r="R56" s="173">
        <f t="shared" si="27"/>
        <v>0.95238095238095266</v>
      </c>
    </row>
    <row r="57" spans="3:18">
      <c r="C57" s="170">
        <v>51</v>
      </c>
      <c r="D57" s="5">
        <f t="shared" si="28"/>
        <v>23.259999999999998</v>
      </c>
      <c r="E57" s="443">
        <f t="shared" si="15"/>
        <v>16.799999999999997</v>
      </c>
      <c r="F57" s="217">
        <f t="shared" si="16"/>
        <v>0.41937094358462307</v>
      </c>
      <c r="G57" s="172">
        <f t="shared" si="17"/>
        <v>32.515227159261109</v>
      </c>
      <c r="H57" s="217">
        <f t="shared" si="18"/>
        <v>1.9826358023939703</v>
      </c>
      <c r="I57" s="443">
        <f t="shared" si="19"/>
        <v>40.059999999999995</v>
      </c>
      <c r="J57" s="172">
        <f t="shared" si="20"/>
        <v>1.35</v>
      </c>
      <c r="K57" s="172">
        <f t="shared" si="21"/>
        <v>0.69647463456577818</v>
      </c>
      <c r="L57" s="172">
        <f t="shared" si="22"/>
        <v>0.96428571428571441</v>
      </c>
      <c r="M57" s="443">
        <f t="shared" si="14"/>
        <v>350</v>
      </c>
      <c r="N57" s="197">
        <f t="shared" si="23"/>
        <v>350</v>
      </c>
      <c r="O57" s="217">
        <f t="shared" si="24"/>
        <v>2.3225162256615075</v>
      </c>
      <c r="P57" s="173">
        <f t="shared" si="25"/>
        <v>1.6589401611867916</v>
      </c>
      <c r="Q57" s="173">
        <f t="shared" si="26"/>
        <v>0.67426020230762196</v>
      </c>
      <c r="R57" s="173">
        <f t="shared" si="27"/>
        <v>0.95238095238095266</v>
      </c>
    </row>
    <row r="58" spans="3:18">
      <c r="C58" s="170">
        <v>52</v>
      </c>
      <c r="D58" s="5">
        <f t="shared" si="28"/>
        <v>23.52</v>
      </c>
      <c r="E58" s="443">
        <f t="shared" si="15"/>
        <v>16.799999999999997</v>
      </c>
      <c r="F58" s="217">
        <f t="shared" si="16"/>
        <v>0.41666666666666669</v>
      </c>
      <c r="G58" s="172">
        <f t="shared" si="17"/>
        <v>32.666666666666671</v>
      </c>
      <c r="H58" s="217">
        <f t="shared" si="18"/>
        <v>1.9918699186991875</v>
      </c>
      <c r="I58" s="443">
        <f t="shared" si="19"/>
        <v>40.319999999999993</v>
      </c>
      <c r="J58" s="172">
        <f t="shared" si="20"/>
        <v>1.35</v>
      </c>
      <c r="K58" s="172">
        <f t="shared" si="21"/>
        <v>0.68877551020408168</v>
      </c>
      <c r="L58" s="172">
        <f t="shared" si="22"/>
        <v>0.96428571428571441</v>
      </c>
      <c r="M58" s="443">
        <f t="shared" si="14"/>
        <v>350</v>
      </c>
      <c r="N58" s="197">
        <f t="shared" si="23"/>
        <v>350</v>
      </c>
      <c r="O58" s="217">
        <f t="shared" si="24"/>
        <v>2.333333333333333</v>
      </c>
      <c r="P58" s="173">
        <f t="shared" si="25"/>
        <v>1.6666666666666667</v>
      </c>
      <c r="Q58" s="173">
        <f t="shared" si="26"/>
        <v>0.68055555555555547</v>
      </c>
      <c r="R58" s="173">
        <f t="shared" si="27"/>
        <v>0.95238095238095266</v>
      </c>
    </row>
    <row r="59" spans="3:18">
      <c r="C59" s="170">
        <v>53</v>
      </c>
      <c r="D59" s="5">
        <f t="shared" si="28"/>
        <v>23.78</v>
      </c>
      <c r="E59" s="443">
        <f t="shared" si="15"/>
        <v>16.799999999999997</v>
      </c>
      <c r="F59" s="217">
        <f t="shared" si="16"/>
        <v>0.41399704287826511</v>
      </c>
      <c r="G59" s="172">
        <f t="shared" si="17"/>
        <v>32.81616559881715</v>
      </c>
      <c r="H59" s="217">
        <f t="shared" si="18"/>
        <v>2.0009857072449484</v>
      </c>
      <c r="I59" s="443">
        <f t="shared" si="19"/>
        <v>40.58</v>
      </c>
      <c r="J59" s="172">
        <f t="shared" si="20"/>
        <v>1.35</v>
      </c>
      <c r="K59" s="172">
        <f t="shared" si="21"/>
        <v>0.68124474348191766</v>
      </c>
      <c r="L59" s="172">
        <f t="shared" si="22"/>
        <v>0.96428571428571441</v>
      </c>
      <c r="M59" s="443">
        <f t="shared" si="14"/>
        <v>350</v>
      </c>
      <c r="N59" s="197">
        <f t="shared" si="23"/>
        <v>350</v>
      </c>
      <c r="O59" s="217">
        <f t="shared" si="24"/>
        <v>2.3440118284869391</v>
      </c>
      <c r="P59" s="173">
        <f t="shared" si="25"/>
        <v>1.6742941632049568</v>
      </c>
      <c r="Q59" s="173">
        <f t="shared" si="26"/>
        <v>0.6867989315108356</v>
      </c>
      <c r="R59" s="173">
        <f t="shared" si="27"/>
        <v>0.95238095238095266</v>
      </c>
    </row>
    <row r="60" spans="3:18">
      <c r="C60" s="170">
        <v>54</v>
      </c>
      <c r="D60" s="5">
        <f t="shared" si="28"/>
        <v>24.04</v>
      </c>
      <c r="E60" s="443">
        <f t="shared" si="15"/>
        <v>16.799999999999997</v>
      </c>
      <c r="F60" s="217">
        <f t="shared" si="16"/>
        <v>0.41136141038197843</v>
      </c>
      <c r="G60" s="172">
        <f t="shared" si="17"/>
        <v>32.963761018609205</v>
      </c>
      <c r="H60" s="217">
        <f t="shared" si="18"/>
        <v>2.0099854279639762</v>
      </c>
      <c r="I60" s="443">
        <f t="shared" si="19"/>
        <v>40.839999999999996</v>
      </c>
      <c r="J60" s="172">
        <f t="shared" si="20"/>
        <v>1.35</v>
      </c>
      <c r="K60" s="172">
        <f t="shared" si="21"/>
        <v>0.67387687188019973</v>
      </c>
      <c r="L60" s="172">
        <f t="shared" si="22"/>
        <v>0.96428571428571441</v>
      </c>
      <c r="M60" s="443">
        <f t="shared" si="14"/>
        <v>350</v>
      </c>
      <c r="N60" s="197">
        <f t="shared" si="23"/>
        <v>350</v>
      </c>
      <c r="O60" s="217">
        <f t="shared" si="24"/>
        <v>2.3545543584720856</v>
      </c>
      <c r="P60" s="173">
        <f t="shared" si="25"/>
        <v>1.6818245417657758</v>
      </c>
      <c r="Q60" s="173">
        <f t="shared" si="26"/>
        <v>0.6929907783749869</v>
      </c>
      <c r="R60" s="173">
        <f t="shared" si="27"/>
        <v>0.95238095238095266</v>
      </c>
    </row>
    <row r="61" spans="3:18">
      <c r="C61" s="170">
        <v>55</v>
      </c>
      <c r="D61" s="5">
        <f t="shared" si="28"/>
        <v>24.3</v>
      </c>
      <c r="E61" s="443">
        <f t="shared" si="15"/>
        <v>16.799999999999997</v>
      </c>
      <c r="F61" s="217">
        <f t="shared" si="16"/>
        <v>0.40875912408759124</v>
      </c>
      <c r="G61" s="172">
        <f t="shared" si="17"/>
        <v>33.109489051094897</v>
      </c>
      <c r="H61" s="217">
        <f t="shared" si="18"/>
        <v>2.0188712836033478</v>
      </c>
      <c r="I61" s="443">
        <f t="shared" si="19"/>
        <v>41.099999999999994</v>
      </c>
      <c r="J61" s="172">
        <f t="shared" si="20"/>
        <v>1.35</v>
      </c>
      <c r="K61" s="172">
        <f t="shared" si="21"/>
        <v>0.66666666666666674</v>
      </c>
      <c r="L61" s="172">
        <f t="shared" si="22"/>
        <v>0.96428571428571441</v>
      </c>
      <c r="M61" s="443">
        <f t="shared" si="14"/>
        <v>350</v>
      </c>
      <c r="N61" s="197">
        <f t="shared" si="23"/>
        <v>350</v>
      </c>
      <c r="O61" s="217">
        <f t="shared" si="24"/>
        <v>2.3649635036496344</v>
      </c>
      <c r="P61" s="173">
        <f t="shared" si="25"/>
        <v>1.689259645464025</v>
      </c>
      <c r="Q61" s="173">
        <f t="shared" si="26"/>
        <v>0.69913154669934441</v>
      </c>
      <c r="R61" s="173">
        <f t="shared" si="27"/>
        <v>0.95238095238095266</v>
      </c>
    </row>
    <row r="62" spans="3:18">
      <c r="C62" s="170">
        <v>56</v>
      </c>
      <c r="D62" s="5">
        <f t="shared" si="28"/>
        <v>24.560000000000002</v>
      </c>
      <c r="E62" s="443">
        <f t="shared" si="15"/>
        <v>16.799999999999997</v>
      </c>
      <c r="F62" s="217">
        <f t="shared" si="16"/>
        <v>0.4061895551257253</v>
      </c>
      <c r="G62" s="172">
        <f t="shared" si="17"/>
        <v>33.253384912959383</v>
      </c>
      <c r="H62" s="217">
        <f t="shared" si="18"/>
        <v>2.027645421521914</v>
      </c>
      <c r="I62" s="443">
        <f t="shared" si="19"/>
        <v>41.36</v>
      </c>
      <c r="J62" s="172">
        <f t="shared" si="20"/>
        <v>1.35</v>
      </c>
      <c r="K62" s="172">
        <f t="shared" si="21"/>
        <v>0.6596091205211726</v>
      </c>
      <c r="L62" s="172">
        <f t="shared" si="22"/>
        <v>0.96428571428571441</v>
      </c>
      <c r="M62" s="443">
        <f t="shared" si="14"/>
        <v>350</v>
      </c>
      <c r="N62" s="197">
        <f t="shared" si="23"/>
        <v>350</v>
      </c>
      <c r="O62" s="217">
        <f t="shared" si="24"/>
        <v>2.3752417794970984</v>
      </c>
      <c r="P62" s="173">
        <f t="shared" si="25"/>
        <v>1.6966012710693563</v>
      </c>
      <c r="Q62" s="173">
        <f t="shared" si="26"/>
        <v>0.70522168888356795</v>
      </c>
      <c r="R62" s="173">
        <f t="shared" si="27"/>
        <v>0.95238095238095266</v>
      </c>
    </row>
    <row r="63" spans="3:18">
      <c r="C63" s="170">
        <v>57</v>
      </c>
      <c r="D63" s="5">
        <f t="shared" si="28"/>
        <v>24.82</v>
      </c>
      <c r="E63" s="443">
        <f t="shared" si="15"/>
        <v>16.799999999999997</v>
      </c>
      <c r="F63" s="217">
        <f t="shared" si="16"/>
        <v>0.4036520903411821</v>
      </c>
      <c r="G63" s="172">
        <f t="shared" si="17"/>
        <v>33.3954829408938</v>
      </c>
      <c r="H63" s="217">
        <f t="shared" si="18"/>
        <v>2.0363099354203538</v>
      </c>
      <c r="I63" s="443">
        <f t="shared" si="19"/>
        <v>41.62</v>
      </c>
      <c r="J63" s="172">
        <f t="shared" si="20"/>
        <v>1.35</v>
      </c>
      <c r="K63" s="172">
        <f t="shared" si="21"/>
        <v>0.65269943593875912</v>
      </c>
      <c r="L63" s="172">
        <f t="shared" si="22"/>
        <v>0.96428571428571441</v>
      </c>
      <c r="M63" s="443">
        <f t="shared" si="14"/>
        <v>350</v>
      </c>
      <c r="N63" s="197">
        <f t="shared" si="23"/>
        <v>350</v>
      </c>
      <c r="O63" s="217">
        <f t="shared" si="24"/>
        <v>2.3853916386352711</v>
      </c>
      <c r="P63" s="173">
        <f t="shared" si="25"/>
        <v>1.7038511704537656</v>
      </c>
      <c r="Q63" s="173">
        <f t="shared" si="26"/>
        <v>0.71126165870888325</v>
      </c>
      <c r="R63" s="173">
        <f t="shared" si="27"/>
        <v>0.95238095238095266</v>
      </c>
    </row>
    <row r="64" spans="3:18">
      <c r="C64" s="170">
        <v>58</v>
      </c>
      <c r="D64" s="5">
        <f t="shared" si="28"/>
        <v>25.08</v>
      </c>
      <c r="E64" s="443">
        <f t="shared" si="15"/>
        <v>16.799999999999997</v>
      </c>
      <c r="F64" s="217">
        <f t="shared" si="16"/>
        <v>0.40114613180515757</v>
      </c>
      <c r="G64" s="172">
        <f t="shared" si="17"/>
        <v>33.53581661891117</v>
      </c>
      <c r="H64" s="217">
        <f t="shared" si="18"/>
        <v>2.0448668670067787</v>
      </c>
      <c r="I64" s="443">
        <f t="shared" si="19"/>
        <v>41.879999999999995</v>
      </c>
      <c r="J64" s="172">
        <f t="shared" si="20"/>
        <v>1.35</v>
      </c>
      <c r="K64" s="172">
        <f t="shared" si="21"/>
        <v>0.64593301435406703</v>
      </c>
      <c r="L64" s="172">
        <f t="shared" si="22"/>
        <v>0.96428571428571441</v>
      </c>
      <c r="M64" s="443">
        <f t="shared" si="14"/>
        <v>350</v>
      </c>
      <c r="N64" s="197">
        <f t="shared" si="23"/>
        <v>350</v>
      </c>
      <c r="O64" s="217">
        <f t="shared" si="24"/>
        <v>2.3954154727793693</v>
      </c>
      <c r="P64" s="173">
        <f t="shared" si="25"/>
        <v>1.7110110519852639</v>
      </c>
      <c r="Q64" s="173">
        <f t="shared" si="26"/>
        <v>0.71725191090385121</v>
      </c>
      <c r="R64" s="173">
        <f t="shared" si="27"/>
        <v>0.95238095238095266</v>
      </c>
    </row>
    <row r="65" spans="3:18">
      <c r="C65" s="170">
        <v>59</v>
      </c>
      <c r="D65" s="5">
        <f t="shared" si="28"/>
        <v>25.34</v>
      </c>
      <c r="E65" s="443">
        <f t="shared" si="15"/>
        <v>16.799999999999997</v>
      </c>
      <c r="F65" s="217">
        <f t="shared" si="16"/>
        <v>0.3986710963455149</v>
      </c>
      <c r="G65" s="172">
        <f t="shared" si="17"/>
        <v>33.674418604651166</v>
      </c>
      <c r="H65" s="217">
        <f t="shared" si="18"/>
        <v>2.0533182076006811</v>
      </c>
      <c r="I65" s="443">
        <f t="shared" si="19"/>
        <v>42.14</v>
      </c>
      <c r="J65" s="172">
        <f t="shared" si="20"/>
        <v>1.35</v>
      </c>
      <c r="K65" s="172">
        <f t="shared" si="21"/>
        <v>0.63930544593528027</v>
      </c>
      <c r="L65" s="172">
        <f t="shared" si="22"/>
        <v>0.96428571428571441</v>
      </c>
      <c r="M65" s="443">
        <f t="shared" si="14"/>
        <v>350</v>
      </c>
      <c r="N65" s="197">
        <f t="shared" si="23"/>
        <v>350</v>
      </c>
      <c r="O65" s="217">
        <f t="shared" si="24"/>
        <v>2.40531561461794</v>
      </c>
      <c r="P65" s="173">
        <f t="shared" si="25"/>
        <v>1.7180825818699574</v>
      </c>
      <c r="Q65" s="173">
        <f t="shared" si="26"/>
        <v>0.72319290074060982</v>
      </c>
      <c r="R65" s="173">
        <f t="shared" si="27"/>
        <v>0.95238095238095266</v>
      </c>
    </row>
    <row r="66" spans="3:18">
      <c r="C66" s="170">
        <v>60</v>
      </c>
      <c r="D66" s="5">
        <f t="shared" si="28"/>
        <v>25.6</v>
      </c>
      <c r="E66" s="443">
        <f t="shared" si="15"/>
        <v>16.799999999999997</v>
      </c>
      <c r="F66" s="217">
        <f t="shared" si="16"/>
        <v>0.39622641509433959</v>
      </c>
      <c r="G66" s="172">
        <f t="shared" si="17"/>
        <v>33.811320754716981</v>
      </c>
      <c r="H66" s="217">
        <f t="shared" si="18"/>
        <v>2.0616658996778647</v>
      </c>
      <c r="I66" s="443">
        <f t="shared" si="19"/>
        <v>42.4</v>
      </c>
      <c r="J66" s="172">
        <f t="shared" si="20"/>
        <v>1.35</v>
      </c>
      <c r="K66" s="172">
        <f t="shared" si="21"/>
        <v>0.6328125</v>
      </c>
      <c r="L66" s="172">
        <f t="shared" si="22"/>
        <v>0.96428571428571441</v>
      </c>
      <c r="M66" s="443">
        <f t="shared" si="14"/>
        <v>350</v>
      </c>
      <c r="N66" s="197">
        <f t="shared" si="23"/>
        <v>350</v>
      </c>
      <c r="O66" s="217">
        <f t="shared" si="24"/>
        <v>2.415094339622641</v>
      </c>
      <c r="P66" s="173">
        <f t="shared" si="25"/>
        <v>1.725067385444744</v>
      </c>
      <c r="Q66" s="173">
        <f t="shared" si="26"/>
        <v>0.72908508365966518</v>
      </c>
      <c r="R66" s="173">
        <f t="shared" si="27"/>
        <v>0.95238095238095266</v>
      </c>
    </row>
    <row r="67" spans="3:18">
      <c r="C67" s="170">
        <v>61</v>
      </c>
      <c r="D67" s="5">
        <f t="shared" si="28"/>
        <v>25.86</v>
      </c>
      <c r="E67" s="443">
        <f t="shared" si="15"/>
        <v>16.799999999999997</v>
      </c>
      <c r="F67" s="217">
        <f t="shared" si="16"/>
        <v>0.39381153305203936</v>
      </c>
      <c r="G67" s="172">
        <f t="shared" si="17"/>
        <v>33.946554149085799</v>
      </c>
      <c r="H67" s="217">
        <f t="shared" si="18"/>
        <v>2.0699118383588901</v>
      </c>
      <c r="I67" s="443">
        <f t="shared" si="19"/>
        <v>42.66</v>
      </c>
      <c r="J67" s="172">
        <f t="shared" si="20"/>
        <v>1.35</v>
      </c>
      <c r="K67" s="172">
        <f t="shared" si="21"/>
        <v>0.6264501160092808</v>
      </c>
      <c r="L67" s="172">
        <f t="shared" si="22"/>
        <v>0.96428571428571441</v>
      </c>
      <c r="M67" s="443">
        <f t="shared" si="14"/>
        <v>350</v>
      </c>
      <c r="N67" s="197">
        <f t="shared" si="23"/>
        <v>350</v>
      </c>
      <c r="O67" s="217">
        <f t="shared" si="24"/>
        <v>2.4247538677918419</v>
      </c>
      <c r="P67" s="173">
        <f t="shared" si="25"/>
        <v>1.7319670484227445</v>
      </c>
      <c r="Q67" s="173">
        <f t="shared" si="26"/>
        <v>0.73492891492143719</v>
      </c>
      <c r="R67" s="173">
        <f t="shared" si="27"/>
        <v>0.95238095238095266</v>
      </c>
    </row>
    <row r="68" spans="3:18">
      <c r="C68" s="170">
        <v>62</v>
      </c>
      <c r="D68" s="5">
        <f t="shared" si="28"/>
        <v>26.12</v>
      </c>
      <c r="E68" s="443">
        <f t="shared" si="15"/>
        <v>16.799999999999997</v>
      </c>
      <c r="F68" s="217">
        <f t="shared" si="16"/>
        <v>0.39142590866728788</v>
      </c>
      <c r="G68" s="172">
        <f t="shared" si="17"/>
        <v>34.080149114631865</v>
      </c>
      <c r="H68" s="217">
        <f t="shared" si="18"/>
        <v>2.0780578728434067</v>
      </c>
      <c r="I68" s="443">
        <f t="shared" si="19"/>
        <v>42.92</v>
      </c>
      <c r="J68" s="172">
        <f t="shared" si="20"/>
        <v>1.35</v>
      </c>
      <c r="K68" s="172">
        <f t="shared" si="21"/>
        <v>0.62021439509954057</v>
      </c>
      <c r="L68" s="172">
        <f t="shared" si="22"/>
        <v>0.96428571428571441</v>
      </c>
      <c r="M68" s="443">
        <f t="shared" si="14"/>
        <v>350</v>
      </c>
      <c r="N68" s="197">
        <f t="shared" si="23"/>
        <v>350</v>
      </c>
      <c r="O68" s="217">
        <f t="shared" si="24"/>
        <v>2.434296365330848</v>
      </c>
      <c r="P68" s="173">
        <f t="shared" si="25"/>
        <v>1.7387831180934632</v>
      </c>
      <c r="Q68" s="173">
        <f t="shared" si="26"/>
        <v>0.74072484928287241</v>
      </c>
      <c r="R68" s="173">
        <f t="shared" si="27"/>
        <v>0.95238095238095266</v>
      </c>
    </row>
    <row r="69" spans="3:18">
      <c r="C69" s="170">
        <v>63</v>
      </c>
      <c r="D69" s="5">
        <f t="shared" si="28"/>
        <v>26.38</v>
      </c>
      <c r="E69" s="443">
        <f t="shared" si="15"/>
        <v>16.799999999999997</v>
      </c>
      <c r="F69" s="217">
        <f t="shared" si="16"/>
        <v>0.38906901343214451</v>
      </c>
      <c r="G69" s="172">
        <f t="shared" si="17"/>
        <v>34.212135247799907</v>
      </c>
      <c r="H69" s="217">
        <f t="shared" si="18"/>
        <v>2.0861058077926775</v>
      </c>
      <c r="I69" s="443">
        <f t="shared" si="19"/>
        <v>43.179999999999993</v>
      </c>
      <c r="J69" s="172">
        <f t="shared" si="20"/>
        <v>1.35</v>
      </c>
      <c r="K69" s="172">
        <f t="shared" si="21"/>
        <v>0.61410159211523885</v>
      </c>
      <c r="L69" s="172">
        <f t="shared" si="22"/>
        <v>0.96428571428571441</v>
      </c>
      <c r="M69" s="443">
        <f t="shared" si="14"/>
        <v>350</v>
      </c>
      <c r="N69" s="197">
        <f t="shared" si="23"/>
        <v>350</v>
      </c>
      <c r="O69" s="217">
        <f t="shared" si="24"/>
        <v>2.4437239462714215</v>
      </c>
      <c r="P69" s="173">
        <f t="shared" si="25"/>
        <v>1.7455171044795872</v>
      </c>
      <c r="Q69" s="173">
        <f t="shared" si="26"/>
        <v>0.74647334069754645</v>
      </c>
      <c r="R69" s="173">
        <f t="shared" si="27"/>
        <v>0.95238095238095266</v>
      </c>
    </row>
    <row r="70" spans="3:18">
      <c r="C70" s="170">
        <v>64</v>
      </c>
      <c r="D70" s="5">
        <f t="shared" si="28"/>
        <v>26.64</v>
      </c>
      <c r="E70" s="443">
        <f t="shared" ref="E70:E106" si="29">(Vout+Vfwd1)*Nps</f>
        <v>16.799999999999997</v>
      </c>
      <c r="F70" s="217">
        <f t="shared" ref="F70:F106" si="30">(Vout+Vfwd1)*Nps/((Vout+Vfwd1)*Nps+D70)</f>
        <v>0.38674033149171266</v>
      </c>
      <c r="G70" s="172">
        <f t="shared" ref="G70:G101" si="31">F70*D70*Isw_max*0.5*Efficiency</f>
        <v>34.342541436464089</v>
      </c>
      <c r="H70" s="217">
        <f t="shared" ref="H70:H101" si="32">G70/Vout</f>
        <v>2.0940574046624447</v>
      </c>
      <c r="I70" s="443">
        <f t="shared" ref="I70:I106" si="33">(Vout+Vfwd1)*Nps+D70</f>
        <v>43.44</v>
      </c>
      <c r="J70" s="172">
        <f t="shared" ref="J70:J106" si="34">MIN(2*Vout*Iout/(Efficiency*D70*F70), 1.35)</f>
        <v>1.35</v>
      </c>
      <c r="K70" s="172">
        <f t="shared" ref="K70:K101" si="35">L*J70/D70*1000000</f>
        <v>0.60810810810810811</v>
      </c>
      <c r="L70" s="172">
        <f t="shared" ref="L70:L106" si="36">L*J70/((Vout+Vfwd1)*Nps)*1000000</f>
        <v>0.96428571428571441</v>
      </c>
      <c r="M70" s="443">
        <f t="shared" si="14"/>
        <v>350</v>
      </c>
      <c r="N70" s="197">
        <f t="shared" ref="N70:N106" si="37">IF(1/((350000*L)*(1/D70+1/E70))&gt;Isw_min, 350, 0.001/((Isw_min*L)*(1/D70+1/E70)))</f>
        <v>350</v>
      </c>
      <c r="O70" s="217">
        <f t="shared" ref="O70:O101" si="38">1/((N70*1000*L)*(1/D70+1/E70))</f>
        <v>2.4530386740331487</v>
      </c>
      <c r="P70" s="173">
        <f t="shared" ref="P70:P101" si="39">L*O70/E70*1000000</f>
        <v>1.7521704814522494</v>
      </c>
      <c r="Q70" s="173">
        <f t="shared" ref="Q70:Q101" si="40">0.5*P70*O70*Nps*N70/1000</f>
        <v>0.75217484203778862</v>
      </c>
      <c r="R70" s="173">
        <f t="shared" ref="R70:R106" si="41">L*Isw_min/E70*1000000</f>
        <v>0.95238095238095266</v>
      </c>
    </row>
    <row r="71" spans="3:18">
      <c r="C71" s="170">
        <v>65</v>
      </c>
      <c r="D71" s="5">
        <f t="shared" ref="D71:D102" si="42">C71/100*(VIN_max-VIN_min)+VIN_min</f>
        <v>26.900000000000002</v>
      </c>
      <c r="E71" s="443">
        <f t="shared" si="29"/>
        <v>16.799999999999997</v>
      </c>
      <c r="F71" s="217">
        <f t="shared" si="30"/>
        <v>0.38443935926773448</v>
      </c>
      <c r="G71" s="172">
        <f t="shared" si="31"/>
        <v>34.471395881006863</v>
      </c>
      <c r="H71" s="217">
        <f t="shared" si="32"/>
        <v>2.1019143829882236</v>
      </c>
      <c r="I71" s="443">
        <f t="shared" si="33"/>
        <v>43.7</v>
      </c>
      <c r="J71" s="172">
        <f t="shared" si="34"/>
        <v>1.35</v>
      </c>
      <c r="K71" s="172">
        <f t="shared" si="35"/>
        <v>0.60223048327137541</v>
      </c>
      <c r="L71" s="172">
        <f t="shared" si="36"/>
        <v>0.96428571428571441</v>
      </c>
      <c r="M71" s="443">
        <f t="shared" ref="M71:M106" si="43">MIN(1/(K71+L71)*1000, 350)</f>
        <v>350</v>
      </c>
      <c r="N71" s="197">
        <f t="shared" si="37"/>
        <v>350</v>
      </c>
      <c r="O71" s="217">
        <f t="shared" si="38"/>
        <v>2.4622425629290614</v>
      </c>
      <c r="P71" s="173">
        <f t="shared" si="39"/>
        <v>1.7587446878064728</v>
      </c>
      <c r="Q71" s="173">
        <f t="shared" si="40"/>
        <v>0.75782980483743412</v>
      </c>
      <c r="R71" s="173">
        <f t="shared" si="41"/>
        <v>0.95238095238095266</v>
      </c>
    </row>
    <row r="72" spans="3:18">
      <c r="C72" s="170">
        <v>66</v>
      </c>
      <c r="D72" s="5">
        <f t="shared" si="42"/>
        <v>27.16</v>
      </c>
      <c r="E72" s="443">
        <f t="shared" si="29"/>
        <v>16.799999999999997</v>
      </c>
      <c r="F72" s="217">
        <f t="shared" si="30"/>
        <v>0.38216560509554137</v>
      </c>
      <c r="G72" s="172">
        <f t="shared" si="31"/>
        <v>34.598726114649679</v>
      </c>
      <c r="H72" s="217">
        <f t="shared" si="32"/>
        <v>2.1096784216249804</v>
      </c>
      <c r="I72" s="443">
        <f t="shared" si="33"/>
        <v>43.959999999999994</v>
      </c>
      <c r="J72" s="172">
        <f t="shared" si="34"/>
        <v>1.35</v>
      </c>
      <c r="K72" s="172">
        <f t="shared" si="35"/>
        <v>0.59646539027982337</v>
      </c>
      <c r="L72" s="172">
        <f t="shared" si="36"/>
        <v>0.96428571428571441</v>
      </c>
      <c r="M72" s="443">
        <f t="shared" si="43"/>
        <v>350</v>
      </c>
      <c r="N72" s="197">
        <f t="shared" si="37"/>
        <v>350</v>
      </c>
      <c r="O72" s="217">
        <f t="shared" si="38"/>
        <v>2.4713375796178338</v>
      </c>
      <c r="P72" s="173">
        <f t="shared" si="39"/>
        <v>1.765241128298453</v>
      </c>
      <c r="Q72" s="173">
        <f t="shared" si="40"/>
        <v>0.76343867905391682</v>
      </c>
      <c r="R72" s="173">
        <f t="shared" si="41"/>
        <v>0.95238095238095266</v>
      </c>
    </row>
    <row r="73" spans="3:18">
      <c r="C73" s="170">
        <v>67</v>
      </c>
      <c r="D73" s="5">
        <f t="shared" si="42"/>
        <v>27.42</v>
      </c>
      <c r="E73" s="443">
        <f t="shared" si="29"/>
        <v>16.799999999999997</v>
      </c>
      <c r="F73" s="217">
        <f t="shared" si="30"/>
        <v>0.37991858887381269</v>
      </c>
      <c r="G73" s="172">
        <f t="shared" si="31"/>
        <v>34.724559023066483</v>
      </c>
      <c r="H73" s="217">
        <f t="shared" si="32"/>
        <v>2.1173511599430785</v>
      </c>
      <c r="I73" s="443">
        <f t="shared" si="33"/>
        <v>44.22</v>
      </c>
      <c r="J73" s="172">
        <f t="shared" si="34"/>
        <v>1.35</v>
      </c>
      <c r="K73" s="172">
        <f t="shared" si="35"/>
        <v>0.5908096280087527</v>
      </c>
      <c r="L73" s="172">
        <f t="shared" si="36"/>
        <v>0.96428571428571441</v>
      </c>
      <c r="M73" s="443">
        <f t="shared" si="43"/>
        <v>350</v>
      </c>
      <c r="N73" s="197">
        <f t="shared" si="37"/>
        <v>350</v>
      </c>
      <c r="O73" s="217">
        <f t="shared" si="38"/>
        <v>2.4803256445047484</v>
      </c>
      <c r="P73" s="173">
        <f t="shared" si="39"/>
        <v>1.7716611746462492</v>
      </c>
      <c r="Q73" s="173">
        <f t="shared" si="40"/>
        <v>0.76900191284848707</v>
      </c>
      <c r="R73" s="173">
        <f t="shared" si="41"/>
        <v>0.95238095238095266</v>
      </c>
    </row>
    <row r="74" spans="3:18">
      <c r="C74" s="170">
        <v>68</v>
      </c>
      <c r="D74" s="5">
        <f t="shared" si="42"/>
        <v>27.68</v>
      </c>
      <c r="E74" s="443">
        <f t="shared" si="29"/>
        <v>16.799999999999997</v>
      </c>
      <c r="F74" s="217">
        <f t="shared" si="30"/>
        <v>0.37769784172661869</v>
      </c>
      <c r="G74" s="172">
        <f t="shared" si="31"/>
        <v>34.848920863309353</v>
      </c>
      <c r="H74" s="217">
        <f t="shared" si="32"/>
        <v>2.1249341989822779</v>
      </c>
      <c r="I74" s="443">
        <f t="shared" si="33"/>
        <v>44.48</v>
      </c>
      <c r="J74" s="172">
        <f t="shared" si="34"/>
        <v>1.35</v>
      </c>
      <c r="K74" s="172">
        <f t="shared" si="35"/>
        <v>0.58526011560693647</v>
      </c>
      <c r="L74" s="172">
        <f t="shared" si="36"/>
        <v>0.96428571428571441</v>
      </c>
      <c r="M74" s="443">
        <f t="shared" si="43"/>
        <v>350</v>
      </c>
      <c r="N74" s="197">
        <f t="shared" si="37"/>
        <v>350</v>
      </c>
      <c r="O74" s="217">
        <f t="shared" si="38"/>
        <v>2.4892086330935248</v>
      </c>
      <c r="P74" s="173">
        <f t="shared" si="39"/>
        <v>1.7780061664953752</v>
      </c>
      <c r="Q74" s="173">
        <f t="shared" si="40"/>
        <v>0.77451995238341698</v>
      </c>
      <c r="R74" s="173">
        <f t="shared" si="41"/>
        <v>0.95238095238095266</v>
      </c>
    </row>
    <row r="75" spans="3:18">
      <c r="C75" s="170">
        <v>69</v>
      </c>
      <c r="D75" s="5">
        <f t="shared" si="42"/>
        <v>27.939999999999998</v>
      </c>
      <c r="E75" s="443">
        <f t="shared" si="29"/>
        <v>16.799999999999997</v>
      </c>
      <c r="F75" s="217">
        <f t="shared" si="30"/>
        <v>0.37550290567724631</v>
      </c>
      <c r="G75" s="172">
        <f t="shared" si="31"/>
        <v>34.971837282074205</v>
      </c>
      <c r="H75" s="217">
        <f t="shared" si="32"/>
        <v>2.1324291025655007</v>
      </c>
      <c r="I75" s="443">
        <f t="shared" si="33"/>
        <v>44.739999999999995</v>
      </c>
      <c r="J75" s="172">
        <f t="shared" si="34"/>
        <v>1.35</v>
      </c>
      <c r="K75" s="172">
        <f t="shared" si="35"/>
        <v>0.57981388690050117</v>
      </c>
      <c r="L75" s="172">
        <f t="shared" si="36"/>
        <v>0.96428571428571441</v>
      </c>
      <c r="M75" s="443">
        <f t="shared" si="43"/>
        <v>350</v>
      </c>
      <c r="N75" s="197">
        <f t="shared" si="37"/>
        <v>350</v>
      </c>
      <c r="O75" s="217">
        <f t="shared" si="38"/>
        <v>2.4979883772910143</v>
      </c>
      <c r="P75" s="173">
        <f t="shared" si="39"/>
        <v>1.7842774123507248</v>
      </c>
      <c r="Q75" s="173">
        <f t="shared" si="40"/>
        <v>0.77999324163512451</v>
      </c>
      <c r="R75" s="173">
        <f t="shared" si="41"/>
        <v>0.95238095238095266</v>
      </c>
    </row>
    <row r="76" spans="3:18">
      <c r="C76" s="170">
        <v>70</v>
      </c>
      <c r="D76" s="5">
        <f t="shared" si="42"/>
        <v>28.2</v>
      </c>
      <c r="E76" s="443">
        <f t="shared" si="29"/>
        <v>16.799999999999997</v>
      </c>
      <c r="F76" s="217">
        <f t="shared" si="30"/>
        <v>0.37333333333333329</v>
      </c>
      <c r="G76" s="172">
        <f t="shared" si="31"/>
        <v>35.093333333333334</v>
      </c>
      <c r="H76" s="217">
        <f t="shared" si="32"/>
        <v>2.139837398373984</v>
      </c>
      <c r="I76" s="443">
        <f t="shared" si="33"/>
        <v>45</v>
      </c>
      <c r="J76" s="172">
        <f t="shared" si="34"/>
        <v>1.35</v>
      </c>
      <c r="K76" s="172">
        <f t="shared" si="35"/>
        <v>0.57446808510638303</v>
      </c>
      <c r="L76" s="172">
        <f t="shared" si="36"/>
        <v>0.96428571428571441</v>
      </c>
      <c r="M76" s="443">
        <f t="shared" si="43"/>
        <v>350</v>
      </c>
      <c r="N76" s="197">
        <f t="shared" si="37"/>
        <v>350</v>
      </c>
      <c r="O76" s="217">
        <f t="shared" si="38"/>
        <v>2.5066666666666664</v>
      </c>
      <c r="P76" s="173">
        <f t="shared" si="39"/>
        <v>1.7904761904761906</v>
      </c>
      <c r="Q76" s="173">
        <f t="shared" si="40"/>
        <v>0.78542222222222213</v>
      </c>
      <c r="R76" s="173">
        <f t="shared" si="41"/>
        <v>0.95238095238095266</v>
      </c>
    </row>
    <row r="77" spans="3:18">
      <c r="C77" s="170">
        <v>71</v>
      </c>
      <c r="D77" s="5">
        <f t="shared" si="42"/>
        <v>28.46</v>
      </c>
      <c r="E77" s="443">
        <f t="shared" si="29"/>
        <v>16.799999999999997</v>
      </c>
      <c r="F77" s="217">
        <f t="shared" si="30"/>
        <v>0.37118868758285456</v>
      </c>
      <c r="G77" s="172">
        <f t="shared" si="31"/>
        <v>35.213433495360135</v>
      </c>
      <c r="H77" s="217">
        <f t="shared" si="32"/>
        <v>2.1471605789853743</v>
      </c>
      <c r="I77" s="443">
        <f t="shared" si="33"/>
        <v>45.26</v>
      </c>
      <c r="J77" s="172">
        <f t="shared" si="34"/>
        <v>1.35</v>
      </c>
      <c r="K77" s="172">
        <f t="shared" si="35"/>
        <v>0.56921995783555868</v>
      </c>
      <c r="L77" s="172">
        <f t="shared" si="36"/>
        <v>0.96428571428571441</v>
      </c>
      <c r="M77" s="443">
        <f t="shared" si="43"/>
        <v>350</v>
      </c>
      <c r="N77" s="197">
        <f t="shared" si="37"/>
        <v>350</v>
      </c>
      <c r="O77" s="217">
        <f t="shared" si="38"/>
        <v>2.5152452496685811</v>
      </c>
      <c r="P77" s="173">
        <f t="shared" si="39"/>
        <v>1.7966037497632725</v>
      </c>
      <c r="Q77" s="173">
        <f t="shared" si="40"/>
        <v>0.7908073332475456</v>
      </c>
      <c r="R77" s="173">
        <f t="shared" si="41"/>
        <v>0.95238095238095266</v>
      </c>
    </row>
    <row r="78" spans="3:18">
      <c r="C78" s="170">
        <v>72</v>
      </c>
      <c r="D78" s="5">
        <f t="shared" si="42"/>
        <v>28.72</v>
      </c>
      <c r="E78" s="443">
        <f t="shared" si="29"/>
        <v>16.799999999999997</v>
      </c>
      <c r="F78" s="217">
        <f t="shared" si="30"/>
        <v>0.36906854130052719</v>
      </c>
      <c r="G78" s="172">
        <f t="shared" si="31"/>
        <v>35.332161687170469</v>
      </c>
      <c r="H78" s="217">
        <f t="shared" si="32"/>
        <v>2.1544001028762483</v>
      </c>
      <c r="I78" s="443">
        <f t="shared" si="33"/>
        <v>45.519999999999996</v>
      </c>
      <c r="J78" s="172">
        <f t="shared" si="34"/>
        <v>1.35</v>
      </c>
      <c r="K78" s="172">
        <f t="shared" si="35"/>
        <v>0.56406685236768805</v>
      </c>
      <c r="L78" s="172">
        <f t="shared" si="36"/>
        <v>0.96428571428571441</v>
      </c>
      <c r="M78" s="443">
        <f t="shared" si="43"/>
        <v>350</v>
      </c>
      <c r="N78" s="197">
        <f t="shared" si="37"/>
        <v>350</v>
      </c>
      <c r="O78" s="217">
        <f t="shared" si="38"/>
        <v>2.5237258347978906</v>
      </c>
      <c r="P78" s="173">
        <f t="shared" si="39"/>
        <v>1.8026613105699223</v>
      </c>
      <c r="Q78" s="173">
        <f t="shared" si="40"/>
        <v>0.79614901115328884</v>
      </c>
      <c r="R78" s="173">
        <f t="shared" si="41"/>
        <v>0.95238095238095266</v>
      </c>
    </row>
    <row r="79" spans="3:18">
      <c r="C79" s="170">
        <v>73</v>
      </c>
      <c r="D79" s="5">
        <f t="shared" si="42"/>
        <v>28.98</v>
      </c>
      <c r="E79" s="443">
        <f t="shared" si="29"/>
        <v>16.799999999999997</v>
      </c>
      <c r="F79" s="217">
        <f t="shared" si="30"/>
        <v>0.36697247706422009</v>
      </c>
      <c r="G79" s="172">
        <f t="shared" si="31"/>
        <v>35.449541284403658</v>
      </c>
      <c r="H79" s="217">
        <f t="shared" si="32"/>
        <v>2.1615573953904672</v>
      </c>
      <c r="I79" s="443">
        <f t="shared" si="33"/>
        <v>45.78</v>
      </c>
      <c r="J79" s="172">
        <f t="shared" si="34"/>
        <v>1.35</v>
      </c>
      <c r="K79" s="172">
        <f t="shared" si="35"/>
        <v>0.55900621118012428</v>
      </c>
      <c r="L79" s="172">
        <f t="shared" si="36"/>
        <v>0.96428571428571441</v>
      </c>
      <c r="M79" s="443">
        <f t="shared" si="43"/>
        <v>350</v>
      </c>
      <c r="N79" s="197">
        <f t="shared" si="37"/>
        <v>350</v>
      </c>
      <c r="O79" s="217">
        <f t="shared" si="38"/>
        <v>2.5321100917431187</v>
      </c>
      <c r="P79" s="173">
        <f t="shared" si="39"/>
        <v>1.8086500655307995</v>
      </c>
      <c r="Q79" s="173">
        <f t="shared" si="40"/>
        <v>0.80144768958841839</v>
      </c>
      <c r="R79" s="173">
        <f t="shared" si="41"/>
        <v>0.95238095238095266</v>
      </c>
    </row>
    <row r="80" spans="3:18">
      <c r="C80" s="170">
        <v>74</v>
      </c>
      <c r="D80" s="5">
        <f t="shared" si="42"/>
        <v>29.24</v>
      </c>
      <c r="E80" s="443">
        <f t="shared" si="29"/>
        <v>16.799999999999997</v>
      </c>
      <c r="F80" s="217">
        <f t="shared" si="30"/>
        <v>0.36490008688097308</v>
      </c>
      <c r="G80" s="172">
        <f t="shared" si="31"/>
        <v>35.565595134665514</v>
      </c>
      <c r="H80" s="217">
        <f t="shared" si="32"/>
        <v>2.1686338496747268</v>
      </c>
      <c r="I80" s="443">
        <f t="shared" si="33"/>
        <v>46.039999999999992</v>
      </c>
      <c r="J80" s="172">
        <f t="shared" si="34"/>
        <v>1.35</v>
      </c>
      <c r="K80" s="172">
        <f t="shared" si="35"/>
        <v>0.55403556771545825</v>
      </c>
      <c r="L80" s="172">
        <f t="shared" si="36"/>
        <v>0.96428571428571441</v>
      </c>
      <c r="M80" s="443">
        <f t="shared" si="43"/>
        <v>350</v>
      </c>
      <c r="N80" s="197">
        <f t="shared" si="37"/>
        <v>350</v>
      </c>
      <c r="O80" s="217">
        <f t="shared" si="38"/>
        <v>2.5403996524761077</v>
      </c>
      <c r="P80" s="173">
        <f t="shared" si="39"/>
        <v>1.8145711803400772</v>
      </c>
      <c r="Q80" s="173">
        <f t="shared" si="40"/>
        <v>0.80670379928759117</v>
      </c>
      <c r="R80" s="173">
        <f t="shared" si="41"/>
        <v>0.95238095238095266</v>
      </c>
    </row>
    <row r="81" spans="3:18">
      <c r="C81" s="170">
        <v>75</v>
      </c>
      <c r="D81" s="5">
        <f t="shared" si="42"/>
        <v>29.5</v>
      </c>
      <c r="E81" s="443">
        <f t="shared" si="29"/>
        <v>16.799999999999997</v>
      </c>
      <c r="F81" s="217">
        <f t="shared" si="30"/>
        <v>0.36285097192224619</v>
      </c>
      <c r="G81" s="172">
        <f t="shared" si="31"/>
        <v>35.680345572354206</v>
      </c>
      <c r="H81" s="217">
        <f t="shared" si="32"/>
        <v>2.1756308275825735</v>
      </c>
      <c r="I81" s="443">
        <f t="shared" si="33"/>
        <v>46.3</v>
      </c>
      <c r="J81" s="172">
        <f t="shared" si="34"/>
        <v>1.35</v>
      </c>
      <c r="K81" s="172">
        <f t="shared" si="35"/>
        <v>0.54915254237288136</v>
      </c>
      <c r="L81" s="172">
        <f t="shared" si="36"/>
        <v>0.96428571428571441</v>
      </c>
      <c r="M81" s="443">
        <f t="shared" si="43"/>
        <v>350</v>
      </c>
      <c r="N81" s="197">
        <f t="shared" si="37"/>
        <v>350</v>
      </c>
      <c r="O81" s="217">
        <f t="shared" si="38"/>
        <v>2.548596112311015</v>
      </c>
      <c r="P81" s="173">
        <f t="shared" si="39"/>
        <v>1.8204257945078681</v>
      </c>
      <c r="Q81" s="173">
        <f t="shared" si="40"/>
        <v>0.81191776796085269</v>
      </c>
      <c r="R81" s="173">
        <f t="shared" si="41"/>
        <v>0.95238095238095266</v>
      </c>
    </row>
    <row r="82" spans="3:18">
      <c r="C82" s="170">
        <v>76</v>
      </c>
      <c r="D82" s="5">
        <f t="shared" si="42"/>
        <v>29.76</v>
      </c>
      <c r="E82" s="443">
        <f t="shared" si="29"/>
        <v>16.799999999999997</v>
      </c>
      <c r="F82" s="217">
        <f t="shared" si="30"/>
        <v>0.36082474226804118</v>
      </c>
      <c r="G82" s="172">
        <f t="shared" si="31"/>
        <v>35.793814432989691</v>
      </c>
      <c r="H82" s="217">
        <f t="shared" si="32"/>
        <v>2.182549660548152</v>
      </c>
      <c r="I82" s="443">
        <f t="shared" si="33"/>
        <v>46.56</v>
      </c>
      <c r="J82" s="172">
        <f t="shared" si="34"/>
        <v>1.35</v>
      </c>
      <c r="K82" s="172">
        <f t="shared" si="35"/>
        <v>0.54435483870967749</v>
      </c>
      <c r="L82" s="172">
        <f t="shared" si="36"/>
        <v>0.96428571428571441</v>
      </c>
      <c r="M82" s="443">
        <f t="shared" si="43"/>
        <v>350</v>
      </c>
      <c r="N82" s="197">
        <f t="shared" si="37"/>
        <v>350</v>
      </c>
      <c r="O82" s="217">
        <f t="shared" si="38"/>
        <v>2.5567010309278349</v>
      </c>
      <c r="P82" s="173">
        <f t="shared" si="39"/>
        <v>1.8262150220913109</v>
      </c>
      <c r="Q82" s="173">
        <f t="shared" si="40"/>
        <v>0.8170900201934318</v>
      </c>
      <c r="R82" s="173">
        <f t="shared" si="41"/>
        <v>0.95238095238095266</v>
      </c>
    </row>
    <row r="83" spans="3:18">
      <c r="C83" s="170">
        <v>77</v>
      </c>
      <c r="D83" s="5">
        <f t="shared" si="42"/>
        <v>30.02</v>
      </c>
      <c r="E83" s="443">
        <f t="shared" si="29"/>
        <v>16.799999999999997</v>
      </c>
      <c r="F83" s="217">
        <f t="shared" si="30"/>
        <v>0.35882101665954719</v>
      </c>
      <c r="G83" s="172">
        <f t="shared" si="31"/>
        <v>35.906023067065355</v>
      </c>
      <c r="H83" s="217">
        <f t="shared" si="32"/>
        <v>2.1893916504308146</v>
      </c>
      <c r="I83" s="443">
        <f t="shared" si="33"/>
        <v>46.819999999999993</v>
      </c>
      <c r="J83" s="172">
        <f t="shared" si="34"/>
        <v>1.35</v>
      </c>
      <c r="K83" s="172">
        <f t="shared" si="35"/>
        <v>0.53964023984010656</v>
      </c>
      <c r="L83" s="172">
        <f t="shared" si="36"/>
        <v>0.96428571428571441</v>
      </c>
      <c r="M83" s="443">
        <f t="shared" si="43"/>
        <v>350</v>
      </c>
      <c r="N83" s="197">
        <f t="shared" si="37"/>
        <v>350</v>
      </c>
      <c r="O83" s="217">
        <f t="shared" si="38"/>
        <v>2.5647159333618106</v>
      </c>
      <c r="P83" s="173">
        <f t="shared" si="39"/>
        <v>1.8319399524012934</v>
      </c>
      <c r="Q83" s="173">
        <f t="shared" si="40"/>
        <v>0.822220977354993</v>
      </c>
      <c r="R83" s="173">
        <f t="shared" si="41"/>
        <v>0.95238095238095266</v>
      </c>
    </row>
    <row r="84" spans="3:18">
      <c r="C84" s="170">
        <v>78</v>
      </c>
      <c r="D84" s="5">
        <f t="shared" si="42"/>
        <v>30.28</v>
      </c>
      <c r="E84" s="443">
        <f t="shared" si="29"/>
        <v>16.799999999999997</v>
      </c>
      <c r="F84" s="217">
        <f t="shared" si="30"/>
        <v>0.35683942225998294</v>
      </c>
      <c r="G84" s="172">
        <f t="shared" si="31"/>
        <v>36.016992353440948</v>
      </c>
      <c r="H84" s="217">
        <f t="shared" si="32"/>
        <v>2.1961580703317654</v>
      </c>
      <c r="I84" s="443">
        <f t="shared" si="33"/>
        <v>47.08</v>
      </c>
      <c r="J84" s="172">
        <f t="shared" si="34"/>
        <v>1.35</v>
      </c>
      <c r="K84" s="172">
        <f t="shared" si="35"/>
        <v>0.53500660501981501</v>
      </c>
      <c r="L84" s="172">
        <f t="shared" si="36"/>
        <v>0.96428571428571441</v>
      </c>
      <c r="M84" s="443">
        <f t="shared" si="43"/>
        <v>350</v>
      </c>
      <c r="N84" s="197">
        <f t="shared" si="37"/>
        <v>350</v>
      </c>
      <c r="O84" s="217">
        <f t="shared" si="38"/>
        <v>2.572642310960068</v>
      </c>
      <c r="P84" s="173">
        <f t="shared" si="39"/>
        <v>1.8376016506857633</v>
      </c>
      <c r="Q84" s="173">
        <f t="shared" si="40"/>
        <v>0.82731105751774525</v>
      </c>
      <c r="R84" s="173">
        <f t="shared" si="41"/>
        <v>0.95238095238095266</v>
      </c>
    </row>
    <row r="85" spans="3:18">
      <c r="C85" s="170">
        <v>79</v>
      </c>
      <c r="D85" s="5">
        <f t="shared" si="42"/>
        <v>30.54</v>
      </c>
      <c r="E85" s="443">
        <f t="shared" si="29"/>
        <v>16.799999999999997</v>
      </c>
      <c r="F85" s="217">
        <f t="shared" si="30"/>
        <v>0.35487959442332062</v>
      </c>
      <c r="G85" s="172">
        <f t="shared" si="31"/>
        <v>36.126742712294039</v>
      </c>
      <c r="H85" s="217">
        <f t="shared" si="32"/>
        <v>2.2028501653837829</v>
      </c>
      <c r="I85" s="443">
        <f t="shared" si="33"/>
        <v>47.339999999999996</v>
      </c>
      <c r="J85" s="172">
        <f t="shared" si="34"/>
        <v>1.35</v>
      </c>
      <c r="K85" s="172">
        <f t="shared" si="35"/>
        <v>0.53045186640471509</v>
      </c>
      <c r="L85" s="172">
        <f t="shared" si="36"/>
        <v>0.96428571428571441</v>
      </c>
      <c r="M85" s="443">
        <f t="shared" si="43"/>
        <v>350</v>
      </c>
      <c r="N85" s="197">
        <f t="shared" si="37"/>
        <v>350</v>
      </c>
      <c r="O85" s="217">
        <f t="shared" si="38"/>
        <v>2.5804816223067166</v>
      </c>
      <c r="P85" s="173">
        <f t="shared" si="39"/>
        <v>1.8432011587905122</v>
      </c>
      <c r="Q85" s="173">
        <f t="shared" si="40"/>
        <v>0.83236067538283809</v>
      </c>
      <c r="R85" s="173">
        <f t="shared" si="41"/>
        <v>0.95238095238095266</v>
      </c>
    </row>
    <row r="86" spans="3:18">
      <c r="C86" s="170">
        <v>80</v>
      </c>
      <c r="D86" s="5">
        <f t="shared" si="42"/>
        <v>30.8</v>
      </c>
      <c r="E86" s="443">
        <f t="shared" si="29"/>
        <v>16.799999999999997</v>
      </c>
      <c r="F86" s="217">
        <f t="shared" si="30"/>
        <v>0.3529411764705882</v>
      </c>
      <c r="G86" s="172">
        <f t="shared" si="31"/>
        <v>36.235294117647058</v>
      </c>
      <c r="H86" s="217">
        <f t="shared" si="32"/>
        <v>2.2094691535150646</v>
      </c>
      <c r="I86" s="443">
        <f t="shared" si="33"/>
        <v>47.599999999999994</v>
      </c>
      <c r="J86" s="172">
        <f t="shared" si="34"/>
        <v>1.35</v>
      </c>
      <c r="K86" s="172">
        <f t="shared" si="35"/>
        <v>0.52597402597402598</v>
      </c>
      <c r="L86" s="172">
        <f t="shared" si="36"/>
        <v>0.96428571428571441</v>
      </c>
      <c r="M86" s="443">
        <f t="shared" si="43"/>
        <v>350</v>
      </c>
      <c r="N86" s="197">
        <f t="shared" si="37"/>
        <v>350</v>
      </c>
      <c r="O86" s="217">
        <f t="shared" si="38"/>
        <v>2.5882352941176467</v>
      </c>
      <c r="P86" s="173">
        <f t="shared" si="39"/>
        <v>1.8487394957983196</v>
      </c>
      <c r="Q86" s="173">
        <f t="shared" si="40"/>
        <v>0.83737024221453293</v>
      </c>
      <c r="R86" s="173">
        <f t="shared" si="41"/>
        <v>0.95238095238095266</v>
      </c>
    </row>
    <row r="87" spans="3:18">
      <c r="C87" s="170">
        <v>81</v>
      </c>
      <c r="D87" s="5">
        <f t="shared" si="42"/>
        <v>31.060000000000002</v>
      </c>
      <c r="E87" s="443">
        <f t="shared" si="29"/>
        <v>16.799999999999997</v>
      </c>
      <c r="F87" s="217">
        <f t="shared" si="30"/>
        <v>0.35102381947346423</v>
      </c>
      <c r="G87" s="172">
        <f t="shared" si="31"/>
        <v>36.342666109485997</v>
      </c>
      <c r="H87" s="217">
        <f t="shared" si="32"/>
        <v>2.2160162261881706</v>
      </c>
      <c r="I87" s="443">
        <f t="shared" si="33"/>
        <v>47.86</v>
      </c>
      <c r="J87" s="172">
        <f t="shared" si="34"/>
        <v>1.35</v>
      </c>
      <c r="K87" s="172">
        <f t="shared" si="35"/>
        <v>0.52157115260785569</v>
      </c>
      <c r="L87" s="172">
        <f t="shared" si="36"/>
        <v>0.96428571428571441</v>
      </c>
      <c r="M87" s="443">
        <f t="shared" si="43"/>
        <v>350</v>
      </c>
      <c r="N87" s="197">
        <f t="shared" si="37"/>
        <v>350</v>
      </c>
      <c r="O87" s="217">
        <f t="shared" si="38"/>
        <v>2.5959047221061424</v>
      </c>
      <c r="P87" s="173">
        <f t="shared" si="39"/>
        <v>1.854217658647245</v>
      </c>
      <c r="Q87" s="173">
        <f t="shared" si="40"/>
        <v>0.84234016578162119</v>
      </c>
      <c r="R87" s="173">
        <f t="shared" si="41"/>
        <v>0.95238095238095266</v>
      </c>
    </row>
    <row r="88" spans="3:18">
      <c r="C88" s="170">
        <v>82</v>
      </c>
      <c r="D88" s="5">
        <f t="shared" si="42"/>
        <v>31.32</v>
      </c>
      <c r="E88" s="443">
        <f t="shared" si="29"/>
        <v>16.799999999999997</v>
      </c>
      <c r="F88" s="217">
        <f t="shared" si="30"/>
        <v>0.34912718204488774</v>
      </c>
      <c r="G88" s="172">
        <f t="shared" si="31"/>
        <v>36.448877805486283</v>
      </c>
      <c r="H88" s="217">
        <f t="shared" si="32"/>
        <v>2.2224925491150174</v>
      </c>
      <c r="I88" s="443">
        <f t="shared" si="33"/>
        <v>48.12</v>
      </c>
      <c r="J88" s="172">
        <f t="shared" si="34"/>
        <v>1.35</v>
      </c>
      <c r="K88" s="172">
        <f t="shared" si="35"/>
        <v>0.51724137931034486</v>
      </c>
      <c r="L88" s="172">
        <f t="shared" si="36"/>
        <v>0.96428571428571441</v>
      </c>
      <c r="M88" s="443">
        <f t="shared" si="43"/>
        <v>350</v>
      </c>
      <c r="N88" s="197">
        <f t="shared" si="37"/>
        <v>350</v>
      </c>
      <c r="O88" s="217">
        <f t="shared" si="38"/>
        <v>2.6034912718204484</v>
      </c>
      <c r="P88" s="173">
        <f t="shared" si="39"/>
        <v>1.8596366227288919</v>
      </c>
      <c r="Q88" s="173">
        <f t="shared" si="40"/>
        <v>0.84727085030565708</v>
      </c>
      <c r="R88" s="173">
        <f t="shared" si="41"/>
        <v>0.95238095238095266</v>
      </c>
    </row>
    <row r="89" spans="3:18">
      <c r="C89" s="170">
        <v>83</v>
      </c>
      <c r="D89" s="5">
        <f t="shared" si="42"/>
        <v>31.58</v>
      </c>
      <c r="E89" s="443">
        <f t="shared" si="29"/>
        <v>16.799999999999997</v>
      </c>
      <c r="F89" s="217">
        <f t="shared" si="30"/>
        <v>0.34725093013642</v>
      </c>
      <c r="G89" s="172">
        <f t="shared" si="31"/>
        <v>36.553947912360478</v>
      </c>
      <c r="H89" s="217">
        <f t="shared" si="32"/>
        <v>2.22889926294881</v>
      </c>
      <c r="I89" s="443">
        <f t="shared" si="33"/>
        <v>48.379999999999995</v>
      </c>
      <c r="J89" s="172">
        <f t="shared" si="34"/>
        <v>1.35</v>
      </c>
      <c r="K89" s="172">
        <f t="shared" si="35"/>
        <v>0.51298290056998108</v>
      </c>
      <c r="L89" s="172">
        <f t="shared" si="36"/>
        <v>0.96428571428571441</v>
      </c>
      <c r="M89" s="443">
        <f t="shared" si="43"/>
        <v>350</v>
      </c>
      <c r="N89" s="197">
        <f t="shared" si="37"/>
        <v>350</v>
      </c>
      <c r="O89" s="217">
        <f t="shared" si="38"/>
        <v>2.6109962794543193</v>
      </c>
      <c r="P89" s="173">
        <f t="shared" si="39"/>
        <v>1.8649973424673714</v>
      </c>
      <c r="Q89" s="173">
        <f t="shared" si="40"/>
        <v>0.85216269641553744</v>
      </c>
      <c r="R89" s="173">
        <f t="shared" si="41"/>
        <v>0.95238095238095266</v>
      </c>
    </row>
    <row r="90" spans="3:18">
      <c r="C90" s="170">
        <v>84</v>
      </c>
      <c r="D90" s="5">
        <f t="shared" si="42"/>
        <v>31.84</v>
      </c>
      <c r="E90" s="443">
        <f t="shared" si="29"/>
        <v>16.799999999999997</v>
      </c>
      <c r="F90" s="217">
        <f t="shared" si="30"/>
        <v>0.3453947368421052</v>
      </c>
      <c r="G90" s="172">
        <f t="shared" si="31"/>
        <v>36.657894736842096</v>
      </c>
      <c r="H90" s="217">
        <f t="shared" si="32"/>
        <v>2.2352374839537865</v>
      </c>
      <c r="I90" s="443">
        <f t="shared" si="33"/>
        <v>48.64</v>
      </c>
      <c r="J90" s="172">
        <f t="shared" si="34"/>
        <v>1.35</v>
      </c>
      <c r="K90" s="172">
        <f t="shared" si="35"/>
        <v>0.5087939698492463</v>
      </c>
      <c r="L90" s="172">
        <f t="shared" si="36"/>
        <v>0.96428571428571441</v>
      </c>
      <c r="M90" s="443">
        <f t="shared" si="43"/>
        <v>350</v>
      </c>
      <c r="N90" s="197">
        <f t="shared" si="37"/>
        <v>350</v>
      </c>
      <c r="O90" s="217">
        <f t="shared" si="38"/>
        <v>2.6184210526315788</v>
      </c>
      <c r="P90" s="173">
        <f t="shared" si="39"/>
        <v>1.8703007518796997</v>
      </c>
      <c r="Q90" s="173">
        <f t="shared" si="40"/>
        <v>0.8570161011080335</v>
      </c>
      <c r="R90" s="173">
        <f t="shared" si="41"/>
        <v>0.95238095238095266</v>
      </c>
    </row>
    <row r="91" spans="3:18">
      <c r="C91" s="170">
        <v>85</v>
      </c>
      <c r="D91" s="5">
        <f t="shared" si="42"/>
        <v>32.099999999999994</v>
      </c>
      <c r="E91" s="443">
        <f t="shared" si="29"/>
        <v>16.799999999999997</v>
      </c>
      <c r="F91" s="217">
        <f t="shared" si="30"/>
        <v>0.34355828220858897</v>
      </c>
      <c r="G91" s="172">
        <f t="shared" si="31"/>
        <v>36.760736196319016</v>
      </c>
      <c r="H91" s="217">
        <f t="shared" si="32"/>
        <v>2.2415083046535988</v>
      </c>
      <c r="I91" s="443">
        <f t="shared" si="33"/>
        <v>48.899999999999991</v>
      </c>
      <c r="J91" s="172">
        <f t="shared" si="34"/>
        <v>1.35</v>
      </c>
      <c r="K91" s="172">
        <f t="shared" si="35"/>
        <v>0.50467289719626185</v>
      </c>
      <c r="L91" s="172">
        <f t="shared" si="36"/>
        <v>0.96428571428571441</v>
      </c>
      <c r="M91" s="443">
        <f t="shared" si="43"/>
        <v>350</v>
      </c>
      <c r="N91" s="197">
        <f t="shared" si="37"/>
        <v>350</v>
      </c>
      <c r="O91" s="217">
        <f t="shared" si="38"/>
        <v>2.6257668711656437</v>
      </c>
      <c r="P91" s="173">
        <f t="shared" si="39"/>
        <v>1.8755477651183172</v>
      </c>
      <c r="Q91" s="173">
        <f t="shared" si="40"/>
        <v>0.86183145771387681</v>
      </c>
      <c r="R91" s="173">
        <f t="shared" si="41"/>
        <v>0.95238095238095266</v>
      </c>
    </row>
    <row r="92" spans="3:18">
      <c r="C92" s="170">
        <v>86</v>
      </c>
      <c r="D92" s="5">
        <f t="shared" si="42"/>
        <v>32.36</v>
      </c>
      <c r="E92" s="443">
        <f t="shared" si="29"/>
        <v>16.799999999999997</v>
      </c>
      <c r="F92" s="217">
        <f t="shared" si="30"/>
        <v>0.34174125305126113</v>
      </c>
      <c r="G92" s="172">
        <f t="shared" si="31"/>
        <v>36.862489829129366</v>
      </c>
      <c r="H92" s="217">
        <f t="shared" si="32"/>
        <v>2.2477127944591078</v>
      </c>
      <c r="I92" s="443">
        <f t="shared" si="33"/>
        <v>49.16</v>
      </c>
      <c r="J92" s="172">
        <f t="shared" si="34"/>
        <v>1.35</v>
      </c>
      <c r="K92" s="172">
        <f t="shared" si="35"/>
        <v>0.50061804697156997</v>
      </c>
      <c r="L92" s="172">
        <f t="shared" si="36"/>
        <v>0.96428571428571441</v>
      </c>
      <c r="M92" s="443">
        <f t="shared" si="43"/>
        <v>350</v>
      </c>
      <c r="N92" s="197">
        <f t="shared" si="37"/>
        <v>350</v>
      </c>
      <c r="O92" s="217">
        <f t="shared" si="38"/>
        <v>2.6330349877949546</v>
      </c>
      <c r="P92" s="173">
        <f t="shared" si="39"/>
        <v>1.8807392769963964</v>
      </c>
      <c r="Q92" s="173">
        <f t="shared" si="40"/>
        <v>0.86660915586904719</v>
      </c>
      <c r="R92" s="173">
        <f t="shared" si="41"/>
        <v>0.95238095238095266</v>
      </c>
    </row>
    <row r="93" spans="3:18">
      <c r="C93" s="170">
        <v>87</v>
      </c>
      <c r="D93" s="5">
        <f t="shared" si="42"/>
        <v>32.620000000000005</v>
      </c>
      <c r="E93" s="443">
        <f t="shared" si="29"/>
        <v>16.799999999999997</v>
      </c>
      <c r="F93" s="217">
        <f t="shared" si="30"/>
        <v>0.33994334277620392</v>
      </c>
      <c r="G93" s="172">
        <f t="shared" si="31"/>
        <v>36.963172804532576</v>
      </c>
      <c r="H93" s="217">
        <f t="shared" si="32"/>
        <v>2.2538520002763769</v>
      </c>
      <c r="I93" s="443">
        <f t="shared" si="33"/>
        <v>49.42</v>
      </c>
      <c r="J93" s="172">
        <f t="shared" si="34"/>
        <v>1.35</v>
      </c>
      <c r="K93" s="172">
        <f t="shared" si="35"/>
        <v>0.49662783568362961</v>
      </c>
      <c r="L93" s="172">
        <f t="shared" si="36"/>
        <v>0.96428571428571441</v>
      </c>
      <c r="M93" s="443">
        <f t="shared" si="43"/>
        <v>350</v>
      </c>
      <c r="N93" s="197">
        <f t="shared" si="37"/>
        <v>350</v>
      </c>
      <c r="O93" s="217">
        <f t="shared" si="38"/>
        <v>2.6402266288951837</v>
      </c>
      <c r="P93" s="173">
        <f t="shared" si="39"/>
        <v>1.88587616349656</v>
      </c>
      <c r="Q93" s="173">
        <f t="shared" si="40"/>
        <v>0.87134958149090325</v>
      </c>
      <c r="R93" s="173">
        <f t="shared" si="41"/>
        <v>0.95238095238095266</v>
      </c>
    </row>
    <row r="94" spans="3:18">
      <c r="C94" s="170">
        <v>88</v>
      </c>
      <c r="D94" s="5">
        <f t="shared" si="42"/>
        <v>32.879999999999995</v>
      </c>
      <c r="E94" s="443">
        <f t="shared" si="29"/>
        <v>16.799999999999997</v>
      </c>
      <c r="F94" s="217">
        <f t="shared" si="30"/>
        <v>0.33816425120772947</v>
      </c>
      <c r="G94" s="172">
        <f t="shared" si="31"/>
        <v>37.062801932367144</v>
      </c>
      <c r="H94" s="217">
        <f t="shared" si="32"/>
        <v>2.2599269470955576</v>
      </c>
      <c r="I94" s="443">
        <f t="shared" si="33"/>
        <v>49.679999999999993</v>
      </c>
      <c r="J94" s="172">
        <f t="shared" si="34"/>
        <v>1.35</v>
      </c>
      <c r="K94" s="172">
        <f t="shared" si="35"/>
        <v>0.49270072992700742</v>
      </c>
      <c r="L94" s="172">
        <f t="shared" si="36"/>
        <v>0.96428571428571441</v>
      </c>
      <c r="M94" s="443">
        <f t="shared" si="43"/>
        <v>350</v>
      </c>
      <c r="N94" s="197">
        <f t="shared" si="37"/>
        <v>350</v>
      </c>
      <c r="O94" s="217">
        <f t="shared" si="38"/>
        <v>2.6473429951690814</v>
      </c>
      <c r="P94" s="173">
        <f t="shared" si="39"/>
        <v>1.8909592822636301</v>
      </c>
      <c r="Q94" s="173">
        <f t="shared" si="40"/>
        <v>0.87605311675885056</v>
      </c>
      <c r="R94" s="173">
        <f t="shared" si="41"/>
        <v>0.95238095238095266</v>
      </c>
    </row>
    <row r="95" spans="3:18">
      <c r="C95" s="170">
        <v>89</v>
      </c>
      <c r="D95" s="5">
        <f t="shared" si="42"/>
        <v>33.14</v>
      </c>
      <c r="E95" s="443">
        <f t="shared" si="29"/>
        <v>16.799999999999997</v>
      </c>
      <c r="F95" s="217">
        <f t="shared" si="30"/>
        <v>0.33640368442130553</v>
      </c>
      <c r="G95" s="172">
        <f t="shared" si="31"/>
        <v>37.161393672406888</v>
      </c>
      <c r="H95" s="217">
        <f t="shared" si="32"/>
        <v>2.265938638561396</v>
      </c>
      <c r="I95" s="443">
        <f t="shared" si="33"/>
        <v>49.94</v>
      </c>
      <c r="J95" s="172">
        <f t="shared" si="34"/>
        <v>1.35</v>
      </c>
      <c r="K95" s="172">
        <f t="shared" si="35"/>
        <v>0.48883524441762222</v>
      </c>
      <c r="L95" s="172">
        <f t="shared" si="36"/>
        <v>0.96428571428571441</v>
      </c>
      <c r="M95" s="443">
        <f t="shared" si="43"/>
        <v>350</v>
      </c>
      <c r="N95" s="197">
        <f t="shared" si="37"/>
        <v>350</v>
      </c>
      <c r="O95" s="217">
        <f t="shared" si="38"/>
        <v>2.654385262314777</v>
      </c>
      <c r="P95" s="173">
        <f t="shared" si="39"/>
        <v>1.895989473081984</v>
      </c>
      <c r="Q95" s="173">
        <f t="shared" si="40"/>
        <v>0.88072014009923627</v>
      </c>
      <c r="R95" s="173">
        <f t="shared" si="41"/>
        <v>0.95238095238095266</v>
      </c>
    </row>
    <row r="96" spans="3:18">
      <c r="C96" s="170">
        <v>90</v>
      </c>
      <c r="D96" s="5">
        <f t="shared" si="42"/>
        <v>33.400000000000006</v>
      </c>
      <c r="E96" s="443">
        <f t="shared" si="29"/>
        <v>16.799999999999997</v>
      </c>
      <c r="F96" s="217">
        <f t="shared" si="30"/>
        <v>0.33466135458167323</v>
      </c>
      <c r="G96" s="172">
        <f t="shared" si="31"/>
        <v>37.258964143426297</v>
      </c>
      <c r="H96" s="217">
        <f t="shared" si="32"/>
        <v>2.2718880575259939</v>
      </c>
      <c r="I96" s="443">
        <f t="shared" si="33"/>
        <v>50.2</v>
      </c>
      <c r="J96" s="172">
        <f t="shared" si="34"/>
        <v>1.35</v>
      </c>
      <c r="K96" s="172">
        <f t="shared" si="35"/>
        <v>0.48502994011976042</v>
      </c>
      <c r="L96" s="172">
        <f t="shared" si="36"/>
        <v>0.96428571428571441</v>
      </c>
      <c r="M96" s="443">
        <f t="shared" si="43"/>
        <v>350</v>
      </c>
      <c r="N96" s="197">
        <f t="shared" si="37"/>
        <v>350</v>
      </c>
      <c r="O96" s="217">
        <f t="shared" si="38"/>
        <v>2.6613545816733066</v>
      </c>
      <c r="P96" s="173">
        <f t="shared" si="39"/>
        <v>1.9009675583380765</v>
      </c>
      <c r="Q96" s="173">
        <f t="shared" si="40"/>
        <v>0.88535102617418782</v>
      </c>
      <c r="R96" s="173">
        <f t="shared" si="41"/>
        <v>0.95238095238095266</v>
      </c>
    </row>
    <row r="97" spans="3:18">
      <c r="C97" s="170">
        <v>91</v>
      </c>
      <c r="D97" s="5">
        <f t="shared" si="42"/>
        <v>33.659999999999997</v>
      </c>
      <c r="E97" s="443">
        <f t="shared" si="29"/>
        <v>16.799999999999997</v>
      </c>
      <c r="F97" s="217">
        <f t="shared" si="30"/>
        <v>0.33293697978596909</v>
      </c>
      <c r="G97" s="172">
        <f t="shared" si="31"/>
        <v>37.355529131985733</v>
      </c>
      <c r="H97" s="217">
        <f t="shared" si="32"/>
        <v>2.2777761665844962</v>
      </c>
      <c r="I97" s="443">
        <f t="shared" si="33"/>
        <v>50.459999999999994</v>
      </c>
      <c r="J97" s="172">
        <f t="shared" si="34"/>
        <v>1.35</v>
      </c>
      <c r="K97" s="172">
        <f t="shared" si="35"/>
        <v>0.48128342245989308</v>
      </c>
      <c r="L97" s="172">
        <f t="shared" si="36"/>
        <v>0.96428571428571441</v>
      </c>
      <c r="M97" s="443">
        <f t="shared" si="43"/>
        <v>350</v>
      </c>
      <c r="N97" s="197">
        <f t="shared" si="37"/>
        <v>350</v>
      </c>
      <c r="O97" s="217">
        <f t="shared" si="38"/>
        <v>2.6682520808561234</v>
      </c>
      <c r="P97" s="173">
        <f t="shared" si="39"/>
        <v>1.9058943434686599</v>
      </c>
      <c r="Q97" s="173">
        <f t="shared" si="40"/>
        <v>0.88994614587412924</v>
      </c>
      <c r="R97" s="173">
        <f t="shared" si="41"/>
        <v>0.95238095238095266</v>
      </c>
    </row>
    <row r="98" spans="3:18">
      <c r="C98" s="170">
        <v>92</v>
      </c>
      <c r="D98" s="5">
        <f t="shared" si="42"/>
        <v>33.92</v>
      </c>
      <c r="E98" s="443">
        <f t="shared" si="29"/>
        <v>16.799999999999997</v>
      </c>
      <c r="F98" s="217">
        <f t="shared" si="30"/>
        <v>0.33123028391167186</v>
      </c>
      <c r="G98" s="172">
        <f t="shared" si="31"/>
        <v>37.451104100946367</v>
      </c>
      <c r="H98" s="217">
        <f t="shared" si="32"/>
        <v>2.2836039085942907</v>
      </c>
      <c r="I98" s="443">
        <f t="shared" si="33"/>
        <v>50.72</v>
      </c>
      <c r="J98" s="172">
        <f t="shared" si="34"/>
        <v>1.35</v>
      </c>
      <c r="K98" s="172">
        <f t="shared" si="35"/>
        <v>0.47759433962264153</v>
      </c>
      <c r="L98" s="172">
        <f t="shared" si="36"/>
        <v>0.96428571428571441</v>
      </c>
      <c r="M98" s="443">
        <f t="shared" si="43"/>
        <v>350</v>
      </c>
      <c r="N98" s="197">
        <f t="shared" si="37"/>
        <v>350</v>
      </c>
      <c r="O98" s="217">
        <f t="shared" si="38"/>
        <v>2.6750788643533121</v>
      </c>
      <c r="P98" s="173">
        <f t="shared" si="39"/>
        <v>1.910770617395223</v>
      </c>
      <c r="Q98" s="173">
        <f t="shared" si="40"/>
        <v>0.89450586631372586</v>
      </c>
      <c r="R98" s="173">
        <f t="shared" si="41"/>
        <v>0.95238095238095266</v>
      </c>
    </row>
    <row r="99" spans="3:18">
      <c r="C99" s="170">
        <v>93</v>
      </c>
      <c r="D99" s="5">
        <f t="shared" si="42"/>
        <v>34.18</v>
      </c>
      <c r="E99" s="443">
        <f t="shared" si="29"/>
        <v>16.799999999999997</v>
      </c>
      <c r="F99" s="217">
        <f t="shared" si="30"/>
        <v>0.3295409964692036</v>
      </c>
      <c r="G99" s="172">
        <f t="shared" si="31"/>
        <v>37.545704197724596</v>
      </c>
      <c r="H99" s="217">
        <f t="shared" si="32"/>
        <v>2.2893722071783293</v>
      </c>
      <c r="I99" s="443">
        <f t="shared" si="33"/>
        <v>50.98</v>
      </c>
      <c r="J99" s="172">
        <f t="shared" si="34"/>
        <v>1.35</v>
      </c>
      <c r="K99" s="172">
        <f t="shared" si="35"/>
        <v>0.47396138092451728</v>
      </c>
      <c r="L99" s="172">
        <f t="shared" si="36"/>
        <v>0.96428571428571441</v>
      </c>
      <c r="M99" s="443">
        <f t="shared" si="43"/>
        <v>350</v>
      </c>
      <c r="N99" s="197">
        <f t="shared" si="37"/>
        <v>350</v>
      </c>
      <c r="O99" s="217">
        <f t="shared" si="38"/>
        <v>2.681836014123185</v>
      </c>
      <c r="P99" s="173">
        <f t="shared" si="39"/>
        <v>1.9155971529451328</v>
      </c>
      <c r="Q99" s="173">
        <f t="shared" si="40"/>
        <v>0.89903055083101679</v>
      </c>
      <c r="R99" s="173">
        <f t="shared" si="41"/>
        <v>0.95238095238095266</v>
      </c>
    </row>
    <row r="100" spans="3:18">
      <c r="C100" s="170">
        <v>94</v>
      </c>
      <c r="D100" s="5">
        <f t="shared" si="42"/>
        <v>34.44</v>
      </c>
      <c r="E100" s="443">
        <f t="shared" si="29"/>
        <v>16.799999999999997</v>
      </c>
      <c r="F100" s="217">
        <f t="shared" si="30"/>
        <v>0.32786885245901637</v>
      </c>
      <c r="G100" s="172">
        <f t="shared" si="31"/>
        <v>37.639344262295076</v>
      </c>
      <c r="H100" s="217">
        <f t="shared" si="32"/>
        <v>2.2950819672131146</v>
      </c>
      <c r="I100" s="443">
        <f t="shared" si="33"/>
        <v>51.239999999999995</v>
      </c>
      <c r="J100" s="172">
        <f t="shared" si="34"/>
        <v>1.35</v>
      </c>
      <c r="K100" s="172">
        <f t="shared" si="35"/>
        <v>0.47038327526132412</v>
      </c>
      <c r="L100" s="172">
        <f t="shared" si="36"/>
        <v>0.96428571428571441</v>
      </c>
      <c r="M100" s="443">
        <f t="shared" si="43"/>
        <v>350</v>
      </c>
      <c r="N100" s="197">
        <f t="shared" si="37"/>
        <v>350</v>
      </c>
      <c r="O100" s="217">
        <f t="shared" si="38"/>
        <v>2.6885245901639339</v>
      </c>
      <c r="P100" s="173">
        <f t="shared" si="39"/>
        <v>1.9203747072599533</v>
      </c>
      <c r="Q100" s="173">
        <f t="shared" si="40"/>
        <v>0.90352055898951877</v>
      </c>
      <c r="R100" s="173">
        <f t="shared" si="41"/>
        <v>0.95238095238095266</v>
      </c>
    </row>
    <row r="101" spans="3:18">
      <c r="C101" s="170">
        <v>95</v>
      </c>
      <c r="D101" s="5">
        <f t="shared" si="42"/>
        <v>34.700000000000003</v>
      </c>
      <c r="E101" s="443">
        <f t="shared" si="29"/>
        <v>16.799999999999997</v>
      </c>
      <c r="F101" s="217">
        <f t="shared" si="30"/>
        <v>0.32621359223300966</v>
      </c>
      <c r="G101" s="172">
        <f t="shared" si="31"/>
        <v>37.732038834951453</v>
      </c>
      <c r="H101" s="217">
        <f t="shared" si="32"/>
        <v>2.3007340753019179</v>
      </c>
      <c r="I101" s="443">
        <f t="shared" si="33"/>
        <v>51.5</v>
      </c>
      <c r="J101" s="172">
        <f t="shared" si="34"/>
        <v>1.35</v>
      </c>
      <c r="K101" s="172">
        <f t="shared" si="35"/>
        <v>0.4668587896253602</v>
      </c>
      <c r="L101" s="172">
        <f t="shared" si="36"/>
        <v>0.96428571428571441</v>
      </c>
      <c r="M101" s="443">
        <f t="shared" si="43"/>
        <v>350</v>
      </c>
      <c r="N101" s="197">
        <f t="shared" si="37"/>
        <v>350</v>
      </c>
      <c r="O101" s="217">
        <f t="shared" si="38"/>
        <v>2.6951456310679607</v>
      </c>
      <c r="P101" s="173">
        <f t="shared" si="39"/>
        <v>1.9251040221914006</v>
      </c>
      <c r="Q101" s="173">
        <f t="shared" si="40"/>
        <v>0.90797624658308951</v>
      </c>
      <c r="R101" s="173">
        <f t="shared" si="41"/>
        <v>0.95238095238095266</v>
      </c>
    </row>
    <row r="102" spans="3:18">
      <c r="C102" s="170">
        <v>96</v>
      </c>
      <c r="D102" s="5">
        <f t="shared" si="42"/>
        <v>34.96</v>
      </c>
      <c r="E102" s="443">
        <f t="shared" si="29"/>
        <v>16.799999999999997</v>
      </c>
      <c r="F102" s="217">
        <f t="shared" si="30"/>
        <v>0.32457496136012359</v>
      </c>
      <c r="G102" s="172">
        <f>F102*D102*Isw_max*0.5*Efficiency</f>
        <v>37.823802163833072</v>
      </c>
      <c r="H102" s="217">
        <f>G102/Vout</f>
        <v>2.3063294002337242</v>
      </c>
      <c r="I102" s="443">
        <f t="shared" si="33"/>
        <v>51.76</v>
      </c>
      <c r="J102" s="172">
        <f t="shared" si="34"/>
        <v>1.35</v>
      </c>
      <c r="K102" s="172">
        <f>L*J102/D102*1000000</f>
        <v>0.46338672768878719</v>
      </c>
      <c r="L102" s="172">
        <f t="shared" si="36"/>
        <v>0.96428571428571441</v>
      </c>
      <c r="M102" s="443">
        <f t="shared" si="43"/>
        <v>350</v>
      </c>
      <c r="N102" s="197">
        <f t="shared" si="37"/>
        <v>350</v>
      </c>
      <c r="O102" s="217">
        <f>1/((N102*1000*L)*(1/D102+1/E102))</f>
        <v>2.7017001545595054</v>
      </c>
      <c r="P102" s="173">
        <f>L*O102/E102*1000000</f>
        <v>1.9297858246853614</v>
      </c>
      <c r="Q102" s="173">
        <f>0.5*P102*O102*Nps*N102/1000</f>
        <v>0.91239796564335718</v>
      </c>
      <c r="R102" s="173">
        <f t="shared" si="41"/>
        <v>0.95238095238095266</v>
      </c>
    </row>
    <row r="103" spans="3:18">
      <c r="C103" s="170">
        <v>97</v>
      </c>
      <c r="D103" s="5">
        <f>C103/100*(VIN_max-VIN_min)+VIN_min</f>
        <v>35.22</v>
      </c>
      <c r="E103" s="443">
        <f t="shared" si="29"/>
        <v>16.799999999999997</v>
      </c>
      <c r="F103" s="217">
        <f t="shared" si="30"/>
        <v>0.32295271049596308</v>
      </c>
      <c r="G103" s="172">
        <f>F103*D103*Isw_max*0.5*Efficiency</f>
        <v>37.914648212226069</v>
      </c>
      <c r="H103" s="217">
        <f>G103/Vout</f>
        <v>2.311868793428419</v>
      </c>
      <c r="I103" s="443">
        <f t="shared" si="33"/>
        <v>52.019999999999996</v>
      </c>
      <c r="J103" s="172">
        <f t="shared" si="34"/>
        <v>1.35</v>
      </c>
      <c r="K103" s="172">
        <f>L*J103/D103*1000000</f>
        <v>0.45996592844974449</v>
      </c>
      <c r="L103" s="172">
        <f t="shared" si="36"/>
        <v>0.96428571428571441</v>
      </c>
      <c r="M103" s="443">
        <f t="shared" si="43"/>
        <v>350</v>
      </c>
      <c r="N103" s="197">
        <f t="shared" si="37"/>
        <v>350</v>
      </c>
      <c r="O103" s="217">
        <f>1/((N103*1000*L)*(1/D103+1/E103))</f>
        <v>2.7081891580161472</v>
      </c>
      <c r="P103" s="173">
        <f>L*O103/E103*1000000</f>
        <v>1.9344208271543912</v>
      </c>
      <c r="Q103" s="173">
        <f>0.5*P103*O103*Nps*N103/1000</f>
        <v>0.91678606444952615</v>
      </c>
      <c r="R103" s="173">
        <f t="shared" si="41"/>
        <v>0.95238095238095266</v>
      </c>
    </row>
    <row r="104" spans="3:18">
      <c r="C104" s="170">
        <v>98</v>
      </c>
      <c r="D104" s="5">
        <f>C104/100*(VIN_max-VIN_min)+VIN_min</f>
        <v>35.480000000000004</v>
      </c>
      <c r="E104" s="443">
        <f t="shared" si="29"/>
        <v>16.799999999999997</v>
      </c>
      <c r="F104" s="217">
        <f t="shared" si="30"/>
        <v>0.3213465952563121</v>
      </c>
      <c r="G104" s="172">
        <f>F104*D104*Isw_max*0.5*Efficiency</f>
        <v>38.004590665646518</v>
      </c>
      <c r="H104" s="217">
        <f>G104/Vout</f>
        <v>2.3173530893686904</v>
      </c>
      <c r="I104" s="443">
        <f t="shared" si="33"/>
        <v>52.28</v>
      </c>
      <c r="J104" s="172">
        <f t="shared" si="34"/>
        <v>1.35</v>
      </c>
      <c r="K104" s="172">
        <f>L*J104/D104*1000000</f>
        <v>0.45659526493799318</v>
      </c>
      <c r="L104" s="172">
        <f t="shared" si="36"/>
        <v>0.96428571428571441</v>
      </c>
      <c r="M104" s="443">
        <f t="shared" si="43"/>
        <v>350</v>
      </c>
      <c r="N104" s="197">
        <f t="shared" si="37"/>
        <v>350</v>
      </c>
      <c r="O104" s="217">
        <f>1/((N104*1000*L)*(1/D104+1/E104))</f>
        <v>2.714613618974751</v>
      </c>
      <c r="P104" s="173">
        <f>L*O104/E104*1000000</f>
        <v>1.9390097278391083</v>
      </c>
      <c r="Q104" s="173">
        <f>0.5*P104*O104*Nps*N104/1000</f>
        <v>0.92114088754039958</v>
      </c>
      <c r="R104" s="173">
        <f t="shared" si="41"/>
        <v>0.95238095238095266</v>
      </c>
    </row>
    <row r="105" spans="3:18">
      <c r="C105" s="170">
        <v>99</v>
      </c>
      <c r="D105" s="5">
        <f>C105/100*(VIN_max-VIN_min)+VIN_min</f>
        <v>35.739999999999995</v>
      </c>
      <c r="E105" s="443">
        <f t="shared" si="29"/>
        <v>16.799999999999997</v>
      </c>
      <c r="F105" s="217">
        <f t="shared" si="30"/>
        <v>0.31975637609440427</v>
      </c>
      <c r="G105" s="172">
        <f>F105*D105*Isw_max*0.5*Efficiency</f>
        <v>38.093642938713359</v>
      </c>
      <c r="H105" s="217">
        <f>G105/Vout</f>
        <v>2.3227831060191075</v>
      </c>
      <c r="I105" s="443">
        <f t="shared" si="33"/>
        <v>52.539999999999992</v>
      </c>
      <c r="J105" s="172">
        <f t="shared" si="34"/>
        <v>1.35</v>
      </c>
      <c r="K105" s="172">
        <f>L*J105/D105*1000000</f>
        <v>0.45327364297705658</v>
      </c>
      <c r="L105" s="172">
        <f t="shared" si="36"/>
        <v>0.96428571428571441</v>
      </c>
      <c r="M105" s="443">
        <f t="shared" si="43"/>
        <v>350</v>
      </c>
      <c r="N105" s="197">
        <f t="shared" si="37"/>
        <v>350</v>
      </c>
      <c r="O105" s="217">
        <f>1/((N105*1000*L)*(1/D105+1/E105))</f>
        <v>2.7209744956223822</v>
      </c>
      <c r="P105" s="173">
        <f>L*O105/E105*1000000</f>
        <v>1.9435532111588452</v>
      </c>
      <c r="Q105" s="173">
        <f>0.5*P105*O105*Nps*N105/1000</f>
        <v>0.92546277572843505</v>
      </c>
      <c r="R105" s="173">
        <f t="shared" si="41"/>
        <v>0.95238095238095266</v>
      </c>
    </row>
    <row r="106" spans="3:18">
      <c r="C106" s="170">
        <v>100</v>
      </c>
      <c r="D106" s="5">
        <f>C106/100*(VIN_max-VIN_min)+VIN_min</f>
        <v>36</v>
      </c>
      <c r="E106" s="443">
        <f t="shared" si="29"/>
        <v>16.799999999999997</v>
      </c>
      <c r="F106" s="217">
        <f t="shared" si="30"/>
        <v>0.31818181818181812</v>
      </c>
      <c r="G106" s="172">
        <f>F106*D106*Isw_max*0.5*Efficiency</f>
        <v>38.18181818181818</v>
      </c>
      <c r="H106" s="217">
        <f>G106/Vout</f>
        <v>2.3281596452328159</v>
      </c>
      <c r="I106" s="443">
        <f t="shared" si="33"/>
        <v>52.8</v>
      </c>
      <c r="J106" s="172">
        <f t="shared" si="34"/>
        <v>1.35</v>
      </c>
      <c r="K106" s="172">
        <f>L*J106/D106*1000000</f>
        <v>0.45</v>
      </c>
      <c r="L106" s="172">
        <f t="shared" si="36"/>
        <v>0.96428571428571441</v>
      </c>
      <c r="M106" s="443">
        <f t="shared" si="43"/>
        <v>350</v>
      </c>
      <c r="N106" s="197">
        <f t="shared" si="37"/>
        <v>350</v>
      </c>
      <c r="O106" s="217">
        <f>1/((N106*1000*L)*(1/D106+1/E106))</f>
        <v>2.7272727272727271</v>
      </c>
      <c r="P106" s="173">
        <f>L*O106/E106*1000000</f>
        <v>1.9480519480519483</v>
      </c>
      <c r="Q106" s="173">
        <f>0.5*P106*O106*Nps*N106/1000</f>
        <v>0.92975206611570249</v>
      </c>
      <c r="R106" s="173">
        <f t="shared" si="41"/>
        <v>0.95238095238095266</v>
      </c>
    </row>
  </sheetData>
  <sheetProtection sheet="1" objects="1" scenarios="1"/>
  <mergeCells count="1">
    <mergeCell ref="F4:O4"/>
  </mergeCells>
  <phoneticPr fontId="83"/>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0000"/>
  </sheetPr>
  <dimension ref="A1:Q64"/>
  <sheetViews>
    <sheetView topLeftCell="A22" zoomScale="70" zoomScaleNormal="70" workbookViewId="0">
      <selection activeCell="Q36" sqref="Q36"/>
    </sheetView>
  </sheetViews>
  <sheetFormatPr defaultRowHeight="12.5"/>
  <cols>
    <col min="1" max="1" width="9.54296875" style="114" customWidth="1"/>
    <col min="2" max="2" width="11.453125" style="114" customWidth="1"/>
    <col min="3" max="3" width="13.453125" style="114" customWidth="1"/>
    <col min="4" max="4" width="20.1796875" style="114" customWidth="1"/>
    <col min="5" max="5" width="17.26953125" style="114" customWidth="1"/>
    <col min="6" max="6" width="13.54296875" style="114" customWidth="1"/>
    <col min="7" max="7" width="16.1796875" style="114" customWidth="1"/>
    <col min="8" max="8" width="18.1796875" style="114" customWidth="1"/>
    <col min="9" max="9" width="10.81640625" style="114" customWidth="1"/>
    <col min="10" max="10" width="15.81640625" style="114" customWidth="1"/>
    <col min="11" max="11" width="11.81640625" style="462" customWidth="1"/>
    <col min="12" max="12" width="7.81640625" style="461" customWidth="1"/>
    <col min="13" max="13" width="11.7265625" style="114" customWidth="1"/>
    <col min="14" max="254" width="9.1796875" style="114"/>
    <col min="255" max="255" width="8.7265625" style="114" bestFit="1" customWidth="1"/>
    <col min="256" max="256" width="13.26953125" style="114" customWidth="1"/>
    <col min="257" max="257" width="16.1796875" style="114" bestFit="1" customWidth="1"/>
    <col min="258" max="258" width="23.54296875" style="114" customWidth="1"/>
    <col min="259" max="259" width="17.26953125" style="114" customWidth="1"/>
    <col min="260" max="260" width="20.54296875" style="114" bestFit="1" customWidth="1"/>
    <col min="261" max="261" width="17.1796875" style="114" customWidth="1"/>
    <col min="262" max="262" width="21.81640625" style="114" bestFit="1" customWidth="1"/>
    <col min="263" max="263" width="17.1796875" style="114" bestFit="1" customWidth="1"/>
    <col min="264" max="264" width="18.1796875" style="114" bestFit="1" customWidth="1"/>
    <col min="265" max="265" width="26.453125" style="114" customWidth="1"/>
    <col min="266" max="510" width="9.1796875" style="114"/>
    <col min="511" max="511" width="8.7265625" style="114" bestFit="1" customWidth="1"/>
    <col min="512" max="512" width="13.26953125" style="114" customWidth="1"/>
    <col min="513" max="513" width="16.1796875" style="114" bestFit="1" customWidth="1"/>
    <col min="514" max="514" width="23.54296875" style="114" customWidth="1"/>
    <col min="515" max="515" width="17.26953125" style="114" customWidth="1"/>
    <col min="516" max="516" width="20.54296875" style="114" bestFit="1" customWidth="1"/>
    <col min="517" max="517" width="17.1796875" style="114" customWidth="1"/>
    <col min="518" max="518" width="21.81640625" style="114" bestFit="1" customWidth="1"/>
    <col min="519" max="519" width="17.1796875" style="114" bestFit="1" customWidth="1"/>
    <col min="520" max="520" width="18.1796875" style="114" bestFit="1" customWidth="1"/>
    <col min="521" max="521" width="26.453125" style="114" customWidth="1"/>
    <col min="522" max="766" width="9.1796875" style="114"/>
    <col min="767" max="767" width="8.7265625" style="114" bestFit="1" customWidth="1"/>
    <col min="768" max="768" width="13.26953125" style="114" customWidth="1"/>
    <col min="769" max="769" width="16.1796875" style="114" bestFit="1" customWidth="1"/>
    <col min="770" max="770" width="23.54296875" style="114" customWidth="1"/>
    <col min="771" max="771" width="17.26953125" style="114" customWidth="1"/>
    <col min="772" max="772" width="20.54296875" style="114" bestFit="1" customWidth="1"/>
    <col min="773" max="773" width="17.1796875" style="114" customWidth="1"/>
    <col min="774" max="774" width="21.81640625" style="114" bestFit="1" customWidth="1"/>
    <col min="775" max="775" width="17.1796875" style="114" bestFit="1" customWidth="1"/>
    <col min="776" max="776" width="18.1796875" style="114" bestFit="1" customWidth="1"/>
    <col min="777" max="777" width="26.453125" style="114" customWidth="1"/>
    <col min="778" max="1022" width="9.1796875" style="114"/>
    <col min="1023" max="1023" width="8.7265625" style="114" bestFit="1" customWidth="1"/>
    <col min="1024" max="1024" width="13.26953125" style="114" customWidth="1"/>
    <col min="1025" max="1025" width="16.1796875" style="114" bestFit="1" customWidth="1"/>
    <col min="1026" max="1026" width="23.54296875" style="114" customWidth="1"/>
    <col min="1027" max="1027" width="17.26953125" style="114" customWidth="1"/>
    <col min="1028" max="1028" width="20.54296875" style="114" bestFit="1" customWidth="1"/>
    <col min="1029" max="1029" width="17.1796875" style="114" customWidth="1"/>
    <col min="1030" max="1030" width="21.81640625" style="114" bestFit="1" customWidth="1"/>
    <col min="1031" max="1031" width="17.1796875" style="114" bestFit="1" customWidth="1"/>
    <col min="1032" max="1032" width="18.1796875" style="114" bestFit="1" customWidth="1"/>
    <col min="1033" max="1033" width="26.453125" style="114" customWidth="1"/>
    <col min="1034" max="1278" width="9.1796875" style="114"/>
    <col min="1279" max="1279" width="8.7265625" style="114" bestFit="1" customWidth="1"/>
    <col min="1280" max="1280" width="13.26953125" style="114" customWidth="1"/>
    <col min="1281" max="1281" width="16.1796875" style="114" bestFit="1" customWidth="1"/>
    <col min="1282" max="1282" width="23.54296875" style="114" customWidth="1"/>
    <col min="1283" max="1283" width="17.26953125" style="114" customWidth="1"/>
    <col min="1284" max="1284" width="20.54296875" style="114" bestFit="1" customWidth="1"/>
    <col min="1285" max="1285" width="17.1796875" style="114" customWidth="1"/>
    <col min="1286" max="1286" width="21.81640625" style="114" bestFit="1" customWidth="1"/>
    <col min="1287" max="1287" width="17.1796875" style="114" bestFit="1" customWidth="1"/>
    <col min="1288" max="1288" width="18.1796875" style="114" bestFit="1" customWidth="1"/>
    <col min="1289" max="1289" width="26.453125" style="114" customWidth="1"/>
    <col min="1290" max="1534" width="9.1796875" style="114"/>
    <col min="1535" max="1535" width="8.7265625" style="114" bestFit="1" customWidth="1"/>
    <col min="1536" max="1536" width="13.26953125" style="114" customWidth="1"/>
    <col min="1537" max="1537" width="16.1796875" style="114" bestFit="1" customWidth="1"/>
    <col min="1538" max="1538" width="23.54296875" style="114" customWidth="1"/>
    <col min="1539" max="1539" width="17.26953125" style="114" customWidth="1"/>
    <col min="1540" max="1540" width="20.54296875" style="114" bestFit="1" customWidth="1"/>
    <col min="1541" max="1541" width="17.1796875" style="114" customWidth="1"/>
    <col min="1542" max="1542" width="21.81640625" style="114" bestFit="1" customWidth="1"/>
    <col min="1543" max="1543" width="17.1796875" style="114" bestFit="1" customWidth="1"/>
    <col min="1544" max="1544" width="18.1796875" style="114" bestFit="1" customWidth="1"/>
    <col min="1545" max="1545" width="26.453125" style="114" customWidth="1"/>
    <col min="1546" max="1790" width="9.1796875" style="114"/>
    <col min="1791" max="1791" width="8.7265625" style="114" bestFit="1" customWidth="1"/>
    <col min="1792" max="1792" width="13.26953125" style="114" customWidth="1"/>
    <col min="1793" max="1793" width="16.1796875" style="114" bestFit="1" customWidth="1"/>
    <col min="1794" max="1794" width="23.54296875" style="114" customWidth="1"/>
    <col min="1795" max="1795" width="17.26953125" style="114" customWidth="1"/>
    <col min="1796" max="1796" width="20.54296875" style="114" bestFit="1" customWidth="1"/>
    <col min="1797" max="1797" width="17.1796875" style="114" customWidth="1"/>
    <col min="1798" max="1798" width="21.81640625" style="114" bestFit="1" customWidth="1"/>
    <col min="1799" max="1799" width="17.1796875" style="114" bestFit="1" customWidth="1"/>
    <col min="1800" max="1800" width="18.1796875" style="114" bestFit="1" customWidth="1"/>
    <col min="1801" max="1801" width="26.453125" style="114" customWidth="1"/>
    <col min="1802" max="2046" width="9.1796875" style="114"/>
    <col min="2047" max="2047" width="8.7265625" style="114" bestFit="1" customWidth="1"/>
    <col min="2048" max="2048" width="13.26953125" style="114" customWidth="1"/>
    <col min="2049" max="2049" width="16.1796875" style="114" bestFit="1" customWidth="1"/>
    <col min="2050" max="2050" width="23.54296875" style="114" customWidth="1"/>
    <col min="2051" max="2051" width="17.26953125" style="114" customWidth="1"/>
    <col min="2052" max="2052" width="20.54296875" style="114" bestFit="1" customWidth="1"/>
    <col min="2053" max="2053" width="17.1796875" style="114" customWidth="1"/>
    <col min="2054" max="2054" width="21.81640625" style="114" bestFit="1" customWidth="1"/>
    <col min="2055" max="2055" width="17.1796875" style="114" bestFit="1" customWidth="1"/>
    <col min="2056" max="2056" width="18.1796875" style="114" bestFit="1" customWidth="1"/>
    <col min="2057" max="2057" width="26.453125" style="114" customWidth="1"/>
    <col min="2058" max="2302" width="9.1796875" style="114"/>
    <col min="2303" max="2303" width="8.7265625" style="114" bestFit="1" customWidth="1"/>
    <col min="2304" max="2304" width="13.26953125" style="114" customWidth="1"/>
    <col min="2305" max="2305" width="16.1796875" style="114" bestFit="1" customWidth="1"/>
    <col min="2306" max="2306" width="23.54296875" style="114" customWidth="1"/>
    <col min="2307" max="2307" width="17.26953125" style="114" customWidth="1"/>
    <col min="2308" max="2308" width="20.54296875" style="114" bestFit="1" customWidth="1"/>
    <col min="2309" max="2309" width="17.1796875" style="114" customWidth="1"/>
    <col min="2310" max="2310" width="21.81640625" style="114" bestFit="1" customWidth="1"/>
    <col min="2311" max="2311" width="17.1796875" style="114" bestFit="1" customWidth="1"/>
    <col min="2312" max="2312" width="18.1796875" style="114" bestFit="1" customWidth="1"/>
    <col min="2313" max="2313" width="26.453125" style="114" customWidth="1"/>
    <col min="2314" max="2558" width="9.1796875" style="114"/>
    <col min="2559" max="2559" width="8.7265625" style="114" bestFit="1" customWidth="1"/>
    <col min="2560" max="2560" width="13.26953125" style="114" customWidth="1"/>
    <col min="2561" max="2561" width="16.1796875" style="114" bestFit="1" customWidth="1"/>
    <col min="2562" max="2562" width="23.54296875" style="114" customWidth="1"/>
    <col min="2563" max="2563" width="17.26953125" style="114" customWidth="1"/>
    <col min="2564" max="2564" width="20.54296875" style="114" bestFit="1" customWidth="1"/>
    <col min="2565" max="2565" width="17.1796875" style="114" customWidth="1"/>
    <col min="2566" max="2566" width="21.81640625" style="114" bestFit="1" customWidth="1"/>
    <col min="2567" max="2567" width="17.1796875" style="114" bestFit="1" customWidth="1"/>
    <col min="2568" max="2568" width="18.1796875" style="114" bestFit="1" customWidth="1"/>
    <col min="2569" max="2569" width="26.453125" style="114" customWidth="1"/>
    <col min="2570" max="2814" width="9.1796875" style="114"/>
    <col min="2815" max="2815" width="8.7265625" style="114" bestFit="1" customWidth="1"/>
    <col min="2816" max="2816" width="13.26953125" style="114" customWidth="1"/>
    <col min="2817" max="2817" width="16.1796875" style="114" bestFit="1" customWidth="1"/>
    <col min="2818" max="2818" width="23.54296875" style="114" customWidth="1"/>
    <col min="2819" max="2819" width="17.26953125" style="114" customWidth="1"/>
    <col min="2820" max="2820" width="20.54296875" style="114" bestFit="1" customWidth="1"/>
    <col min="2821" max="2821" width="17.1796875" style="114" customWidth="1"/>
    <col min="2822" max="2822" width="21.81640625" style="114" bestFit="1" customWidth="1"/>
    <col min="2823" max="2823" width="17.1796875" style="114" bestFit="1" customWidth="1"/>
    <col min="2824" max="2824" width="18.1796875" style="114" bestFit="1" customWidth="1"/>
    <col min="2825" max="2825" width="26.453125" style="114" customWidth="1"/>
    <col min="2826" max="3070" width="9.1796875" style="114"/>
    <col min="3071" max="3071" width="8.7265625" style="114" bestFit="1" customWidth="1"/>
    <col min="3072" max="3072" width="13.26953125" style="114" customWidth="1"/>
    <col min="3073" max="3073" width="16.1796875" style="114" bestFit="1" customWidth="1"/>
    <col min="3074" max="3074" width="23.54296875" style="114" customWidth="1"/>
    <col min="3075" max="3075" width="17.26953125" style="114" customWidth="1"/>
    <col min="3076" max="3076" width="20.54296875" style="114" bestFit="1" customWidth="1"/>
    <col min="3077" max="3077" width="17.1796875" style="114" customWidth="1"/>
    <col min="3078" max="3078" width="21.81640625" style="114" bestFit="1" customWidth="1"/>
    <col min="3079" max="3079" width="17.1796875" style="114" bestFit="1" customWidth="1"/>
    <col min="3080" max="3080" width="18.1796875" style="114" bestFit="1" customWidth="1"/>
    <col min="3081" max="3081" width="26.453125" style="114" customWidth="1"/>
    <col min="3082" max="3326" width="9.1796875" style="114"/>
    <col min="3327" max="3327" width="8.7265625" style="114" bestFit="1" customWidth="1"/>
    <col min="3328" max="3328" width="13.26953125" style="114" customWidth="1"/>
    <col min="3329" max="3329" width="16.1796875" style="114" bestFit="1" customWidth="1"/>
    <col min="3330" max="3330" width="23.54296875" style="114" customWidth="1"/>
    <col min="3331" max="3331" width="17.26953125" style="114" customWidth="1"/>
    <col min="3332" max="3332" width="20.54296875" style="114" bestFit="1" customWidth="1"/>
    <col min="3333" max="3333" width="17.1796875" style="114" customWidth="1"/>
    <col min="3334" max="3334" width="21.81640625" style="114" bestFit="1" customWidth="1"/>
    <col min="3335" max="3335" width="17.1796875" style="114" bestFit="1" customWidth="1"/>
    <col min="3336" max="3336" width="18.1796875" style="114" bestFit="1" customWidth="1"/>
    <col min="3337" max="3337" width="26.453125" style="114" customWidth="1"/>
    <col min="3338" max="3582" width="9.1796875" style="114"/>
    <col min="3583" max="3583" width="8.7265625" style="114" bestFit="1" customWidth="1"/>
    <col min="3584" max="3584" width="13.26953125" style="114" customWidth="1"/>
    <col min="3585" max="3585" width="16.1796875" style="114" bestFit="1" customWidth="1"/>
    <col min="3586" max="3586" width="23.54296875" style="114" customWidth="1"/>
    <col min="3587" max="3587" width="17.26953125" style="114" customWidth="1"/>
    <col min="3588" max="3588" width="20.54296875" style="114" bestFit="1" customWidth="1"/>
    <col min="3589" max="3589" width="17.1796875" style="114" customWidth="1"/>
    <col min="3590" max="3590" width="21.81640625" style="114" bestFit="1" customWidth="1"/>
    <col min="3591" max="3591" width="17.1796875" style="114" bestFit="1" customWidth="1"/>
    <col min="3592" max="3592" width="18.1796875" style="114" bestFit="1" customWidth="1"/>
    <col min="3593" max="3593" width="26.453125" style="114" customWidth="1"/>
    <col min="3594" max="3838" width="9.1796875" style="114"/>
    <col min="3839" max="3839" width="8.7265625" style="114" bestFit="1" customWidth="1"/>
    <col min="3840" max="3840" width="13.26953125" style="114" customWidth="1"/>
    <col min="3841" max="3841" width="16.1796875" style="114" bestFit="1" customWidth="1"/>
    <col min="3842" max="3842" width="23.54296875" style="114" customWidth="1"/>
    <col min="3843" max="3843" width="17.26953125" style="114" customWidth="1"/>
    <col min="3844" max="3844" width="20.54296875" style="114" bestFit="1" customWidth="1"/>
    <col min="3845" max="3845" width="17.1796875" style="114" customWidth="1"/>
    <col min="3846" max="3846" width="21.81640625" style="114" bestFit="1" customWidth="1"/>
    <col min="3847" max="3847" width="17.1796875" style="114" bestFit="1" customWidth="1"/>
    <col min="3848" max="3848" width="18.1796875" style="114" bestFit="1" customWidth="1"/>
    <col min="3849" max="3849" width="26.453125" style="114" customWidth="1"/>
    <col min="3850" max="4094" width="9.1796875" style="114"/>
    <col min="4095" max="4095" width="8.7265625" style="114" bestFit="1" customWidth="1"/>
    <col min="4096" max="4096" width="13.26953125" style="114" customWidth="1"/>
    <col min="4097" max="4097" width="16.1796875" style="114" bestFit="1" customWidth="1"/>
    <col min="4098" max="4098" width="23.54296875" style="114" customWidth="1"/>
    <col min="4099" max="4099" width="17.26953125" style="114" customWidth="1"/>
    <col min="4100" max="4100" width="20.54296875" style="114" bestFit="1" customWidth="1"/>
    <col min="4101" max="4101" width="17.1796875" style="114" customWidth="1"/>
    <col min="4102" max="4102" width="21.81640625" style="114" bestFit="1" customWidth="1"/>
    <col min="4103" max="4103" width="17.1796875" style="114" bestFit="1" customWidth="1"/>
    <col min="4104" max="4104" width="18.1796875" style="114" bestFit="1" customWidth="1"/>
    <col min="4105" max="4105" width="26.453125" style="114" customWidth="1"/>
    <col min="4106" max="4350" width="9.1796875" style="114"/>
    <col min="4351" max="4351" width="8.7265625" style="114" bestFit="1" customWidth="1"/>
    <col min="4352" max="4352" width="13.26953125" style="114" customWidth="1"/>
    <col min="4353" max="4353" width="16.1796875" style="114" bestFit="1" customWidth="1"/>
    <col min="4354" max="4354" width="23.54296875" style="114" customWidth="1"/>
    <col min="4355" max="4355" width="17.26953125" style="114" customWidth="1"/>
    <col min="4356" max="4356" width="20.54296875" style="114" bestFit="1" customWidth="1"/>
    <col min="4357" max="4357" width="17.1796875" style="114" customWidth="1"/>
    <col min="4358" max="4358" width="21.81640625" style="114" bestFit="1" customWidth="1"/>
    <col min="4359" max="4359" width="17.1796875" style="114" bestFit="1" customWidth="1"/>
    <col min="4360" max="4360" width="18.1796875" style="114" bestFit="1" customWidth="1"/>
    <col min="4361" max="4361" width="26.453125" style="114" customWidth="1"/>
    <col min="4362" max="4606" width="9.1796875" style="114"/>
    <col min="4607" max="4607" width="8.7265625" style="114" bestFit="1" customWidth="1"/>
    <col min="4608" max="4608" width="13.26953125" style="114" customWidth="1"/>
    <col min="4609" max="4609" width="16.1796875" style="114" bestFit="1" customWidth="1"/>
    <col min="4610" max="4610" width="23.54296875" style="114" customWidth="1"/>
    <col min="4611" max="4611" width="17.26953125" style="114" customWidth="1"/>
    <col min="4612" max="4612" width="20.54296875" style="114" bestFit="1" customWidth="1"/>
    <col min="4613" max="4613" width="17.1796875" style="114" customWidth="1"/>
    <col min="4614" max="4614" width="21.81640625" style="114" bestFit="1" customWidth="1"/>
    <col min="4615" max="4615" width="17.1796875" style="114" bestFit="1" customWidth="1"/>
    <col min="4616" max="4616" width="18.1796875" style="114" bestFit="1" customWidth="1"/>
    <col min="4617" max="4617" width="26.453125" style="114" customWidth="1"/>
    <col min="4618" max="4862" width="9.1796875" style="114"/>
    <col min="4863" max="4863" width="8.7265625" style="114" bestFit="1" customWidth="1"/>
    <col min="4864" max="4864" width="13.26953125" style="114" customWidth="1"/>
    <col min="4865" max="4865" width="16.1796875" style="114" bestFit="1" customWidth="1"/>
    <col min="4866" max="4866" width="23.54296875" style="114" customWidth="1"/>
    <col min="4867" max="4867" width="17.26953125" style="114" customWidth="1"/>
    <col min="4868" max="4868" width="20.54296875" style="114" bestFit="1" customWidth="1"/>
    <col min="4869" max="4869" width="17.1796875" style="114" customWidth="1"/>
    <col min="4870" max="4870" width="21.81640625" style="114" bestFit="1" customWidth="1"/>
    <col min="4871" max="4871" width="17.1796875" style="114" bestFit="1" customWidth="1"/>
    <col min="4872" max="4872" width="18.1796875" style="114" bestFit="1" customWidth="1"/>
    <col min="4873" max="4873" width="26.453125" style="114" customWidth="1"/>
    <col min="4874" max="5118" width="9.1796875" style="114"/>
    <col min="5119" max="5119" width="8.7265625" style="114" bestFit="1" customWidth="1"/>
    <col min="5120" max="5120" width="13.26953125" style="114" customWidth="1"/>
    <col min="5121" max="5121" width="16.1796875" style="114" bestFit="1" customWidth="1"/>
    <col min="5122" max="5122" width="23.54296875" style="114" customWidth="1"/>
    <col min="5123" max="5123" width="17.26953125" style="114" customWidth="1"/>
    <col min="5124" max="5124" width="20.54296875" style="114" bestFit="1" customWidth="1"/>
    <col min="5125" max="5125" width="17.1796875" style="114" customWidth="1"/>
    <col min="5126" max="5126" width="21.81640625" style="114" bestFit="1" customWidth="1"/>
    <col min="5127" max="5127" width="17.1796875" style="114" bestFit="1" customWidth="1"/>
    <col min="5128" max="5128" width="18.1796875" style="114" bestFit="1" customWidth="1"/>
    <col min="5129" max="5129" width="26.453125" style="114" customWidth="1"/>
    <col min="5130" max="5374" width="9.1796875" style="114"/>
    <col min="5375" max="5375" width="8.7265625" style="114" bestFit="1" customWidth="1"/>
    <col min="5376" max="5376" width="13.26953125" style="114" customWidth="1"/>
    <col min="5377" max="5377" width="16.1796875" style="114" bestFit="1" customWidth="1"/>
    <col min="5378" max="5378" width="23.54296875" style="114" customWidth="1"/>
    <col min="5379" max="5379" width="17.26953125" style="114" customWidth="1"/>
    <col min="5380" max="5380" width="20.54296875" style="114" bestFit="1" customWidth="1"/>
    <col min="5381" max="5381" width="17.1796875" style="114" customWidth="1"/>
    <col min="5382" max="5382" width="21.81640625" style="114" bestFit="1" customWidth="1"/>
    <col min="5383" max="5383" width="17.1796875" style="114" bestFit="1" customWidth="1"/>
    <col min="5384" max="5384" width="18.1796875" style="114" bestFit="1" customWidth="1"/>
    <col min="5385" max="5385" width="26.453125" style="114" customWidth="1"/>
    <col min="5386" max="5630" width="9.1796875" style="114"/>
    <col min="5631" max="5631" width="8.7265625" style="114" bestFit="1" customWidth="1"/>
    <col min="5632" max="5632" width="13.26953125" style="114" customWidth="1"/>
    <col min="5633" max="5633" width="16.1796875" style="114" bestFit="1" customWidth="1"/>
    <col min="5634" max="5634" width="23.54296875" style="114" customWidth="1"/>
    <col min="5635" max="5635" width="17.26953125" style="114" customWidth="1"/>
    <col min="5636" max="5636" width="20.54296875" style="114" bestFit="1" customWidth="1"/>
    <col min="5637" max="5637" width="17.1796875" style="114" customWidth="1"/>
    <col min="5638" max="5638" width="21.81640625" style="114" bestFit="1" customWidth="1"/>
    <col min="5639" max="5639" width="17.1796875" style="114" bestFit="1" customWidth="1"/>
    <col min="5640" max="5640" width="18.1796875" style="114" bestFit="1" customWidth="1"/>
    <col min="5641" max="5641" width="26.453125" style="114" customWidth="1"/>
    <col min="5642" max="5886" width="9.1796875" style="114"/>
    <col min="5887" max="5887" width="8.7265625" style="114" bestFit="1" customWidth="1"/>
    <col min="5888" max="5888" width="13.26953125" style="114" customWidth="1"/>
    <col min="5889" max="5889" width="16.1796875" style="114" bestFit="1" customWidth="1"/>
    <col min="5890" max="5890" width="23.54296875" style="114" customWidth="1"/>
    <col min="5891" max="5891" width="17.26953125" style="114" customWidth="1"/>
    <col min="5892" max="5892" width="20.54296875" style="114" bestFit="1" customWidth="1"/>
    <col min="5893" max="5893" width="17.1796875" style="114" customWidth="1"/>
    <col min="5894" max="5894" width="21.81640625" style="114" bestFit="1" customWidth="1"/>
    <col min="5895" max="5895" width="17.1796875" style="114" bestFit="1" customWidth="1"/>
    <col min="5896" max="5896" width="18.1796875" style="114" bestFit="1" customWidth="1"/>
    <col min="5897" max="5897" width="26.453125" style="114" customWidth="1"/>
    <col min="5898" max="6142" width="9.1796875" style="114"/>
    <col min="6143" max="6143" width="8.7265625" style="114" bestFit="1" customWidth="1"/>
    <col min="6144" max="6144" width="13.26953125" style="114" customWidth="1"/>
    <col min="6145" max="6145" width="16.1796875" style="114" bestFit="1" customWidth="1"/>
    <col min="6146" max="6146" width="23.54296875" style="114" customWidth="1"/>
    <col min="6147" max="6147" width="17.26953125" style="114" customWidth="1"/>
    <col min="6148" max="6148" width="20.54296875" style="114" bestFit="1" customWidth="1"/>
    <col min="6149" max="6149" width="17.1796875" style="114" customWidth="1"/>
    <col min="6150" max="6150" width="21.81640625" style="114" bestFit="1" customWidth="1"/>
    <col min="6151" max="6151" width="17.1796875" style="114" bestFit="1" customWidth="1"/>
    <col min="6152" max="6152" width="18.1796875" style="114" bestFit="1" customWidth="1"/>
    <col min="6153" max="6153" width="26.453125" style="114" customWidth="1"/>
    <col min="6154" max="6398" width="9.1796875" style="114"/>
    <col min="6399" max="6399" width="8.7265625" style="114" bestFit="1" customWidth="1"/>
    <col min="6400" max="6400" width="13.26953125" style="114" customWidth="1"/>
    <col min="6401" max="6401" width="16.1796875" style="114" bestFit="1" customWidth="1"/>
    <col min="6402" max="6402" width="23.54296875" style="114" customWidth="1"/>
    <col min="6403" max="6403" width="17.26953125" style="114" customWidth="1"/>
    <col min="6404" max="6404" width="20.54296875" style="114" bestFit="1" customWidth="1"/>
    <col min="6405" max="6405" width="17.1796875" style="114" customWidth="1"/>
    <col min="6406" max="6406" width="21.81640625" style="114" bestFit="1" customWidth="1"/>
    <col min="6407" max="6407" width="17.1796875" style="114" bestFit="1" customWidth="1"/>
    <col min="6408" max="6408" width="18.1796875" style="114" bestFit="1" customWidth="1"/>
    <col min="6409" max="6409" width="26.453125" style="114" customWidth="1"/>
    <col min="6410" max="6654" width="9.1796875" style="114"/>
    <col min="6655" max="6655" width="8.7265625" style="114" bestFit="1" customWidth="1"/>
    <col min="6656" max="6656" width="13.26953125" style="114" customWidth="1"/>
    <col min="6657" max="6657" width="16.1796875" style="114" bestFit="1" customWidth="1"/>
    <col min="6658" max="6658" width="23.54296875" style="114" customWidth="1"/>
    <col min="6659" max="6659" width="17.26953125" style="114" customWidth="1"/>
    <col min="6660" max="6660" width="20.54296875" style="114" bestFit="1" customWidth="1"/>
    <col min="6661" max="6661" width="17.1796875" style="114" customWidth="1"/>
    <col min="6662" max="6662" width="21.81640625" style="114" bestFit="1" customWidth="1"/>
    <col min="6663" max="6663" width="17.1796875" style="114" bestFit="1" customWidth="1"/>
    <col min="6664" max="6664" width="18.1796875" style="114" bestFit="1" customWidth="1"/>
    <col min="6665" max="6665" width="26.453125" style="114" customWidth="1"/>
    <col min="6666" max="6910" width="9.1796875" style="114"/>
    <col min="6911" max="6911" width="8.7265625" style="114" bestFit="1" customWidth="1"/>
    <col min="6912" max="6912" width="13.26953125" style="114" customWidth="1"/>
    <col min="6913" max="6913" width="16.1796875" style="114" bestFit="1" customWidth="1"/>
    <col min="6914" max="6914" width="23.54296875" style="114" customWidth="1"/>
    <col min="6915" max="6915" width="17.26953125" style="114" customWidth="1"/>
    <col min="6916" max="6916" width="20.54296875" style="114" bestFit="1" customWidth="1"/>
    <col min="6917" max="6917" width="17.1796875" style="114" customWidth="1"/>
    <col min="6918" max="6918" width="21.81640625" style="114" bestFit="1" customWidth="1"/>
    <col min="6919" max="6919" width="17.1796875" style="114" bestFit="1" customWidth="1"/>
    <col min="6920" max="6920" width="18.1796875" style="114" bestFit="1" customWidth="1"/>
    <col min="6921" max="6921" width="26.453125" style="114" customWidth="1"/>
    <col min="6922" max="7166" width="9.1796875" style="114"/>
    <col min="7167" max="7167" width="8.7265625" style="114" bestFit="1" customWidth="1"/>
    <col min="7168" max="7168" width="13.26953125" style="114" customWidth="1"/>
    <col min="7169" max="7169" width="16.1796875" style="114" bestFit="1" customWidth="1"/>
    <col min="7170" max="7170" width="23.54296875" style="114" customWidth="1"/>
    <col min="7171" max="7171" width="17.26953125" style="114" customWidth="1"/>
    <col min="7172" max="7172" width="20.54296875" style="114" bestFit="1" customWidth="1"/>
    <col min="7173" max="7173" width="17.1796875" style="114" customWidth="1"/>
    <col min="7174" max="7174" width="21.81640625" style="114" bestFit="1" customWidth="1"/>
    <col min="7175" max="7175" width="17.1796875" style="114" bestFit="1" customWidth="1"/>
    <col min="7176" max="7176" width="18.1796875" style="114" bestFit="1" customWidth="1"/>
    <col min="7177" max="7177" width="26.453125" style="114" customWidth="1"/>
    <col min="7178" max="7422" width="9.1796875" style="114"/>
    <col min="7423" max="7423" width="8.7265625" style="114" bestFit="1" customWidth="1"/>
    <col min="7424" max="7424" width="13.26953125" style="114" customWidth="1"/>
    <col min="7425" max="7425" width="16.1796875" style="114" bestFit="1" customWidth="1"/>
    <col min="7426" max="7426" width="23.54296875" style="114" customWidth="1"/>
    <col min="7427" max="7427" width="17.26953125" style="114" customWidth="1"/>
    <col min="7428" max="7428" width="20.54296875" style="114" bestFit="1" customWidth="1"/>
    <col min="7429" max="7429" width="17.1796875" style="114" customWidth="1"/>
    <col min="7430" max="7430" width="21.81640625" style="114" bestFit="1" customWidth="1"/>
    <col min="7431" max="7431" width="17.1796875" style="114" bestFit="1" customWidth="1"/>
    <col min="7432" max="7432" width="18.1796875" style="114" bestFit="1" customWidth="1"/>
    <col min="7433" max="7433" width="26.453125" style="114" customWidth="1"/>
    <col min="7434" max="7678" width="9.1796875" style="114"/>
    <col min="7679" max="7679" width="8.7265625" style="114" bestFit="1" customWidth="1"/>
    <col min="7680" max="7680" width="13.26953125" style="114" customWidth="1"/>
    <col min="7681" max="7681" width="16.1796875" style="114" bestFit="1" customWidth="1"/>
    <col min="7682" max="7682" width="23.54296875" style="114" customWidth="1"/>
    <col min="7683" max="7683" width="17.26953125" style="114" customWidth="1"/>
    <col min="7684" max="7684" width="20.54296875" style="114" bestFit="1" customWidth="1"/>
    <col min="7685" max="7685" width="17.1796875" style="114" customWidth="1"/>
    <col min="7686" max="7686" width="21.81640625" style="114" bestFit="1" customWidth="1"/>
    <col min="7687" max="7687" width="17.1796875" style="114" bestFit="1" customWidth="1"/>
    <col min="7688" max="7688" width="18.1796875" style="114" bestFit="1" customWidth="1"/>
    <col min="7689" max="7689" width="26.453125" style="114" customWidth="1"/>
    <col min="7690" max="7934" width="9.1796875" style="114"/>
    <col min="7935" max="7935" width="8.7265625" style="114" bestFit="1" customWidth="1"/>
    <col min="7936" max="7936" width="13.26953125" style="114" customWidth="1"/>
    <col min="7937" max="7937" width="16.1796875" style="114" bestFit="1" customWidth="1"/>
    <col min="7938" max="7938" width="23.54296875" style="114" customWidth="1"/>
    <col min="7939" max="7939" width="17.26953125" style="114" customWidth="1"/>
    <col min="7940" max="7940" width="20.54296875" style="114" bestFit="1" customWidth="1"/>
    <col min="7941" max="7941" width="17.1796875" style="114" customWidth="1"/>
    <col min="7942" max="7942" width="21.81640625" style="114" bestFit="1" customWidth="1"/>
    <col min="7943" max="7943" width="17.1796875" style="114" bestFit="1" customWidth="1"/>
    <col min="7944" max="7944" width="18.1796875" style="114" bestFit="1" customWidth="1"/>
    <col min="7945" max="7945" width="26.453125" style="114" customWidth="1"/>
    <col min="7946" max="8190" width="9.1796875" style="114"/>
    <col min="8191" max="8191" width="8.7265625" style="114" bestFit="1" customWidth="1"/>
    <col min="8192" max="8192" width="13.26953125" style="114" customWidth="1"/>
    <col min="8193" max="8193" width="16.1796875" style="114" bestFit="1" customWidth="1"/>
    <col min="8194" max="8194" width="23.54296875" style="114" customWidth="1"/>
    <col min="8195" max="8195" width="17.26953125" style="114" customWidth="1"/>
    <col min="8196" max="8196" width="20.54296875" style="114" bestFit="1" customWidth="1"/>
    <col min="8197" max="8197" width="17.1796875" style="114" customWidth="1"/>
    <col min="8198" max="8198" width="21.81640625" style="114" bestFit="1" customWidth="1"/>
    <col min="8199" max="8199" width="17.1796875" style="114" bestFit="1" customWidth="1"/>
    <col min="8200" max="8200" width="18.1796875" style="114" bestFit="1" customWidth="1"/>
    <col min="8201" max="8201" width="26.453125" style="114" customWidth="1"/>
    <col min="8202" max="8446" width="9.1796875" style="114"/>
    <col min="8447" max="8447" width="8.7265625" style="114" bestFit="1" customWidth="1"/>
    <col min="8448" max="8448" width="13.26953125" style="114" customWidth="1"/>
    <col min="8449" max="8449" width="16.1796875" style="114" bestFit="1" customWidth="1"/>
    <col min="8450" max="8450" width="23.54296875" style="114" customWidth="1"/>
    <col min="8451" max="8451" width="17.26953125" style="114" customWidth="1"/>
    <col min="8452" max="8452" width="20.54296875" style="114" bestFit="1" customWidth="1"/>
    <col min="8453" max="8453" width="17.1796875" style="114" customWidth="1"/>
    <col min="8454" max="8454" width="21.81640625" style="114" bestFit="1" customWidth="1"/>
    <col min="8455" max="8455" width="17.1796875" style="114" bestFit="1" customWidth="1"/>
    <col min="8456" max="8456" width="18.1796875" style="114" bestFit="1" customWidth="1"/>
    <col min="8457" max="8457" width="26.453125" style="114" customWidth="1"/>
    <col min="8458" max="8702" width="9.1796875" style="114"/>
    <col min="8703" max="8703" width="8.7265625" style="114" bestFit="1" customWidth="1"/>
    <col min="8704" max="8704" width="13.26953125" style="114" customWidth="1"/>
    <col min="8705" max="8705" width="16.1796875" style="114" bestFit="1" customWidth="1"/>
    <col min="8706" max="8706" width="23.54296875" style="114" customWidth="1"/>
    <col min="8707" max="8707" width="17.26953125" style="114" customWidth="1"/>
    <col min="8708" max="8708" width="20.54296875" style="114" bestFit="1" customWidth="1"/>
    <col min="8709" max="8709" width="17.1796875" style="114" customWidth="1"/>
    <col min="8710" max="8710" width="21.81640625" style="114" bestFit="1" customWidth="1"/>
    <col min="8711" max="8711" width="17.1796875" style="114" bestFit="1" customWidth="1"/>
    <col min="8712" max="8712" width="18.1796875" style="114" bestFit="1" customWidth="1"/>
    <col min="8713" max="8713" width="26.453125" style="114" customWidth="1"/>
    <col min="8714" max="8958" width="9.1796875" style="114"/>
    <col min="8959" max="8959" width="8.7265625" style="114" bestFit="1" customWidth="1"/>
    <col min="8960" max="8960" width="13.26953125" style="114" customWidth="1"/>
    <col min="8961" max="8961" width="16.1796875" style="114" bestFit="1" customWidth="1"/>
    <col min="8962" max="8962" width="23.54296875" style="114" customWidth="1"/>
    <col min="8963" max="8963" width="17.26953125" style="114" customWidth="1"/>
    <col min="8964" max="8964" width="20.54296875" style="114" bestFit="1" customWidth="1"/>
    <col min="8965" max="8965" width="17.1796875" style="114" customWidth="1"/>
    <col min="8966" max="8966" width="21.81640625" style="114" bestFit="1" customWidth="1"/>
    <col min="8967" max="8967" width="17.1796875" style="114" bestFit="1" customWidth="1"/>
    <col min="8968" max="8968" width="18.1796875" style="114" bestFit="1" customWidth="1"/>
    <col min="8969" max="8969" width="26.453125" style="114" customWidth="1"/>
    <col min="8970" max="9214" width="9.1796875" style="114"/>
    <col min="9215" max="9215" width="8.7265625" style="114" bestFit="1" customWidth="1"/>
    <col min="9216" max="9216" width="13.26953125" style="114" customWidth="1"/>
    <col min="9217" max="9217" width="16.1796875" style="114" bestFit="1" customWidth="1"/>
    <col min="9218" max="9218" width="23.54296875" style="114" customWidth="1"/>
    <col min="9219" max="9219" width="17.26953125" style="114" customWidth="1"/>
    <col min="9220" max="9220" width="20.54296875" style="114" bestFit="1" customWidth="1"/>
    <col min="9221" max="9221" width="17.1796875" style="114" customWidth="1"/>
    <col min="9222" max="9222" width="21.81640625" style="114" bestFit="1" customWidth="1"/>
    <col min="9223" max="9223" width="17.1796875" style="114" bestFit="1" customWidth="1"/>
    <col min="9224" max="9224" width="18.1796875" style="114" bestFit="1" customWidth="1"/>
    <col min="9225" max="9225" width="26.453125" style="114" customWidth="1"/>
    <col min="9226" max="9470" width="9.1796875" style="114"/>
    <col min="9471" max="9471" width="8.7265625" style="114" bestFit="1" customWidth="1"/>
    <col min="9472" max="9472" width="13.26953125" style="114" customWidth="1"/>
    <col min="9473" max="9473" width="16.1796875" style="114" bestFit="1" customWidth="1"/>
    <col min="9474" max="9474" width="23.54296875" style="114" customWidth="1"/>
    <col min="9475" max="9475" width="17.26953125" style="114" customWidth="1"/>
    <col min="9476" max="9476" width="20.54296875" style="114" bestFit="1" customWidth="1"/>
    <col min="9477" max="9477" width="17.1796875" style="114" customWidth="1"/>
    <col min="9478" max="9478" width="21.81640625" style="114" bestFit="1" customWidth="1"/>
    <col min="9479" max="9479" width="17.1796875" style="114" bestFit="1" customWidth="1"/>
    <col min="9480" max="9480" width="18.1796875" style="114" bestFit="1" customWidth="1"/>
    <col min="9481" max="9481" width="26.453125" style="114" customWidth="1"/>
    <col min="9482" max="9726" width="9.1796875" style="114"/>
    <col min="9727" max="9727" width="8.7265625" style="114" bestFit="1" customWidth="1"/>
    <col min="9728" max="9728" width="13.26953125" style="114" customWidth="1"/>
    <col min="9729" max="9729" width="16.1796875" style="114" bestFit="1" customWidth="1"/>
    <col min="9730" max="9730" width="23.54296875" style="114" customWidth="1"/>
    <col min="9731" max="9731" width="17.26953125" style="114" customWidth="1"/>
    <col min="9732" max="9732" width="20.54296875" style="114" bestFit="1" customWidth="1"/>
    <col min="9733" max="9733" width="17.1796875" style="114" customWidth="1"/>
    <col min="9734" max="9734" width="21.81640625" style="114" bestFit="1" customWidth="1"/>
    <col min="9735" max="9735" width="17.1796875" style="114" bestFit="1" customWidth="1"/>
    <col min="9736" max="9736" width="18.1796875" style="114" bestFit="1" customWidth="1"/>
    <col min="9737" max="9737" width="26.453125" style="114" customWidth="1"/>
    <col min="9738" max="9982" width="9.1796875" style="114"/>
    <col min="9983" max="9983" width="8.7265625" style="114" bestFit="1" customWidth="1"/>
    <col min="9984" max="9984" width="13.26953125" style="114" customWidth="1"/>
    <col min="9985" max="9985" width="16.1796875" style="114" bestFit="1" customWidth="1"/>
    <col min="9986" max="9986" width="23.54296875" style="114" customWidth="1"/>
    <col min="9987" max="9987" width="17.26953125" style="114" customWidth="1"/>
    <col min="9988" max="9988" width="20.54296875" style="114" bestFit="1" customWidth="1"/>
    <col min="9989" max="9989" width="17.1796875" style="114" customWidth="1"/>
    <col min="9990" max="9990" width="21.81640625" style="114" bestFit="1" customWidth="1"/>
    <col min="9991" max="9991" width="17.1796875" style="114" bestFit="1" customWidth="1"/>
    <col min="9992" max="9992" width="18.1796875" style="114" bestFit="1" customWidth="1"/>
    <col min="9993" max="9993" width="26.453125" style="114" customWidth="1"/>
    <col min="9994" max="10238" width="9.1796875" style="114"/>
    <col min="10239" max="10239" width="8.7265625" style="114" bestFit="1" customWidth="1"/>
    <col min="10240" max="10240" width="13.26953125" style="114" customWidth="1"/>
    <col min="10241" max="10241" width="16.1796875" style="114" bestFit="1" customWidth="1"/>
    <col min="10242" max="10242" width="23.54296875" style="114" customWidth="1"/>
    <col min="10243" max="10243" width="17.26953125" style="114" customWidth="1"/>
    <col min="10244" max="10244" width="20.54296875" style="114" bestFit="1" customWidth="1"/>
    <col min="10245" max="10245" width="17.1796875" style="114" customWidth="1"/>
    <col min="10246" max="10246" width="21.81640625" style="114" bestFit="1" customWidth="1"/>
    <col min="10247" max="10247" width="17.1796875" style="114" bestFit="1" customWidth="1"/>
    <col min="10248" max="10248" width="18.1796875" style="114" bestFit="1" customWidth="1"/>
    <col min="10249" max="10249" width="26.453125" style="114" customWidth="1"/>
    <col min="10250" max="10494" width="9.1796875" style="114"/>
    <col min="10495" max="10495" width="8.7265625" style="114" bestFit="1" customWidth="1"/>
    <col min="10496" max="10496" width="13.26953125" style="114" customWidth="1"/>
    <col min="10497" max="10497" width="16.1796875" style="114" bestFit="1" customWidth="1"/>
    <col min="10498" max="10498" width="23.54296875" style="114" customWidth="1"/>
    <col min="10499" max="10499" width="17.26953125" style="114" customWidth="1"/>
    <col min="10500" max="10500" width="20.54296875" style="114" bestFit="1" customWidth="1"/>
    <col min="10501" max="10501" width="17.1796875" style="114" customWidth="1"/>
    <col min="10502" max="10502" width="21.81640625" style="114" bestFit="1" customWidth="1"/>
    <col min="10503" max="10503" width="17.1796875" style="114" bestFit="1" customWidth="1"/>
    <col min="10504" max="10504" width="18.1796875" style="114" bestFit="1" customWidth="1"/>
    <col min="10505" max="10505" width="26.453125" style="114" customWidth="1"/>
    <col min="10506" max="10750" width="9.1796875" style="114"/>
    <col min="10751" max="10751" width="8.7265625" style="114" bestFit="1" customWidth="1"/>
    <col min="10752" max="10752" width="13.26953125" style="114" customWidth="1"/>
    <col min="10753" max="10753" width="16.1796875" style="114" bestFit="1" customWidth="1"/>
    <col min="10754" max="10754" width="23.54296875" style="114" customWidth="1"/>
    <col min="10755" max="10755" width="17.26953125" style="114" customWidth="1"/>
    <col min="10756" max="10756" width="20.54296875" style="114" bestFit="1" customWidth="1"/>
    <col min="10757" max="10757" width="17.1796875" style="114" customWidth="1"/>
    <col min="10758" max="10758" width="21.81640625" style="114" bestFit="1" customWidth="1"/>
    <col min="10759" max="10759" width="17.1796875" style="114" bestFit="1" customWidth="1"/>
    <col min="10760" max="10760" width="18.1796875" style="114" bestFit="1" customWidth="1"/>
    <col min="10761" max="10761" width="26.453125" style="114" customWidth="1"/>
    <col min="10762" max="11006" width="9.1796875" style="114"/>
    <col min="11007" max="11007" width="8.7265625" style="114" bestFit="1" customWidth="1"/>
    <col min="11008" max="11008" width="13.26953125" style="114" customWidth="1"/>
    <col min="11009" max="11009" width="16.1796875" style="114" bestFit="1" customWidth="1"/>
    <col min="11010" max="11010" width="23.54296875" style="114" customWidth="1"/>
    <col min="11011" max="11011" width="17.26953125" style="114" customWidth="1"/>
    <col min="11012" max="11012" width="20.54296875" style="114" bestFit="1" customWidth="1"/>
    <col min="11013" max="11013" width="17.1796875" style="114" customWidth="1"/>
    <col min="11014" max="11014" width="21.81640625" style="114" bestFit="1" customWidth="1"/>
    <col min="11015" max="11015" width="17.1796875" style="114" bestFit="1" customWidth="1"/>
    <col min="11016" max="11016" width="18.1796875" style="114" bestFit="1" customWidth="1"/>
    <col min="11017" max="11017" width="26.453125" style="114" customWidth="1"/>
    <col min="11018" max="11262" width="9.1796875" style="114"/>
    <col min="11263" max="11263" width="8.7265625" style="114" bestFit="1" customWidth="1"/>
    <col min="11264" max="11264" width="13.26953125" style="114" customWidth="1"/>
    <col min="11265" max="11265" width="16.1796875" style="114" bestFit="1" customWidth="1"/>
    <col min="11266" max="11266" width="23.54296875" style="114" customWidth="1"/>
    <col min="11267" max="11267" width="17.26953125" style="114" customWidth="1"/>
    <col min="11268" max="11268" width="20.54296875" style="114" bestFit="1" customWidth="1"/>
    <col min="11269" max="11269" width="17.1796875" style="114" customWidth="1"/>
    <col min="11270" max="11270" width="21.81640625" style="114" bestFit="1" customWidth="1"/>
    <col min="11271" max="11271" width="17.1796875" style="114" bestFit="1" customWidth="1"/>
    <col min="11272" max="11272" width="18.1796875" style="114" bestFit="1" customWidth="1"/>
    <col min="11273" max="11273" width="26.453125" style="114" customWidth="1"/>
    <col min="11274" max="11518" width="9.1796875" style="114"/>
    <col min="11519" max="11519" width="8.7265625" style="114" bestFit="1" customWidth="1"/>
    <col min="11520" max="11520" width="13.26953125" style="114" customWidth="1"/>
    <col min="11521" max="11521" width="16.1796875" style="114" bestFit="1" customWidth="1"/>
    <col min="11522" max="11522" width="23.54296875" style="114" customWidth="1"/>
    <col min="11523" max="11523" width="17.26953125" style="114" customWidth="1"/>
    <col min="11524" max="11524" width="20.54296875" style="114" bestFit="1" customWidth="1"/>
    <col min="11525" max="11525" width="17.1796875" style="114" customWidth="1"/>
    <col min="11526" max="11526" width="21.81640625" style="114" bestFit="1" customWidth="1"/>
    <col min="11527" max="11527" width="17.1796875" style="114" bestFit="1" customWidth="1"/>
    <col min="11528" max="11528" width="18.1796875" style="114" bestFit="1" customWidth="1"/>
    <col min="11529" max="11529" width="26.453125" style="114" customWidth="1"/>
    <col min="11530" max="11774" width="9.1796875" style="114"/>
    <col min="11775" max="11775" width="8.7265625" style="114" bestFit="1" customWidth="1"/>
    <col min="11776" max="11776" width="13.26953125" style="114" customWidth="1"/>
    <col min="11777" max="11777" width="16.1796875" style="114" bestFit="1" customWidth="1"/>
    <col min="11778" max="11778" width="23.54296875" style="114" customWidth="1"/>
    <col min="11779" max="11779" width="17.26953125" style="114" customWidth="1"/>
    <col min="11780" max="11780" width="20.54296875" style="114" bestFit="1" customWidth="1"/>
    <col min="11781" max="11781" width="17.1796875" style="114" customWidth="1"/>
    <col min="11782" max="11782" width="21.81640625" style="114" bestFit="1" customWidth="1"/>
    <col min="11783" max="11783" width="17.1796875" style="114" bestFit="1" customWidth="1"/>
    <col min="11784" max="11784" width="18.1796875" style="114" bestFit="1" customWidth="1"/>
    <col min="11785" max="11785" width="26.453125" style="114" customWidth="1"/>
    <col min="11786" max="12030" width="9.1796875" style="114"/>
    <col min="12031" max="12031" width="8.7265625" style="114" bestFit="1" customWidth="1"/>
    <col min="12032" max="12032" width="13.26953125" style="114" customWidth="1"/>
    <col min="12033" max="12033" width="16.1796875" style="114" bestFit="1" customWidth="1"/>
    <col min="12034" max="12034" width="23.54296875" style="114" customWidth="1"/>
    <col min="12035" max="12035" width="17.26953125" style="114" customWidth="1"/>
    <col min="12036" max="12036" width="20.54296875" style="114" bestFit="1" customWidth="1"/>
    <col min="12037" max="12037" width="17.1796875" style="114" customWidth="1"/>
    <col min="12038" max="12038" width="21.81640625" style="114" bestFit="1" customWidth="1"/>
    <col min="12039" max="12039" width="17.1796875" style="114" bestFit="1" customWidth="1"/>
    <col min="12040" max="12040" width="18.1796875" style="114" bestFit="1" customWidth="1"/>
    <col min="12041" max="12041" width="26.453125" style="114" customWidth="1"/>
    <col min="12042" max="12286" width="9.1796875" style="114"/>
    <col min="12287" max="12287" width="8.7265625" style="114" bestFit="1" customWidth="1"/>
    <col min="12288" max="12288" width="13.26953125" style="114" customWidth="1"/>
    <col min="12289" max="12289" width="16.1796875" style="114" bestFit="1" customWidth="1"/>
    <col min="12290" max="12290" width="23.54296875" style="114" customWidth="1"/>
    <col min="12291" max="12291" width="17.26953125" style="114" customWidth="1"/>
    <col min="12292" max="12292" width="20.54296875" style="114" bestFit="1" customWidth="1"/>
    <col min="12293" max="12293" width="17.1796875" style="114" customWidth="1"/>
    <col min="12294" max="12294" width="21.81640625" style="114" bestFit="1" customWidth="1"/>
    <col min="12295" max="12295" width="17.1796875" style="114" bestFit="1" customWidth="1"/>
    <col min="12296" max="12296" width="18.1796875" style="114" bestFit="1" customWidth="1"/>
    <col min="12297" max="12297" width="26.453125" style="114" customWidth="1"/>
    <col min="12298" max="12542" width="9.1796875" style="114"/>
    <col min="12543" max="12543" width="8.7265625" style="114" bestFit="1" customWidth="1"/>
    <col min="12544" max="12544" width="13.26953125" style="114" customWidth="1"/>
    <col min="12545" max="12545" width="16.1796875" style="114" bestFit="1" customWidth="1"/>
    <col min="12546" max="12546" width="23.54296875" style="114" customWidth="1"/>
    <col min="12547" max="12547" width="17.26953125" style="114" customWidth="1"/>
    <col min="12548" max="12548" width="20.54296875" style="114" bestFit="1" customWidth="1"/>
    <col min="12549" max="12549" width="17.1796875" style="114" customWidth="1"/>
    <col min="12550" max="12550" width="21.81640625" style="114" bestFit="1" customWidth="1"/>
    <col min="12551" max="12551" width="17.1796875" style="114" bestFit="1" customWidth="1"/>
    <col min="12552" max="12552" width="18.1796875" style="114" bestFit="1" customWidth="1"/>
    <col min="12553" max="12553" width="26.453125" style="114" customWidth="1"/>
    <col min="12554" max="12798" width="9.1796875" style="114"/>
    <col min="12799" max="12799" width="8.7265625" style="114" bestFit="1" customWidth="1"/>
    <col min="12800" max="12800" width="13.26953125" style="114" customWidth="1"/>
    <col min="12801" max="12801" width="16.1796875" style="114" bestFit="1" customWidth="1"/>
    <col min="12802" max="12802" width="23.54296875" style="114" customWidth="1"/>
    <col min="12803" max="12803" width="17.26953125" style="114" customWidth="1"/>
    <col min="12804" max="12804" width="20.54296875" style="114" bestFit="1" customWidth="1"/>
    <col min="12805" max="12805" width="17.1796875" style="114" customWidth="1"/>
    <col min="12806" max="12806" width="21.81640625" style="114" bestFit="1" customWidth="1"/>
    <col min="12807" max="12807" width="17.1796875" style="114" bestFit="1" customWidth="1"/>
    <col min="12808" max="12808" width="18.1796875" style="114" bestFit="1" customWidth="1"/>
    <col min="12809" max="12809" width="26.453125" style="114" customWidth="1"/>
    <col min="12810" max="13054" width="9.1796875" style="114"/>
    <col min="13055" max="13055" width="8.7265625" style="114" bestFit="1" customWidth="1"/>
    <col min="13056" max="13056" width="13.26953125" style="114" customWidth="1"/>
    <col min="13057" max="13057" width="16.1796875" style="114" bestFit="1" customWidth="1"/>
    <col min="13058" max="13058" width="23.54296875" style="114" customWidth="1"/>
    <col min="13059" max="13059" width="17.26953125" style="114" customWidth="1"/>
    <col min="13060" max="13060" width="20.54296875" style="114" bestFit="1" customWidth="1"/>
    <col min="13061" max="13061" width="17.1796875" style="114" customWidth="1"/>
    <col min="13062" max="13062" width="21.81640625" style="114" bestFit="1" customWidth="1"/>
    <col min="13063" max="13063" width="17.1796875" style="114" bestFit="1" customWidth="1"/>
    <col min="13064" max="13064" width="18.1796875" style="114" bestFit="1" customWidth="1"/>
    <col min="13065" max="13065" width="26.453125" style="114" customWidth="1"/>
    <col min="13066" max="13310" width="9.1796875" style="114"/>
    <col min="13311" max="13311" width="8.7265625" style="114" bestFit="1" customWidth="1"/>
    <col min="13312" max="13312" width="13.26953125" style="114" customWidth="1"/>
    <col min="13313" max="13313" width="16.1796875" style="114" bestFit="1" customWidth="1"/>
    <col min="13314" max="13314" width="23.54296875" style="114" customWidth="1"/>
    <col min="13315" max="13315" width="17.26953125" style="114" customWidth="1"/>
    <col min="13316" max="13316" width="20.54296875" style="114" bestFit="1" customWidth="1"/>
    <col min="13317" max="13317" width="17.1796875" style="114" customWidth="1"/>
    <col min="13318" max="13318" width="21.81640625" style="114" bestFit="1" customWidth="1"/>
    <col min="13319" max="13319" width="17.1796875" style="114" bestFit="1" customWidth="1"/>
    <col min="13320" max="13320" width="18.1796875" style="114" bestFit="1" customWidth="1"/>
    <col min="13321" max="13321" width="26.453125" style="114" customWidth="1"/>
    <col min="13322" max="13566" width="9.1796875" style="114"/>
    <col min="13567" max="13567" width="8.7265625" style="114" bestFit="1" customWidth="1"/>
    <col min="13568" max="13568" width="13.26953125" style="114" customWidth="1"/>
    <col min="13569" max="13569" width="16.1796875" style="114" bestFit="1" customWidth="1"/>
    <col min="13570" max="13570" width="23.54296875" style="114" customWidth="1"/>
    <col min="13571" max="13571" width="17.26953125" style="114" customWidth="1"/>
    <col min="13572" max="13572" width="20.54296875" style="114" bestFit="1" customWidth="1"/>
    <col min="13573" max="13573" width="17.1796875" style="114" customWidth="1"/>
    <col min="13574" max="13574" width="21.81640625" style="114" bestFit="1" customWidth="1"/>
    <col min="13575" max="13575" width="17.1796875" style="114" bestFit="1" customWidth="1"/>
    <col min="13576" max="13576" width="18.1796875" style="114" bestFit="1" customWidth="1"/>
    <col min="13577" max="13577" width="26.453125" style="114" customWidth="1"/>
    <col min="13578" max="13822" width="9.1796875" style="114"/>
    <col min="13823" max="13823" width="8.7265625" style="114" bestFit="1" customWidth="1"/>
    <col min="13824" max="13824" width="13.26953125" style="114" customWidth="1"/>
    <col min="13825" max="13825" width="16.1796875" style="114" bestFit="1" customWidth="1"/>
    <col min="13826" max="13826" width="23.54296875" style="114" customWidth="1"/>
    <col min="13827" max="13827" width="17.26953125" style="114" customWidth="1"/>
    <col min="13828" max="13828" width="20.54296875" style="114" bestFit="1" customWidth="1"/>
    <col min="13829" max="13829" width="17.1796875" style="114" customWidth="1"/>
    <col min="13830" max="13830" width="21.81640625" style="114" bestFit="1" customWidth="1"/>
    <col min="13831" max="13831" width="17.1796875" style="114" bestFit="1" customWidth="1"/>
    <col min="13832" max="13832" width="18.1796875" style="114" bestFit="1" customWidth="1"/>
    <col min="13833" max="13833" width="26.453125" style="114" customWidth="1"/>
    <col min="13834" max="14078" width="9.1796875" style="114"/>
    <col min="14079" max="14079" width="8.7265625" style="114" bestFit="1" customWidth="1"/>
    <col min="14080" max="14080" width="13.26953125" style="114" customWidth="1"/>
    <col min="14081" max="14081" width="16.1796875" style="114" bestFit="1" customWidth="1"/>
    <col min="14082" max="14082" width="23.54296875" style="114" customWidth="1"/>
    <col min="14083" max="14083" width="17.26953125" style="114" customWidth="1"/>
    <col min="14084" max="14084" width="20.54296875" style="114" bestFit="1" customWidth="1"/>
    <col min="14085" max="14085" width="17.1796875" style="114" customWidth="1"/>
    <col min="14086" max="14086" width="21.81640625" style="114" bestFit="1" customWidth="1"/>
    <col min="14087" max="14087" width="17.1796875" style="114" bestFit="1" customWidth="1"/>
    <col min="14088" max="14088" width="18.1796875" style="114" bestFit="1" customWidth="1"/>
    <col min="14089" max="14089" width="26.453125" style="114" customWidth="1"/>
    <col min="14090" max="14334" width="9.1796875" style="114"/>
    <col min="14335" max="14335" width="8.7265625" style="114" bestFit="1" customWidth="1"/>
    <col min="14336" max="14336" width="13.26953125" style="114" customWidth="1"/>
    <col min="14337" max="14337" width="16.1796875" style="114" bestFit="1" customWidth="1"/>
    <col min="14338" max="14338" width="23.54296875" style="114" customWidth="1"/>
    <col min="14339" max="14339" width="17.26953125" style="114" customWidth="1"/>
    <col min="14340" max="14340" width="20.54296875" style="114" bestFit="1" customWidth="1"/>
    <col min="14341" max="14341" width="17.1796875" style="114" customWidth="1"/>
    <col min="14342" max="14342" width="21.81640625" style="114" bestFit="1" customWidth="1"/>
    <col min="14343" max="14343" width="17.1796875" style="114" bestFit="1" customWidth="1"/>
    <col min="14344" max="14344" width="18.1796875" style="114" bestFit="1" customWidth="1"/>
    <col min="14345" max="14345" width="26.453125" style="114" customWidth="1"/>
    <col min="14346" max="14590" width="9.1796875" style="114"/>
    <col min="14591" max="14591" width="8.7265625" style="114" bestFit="1" customWidth="1"/>
    <col min="14592" max="14592" width="13.26953125" style="114" customWidth="1"/>
    <col min="14593" max="14593" width="16.1796875" style="114" bestFit="1" customWidth="1"/>
    <col min="14594" max="14594" width="23.54296875" style="114" customWidth="1"/>
    <col min="14595" max="14595" width="17.26953125" style="114" customWidth="1"/>
    <col min="14596" max="14596" width="20.54296875" style="114" bestFit="1" customWidth="1"/>
    <col min="14597" max="14597" width="17.1796875" style="114" customWidth="1"/>
    <col min="14598" max="14598" width="21.81640625" style="114" bestFit="1" customWidth="1"/>
    <col min="14599" max="14599" width="17.1796875" style="114" bestFit="1" customWidth="1"/>
    <col min="14600" max="14600" width="18.1796875" style="114" bestFit="1" customWidth="1"/>
    <col min="14601" max="14601" width="26.453125" style="114" customWidth="1"/>
    <col min="14602" max="14846" width="9.1796875" style="114"/>
    <col min="14847" max="14847" width="8.7265625" style="114" bestFit="1" customWidth="1"/>
    <col min="14848" max="14848" width="13.26953125" style="114" customWidth="1"/>
    <col min="14849" max="14849" width="16.1796875" style="114" bestFit="1" customWidth="1"/>
    <col min="14850" max="14850" width="23.54296875" style="114" customWidth="1"/>
    <col min="14851" max="14851" width="17.26953125" style="114" customWidth="1"/>
    <col min="14852" max="14852" width="20.54296875" style="114" bestFit="1" customWidth="1"/>
    <col min="14853" max="14853" width="17.1796875" style="114" customWidth="1"/>
    <col min="14854" max="14854" width="21.81640625" style="114" bestFit="1" customWidth="1"/>
    <col min="14855" max="14855" width="17.1796875" style="114" bestFit="1" customWidth="1"/>
    <col min="14856" max="14856" width="18.1796875" style="114" bestFit="1" customWidth="1"/>
    <col min="14857" max="14857" width="26.453125" style="114" customWidth="1"/>
    <col min="14858" max="15102" width="9.1796875" style="114"/>
    <col min="15103" max="15103" width="8.7265625" style="114" bestFit="1" customWidth="1"/>
    <col min="15104" max="15104" width="13.26953125" style="114" customWidth="1"/>
    <col min="15105" max="15105" width="16.1796875" style="114" bestFit="1" customWidth="1"/>
    <col min="15106" max="15106" width="23.54296875" style="114" customWidth="1"/>
    <col min="15107" max="15107" width="17.26953125" style="114" customWidth="1"/>
    <col min="15108" max="15108" width="20.54296875" style="114" bestFit="1" customWidth="1"/>
    <col min="15109" max="15109" width="17.1796875" style="114" customWidth="1"/>
    <col min="15110" max="15110" width="21.81640625" style="114" bestFit="1" customWidth="1"/>
    <col min="15111" max="15111" width="17.1796875" style="114" bestFit="1" customWidth="1"/>
    <col min="15112" max="15112" width="18.1796875" style="114" bestFit="1" customWidth="1"/>
    <col min="15113" max="15113" width="26.453125" style="114" customWidth="1"/>
    <col min="15114" max="15358" width="9.1796875" style="114"/>
    <col min="15359" max="15359" width="8.7265625" style="114" bestFit="1" customWidth="1"/>
    <col min="15360" max="15360" width="13.26953125" style="114" customWidth="1"/>
    <col min="15361" max="15361" width="16.1796875" style="114" bestFit="1" customWidth="1"/>
    <col min="15362" max="15362" width="23.54296875" style="114" customWidth="1"/>
    <col min="15363" max="15363" width="17.26953125" style="114" customWidth="1"/>
    <col min="15364" max="15364" width="20.54296875" style="114" bestFit="1" customWidth="1"/>
    <col min="15365" max="15365" width="17.1796875" style="114" customWidth="1"/>
    <col min="15366" max="15366" width="21.81640625" style="114" bestFit="1" customWidth="1"/>
    <col min="15367" max="15367" width="17.1796875" style="114" bestFit="1" customWidth="1"/>
    <col min="15368" max="15368" width="18.1796875" style="114" bestFit="1" customWidth="1"/>
    <col min="15369" max="15369" width="26.453125" style="114" customWidth="1"/>
    <col min="15370" max="15614" width="9.1796875" style="114"/>
    <col min="15615" max="15615" width="8.7265625" style="114" bestFit="1" customWidth="1"/>
    <col min="15616" max="15616" width="13.26953125" style="114" customWidth="1"/>
    <col min="15617" max="15617" width="16.1796875" style="114" bestFit="1" customWidth="1"/>
    <col min="15618" max="15618" width="23.54296875" style="114" customWidth="1"/>
    <col min="15619" max="15619" width="17.26953125" style="114" customWidth="1"/>
    <col min="15620" max="15620" width="20.54296875" style="114" bestFit="1" customWidth="1"/>
    <col min="15621" max="15621" width="17.1796875" style="114" customWidth="1"/>
    <col min="15622" max="15622" width="21.81640625" style="114" bestFit="1" customWidth="1"/>
    <col min="15623" max="15623" width="17.1796875" style="114" bestFit="1" customWidth="1"/>
    <col min="15624" max="15624" width="18.1796875" style="114" bestFit="1" customWidth="1"/>
    <col min="15625" max="15625" width="26.453125" style="114" customWidth="1"/>
    <col min="15626" max="15870" width="9.1796875" style="114"/>
    <col min="15871" max="15871" width="8.7265625" style="114" bestFit="1" customWidth="1"/>
    <col min="15872" max="15872" width="13.26953125" style="114" customWidth="1"/>
    <col min="15873" max="15873" width="16.1796875" style="114" bestFit="1" customWidth="1"/>
    <col min="15874" max="15874" width="23.54296875" style="114" customWidth="1"/>
    <col min="15875" max="15875" width="17.26953125" style="114" customWidth="1"/>
    <col min="15876" max="15876" width="20.54296875" style="114" bestFit="1" customWidth="1"/>
    <col min="15877" max="15877" width="17.1796875" style="114" customWidth="1"/>
    <col min="15878" max="15878" width="21.81640625" style="114" bestFit="1" customWidth="1"/>
    <col min="15879" max="15879" width="17.1796875" style="114" bestFit="1" customWidth="1"/>
    <col min="15880" max="15880" width="18.1796875" style="114" bestFit="1" customWidth="1"/>
    <col min="15881" max="15881" width="26.453125" style="114" customWidth="1"/>
    <col min="15882" max="16126" width="9.1796875" style="114"/>
    <col min="16127" max="16127" width="8.7265625" style="114" bestFit="1" customWidth="1"/>
    <col min="16128" max="16128" width="13.26953125" style="114" customWidth="1"/>
    <col min="16129" max="16129" width="16.1796875" style="114" bestFit="1" customWidth="1"/>
    <col min="16130" max="16130" width="23.54296875" style="114" customWidth="1"/>
    <col min="16131" max="16131" width="17.26953125" style="114" customWidth="1"/>
    <col min="16132" max="16132" width="20.54296875" style="114" bestFit="1" customWidth="1"/>
    <col min="16133" max="16133" width="17.1796875" style="114" customWidth="1"/>
    <col min="16134" max="16134" width="21.81640625" style="114" bestFit="1" customWidth="1"/>
    <col min="16135" max="16135" width="17.1796875" style="114" bestFit="1" customWidth="1"/>
    <col min="16136" max="16136" width="18.1796875" style="114" bestFit="1" customWidth="1"/>
    <col min="16137" max="16137" width="26.453125" style="114" customWidth="1"/>
    <col min="16138" max="16384" width="9.1796875" style="114"/>
  </cols>
  <sheetData>
    <row r="1" spans="11:12" s="131" customFormat="1">
      <c r="K1" s="470"/>
      <c r="L1" s="469"/>
    </row>
    <row r="2" spans="11:12" s="131" customFormat="1">
      <c r="K2" s="470"/>
      <c r="L2" s="469"/>
    </row>
    <row r="3" spans="11:12" s="131" customFormat="1">
      <c r="K3" s="470"/>
      <c r="L3" s="469"/>
    </row>
    <row r="4" spans="11:12" s="131" customFormat="1">
      <c r="K4" s="470"/>
      <c r="L4" s="469"/>
    </row>
    <row r="5" spans="11:12" s="131" customFormat="1">
      <c r="K5" s="470"/>
      <c r="L5" s="469"/>
    </row>
    <row r="6" spans="11:12" s="131" customFormat="1">
      <c r="K6" s="470"/>
      <c r="L6" s="469"/>
    </row>
    <row r="7" spans="11:12" s="131" customFormat="1">
      <c r="K7" s="470"/>
      <c r="L7" s="469"/>
    </row>
    <row r="8" spans="11:12" s="131" customFormat="1">
      <c r="K8" s="470"/>
      <c r="L8" s="469"/>
    </row>
    <row r="9" spans="11:12" s="131" customFormat="1">
      <c r="K9" s="470"/>
      <c r="L9" s="469"/>
    </row>
    <row r="10" spans="11:12" s="131" customFormat="1">
      <c r="K10" s="470"/>
      <c r="L10" s="469"/>
    </row>
    <row r="11" spans="11:12" s="131" customFormat="1">
      <c r="K11" s="470"/>
      <c r="L11" s="469"/>
    </row>
    <row r="12" spans="11:12" s="131" customFormat="1">
      <c r="K12" s="470"/>
      <c r="L12" s="469"/>
    </row>
    <row r="13" spans="11:12" s="131" customFormat="1">
      <c r="K13" s="470"/>
      <c r="L13" s="469"/>
    </row>
    <row r="14" spans="11:12" s="131" customFormat="1">
      <c r="K14" s="470"/>
      <c r="L14" s="469"/>
    </row>
    <row r="15" spans="11:12" s="131" customFormat="1">
      <c r="K15" s="470"/>
      <c r="L15" s="469"/>
    </row>
    <row r="16" spans="11:12" s="131" customFormat="1">
      <c r="K16" s="470"/>
      <c r="L16" s="469"/>
    </row>
    <row r="17" spans="1:17" s="131" customFormat="1">
      <c r="K17" s="470"/>
      <c r="L17" s="469"/>
    </row>
    <row r="18" spans="1:17" s="131" customFormat="1">
      <c r="K18" s="470"/>
      <c r="L18" s="469"/>
    </row>
    <row r="19" spans="1:17" s="131" customFormat="1">
      <c r="K19" s="470"/>
      <c r="L19" s="469"/>
    </row>
    <row r="20" spans="1:17" s="131" customFormat="1">
      <c r="K20" s="470"/>
      <c r="L20" s="469"/>
    </row>
    <row r="21" spans="1:17" s="131" customFormat="1">
      <c r="K21" s="470"/>
      <c r="L21" s="469"/>
    </row>
    <row r="22" spans="1:17" s="131" customFormat="1">
      <c r="K22" s="470"/>
      <c r="L22" s="469"/>
    </row>
    <row r="23" spans="1:17" s="131" customFormat="1">
      <c r="K23" s="470"/>
      <c r="L23" s="469"/>
    </row>
    <row r="24" spans="1:17" s="131" customFormat="1">
      <c r="K24" s="470"/>
      <c r="L24" s="469"/>
    </row>
    <row r="25" spans="1:17" s="131" customFormat="1">
      <c r="K25" s="470"/>
      <c r="L25" s="469"/>
    </row>
    <row r="26" spans="1:17" s="131" customFormat="1">
      <c r="K26" s="470"/>
      <c r="L26" s="469"/>
    </row>
    <row r="27" spans="1:17" s="131" customFormat="1">
      <c r="K27" s="470"/>
      <c r="L27" s="469"/>
    </row>
    <row r="28" spans="1:17" s="131" customFormat="1" ht="24.75" customHeight="1">
      <c r="A28" s="496" t="str">
        <f>CHOOSE(MODE, 'Variable Mgmt'!K11,'Variable Mgmt'!K12)</f>
        <v>SINGLE Output PSR Flyback Converter, VIN = 24 V, VOUT = 16.4 V, IOUT = 1 A</v>
      </c>
      <c r="K28" s="469"/>
      <c r="L28" s="469"/>
    </row>
    <row r="29" spans="1:17" ht="24.75" customHeight="1" thickBot="1">
      <c r="A29" s="115" t="s">
        <v>937</v>
      </c>
    </row>
    <row r="30" spans="1:17" ht="18" customHeight="1">
      <c r="A30" s="202" t="s">
        <v>123</v>
      </c>
      <c r="B30" s="203" t="s">
        <v>122</v>
      </c>
      <c r="C30" s="203" t="s">
        <v>6</v>
      </c>
      <c r="D30" s="951" t="s">
        <v>41</v>
      </c>
      <c r="E30" s="952"/>
      <c r="F30" s="953"/>
      <c r="G30" s="203" t="s">
        <v>116</v>
      </c>
      <c r="H30" s="203" t="s">
        <v>67</v>
      </c>
      <c r="I30" s="488" t="s">
        <v>117</v>
      </c>
      <c r="J30" s="489" t="s">
        <v>346</v>
      </c>
      <c r="K30" s="490" t="s">
        <v>354</v>
      </c>
      <c r="L30" s="463"/>
      <c r="N30" s="117"/>
      <c r="Q30" s="495"/>
    </row>
    <row r="31" spans="1:17" s="117" customFormat="1" ht="17.149999999999999" customHeight="1">
      <c r="A31" s="116">
        <f>ROUNDUP('Design Converter'!E30/10,0)</f>
        <v>3</v>
      </c>
      <c r="B31" s="127" t="s">
        <v>120</v>
      </c>
      <c r="C31" s="130">
        <f>Cin</f>
        <v>22</v>
      </c>
      <c r="D31" s="965" t="str">
        <f>IF(VIN_max&gt;35, "Capacitor, Ceramic, "&amp;'Variable Mgmt'!B250&amp;", 100V, X7R, 10%", "Capacitor, Ceramic, "&amp;'Variable Mgmt'!B250&amp;", 50V, X7R, 10%")</f>
        <v>Capacitor, Ceramic, 22µF, 100V, X7R, 10%</v>
      </c>
      <c r="E31" s="966"/>
      <c r="F31" s="966"/>
      <c r="G31" s="128"/>
      <c r="H31" s="129" t="s">
        <v>118</v>
      </c>
      <c r="I31" s="475" t="s">
        <v>118</v>
      </c>
      <c r="J31" s="484" t="str">
        <f>CHOOSE(Q31,'Variable Mgmt'!T78,'Variable Mgmt'!T79,'Variable Mgmt'!T80,'Variable Mgmt'!T81,'Variable Mgmt'!T82)</f>
        <v>1.0 x 0.5</v>
      </c>
      <c r="K31" s="482">
        <f>CHOOSE(Q31,'Variable Mgmt'!U78,'Variable Mgmt'!U79,'Variable Mgmt'!U80,'Variable Mgmt'!U81,'Variable Mgmt'!U82)</f>
        <v>0.5</v>
      </c>
      <c r="L31" s="487"/>
      <c r="Q31" s="493">
        <v>1</v>
      </c>
    </row>
    <row r="32" spans="1:17" s="117" customFormat="1" ht="17.149999999999999" customHeight="1">
      <c r="A32" s="116">
        <v>1</v>
      </c>
      <c r="B32" s="127" t="s">
        <v>121</v>
      </c>
      <c r="C32" s="130">
        <f>Cout</f>
        <v>110</v>
      </c>
      <c r="D32" s="960" t="str">
        <f>CHOOSE(Cout_Voltage_Rating, "Capacitor, Ceramic, "&amp;'Variable Mgmt'!B245&amp;", 6.3V, X7R, 10%", "Capacitor, Ceramic, "&amp;'Variable Mgmt'!B245&amp;", 10V, X7R, 10%", "Capacitor, Ceramic, "&amp;'Variable Mgmt'!B245&amp;", 16V, X7R, 10%", "Capacitor, Ceramic, "&amp;'Variable Mgmt'!B245&amp;", 25V, X7R, 10%",  "Capacitor, Ceramic, "&amp;'Variable Mgmt'!B245&amp;", 50V, X7R, 10%")</f>
        <v>Capacitor, Ceramic, 110µF, 25V, X7R, 10%</v>
      </c>
      <c r="E32" s="961"/>
      <c r="F32" s="961"/>
      <c r="G32" s="128"/>
      <c r="H32" s="129" t="s">
        <v>118</v>
      </c>
      <c r="I32" s="475" t="s">
        <v>118</v>
      </c>
      <c r="J32" s="484" t="str">
        <f>CHOOSE(Q32,'Variable Mgmt'!T78,'Variable Mgmt'!T79,'Variable Mgmt'!T80,'Variable Mgmt'!T81,'Variable Mgmt'!T82)</f>
        <v>3.2 x 2.5</v>
      </c>
      <c r="K32" s="482">
        <f>CHOOSE(Q32,'Variable Mgmt'!U78,'Variable Mgmt'!U79,'Variable Mgmt'!U80,'Variable Mgmt'!U81,'Variable Mgmt'!U82)</f>
        <v>8</v>
      </c>
      <c r="L32" s="487"/>
      <c r="Q32" s="493">
        <v>5</v>
      </c>
    </row>
    <row r="33" spans="1:17" s="117" customFormat="1" ht="17.149999999999999" customHeight="1">
      <c r="A33" s="116" t="str">
        <f>CHOOSE(MODE, "-", "1")</f>
        <v>-</v>
      </c>
      <c r="B33" s="127" t="s">
        <v>625</v>
      </c>
      <c r="C33" s="130" t="str">
        <f>CHOOSE(MODE, "-", Cout2)</f>
        <v>-</v>
      </c>
      <c r="D33" s="598" t="str">
        <f>CHOOSE(MODE, "-", CHOOSE(Cout_Voltage_Rating, "Capacitor, Ceramic, "&amp;'Variable Mgmt'!F245&amp;", 6.3V, X7R, 10%", "Capacitor, Ceramic, "&amp;'Variable Mgmt'!F245&amp;", 10V, X7R, 10%", "Capacitor, Ceramic, "&amp;'Variable Mgmt'!F245&amp;", 16V, X7R, 10%", "Capacitor, Ceramic, "&amp;'Variable Mgmt'!F245&amp;", 25V, X7R, 10%",  "Capacitor, Ceramic, "&amp;'Variable Mgmt'!F245&amp;", 50V, X7R, 10%"))</f>
        <v>-</v>
      </c>
      <c r="E33" s="599"/>
      <c r="F33" s="599"/>
      <c r="G33" s="128"/>
      <c r="H33" s="129" t="str">
        <f>CHOOSE(MODE, "-", "Std")</f>
        <v>-</v>
      </c>
      <c r="I33" s="475" t="str">
        <f>CHOOSE(MODE, "-", "Std")</f>
        <v>-</v>
      </c>
      <c r="J33" s="484" t="str">
        <f>CHOOSE(MODE, "-", CHOOSE(Q33,'Variable Mgmt'!T78,'Variable Mgmt'!T79,'Variable Mgmt'!T80,'Variable Mgmt'!T81,'Variable Mgmt'!T82))</f>
        <v>-</v>
      </c>
      <c r="K33" s="482" t="str">
        <f>CHOOSE(MODE, "-", CHOOSE(Q33,'Variable Mgmt'!U78,'Variable Mgmt'!U79,'Variable Mgmt'!U80,'Variable Mgmt'!U81,'Variable Mgmt'!U82))</f>
        <v>-</v>
      </c>
      <c r="L33" s="487"/>
      <c r="Q33" s="493">
        <v>5</v>
      </c>
    </row>
    <row r="34" spans="1:17" s="117" customFormat="1" ht="17.149999999999999" customHeight="1">
      <c r="A34" s="118" t="str">
        <f>CHOOSE(MODE_SS, "1", "-", "1")</f>
        <v>-</v>
      </c>
      <c r="B34" s="119" t="str">
        <f>CHOOSE(MODE_SS, "Css", "-")</f>
        <v>-</v>
      </c>
      <c r="C34" s="620" t="str">
        <f>CHOOSE(MODE_SS, 'Standard Value Calculator'!B4*1000000000&amp;"nF", "-", "100k")</f>
        <v>-</v>
      </c>
      <c r="D34" s="962" t="str">
        <f>CHOOSE(MODE_SS, "Capacitor, Ceramic, "&amp;'Standard Value Calculator'!B4*1000000000&amp;"nF"&amp;", 16V, X7R, 10%", "-")</f>
        <v>-</v>
      </c>
      <c r="E34" s="963"/>
      <c r="F34" s="963"/>
      <c r="G34" s="120"/>
      <c r="H34" s="121" t="str">
        <f>CHOOSE(MODE_SS, "Std", "-")</f>
        <v>-</v>
      </c>
      <c r="I34" s="476" t="str">
        <f>CHOOSE(MODE_SS, "Std", "-")</f>
        <v>-</v>
      </c>
      <c r="J34" s="484" t="str">
        <f>CHOOSE(MODE_SS,CHOOSE(Q34,'Variable Mgmt'!T78,'Variable Mgmt'!T79,'Variable Mgmt'!T80),"-",CHOOSE(Q34,'Variable Mgmt'!T78,'Variable Mgmt'!T79,'Variable Mgmt'!T80))</f>
        <v>-</v>
      </c>
      <c r="K34" s="482" t="str">
        <f>CHOOSE(MODE_SS, CHOOSE(Q34,'Variable Mgmt'!U78,'Variable Mgmt'!U79,'Variable Mgmt'!U80), "-", CHOOSE(Q34,'Variable Mgmt'!U78,'Variable Mgmt'!U79,'Variable Mgmt'!U80))</f>
        <v>-</v>
      </c>
      <c r="L34" s="487"/>
      <c r="Q34" s="493">
        <v>5</v>
      </c>
    </row>
    <row r="35" spans="1:17" s="117" customFormat="1" ht="17.149999999999999" customHeight="1">
      <c r="A35" s="118">
        <v>1</v>
      </c>
      <c r="B35" s="119" t="s">
        <v>929</v>
      </c>
      <c r="C35" s="620" t="str">
        <f>'Design Converter'!E62&amp;"nF"</f>
        <v>22nF</v>
      </c>
      <c r="D35" s="900" t="str">
        <f>"Capacitor, Ceramic, "&amp;C35&amp;", 16V, X7R, 10%"</f>
        <v>Capacitor, Ceramic, 22nF, 16V, X7R, 10%</v>
      </c>
      <c r="E35" s="901"/>
      <c r="F35" s="901"/>
      <c r="G35" s="128"/>
      <c r="H35" s="129" t="str">
        <f>CHOOSE(MODE, "-", "Std")</f>
        <v>-</v>
      </c>
      <c r="I35" s="475" t="str">
        <f>CHOOSE(MODE, "-", "Std")</f>
        <v>-</v>
      </c>
      <c r="J35" s="484" t="str">
        <f>CHOOSE(Q35,'Variable Mgmt'!T78,'Variable Mgmt'!T79,'Variable Mgmt'!T80,'Variable Mgmt'!T81,'Variable Mgmt'!T82)</f>
        <v>2.0 x 1.25</v>
      </c>
      <c r="K35" s="482">
        <f>CHOOSE(Q35,'Variable Mgmt'!U78,'Variable Mgmt'!U79,'Variable Mgmt'!U80,'Variable Mgmt'!U81,'Variable Mgmt'!U82)</f>
        <v>2.5</v>
      </c>
      <c r="L35" s="487"/>
      <c r="Q35" s="493">
        <v>3</v>
      </c>
    </row>
    <row r="36" spans="1:17" s="117" customFormat="1" ht="17.149999999999999" customHeight="1">
      <c r="A36" s="118">
        <v>1</v>
      </c>
      <c r="B36" s="119" t="s">
        <v>930</v>
      </c>
      <c r="C36" s="620" t="str">
        <f>'Design Converter'!E64&amp;"pF"</f>
        <v>100pF</v>
      </c>
      <c r="D36" s="900" t="str">
        <f>"Capacitor, Ceramic, "&amp;C36&amp;", 50V, X7R, 10%"</f>
        <v>Capacitor, Ceramic, 100pF, 50V, X7R, 10%</v>
      </c>
      <c r="E36" s="901"/>
      <c r="F36" s="901"/>
      <c r="G36" s="128"/>
      <c r="H36" s="129" t="str">
        <f>CHOOSE(MODE, "-", "Std")</f>
        <v>-</v>
      </c>
      <c r="I36" s="475" t="str">
        <f>CHOOSE(MODE, "-", "Std")</f>
        <v>-</v>
      </c>
      <c r="J36" s="484" t="str">
        <f>CHOOSE(Q36,'Variable Mgmt'!T78,'Variable Mgmt'!T79,'Variable Mgmt'!T80,'Variable Mgmt'!T81,'Variable Mgmt'!T82)</f>
        <v>3.2 x 1.6</v>
      </c>
      <c r="K36" s="482">
        <f>CHOOSE(Q36,'Variable Mgmt'!U78,'Variable Mgmt'!U79,'Variable Mgmt'!U80,'Variable Mgmt'!U81,'Variable Mgmt'!U82)</f>
        <v>5.0999999999999996</v>
      </c>
      <c r="L36" s="487"/>
      <c r="Q36" s="493">
        <v>4</v>
      </c>
    </row>
    <row r="37" spans="1:17" s="117" customFormat="1" ht="17.149999999999999" customHeight="1">
      <c r="A37" s="118">
        <v>1</v>
      </c>
      <c r="B37" s="119" t="s">
        <v>927</v>
      </c>
      <c r="C37" s="130">
        <v>1</v>
      </c>
      <c r="D37" s="960" t="s">
        <v>928</v>
      </c>
      <c r="E37" s="961"/>
      <c r="F37" s="961"/>
      <c r="G37" s="128"/>
      <c r="H37" s="129" t="s">
        <v>118</v>
      </c>
      <c r="I37" s="475" t="s">
        <v>118</v>
      </c>
      <c r="J37" s="484" t="str">
        <f>CHOOSE(Q37,'Variable Mgmt'!T78,'Variable Mgmt'!T79,'Variable Mgmt'!T80,'Variable Mgmt'!T81,'Variable Mgmt'!T82)</f>
        <v>1.6 x 0.8</v>
      </c>
      <c r="K37" s="482">
        <f>CHOOSE(Q37,'Variable Mgmt'!U78,'Variable Mgmt'!U79,'Variable Mgmt'!U80,'Variable Mgmt'!U81,'Variable Mgmt'!U82)</f>
        <v>1.3</v>
      </c>
      <c r="L37" s="487"/>
      <c r="Q37" s="493">
        <v>2</v>
      </c>
    </row>
    <row r="38" spans="1:17" s="117" customFormat="1" ht="17.149999999999999" customHeight="1">
      <c r="A38" s="118">
        <v>1</v>
      </c>
      <c r="B38" s="119" t="s">
        <v>934</v>
      </c>
      <c r="C38" s="130" t="s">
        <v>869</v>
      </c>
      <c r="D38" s="960" t="s">
        <v>935</v>
      </c>
      <c r="E38" s="961"/>
      <c r="F38" s="961"/>
      <c r="G38" s="128"/>
      <c r="H38" s="129" t="str">
        <f>CHOOSE(MODE, "-", "Std")</f>
        <v>-</v>
      </c>
      <c r="I38" s="475" t="str">
        <f>CHOOSE(MODE, "-", "Std")</f>
        <v>-</v>
      </c>
      <c r="J38" s="484" t="str">
        <f>CHOOSE(Q38,'Variable Mgmt'!T78,'Variable Mgmt'!T79,'Variable Mgmt'!T80,'Variable Mgmt'!T81,'Variable Mgmt'!T82)</f>
        <v>1.0 x 0.5</v>
      </c>
      <c r="K38" s="482">
        <f>CHOOSE(Q38,'Variable Mgmt'!U78,'Variable Mgmt'!U79,'Variable Mgmt'!U80,'Variable Mgmt'!U81,'Variable Mgmt'!U82)</f>
        <v>0.5</v>
      </c>
      <c r="L38" s="487"/>
      <c r="Q38" s="493">
        <v>1</v>
      </c>
    </row>
    <row r="39" spans="1:17" s="117" customFormat="1" ht="17.149999999999999" customHeight="1">
      <c r="A39" s="122">
        <v>1</v>
      </c>
      <c r="B39" s="123" t="s">
        <v>627</v>
      </c>
      <c r="C39" s="124" t="s">
        <v>193</v>
      </c>
      <c r="D39" s="958" t="str">
        <f>"Rectifying Diode, Schottky"</f>
        <v>Rectifying Diode, Schottky</v>
      </c>
      <c r="E39" s="959"/>
      <c r="F39" s="959"/>
      <c r="G39" s="125"/>
      <c r="H39" s="126" t="s">
        <v>118</v>
      </c>
      <c r="I39" s="477" t="s">
        <v>118</v>
      </c>
      <c r="J39" s="613" t="str">
        <f>CHOOSE(Q39,'Variable Mgmt'!Y88,'Variable Mgmt'!Y89,'Variable Mgmt'!Y90,'Variable Mgmt'!Y91)</f>
        <v>3.6 x 1.8</v>
      </c>
      <c r="K39" s="614">
        <f>CHOOSE(Q39,'Variable Mgmt'!Z88,'Variable Mgmt'!Z89,'Variable Mgmt'!Z90,'Variable Mgmt'!Z91)</f>
        <v>6.5</v>
      </c>
      <c r="L39" s="487"/>
      <c r="Q39" s="494">
        <v>3</v>
      </c>
    </row>
    <row r="40" spans="1:17" s="117" customFormat="1" ht="17.149999999999999" customHeight="1">
      <c r="A40" s="122" t="str">
        <f>CHOOSE(MODE, "-", "1")</f>
        <v>-</v>
      </c>
      <c r="B40" s="123" t="s">
        <v>626</v>
      </c>
      <c r="C40" s="124" t="str">
        <f>CHOOSE(MODE, "-", "Diode")</f>
        <v>-</v>
      </c>
      <c r="D40" s="956" t="str">
        <f>CHOOSE(MODE, "-", "Rectifying Diode, Schottky")</f>
        <v>-</v>
      </c>
      <c r="E40" s="957"/>
      <c r="F40" s="957"/>
      <c r="G40" s="125" t="s">
        <v>119</v>
      </c>
      <c r="H40" s="126" t="str">
        <f>CHOOSE(MODE, "-", "Std")</f>
        <v>-</v>
      </c>
      <c r="I40" s="477" t="str">
        <f>CHOOSE(MODE, "-", "Std")</f>
        <v>-</v>
      </c>
      <c r="J40" s="613" t="str">
        <f>CHOOSE(MODE, "-", CHOOSE(Q40,'Variable Mgmt'!Y88,'Variable Mgmt'!Y89,'Variable Mgmt'!Y90,'Variable Mgmt'!Y91))</f>
        <v>-</v>
      </c>
      <c r="K40" s="614" t="str">
        <f>CHOOSE(MODE, "-", CHOOSE(Q40,'Variable Mgmt'!Z88,'Variable Mgmt'!Z89,'Variable Mgmt'!Z90,'Variable Mgmt'!Z91))</f>
        <v>-</v>
      </c>
      <c r="L40" s="487"/>
      <c r="Q40" s="494">
        <v>3</v>
      </c>
    </row>
    <row r="41" spans="1:17" s="117" customFormat="1" ht="17.149999999999999" customHeight="1">
      <c r="A41" s="122">
        <v>1</v>
      </c>
      <c r="B41" s="123" t="s">
        <v>628</v>
      </c>
      <c r="C41" s="124" t="str">
        <f>"Diode"</f>
        <v>Diode</v>
      </c>
      <c r="D41" s="618" t="str">
        <f>"Clamp Circuit Diode, Fast Recovery"</f>
        <v>Clamp Circuit Diode, Fast Recovery</v>
      </c>
      <c r="E41" s="619"/>
      <c r="F41" s="619"/>
      <c r="G41" s="125"/>
      <c r="H41" s="126" t="s">
        <v>118</v>
      </c>
      <c r="I41" s="477" t="s">
        <v>118</v>
      </c>
      <c r="J41" s="613" t="str">
        <f>CHOOSE(Q41,'Variable Mgmt'!Y88,'Variable Mgmt'!Y89,'Variable Mgmt'!Y90,'Variable Mgmt'!Y91)</f>
        <v>1.6 x 0.8</v>
      </c>
      <c r="K41" s="614">
        <f>CHOOSE(Q41,'Variable Mgmt'!Z88,'Variable Mgmt'!Z89,'Variable Mgmt'!Z90,'Variable Mgmt'!Z91)</f>
        <v>1.3</v>
      </c>
      <c r="L41" s="487"/>
      <c r="Q41" s="494">
        <v>1</v>
      </c>
    </row>
    <row r="42" spans="1:17" s="117" customFormat="1" ht="17.149999999999999" customHeight="1">
      <c r="A42" s="122">
        <v>1</v>
      </c>
      <c r="B42" s="123" t="s">
        <v>623</v>
      </c>
      <c r="C42" s="124" t="s">
        <v>624</v>
      </c>
      <c r="D42" s="956" t="str">
        <f>"Clamp Circuit Diode, Zener, 24V"</f>
        <v>Clamp Circuit Diode, Zener, 24V</v>
      </c>
      <c r="E42" s="957"/>
      <c r="F42" s="957"/>
      <c r="G42" s="125" t="s">
        <v>119</v>
      </c>
      <c r="H42" s="126" t="s">
        <v>118</v>
      </c>
      <c r="I42" s="477" t="s">
        <v>118</v>
      </c>
      <c r="J42" s="613" t="str">
        <f>CHOOSE(Q42,'Variable Mgmt'!Y88,'Variable Mgmt'!Y89,'Variable Mgmt'!Y90,'Variable Mgmt'!Y91)</f>
        <v>5.0 x 2.5</v>
      </c>
      <c r="K42" s="614">
        <f>CHOOSE(Q42,'Variable Mgmt'!Z88,'Variable Mgmt'!Z89,'Variable Mgmt'!Z90,'Variable Mgmt'!Z91)</f>
        <v>12.5</v>
      </c>
      <c r="L42" s="487"/>
      <c r="Q42" s="494">
        <v>4</v>
      </c>
    </row>
    <row r="43" spans="1:17" s="117" customFormat="1" ht="17.149999999999999" customHeight="1">
      <c r="A43" s="122">
        <v>1</v>
      </c>
      <c r="B43" s="123" t="s">
        <v>941</v>
      </c>
      <c r="C43" s="124" t="str">
        <f>Vout*1.1&amp;"V"</f>
        <v>18.04V</v>
      </c>
      <c r="D43" s="618" t="str">
        <f>"Output Clamp Diode, Zener, "&amp;ROUND(Vout*1.125,0)&amp;"V"</f>
        <v>Output Clamp Diode, Zener, 18V</v>
      </c>
      <c r="E43" s="619"/>
      <c r="F43" s="619"/>
      <c r="G43" s="125"/>
      <c r="H43" s="126" t="s">
        <v>118</v>
      </c>
      <c r="I43" s="477" t="s">
        <v>118</v>
      </c>
      <c r="J43" s="613" t="str">
        <f>CHOOSE(Q43,'Variable Mgmt'!Y88,'Variable Mgmt'!Y89,'Variable Mgmt'!Y90,'Variable Mgmt'!Y91)</f>
        <v>3.6 x 1.8</v>
      </c>
      <c r="K43" s="614">
        <f>CHOOSE(Q43,'Variable Mgmt'!Z88,'Variable Mgmt'!Z89,'Variable Mgmt'!Z90,'Variable Mgmt'!Z91)</f>
        <v>6.5</v>
      </c>
      <c r="L43" s="487"/>
      <c r="Q43" s="494">
        <v>3</v>
      </c>
    </row>
    <row r="44" spans="1:17" s="117" customFormat="1" ht="17.149999999999999" customHeight="1">
      <c r="A44" s="122" t="str">
        <f>CHOOSE(MODE, "-", "1")</f>
        <v>-</v>
      </c>
      <c r="B44" s="123" t="s">
        <v>942</v>
      </c>
      <c r="C44" s="124" t="str">
        <f>Vout2*1.1&amp;"V"</f>
        <v>8.8V</v>
      </c>
      <c r="D44" s="956" t="str">
        <f>CHOOSE(MODE, "-", "Output Clamp Diode, Zener, "&amp;ROUND(Vout2*1.125,0)&amp;"V")</f>
        <v>-</v>
      </c>
      <c r="E44" s="957"/>
      <c r="F44" s="957"/>
      <c r="G44" s="125"/>
      <c r="H44" s="126" t="str">
        <f>CHOOSE(MODE, "-", "Std")</f>
        <v>-</v>
      </c>
      <c r="I44" s="477" t="str">
        <f>CHOOSE(MODE, "-", "Std")</f>
        <v>-</v>
      </c>
      <c r="J44" s="613" t="str">
        <f>CHOOSE(MODE, "-", CHOOSE(Q44,'Variable Mgmt'!Y88,'Variable Mgmt'!Y89,'Variable Mgmt'!Y90,'Variable Mgmt'!Y91))</f>
        <v>-</v>
      </c>
      <c r="K44" s="614" t="str">
        <f>CHOOSE(MODE, "-", CHOOSE(Q44,'Variable Mgmt'!Z88,'Variable Mgmt'!Z89,'Variable Mgmt'!Z90,'Variable Mgmt'!Z91))</f>
        <v>-</v>
      </c>
      <c r="L44" s="487"/>
      <c r="Q44" s="494">
        <v>3</v>
      </c>
    </row>
    <row r="45" spans="1:17" s="117" customFormat="1" ht="17.149999999999999" customHeight="1">
      <c r="A45" s="118">
        <v>1</v>
      </c>
      <c r="B45" s="119" t="s">
        <v>949</v>
      </c>
      <c r="C45" s="907" t="str">
        <f>IF(Vds_req&lt;30,30,IF(Vds_req&lt;40,40,IF(Vds_req&lt;50,50,IF(Vds_req&lt;60,60,IF(Vds_req&lt;80,80,IF(Vds_req&lt;100,100,IF(Vds_req&lt;120,120,IF(Vds_req&lt;150,150,IF(Vds_req&lt;200,200,IF(Vds_req&lt;250,250,IF(Vds_req&lt;300,300,500)))))))))))&amp;"V"</f>
        <v>80V</v>
      </c>
      <c r="D45" s="905" t="s">
        <v>950</v>
      </c>
      <c r="E45" s="906"/>
      <c r="F45" s="906"/>
      <c r="G45" s="120" t="s">
        <v>951</v>
      </c>
      <c r="H45" s="121" t="s">
        <v>118</v>
      </c>
      <c r="I45" s="476" t="s">
        <v>118</v>
      </c>
      <c r="J45" s="484" t="s">
        <v>952</v>
      </c>
      <c r="K45" s="482">
        <v>30</v>
      </c>
      <c r="L45" s="487"/>
      <c r="Q45" s="494"/>
    </row>
    <row r="46" spans="1:17" s="117" customFormat="1" ht="17.149999999999999" customHeight="1">
      <c r="A46" s="122">
        <v>1</v>
      </c>
      <c r="B46" s="123" t="s">
        <v>629</v>
      </c>
      <c r="C46" s="124">
        <v>12.1</v>
      </c>
      <c r="D46" s="954">
        <f>C46</f>
        <v>12.1</v>
      </c>
      <c r="E46" s="955"/>
      <c r="F46" s="955"/>
      <c r="G46" s="125" t="s">
        <v>119</v>
      </c>
      <c r="H46" s="126" t="s">
        <v>118</v>
      </c>
      <c r="I46" s="477" t="s">
        <v>118</v>
      </c>
      <c r="J46" s="613" t="str">
        <f>CHOOSE(Q46,'Variable Mgmt'!T78,'Variable Mgmt'!T79,'Variable Mgmt'!T80)</f>
        <v>1.6 x 0.8</v>
      </c>
      <c r="K46" s="614">
        <f>CHOOSE(Q46,'Variable Mgmt'!U78,'Variable Mgmt'!U79,'Variable Mgmt'!U80,'Variable Mgmt'!U81,'Variable Mgmt'!U82)</f>
        <v>1.3</v>
      </c>
      <c r="L46" s="487"/>
      <c r="Q46" s="494">
        <v>2</v>
      </c>
    </row>
    <row r="47" spans="1:17" s="117" customFormat="1" ht="17.149999999999999" customHeight="1">
      <c r="A47" s="122">
        <v>1</v>
      </c>
      <c r="B47" s="123" t="s">
        <v>524</v>
      </c>
      <c r="C47" s="124">
        <f>Rfb/1000</f>
        <v>168</v>
      </c>
      <c r="D47" s="954">
        <f>C47</f>
        <v>168</v>
      </c>
      <c r="E47" s="955"/>
      <c r="F47" s="955"/>
      <c r="G47" s="125" t="s">
        <v>119</v>
      </c>
      <c r="H47" s="126" t="s">
        <v>118</v>
      </c>
      <c r="I47" s="477" t="s">
        <v>118</v>
      </c>
      <c r="J47" s="613" t="str">
        <f>CHOOSE(Q47,'Variable Mgmt'!T78,'Variable Mgmt'!T79,'Variable Mgmt'!T80)</f>
        <v>2.0 x 1.25</v>
      </c>
      <c r="K47" s="614">
        <f>CHOOSE(Q47,'Variable Mgmt'!U78,'Variable Mgmt'!U79,'Variable Mgmt'!U80,'Variable Mgmt'!U81,'Variable Mgmt'!U82)</f>
        <v>2.5</v>
      </c>
      <c r="L47" s="487"/>
      <c r="Q47" s="494">
        <v>3</v>
      </c>
    </row>
    <row r="48" spans="1:17" s="117" customFormat="1" ht="17.149999999999999" customHeight="1">
      <c r="A48" s="122" t="str">
        <f>CHOOSE(MODE_UVLO, "1", "-")</f>
        <v>1</v>
      </c>
      <c r="B48" s="123" t="s">
        <v>126</v>
      </c>
      <c r="C48" s="908" t="str">
        <f>CHOOSE(MODE_UVLO, 'Variable Mgmt'!H269, "-")</f>
        <v>36.5k</v>
      </c>
      <c r="D48" s="956" t="str">
        <f>CHOOSE(MODE_UVLO, "Resistor, Chip, "&amp;'Variable Mgmt'!C269&amp;", 1/16W, 1%", "-")</f>
        <v>Resistor, Chip, 36.5kΩ, 1/16W, 1%</v>
      </c>
      <c r="E48" s="957"/>
      <c r="F48" s="957"/>
      <c r="G48" s="125" t="s">
        <v>119</v>
      </c>
      <c r="H48" s="126" t="str">
        <f>CHOOSE(MODE_UVLO, "Std", "-")</f>
        <v>Std</v>
      </c>
      <c r="I48" s="477" t="str">
        <f>CHOOSE(MODE_UVLO, "Std", "-")</f>
        <v>Std</v>
      </c>
      <c r="J48" s="613" t="str">
        <f>CHOOSE(MODE_UVLO, CHOOSE(Q48,'Variable Mgmt'!T78,'Variable Mgmt'!T79,'Variable Mgmt'!T80), "-")</f>
        <v>1.0 x 0.5</v>
      </c>
      <c r="K48" s="614">
        <f>CHOOSE(MODE_UVLO, CHOOSE(Q48,'Variable Mgmt'!U78,'Variable Mgmt'!U79,'Variable Mgmt'!U80,'Variable Mgmt'!U81,'Variable Mgmt'!U82),"-")</f>
        <v>0.5</v>
      </c>
      <c r="L48" s="487"/>
      <c r="Q48" s="494">
        <v>1</v>
      </c>
    </row>
    <row r="49" spans="1:17" s="117" customFormat="1" ht="17.149999999999999" customHeight="1">
      <c r="A49" s="122" t="str">
        <f>CHOOSE(MODE_UVLO, "1", "-")</f>
        <v>1</v>
      </c>
      <c r="B49" s="123" t="s">
        <v>127</v>
      </c>
      <c r="C49" s="908" t="str">
        <f>CHOOSE(MODE_UVLO, 'Variable Mgmt'!H270, "-")</f>
        <v>6.81k</v>
      </c>
      <c r="D49" s="956" t="str">
        <f>CHOOSE(MODE_UVLO, "Resistor, Chip, "&amp;'Variable Mgmt'!C270&amp;", 1/16W, 1%", "-")</f>
        <v>Resistor, Chip, 6.81kΩ, 1/16W, 1%</v>
      </c>
      <c r="E49" s="957"/>
      <c r="F49" s="957"/>
      <c r="G49" s="125" t="s">
        <v>119</v>
      </c>
      <c r="H49" s="126" t="str">
        <f>CHOOSE(MODE_UVLO, "Std", "-")</f>
        <v>Std</v>
      </c>
      <c r="I49" s="477" t="str">
        <f>CHOOSE(MODE_UVLO, "Std", "-")</f>
        <v>Std</v>
      </c>
      <c r="J49" s="613" t="str">
        <f>CHOOSE(MODE_UVLO, CHOOSE(Q49,'Variable Mgmt'!T78,'Variable Mgmt'!T79,'Variable Mgmt'!T80), "-")</f>
        <v>1.0 x 0.5</v>
      </c>
      <c r="K49" s="614">
        <f>CHOOSE(MODE_UVLO, CHOOSE(Q49,'Variable Mgmt'!U78,'Variable Mgmt'!U79,'Variable Mgmt'!U80,'Variable Mgmt'!U81,'Variable Mgmt'!U82),"-")</f>
        <v>0.5</v>
      </c>
      <c r="L49" s="487"/>
      <c r="Q49" s="494">
        <v>1</v>
      </c>
    </row>
    <row r="50" spans="1:17" s="117" customFormat="1" ht="17.149999999999999" customHeight="1">
      <c r="A50" s="122" t="str">
        <f>CHOOSE(MODE_TC, "1", "-")</f>
        <v>-</v>
      </c>
      <c r="B50" s="123" t="s">
        <v>516</v>
      </c>
      <c r="C50" s="124" t="str">
        <f>CHOOSE(MODE_TC, RTC, "-")</f>
        <v>-</v>
      </c>
      <c r="D50" s="954" t="str">
        <f>CHOOSE(MODE_TC, "Resistor, Chip, "&amp;'Variable Mgmt'!B265&amp;", 1/16W, 1%", "-")</f>
        <v>-</v>
      </c>
      <c r="E50" s="955"/>
      <c r="F50" s="955"/>
      <c r="G50" s="125" t="s">
        <v>119</v>
      </c>
      <c r="H50" s="126" t="str">
        <f>CHOOSE(MODE_TC, "Std", "-")</f>
        <v>-</v>
      </c>
      <c r="I50" s="477" t="str">
        <f>CHOOSE(MODE_TC, "Std", "-")</f>
        <v>-</v>
      </c>
      <c r="J50" s="613" t="str">
        <f>CHOOSE(MODE_TC, CHOOSE(Q50,'Variable Mgmt'!T78,'Variable Mgmt'!T409,'Variable Mgmt'!T80), "-")</f>
        <v>-</v>
      </c>
      <c r="K50" s="614" t="str">
        <f>CHOOSE(MODE_TC, CHOOSE(Q50,'Variable Mgmt'!U78,'Variable Mgmt'!U79,'Variable Mgmt'!U80,'Variable Mgmt'!U81,'Variable Mgmt'!U82),"-")</f>
        <v>-</v>
      </c>
      <c r="L50" s="487"/>
      <c r="Q50" s="494">
        <v>1</v>
      </c>
    </row>
    <row r="51" spans="1:17" s="117" customFormat="1" ht="17.149999999999999" customHeight="1">
      <c r="A51" s="122">
        <v>1</v>
      </c>
      <c r="B51" s="123" t="s">
        <v>932</v>
      </c>
      <c r="C51" s="124" t="str">
        <f>'Variable Mgmt'!D313</f>
        <v>15mΩ</v>
      </c>
      <c r="D51" s="970" t="s">
        <v>933</v>
      </c>
      <c r="E51" s="955"/>
      <c r="F51" s="955"/>
      <c r="G51" s="125" t="s">
        <v>119</v>
      </c>
      <c r="H51" s="126" t="s">
        <v>118</v>
      </c>
      <c r="I51" s="477" t="s">
        <v>118</v>
      </c>
      <c r="J51" s="613" t="str">
        <f>CHOOSE(Q51,'Variable Mgmt'!T79,'Variable Mgmt'!T80,'Variable Mgmt'!T81,'Variable Mgmt'!T82,'Variable Mgmt'!T83,'Variable Mgmt'!T84)</f>
        <v>9.3 x 2.7</v>
      </c>
      <c r="K51" s="614">
        <f>CHOOSE(Q51,'Variable Mgmt'!U79,'Variable Mgmt'!U80,'Variable Mgmt'!U81,'Variable Mgmt'!U82,'Variable Mgmt'!U83,'Variable Mgmt'!U84)</f>
        <v>25.1</v>
      </c>
      <c r="L51" s="487"/>
      <c r="Q51" s="494">
        <v>6</v>
      </c>
    </row>
    <row r="52" spans="1:17" s="117" customFormat="1" ht="17.149999999999999" customHeight="1">
      <c r="A52" s="122">
        <v>1</v>
      </c>
      <c r="B52" s="123" t="s">
        <v>931</v>
      </c>
      <c r="C52" s="124">
        <f>'Design Converter'!E60</f>
        <v>12</v>
      </c>
      <c r="D52" s="904" t="str">
        <f>"Resistor, Chip, "&amp;C52&amp;"kΩ, 1/16W, 1%"</f>
        <v>Resistor, Chip, 12kΩ, 1/16W, 1%</v>
      </c>
      <c r="E52" s="909"/>
      <c r="F52" s="909"/>
      <c r="G52" s="125" t="s">
        <v>119</v>
      </c>
      <c r="H52" s="126" t="s">
        <v>118</v>
      </c>
      <c r="I52" s="477" t="s">
        <v>118</v>
      </c>
      <c r="J52" s="613" t="str">
        <f>CHOOSE(Q52,'Variable Mgmt'!T78,'Variable Mgmt'!T79,'Variable Mgmt'!T80)</f>
        <v>1.6 x 0.8</v>
      </c>
      <c r="K52" s="614">
        <f>CHOOSE(Q52,'Variable Mgmt'!U78,'Variable Mgmt'!U79,'Variable Mgmt'!U80,'Variable Mgmt'!U81,'Variable Mgmt'!U82)</f>
        <v>1.3</v>
      </c>
      <c r="L52" s="487"/>
      <c r="Q52" s="494">
        <v>2</v>
      </c>
    </row>
    <row r="53" spans="1:17" s="117" customFormat="1" ht="17.149999999999999" customHeight="1">
      <c r="A53" s="122">
        <v>1</v>
      </c>
      <c r="B53" s="123" t="s">
        <v>936</v>
      </c>
      <c r="C53" s="124" t="str">
        <f>'Variable Mgmt'!D315</f>
        <v>100Ω</v>
      </c>
      <c r="D53" s="954" t="str">
        <f>"Resistor, Chip, "&amp;C53&amp;", 1/16W, 1%"</f>
        <v>Resistor, Chip, 100Ω, 1/16W, 1%</v>
      </c>
      <c r="E53" s="955"/>
      <c r="F53" s="955"/>
      <c r="G53" s="125" t="s">
        <v>119</v>
      </c>
      <c r="H53" s="126" t="s">
        <v>118</v>
      </c>
      <c r="I53" s="477" t="s">
        <v>118</v>
      </c>
      <c r="J53" s="613" t="str">
        <f>CHOOSE(Q53,'Variable Mgmt'!T78,'Variable Mgmt'!T79,'Variable Mgmt'!T80)</f>
        <v>1.0 x 0.5</v>
      </c>
      <c r="K53" s="614">
        <f>CHOOSE(Q53,'Variable Mgmt'!U78,'Variable Mgmt'!U79,'Variable Mgmt'!U80,'Variable Mgmt'!U81,'Variable Mgmt'!U82)</f>
        <v>0.5</v>
      </c>
      <c r="L53" s="487"/>
      <c r="Q53" s="494">
        <v>1</v>
      </c>
    </row>
    <row r="54" spans="1:17" s="616" customFormat="1" ht="16.5" customHeight="1">
      <c r="A54" s="118">
        <v>1</v>
      </c>
      <c r="B54" s="119" t="s">
        <v>523</v>
      </c>
      <c r="C54" s="910" t="str">
        <f>'Design Converter'!L7&amp;"k"</f>
        <v>12k</v>
      </c>
      <c r="D54" s="967" t="str">
        <f>"Transformer, "&amp;L*1000000&amp;"µH, "&amp;'Variable Mgmt'!W66&amp;", "&amp;Rdcr_pri*1000&amp;"mΩ Pri DCR"</f>
        <v>Transformer, 12µH, 1 : 1, 30mΩ Pri DCR</v>
      </c>
      <c r="E54" s="968"/>
      <c r="F54" s="969"/>
      <c r="G54" s="121" t="s">
        <v>125</v>
      </c>
      <c r="H54" s="121" t="s">
        <v>124</v>
      </c>
      <c r="I54" s="476" t="s">
        <v>124</v>
      </c>
      <c r="J54" s="484" t="str">
        <f>CHOOSE(Q54,'Variable Mgmt'!T89,'Variable Mgmt'!T90,'Variable Mgmt'!T91,'Variable Mgmt'!T92,'Variable Mgmt'!T93,'Variable Mgmt'!T94, 'Variable Mgmt'!T95, 'Variable Mgmt'!T96)</f>
        <v>23 x 17</v>
      </c>
      <c r="K54" s="907">
        <f>CHOOSE(Q54,'Variable Mgmt'!U89,'Variable Mgmt'!U90,'Variable Mgmt'!U91,'Variable Mgmt'!U92,'Variable Mgmt'!U93,'Variable Mgmt'!U94, 'Variable Mgmt'!U95,'Variable Mgmt'!U96)</f>
        <v>391</v>
      </c>
      <c r="L54" s="615"/>
      <c r="Q54" s="617">
        <v>8</v>
      </c>
    </row>
    <row r="55" spans="1:17" ht="17.149999999999999" customHeight="1">
      <c r="A55" s="459">
        <v>1</v>
      </c>
      <c r="B55" s="465" t="s">
        <v>128</v>
      </c>
      <c r="C55" s="486" t="s">
        <v>938</v>
      </c>
      <c r="D55" s="466" t="s">
        <v>939</v>
      </c>
      <c r="E55" s="467"/>
      <c r="F55" s="468"/>
      <c r="G55" s="464" t="s">
        <v>940</v>
      </c>
      <c r="H55" s="464" t="s">
        <v>938</v>
      </c>
      <c r="I55" s="466" t="s">
        <v>355</v>
      </c>
      <c r="J55" s="485" t="s">
        <v>953</v>
      </c>
      <c r="K55" s="483">
        <f>32</f>
        <v>32</v>
      </c>
      <c r="L55" s="463"/>
      <c r="M55" s="463"/>
      <c r="N55" s="117"/>
      <c r="Q55" s="497"/>
    </row>
    <row r="56" spans="1:17" ht="17.149999999999999" customHeight="1">
      <c r="J56" s="117"/>
      <c r="K56" s="473"/>
      <c r="L56" s="463"/>
      <c r="M56" s="463"/>
      <c r="N56" s="117"/>
    </row>
    <row r="57" spans="1:17" ht="17.25" hidden="1" customHeight="1">
      <c r="H57" s="964" t="s">
        <v>357</v>
      </c>
      <c r="I57" s="964"/>
      <c r="J57" s="964"/>
      <c r="K57" s="491">
        <f>SUM(K31:K55)*1.25</f>
        <v>661.75</v>
      </c>
      <c r="L57" s="498" t="s">
        <v>358</v>
      </c>
      <c r="M57" s="492">
        <f>K57/25.4/25.4</f>
        <v>1.0257145514291031</v>
      </c>
      <c r="N57" s="498" t="s">
        <v>356</v>
      </c>
    </row>
    <row r="58" spans="1:17" ht="17.149999999999999" customHeight="1">
      <c r="J58" s="478"/>
      <c r="K58" s="479"/>
      <c r="L58" s="480"/>
      <c r="M58" s="481"/>
      <c r="N58" s="480"/>
    </row>
    <row r="59" spans="1:17" ht="20.25" customHeight="1">
      <c r="A59" s="472" t="s">
        <v>137</v>
      </c>
    </row>
    <row r="60" spans="1:17">
      <c r="A60" s="114" t="s">
        <v>947</v>
      </c>
    </row>
    <row r="61" spans="1:17">
      <c r="A61" s="114" t="s">
        <v>677</v>
      </c>
      <c r="K61" s="471"/>
    </row>
    <row r="62" spans="1:17">
      <c r="A62" s="114" t="s">
        <v>676</v>
      </c>
    </row>
    <row r="63" spans="1:17">
      <c r="A63" s="114" t="s">
        <v>674</v>
      </c>
    </row>
    <row r="64" spans="1:17">
      <c r="A64" s="114" t="s">
        <v>675</v>
      </c>
    </row>
  </sheetData>
  <sheetProtection algorithmName="SHA-512" hashValue="LDB4IK7WyDQAJv8vPYNHmpeIcJchZtvJGk7AGokZ+o84M8XParPHLMtS2RIXTD1m393K8OHh8N2HD1gBIJAsWw==" saltValue="oU8kR652ub4qmJSrMqH4Kg==" spinCount="100000" sheet="1" objects="1" scenarios="1" selectLockedCells="1" selectUnlockedCells="1"/>
  <mergeCells count="19">
    <mergeCell ref="D53:F53"/>
    <mergeCell ref="H57:J57"/>
    <mergeCell ref="D31:F31"/>
    <mergeCell ref="D54:F54"/>
    <mergeCell ref="D48:F48"/>
    <mergeCell ref="D49:F49"/>
    <mergeCell ref="D50:F50"/>
    <mergeCell ref="D51:F51"/>
    <mergeCell ref="D30:F30"/>
    <mergeCell ref="D46:F46"/>
    <mergeCell ref="D47:F47"/>
    <mergeCell ref="D42:F42"/>
    <mergeCell ref="D40:F40"/>
    <mergeCell ref="D39:F39"/>
    <mergeCell ref="D32:F32"/>
    <mergeCell ref="D34:F34"/>
    <mergeCell ref="D37:F37"/>
    <mergeCell ref="D44:F44"/>
    <mergeCell ref="D38:F38"/>
  </mergeCells>
  <phoneticPr fontId="83"/>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40 G42 G48:G49 G46" numberStoredAsText="1"/>
    <ignoredError sqref="J40:K4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12700</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12700</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39</xdr:row>
                    <xdr:rowOff>12700</xdr:rowOff>
                  </from>
                  <to>
                    <xdr:col>6</xdr:col>
                    <xdr:colOff>876300</xdr:colOff>
                    <xdr:row>40</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46</xdr:row>
                    <xdr:rowOff>12700</xdr:rowOff>
                  </from>
                  <to>
                    <xdr:col>6</xdr:col>
                    <xdr:colOff>876300</xdr:colOff>
                    <xdr:row>47</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41</xdr:row>
                    <xdr:rowOff>12700</xdr:rowOff>
                  </from>
                  <to>
                    <xdr:col>6</xdr:col>
                    <xdr:colOff>876300</xdr:colOff>
                    <xdr:row>42</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40</xdr:row>
                    <xdr:rowOff>12700</xdr:rowOff>
                  </from>
                  <to>
                    <xdr:col>6</xdr:col>
                    <xdr:colOff>876300</xdr:colOff>
                    <xdr:row>41</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45</xdr:row>
                    <xdr:rowOff>12700</xdr:rowOff>
                  </from>
                  <to>
                    <xdr:col>6</xdr:col>
                    <xdr:colOff>876300</xdr:colOff>
                    <xdr:row>46</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47</xdr:row>
                    <xdr:rowOff>12700</xdr:rowOff>
                  </from>
                  <to>
                    <xdr:col>6</xdr:col>
                    <xdr:colOff>876300</xdr:colOff>
                    <xdr:row>48</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48</xdr:row>
                    <xdr:rowOff>12700</xdr:rowOff>
                  </from>
                  <to>
                    <xdr:col>6</xdr:col>
                    <xdr:colOff>876300</xdr:colOff>
                    <xdr:row>49</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49</xdr:row>
                    <xdr:rowOff>12700</xdr:rowOff>
                  </from>
                  <to>
                    <xdr:col>6</xdr:col>
                    <xdr:colOff>876300</xdr:colOff>
                    <xdr:row>50</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38</xdr:row>
                    <xdr:rowOff>12700</xdr:rowOff>
                  </from>
                  <to>
                    <xdr:col>6</xdr:col>
                    <xdr:colOff>876300</xdr:colOff>
                    <xdr:row>39</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53</xdr:row>
                    <xdr:rowOff>12700</xdr:rowOff>
                  </from>
                  <to>
                    <xdr:col>6</xdr:col>
                    <xdr:colOff>876300</xdr:colOff>
                    <xdr:row>54</xdr:row>
                    <xdr:rowOff>0</xdr:rowOff>
                  </to>
                </anchor>
              </controlPr>
            </control>
          </mc:Choice>
        </mc:AlternateContent>
        <mc:AlternateContent xmlns:mc="http://schemas.openxmlformats.org/markup-compatibility/2006">
          <mc:Choice Requires="x14">
            <control shapeId="706019" r:id="rId16" name="Drop Down 1507">
              <controlPr defaultSize="0" autoLine="0" autoPict="0">
                <anchor moveWithCells="1">
                  <from>
                    <xdr:col>5</xdr:col>
                    <xdr:colOff>895350</xdr:colOff>
                    <xdr:row>32</xdr:row>
                    <xdr:rowOff>12700</xdr:rowOff>
                  </from>
                  <to>
                    <xdr:col>6</xdr:col>
                    <xdr:colOff>869950</xdr:colOff>
                    <xdr:row>33</xdr:row>
                    <xdr:rowOff>0</xdr:rowOff>
                  </to>
                </anchor>
              </controlPr>
            </control>
          </mc:Choice>
        </mc:AlternateContent>
        <mc:AlternateContent xmlns:mc="http://schemas.openxmlformats.org/markup-compatibility/2006">
          <mc:Choice Requires="x14">
            <control shapeId="706028" r:id="rId17" name="Drop Down 1516">
              <controlPr defaultSize="0" autoLine="0" autoPict="0">
                <anchor moveWithCells="1">
                  <from>
                    <xdr:col>6</xdr:col>
                    <xdr:colOff>0</xdr:colOff>
                    <xdr:row>42</xdr:row>
                    <xdr:rowOff>12700</xdr:rowOff>
                  </from>
                  <to>
                    <xdr:col>6</xdr:col>
                    <xdr:colOff>882650</xdr:colOff>
                    <xdr:row>43</xdr:row>
                    <xdr:rowOff>0</xdr:rowOff>
                  </to>
                </anchor>
              </controlPr>
            </control>
          </mc:Choice>
        </mc:AlternateContent>
        <mc:AlternateContent xmlns:mc="http://schemas.openxmlformats.org/markup-compatibility/2006">
          <mc:Choice Requires="x14">
            <control shapeId="764426" r:id="rId18" name="Drop Down 2570">
              <controlPr defaultSize="0" autoLine="0" autoPict="0">
                <anchor moveWithCells="1">
                  <from>
                    <xdr:col>6</xdr:col>
                    <xdr:colOff>0</xdr:colOff>
                    <xdr:row>51</xdr:row>
                    <xdr:rowOff>12700</xdr:rowOff>
                  </from>
                  <to>
                    <xdr:col>6</xdr:col>
                    <xdr:colOff>876300</xdr:colOff>
                    <xdr:row>51</xdr:row>
                    <xdr:rowOff>215900</xdr:rowOff>
                  </to>
                </anchor>
              </controlPr>
            </control>
          </mc:Choice>
        </mc:AlternateContent>
        <mc:AlternateContent xmlns:mc="http://schemas.openxmlformats.org/markup-compatibility/2006">
          <mc:Choice Requires="x14">
            <control shapeId="764430" r:id="rId19" name="Drop Down 2574">
              <controlPr defaultSize="0" autoLine="0" autoPict="0">
                <anchor moveWithCells="1">
                  <from>
                    <xdr:col>6</xdr:col>
                    <xdr:colOff>0</xdr:colOff>
                    <xdr:row>52</xdr:row>
                    <xdr:rowOff>12700</xdr:rowOff>
                  </from>
                  <to>
                    <xdr:col>6</xdr:col>
                    <xdr:colOff>876300</xdr:colOff>
                    <xdr:row>52</xdr:row>
                    <xdr:rowOff>215900</xdr:rowOff>
                  </to>
                </anchor>
              </controlPr>
            </control>
          </mc:Choice>
        </mc:AlternateContent>
        <mc:AlternateContent xmlns:mc="http://schemas.openxmlformats.org/markup-compatibility/2006">
          <mc:Choice Requires="x14">
            <control shapeId="764447" r:id="rId20" name="Drop Down 2591">
              <controlPr defaultSize="0" autoLine="0" autoPict="0">
                <anchor moveWithCells="1">
                  <from>
                    <xdr:col>6</xdr:col>
                    <xdr:colOff>0</xdr:colOff>
                    <xdr:row>34</xdr:row>
                    <xdr:rowOff>12700</xdr:rowOff>
                  </from>
                  <to>
                    <xdr:col>6</xdr:col>
                    <xdr:colOff>882650</xdr:colOff>
                    <xdr:row>35</xdr:row>
                    <xdr:rowOff>0</xdr:rowOff>
                  </to>
                </anchor>
              </controlPr>
            </control>
          </mc:Choice>
        </mc:AlternateContent>
        <mc:AlternateContent xmlns:mc="http://schemas.openxmlformats.org/markup-compatibility/2006">
          <mc:Choice Requires="x14">
            <control shapeId="764451" r:id="rId21" name="Drop Down 2595">
              <controlPr defaultSize="0" autoLine="0" autoPict="0">
                <anchor moveWithCells="1">
                  <from>
                    <xdr:col>6</xdr:col>
                    <xdr:colOff>0</xdr:colOff>
                    <xdr:row>43</xdr:row>
                    <xdr:rowOff>12700</xdr:rowOff>
                  </from>
                  <to>
                    <xdr:col>6</xdr:col>
                    <xdr:colOff>876300</xdr:colOff>
                    <xdr:row>44</xdr:row>
                    <xdr:rowOff>0</xdr:rowOff>
                  </to>
                </anchor>
              </controlPr>
            </control>
          </mc:Choice>
        </mc:AlternateContent>
        <mc:AlternateContent xmlns:mc="http://schemas.openxmlformats.org/markup-compatibility/2006">
          <mc:Choice Requires="x14">
            <control shapeId="764454" r:id="rId22" name="Drop Down 2598">
              <controlPr defaultSize="0" autoLine="0" autoPict="0">
                <anchor moveWithCells="1">
                  <from>
                    <xdr:col>6</xdr:col>
                    <xdr:colOff>0</xdr:colOff>
                    <xdr:row>35</xdr:row>
                    <xdr:rowOff>12700</xdr:rowOff>
                  </from>
                  <to>
                    <xdr:col>6</xdr:col>
                    <xdr:colOff>876300</xdr:colOff>
                    <xdr:row>36</xdr:row>
                    <xdr:rowOff>0</xdr:rowOff>
                  </to>
                </anchor>
              </controlPr>
            </control>
          </mc:Choice>
        </mc:AlternateContent>
        <mc:AlternateContent xmlns:mc="http://schemas.openxmlformats.org/markup-compatibility/2006">
          <mc:Choice Requires="x14">
            <control shapeId="764455" r:id="rId23" name="Drop Down 2599">
              <controlPr defaultSize="0" autoLine="0" autoPict="0">
                <anchor moveWithCells="1">
                  <from>
                    <xdr:col>6</xdr:col>
                    <xdr:colOff>0</xdr:colOff>
                    <xdr:row>36</xdr:row>
                    <xdr:rowOff>12700</xdr:rowOff>
                  </from>
                  <to>
                    <xdr:col>6</xdr:col>
                    <xdr:colOff>876300</xdr:colOff>
                    <xdr:row>37</xdr:row>
                    <xdr:rowOff>0</xdr:rowOff>
                  </to>
                </anchor>
              </controlPr>
            </control>
          </mc:Choice>
        </mc:AlternateContent>
        <mc:AlternateContent xmlns:mc="http://schemas.openxmlformats.org/markup-compatibility/2006">
          <mc:Choice Requires="x14">
            <control shapeId="764456" r:id="rId24" name="Drop Down 2600">
              <controlPr defaultSize="0" autoLine="0" autoPict="0">
                <anchor moveWithCells="1">
                  <from>
                    <xdr:col>6</xdr:col>
                    <xdr:colOff>0</xdr:colOff>
                    <xdr:row>37</xdr:row>
                    <xdr:rowOff>12700</xdr:rowOff>
                  </from>
                  <to>
                    <xdr:col>6</xdr:col>
                    <xdr:colOff>876300</xdr:colOff>
                    <xdr:row>38</xdr:row>
                    <xdr:rowOff>0</xdr:rowOff>
                  </to>
                </anchor>
              </controlPr>
            </control>
          </mc:Choice>
        </mc:AlternateContent>
        <mc:AlternateContent xmlns:mc="http://schemas.openxmlformats.org/markup-compatibility/2006">
          <mc:Choice Requires="x14">
            <control shapeId="764458" r:id="rId25" name="Drop Down 2602">
              <controlPr defaultSize="0" autoLine="0" autoPict="0">
                <anchor moveWithCells="1">
                  <from>
                    <xdr:col>6</xdr:col>
                    <xdr:colOff>0</xdr:colOff>
                    <xdr:row>50</xdr:row>
                    <xdr:rowOff>12700</xdr:rowOff>
                  </from>
                  <to>
                    <xdr:col>6</xdr:col>
                    <xdr:colOff>876300</xdr:colOff>
                    <xdr:row>51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B8E3D35-A815-4471-905F-8419AAA9FC23}">
            <xm:f>'Variable Mgmt'!$B$74=TRUE</xm:f>
            <x14:dxf>
              <font>
                <color theme="0"/>
              </font>
            </x14:dxf>
          </x14:cfRule>
          <xm:sqref>B40</xm:sqref>
        </x14:conditionalFormatting>
        <x14:conditionalFormatting xmlns:xm="http://schemas.microsoft.com/office/excel/2006/main">
          <x14:cfRule type="expression" priority="1" id="{8521D621-BE3D-4AAE-900E-18DA0D0FAC8E}">
            <xm:f>'Variable Mgmt'!$B$74=TRUE</xm:f>
            <x14:dxf>
              <font>
                <color rgb="FFFFFF99"/>
              </font>
            </x14:dxf>
          </x14:cfRule>
          <xm:sqref>B33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7030A0"/>
    <pageSetUpPr fitToPage="1"/>
  </sheetPr>
  <dimension ref="A1:R6"/>
  <sheetViews>
    <sheetView zoomScaleNormal="100" workbookViewId="0">
      <selection activeCell="M15" sqref="M15"/>
    </sheetView>
  </sheetViews>
  <sheetFormatPr defaultColWidth="9.1796875" defaultRowHeight="12.5"/>
  <cols>
    <col min="1" max="13" width="9.1796875" style="84"/>
    <col min="14" max="14" width="11.81640625" style="84" customWidth="1"/>
    <col min="15" max="16" width="9.1796875" style="84"/>
    <col min="17" max="17" width="15.7265625" style="84" customWidth="1"/>
    <col min="18" max="16384" width="9.1796875" style="84"/>
  </cols>
  <sheetData>
    <row r="1" spans="1:18" s="75" customFormat="1" ht="47.25" customHeight="1">
      <c r="A1" s="971" t="s">
        <v>948</v>
      </c>
      <c r="B1" s="972"/>
      <c r="C1" s="972"/>
      <c r="D1" s="972"/>
      <c r="E1" s="972"/>
      <c r="F1" s="972"/>
      <c r="G1" s="972"/>
      <c r="H1" s="972"/>
      <c r="I1" s="972"/>
      <c r="J1" s="972"/>
      <c r="K1" s="972"/>
      <c r="L1" s="972"/>
      <c r="M1" s="972"/>
      <c r="N1" s="972"/>
      <c r="O1" s="972"/>
      <c r="P1" s="972"/>
      <c r="Q1" s="972"/>
      <c r="R1" s="82"/>
    </row>
    <row r="6" spans="1:18" ht="20">
      <c r="B6" s="85" t="s">
        <v>921</v>
      </c>
      <c r="N6" s="85" t="s">
        <v>946</v>
      </c>
    </row>
  </sheetData>
  <sheetProtection algorithmName="SHA-512" hashValue="tPvl2fh3glKsM+U9wmutkl9ZVBAqXCTdyJPzqtmwYjcUBHnYNN/9332VpUYstDE7h8BljUFt0E7mrD0NWOKCXQ==" saltValue="syN6z4runAzyyZkZejHLoQ==" spinCount="100000" sheet="1" objects="1" scenarios="1" selectLockedCells="1" selectUnlockedCells="1"/>
  <mergeCells count="1">
    <mergeCell ref="A1:Q1"/>
  </mergeCells>
  <phoneticPr fontId="83"/>
  <pageMargins left="0.19" right="0.2" top="0.75" bottom="0.75" header="0.3" footer="0.3"/>
  <pageSetup scale="5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209</vt:i4>
      </vt:variant>
    </vt:vector>
  </HeadingPairs>
  <TitlesOfParts>
    <vt:vector size="222" baseType="lpstr">
      <vt:lpstr>Design Converter</vt:lpstr>
      <vt:lpstr>Stability Calculations</vt:lpstr>
      <vt:lpstr>Variable Mgmt</vt:lpstr>
      <vt:lpstr>Parameters</vt:lpstr>
      <vt:lpstr>Calculations - Single</vt:lpstr>
      <vt:lpstr>Calculations - Dual</vt:lpstr>
      <vt:lpstr>Fsw vs VIN</vt:lpstr>
      <vt:lpstr>BOM &amp; Schematic</vt:lpstr>
      <vt:lpstr>EVMs</vt:lpstr>
      <vt:lpstr>Efficiency Plots</vt:lpstr>
      <vt:lpstr>Fsw Plots</vt:lpstr>
      <vt:lpstr>Schematic Mgmt</vt:lpstr>
      <vt:lpstr>Standard Value Calculator</vt:lpstr>
      <vt:lpstr>_Don1</vt:lpstr>
      <vt:lpstr>Acs</vt:lpstr>
      <vt:lpstr>Adc</vt:lpstr>
      <vt:lpstr>Aea</vt:lpstr>
      <vt:lpstr>Afb</vt:lpstr>
      <vt:lpstr>Am</vt:lpstr>
      <vt:lpstr>BDserR</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Fco_desire</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IpkCAL</vt:lpstr>
      <vt:lpstr>IQ</vt:lpstr>
      <vt:lpstr>Iripple</vt:lpstr>
      <vt:lpstr>Iss</vt:lpstr>
      <vt:lpstr>Isw_max</vt:lpstr>
      <vt:lpstr>Isw_min</vt:lpstr>
      <vt:lpstr>Iuvlo_hys</vt:lpstr>
      <vt:lpstr>Iuvlo1</vt:lpstr>
      <vt:lpstr>Iuvlo2</vt:lpstr>
      <vt:lpstr>k_core</vt:lpstr>
      <vt:lpstr>ktr_rcmd</vt:lpstr>
      <vt:lpstr>L</vt:lpstr>
      <vt:lpstr>Lleak</vt:lpstr>
      <vt:lpstr>Lmag</vt:lpstr>
      <vt:lpstr>Lmin</vt:lpstr>
      <vt:lpstr>Lmin_abs</vt:lpstr>
      <vt:lpstr>Ls1_</vt:lpstr>
      <vt:lpstr>Ls2_</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Pomax_allowed</vt:lpstr>
      <vt:lpstr>Pout</vt:lpstr>
      <vt:lpstr>Pout_total</vt:lpstr>
      <vt:lpstr>Pout2</vt:lpstr>
      <vt:lpstr>'BOM &amp; Schematic'!Print_Area</vt:lpstr>
      <vt:lpstr>'Design Converter'!Print_Area</vt:lpstr>
      <vt:lpstr>pterm1</vt:lpstr>
      <vt:lpstr>pterm2</vt:lpstr>
      <vt:lpstr>Qg</vt:lpstr>
      <vt:lpstr>radconv</vt:lpstr>
      <vt:lpstr>Parameters!RCinEsr</vt:lpstr>
      <vt:lpstr>RCinEsr</vt:lpstr>
      <vt:lpstr>Rcomp</vt:lpstr>
      <vt:lpstr>Parameters!RCoutEsr</vt:lpstr>
      <vt:lpstr>RCoutEsr</vt:lpstr>
      <vt:lpstr>RCS</vt:lpstr>
      <vt:lpstr>Rcs_gain</vt:lpstr>
      <vt:lpstr>RCSmin</vt:lpstr>
      <vt:lpstr>Rdcr_pri</vt:lpstr>
      <vt:lpstr>Rdcr_sec</vt:lpstr>
      <vt:lpstr>Rdcr_sec2</vt:lpstr>
      <vt:lpstr>Rdson</vt:lpstr>
      <vt:lpstr>RdsonTC</vt:lpstr>
      <vt:lpstr>REAout</vt:lpstr>
      <vt:lpstr>Rfb</vt:lpstr>
      <vt:lpstr>Rfb_recommend</vt:lpstr>
      <vt:lpstr>Rfb2_u</vt:lpstr>
      <vt:lpstr>Rload_pri</vt:lpstr>
      <vt:lpstr>Rload_sec</vt:lpstr>
      <vt:lpstr>RON</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Vdd</vt:lpstr>
      <vt:lpstr>Vds_req</vt:lpstr>
      <vt:lpstr>Vfwd1</vt:lpstr>
      <vt:lpstr>Vfwd2</vt:lpstr>
      <vt:lpstr>Vfwd22</vt:lpstr>
      <vt:lpstr>Vin</vt:lpstr>
      <vt:lpstr>Vin_eff</vt:lpstr>
      <vt:lpstr>VIN_max</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Xi, Youhao</cp:lastModifiedBy>
  <cp:lastPrinted>2016-03-02T21:18:53Z</cp:lastPrinted>
  <dcterms:created xsi:type="dcterms:W3CDTF">1996-10-14T23:33:28Z</dcterms:created>
  <dcterms:modified xsi:type="dcterms:W3CDTF">2024-11-18T21:44:50Z</dcterms:modified>
</cp:coreProperties>
</file>